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LOTES" sheetId="2" state="visible" r:id="rId4"/>
    <sheet name="ENSAYOS" sheetId="3" state="visible" r:id="rId5"/>
    <sheet name="ABSORCION" sheetId="4" state="visible" r:id="rId6"/>
    <sheet name="CONTROL" sheetId="5" state="visible" r:id="rId7"/>
    <sheet name="CURVA EDAD" sheetId="6" state="visible" r:id="rId8"/>
    <sheet name="CERTIFICADO" sheetId="7" state="visible" r:id="rId9"/>
    <sheet name="CONFIG" sheetId="8" state="visible" r:id="rId10"/>
  </sheets>
  <definedNames>
    <definedName function="false" hidden="true" localSheetId="3" name="_xlnm._FilterDatabase" vbProcedure="false">ABSORCION!$A$4:$O$1004</definedName>
    <definedName function="false" hidden="false" localSheetId="6" name="_xlnm.Print_Area" vbProcedure="false">CERTIFICADO!$B$1:$O$39</definedName>
    <definedName function="false" hidden="false" localSheetId="4" name="_xlnm.Print_Area" vbProcedure="false">CONTROL!$B$1:$AC$50</definedName>
    <definedName function="false" hidden="true" localSheetId="2" name="_xlnm._FilterDatabase" vbProcedure="false">ENSAYOS!$A$4:$W$3004</definedName>
    <definedName function="false" hidden="true" localSheetId="1" name="_xlnm._FilterDatabase" vbProcedure="false">LOTES!$A$4:$AG$1004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Se genera solo. Rojo = repetido: usa Secuencia (2, 3, A…) para diferenciar.</t>
        </r>
      </text>
    </comment>
    <comment ref="W4" authorId="0">
      <text>
        <r>
          <rPr>
            <sz val="10"/>
            <rFont val="Arial"/>
            <family val="2"/>
          </rPr>
          <t xml:space="preserve">Solo si el lote tiene rotura temprana Y a 28 d. Alimenta la hoja CURVA EDAD.</t>
        </r>
      </text>
    </comment>
    <comment ref="Y4" authorId="0">
      <text>
        <r>
          <rPr>
            <sz val="10"/>
            <rFont val="Arial"/>
            <family val="2"/>
          </rPr>
          <t xml:space="preserve">Si hay rotura a 28 d se usa ese valor. Si no, = promedio temprano ÷ factor de edad (estimado).</t>
        </r>
      </text>
    </comment>
    <comment ref="AC4" authorId="0">
      <text>
        <r>
          <rPr>
            <sz val="10"/>
            <rFont val="Arial"/>
            <family val="2"/>
          </rPr>
          <t xml:space="preserve">"(est.)" = juicio basado en la estimación a 28 d, no en rotura real.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Fecha rotura − fecha de producción. Rojo si sale negativa.</t>
        </r>
      </text>
    </comment>
    <comment ref="Q4" authorId="0">
      <text>
        <r>
          <rPr>
            <sz val="10"/>
            <rFont val="Arial"/>
            <family val="2"/>
          </rPr>
          <t xml:space="preserve">Carga ÷ (ancho × largo): resistencia sobre área BRUTA.</t>
        </r>
      </text>
    </comment>
    <comment ref="T4" authorId="0">
      <text>
        <r>
          <rPr>
            <sz val="10"/>
            <rFont val="Arial"/>
            <family val="2"/>
          </rPr>
          <t xml:space="preserve">Un bloque húmedo da menos resistencia. Regístralo para poder explicar resultados bajos.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ASTM C90 limita el PROMEDIO de 3 bloques; aquí se marca cada bloque como guía. El promedio del lote está en LOTES col. AD.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6" y 8" = medidas de tus ensayos. 4" y Adoquín son supuestos: verifica.</t>
        </r>
      </text>
    </comment>
    <comment ref="I5" authorId="0">
      <text>
        <r>
          <rPr>
            <sz val="10"/>
            <rFont val="Arial"/>
            <family val="2"/>
          </rPr>
          <t xml:space="preserve">Fracción de área neta (ej. 0.52). Si la llenas, ENSAYOS calcula también resistencia sobre área neta.</t>
        </r>
      </text>
    </comment>
    <comment ref="J5" authorId="0">
      <text>
        <r>
          <rPr>
            <sz val="10"/>
            <rFont val="Arial"/>
            <family val="2"/>
          </rPr>
          <t xml:space="preserve">Requisito a 28 días. Lotes rotos antes de 28 d se comparan con la resistencia ESTIMADA a 28 d (hoja CURVA EDAD).</t>
        </r>
      </text>
    </comment>
  </commentList>
</comments>
</file>

<file path=xl/sharedStrings.xml><?xml version="1.0" encoding="utf-8"?>
<sst xmlns="http://schemas.openxmlformats.org/spreadsheetml/2006/main" count="1278" uniqueCount="372">
  <si>
    <t xml:space="preserve">REGISTRO DE ENSAYOS A COMPRESIÓN POR LOTE — BLOCK ROCHELL</t>
  </si>
  <si>
    <t xml:space="preserve">HOJAS</t>
  </si>
  <si>
    <t xml:space="preserve">LOTES</t>
  </si>
  <si>
    <t xml:space="preserve">Una fila por día de producción por máquina y producto. Fecha + Máquina + Producto → N° de LOTE automático (ej. 8070325P1). Repetido = rojo → usa "Secuencia" (8070325P1-2).</t>
  </si>
  <si>
    <t xml:space="preserve">   Trazabilidad</t>
  </si>
  <si>
    <t xml:space="preserve">Columnas azules: diseño de mezcla, cemento, horas de curado, unidades producidas. Llénalas para poder explicar lotes bajos.</t>
  </si>
  <si>
    <t xml:space="preserve">   Resultados</t>
  </si>
  <si>
    <t xml:space="preserve">Resumen automático: probetas, edades, promedio, mín/máx, CV, estimado a 28 d, CUMPLE y ALERTAS (pocas probetas, CV alto, absorción alta, sin rotura a 28 d).</t>
  </si>
  <si>
    <t xml:space="preserve">ENSAYOS</t>
  </si>
  <si>
    <t xml:space="preserve">Una fila por probeta rota. Eliges el lote; producto, máquina, fecha y edad salen solos. Registra condición del bloque (seco/húmedo) y tipo de falla.</t>
  </si>
  <si>
    <t xml:space="preserve">ABSORCION</t>
  </si>
  <si>
    <t xml:space="preserve">Una fila por bloque: pesos saturado, sumergido y seco → absorción (kg/m³ y %), densidad, clase y comparación con ASTM C90.</t>
  </si>
  <si>
    <t xml:space="preserve">CURVA EDAD</t>
  </si>
  <si>
    <t xml:space="preserve">Factores de resistencia por edad. Arranca con factores sacados de tu histórico general (amarillo) y se reemplazan por los tuyos cuando rompas lotes a temprana edad y a 28 d.</t>
  </si>
  <si>
    <t xml:space="preserve">CONTROL</t>
  </si>
  <si>
    <t xml:space="preserve">Gráfico de control de los últimos lotes por máquina y producto (media ±2σ y spec), y comparación P1 vs P2 vs P3.</t>
  </si>
  <si>
    <t xml:space="preserve">CERTIFICADO</t>
  </si>
  <si>
    <t xml:space="preserve">Eliges el lote (y opcionalmente la fecha de rotura) → formato ASTM C140 numerado (CR-lote-fecha), listo para imprimir/PDF.</t>
  </si>
  <si>
    <t xml:space="preserve">CONFIG</t>
  </si>
  <si>
    <t xml:space="preserve">Máquinas, productos y requisitos a 28 d, clientes, obras, listas, datos del equipo, límites de absorción y parámetros de control.</t>
  </si>
  <si>
    <t xml:space="preserve">Colores</t>
  </si>
  <si>
    <t xml:space="preserve">Amarillo con texto azul = lo que tú llenas.  Texto negro = fórmula.  Azul claro = N° de lote generado.</t>
  </si>
  <si>
    <t xml:space="preserve">Protección</t>
  </si>
  <si>
    <t xml:space="preserve">LOTES, ENSAYOS, ABSORCION, CURVA EDAD, CONTROL y CERTIFICADO están protegidas SIN contraseña para que no se borren fórmulas: solo se editan las celdas amarillas. Para cambiar algo: Revisar → Desproteger hoja.</t>
  </si>
  <si>
    <t xml:space="preserve">PLAN DE ENSAYO SUGERIDO</t>
  </si>
  <si>
    <t xml:space="preserve">Rutina</t>
  </si>
  <si>
    <t xml:space="preserve">Por lote: mínimo 3 bloques a compresión (ASTM C140) a la edad de despacho.</t>
  </si>
  <si>
    <t xml:space="preserve">Curva</t>
  </si>
  <si>
    <t xml:space="preserve">Al menos 1 lote por máquina al mes: 3 bloques a 3 d + 3 a 7 d + 3 a 28 d del MISMO lote.</t>
  </si>
  <si>
    <t xml:space="preserve">Absorción</t>
  </si>
  <si>
    <t xml:space="preserve">Al menos 1 vez al mes por máquina y producto: 3 bloques del mismo lote.</t>
  </si>
  <si>
    <t xml:space="preserve">HISTÓRICO MIGRADO</t>
  </si>
  <si>
    <t xml:space="preserve">Importado</t>
  </si>
  <si>
    <t xml:space="preserve">42 lotes y 216 probetas de ENSAYO_ROTURAS.xlsx (sep-2024 a nov-2025).</t>
  </si>
  <si>
    <t xml:space="preserve">Normalizado</t>
  </si>
  <si>
    <t xml:space="preserve">Códigos fuera de formato (P18121124, P28201224, 140125P1, 030225P2…) convertidos al estándar; B1/B2/B3 → P1/P2/P3. El código original queda en LOTES col. G.</t>
  </si>
  <si>
    <t xml:space="preserve">No importado</t>
  </si>
  <si>
    <t xml:space="preserve">Hojas sin N° de lote: LOPESAN 6-12-24, P2 T3.5, P2 T 2.5, CEMEX 260525, LOPESAN  270525 (4). Duplicada idéntica descartada: LOPESAN 170225 8 (duplicada).</t>
  </si>
  <si>
    <t xml:space="preserve">Corregido</t>
  </si>
  <si>
    <t xml:space="preserve">Medidas "19.5.5" tomadas como 19.5. Fecha de rotura faltante tomada del encabezado de la hoja. Bloques con nota "húmedos" marcados como Húmedo.</t>
  </si>
  <si>
    <t xml:space="preserve">PENDIENTE DE TI</t>
  </si>
  <si>
    <t xml:space="preserve">Poner el requisito mínimo a 28 días por producto (sin eso CUMPLE dice "Sin spec"), el % de área neta si lo tienes, y tus diseños de mezcla y cementos.</t>
  </si>
  <si>
    <t xml:space="preserve">REGISTRO DE LOTES</t>
  </si>
  <si>
    <t xml:space="preserve">Llena Fecha, Máquina y Producto → el N° de LOTE se genera solo: [código producto][DDMMAA][máquina][-secuencia opcional].  Ej: 8 + 070325 + P1 = 8070325P1</t>
  </si>
  <si>
    <t xml:space="preserve">TRAZABILIDAD DE PRODUCCIÓN</t>
  </si>
  <si>
    <t xml:space="preserve">RESULTADOS DE ENSAYO</t>
  </si>
  <si>
    <t xml:space="preserve">ESTIMACIÓN A 28 DÍAS Y CUMPLIMIENTO</t>
  </si>
  <si>
    <t xml:space="preserve">ABSORCIÓN</t>
  </si>
  <si>
    <t xml:space="preserve">N°</t>
  </si>
  <si>
    <t xml:space="preserve">Fecha producción</t>
  </si>
  <si>
    <t xml:space="preserve">Máquina</t>
  </si>
  <si>
    <t xml:space="preserve">Producto</t>
  </si>
  <si>
    <t xml:space="preserve">Secuencia (opcional)</t>
  </si>
  <si>
    <t xml:space="preserve">N° LOTE</t>
  </si>
  <si>
    <t xml:space="preserve">Código original (histórico)</t>
  </si>
  <si>
    <t xml:space="preserve">Diseño de mezcla</t>
  </si>
  <si>
    <t xml:space="preserve">Cemento</t>
  </si>
  <si>
    <t xml:space="preserve">Horas de curado</t>
  </si>
  <si>
    <t xml:space="preserve">Unidades producidas</t>
  </si>
  <si>
    <t xml:space="preserve">Notas de producción</t>
  </si>
  <si>
    <t xml:space="preserve">N° probetas</t>
  </si>
  <si>
    <t xml:space="preserve">Edad mín (d)</t>
  </si>
  <si>
    <t xml:space="preserve">Edad máx (d)</t>
  </si>
  <si>
    <t xml:space="preserve">Promedio ensayado (kg/cm²)</t>
  </si>
  <si>
    <t xml:space="preserve">Mínimo (kg/cm²)</t>
  </si>
  <si>
    <t xml:space="preserve">Máximo (kg/cm²)</t>
  </si>
  <si>
    <t xml:space="preserve">Desv. est.</t>
  </si>
  <si>
    <t xml:space="preserve">CV %</t>
  </si>
  <si>
    <t xml:space="preserve">Prom. edad temprana</t>
  </si>
  <si>
    <t xml:space="preserve">Prom. a 28 d</t>
  </si>
  <si>
    <t xml:space="preserve">Factor del lote (temp./28d)</t>
  </si>
  <si>
    <t xml:space="preserve">Factor usado</t>
  </si>
  <si>
    <t xml:space="preserve">Resist. 28 d (real o est.)</t>
  </si>
  <si>
    <t xml:space="preserve">Mín. 28 d (real o est.)</t>
  </si>
  <si>
    <t xml:space="preserve">Spec prom.</t>
  </si>
  <si>
    <t xml:space="preserve">Spec indiv.</t>
  </si>
  <si>
    <t xml:space="preserve">CUMPLE</t>
  </si>
  <si>
    <t xml:space="preserve">Absorción prom. (kg/m³)</t>
  </si>
  <si>
    <t xml:space="preserve">Densidad prom. (kg/m³)</t>
  </si>
  <si>
    <t xml:space="preserve">Absorción máx. (kg/m³)</t>
  </si>
  <si>
    <t xml:space="preserve">ALERTAS</t>
  </si>
  <si>
    <t xml:space="preserve">aux ctrl</t>
  </si>
  <si>
    <t xml:space="preserve">aux P²</t>
  </si>
  <si>
    <t xml:space="preserve">P1</t>
  </si>
  <si>
    <t xml:space="preserve">Block 8"</t>
  </si>
  <si>
    <t xml:space="preserve">P18121124</t>
  </si>
  <si>
    <t xml:space="preserve">P2</t>
  </si>
  <si>
    <t xml:space="preserve">Block 6"</t>
  </si>
  <si>
    <t xml:space="preserve">P28201224</t>
  </si>
  <si>
    <t xml:space="preserve">201224P1</t>
  </si>
  <si>
    <t xml:space="preserve">231224P1</t>
  </si>
  <si>
    <t xml:space="preserve">140125P1</t>
  </si>
  <si>
    <t xml:space="preserve">170125P1</t>
  </si>
  <si>
    <t xml:space="preserve">030225P2</t>
  </si>
  <si>
    <t xml:space="preserve">060225P1</t>
  </si>
  <si>
    <t xml:space="preserve">8100525B1</t>
  </si>
  <si>
    <t xml:space="preserve">8160525B1</t>
  </si>
  <si>
    <t xml:space="preserve">6210525B2</t>
  </si>
  <si>
    <t xml:space="preserve">8210525B1</t>
  </si>
  <si>
    <t xml:space="preserve">8220525B1</t>
  </si>
  <si>
    <t xml:space="preserve">8240525B1</t>
  </si>
  <si>
    <t xml:space="preserve">8290525B1</t>
  </si>
  <si>
    <t xml:space="preserve">8050625B2</t>
  </si>
  <si>
    <t xml:space="preserve">8070625B2</t>
  </si>
  <si>
    <t xml:space="preserve">P3</t>
  </si>
  <si>
    <t xml:space="preserve">6241025B3</t>
  </si>
  <si>
    <t xml:space="preserve">8101125B1</t>
  </si>
  <si>
    <t xml:space="preserve">REGISTRO DE ENSAYOS A COMPRESIÓN (una fila por probeta)</t>
  </si>
  <si>
    <t xml:space="preserve">Llena: Fecha rotura, Lote (lista), Cliente, Obra, Conduce, medidas, Peso, Carga, Condición y Tipo de falla. Si dejas medidas vacías se usan las nominales de CONFIG.</t>
  </si>
  <si>
    <t xml:space="preserve">Fecha rotura</t>
  </si>
  <si>
    <t xml:space="preserve">Edad (días)</t>
  </si>
  <si>
    <t xml:space="preserve">Cliente</t>
  </si>
  <si>
    <t xml:space="preserve">Obra</t>
  </si>
  <si>
    <t xml:space="preserve">Conduce / Factura</t>
  </si>
  <si>
    <t xml:space="preserve">Ancho (cm)</t>
  </si>
  <si>
    <t xml:space="preserve">Alto (cm)</t>
  </si>
  <si>
    <t xml:space="preserve">Largo (cm)</t>
  </si>
  <si>
    <t xml:space="preserve">Peso (kg)</t>
  </si>
  <si>
    <t xml:space="preserve">Carga (kg)</t>
  </si>
  <si>
    <t xml:space="preserve">Área bruta (cm²)</t>
  </si>
  <si>
    <t xml:space="preserve">Resistencia bruta (kg/cm²)</t>
  </si>
  <si>
    <t xml:space="preserve">Resistencia (MPa)</t>
  </si>
  <si>
    <t xml:space="preserve">Resistencia área neta (kg/cm²)</t>
  </si>
  <si>
    <t xml:space="preserve">Condición del bloque</t>
  </si>
  <si>
    <t xml:space="preserve">Tipo de falla</t>
  </si>
  <si>
    <t xml:space="preserve">Observaciones</t>
  </si>
  <si>
    <t xml:space="preserve">Realizado por</t>
  </si>
  <si>
    <t xml:space="preserve">aux R²</t>
  </si>
  <si>
    <t xml:space="preserve">aux cert.</t>
  </si>
  <si>
    <t xml:space="preserve">8160924P1</t>
  </si>
  <si>
    <t xml:space="preserve">EQUINOCCIO BAVARO SA</t>
  </si>
  <si>
    <t xml:space="preserve">LOPESAN CEIBA</t>
  </si>
  <si>
    <t xml:space="preserve">8161124P1</t>
  </si>
  <si>
    <t xml:space="preserve">1682</t>
  </si>
  <si>
    <t xml:space="preserve">8121124P1</t>
  </si>
  <si>
    <t xml:space="preserve">EQUINOCCIO BAVARO SA (CODELPA)</t>
  </si>
  <si>
    <t xml:space="preserve">1952</t>
  </si>
  <si>
    <t xml:space="preserve">6201224P2</t>
  </si>
  <si>
    <t xml:space="preserve">2020</t>
  </si>
  <si>
    <t xml:space="preserve">8201224P2</t>
  </si>
  <si>
    <t xml:space="preserve">2045</t>
  </si>
  <si>
    <t xml:space="preserve">2049</t>
  </si>
  <si>
    <t xml:space="preserve">8140125P1</t>
  </si>
  <si>
    <t xml:space="preserve">2058</t>
  </si>
  <si>
    <t xml:space="preserve">8170125P1</t>
  </si>
  <si>
    <t xml:space="preserve">2076</t>
  </si>
  <si>
    <t xml:space="preserve">8201224P1</t>
  </si>
  <si>
    <t xml:space="preserve">2082</t>
  </si>
  <si>
    <t xml:space="preserve">2085</t>
  </si>
  <si>
    <t xml:space="preserve">8231224P1</t>
  </si>
  <si>
    <t xml:space="preserve">2081</t>
  </si>
  <si>
    <t xml:space="preserve">6030225P2</t>
  </si>
  <si>
    <t xml:space="preserve">2160-2159</t>
  </si>
  <si>
    <t xml:space="preserve">Húmedo</t>
  </si>
  <si>
    <t xml:space="preserve">BLOQUES HUMEDOS AL MOMENTO DE REALIZAR LA PRUEBA</t>
  </si>
  <si>
    <t xml:space="preserve">8060225P1</t>
  </si>
  <si>
    <t xml:space="preserve">2186-2187</t>
  </si>
  <si>
    <t xml:space="preserve">8110225P1</t>
  </si>
  <si>
    <t xml:space="preserve">2207</t>
  </si>
  <si>
    <t xml:space="preserve">6120225P2</t>
  </si>
  <si>
    <t xml:space="preserve">2219</t>
  </si>
  <si>
    <t xml:space="preserve">8120225P1</t>
  </si>
  <si>
    <t xml:space="preserve">2218</t>
  </si>
  <si>
    <t xml:space="preserve">8180225P1</t>
  </si>
  <si>
    <t xml:space="preserve">2241-2242</t>
  </si>
  <si>
    <t xml:space="preserve">6210225P2</t>
  </si>
  <si>
    <t xml:space="preserve">2263</t>
  </si>
  <si>
    <t xml:space="preserve">8190225P1</t>
  </si>
  <si>
    <t xml:space="preserve">2266</t>
  </si>
  <si>
    <t xml:space="preserve">8240225P1</t>
  </si>
  <si>
    <t xml:space="preserve">2278</t>
  </si>
  <si>
    <t xml:space="preserve">8030325P1</t>
  </si>
  <si>
    <t xml:space="preserve">2307</t>
  </si>
  <si>
    <t xml:space="preserve">2312</t>
  </si>
  <si>
    <t xml:space="preserve">8070325P1</t>
  </si>
  <si>
    <t xml:space="preserve">2333-2334-2335</t>
  </si>
  <si>
    <t xml:space="preserve">6140325P2</t>
  </si>
  <si>
    <t xml:space="preserve">2348</t>
  </si>
  <si>
    <t xml:space="preserve">8140325P1</t>
  </si>
  <si>
    <t xml:space="preserve">2370</t>
  </si>
  <si>
    <t xml:space="preserve">6200325P2</t>
  </si>
  <si>
    <t xml:space="preserve">2393</t>
  </si>
  <si>
    <t xml:space="preserve">8200325P1</t>
  </si>
  <si>
    <t xml:space="preserve">8240325P1</t>
  </si>
  <si>
    <t xml:space="preserve">2412</t>
  </si>
  <si>
    <t xml:space="preserve">8270325P1</t>
  </si>
  <si>
    <t xml:space="preserve">2426</t>
  </si>
  <si>
    <t xml:space="preserve">6290325P2</t>
  </si>
  <si>
    <t xml:space="preserve">2437</t>
  </si>
  <si>
    <t xml:space="preserve">8020425P1</t>
  </si>
  <si>
    <t xml:space="preserve">2456</t>
  </si>
  <si>
    <t xml:space="preserve">8260425P1</t>
  </si>
  <si>
    <t xml:space="preserve">2538</t>
  </si>
  <si>
    <t xml:space="preserve">8280425P1</t>
  </si>
  <si>
    <t xml:space="preserve">2541</t>
  </si>
  <si>
    <t xml:space="preserve">8010525P1</t>
  </si>
  <si>
    <t xml:space="preserve">2549</t>
  </si>
  <si>
    <t xml:space="preserve">Hoja original: fecha de muestra 02/05/2025, distinta a la fecha del código de lote</t>
  </si>
  <si>
    <t xml:space="preserve">8100525P1</t>
  </si>
  <si>
    <t xml:space="preserve">2577</t>
  </si>
  <si>
    <t xml:space="preserve">Hoja original: fecha de muestra 08/05/2025, distinta a la fecha del código de lote</t>
  </si>
  <si>
    <t xml:space="preserve">8160525P1</t>
  </si>
  <si>
    <t xml:space="preserve">2618</t>
  </si>
  <si>
    <t xml:space="preserve">6210525P2</t>
  </si>
  <si>
    <t xml:space="preserve">2636</t>
  </si>
  <si>
    <t xml:space="preserve">8210525P1</t>
  </si>
  <si>
    <t xml:space="preserve">2638</t>
  </si>
  <si>
    <t xml:space="preserve">8220525P1</t>
  </si>
  <si>
    <t xml:space="preserve">2624</t>
  </si>
  <si>
    <t xml:space="preserve">8240525P1</t>
  </si>
  <si>
    <t xml:space="preserve">2646</t>
  </si>
  <si>
    <t xml:space="preserve">8290525P1</t>
  </si>
  <si>
    <t xml:space="preserve">2679</t>
  </si>
  <si>
    <t xml:space="preserve">8050625P2</t>
  </si>
  <si>
    <t xml:space="preserve">2704</t>
  </si>
  <si>
    <t xml:space="preserve">Hoja original: fecha de muestra 04/06/2025, distinta a la fecha del código de lote</t>
  </si>
  <si>
    <t xml:space="preserve">2705</t>
  </si>
  <si>
    <t xml:space="preserve">2713 - 2714</t>
  </si>
  <si>
    <t xml:space="preserve">8070625P2</t>
  </si>
  <si>
    <t xml:space="preserve">2716</t>
  </si>
  <si>
    <t xml:space="preserve">6241025P3</t>
  </si>
  <si>
    <t xml:space="preserve">3386-3399</t>
  </si>
  <si>
    <t xml:space="preserve">8101125P1</t>
  </si>
  <si>
    <t xml:space="preserve">FP00000020</t>
  </si>
  <si>
    <t xml:space="preserve">ABSORCIÓN Y DENSIDAD (ASTM C140) — una fila por bloque</t>
  </si>
  <si>
    <t xml:space="preserve">Pesa el bloque saturado (24 h en agua), sumergido (en balanza hidrostática) y seco (horno). La hoja calcula absorción, densidad y clase, y compara contra ASTM C90.</t>
  </si>
  <si>
    <t xml:space="preserve">Fecha ensayo</t>
  </si>
  <si>
    <t xml:space="preserve">Peso saturado Ws (kg)</t>
  </si>
  <si>
    <t xml:space="preserve">Peso sumergido Wi (kg)</t>
  </si>
  <si>
    <t xml:space="preserve">Peso seco Wd (kg)</t>
  </si>
  <si>
    <t xml:space="preserve">Absorción (kg/m³)</t>
  </si>
  <si>
    <t xml:space="preserve">Absorción (%)</t>
  </si>
  <si>
    <t xml:space="preserve">Densidad (kg/m³)</t>
  </si>
  <si>
    <t xml:space="preserve">Clase</t>
  </si>
  <si>
    <t xml:space="preserve">Resultado</t>
  </si>
  <si>
    <t xml:space="preserve">GRÁFICO DE CONTROL POR MÁQUINA</t>
  </si>
  <si>
    <t xml:space="preserve">Elige máquina y producto. Puntos fuera de los límites (±2σ) = algo cambió en ese lote: mezcla, cemento, vibración, curado.</t>
  </si>
  <si>
    <t xml:space="preserve">Máquina ▸</t>
  </si>
  <si>
    <t xml:space="preserve">TODAS</t>
  </si>
  <si>
    <t xml:space="preserve">Comparación de máquinas (producto elegido)</t>
  </si>
  <si>
    <t xml:space="preserve">Producto ▸</t>
  </si>
  <si>
    <t xml:space="preserve">N° lotes</t>
  </si>
  <si>
    <t xml:space="preserve">Promedio (kg/cm²)</t>
  </si>
  <si>
    <t xml:space="preserve">Mín. lote</t>
  </si>
  <si>
    <t xml:space="preserve">Máx. lote</t>
  </si>
  <si>
    <t xml:space="preserve">% NO CUMPLE</t>
  </si>
  <si>
    <t xml:space="preserve">CV prom. %</t>
  </si>
  <si>
    <t xml:space="preserve">Lotes en filtro</t>
  </si>
  <si>
    <t xml:space="preserve">Media de lotes (kg/cm²)</t>
  </si>
  <si>
    <t xml:space="preserve">σ entre lotes</t>
  </si>
  <si>
    <t xml:space="preserve">Límite superior (+2σ)</t>
  </si>
  <si>
    <t xml:space="preserve">Límite inferior (−2σ)</t>
  </si>
  <si>
    <t xml:space="preserve">Spec mín. promedio 28 d</t>
  </si>
  <si>
    <t xml:space="preserve">Lotes fuera de límites</t>
  </si>
  <si>
    <t xml:space="preserve">Datos del gráfico (no editar)</t>
  </si>
  <si>
    <t xml:space="preserve">#</t>
  </si>
  <si>
    <t xml:space="preserve">Fecha prod.</t>
  </si>
  <si>
    <t xml:space="preserve">Edad (d)</t>
  </si>
  <si>
    <t xml:space="preserve">Media</t>
  </si>
  <si>
    <t xml:space="preserve">LCS</t>
  </si>
  <si>
    <t xml:space="preserve">LCI</t>
  </si>
  <si>
    <t xml:space="preserve">Estado</t>
  </si>
  <si>
    <t xml:space="preserve">Lote</t>
  </si>
  <si>
    <t xml:space="preserve">Promedio lote</t>
  </si>
  <si>
    <t xml:space="preserve">LCS (+2σ)</t>
  </si>
  <si>
    <t xml:space="preserve">LCI (−2σ)</t>
  </si>
  <si>
    <t xml:space="preserve">Spec 28 d</t>
  </si>
  <si>
    <t xml:space="preserve">CURVA DE RESISTENCIA vs. EDAD</t>
  </si>
  <si>
    <t xml:space="preserve">Factor = resistencia a la edad ÷ resistencia a 28 días. Se usa para estimar los 28 días de lotes rotos antes. Cuando tengas lotes rotos a temprana edad Y a 28 d, la hoja usa TU factor automáticamente.</t>
  </si>
  <si>
    <t xml:space="preserve">Factor inicial (histórico general)</t>
  </si>
  <si>
    <t xml:space="preserve">Lotes con dato propio</t>
  </si>
  <si>
    <t xml:space="preserve">Factor propio (tus lotes)</t>
  </si>
  <si>
    <t xml:space="preserve">Fuente</t>
  </si>
  <si>
    <t xml:space="preserve">Cómo alimentar la curva:</t>
  </si>
  <si>
    <t xml:space="preserve">1. Elige algunos lotes al mes y rompe probetas del MISMO lote a temprana edad (2–7 d) y a 28 días.</t>
  </si>
  <si>
    <t xml:space="preserve">2. En LOTES, la col. W calcula el factor de ese lote (prom. temprano ÷ prom. 28 d).</t>
  </si>
  <si>
    <t xml:space="preserve">3. Aquí se promedia por edad. Con 2 o más lotes (CONFIG) se reemplaza el factor típico por el tuyo.</t>
  </si>
  <si>
    <t xml:space="preserve">4. El factor inicial sale de tu histórico 8" (promedio 28 d+ = 88 kg/cm² vs. 2 d = 68, 3 d = 75, 5 d = 83), pero de lotes DISTINTOS: úsalo solo como alerta interna, no para certificar.</t>
  </si>
  <si>
    <t xml:space="preserve">LOTE ▸</t>
  </si>
  <si>
    <t xml:space="preserve">← elige el lote</t>
  </si>
  <si>
    <t xml:space="preserve">CERTIFICADO N°</t>
  </si>
  <si>
    <t xml:space="preserve">FECHA ROTURA ▸</t>
  </si>
  <si>
    <t xml:space="preserve">← opcional: una fecha de rotura específica</t>
  </si>
  <si>
    <t xml:space="preserve">CLIENTE</t>
  </si>
  <si>
    <t xml:space="preserve">Fecha:</t>
  </si>
  <si>
    <t xml:space="preserve">PROCEDENCIA</t>
  </si>
  <si>
    <t xml:space="preserve">EQUIPO</t>
  </si>
  <si>
    <t xml:space="preserve">DIRECCIÓN OBRA</t>
  </si>
  <si>
    <t xml:space="preserve">MODELO</t>
  </si>
  <si>
    <t xml:space="preserve">ENCARGADO</t>
  </si>
  <si>
    <t xml:space="preserve">SERIAL</t>
  </si>
  <si>
    <t xml:space="preserve">CONDUCE / FACTURA</t>
  </si>
  <si>
    <t xml:space="preserve">ANCHO (cm)</t>
  </si>
  <si>
    <t xml:space="preserve">ALTO (cm)</t>
  </si>
  <si>
    <t xml:space="preserve">LARGO (cm)</t>
  </si>
  <si>
    <t xml:space="preserve">ÁREA (cm²)</t>
  </si>
  <si>
    <t xml:space="preserve">TIPO DE BLOQUE</t>
  </si>
  <si>
    <t xml:space="preserve">FECHA PRODUCCIÓN</t>
  </si>
  <si>
    <t xml:space="preserve">FECHA ROTURA</t>
  </si>
  <si>
    <t xml:space="preserve">EDAD (días)</t>
  </si>
  <si>
    <t xml:space="preserve">PESO (kg)</t>
  </si>
  <si>
    <t xml:space="preserve">CARGA (kg)</t>
  </si>
  <si>
    <t xml:space="preserve">RESISTENCIA (kg/cm²)</t>
  </si>
  <si>
    <t xml:space="preserve">RESIST. (MPa)</t>
  </si>
  <si>
    <t xml:space="preserve">OBSERVACIONES:</t>
  </si>
  <si>
    <t xml:space="preserve">ÁREA PROMEDIO (cm²)</t>
  </si>
  <si>
    <t xml:space="preserve">N° PROBETAS</t>
  </si>
  <si>
    <t xml:space="preserve">RESISTENCIA PROMEDIO (kg/cm²)</t>
  </si>
  <si>
    <t xml:space="preserve">RESISTENCIA PROMEDIO (MPa)</t>
  </si>
  <si>
    <t xml:space="preserve">RESISTENCIA MÍNIMA (kg/cm²)</t>
  </si>
  <si>
    <t xml:space="preserve">COEF. DE VARIACIÓN</t>
  </si>
  <si>
    <t xml:space="preserve">ABSORCIÓN DEL LOTE (kg/m³)</t>
  </si>
  <si>
    <t xml:space="preserve">DENSIDAD DEL LOTE (kg/m³)</t>
  </si>
  <si>
    <t xml:space="preserve">Resistencia calculada sobre área bruta (carga ÷ ancho × largo). Resultados válidos solo para las unidades ensayadas.</t>
  </si>
  <si>
    <t xml:space="preserve">CONFIGURACIÓN</t>
  </si>
  <si>
    <t xml:space="preserve">Celdas amarillas con texto azul = editables. Agrega máquinas, productos o listas en las filas vacías y aparecerán en los desplegables.</t>
  </si>
  <si>
    <t xml:space="preserve">Código máquina</t>
  </si>
  <si>
    <t xml:space="preserve">Descripción</t>
  </si>
  <si>
    <t xml:space="preserve">Código en lote</t>
  </si>
  <si>
    <t xml:space="preserve">Ancho nominal (cm)</t>
  </si>
  <si>
    <t xml:space="preserve">Alto nominal (cm)</t>
  </si>
  <si>
    <t xml:space="preserve">Largo nominal (cm)</t>
  </si>
  <si>
    <t xml:space="preserve">% área neta (opcional)</t>
  </si>
  <si>
    <t xml:space="preserve">Mín. promedio a 28 d (kg/cm² bruta)</t>
  </si>
  <si>
    <t xml:space="preserve">Mín. individual a 28 d (kg/cm² bruta)</t>
  </si>
  <si>
    <t xml:space="preserve">Clientes</t>
  </si>
  <si>
    <t xml:space="preserve">Obras / proyectos</t>
  </si>
  <si>
    <t xml:space="preserve">Diseños de mezcla</t>
  </si>
  <si>
    <t xml:space="preserve">Cemento (marca / tipo)</t>
  </si>
  <si>
    <t xml:space="preserve">Filtro máquinas (auto)</t>
  </si>
  <si>
    <t xml:space="preserve">Máquina de blocks 1</t>
  </si>
  <si>
    <t xml:space="preserve">Block 4"</t>
  </si>
  <si>
    <t xml:space="preserve">4</t>
  </si>
  <si>
    <t xml:space="preserve">Cónica</t>
  </si>
  <si>
    <t xml:space="preserve">Seco al aire</t>
  </si>
  <si>
    <t xml:space="preserve">Máquina de blocks 2</t>
  </si>
  <si>
    <t xml:space="preserve">6</t>
  </si>
  <si>
    <t xml:space="preserve">Cono y corte</t>
  </si>
  <si>
    <t xml:space="preserve">Máquina de blocks 3</t>
  </si>
  <si>
    <t xml:space="preserve">8</t>
  </si>
  <si>
    <t xml:space="preserve">CEMENTOS PROGRESO</t>
  </si>
  <si>
    <t xml:space="preserve">Corte / diagonal</t>
  </si>
  <si>
    <t xml:space="preserve">Saturado</t>
  </si>
  <si>
    <t xml:space="preserve">Adoquín</t>
  </si>
  <si>
    <t xml:space="preserve">AD</t>
  </si>
  <si>
    <t xml:space="preserve">Columnar / vertical</t>
  </si>
  <si>
    <t xml:space="preserve">Desprendimiento de cara</t>
  </si>
  <si>
    <t xml:space="preserve">Aplastamiento local</t>
  </si>
  <si>
    <t xml:space="preserve">Otra</t>
  </si>
  <si>
    <t xml:space="preserve">Datos del laboratorio (salen en el certificado)</t>
  </si>
  <si>
    <t xml:space="preserve">Absorción máxima por clase de densidad (ASTM C90)</t>
  </si>
  <si>
    <t xml:space="preserve">Equipo</t>
  </si>
  <si>
    <t xml:space="preserve">TEST MARK</t>
  </si>
  <si>
    <t xml:space="preserve">Densidad desde (kg/m³)</t>
  </si>
  <si>
    <t xml:space="preserve">Absorción máx. promedio (kg/m³)</t>
  </si>
  <si>
    <t xml:space="preserve">Modelo</t>
  </si>
  <si>
    <t xml:space="preserve">CM-2500-iD</t>
  </si>
  <si>
    <t xml:space="preserve">Liviano</t>
  </si>
  <si>
    <t xml:space="preserve">Serial</t>
  </si>
  <si>
    <t xml:space="preserve">220808</t>
  </si>
  <si>
    <t xml:space="preserve">Mediano</t>
  </si>
  <si>
    <t xml:space="preserve">Encargado</t>
  </si>
  <si>
    <t xml:space="preserve">ING. ALEXANDER ROCHELL</t>
  </si>
  <si>
    <t xml:space="preserve">Normal</t>
  </si>
  <si>
    <t xml:space="preserve">Norma de ensayo</t>
  </si>
  <si>
    <t xml:space="preserve">ASTM C140</t>
  </si>
  <si>
    <t xml:space="preserve">Valores de ASTM C90 (18 / 15 / 13 lb/ft³). Verifica contra la edición que uses.</t>
  </si>
  <si>
    <t xml:space="preserve">Parámetros de control</t>
  </si>
  <si>
    <t xml:space="preserve">CV máximo aceptable</t>
  </si>
  <si>
    <t xml:space="preserve">Mínimo de probetas por ensayo</t>
  </si>
  <si>
    <t xml:space="preserve">Edad que cuenta como "28 días" (desde, días)</t>
  </si>
  <si>
    <t xml:space="preserve">Lotes mínimos para usar tu propio factor de edad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</si>
</sst>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dd/mm/yyyy"/>
    <numFmt numFmtId="167" formatCode="0"/>
    <numFmt numFmtId="168" formatCode="0.0"/>
    <numFmt numFmtId="169" formatCode="0.0%"/>
    <numFmt numFmtId="170" formatCode="0.00"/>
    <numFmt numFmtId="171" formatCode="#,##0"/>
    <numFmt numFmtId="172" formatCode="0.0#"/>
    <numFmt numFmtId="173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9C0006"/>
      <name val="Arial"/>
      <family val="0"/>
      <charset val="1"/>
    </font>
    <font>
      <sz val="8"/>
      <color rgb="FFA6A6A6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FFF9DB"/>
        <bgColor rgb="FFFFFFFF"/>
      </patternFill>
    </fill>
    <fill>
      <patternFill patternType="solid">
        <fgColor rgb="FFDDEB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F7F7F"/>
      <rgbColor rgb="FFA6A6A6"/>
      <rgbColor rgb="FFBE4B48"/>
      <rgbColor rgb="FFFFF9DB"/>
      <rgbColor rgb="FFDDEBF7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Resistencia promedio por lote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CONTROL!AG16</c:f>
              <c:strCache>
                <c:ptCount val="1"/>
                <c:pt idx="0">
                  <c:v>Promedio lote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CONTROL!$AF$17:$AF$46</c:f>
              <c:strCache>
                <c:ptCount val="30"/>
                <c:pt idx="0">
                  <c:v>8201224P1</c:v>
                </c:pt>
                <c:pt idx="1">
                  <c:v>8201224P2</c:v>
                </c:pt>
                <c:pt idx="2">
                  <c:v>8231224P1</c:v>
                </c:pt>
                <c:pt idx="3">
                  <c:v>8140125P1</c:v>
                </c:pt>
                <c:pt idx="4">
                  <c:v>8170125P1</c:v>
                </c:pt>
                <c:pt idx="5">
                  <c:v>8060225P1</c:v>
                </c:pt>
                <c:pt idx="6">
                  <c:v>8110225P1</c:v>
                </c:pt>
                <c:pt idx="7">
                  <c:v>8120225P1</c:v>
                </c:pt>
                <c:pt idx="8">
                  <c:v>8180225P1</c:v>
                </c:pt>
                <c:pt idx="9">
                  <c:v>8190225P1</c:v>
                </c:pt>
                <c:pt idx="10">
                  <c:v>8240225P1</c:v>
                </c:pt>
                <c:pt idx="11">
                  <c:v>8030325P1</c:v>
                </c:pt>
                <c:pt idx="12">
                  <c:v>8070325P1</c:v>
                </c:pt>
                <c:pt idx="13">
                  <c:v>8140325P1</c:v>
                </c:pt>
                <c:pt idx="14">
                  <c:v>8200325P1</c:v>
                </c:pt>
                <c:pt idx="15">
                  <c:v>8240325P1</c:v>
                </c:pt>
                <c:pt idx="16">
                  <c:v>8270325P1</c:v>
                </c:pt>
                <c:pt idx="17">
                  <c:v>8020425P1</c:v>
                </c:pt>
                <c:pt idx="18">
                  <c:v>8260425P1</c:v>
                </c:pt>
                <c:pt idx="19">
                  <c:v>8280425P1</c:v>
                </c:pt>
                <c:pt idx="20">
                  <c:v>8010525P1</c:v>
                </c:pt>
                <c:pt idx="21">
                  <c:v>8100525P1</c:v>
                </c:pt>
                <c:pt idx="22">
                  <c:v>8160525P1</c:v>
                </c:pt>
                <c:pt idx="23">
                  <c:v>8210525P1</c:v>
                </c:pt>
                <c:pt idx="24">
                  <c:v>8220525P1</c:v>
                </c:pt>
                <c:pt idx="25">
                  <c:v>8240525P1</c:v>
                </c:pt>
                <c:pt idx="26">
                  <c:v>8290525P1</c:v>
                </c:pt>
                <c:pt idx="27">
                  <c:v>8050625P2</c:v>
                </c:pt>
                <c:pt idx="28">
                  <c:v>8070625P2</c:v>
                </c:pt>
                <c:pt idx="29">
                  <c:v>8101125P1</c:v>
                </c:pt>
              </c:strCache>
            </c:strRef>
          </c:cat>
          <c:val>
            <c:numRef>
              <c:f>CONTROL!$AG$17:$AG$46</c:f>
              <c:numCache>
                <c:formatCode>0.0</c:formatCode>
                <c:ptCount val="30"/>
                <c:pt idx="0">
                  <c:v>85.0364600238018</c:v>
                </c:pt>
                <c:pt idx="1">
                  <c:v>104.07652886745</c:v>
                </c:pt>
                <c:pt idx="2">
                  <c:v>80.4219409282701</c:v>
                </c:pt>
                <c:pt idx="3">
                  <c:v>89.9051584237093</c:v>
                </c:pt>
                <c:pt idx="4">
                  <c:v>98.5167556435998</c:v>
                </c:pt>
                <c:pt idx="5">
                  <c:v>87.7643622200584</c:v>
                </c:pt>
                <c:pt idx="6">
                  <c:v>64.297306069458</c:v>
                </c:pt>
                <c:pt idx="7">
                  <c:v>76.2227848101266</c:v>
                </c:pt>
                <c:pt idx="8">
                  <c:v>71.2638753651412</c:v>
                </c:pt>
                <c:pt idx="9">
                  <c:v>77.5014605647517</c:v>
                </c:pt>
                <c:pt idx="10">
                  <c:v>76.7786432976306</c:v>
                </c:pt>
                <c:pt idx="11">
                  <c:v>79.0900681596884</c:v>
                </c:pt>
                <c:pt idx="12">
                  <c:v>74.4195066536839</c:v>
                </c:pt>
                <c:pt idx="13">
                  <c:v>75.5540408958131</c:v>
                </c:pt>
                <c:pt idx="14">
                  <c:v>70.7851346965271</c:v>
                </c:pt>
                <c:pt idx="15">
                  <c:v>69.8503732554366</c:v>
                </c:pt>
                <c:pt idx="16">
                  <c:v>69.1496267445635</c:v>
                </c:pt>
                <c:pt idx="17">
                  <c:v>70.6751054852321</c:v>
                </c:pt>
                <c:pt idx="18">
                  <c:v>69.704641350211</c:v>
                </c:pt>
                <c:pt idx="19">
                  <c:v>69.154170723791</c:v>
                </c:pt>
                <c:pt idx="20">
                  <c:v>72.6270691333983</c:v>
                </c:pt>
                <c:pt idx="21">
                  <c:v>63.8302499188575</c:v>
                </c:pt>
                <c:pt idx="22">
                  <c:v>70.6751054852321</c:v>
                </c:pt>
                <c:pt idx="23">
                  <c:v>67.1606621226874</c:v>
                </c:pt>
                <c:pt idx="24">
                  <c:v>67.9529373580007</c:v>
                </c:pt>
                <c:pt idx="25">
                  <c:v>72.7017202207076</c:v>
                </c:pt>
                <c:pt idx="26">
                  <c:v>73.2736124634859</c:v>
                </c:pt>
                <c:pt idx="27">
                  <c:v>62.6958779617007</c:v>
                </c:pt>
                <c:pt idx="28">
                  <c:v>68.6553067185979</c:v>
                </c:pt>
                <c:pt idx="29">
                  <c:v>79.559558584875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CONTROL!AH16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7f7f7f"/>
            </a:solidFill>
            <a:ln w="1512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CONTROL!$AF$17:$AF$46</c:f>
              <c:strCache>
                <c:ptCount val="30"/>
                <c:pt idx="0">
                  <c:v>8201224P1</c:v>
                </c:pt>
                <c:pt idx="1">
                  <c:v>8201224P2</c:v>
                </c:pt>
                <c:pt idx="2">
                  <c:v>8231224P1</c:v>
                </c:pt>
                <c:pt idx="3">
                  <c:v>8140125P1</c:v>
                </c:pt>
                <c:pt idx="4">
                  <c:v>8170125P1</c:v>
                </c:pt>
                <c:pt idx="5">
                  <c:v>8060225P1</c:v>
                </c:pt>
                <c:pt idx="6">
                  <c:v>8110225P1</c:v>
                </c:pt>
                <c:pt idx="7">
                  <c:v>8120225P1</c:v>
                </c:pt>
                <c:pt idx="8">
                  <c:v>8180225P1</c:v>
                </c:pt>
                <c:pt idx="9">
                  <c:v>8190225P1</c:v>
                </c:pt>
                <c:pt idx="10">
                  <c:v>8240225P1</c:v>
                </c:pt>
                <c:pt idx="11">
                  <c:v>8030325P1</c:v>
                </c:pt>
                <c:pt idx="12">
                  <c:v>8070325P1</c:v>
                </c:pt>
                <c:pt idx="13">
                  <c:v>8140325P1</c:v>
                </c:pt>
                <c:pt idx="14">
                  <c:v>8200325P1</c:v>
                </c:pt>
                <c:pt idx="15">
                  <c:v>8240325P1</c:v>
                </c:pt>
                <c:pt idx="16">
                  <c:v>8270325P1</c:v>
                </c:pt>
                <c:pt idx="17">
                  <c:v>8020425P1</c:v>
                </c:pt>
                <c:pt idx="18">
                  <c:v>8260425P1</c:v>
                </c:pt>
                <c:pt idx="19">
                  <c:v>8280425P1</c:v>
                </c:pt>
                <c:pt idx="20">
                  <c:v>8010525P1</c:v>
                </c:pt>
                <c:pt idx="21">
                  <c:v>8100525P1</c:v>
                </c:pt>
                <c:pt idx="22">
                  <c:v>8160525P1</c:v>
                </c:pt>
                <c:pt idx="23">
                  <c:v>8210525P1</c:v>
                </c:pt>
                <c:pt idx="24">
                  <c:v>8220525P1</c:v>
                </c:pt>
                <c:pt idx="25">
                  <c:v>8240525P1</c:v>
                </c:pt>
                <c:pt idx="26">
                  <c:v>8290525P1</c:v>
                </c:pt>
                <c:pt idx="27">
                  <c:v>8050625P2</c:v>
                </c:pt>
                <c:pt idx="28">
                  <c:v>8070625P2</c:v>
                </c:pt>
                <c:pt idx="29">
                  <c:v>8101125P1</c:v>
                </c:pt>
              </c:strCache>
            </c:strRef>
          </c:cat>
          <c:val>
            <c:numRef>
              <c:f>CONTROL!$AH$17:$AH$46</c:f>
              <c:numCache>
                <c:formatCode>0.0</c:formatCode>
                <c:ptCount val="30"/>
                <c:pt idx="0">
                  <c:v>75.7981093613235</c:v>
                </c:pt>
                <c:pt idx="1">
                  <c:v>75.7981093613235</c:v>
                </c:pt>
                <c:pt idx="2">
                  <c:v>75.7981093613235</c:v>
                </c:pt>
                <c:pt idx="3">
                  <c:v>75.7981093613235</c:v>
                </c:pt>
                <c:pt idx="4">
                  <c:v>75.7981093613235</c:v>
                </c:pt>
                <c:pt idx="5">
                  <c:v>75.7981093613235</c:v>
                </c:pt>
                <c:pt idx="6">
                  <c:v>75.7981093613235</c:v>
                </c:pt>
                <c:pt idx="7">
                  <c:v>75.7981093613235</c:v>
                </c:pt>
                <c:pt idx="8">
                  <c:v>75.7981093613235</c:v>
                </c:pt>
                <c:pt idx="9">
                  <c:v>75.7981093613235</c:v>
                </c:pt>
                <c:pt idx="10">
                  <c:v>75.7981093613235</c:v>
                </c:pt>
                <c:pt idx="11">
                  <c:v>75.7981093613235</c:v>
                </c:pt>
                <c:pt idx="12">
                  <c:v>75.7981093613235</c:v>
                </c:pt>
                <c:pt idx="13">
                  <c:v>75.7981093613235</c:v>
                </c:pt>
                <c:pt idx="14">
                  <c:v>75.7981093613235</c:v>
                </c:pt>
                <c:pt idx="15">
                  <c:v>75.7981093613235</c:v>
                </c:pt>
                <c:pt idx="16">
                  <c:v>75.7981093613235</c:v>
                </c:pt>
                <c:pt idx="17">
                  <c:v>75.7981093613235</c:v>
                </c:pt>
                <c:pt idx="18">
                  <c:v>75.7981093613235</c:v>
                </c:pt>
                <c:pt idx="19">
                  <c:v>75.7981093613235</c:v>
                </c:pt>
                <c:pt idx="20">
                  <c:v>75.7981093613235</c:v>
                </c:pt>
                <c:pt idx="21">
                  <c:v>75.7981093613235</c:v>
                </c:pt>
                <c:pt idx="22">
                  <c:v>75.7981093613235</c:v>
                </c:pt>
                <c:pt idx="23">
                  <c:v>75.7981093613235</c:v>
                </c:pt>
                <c:pt idx="24">
                  <c:v>75.7981093613235</c:v>
                </c:pt>
                <c:pt idx="25">
                  <c:v>75.7981093613235</c:v>
                </c:pt>
                <c:pt idx="26">
                  <c:v>75.7981093613235</c:v>
                </c:pt>
                <c:pt idx="27">
                  <c:v>75.7981093613235</c:v>
                </c:pt>
                <c:pt idx="28">
                  <c:v>75.7981093613235</c:v>
                </c:pt>
                <c:pt idx="29">
                  <c:v>75.7981093613235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CONTROL!AI16</c:f>
              <c:strCache>
                <c:ptCount val="1"/>
                <c:pt idx="0">
                  <c:v>LCS (+2σ)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CONTROL!$AF$17:$AF$46</c:f>
              <c:strCache>
                <c:ptCount val="30"/>
                <c:pt idx="0">
                  <c:v>8201224P1</c:v>
                </c:pt>
                <c:pt idx="1">
                  <c:v>8201224P2</c:v>
                </c:pt>
                <c:pt idx="2">
                  <c:v>8231224P1</c:v>
                </c:pt>
                <c:pt idx="3">
                  <c:v>8140125P1</c:v>
                </c:pt>
                <c:pt idx="4">
                  <c:v>8170125P1</c:v>
                </c:pt>
                <c:pt idx="5">
                  <c:v>8060225P1</c:v>
                </c:pt>
                <c:pt idx="6">
                  <c:v>8110225P1</c:v>
                </c:pt>
                <c:pt idx="7">
                  <c:v>8120225P1</c:v>
                </c:pt>
                <c:pt idx="8">
                  <c:v>8180225P1</c:v>
                </c:pt>
                <c:pt idx="9">
                  <c:v>8190225P1</c:v>
                </c:pt>
                <c:pt idx="10">
                  <c:v>8240225P1</c:v>
                </c:pt>
                <c:pt idx="11">
                  <c:v>8030325P1</c:v>
                </c:pt>
                <c:pt idx="12">
                  <c:v>8070325P1</c:v>
                </c:pt>
                <c:pt idx="13">
                  <c:v>8140325P1</c:v>
                </c:pt>
                <c:pt idx="14">
                  <c:v>8200325P1</c:v>
                </c:pt>
                <c:pt idx="15">
                  <c:v>8240325P1</c:v>
                </c:pt>
                <c:pt idx="16">
                  <c:v>8270325P1</c:v>
                </c:pt>
                <c:pt idx="17">
                  <c:v>8020425P1</c:v>
                </c:pt>
                <c:pt idx="18">
                  <c:v>8260425P1</c:v>
                </c:pt>
                <c:pt idx="19">
                  <c:v>8280425P1</c:v>
                </c:pt>
                <c:pt idx="20">
                  <c:v>8010525P1</c:v>
                </c:pt>
                <c:pt idx="21">
                  <c:v>8100525P1</c:v>
                </c:pt>
                <c:pt idx="22">
                  <c:v>8160525P1</c:v>
                </c:pt>
                <c:pt idx="23">
                  <c:v>8210525P1</c:v>
                </c:pt>
                <c:pt idx="24">
                  <c:v>8220525P1</c:v>
                </c:pt>
                <c:pt idx="25">
                  <c:v>8240525P1</c:v>
                </c:pt>
                <c:pt idx="26">
                  <c:v>8290525P1</c:v>
                </c:pt>
                <c:pt idx="27">
                  <c:v>8050625P2</c:v>
                </c:pt>
                <c:pt idx="28">
                  <c:v>8070625P2</c:v>
                </c:pt>
                <c:pt idx="29">
                  <c:v>8101125P1</c:v>
                </c:pt>
              </c:strCache>
            </c:strRef>
          </c:cat>
          <c:val>
            <c:numRef>
              <c:f>CONTROL!$AI$17:$AI$46</c:f>
              <c:numCache>
                <c:formatCode>0.0</c:formatCode>
                <c:ptCount val="30"/>
                <c:pt idx="0">
                  <c:v>94.5514342262995</c:v>
                </c:pt>
                <c:pt idx="1">
                  <c:v>94.5514342262995</c:v>
                </c:pt>
                <c:pt idx="2">
                  <c:v>94.5514342262995</c:v>
                </c:pt>
                <c:pt idx="3">
                  <c:v>94.5514342262995</c:v>
                </c:pt>
                <c:pt idx="4">
                  <c:v>94.5514342262995</c:v>
                </c:pt>
                <c:pt idx="5">
                  <c:v>94.5514342262995</c:v>
                </c:pt>
                <c:pt idx="6">
                  <c:v>94.5514342262995</c:v>
                </c:pt>
                <c:pt idx="7">
                  <c:v>94.5514342262995</c:v>
                </c:pt>
                <c:pt idx="8">
                  <c:v>94.5514342262995</c:v>
                </c:pt>
                <c:pt idx="9">
                  <c:v>94.5514342262995</c:v>
                </c:pt>
                <c:pt idx="10">
                  <c:v>94.5514342262995</c:v>
                </c:pt>
                <c:pt idx="11">
                  <c:v>94.5514342262995</c:v>
                </c:pt>
                <c:pt idx="12">
                  <c:v>94.5514342262995</c:v>
                </c:pt>
                <c:pt idx="13">
                  <c:v>94.5514342262995</c:v>
                </c:pt>
                <c:pt idx="14">
                  <c:v>94.5514342262995</c:v>
                </c:pt>
                <c:pt idx="15">
                  <c:v>94.5514342262995</c:v>
                </c:pt>
                <c:pt idx="16">
                  <c:v>94.5514342262995</c:v>
                </c:pt>
                <c:pt idx="17">
                  <c:v>94.5514342262995</c:v>
                </c:pt>
                <c:pt idx="18">
                  <c:v>94.5514342262995</c:v>
                </c:pt>
                <c:pt idx="19">
                  <c:v>94.5514342262995</c:v>
                </c:pt>
                <c:pt idx="20">
                  <c:v>94.5514342262995</c:v>
                </c:pt>
                <c:pt idx="21">
                  <c:v>94.5514342262995</c:v>
                </c:pt>
                <c:pt idx="22">
                  <c:v>94.5514342262995</c:v>
                </c:pt>
                <c:pt idx="23">
                  <c:v>94.5514342262995</c:v>
                </c:pt>
                <c:pt idx="24">
                  <c:v>94.5514342262995</c:v>
                </c:pt>
                <c:pt idx="25">
                  <c:v>94.5514342262995</c:v>
                </c:pt>
                <c:pt idx="26">
                  <c:v>94.5514342262995</c:v>
                </c:pt>
                <c:pt idx="27">
                  <c:v>94.5514342262995</c:v>
                </c:pt>
                <c:pt idx="28">
                  <c:v>94.5514342262995</c:v>
                </c:pt>
                <c:pt idx="29">
                  <c:v>94.5514342262995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CONTROL!AJ16</c:f>
              <c:strCache>
                <c:ptCount val="1"/>
                <c:pt idx="0">
                  <c:v>LCI (−2σ)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CONTROL!$AF$17:$AF$46</c:f>
              <c:strCache>
                <c:ptCount val="30"/>
                <c:pt idx="0">
                  <c:v>8201224P1</c:v>
                </c:pt>
                <c:pt idx="1">
                  <c:v>8201224P2</c:v>
                </c:pt>
                <c:pt idx="2">
                  <c:v>8231224P1</c:v>
                </c:pt>
                <c:pt idx="3">
                  <c:v>8140125P1</c:v>
                </c:pt>
                <c:pt idx="4">
                  <c:v>8170125P1</c:v>
                </c:pt>
                <c:pt idx="5">
                  <c:v>8060225P1</c:v>
                </c:pt>
                <c:pt idx="6">
                  <c:v>8110225P1</c:v>
                </c:pt>
                <c:pt idx="7">
                  <c:v>8120225P1</c:v>
                </c:pt>
                <c:pt idx="8">
                  <c:v>8180225P1</c:v>
                </c:pt>
                <c:pt idx="9">
                  <c:v>8190225P1</c:v>
                </c:pt>
                <c:pt idx="10">
                  <c:v>8240225P1</c:v>
                </c:pt>
                <c:pt idx="11">
                  <c:v>8030325P1</c:v>
                </c:pt>
                <c:pt idx="12">
                  <c:v>8070325P1</c:v>
                </c:pt>
                <c:pt idx="13">
                  <c:v>8140325P1</c:v>
                </c:pt>
                <c:pt idx="14">
                  <c:v>8200325P1</c:v>
                </c:pt>
                <c:pt idx="15">
                  <c:v>8240325P1</c:v>
                </c:pt>
                <c:pt idx="16">
                  <c:v>8270325P1</c:v>
                </c:pt>
                <c:pt idx="17">
                  <c:v>8020425P1</c:v>
                </c:pt>
                <c:pt idx="18">
                  <c:v>8260425P1</c:v>
                </c:pt>
                <c:pt idx="19">
                  <c:v>8280425P1</c:v>
                </c:pt>
                <c:pt idx="20">
                  <c:v>8010525P1</c:v>
                </c:pt>
                <c:pt idx="21">
                  <c:v>8100525P1</c:v>
                </c:pt>
                <c:pt idx="22">
                  <c:v>8160525P1</c:v>
                </c:pt>
                <c:pt idx="23">
                  <c:v>8210525P1</c:v>
                </c:pt>
                <c:pt idx="24">
                  <c:v>8220525P1</c:v>
                </c:pt>
                <c:pt idx="25">
                  <c:v>8240525P1</c:v>
                </c:pt>
                <c:pt idx="26">
                  <c:v>8290525P1</c:v>
                </c:pt>
                <c:pt idx="27">
                  <c:v>8050625P2</c:v>
                </c:pt>
                <c:pt idx="28">
                  <c:v>8070625P2</c:v>
                </c:pt>
                <c:pt idx="29">
                  <c:v>8101125P1</c:v>
                </c:pt>
              </c:strCache>
            </c:strRef>
          </c:cat>
          <c:val>
            <c:numRef>
              <c:f>CONTROL!$AJ$17:$AJ$46</c:f>
              <c:numCache>
                <c:formatCode>0.0</c:formatCode>
                <c:ptCount val="30"/>
                <c:pt idx="0">
                  <c:v>57.0447844963474</c:v>
                </c:pt>
                <c:pt idx="1">
                  <c:v>57.0447844963474</c:v>
                </c:pt>
                <c:pt idx="2">
                  <c:v>57.0447844963474</c:v>
                </c:pt>
                <c:pt idx="3">
                  <c:v>57.0447844963474</c:v>
                </c:pt>
                <c:pt idx="4">
                  <c:v>57.0447844963474</c:v>
                </c:pt>
                <c:pt idx="5">
                  <c:v>57.0447844963474</c:v>
                </c:pt>
                <c:pt idx="6">
                  <c:v>57.0447844963474</c:v>
                </c:pt>
                <c:pt idx="7">
                  <c:v>57.0447844963474</c:v>
                </c:pt>
                <c:pt idx="8">
                  <c:v>57.0447844963474</c:v>
                </c:pt>
                <c:pt idx="9">
                  <c:v>57.0447844963474</c:v>
                </c:pt>
                <c:pt idx="10">
                  <c:v>57.0447844963474</c:v>
                </c:pt>
                <c:pt idx="11">
                  <c:v>57.0447844963474</c:v>
                </c:pt>
                <c:pt idx="12">
                  <c:v>57.0447844963474</c:v>
                </c:pt>
                <c:pt idx="13">
                  <c:v>57.0447844963474</c:v>
                </c:pt>
                <c:pt idx="14">
                  <c:v>57.0447844963474</c:v>
                </c:pt>
                <c:pt idx="15">
                  <c:v>57.0447844963474</c:v>
                </c:pt>
                <c:pt idx="16">
                  <c:v>57.0447844963474</c:v>
                </c:pt>
                <c:pt idx="17">
                  <c:v>57.0447844963474</c:v>
                </c:pt>
                <c:pt idx="18">
                  <c:v>57.0447844963474</c:v>
                </c:pt>
                <c:pt idx="19">
                  <c:v>57.0447844963474</c:v>
                </c:pt>
                <c:pt idx="20">
                  <c:v>57.0447844963474</c:v>
                </c:pt>
                <c:pt idx="21">
                  <c:v>57.0447844963474</c:v>
                </c:pt>
                <c:pt idx="22">
                  <c:v>57.0447844963474</c:v>
                </c:pt>
                <c:pt idx="23">
                  <c:v>57.0447844963474</c:v>
                </c:pt>
                <c:pt idx="24">
                  <c:v>57.0447844963474</c:v>
                </c:pt>
                <c:pt idx="25">
                  <c:v>57.0447844963474</c:v>
                </c:pt>
                <c:pt idx="26">
                  <c:v>57.0447844963474</c:v>
                </c:pt>
                <c:pt idx="27">
                  <c:v>57.0447844963474</c:v>
                </c:pt>
                <c:pt idx="28">
                  <c:v>57.0447844963474</c:v>
                </c:pt>
                <c:pt idx="29">
                  <c:v>57.0447844963474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CONTROL!AK16</c:f>
              <c:strCache>
                <c:ptCount val="1"/>
                <c:pt idx="0">
                  <c:v>Spec 28 d</c:v>
                </c:pt>
              </c:strCache>
            </c:strRef>
          </c:tx>
          <c:spPr>
            <a:solidFill>
              <a:srgbClr val="548235"/>
            </a:solidFill>
            <a:ln w="15120">
              <a:solidFill>
                <a:srgbClr val="548235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CONTROL!$AF$17:$AF$46</c:f>
              <c:strCache>
                <c:ptCount val="30"/>
                <c:pt idx="0">
                  <c:v>8201224P1</c:v>
                </c:pt>
                <c:pt idx="1">
                  <c:v>8201224P2</c:v>
                </c:pt>
                <c:pt idx="2">
                  <c:v>8231224P1</c:v>
                </c:pt>
                <c:pt idx="3">
                  <c:v>8140125P1</c:v>
                </c:pt>
                <c:pt idx="4">
                  <c:v>8170125P1</c:v>
                </c:pt>
                <c:pt idx="5">
                  <c:v>8060225P1</c:v>
                </c:pt>
                <c:pt idx="6">
                  <c:v>8110225P1</c:v>
                </c:pt>
                <c:pt idx="7">
                  <c:v>8120225P1</c:v>
                </c:pt>
                <c:pt idx="8">
                  <c:v>8180225P1</c:v>
                </c:pt>
                <c:pt idx="9">
                  <c:v>8190225P1</c:v>
                </c:pt>
                <c:pt idx="10">
                  <c:v>8240225P1</c:v>
                </c:pt>
                <c:pt idx="11">
                  <c:v>8030325P1</c:v>
                </c:pt>
                <c:pt idx="12">
                  <c:v>8070325P1</c:v>
                </c:pt>
                <c:pt idx="13">
                  <c:v>8140325P1</c:v>
                </c:pt>
                <c:pt idx="14">
                  <c:v>8200325P1</c:v>
                </c:pt>
                <c:pt idx="15">
                  <c:v>8240325P1</c:v>
                </c:pt>
                <c:pt idx="16">
                  <c:v>8270325P1</c:v>
                </c:pt>
                <c:pt idx="17">
                  <c:v>8020425P1</c:v>
                </c:pt>
                <c:pt idx="18">
                  <c:v>8260425P1</c:v>
                </c:pt>
                <c:pt idx="19">
                  <c:v>8280425P1</c:v>
                </c:pt>
                <c:pt idx="20">
                  <c:v>8010525P1</c:v>
                </c:pt>
                <c:pt idx="21">
                  <c:v>8100525P1</c:v>
                </c:pt>
                <c:pt idx="22">
                  <c:v>8160525P1</c:v>
                </c:pt>
                <c:pt idx="23">
                  <c:v>8210525P1</c:v>
                </c:pt>
                <c:pt idx="24">
                  <c:v>8220525P1</c:v>
                </c:pt>
                <c:pt idx="25">
                  <c:v>8240525P1</c:v>
                </c:pt>
                <c:pt idx="26">
                  <c:v>8290525P1</c:v>
                </c:pt>
                <c:pt idx="27">
                  <c:v>8050625P2</c:v>
                </c:pt>
                <c:pt idx="28">
                  <c:v>8070625P2</c:v>
                </c:pt>
                <c:pt idx="29">
                  <c:v>8101125P1</c:v>
                </c:pt>
              </c:strCache>
            </c:strRef>
          </c:cat>
          <c:val>
            <c:numRef>
              <c:f>CONTROL!$AK$17:$AK$46</c:f>
              <c:numCache>
                <c:formatCode>General</c:formatCode>
                <c:ptCount val="3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127406"/>
        <c:axId val="32167296"/>
      </c:lineChart>
      <c:catAx>
        <c:axId val="101274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67296"/>
        <c:crosses val="autoZero"/>
        <c:auto val="1"/>
        <c:lblAlgn val="ctr"/>
        <c:lblOffset val="100"/>
        <c:noMultiLvlLbl val="0"/>
      </c:catAx>
      <c:valAx>
        <c:axId val="32167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kg/cm² (área bruta)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274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Factor de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'CURVA EDAD'!B4</c:f>
              <c:strCache>
                <c:ptCount val="1"/>
                <c:pt idx="0">
                  <c:v>Factor inicial (histórico general)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EDAD'!$A$5:$A$32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'CURVA EDAD'!$B$5:$B$32</c:f>
              <c:numCache>
                <c:formatCode>0.00</c:formatCode>
                <c:ptCount val="28"/>
                <c:pt idx="0">
                  <c:v>0.7</c:v>
                </c:pt>
                <c:pt idx="1">
                  <c:v>0.77</c:v>
                </c:pt>
                <c:pt idx="2">
                  <c:v>0.84</c:v>
                </c:pt>
                <c:pt idx="3">
                  <c:v>0.87</c:v>
                </c:pt>
                <c:pt idx="4">
                  <c:v>0.89</c:v>
                </c:pt>
                <c:pt idx="5">
                  <c:v>0.9</c:v>
                </c:pt>
                <c:pt idx="6">
                  <c:v>0.91</c:v>
                </c:pt>
                <c:pt idx="7">
                  <c:v>0.917</c:v>
                </c:pt>
                <c:pt idx="8">
                  <c:v>0.924</c:v>
                </c:pt>
                <c:pt idx="9">
                  <c:v>0.931</c:v>
                </c:pt>
                <c:pt idx="10">
                  <c:v>0.939</c:v>
                </c:pt>
                <c:pt idx="11">
                  <c:v>0.946</c:v>
                </c:pt>
                <c:pt idx="12">
                  <c:v>0.953</c:v>
                </c:pt>
                <c:pt idx="13">
                  <c:v>0.96</c:v>
                </c:pt>
                <c:pt idx="14">
                  <c:v>0.963</c:v>
                </c:pt>
                <c:pt idx="15">
                  <c:v>0.966</c:v>
                </c:pt>
                <c:pt idx="16">
                  <c:v>0.969</c:v>
                </c:pt>
                <c:pt idx="17">
                  <c:v>0.971</c:v>
                </c:pt>
                <c:pt idx="18">
                  <c:v>0.974</c:v>
                </c:pt>
                <c:pt idx="19">
                  <c:v>0.977</c:v>
                </c:pt>
                <c:pt idx="20">
                  <c:v>0.98</c:v>
                </c:pt>
                <c:pt idx="21">
                  <c:v>0.983</c:v>
                </c:pt>
                <c:pt idx="22">
                  <c:v>0.986</c:v>
                </c:pt>
                <c:pt idx="23">
                  <c:v>0.989</c:v>
                </c:pt>
                <c:pt idx="24">
                  <c:v>0.991</c:v>
                </c:pt>
                <c:pt idx="25">
                  <c:v>0.994</c:v>
                </c:pt>
                <c:pt idx="26">
                  <c:v>0.997</c:v>
                </c:pt>
                <c:pt idx="27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'CURVA EDAD'!E4</c:f>
              <c:strCache>
                <c:ptCount val="1"/>
                <c:pt idx="0">
                  <c:v>Factor usado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EDAD'!$A$5:$A$32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'CURVA EDAD'!$E$5:$E$32</c:f>
              <c:numCache>
                <c:formatCode>0.00</c:formatCode>
                <c:ptCount val="28"/>
                <c:pt idx="0">
                  <c:v>0.7</c:v>
                </c:pt>
                <c:pt idx="1">
                  <c:v>0.77</c:v>
                </c:pt>
                <c:pt idx="2">
                  <c:v>0.84</c:v>
                </c:pt>
                <c:pt idx="3">
                  <c:v>0.87</c:v>
                </c:pt>
                <c:pt idx="4">
                  <c:v>0.89</c:v>
                </c:pt>
                <c:pt idx="5">
                  <c:v>0.9</c:v>
                </c:pt>
                <c:pt idx="6">
                  <c:v>0.91</c:v>
                </c:pt>
                <c:pt idx="7">
                  <c:v>0.917</c:v>
                </c:pt>
                <c:pt idx="8">
                  <c:v>0.924</c:v>
                </c:pt>
                <c:pt idx="9">
                  <c:v>0.931</c:v>
                </c:pt>
                <c:pt idx="10">
                  <c:v>0.939</c:v>
                </c:pt>
                <c:pt idx="11">
                  <c:v>0.946</c:v>
                </c:pt>
                <c:pt idx="12">
                  <c:v>0.953</c:v>
                </c:pt>
                <c:pt idx="13">
                  <c:v>0.96</c:v>
                </c:pt>
                <c:pt idx="14">
                  <c:v>0.963</c:v>
                </c:pt>
                <c:pt idx="15">
                  <c:v>0.966</c:v>
                </c:pt>
                <c:pt idx="16">
                  <c:v>0.969</c:v>
                </c:pt>
                <c:pt idx="17">
                  <c:v>0.971</c:v>
                </c:pt>
                <c:pt idx="18">
                  <c:v>0.974</c:v>
                </c:pt>
                <c:pt idx="19">
                  <c:v>0.977</c:v>
                </c:pt>
                <c:pt idx="20">
                  <c:v>0.98</c:v>
                </c:pt>
                <c:pt idx="21">
                  <c:v>0.983</c:v>
                </c:pt>
                <c:pt idx="22">
                  <c:v>0.986</c:v>
                </c:pt>
                <c:pt idx="23">
                  <c:v>0.989</c:v>
                </c:pt>
                <c:pt idx="24">
                  <c:v>0.991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886499"/>
        <c:axId val="90036412"/>
      </c:lineChart>
      <c:catAx>
        <c:axId val="72886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(días)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36412"/>
        <c:crosses val="autoZero"/>
        <c:auto val="1"/>
        <c:lblAlgn val="ctr"/>
        <c:lblOffset val="100"/>
        <c:noMultiLvlLbl val="0"/>
      </c:catAx>
      <c:valAx>
        <c:axId val="90036412"/>
        <c:scaling>
          <c:orientation val="minMax"/>
          <c:max val="1.05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Factor (× 28 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86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28</xdr:col>
      <xdr:colOff>295560</xdr:colOff>
      <xdr:row>21</xdr:row>
      <xdr:rowOff>100800</xdr:rowOff>
    </xdr:to>
    <xdr:graphicFrame>
      <xdr:nvGraphicFramePr>
        <xdr:cNvPr id="0" name="Chart 1"/>
        <xdr:cNvGraphicFramePr/>
      </xdr:nvGraphicFramePr>
      <xdr:xfrm>
        <a:off x="8387640" y="571680"/>
        <a:ext cx="100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10</xdr:row>
      <xdr:rowOff>160560</xdr:rowOff>
    </xdr:from>
    <xdr:to>
      <xdr:col>7</xdr:col>
      <xdr:colOff>5759640</xdr:colOff>
      <xdr:row>25</xdr:row>
      <xdr:rowOff>2880</xdr:rowOff>
    </xdr:to>
    <xdr:graphicFrame>
      <xdr:nvGraphicFramePr>
        <xdr:cNvPr id="1" name="Chart 1"/>
        <xdr:cNvGraphicFramePr/>
      </xdr:nvGraphicFramePr>
      <xdr:xfrm>
        <a:off x="540432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  <c r="C4" s="4" t="s">
        <v>3</v>
      </c>
    </row>
    <row r="5" customFormat="false" ht="23.85" hidden="false" customHeight="false" outlineLevel="0" collapsed="false">
      <c r="B5" s="3" t="s">
        <v>4</v>
      </c>
      <c r="C5" s="4" t="s">
        <v>5</v>
      </c>
    </row>
    <row r="6" customFormat="false" ht="23.85" hidden="false" customHeight="false" outlineLevel="0" collapsed="false">
      <c r="B6" s="3" t="s">
        <v>6</v>
      </c>
      <c r="C6" s="4" t="s">
        <v>7</v>
      </c>
    </row>
    <row r="7" customFormat="false" ht="23.85" hidden="false" customHeight="false" outlineLevel="0" collapsed="false">
      <c r="B7" s="3" t="s">
        <v>8</v>
      </c>
      <c r="C7" s="4" t="s">
        <v>9</v>
      </c>
    </row>
    <row r="8" customFormat="false" ht="23.85" hidden="false" customHeight="false" outlineLevel="0" collapsed="false">
      <c r="B8" s="3" t="s">
        <v>10</v>
      </c>
      <c r="C8" s="4" t="s">
        <v>11</v>
      </c>
    </row>
    <row r="9" customFormat="false" ht="23.85" hidden="false" customHeight="false" outlineLevel="0" collapsed="false">
      <c r="B9" s="3" t="s">
        <v>12</v>
      </c>
      <c r="C9" s="4" t="s">
        <v>13</v>
      </c>
    </row>
    <row r="10" customFormat="false" ht="15" hidden="false" customHeight="false" outlineLevel="0" collapsed="false">
      <c r="B10" s="3" t="s">
        <v>14</v>
      </c>
      <c r="C10" s="4" t="s">
        <v>15</v>
      </c>
    </row>
    <row r="11" customFormat="false" ht="23.85" hidden="false" customHeight="false" outlineLevel="0" collapsed="false">
      <c r="B11" s="3" t="s">
        <v>16</v>
      </c>
      <c r="C11" s="4" t="s">
        <v>17</v>
      </c>
    </row>
    <row r="12" customFormat="false" ht="23.85" hidden="false" customHeight="false" outlineLevel="0" collapsed="false">
      <c r="B12" s="3" t="s">
        <v>18</v>
      </c>
      <c r="C12" s="4" t="s">
        <v>19</v>
      </c>
    </row>
    <row r="13" customFormat="false" ht="15" hidden="false" customHeight="false" outlineLevel="0" collapsed="false">
      <c r="B13" s="3" t="s">
        <v>20</v>
      </c>
      <c r="C13" s="4" t="s">
        <v>21</v>
      </c>
    </row>
    <row r="14" customFormat="false" ht="23.85" hidden="false" customHeight="false" outlineLevel="0" collapsed="false">
      <c r="B14" s="3" t="s">
        <v>22</v>
      </c>
      <c r="C14" s="4" t="s">
        <v>23</v>
      </c>
    </row>
    <row r="15" customFormat="false" ht="15" hidden="false" customHeight="false" outlineLevel="0" collapsed="false">
      <c r="B15" s="3"/>
      <c r="C15" s="4"/>
    </row>
    <row r="16" customFormat="false" ht="15" hidden="false" customHeight="false" outlineLevel="0" collapsed="false">
      <c r="B16" s="2" t="s">
        <v>24</v>
      </c>
    </row>
    <row r="17" customFormat="false" ht="15" hidden="false" customHeight="false" outlineLevel="0" collapsed="false">
      <c r="B17" s="3" t="s">
        <v>25</v>
      </c>
      <c r="C17" s="4" t="s">
        <v>26</v>
      </c>
    </row>
    <row r="18" customFormat="false" ht="15" hidden="false" customHeight="false" outlineLevel="0" collapsed="false">
      <c r="B18" s="3" t="s">
        <v>27</v>
      </c>
      <c r="C18" s="4" t="s">
        <v>28</v>
      </c>
    </row>
    <row r="19" customFormat="false" ht="15" hidden="false" customHeight="false" outlineLevel="0" collapsed="false">
      <c r="B19" s="3" t="s">
        <v>29</v>
      </c>
      <c r="C19" s="4" t="s">
        <v>30</v>
      </c>
    </row>
    <row r="20" customFormat="false" ht="15" hidden="false" customHeight="false" outlineLevel="0" collapsed="false">
      <c r="B20" s="3"/>
      <c r="C20" s="4"/>
    </row>
    <row r="21" customFormat="false" ht="15" hidden="false" customHeight="false" outlineLevel="0" collapsed="false">
      <c r="B21" s="2" t="s">
        <v>31</v>
      </c>
    </row>
    <row r="22" customFormat="false" ht="15" hidden="false" customHeight="false" outlineLevel="0" collapsed="false">
      <c r="B22" s="3" t="s">
        <v>32</v>
      </c>
      <c r="C22" s="4" t="s">
        <v>33</v>
      </c>
    </row>
    <row r="23" customFormat="false" ht="23.85" hidden="false" customHeight="false" outlineLevel="0" collapsed="false">
      <c r="B23" s="3" t="s">
        <v>34</v>
      </c>
      <c r="C23" s="4" t="s">
        <v>35</v>
      </c>
    </row>
    <row r="24" customFormat="false" ht="23.85" hidden="false" customHeight="false" outlineLevel="0" collapsed="false">
      <c r="B24" s="3" t="s">
        <v>36</v>
      </c>
      <c r="C24" s="4" t="s">
        <v>37</v>
      </c>
    </row>
    <row r="25" customFormat="false" ht="23.85" hidden="false" customHeight="false" outlineLevel="0" collapsed="false">
      <c r="B25" s="3" t="s">
        <v>38</v>
      </c>
      <c r="C25" s="4" t="s">
        <v>39</v>
      </c>
    </row>
    <row r="26" customFormat="false" ht="15" hidden="false" customHeight="false" outlineLevel="0" collapsed="false">
      <c r="B26" s="3"/>
      <c r="C26" s="4"/>
    </row>
    <row r="27" customFormat="false" ht="15" hidden="false" customHeight="false" outlineLevel="0" collapsed="false">
      <c r="B27" s="2" t="s">
        <v>40</v>
      </c>
    </row>
    <row r="28" customFormat="false" ht="23.85" hidden="false" customHeight="false" outlineLevel="0" collapsed="false">
      <c r="B28" s="3" t="s">
        <v>18</v>
      </c>
      <c r="C28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3" min="13" style="0" width="7"/>
    <col collapsed="false" customWidth="true" hidden="false" outlineLevel="0" max="15" min="14" style="0" width="6"/>
    <col collapsed="false" customWidth="true" hidden="false" outlineLevel="0" max="16" min="16" style="0" width="10"/>
    <col collapsed="false" customWidth="true" hidden="false" outlineLevel="0" max="18" min="17" style="0" width="9"/>
    <col collapsed="false" customWidth="true" hidden="false" outlineLevel="0" max="19" min="19" style="0" width="8"/>
    <col collapsed="false" customWidth="true" hidden="false" outlineLevel="0" max="20" min="20" style="0" width="7"/>
    <col collapsed="false" customWidth="true" hidden="false" outlineLevel="0" max="23" min="21" style="0" width="9"/>
    <col collapsed="false" customWidth="true" hidden="false" outlineLevel="0" max="24" min="24" style="0" width="8"/>
    <col collapsed="false" customWidth="true" hidden="false" outlineLevel="0" max="26" min="25" style="0" width="10"/>
    <col collapsed="false" customWidth="true" hidden="false" outlineLevel="0" max="28" min="27" style="0" width="8"/>
    <col collapsed="false" customWidth="true" hidden="false" outlineLevel="0" max="29" min="29" style="0" width="16"/>
    <col collapsed="false" customWidth="true" hidden="false" outlineLevel="0" max="32" min="30" style="0" width="10"/>
    <col collapsed="false" customWidth="true" hidden="false" outlineLevel="0" max="33" min="33" style="0" width="34"/>
    <col collapsed="false" customWidth="true" hidden="true" outlineLevel="0" max="35" min="34" style="0" width="5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5" t="s">
        <v>43</v>
      </c>
    </row>
    <row r="3" customFormat="false" ht="15" hidden="false" customHeight="false" outlineLevel="0" collapsed="false">
      <c r="H3" s="6" t="s">
        <v>44</v>
      </c>
      <c r="M3" s="6" t="s">
        <v>45</v>
      </c>
      <c r="U3" s="6" t="s">
        <v>46</v>
      </c>
      <c r="AD3" s="6" t="s">
        <v>47</v>
      </c>
    </row>
    <row r="4" customFormat="false" ht="57.75" hidden="false" customHeight="true" outlineLevel="0" collapsed="false">
      <c r="A4" s="7" t="s">
        <v>48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7" t="s">
        <v>60</v>
      </c>
      <c r="N4" s="7" t="s">
        <v>61</v>
      </c>
      <c r="O4" s="7" t="s">
        <v>62</v>
      </c>
      <c r="P4" s="7" t="s">
        <v>63</v>
      </c>
      <c r="Q4" s="7" t="s">
        <v>64</v>
      </c>
      <c r="R4" s="7" t="s">
        <v>65</v>
      </c>
      <c r="S4" s="7" t="s">
        <v>66</v>
      </c>
      <c r="T4" s="7" t="s">
        <v>67</v>
      </c>
      <c r="U4" s="9" t="s">
        <v>68</v>
      </c>
      <c r="V4" s="9" t="s">
        <v>69</v>
      </c>
      <c r="W4" s="9" t="s">
        <v>70</v>
      </c>
      <c r="X4" s="9" t="s">
        <v>71</v>
      </c>
      <c r="Y4" s="9" t="s">
        <v>72</v>
      </c>
      <c r="Z4" s="9" t="s">
        <v>73</v>
      </c>
      <c r="AA4" s="9" t="s">
        <v>74</v>
      </c>
      <c r="AB4" s="9" t="s">
        <v>75</v>
      </c>
      <c r="AC4" s="9" t="s">
        <v>76</v>
      </c>
      <c r="AD4" s="10" t="s">
        <v>77</v>
      </c>
      <c r="AE4" s="10" t="s">
        <v>78</v>
      </c>
      <c r="AF4" s="10" t="s">
        <v>79</v>
      </c>
      <c r="AG4" s="7" t="s">
        <v>80</v>
      </c>
      <c r="AH4" s="7" t="s">
        <v>81</v>
      </c>
      <c r="AI4" s="7" t="s">
        <v>82</v>
      </c>
    </row>
    <row r="5" customFormat="false" ht="15" hidden="false" customHeight="false" outlineLevel="0" collapsed="false">
      <c r="A5" s="11" t="n">
        <f aca="false">IF(B5="","",ROW()-4)</f>
        <v>1</v>
      </c>
      <c r="B5" s="12" t="n">
        <v>45551</v>
      </c>
      <c r="C5" s="13" t="s">
        <v>83</v>
      </c>
      <c r="D5" s="13" t="s">
        <v>84</v>
      </c>
      <c r="E5" s="13"/>
      <c r="F5" s="14" t="str">
        <f aca="false">IF(OR(B5="",C5="",D5=""),"",IFERROR(INDEX(CONFIG!$E$5:$E$14,MATCH(D5,CONFIG!$D$5:$D$14,0)),"?")&amp;RIGHT("0"&amp;DAY(B5),2)&amp;RIGHT("0"&amp;MONTH(B5),2)&amp;RIGHT(YEAR(B5),2)&amp;C5&amp;IF(E5="","","-"&amp;E5))</f>
        <v>8160924P1</v>
      </c>
      <c r="G5" s="13"/>
      <c r="H5" s="13"/>
      <c r="I5" s="13"/>
      <c r="J5" s="13"/>
      <c r="K5" s="13"/>
      <c r="L5" s="13"/>
      <c r="M5" s="11" t="n">
        <f aca="false">IF(F5="","",COUNTIFS(ENSAYOS!$C$5:$C$3004,F5,ENSAYOS!$Q$5:$Q$3004,"&gt;0"))</f>
        <v>5</v>
      </c>
      <c r="N5" s="15" t="n">
        <f aca="false">IF(N(M5)=0,"",_xlfn.MINIFS(ENSAYOS!$G$5:$G$3004,ENSAYOS!$C$5:$C$3004,F5,ENSAYOS!$Q$5:$Q$3004,"&gt;0"))</f>
        <v>3</v>
      </c>
      <c r="O5" s="15" t="n">
        <f aca="false">IF(N(M5)=0,"",_xlfn.MAXIFS(ENSAYOS!$G$5:$G$3004,ENSAYOS!$C$5:$C$3004,F5,ENSAYOS!$Q$5:$Q$3004,"&gt;0"))</f>
        <v>3</v>
      </c>
      <c r="P5" s="16" t="n">
        <f aca="false">IF(N(M5)=0,"",AVERAGEIFS(ENSAYOS!$Q$5:$Q$3004,ENSAYOS!$C$5:$C$3004,F5,ENSAYOS!$Q$5:$Q$3004,"&gt;0"))</f>
        <v>77.1595943828559</v>
      </c>
      <c r="Q5" s="16" t="n">
        <f aca="false">IF(N(M5)=0,"",_xlfn.MINIFS(ENSAYOS!$Q$5:$Q$3004,ENSAYOS!$C$5:$C$3004,F5,ENSAYOS!$Q$5:$Q$3004,"&gt;0"))</f>
        <v>57.1243102888673</v>
      </c>
      <c r="R5" s="16" t="n">
        <f aca="false">IF(N(M5)=0,"",_xlfn.MAXIFS(ENSAYOS!$Q$5:$Q$3004,ENSAYOS!$C$5:$C$3004,F5,ENSAYOS!$Q$5:$Q$3004,"&gt;0"))</f>
        <v>98.3659532157622</v>
      </c>
      <c r="S5" s="16" t="n">
        <f aca="false">IF(N(M5)&lt;2,"",SQRT(MAX(0,(SUMIFS(ENSAYOS!$X$5:$X$3004,ENSAYOS!$C$5:$C$3004,F5,ENSAYOS!$Q$5:$Q$3004,"&gt;0")-M5*P5^2)/(M5-1))))</f>
        <v>14.8240706268969</v>
      </c>
      <c r="T5" s="17" t="n">
        <f aca="false">IF(S5="","",S5/P5)</f>
        <v>0.192122194854236</v>
      </c>
      <c r="U5" s="16" t="n">
        <f aca="false">IF(N(M5)=0,"",IF(N5&gt;=CONFIG!$B$27,"",AVERAGEIFS(ENSAYOS!$Q$5:$Q$3004,ENSAYOS!$C$5:$C$3004,F5,ENSAYOS!$Q$5:$Q$3004,"&gt;0",ENSAYOS!$G$5:$G$3004,N5)))</f>
        <v>77.1595943828559</v>
      </c>
      <c r="V5" s="16" t="str">
        <f aca="false">IF(N(M5)=0,"",IF(COUNTIFS(ENSAYOS!$C$5:$C$3004,F5,ENSAYOS!$Q$5:$Q$3004,"&gt;0",ENSAYOS!$G$5:$G$3004,"&gt;="&amp;CONFIG!$B$27)=0,"",AVERAGEIFS(ENSAYOS!$Q$5:$Q$3004,ENSAYOS!$C$5:$C$3004,F5,ENSAYOS!$Q$5:$Q$3004,"&gt;0",ENSAYOS!$G$5:$G$3004,"&gt;="&amp;CONFIG!$B$27)))</f>
        <v/>
      </c>
      <c r="W5" s="18" t="str">
        <f aca="false">IF(AND(U5&lt;&gt;"",V5&lt;&gt;""),U5/V5,"")</f>
        <v/>
      </c>
      <c r="X5" s="18" t="n">
        <f aca="false">IF(U5="","",INDEX('CURVA EDAD'!$E$5:$E$32,MIN(28,MAX(1,N5))))</f>
        <v>0.84</v>
      </c>
      <c r="Y5" s="16" t="n">
        <f aca="false">IF(V5&lt;&gt;"",V5,IF(U5="","",U5/X5))</f>
        <v>91.8566599795904</v>
      </c>
      <c r="Z5" s="16" t="n">
        <f aca="false">IF(V5&lt;&gt;"",_xlfn.MINIFS(ENSAYOS!$Q$5:$Q$3004,ENSAYOS!$C$5:$C$3004,F5,ENSAYOS!$Q$5:$Q$3004,"&gt;0",ENSAYOS!$G$5:$G$3004,"&gt;="&amp;CONFIG!$B$27),IF(U5="","",_xlfn.MINIFS(ENSAYOS!$Q$5:$Q$3004,ENSAYOS!$C$5:$C$3004,F5,ENSAYOS!$Q$5:$Q$3004,"&gt;0",ENSAYOS!$G$5:$G$3004,N5)/X5))</f>
        <v>68.0051312962705</v>
      </c>
      <c r="AA5" s="16" t="str">
        <f aca="false">IF(D5="","",IFERROR(1/(1/INDEX(CONFIG!$J$5:$J$14,MATCH(D5,CONFIG!$D$5:$D$14,0))),""))</f>
        <v/>
      </c>
      <c r="AB5" s="16" t="str">
        <f aca="false">IF(D5="","",IFERROR(1/(1/INDEX(CONFIG!$K$5:$K$14,MATCH(D5,CONFIG!$D$5:$D$14,0))),""))</f>
        <v/>
      </c>
      <c r="AC5" s="19" t="str">
        <f aca="false">IF(N(M5)=0,"",IF(AA5="","Sin spec",IF(AND(Y5&gt;=AA5,OR(AB5="",Z5&gt;=AB5)),"CUMPLE","NO CUMPLE")&amp;IF(V5=""," (est.)","")))</f>
        <v>Sin spec</v>
      </c>
      <c r="AD5" s="20" t="str">
        <f aca="false">IF(F5="","",IF(COUNTIFS(ABSORCION!$C$5:$C$1004,F5,ABSORCION!$I$5:$I$1004,"&gt;0")=0,"",AVERAGEIFS(ABSORCION!$I$5:$I$1004,ABSORCION!$C$5:$C$1004,F5,ABSORCION!$I$5:$I$1004,"&gt;0")))</f>
        <v/>
      </c>
      <c r="AE5" s="20" t="str">
        <f aca="false">IF(F5="","",IF(COUNTIFS(ABSORCION!$C$5:$C$1004,F5,ABSORCION!$I$5:$I$1004,"&gt;0")=0,"",AVERAGEIFS(ABSORCION!$K$5:$K$1004,ABSORCION!$C$5:$C$1004,F5,ABSORCION!$I$5:$I$1004,"&gt;0")))</f>
        <v/>
      </c>
      <c r="AF5" s="20" t="str">
        <f aca="false">IF(AE5="","",IF(AE5&gt;=CONFIG!$E$21,CONFIG!$F$21,IF(AE5&gt;=CONFIG!$E$20,CONFIG!$F$20,CONFIG!$F$19)))</f>
        <v/>
      </c>
      <c r="AG5" s="21" t="str">
        <f aca="false">IF(F5="","",TRIM(IF(N(M5)=0,"Sin ensayos. ","")&amp;IF(AND(N(M5)&gt;0,N(M5)&lt;CONFIG!$B$26),"Menos de "&amp;CONFIG!$B$26&amp;" probetas. ","")&amp;IF(N(T5)&gt;CONFIG!$B$25,"CV alto. ","")&amp;IF(AND(N(AD5)&gt;0,N(AD5)&gt;N(AF5)),"Absorción alta. ","")))</f>
        <v>CV alto.</v>
      </c>
      <c r="AH5" s="22" t="n">
        <f aca="false">IF(AND(N(M5)&gt;0,OR(CONTROL!$C$4="TODAS",C5=CONTROL!$C$4),D5=CONTROL!$C$5),MAX($AH$4:AH4)+1,"")</f>
        <v>1</v>
      </c>
      <c r="AI5" s="22" t="n">
        <f aca="false">IF(AH5="","",P5^2)</f>
        <v>5953.60300532685</v>
      </c>
    </row>
    <row r="6" customFormat="false" ht="15" hidden="false" customHeight="false" outlineLevel="0" collapsed="false">
      <c r="A6" s="11" t="n">
        <f aca="false">IF(B6="","",ROW()-4)</f>
        <v>2</v>
      </c>
      <c r="B6" s="12" t="n">
        <v>45608</v>
      </c>
      <c r="C6" s="13" t="s">
        <v>83</v>
      </c>
      <c r="D6" s="13" t="s">
        <v>84</v>
      </c>
      <c r="E6" s="13"/>
      <c r="F6" s="14" t="str">
        <f aca="false">IF(OR(B6="",C6="",D6=""),"",IFERROR(INDEX(CONFIG!$E$5:$E$14,MATCH(D6,CONFIG!$D$5:$D$14,0)),"?")&amp;RIGHT("0"&amp;DAY(B6),2)&amp;RIGHT("0"&amp;MONTH(B6),2)&amp;RIGHT(YEAR(B6),2)&amp;C6&amp;IF(E6="","","-"&amp;E6))</f>
        <v>8121124P1</v>
      </c>
      <c r="G6" s="13" t="s">
        <v>85</v>
      </c>
      <c r="H6" s="13"/>
      <c r="I6" s="13"/>
      <c r="J6" s="13"/>
      <c r="K6" s="13"/>
      <c r="L6" s="13"/>
      <c r="M6" s="11" t="n">
        <f aca="false">IF(F6="","",COUNTIFS(ENSAYOS!$C$5:$C$3004,F6,ENSAYOS!$Q$5:$Q$3004,"&gt;0"))</f>
        <v>6</v>
      </c>
      <c r="N6" s="15" t="n">
        <f aca="false">IF(N(M6)=0,"",_xlfn.MINIFS(ENSAYOS!$G$5:$G$3004,ENSAYOS!$C$5:$C$3004,F6,ENSAYOS!$Q$5:$Q$3004,"&gt;0"))</f>
        <v>28</v>
      </c>
      <c r="O6" s="15" t="n">
        <f aca="false">IF(N(M6)=0,"",_xlfn.MAXIFS(ENSAYOS!$G$5:$G$3004,ENSAYOS!$C$5:$C$3004,F6,ENSAYOS!$Q$5:$Q$3004,"&gt;0"))</f>
        <v>28</v>
      </c>
      <c r="P6" s="16" t="n">
        <f aca="false">IF(N(M6)=0,"",AVERAGEIFS(ENSAYOS!$Q$5:$Q$3004,ENSAYOS!$C$5:$C$3004,F6,ENSAYOS!$Q$5:$Q$3004,"&gt;0"))</f>
        <v>80.3974899924267</v>
      </c>
      <c r="Q6" s="16" t="n">
        <f aca="false">IF(N(M6)=0,"",_xlfn.MINIFS(ENSAYOS!$Q$5:$Q$3004,ENSAYOS!$C$5:$C$3004,F6,ENSAYOS!$Q$5:$Q$3004,"&gt;0"))</f>
        <v>71.7442388834794</v>
      </c>
      <c r="R6" s="16" t="n">
        <f aca="false">IF(N(M6)=0,"",_xlfn.MAXIFS(ENSAYOS!$Q$5:$Q$3004,ENSAYOS!$C$5:$C$3004,F6,ENSAYOS!$Q$5:$Q$3004,"&gt;0"))</f>
        <v>92.7374229146381</v>
      </c>
      <c r="S6" s="16" t="n">
        <f aca="false">IF(N(M6)&lt;2,"",SQRT(MAX(0,(SUMIFS(ENSAYOS!$X$5:$X$3004,ENSAYOS!$C$5:$C$3004,F6,ENSAYOS!$Q$5:$Q$3004,"&gt;0")-M6*P6^2)/(M6-1))))</f>
        <v>7.82699267719192</v>
      </c>
      <c r="T6" s="17" t="n">
        <f aca="false">IF(S6="","",S6/P6)</f>
        <v>0.0973536944739097</v>
      </c>
      <c r="U6" s="16" t="str">
        <f aca="false">IF(N(M6)=0,"",IF(N6&gt;=CONFIG!$B$27,"",AVERAGEIFS(ENSAYOS!$Q$5:$Q$3004,ENSAYOS!$C$5:$C$3004,F6,ENSAYOS!$Q$5:$Q$3004,"&gt;0",ENSAYOS!$G$5:$G$3004,N6)))</f>
        <v/>
      </c>
      <c r="V6" s="16" t="n">
        <f aca="false">IF(N(M6)=0,"",IF(COUNTIFS(ENSAYOS!$C$5:$C$3004,F6,ENSAYOS!$Q$5:$Q$3004,"&gt;0",ENSAYOS!$G$5:$G$3004,"&gt;="&amp;CONFIG!$B$27)=0,"",AVERAGEIFS(ENSAYOS!$Q$5:$Q$3004,ENSAYOS!$C$5:$C$3004,F6,ENSAYOS!$Q$5:$Q$3004,"&gt;0",ENSAYOS!$G$5:$G$3004,"&gt;="&amp;CONFIG!$B$27)))</f>
        <v>80.3974899924267</v>
      </c>
      <c r="W6" s="18" t="str">
        <f aca="false">IF(AND(U6&lt;&gt;"",V6&lt;&gt;""),U6/V6,"")</f>
        <v/>
      </c>
      <c r="X6" s="18" t="str">
        <f aca="false">IF(U6="","",INDEX('CURVA EDAD'!$E$5:$E$32,MIN(28,MAX(1,N6))))</f>
        <v/>
      </c>
      <c r="Y6" s="16" t="n">
        <f aca="false">IF(V6&lt;&gt;"",V6,IF(U6="","",U6/X6))</f>
        <v>80.3974899924267</v>
      </c>
      <c r="Z6" s="16" t="n">
        <f aca="false">IF(V6&lt;&gt;"",_xlfn.MINIFS(ENSAYOS!$Q$5:$Q$3004,ENSAYOS!$C$5:$C$3004,F6,ENSAYOS!$Q$5:$Q$3004,"&gt;0",ENSAYOS!$G$5:$G$3004,"&gt;="&amp;CONFIG!$B$27),IF(U6="","",_xlfn.MINIFS(ENSAYOS!$Q$5:$Q$3004,ENSAYOS!$C$5:$C$3004,F6,ENSAYOS!$Q$5:$Q$3004,"&gt;0",ENSAYOS!$G$5:$G$3004,N6)/X6))</f>
        <v>71.7442388834794</v>
      </c>
      <c r="AA6" s="16" t="str">
        <f aca="false">IF(D6="","",IFERROR(1/(1/INDEX(CONFIG!$J$5:$J$14,MATCH(D6,CONFIG!$D$5:$D$14,0))),""))</f>
        <v/>
      </c>
      <c r="AB6" s="16" t="str">
        <f aca="false">IF(D6="","",IFERROR(1/(1/INDEX(CONFIG!$K$5:$K$14,MATCH(D6,CONFIG!$D$5:$D$14,0))),""))</f>
        <v/>
      </c>
      <c r="AC6" s="19" t="str">
        <f aca="false">IF(N(M6)=0,"",IF(AA6="","Sin spec",IF(AND(Y6&gt;=AA6,OR(AB6="",Z6&gt;=AB6)),"CUMPLE","NO CUMPLE")&amp;IF(V6=""," (est.)","")))</f>
        <v>Sin spec</v>
      </c>
      <c r="AD6" s="20" t="str">
        <f aca="false">IF(F6="","",IF(COUNTIFS(ABSORCION!$C$5:$C$1004,F6,ABSORCION!$I$5:$I$1004,"&gt;0")=0,"",AVERAGEIFS(ABSORCION!$I$5:$I$1004,ABSORCION!$C$5:$C$1004,F6,ABSORCION!$I$5:$I$1004,"&gt;0")))</f>
        <v/>
      </c>
      <c r="AE6" s="20" t="str">
        <f aca="false">IF(F6="","",IF(COUNTIFS(ABSORCION!$C$5:$C$1004,F6,ABSORCION!$I$5:$I$1004,"&gt;0")=0,"",AVERAGEIFS(ABSORCION!$K$5:$K$1004,ABSORCION!$C$5:$C$1004,F6,ABSORCION!$I$5:$I$1004,"&gt;0")))</f>
        <v/>
      </c>
      <c r="AF6" s="20" t="str">
        <f aca="false">IF(AE6="","",IF(AE6&gt;=CONFIG!$E$21,CONFIG!$F$21,IF(AE6&gt;=CONFIG!$E$20,CONFIG!$F$20,CONFIG!$F$19)))</f>
        <v/>
      </c>
      <c r="AG6" s="21" t="str">
        <f aca="false">IF(F6="","",TRIM(IF(N(M6)=0,"Sin ensayos. ","")&amp;IF(AND(N(M6)&gt;0,N(M6)&lt;CONFIG!$B$26),"Menos de "&amp;CONFIG!$B$26&amp;" probetas. ","")&amp;IF(N(T6)&gt;CONFIG!$B$25,"CV alto. ","")&amp;IF(AND(N(AD6)&gt;0,N(AD6)&gt;N(AF6)),"Absorción alta. ","")))</f>
        <v/>
      </c>
      <c r="AH6" s="22" t="n">
        <f aca="false">IF(AND(N(M6)&gt;0,OR(CONTROL!$C$4="TODAS",C6=CONTROL!$C$4),D6=CONTROL!$C$5),MAX($AH$4:AH5)+1,"")</f>
        <v>2</v>
      </c>
      <c r="AI6" s="22" t="n">
        <f aca="false">IF(AH6="","",P6^2)</f>
        <v>6463.75639708235</v>
      </c>
    </row>
    <row r="7" customFormat="false" ht="15" hidden="false" customHeight="false" outlineLevel="0" collapsed="false">
      <c r="A7" s="11" t="n">
        <f aca="false">IF(B7="","",ROW()-4)</f>
        <v>3</v>
      </c>
      <c r="B7" s="12" t="n">
        <v>45612</v>
      </c>
      <c r="C7" s="13" t="s">
        <v>83</v>
      </c>
      <c r="D7" s="13" t="s">
        <v>84</v>
      </c>
      <c r="E7" s="13"/>
      <c r="F7" s="14" t="str">
        <f aca="false">IF(OR(B7="",C7="",D7=""),"",IFERROR(INDEX(CONFIG!$E$5:$E$14,MATCH(D7,CONFIG!$D$5:$D$14,0)),"?")&amp;RIGHT("0"&amp;DAY(B7),2)&amp;RIGHT("0"&amp;MONTH(B7),2)&amp;RIGHT(YEAR(B7),2)&amp;C7&amp;IF(E7="","","-"&amp;E7))</f>
        <v>8161124P1</v>
      </c>
      <c r="G7" s="13"/>
      <c r="H7" s="13"/>
      <c r="I7" s="13"/>
      <c r="J7" s="13"/>
      <c r="K7" s="13"/>
      <c r="L7" s="13"/>
      <c r="M7" s="11" t="n">
        <f aca="false">IF(F7="","",COUNTIFS(ENSAYOS!$C$5:$C$3004,F7,ENSAYOS!$Q$5:$Q$3004,"&gt;0"))</f>
        <v>8</v>
      </c>
      <c r="N7" s="15" t="n">
        <f aca="false">IF(N(M7)=0,"",_xlfn.MINIFS(ENSAYOS!$G$5:$G$3004,ENSAYOS!$C$5:$C$3004,F7,ENSAYOS!$Q$5:$Q$3004,"&gt;0"))</f>
        <v>3</v>
      </c>
      <c r="O7" s="15" t="n">
        <f aca="false">IF(N(M7)=0,"",_xlfn.MAXIFS(ENSAYOS!$G$5:$G$3004,ENSAYOS!$C$5:$C$3004,F7,ENSAYOS!$Q$5:$Q$3004,"&gt;0"))</f>
        <v>3</v>
      </c>
      <c r="P7" s="16" t="n">
        <f aca="false">IF(N(M7)=0,"",AVERAGEIFS(ENSAYOS!$Q$5:$Q$3004,ENSAYOS!$C$5:$C$3004,F7,ENSAYOS!$Q$5:$Q$3004,"&gt;0"))</f>
        <v>84.4804804019049</v>
      </c>
      <c r="Q7" s="16" t="n">
        <f aca="false">IF(N(M7)=0,"",_xlfn.MINIFS(ENSAYOS!$Q$5:$Q$3004,ENSAYOS!$C$5:$C$3004,F7,ENSAYOS!$Q$5:$Q$3004,"&gt;0"))</f>
        <v>67.8463027892616</v>
      </c>
      <c r="R7" s="16" t="n">
        <f aca="false">IF(N(M7)=0,"",_xlfn.MAXIFS(ENSAYOS!$Q$5:$Q$3004,ENSAYOS!$C$5:$C$3004,F7,ENSAYOS!$Q$5:$Q$3004,"&gt;0"))</f>
        <v>98.3070804333037</v>
      </c>
      <c r="S7" s="16" t="n">
        <f aca="false">IF(N(M7)&lt;2,"",SQRT(MAX(0,(SUMIFS(ENSAYOS!$X$5:$X$3004,ENSAYOS!$C$5:$C$3004,F7,ENSAYOS!$Q$5:$Q$3004,"&gt;0")-M7*P7^2)/(M7-1))))</f>
        <v>9.38988585932148</v>
      </c>
      <c r="T7" s="17" t="n">
        <f aca="false">IF(S7="","",S7/P7)</f>
        <v>0.111148585029942</v>
      </c>
      <c r="U7" s="16" t="n">
        <f aca="false">IF(N(M7)=0,"",IF(N7&gt;=CONFIG!$B$27,"",AVERAGEIFS(ENSAYOS!$Q$5:$Q$3004,ENSAYOS!$C$5:$C$3004,F7,ENSAYOS!$Q$5:$Q$3004,"&gt;0",ENSAYOS!$G$5:$G$3004,N7)))</f>
        <v>84.4804804019049</v>
      </c>
      <c r="V7" s="16" t="str">
        <f aca="false">IF(N(M7)=0,"",IF(COUNTIFS(ENSAYOS!$C$5:$C$3004,F7,ENSAYOS!$Q$5:$Q$3004,"&gt;0",ENSAYOS!$G$5:$G$3004,"&gt;="&amp;CONFIG!$B$27)=0,"",AVERAGEIFS(ENSAYOS!$Q$5:$Q$3004,ENSAYOS!$C$5:$C$3004,F7,ENSAYOS!$Q$5:$Q$3004,"&gt;0",ENSAYOS!$G$5:$G$3004,"&gt;="&amp;CONFIG!$B$27)))</f>
        <v/>
      </c>
      <c r="W7" s="18" t="str">
        <f aca="false">IF(AND(U7&lt;&gt;"",V7&lt;&gt;""),U7/V7,"")</f>
        <v/>
      </c>
      <c r="X7" s="18" t="n">
        <f aca="false">IF(U7="","",INDEX('CURVA EDAD'!$E$5:$E$32,MIN(28,MAX(1,N7))))</f>
        <v>0.84</v>
      </c>
      <c r="Y7" s="16" t="n">
        <f aca="false">IF(V7&lt;&gt;"",V7,IF(U7="","",U7/X7))</f>
        <v>100.572000478458</v>
      </c>
      <c r="Z7" s="16" t="n">
        <f aca="false">IF(V7&lt;&gt;"",_xlfn.MINIFS(ENSAYOS!$Q$5:$Q$3004,ENSAYOS!$C$5:$C$3004,F7,ENSAYOS!$Q$5:$Q$3004,"&gt;0",ENSAYOS!$G$5:$G$3004,"&gt;="&amp;CONFIG!$B$27),IF(U7="","",_xlfn.MINIFS(ENSAYOS!$Q$5:$Q$3004,ENSAYOS!$C$5:$C$3004,F7,ENSAYOS!$Q$5:$Q$3004,"&gt;0",ENSAYOS!$G$5:$G$3004,N7)/X7))</f>
        <v>80.7694080824543</v>
      </c>
      <c r="AA7" s="16" t="str">
        <f aca="false">IF(D7="","",IFERROR(1/(1/INDEX(CONFIG!$J$5:$J$14,MATCH(D7,CONFIG!$D$5:$D$14,0))),""))</f>
        <v/>
      </c>
      <c r="AB7" s="16" t="str">
        <f aca="false">IF(D7="","",IFERROR(1/(1/INDEX(CONFIG!$K$5:$K$14,MATCH(D7,CONFIG!$D$5:$D$14,0))),""))</f>
        <v/>
      </c>
      <c r="AC7" s="19" t="str">
        <f aca="false">IF(N(M7)=0,"",IF(AA7="","Sin spec",IF(AND(Y7&gt;=AA7,OR(AB7="",Z7&gt;=AB7)),"CUMPLE","NO CUMPLE")&amp;IF(V7=""," (est.)","")))</f>
        <v>Sin spec</v>
      </c>
      <c r="AD7" s="20" t="str">
        <f aca="false">IF(F7="","",IF(COUNTIFS(ABSORCION!$C$5:$C$1004,F7,ABSORCION!$I$5:$I$1004,"&gt;0")=0,"",AVERAGEIFS(ABSORCION!$I$5:$I$1004,ABSORCION!$C$5:$C$1004,F7,ABSORCION!$I$5:$I$1004,"&gt;0")))</f>
        <v/>
      </c>
      <c r="AE7" s="20" t="str">
        <f aca="false">IF(F7="","",IF(COUNTIFS(ABSORCION!$C$5:$C$1004,F7,ABSORCION!$I$5:$I$1004,"&gt;0")=0,"",AVERAGEIFS(ABSORCION!$K$5:$K$1004,ABSORCION!$C$5:$C$1004,F7,ABSORCION!$I$5:$I$1004,"&gt;0")))</f>
        <v/>
      </c>
      <c r="AF7" s="20" t="str">
        <f aca="false">IF(AE7="","",IF(AE7&gt;=CONFIG!$E$21,CONFIG!$F$21,IF(AE7&gt;=CONFIG!$E$20,CONFIG!$F$20,CONFIG!$F$19)))</f>
        <v/>
      </c>
      <c r="AG7" s="21" t="str">
        <f aca="false">IF(F7="","",TRIM(IF(N(M7)=0,"Sin ensayos. ","")&amp;IF(AND(N(M7)&gt;0,N(M7)&lt;CONFIG!$B$26),"Menos de "&amp;CONFIG!$B$26&amp;" probetas. ","")&amp;IF(N(T7)&gt;CONFIG!$B$25,"CV alto. ","")&amp;IF(AND(N(AD7)&gt;0,N(AD7)&gt;N(AF7)),"Absorción alta. ","")))</f>
        <v/>
      </c>
      <c r="AH7" s="22" t="n">
        <f aca="false">IF(AND(N(M7)&gt;0,OR(CONTROL!$C$4="TODAS",C7=CONTROL!$C$4),D7=CONTROL!$C$5),MAX($AH$4:AH6)+1,"")</f>
        <v>3</v>
      </c>
      <c r="AI7" s="22" t="n">
        <f aca="false">IF(AH7="","",P7^2)</f>
        <v>7136.95156893663</v>
      </c>
    </row>
    <row r="8" customFormat="false" ht="15" hidden="false" customHeight="false" outlineLevel="0" collapsed="false">
      <c r="A8" s="11" t="n">
        <f aca="false">IF(B8="","",ROW()-4)</f>
        <v>4</v>
      </c>
      <c r="B8" s="12" t="n">
        <v>45646</v>
      </c>
      <c r="C8" s="13" t="s">
        <v>86</v>
      </c>
      <c r="D8" s="13" t="s">
        <v>87</v>
      </c>
      <c r="E8" s="13"/>
      <c r="F8" s="14" t="str">
        <f aca="false">IF(OR(B8="",C8="",D8=""),"",IFERROR(INDEX(CONFIG!$E$5:$E$14,MATCH(D8,CONFIG!$D$5:$D$14,0)),"?")&amp;RIGHT("0"&amp;DAY(B8),2)&amp;RIGHT("0"&amp;MONTH(B8),2)&amp;RIGHT(YEAR(B8),2)&amp;C8&amp;IF(E8="","","-"&amp;E8))</f>
        <v>6201224P2</v>
      </c>
      <c r="G8" s="13" t="s">
        <v>88</v>
      </c>
      <c r="H8" s="13"/>
      <c r="I8" s="13"/>
      <c r="J8" s="13"/>
      <c r="K8" s="13"/>
      <c r="L8" s="13"/>
      <c r="M8" s="11" t="n">
        <f aca="false">IF(F8="","",COUNTIFS(ENSAYOS!$C$5:$C$3004,F8,ENSAYOS!$Q$5:$Q$3004,"&gt;0"))</f>
        <v>8</v>
      </c>
      <c r="N8" s="15" t="n">
        <f aca="false">IF(N(M8)=0,"",_xlfn.MINIFS(ENSAYOS!$G$5:$G$3004,ENSAYOS!$C$5:$C$3004,F8,ENSAYOS!$Q$5:$Q$3004,"&gt;0"))</f>
        <v>22</v>
      </c>
      <c r="O8" s="15" t="n">
        <f aca="false">IF(N(M8)=0,"",_xlfn.MAXIFS(ENSAYOS!$G$5:$G$3004,ENSAYOS!$C$5:$C$3004,F8,ENSAYOS!$Q$5:$Q$3004,"&gt;0"))</f>
        <v>22</v>
      </c>
      <c r="P8" s="16" t="n">
        <f aca="false">IF(N(M8)=0,"",AVERAGEIFS(ENSAYOS!$Q$5:$Q$3004,ENSAYOS!$C$5:$C$3004,F8,ENSAYOS!$Q$5:$Q$3004,"&gt;0"))</f>
        <v>75.9199039720646</v>
      </c>
      <c r="Q8" s="16" t="n">
        <f aca="false">IF(N(M8)=0,"",_xlfn.MINIFS(ENSAYOS!$Q$5:$Q$3004,ENSAYOS!$C$5:$C$3004,F8,ENSAYOS!$Q$5:$Q$3004,"&gt;0"))</f>
        <v>65.0894805761676</v>
      </c>
      <c r="R8" s="16" t="n">
        <f aca="false">IF(N(M8)=0,"",_xlfn.MAXIFS(ENSAYOS!$Q$5:$Q$3004,ENSAYOS!$C$5:$C$3004,F8,ENSAYOS!$Q$5:$Q$3004,"&gt;0"))</f>
        <v>87.4779572239197</v>
      </c>
      <c r="S8" s="16" t="n">
        <f aca="false">IF(N(M8)&lt;2,"",SQRT(MAX(0,(SUMIFS(ENSAYOS!$X$5:$X$3004,ENSAYOS!$C$5:$C$3004,F8,ENSAYOS!$Q$5:$Q$3004,"&gt;0")-M8*P8^2)/(M8-1))))</f>
        <v>9.74418288849319</v>
      </c>
      <c r="T8" s="17" t="n">
        <f aca="false">IF(S8="","",S8/P8)</f>
        <v>0.12834819828116</v>
      </c>
      <c r="U8" s="16" t="n">
        <f aca="false">IF(N(M8)=0,"",IF(N8&gt;=CONFIG!$B$27,"",AVERAGEIFS(ENSAYOS!$Q$5:$Q$3004,ENSAYOS!$C$5:$C$3004,F8,ENSAYOS!$Q$5:$Q$3004,"&gt;0",ENSAYOS!$G$5:$G$3004,N8)))</f>
        <v>75.9199039720646</v>
      </c>
      <c r="V8" s="16" t="str">
        <f aca="false">IF(N(M8)=0,"",IF(COUNTIFS(ENSAYOS!$C$5:$C$3004,F8,ENSAYOS!$Q$5:$Q$3004,"&gt;0",ENSAYOS!$G$5:$G$3004,"&gt;="&amp;CONFIG!$B$27)=0,"",AVERAGEIFS(ENSAYOS!$Q$5:$Q$3004,ENSAYOS!$C$5:$C$3004,F8,ENSAYOS!$Q$5:$Q$3004,"&gt;0",ENSAYOS!$G$5:$G$3004,"&gt;="&amp;CONFIG!$B$27)))</f>
        <v/>
      </c>
      <c r="W8" s="18" t="str">
        <f aca="false">IF(AND(U8&lt;&gt;"",V8&lt;&gt;""),U8/V8,"")</f>
        <v/>
      </c>
      <c r="X8" s="18" t="n">
        <f aca="false">IF(U8="","",INDEX('CURVA EDAD'!$E$5:$E$32,MIN(28,MAX(1,N8))))</f>
        <v>0.983</v>
      </c>
      <c r="Y8" s="16" t="n">
        <f aca="false">IF(V8&lt;&gt;"",V8,IF(U8="","",U8/X8))</f>
        <v>77.2328626368918</v>
      </c>
      <c r="Z8" s="16" t="n">
        <f aca="false">IF(V8&lt;&gt;"",_xlfn.MINIFS(ENSAYOS!$Q$5:$Q$3004,ENSAYOS!$C$5:$C$3004,F8,ENSAYOS!$Q$5:$Q$3004,"&gt;0",ENSAYOS!$G$5:$G$3004,"&gt;="&amp;CONFIG!$B$27),IF(U8="","",_xlfn.MINIFS(ENSAYOS!$Q$5:$Q$3004,ENSAYOS!$C$5:$C$3004,F8,ENSAYOS!$Q$5:$Q$3004,"&gt;0",ENSAYOS!$G$5:$G$3004,N8)/X8))</f>
        <v>66.2151379208216</v>
      </c>
      <c r="AA8" s="16" t="str">
        <f aca="false">IF(D8="","",IFERROR(1/(1/INDEX(CONFIG!$J$5:$J$14,MATCH(D8,CONFIG!$D$5:$D$14,0))),""))</f>
        <v/>
      </c>
      <c r="AB8" s="16" t="str">
        <f aca="false">IF(D8="","",IFERROR(1/(1/INDEX(CONFIG!$K$5:$K$14,MATCH(D8,CONFIG!$D$5:$D$14,0))),""))</f>
        <v/>
      </c>
      <c r="AC8" s="19" t="str">
        <f aca="false">IF(N(M8)=0,"",IF(AA8="","Sin spec",IF(AND(Y8&gt;=AA8,OR(AB8="",Z8&gt;=AB8)),"CUMPLE","NO CUMPLE")&amp;IF(V8=""," (est.)","")))</f>
        <v>Sin spec</v>
      </c>
      <c r="AD8" s="20" t="str">
        <f aca="false">IF(F8="","",IF(COUNTIFS(ABSORCION!$C$5:$C$1004,F8,ABSORCION!$I$5:$I$1004,"&gt;0")=0,"",AVERAGEIFS(ABSORCION!$I$5:$I$1004,ABSORCION!$C$5:$C$1004,F8,ABSORCION!$I$5:$I$1004,"&gt;0")))</f>
        <v/>
      </c>
      <c r="AE8" s="20" t="str">
        <f aca="false">IF(F8="","",IF(COUNTIFS(ABSORCION!$C$5:$C$1004,F8,ABSORCION!$I$5:$I$1004,"&gt;0")=0,"",AVERAGEIFS(ABSORCION!$K$5:$K$1004,ABSORCION!$C$5:$C$1004,F8,ABSORCION!$I$5:$I$1004,"&gt;0")))</f>
        <v/>
      </c>
      <c r="AF8" s="20" t="str">
        <f aca="false">IF(AE8="","",IF(AE8&gt;=CONFIG!$E$21,CONFIG!$F$21,IF(AE8&gt;=CONFIG!$E$20,CONFIG!$F$20,CONFIG!$F$19)))</f>
        <v/>
      </c>
      <c r="AG8" s="21" t="str">
        <f aca="false">IF(F8="","",TRIM(IF(N(M8)=0,"Sin ensayos. ","")&amp;IF(AND(N(M8)&gt;0,N(M8)&lt;CONFIG!$B$26),"Menos de "&amp;CONFIG!$B$26&amp;" probetas. ","")&amp;IF(N(T8)&gt;CONFIG!$B$25,"CV alto. ","")&amp;IF(AND(N(AD8)&gt;0,N(AD8)&gt;N(AF8)),"Absorción alta. ","")))</f>
        <v/>
      </c>
      <c r="AH8" s="22" t="str">
        <f aca="false">IF(AND(N(M8)&gt;0,OR(CONTROL!$C$4="TODAS",C8=CONTROL!$C$4),D8=CONTROL!$C$5),MAX($AH$4:AH7)+1,"")</f>
        <v/>
      </c>
      <c r="AI8" s="22" t="str">
        <f aca="false">IF(AH8="","",P8^2)</f>
        <v/>
      </c>
    </row>
    <row r="9" customFormat="false" ht="15" hidden="false" customHeight="false" outlineLevel="0" collapsed="false">
      <c r="A9" s="11" t="n">
        <f aca="false">IF(B9="","",ROW()-4)</f>
        <v>5</v>
      </c>
      <c r="B9" s="12" t="n">
        <v>45646</v>
      </c>
      <c r="C9" s="13" t="s">
        <v>83</v>
      </c>
      <c r="D9" s="13" t="s">
        <v>84</v>
      </c>
      <c r="E9" s="13"/>
      <c r="F9" s="14" t="str">
        <f aca="false">IF(OR(B9="",C9="",D9=""),"",IFERROR(INDEX(CONFIG!$E$5:$E$14,MATCH(D9,CONFIG!$D$5:$D$14,0)),"?")&amp;RIGHT("0"&amp;DAY(B9),2)&amp;RIGHT("0"&amp;MONTH(B9),2)&amp;RIGHT(YEAR(B9),2)&amp;C9&amp;IF(E9="","","-"&amp;E9))</f>
        <v>8201224P1</v>
      </c>
      <c r="G9" s="13" t="s">
        <v>89</v>
      </c>
      <c r="H9" s="13"/>
      <c r="I9" s="13"/>
      <c r="J9" s="13"/>
      <c r="K9" s="13"/>
      <c r="L9" s="13"/>
      <c r="M9" s="11" t="n">
        <f aca="false">IF(F9="","",COUNTIFS(ENSAYOS!$C$5:$C$3004,F9,ENSAYOS!$Q$5:$Q$3004,"&gt;0"))</f>
        <v>9</v>
      </c>
      <c r="N9" s="15" t="n">
        <f aca="false">IF(N(M9)=0,"",_xlfn.MINIFS(ENSAYOS!$G$5:$G$3004,ENSAYOS!$C$5:$C$3004,F9,ENSAYOS!$Q$5:$Q$3004,"&gt;0"))</f>
        <v>34</v>
      </c>
      <c r="O9" s="15" t="n">
        <f aca="false">IF(N(M9)=0,"",_xlfn.MAXIFS(ENSAYOS!$G$5:$G$3004,ENSAYOS!$C$5:$C$3004,F9,ENSAYOS!$Q$5:$Q$3004,"&gt;0"))</f>
        <v>34</v>
      </c>
      <c r="P9" s="16" t="n">
        <f aca="false">IF(N(M9)=0,"",AVERAGEIFS(ENSAYOS!$Q$5:$Q$3004,ENSAYOS!$C$5:$C$3004,F9,ENSAYOS!$Q$5:$Q$3004,"&gt;0"))</f>
        <v>85.0364600238018</v>
      </c>
      <c r="Q9" s="16" t="n">
        <f aca="false">IF(N(M9)=0,"",_xlfn.MINIFS(ENSAYOS!$Q$5:$Q$3004,ENSAYOS!$C$5:$C$3004,F9,ENSAYOS!$Q$5:$Q$3004,"&gt;0"))</f>
        <v>65.9084712755599</v>
      </c>
      <c r="R9" s="16" t="n">
        <f aca="false">IF(N(M9)=0,"",_xlfn.MAXIFS(ENSAYOS!$Q$5:$Q$3004,ENSAYOS!$C$5:$C$3004,F9,ENSAYOS!$Q$5:$Q$3004,"&gt;0"))</f>
        <v>98.9912366114898</v>
      </c>
      <c r="S9" s="16" t="n">
        <f aca="false">IF(N(M9)&lt;2,"",SQRT(MAX(0,(SUMIFS(ENSAYOS!$X$5:$X$3004,ENSAYOS!$C$5:$C$3004,F9,ENSAYOS!$Q$5:$Q$3004,"&gt;0")-M9*P9^2)/(M9-1))))</f>
        <v>11.4438903164949</v>
      </c>
      <c r="T9" s="17" t="n">
        <f aca="false">IF(S9="","",S9/P9)</f>
        <v>0.134576278378612</v>
      </c>
      <c r="U9" s="16" t="str">
        <f aca="false">IF(N(M9)=0,"",IF(N9&gt;=CONFIG!$B$27,"",AVERAGEIFS(ENSAYOS!$Q$5:$Q$3004,ENSAYOS!$C$5:$C$3004,F9,ENSAYOS!$Q$5:$Q$3004,"&gt;0",ENSAYOS!$G$5:$G$3004,N9)))</f>
        <v/>
      </c>
      <c r="V9" s="16" t="n">
        <f aca="false">IF(N(M9)=0,"",IF(COUNTIFS(ENSAYOS!$C$5:$C$3004,F9,ENSAYOS!$Q$5:$Q$3004,"&gt;0",ENSAYOS!$G$5:$G$3004,"&gt;="&amp;CONFIG!$B$27)=0,"",AVERAGEIFS(ENSAYOS!$Q$5:$Q$3004,ENSAYOS!$C$5:$C$3004,F9,ENSAYOS!$Q$5:$Q$3004,"&gt;0",ENSAYOS!$G$5:$G$3004,"&gt;="&amp;CONFIG!$B$27)))</f>
        <v>85.0364600238018</v>
      </c>
      <c r="W9" s="18" t="str">
        <f aca="false">IF(AND(U9&lt;&gt;"",V9&lt;&gt;""),U9/V9,"")</f>
        <v/>
      </c>
      <c r="X9" s="18" t="str">
        <f aca="false">IF(U9="","",INDEX('CURVA EDAD'!$E$5:$E$32,MIN(28,MAX(1,N9))))</f>
        <v/>
      </c>
      <c r="Y9" s="16" t="n">
        <f aca="false">IF(V9&lt;&gt;"",V9,IF(U9="","",U9/X9))</f>
        <v>85.0364600238018</v>
      </c>
      <c r="Z9" s="16" t="n">
        <f aca="false">IF(V9&lt;&gt;"",_xlfn.MINIFS(ENSAYOS!$Q$5:$Q$3004,ENSAYOS!$C$5:$C$3004,F9,ENSAYOS!$Q$5:$Q$3004,"&gt;0",ENSAYOS!$G$5:$G$3004,"&gt;="&amp;CONFIG!$B$27),IF(U9="","",_xlfn.MINIFS(ENSAYOS!$Q$5:$Q$3004,ENSAYOS!$C$5:$C$3004,F9,ENSAYOS!$Q$5:$Q$3004,"&gt;0",ENSAYOS!$G$5:$G$3004,N9)/X9))</f>
        <v>65.9084712755599</v>
      </c>
      <c r="AA9" s="16" t="str">
        <f aca="false">IF(D9="","",IFERROR(1/(1/INDEX(CONFIG!$J$5:$J$14,MATCH(D9,CONFIG!$D$5:$D$14,0))),""))</f>
        <v/>
      </c>
      <c r="AB9" s="16" t="str">
        <f aca="false">IF(D9="","",IFERROR(1/(1/INDEX(CONFIG!$K$5:$K$14,MATCH(D9,CONFIG!$D$5:$D$14,0))),""))</f>
        <v/>
      </c>
      <c r="AC9" s="19" t="str">
        <f aca="false">IF(N(M9)=0,"",IF(AA9="","Sin spec",IF(AND(Y9&gt;=AA9,OR(AB9="",Z9&gt;=AB9)),"CUMPLE","NO CUMPLE")&amp;IF(V9=""," (est.)","")))</f>
        <v>Sin spec</v>
      </c>
      <c r="AD9" s="20" t="str">
        <f aca="false">IF(F9="","",IF(COUNTIFS(ABSORCION!$C$5:$C$1004,F9,ABSORCION!$I$5:$I$1004,"&gt;0")=0,"",AVERAGEIFS(ABSORCION!$I$5:$I$1004,ABSORCION!$C$5:$C$1004,F9,ABSORCION!$I$5:$I$1004,"&gt;0")))</f>
        <v/>
      </c>
      <c r="AE9" s="20" t="str">
        <f aca="false">IF(F9="","",IF(COUNTIFS(ABSORCION!$C$5:$C$1004,F9,ABSORCION!$I$5:$I$1004,"&gt;0")=0,"",AVERAGEIFS(ABSORCION!$K$5:$K$1004,ABSORCION!$C$5:$C$1004,F9,ABSORCION!$I$5:$I$1004,"&gt;0")))</f>
        <v/>
      </c>
      <c r="AF9" s="20" t="str">
        <f aca="false">IF(AE9="","",IF(AE9&gt;=CONFIG!$E$21,CONFIG!$F$21,IF(AE9&gt;=CONFIG!$E$20,CONFIG!$F$20,CONFIG!$F$19)))</f>
        <v/>
      </c>
      <c r="AG9" s="21" t="str">
        <f aca="false">IF(F9="","",TRIM(IF(N(M9)=0,"Sin ensayos. ","")&amp;IF(AND(N(M9)&gt;0,N(M9)&lt;CONFIG!$B$26),"Menos de "&amp;CONFIG!$B$26&amp;" probetas. ","")&amp;IF(N(T9)&gt;CONFIG!$B$25,"CV alto. ","")&amp;IF(AND(N(AD9)&gt;0,N(AD9)&gt;N(AF9)),"Absorción alta. ","")))</f>
        <v/>
      </c>
      <c r="AH9" s="22" t="n">
        <f aca="false">IF(AND(N(M9)&gt;0,OR(CONTROL!$C$4="TODAS",C9=CONTROL!$C$4),D9=CONTROL!$C$5),MAX($AH$4:AH8)+1,"")</f>
        <v>4</v>
      </c>
      <c r="AI9" s="22" t="n">
        <f aca="false">IF(AH9="","",P9^2)</f>
        <v>7231.19953337964</v>
      </c>
    </row>
    <row r="10" customFormat="false" ht="15" hidden="false" customHeight="false" outlineLevel="0" collapsed="false">
      <c r="A10" s="11" t="n">
        <f aca="false">IF(B10="","",ROW()-4)</f>
        <v>6</v>
      </c>
      <c r="B10" s="12" t="n">
        <v>45646</v>
      </c>
      <c r="C10" s="13" t="s">
        <v>86</v>
      </c>
      <c r="D10" s="13" t="s">
        <v>84</v>
      </c>
      <c r="E10" s="13"/>
      <c r="F10" s="14" t="str">
        <f aca="false">IF(OR(B10="",C10="",D10=""),"",IFERROR(INDEX(CONFIG!$E$5:$E$14,MATCH(D10,CONFIG!$D$5:$D$14,0)),"?")&amp;RIGHT("0"&amp;DAY(B10),2)&amp;RIGHT("0"&amp;MONTH(B10),2)&amp;RIGHT(YEAR(B10),2)&amp;C10&amp;IF(E10="","","-"&amp;E10))</f>
        <v>8201224P2</v>
      </c>
      <c r="G10" s="13" t="s">
        <v>88</v>
      </c>
      <c r="H10" s="13"/>
      <c r="I10" s="13"/>
      <c r="J10" s="13"/>
      <c r="K10" s="13"/>
      <c r="L10" s="13"/>
      <c r="M10" s="11" t="n">
        <f aca="false">IF(F10="","",COUNTIFS(ENSAYOS!$C$5:$C$3004,F10,ENSAYOS!$Q$5:$Q$3004,"&gt;0"))</f>
        <v>9</v>
      </c>
      <c r="N10" s="15" t="n">
        <f aca="false">IF(N(M10)=0,"",_xlfn.MINIFS(ENSAYOS!$G$5:$G$3004,ENSAYOS!$C$5:$C$3004,F10,ENSAYOS!$Q$5:$Q$3004,"&gt;0"))</f>
        <v>26</v>
      </c>
      <c r="O10" s="15" t="n">
        <f aca="false">IF(N(M10)=0,"",_xlfn.MAXIFS(ENSAYOS!$G$5:$G$3004,ENSAYOS!$C$5:$C$3004,F10,ENSAYOS!$Q$5:$Q$3004,"&gt;0"))</f>
        <v>26</v>
      </c>
      <c r="P10" s="16" t="n">
        <f aca="false">IF(N(M10)=0,"",AVERAGEIFS(ENSAYOS!$Q$5:$Q$3004,ENSAYOS!$C$5:$C$3004,F10,ENSAYOS!$Q$5:$Q$3004,"&gt;0"))</f>
        <v>104.07652886745</v>
      </c>
      <c r="Q10" s="16" t="n">
        <f aca="false">IF(N(M10)=0,"",_xlfn.MINIFS(ENSAYOS!$Q$5:$Q$3004,ENSAYOS!$C$5:$C$3004,F10,ENSAYOS!$Q$5:$Q$3004,"&gt;0"))</f>
        <v>56.7153521583901</v>
      </c>
      <c r="R10" s="16" t="n">
        <f aca="false">IF(N(M10)=0,"",_xlfn.MAXIFS(ENSAYOS!$Q$5:$Q$3004,ENSAYOS!$C$5:$C$3004,F10,ENSAYOS!$Q$5:$Q$3004,"&gt;0"))</f>
        <v>127.385421213444</v>
      </c>
      <c r="S10" s="16" t="n">
        <f aca="false">IF(N(M10)&lt;2,"",SQRT(MAX(0,(SUMIFS(ENSAYOS!$X$5:$X$3004,ENSAYOS!$C$5:$C$3004,F10,ENSAYOS!$Q$5:$Q$3004,"&gt;0")-M10*P10^2)/(M10-1))))</f>
        <v>24.3946480477898</v>
      </c>
      <c r="T10" s="17" t="n">
        <f aca="false">IF(S10="","",S10/P10)</f>
        <v>0.23439144553772</v>
      </c>
      <c r="U10" s="16" t="str">
        <f aca="false">IF(N(M10)=0,"",IF(N10&gt;=CONFIG!$B$27,"",AVERAGEIFS(ENSAYOS!$Q$5:$Q$3004,ENSAYOS!$C$5:$C$3004,F10,ENSAYOS!$Q$5:$Q$3004,"&gt;0",ENSAYOS!$G$5:$G$3004,N10)))</f>
        <v/>
      </c>
      <c r="V10" s="16" t="n">
        <f aca="false">IF(N(M10)=0,"",IF(COUNTIFS(ENSAYOS!$C$5:$C$3004,F10,ENSAYOS!$Q$5:$Q$3004,"&gt;0",ENSAYOS!$G$5:$G$3004,"&gt;="&amp;CONFIG!$B$27)=0,"",AVERAGEIFS(ENSAYOS!$Q$5:$Q$3004,ENSAYOS!$C$5:$C$3004,F10,ENSAYOS!$Q$5:$Q$3004,"&gt;0",ENSAYOS!$G$5:$G$3004,"&gt;="&amp;CONFIG!$B$27)))</f>
        <v>104.07652886745</v>
      </c>
      <c r="W10" s="18" t="str">
        <f aca="false">IF(AND(U10&lt;&gt;"",V10&lt;&gt;""),U10/V10,"")</f>
        <v/>
      </c>
      <c r="X10" s="18" t="str">
        <f aca="false">IF(U10="","",INDEX('CURVA EDAD'!$E$5:$E$32,MIN(28,MAX(1,N10))))</f>
        <v/>
      </c>
      <c r="Y10" s="16" t="n">
        <f aca="false">IF(V10&lt;&gt;"",V10,IF(U10="","",U10/X10))</f>
        <v>104.07652886745</v>
      </c>
      <c r="Z10" s="16" t="n">
        <f aca="false">IF(V10&lt;&gt;"",_xlfn.MINIFS(ENSAYOS!$Q$5:$Q$3004,ENSAYOS!$C$5:$C$3004,F10,ENSAYOS!$Q$5:$Q$3004,"&gt;0",ENSAYOS!$G$5:$G$3004,"&gt;="&amp;CONFIG!$B$27),IF(U10="","",_xlfn.MINIFS(ENSAYOS!$Q$5:$Q$3004,ENSAYOS!$C$5:$C$3004,F10,ENSAYOS!$Q$5:$Q$3004,"&gt;0",ENSAYOS!$G$5:$G$3004,N10)/X10))</f>
        <v>56.7153521583901</v>
      </c>
      <c r="AA10" s="16" t="str">
        <f aca="false">IF(D10="","",IFERROR(1/(1/INDEX(CONFIG!$J$5:$J$14,MATCH(D10,CONFIG!$D$5:$D$14,0))),""))</f>
        <v/>
      </c>
      <c r="AB10" s="16" t="str">
        <f aca="false">IF(D10="","",IFERROR(1/(1/INDEX(CONFIG!$K$5:$K$14,MATCH(D10,CONFIG!$D$5:$D$14,0))),""))</f>
        <v/>
      </c>
      <c r="AC10" s="19" t="str">
        <f aca="false">IF(N(M10)=0,"",IF(AA10="","Sin spec",IF(AND(Y10&gt;=AA10,OR(AB10="",Z10&gt;=AB10)),"CUMPLE","NO CUMPLE")&amp;IF(V10=""," (est.)","")))</f>
        <v>Sin spec</v>
      </c>
      <c r="AD10" s="20" t="str">
        <f aca="false">IF(F10="","",IF(COUNTIFS(ABSORCION!$C$5:$C$1004,F10,ABSORCION!$I$5:$I$1004,"&gt;0")=0,"",AVERAGEIFS(ABSORCION!$I$5:$I$1004,ABSORCION!$C$5:$C$1004,F10,ABSORCION!$I$5:$I$1004,"&gt;0")))</f>
        <v/>
      </c>
      <c r="AE10" s="20" t="str">
        <f aca="false">IF(F10="","",IF(COUNTIFS(ABSORCION!$C$5:$C$1004,F10,ABSORCION!$I$5:$I$1004,"&gt;0")=0,"",AVERAGEIFS(ABSORCION!$K$5:$K$1004,ABSORCION!$C$5:$C$1004,F10,ABSORCION!$I$5:$I$1004,"&gt;0")))</f>
        <v/>
      </c>
      <c r="AF10" s="20" t="str">
        <f aca="false">IF(AE10="","",IF(AE10&gt;=CONFIG!$E$21,CONFIG!$F$21,IF(AE10&gt;=CONFIG!$E$20,CONFIG!$F$20,CONFIG!$F$19)))</f>
        <v/>
      </c>
      <c r="AG10" s="21" t="str">
        <f aca="false">IF(F10="","",TRIM(IF(N(M10)=0,"Sin ensayos. ","")&amp;IF(AND(N(M10)&gt;0,N(M10)&lt;CONFIG!$B$26),"Menos de "&amp;CONFIG!$B$26&amp;" probetas. ","")&amp;IF(N(T10)&gt;CONFIG!$B$25,"CV alto. ","")&amp;IF(AND(N(AD10)&gt;0,N(AD10)&gt;N(AF10)),"Absorción alta. ","")))</f>
        <v>CV alto.</v>
      </c>
      <c r="AH10" s="22" t="n">
        <f aca="false">IF(AND(N(M10)&gt;0,OR(CONTROL!$C$4="TODAS",C10=CONTROL!$C$4),D10=CONTROL!$C$5),MAX($AH$4:AH9)+1,"")</f>
        <v>5</v>
      </c>
      <c r="AI10" s="22" t="n">
        <f aca="false">IF(AH10="","",P10^2)</f>
        <v>10831.9238610971</v>
      </c>
    </row>
    <row r="11" customFormat="false" ht="15" hidden="false" customHeight="false" outlineLevel="0" collapsed="false">
      <c r="A11" s="11" t="n">
        <f aca="false">IF(B11="","",ROW()-4)</f>
        <v>7</v>
      </c>
      <c r="B11" s="12" t="n">
        <v>45649</v>
      </c>
      <c r="C11" s="13" t="s">
        <v>83</v>
      </c>
      <c r="D11" s="13" t="s">
        <v>84</v>
      </c>
      <c r="E11" s="13"/>
      <c r="F11" s="14" t="str">
        <f aca="false">IF(OR(B11="",C11="",D11=""),"",IFERROR(INDEX(CONFIG!$E$5:$E$14,MATCH(D11,CONFIG!$D$5:$D$14,0)),"?")&amp;RIGHT("0"&amp;DAY(B11),2)&amp;RIGHT("0"&amp;MONTH(B11),2)&amp;RIGHT(YEAR(B11),2)&amp;C11&amp;IF(E11="","","-"&amp;E11))</f>
        <v>8231224P1</v>
      </c>
      <c r="G11" s="13" t="s">
        <v>90</v>
      </c>
      <c r="H11" s="13"/>
      <c r="I11" s="13"/>
      <c r="J11" s="13"/>
      <c r="K11" s="13"/>
      <c r="L11" s="13"/>
      <c r="M11" s="11" t="n">
        <f aca="false">IF(F11="","",COUNTIFS(ENSAYOS!$C$5:$C$3004,F11,ENSAYOS!$Q$5:$Q$3004,"&gt;0"))</f>
        <v>8</v>
      </c>
      <c r="N11" s="15" t="n">
        <f aca="false">IF(N(M11)=0,"",_xlfn.MINIFS(ENSAYOS!$G$5:$G$3004,ENSAYOS!$C$5:$C$3004,F11,ENSAYOS!$Q$5:$Q$3004,"&gt;0"))</f>
        <v>38</v>
      </c>
      <c r="O11" s="15" t="n">
        <f aca="false">IF(N(M11)=0,"",_xlfn.MAXIFS(ENSAYOS!$G$5:$G$3004,ENSAYOS!$C$5:$C$3004,F11,ENSAYOS!$Q$5:$Q$3004,"&gt;0"))</f>
        <v>39</v>
      </c>
      <c r="P11" s="16" t="n">
        <f aca="false">IF(N(M11)=0,"",AVERAGEIFS(ENSAYOS!$Q$5:$Q$3004,ENSAYOS!$C$5:$C$3004,F11,ENSAYOS!$Q$5:$Q$3004,"&gt;0"))</f>
        <v>80.4219409282701</v>
      </c>
      <c r="Q11" s="16" t="n">
        <f aca="false">IF(N(M11)=0,"",_xlfn.MINIFS(ENSAYOS!$Q$5:$Q$3004,ENSAYOS!$C$5:$C$3004,F11,ENSAYOS!$Q$5:$Q$3004,"&gt;0"))</f>
        <v>60.3726062966569</v>
      </c>
      <c r="R11" s="16" t="n">
        <f aca="false">IF(N(M11)=0,"",_xlfn.MAXIFS(ENSAYOS!$Q$5:$Q$3004,ENSAYOS!$C$5:$C$3004,F11,ENSAYOS!$Q$5:$Q$3004,"&gt;0"))</f>
        <v>102.107108081792</v>
      </c>
      <c r="S11" s="16" t="n">
        <f aca="false">IF(N(M11)&lt;2,"",SQRT(MAX(0,(SUMIFS(ENSAYOS!$X$5:$X$3004,ENSAYOS!$C$5:$C$3004,F11,ENSAYOS!$Q$5:$Q$3004,"&gt;0")-M11*P11^2)/(M11-1))))</f>
        <v>12.2618664225523</v>
      </c>
      <c r="T11" s="17" t="n">
        <f aca="false">IF(S11="","",S11/P11)</f>
        <v>0.152469168003405</v>
      </c>
      <c r="U11" s="16" t="str">
        <f aca="false">IF(N(M11)=0,"",IF(N11&gt;=CONFIG!$B$27,"",AVERAGEIFS(ENSAYOS!$Q$5:$Q$3004,ENSAYOS!$C$5:$C$3004,F11,ENSAYOS!$Q$5:$Q$3004,"&gt;0",ENSAYOS!$G$5:$G$3004,N11)))</f>
        <v/>
      </c>
      <c r="V11" s="16" t="n">
        <f aca="false">IF(N(M11)=0,"",IF(COUNTIFS(ENSAYOS!$C$5:$C$3004,F11,ENSAYOS!$Q$5:$Q$3004,"&gt;0",ENSAYOS!$G$5:$G$3004,"&gt;="&amp;CONFIG!$B$27)=0,"",AVERAGEIFS(ENSAYOS!$Q$5:$Q$3004,ENSAYOS!$C$5:$C$3004,F11,ENSAYOS!$Q$5:$Q$3004,"&gt;0",ENSAYOS!$G$5:$G$3004,"&gt;="&amp;CONFIG!$B$27)))</f>
        <v>80.4219409282701</v>
      </c>
      <c r="W11" s="18" t="str">
        <f aca="false">IF(AND(U11&lt;&gt;"",V11&lt;&gt;""),U11/V11,"")</f>
        <v/>
      </c>
      <c r="X11" s="18" t="str">
        <f aca="false">IF(U11="","",INDEX('CURVA EDAD'!$E$5:$E$32,MIN(28,MAX(1,N11))))</f>
        <v/>
      </c>
      <c r="Y11" s="16" t="n">
        <f aca="false">IF(V11&lt;&gt;"",V11,IF(U11="","",U11/X11))</f>
        <v>80.4219409282701</v>
      </c>
      <c r="Z11" s="16" t="n">
        <f aca="false">IF(V11&lt;&gt;"",_xlfn.MINIFS(ENSAYOS!$Q$5:$Q$3004,ENSAYOS!$C$5:$C$3004,F11,ENSAYOS!$Q$5:$Q$3004,"&gt;0",ENSAYOS!$G$5:$G$3004,"&gt;="&amp;CONFIG!$B$27),IF(U11="","",_xlfn.MINIFS(ENSAYOS!$Q$5:$Q$3004,ENSAYOS!$C$5:$C$3004,F11,ENSAYOS!$Q$5:$Q$3004,"&gt;0",ENSAYOS!$G$5:$G$3004,N11)/X11))</f>
        <v>60.3726062966569</v>
      </c>
      <c r="AA11" s="16" t="str">
        <f aca="false">IF(D11="","",IFERROR(1/(1/INDEX(CONFIG!$J$5:$J$14,MATCH(D11,CONFIG!$D$5:$D$14,0))),""))</f>
        <v/>
      </c>
      <c r="AB11" s="16" t="str">
        <f aca="false">IF(D11="","",IFERROR(1/(1/INDEX(CONFIG!$K$5:$K$14,MATCH(D11,CONFIG!$D$5:$D$14,0))),""))</f>
        <v/>
      </c>
      <c r="AC11" s="19" t="str">
        <f aca="false">IF(N(M11)=0,"",IF(AA11="","Sin spec",IF(AND(Y11&gt;=AA11,OR(AB11="",Z11&gt;=AB11)),"CUMPLE","NO CUMPLE")&amp;IF(V11=""," (est.)","")))</f>
        <v>Sin spec</v>
      </c>
      <c r="AD11" s="20" t="str">
        <f aca="false">IF(F11="","",IF(COUNTIFS(ABSORCION!$C$5:$C$1004,F11,ABSORCION!$I$5:$I$1004,"&gt;0")=0,"",AVERAGEIFS(ABSORCION!$I$5:$I$1004,ABSORCION!$C$5:$C$1004,F11,ABSORCION!$I$5:$I$1004,"&gt;0")))</f>
        <v/>
      </c>
      <c r="AE11" s="20" t="str">
        <f aca="false">IF(F11="","",IF(COUNTIFS(ABSORCION!$C$5:$C$1004,F11,ABSORCION!$I$5:$I$1004,"&gt;0")=0,"",AVERAGEIFS(ABSORCION!$K$5:$K$1004,ABSORCION!$C$5:$C$1004,F11,ABSORCION!$I$5:$I$1004,"&gt;0")))</f>
        <v/>
      </c>
      <c r="AF11" s="20" t="str">
        <f aca="false">IF(AE11="","",IF(AE11&gt;=CONFIG!$E$21,CONFIG!$F$21,IF(AE11&gt;=CONFIG!$E$20,CONFIG!$F$20,CONFIG!$F$19)))</f>
        <v/>
      </c>
      <c r="AG11" s="21" t="str">
        <f aca="false">IF(F11="","",TRIM(IF(N(M11)=0,"Sin ensayos. ","")&amp;IF(AND(N(M11)&gt;0,N(M11)&lt;CONFIG!$B$26),"Menos de "&amp;CONFIG!$B$26&amp;" probetas. ","")&amp;IF(N(T11)&gt;CONFIG!$B$25,"CV alto. ","")&amp;IF(AND(N(AD11)&gt;0,N(AD11)&gt;N(AF11)),"Absorción alta. ","")))</f>
        <v>CV alto.</v>
      </c>
      <c r="AH11" s="22" t="n">
        <f aca="false">IF(AND(N(M11)&gt;0,OR(CONTROL!$C$4="TODAS",C11=CONTROL!$C$4),D11=CONTROL!$C$5),MAX($AH$4:AH10)+1,"")</f>
        <v>6</v>
      </c>
      <c r="AI11" s="22" t="n">
        <f aca="false">IF(AH11="","",P11^2)</f>
        <v>6467.68858267016</v>
      </c>
    </row>
    <row r="12" customFormat="false" ht="15" hidden="false" customHeight="false" outlineLevel="0" collapsed="false">
      <c r="A12" s="11" t="n">
        <f aca="false">IF(B12="","",ROW()-4)</f>
        <v>8</v>
      </c>
      <c r="B12" s="12" t="n">
        <v>45671</v>
      </c>
      <c r="C12" s="13" t="s">
        <v>83</v>
      </c>
      <c r="D12" s="13" t="s">
        <v>84</v>
      </c>
      <c r="E12" s="13"/>
      <c r="F12" s="14" t="str">
        <f aca="false">IF(OR(B12="",C12="",D12=""),"",IFERROR(INDEX(CONFIG!$E$5:$E$14,MATCH(D12,CONFIG!$D$5:$D$14,0)),"?")&amp;RIGHT("0"&amp;DAY(B12),2)&amp;RIGHT("0"&amp;MONTH(B12),2)&amp;RIGHT(YEAR(B12),2)&amp;C12&amp;IF(E12="","","-"&amp;E12))</f>
        <v>8140125P1</v>
      </c>
      <c r="G12" s="13" t="s">
        <v>91</v>
      </c>
      <c r="H12" s="13"/>
      <c r="I12" s="13"/>
      <c r="J12" s="13"/>
      <c r="K12" s="13"/>
      <c r="L12" s="13"/>
      <c r="M12" s="11" t="n">
        <f aca="false">IF(F12="","",COUNTIFS(ENSAYOS!$C$5:$C$3004,F12,ENSAYOS!$Q$5:$Q$3004,"&gt;0"))</f>
        <v>5</v>
      </c>
      <c r="N12" s="15" t="n">
        <f aca="false">IF(N(M12)=0,"",_xlfn.MINIFS(ENSAYOS!$G$5:$G$3004,ENSAYOS!$C$5:$C$3004,F12,ENSAYOS!$Q$5:$Q$3004,"&gt;0"))</f>
        <v>4</v>
      </c>
      <c r="O12" s="15" t="n">
        <f aca="false">IF(N(M12)=0,"",_xlfn.MAXIFS(ENSAYOS!$G$5:$G$3004,ENSAYOS!$C$5:$C$3004,F12,ENSAYOS!$Q$5:$Q$3004,"&gt;0"))</f>
        <v>4</v>
      </c>
      <c r="P12" s="16" t="n">
        <f aca="false">IF(N(M12)=0,"",AVERAGEIFS(ENSAYOS!$Q$5:$Q$3004,ENSAYOS!$C$5:$C$3004,F12,ENSAYOS!$Q$5:$Q$3004,"&gt;0"))</f>
        <v>89.9051584237093</v>
      </c>
      <c r="Q12" s="16" t="n">
        <f aca="false">IF(N(M12)=0,"",_xlfn.MINIFS(ENSAYOS!$Q$5:$Q$3004,ENSAYOS!$C$5:$C$3004,F12,ENSAYOS!$Q$5:$Q$3004,"&gt;0"))</f>
        <v>78.4511522233041</v>
      </c>
      <c r="R12" s="16" t="n">
        <f aca="false">IF(N(M12)=0,"",_xlfn.MAXIFS(ENSAYOS!$Q$5:$Q$3004,ENSAYOS!$C$5:$C$3004,F12,ENSAYOS!$Q$5:$Q$3004,"&gt;0"))</f>
        <v>102.730685290266</v>
      </c>
      <c r="S12" s="16" t="n">
        <f aca="false">IF(N(M12)&lt;2,"",SQRT(MAX(0,(SUMIFS(ENSAYOS!$X$5:$X$3004,ENSAYOS!$C$5:$C$3004,F12,ENSAYOS!$Q$5:$Q$3004,"&gt;0")-M12*P12^2)/(M12-1))))</f>
        <v>9.8066015611987</v>
      </c>
      <c r="T12" s="17" t="n">
        <f aca="false">IF(S12="","",S12/P12)</f>
        <v>0.109077184592476</v>
      </c>
      <c r="U12" s="16" t="n">
        <f aca="false">IF(N(M12)=0,"",IF(N12&gt;=CONFIG!$B$27,"",AVERAGEIFS(ENSAYOS!$Q$5:$Q$3004,ENSAYOS!$C$5:$C$3004,F12,ENSAYOS!$Q$5:$Q$3004,"&gt;0",ENSAYOS!$G$5:$G$3004,N12)))</f>
        <v>89.9051584237093</v>
      </c>
      <c r="V12" s="16" t="str">
        <f aca="false">IF(N(M12)=0,"",IF(COUNTIFS(ENSAYOS!$C$5:$C$3004,F12,ENSAYOS!$Q$5:$Q$3004,"&gt;0",ENSAYOS!$G$5:$G$3004,"&gt;="&amp;CONFIG!$B$27)=0,"",AVERAGEIFS(ENSAYOS!$Q$5:$Q$3004,ENSAYOS!$C$5:$C$3004,F12,ENSAYOS!$Q$5:$Q$3004,"&gt;0",ENSAYOS!$G$5:$G$3004,"&gt;="&amp;CONFIG!$B$27)))</f>
        <v/>
      </c>
      <c r="W12" s="18" t="str">
        <f aca="false">IF(AND(U12&lt;&gt;"",V12&lt;&gt;""),U12/V12,"")</f>
        <v/>
      </c>
      <c r="X12" s="18" t="n">
        <f aca="false">IF(U12="","",INDEX('CURVA EDAD'!$E$5:$E$32,MIN(28,MAX(1,N12))))</f>
        <v>0.87</v>
      </c>
      <c r="Y12" s="16" t="n">
        <f aca="false">IF(V12&lt;&gt;"",V12,IF(U12="","",U12/X12))</f>
        <v>103.339262555988</v>
      </c>
      <c r="Z12" s="16" t="n">
        <f aca="false">IF(V12&lt;&gt;"",_xlfn.MINIFS(ENSAYOS!$Q$5:$Q$3004,ENSAYOS!$C$5:$C$3004,F12,ENSAYOS!$Q$5:$Q$3004,"&gt;0",ENSAYOS!$G$5:$G$3004,"&gt;="&amp;CONFIG!$B$27),IF(U12="","",_xlfn.MINIFS(ENSAYOS!$Q$5:$Q$3004,ENSAYOS!$C$5:$C$3004,F12,ENSAYOS!$Q$5:$Q$3004,"&gt;0",ENSAYOS!$G$5:$G$3004,N12)/X12))</f>
        <v>90.1737381877059</v>
      </c>
      <c r="AA12" s="16" t="str">
        <f aca="false">IF(D12="","",IFERROR(1/(1/INDEX(CONFIG!$J$5:$J$14,MATCH(D12,CONFIG!$D$5:$D$14,0))),""))</f>
        <v/>
      </c>
      <c r="AB12" s="16" t="str">
        <f aca="false">IF(D12="","",IFERROR(1/(1/INDEX(CONFIG!$K$5:$K$14,MATCH(D12,CONFIG!$D$5:$D$14,0))),""))</f>
        <v/>
      </c>
      <c r="AC12" s="19" t="str">
        <f aca="false">IF(N(M12)=0,"",IF(AA12="","Sin spec",IF(AND(Y12&gt;=AA12,OR(AB12="",Z12&gt;=AB12)),"CUMPLE","NO CUMPLE")&amp;IF(V12=""," (est.)","")))</f>
        <v>Sin spec</v>
      </c>
      <c r="AD12" s="20" t="str">
        <f aca="false">IF(F12="","",IF(COUNTIFS(ABSORCION!$C$5:$C$1004,F12,ABSORCION!$I$5:$I$1004,"&gt;0")=0,"",AVERAGEIFS(ABSORCION!$I$5:$I$1004,ABSORCION!$C$5:$C$1004,F12,ABSORCION!$I$5:$I$1004,"&gt;0")))</f>
        <v/>
      </c>
      <c r="AE12" s="20" t="str">
        <f aca="false">IF(F12="","",IF(COUNTIFS(ABSORCION!$C$5:$C$1004,F12,ABSORCION!$I$5:$I$1004,"&gt;0")=0,"",AVERAGEIFS(ABSORCION!$K$5:$K$1004,ABSORCION!$C$5:$C$1004,F12,ABSORCION!$I$5:$I$1004,"&gt;0")))</f>
        <v/>
      </c>
      <c r="AF12" s="20" t="str">
        <f aca="false">IF(AE12="","",IF(AE12&gt;=CONFIG!$E$21,CONFIG!$F$21,IF(AE12&gt;=CONFIG!$E$20,CONFIG!$F$20,CONFIG!$F$19)))</f>
        <v/>
      </c>
      <c r="AG12" s="21" t="str">
        <f aca="false">IF(F12="","",TRIM(IF(N(M12)=0,"Sin ensayos. ","")&amp;IF(AND(N(M12)&gt;0,N(M12)&lt;CONFIG!$B$26),"Menos de "&amp;CONFIG!$B$26&amp;" probetas. ","")&amp;IF(N(T12)&gt;CONFIG!$B$25,"CV alto. ","")&amp;IF(AND(N(AD12)&gt;0,N(AD12)&gt;N(AF12)),"Absorción alta. ","")))</f>
        <v/>
      </c>
      <c r="AH12" s="22" t="n">
        <f aca="false">IF(AND(N(M12)&gt;0,OR(CONTROL!$C$4="TODAS",C12=CONTROL!$C$4),D12=CONTROL!$C$5),MAX($AH$4:AH11)+1,"")</f>
        <v>7</v>
      </c>
      <c r="AI12" s="22" t="n">
        <f aca="false">IF(AH12="","",P12^2)</f>
        <v>8082.93751119226</v>
      </c>
    </row>
    <row r="13" customFormat="false" ht="15" hidden="false" customHeight="false" outlineLevel="0" collapsed="false">
      <c r="A13" s="11" t="n">
        <f aca="false">IF(B13="","",ROW()-4)</f>
        <v>9</v>
      </c>
      <c r="B13" s="12" t="n">
        <v>45674</v>
      </c>
      <c r="C13" s="13" t="s">
        <v>83</v>
      </c>
      <c r="D13" s="13" t="s">
        <v>84</v>
      </c>
      <c r="E13" s="13"/>
      <c r="F13" s="14" t="str">
        <f aca="false">IF(OR(B13="",C13="",D13=""),"",IFERROR(INDEX(CONFIG!$E$5:$E$14,MATCH(D13,CONFIG!$D$5:$D$14,0)),"?")&amp;RIGHT("0"&amp;DAY(B13),2)&amp;RIGHT("0"&amp;MONTH(B13),2)&amp;RIGHT(YEAR(B13),2)&amp;C13&amp;IF(E13="","","-"&amp;E13))</f>
        <v>8170125P1</v>
      </c>
      <c r="G13" s="13" t="s">
        <v>92</v>
      </c>
      <c r="H13" s="13"/>
      <c r="I13" s="13"/>
      <c r="J13" s="13"/>
      <c r="K13" s="13"/>
      <c r="L13" s="13"/>
      <c r="M13" s="11" t="n">
        <f aca="false">IF(F13="","",COUNTIFS(ENSAYOS!$C$5:$C$3004,F13,ENSAYOS!$Q$5:$Q$3004,"&gt;0"))</f>
        <v>5</v>
      </c>
      <c r="N13" s="15" t="n">
        <f aca="false">IF(N(M13)=0,"",_xlfn.MINIFS(ENSAYOS!$G$5:$G$3004,ENSAYOS!$C$5:$C$3004,F13,ENSAYOS!$Q$5:$Q$3004,"&gt;0"))</f>
        <v>5</v>
      </c>
      <c r="O13" s="15" t="n">
        <f aca="false">IF(N(M13)=0,"",_xlfn.MAXIFS(ENSAYOS!$G$5:$G$3004,ENSAYOS!$C$5:$C$3004,F13,ENSAYOS!$Q$5:$Q$3004,"&gt;0"))</f>
        <v>5</v>
      </c>
      <c r="P13" s="16" t="n">
        <f aca="false">IF(N(M13)=0,"",AVERAGEIFS(ENSAYOS!$Q$5:$Q$3004,ENSAYOS!$C$5:$C$3004,F13,ENSAYOS!$Q$5:$Q$3004,"&gt;0"))</f>
        <v>98.5167556435998</v>
      </c>
      <c r="Q13" s="16" t="n">
        <f aca="false">IF(N(M13)=0,"",_xlfn.MINIFS(ENSAYOS!$Q$5:$Q$3004,ENSAYOS!$C$5:$C$3004,F13,ENSAYOS!$Q$5:$Q$3004,"&gt;0"))</f>
        <v>79.6455696202532</v>
      </c>
      <c r="R13" s="16" t="n">
        <f aca="false">IF(N(M13)=0,"",_xlfn.MAXIFS(ENSAYOS!$Q$5:$Q$3004,ENSAYOS!$C$5:$C$3004,F13,ENSAYOS!$Q$5:$Q$3004,"&gt;0"))</f>
        <v>114.412920122217</v>
      </c>
      <c r="S13" s="16" t="n">
        <f aca="false">IF(N(M13)&lt;2,"",SQRT(MAX(0,(SUMIFS(ENSAYOS!$X$5:$X$3004,ENSAYOS!$C$5:$C$3004,F13,ENSAYOS!$Q$5:$Q$3004,"&gt;0")-M13*P13^2)/(M13-1))))</f>
        <v>15.1251011945823</v>
      </c>
      <c r="T13" s="17" t="n">
        <f aca="false">IF(S13="","",S13/P13)</f>
        <v>0.153528210462997</v>
      </c>
      <c r="U13" s="16" t="n">
        <f aca="false">IF(N(M13)=0,"",IF(N13&gt;=CONFIG!$B$27,"",AVERAGEIFS(ENSAYOS!$Q$5:$Q$3004,ENSAYOS!$C$5:$C$3004,F13,ENSAYOS!$Q$5:$Q$3004,"&gt;0",ENSAYOS!$G$5:$G$3004,N13)))</f>
        <v>98.5167556435998</v>
      </c>
      <c r="V13" s="16" t="str">
        <f aca="false">IF(N(M13)=0,"",IF(COUNTIFS(ENSAYOS!$C$5:$C$3004,F13,ENSAYOS!$Q$5:$Q$3004,"&gt;0",ENSAYOS!$G$5:$G$3004,"&gt;="&amp;CONFIG!$B$27)=0,"",AVERAGEIFS(ENSAYOS!$Q$5:$Q$3004,ENSAYOS!$C$5:$C$3004,F13,ENSAYOS!$Q$5:$Q$3004,"&gt;0",ENSAYOS!$G$5:$G$3004,"&gt;="&amp;CONFIG!$B$27)))</f>
        <v/>
      </c>
      <c r="W13" s="18" t="str">
        <f aca="false">IF(AND(U13&lt;&gt;"",V13&lt;&gt;""),U13/V13,"")</f>
        <v/>
      </c>
      <c r="X13" s="18" t="n">
        <f aca="false">IF(U13="","",INDEX('CURVA EDAD'!$E$5:$E$32,MIN(28,MAX(1,N13))))</f>
        <v>0.89</v>
      </c>
      <c r="Y13" s="16" t="n">
        <f aca="false">IF(V13&lt;&gt;"",V13,IF(U13="","",U13/X13))</f>
        <v>110.692983869213</v>
      </c>
      <c r="Z13" s="16" t="n">
        <f aca="false">IF(V13&lt;&gt;"",_xlfn.MINIFS(ENSAYOS!$Q$5:$Q$3004,ENSAYOS!$C$5:$C$3004,F13,ENSAYOS!$Q$5:$Q$3004,"&gt;0",ENSAYOS!$G$5:$G$3004,"&gt;="&amp;CONFIG!$B$27),IF(U13="","",_xlfn.MINIFS(ENSAYOS!$Q$5:$Q$3004,ENSAYOS!$C$5:$C$3004,F13,ENSAYOS!$Q$5:$Q$3004,"&gt;0",ENSAYOS!$G$5:$G$3004,N13)/X13))</f>
        <v>89.4894040677002</v>
      </c>
      <c r="AA13" s="16" t="str">
        <f aca="false">IF(D13="","",IFERROR(1/(1/INDEX(CONFIG!$J$5:$J$14,MATCH(D13,CONFIG!$D$5:$D$14,0))),""))</f>
        <v/>
      </c>
      <c r="AB13" s="16" t="str">
        <f aca="false">IF(D13="","",IFERROR(1/(1/INDEX(CONFIG!$K$5:$K$14,MATCH(D13,CONFIG!$D$5:$D$14,0))),""))</f>
        <v/>
      </c>
      <c r="AC13" s="19" t="str">
        <f aca="false">IF(N(M13)=0,"",IF(AA13="","Sin spec",IF(AND(Y13&gt;=AA13,OR(AB13="",Z13&gt;=AB13)),"CUMPLE","NO CUMPLE")&amp;IF(V13=""," (est.)","")))</f>
        <v>Sin spec</v>
      </c>
      <c r="AD13" s="20" t="str">
        <f aca="false">IF(F13="","",IF(COUNTIFS(ABSORCION!$C$5:$C$1004,F13,ABSORCION!$I$5:$I$1004,"&gt;0")=0,"",AVERAGEIFS(ABSORCION!$I$5:$I$1004,ABSORCION!$C$5:$C$1004,F13,ABSORCION!$I$5:$I$1004,"&gt;0")))</f>
        <v/>
      </c>
      <c r="AE13" s="20" t="str">
        <f aca="false">IF(F13="","",IF(COUNTIFS(ABSORCION!$C$5:$C$1004,F13,ABSORCION!$I$5:$I$1004,"&gt;0")=0,"",AVERAGEIFS(ABSORCION!$K$5:$K$1004,ABSORCION!$C$5:$C$1004,F13,ABSORCION!$I$5:$I$1004,"&gt;0")))</f>
        <v/>
      </c>
      <c r="AF13" s="20" t="str">
        <f aca="false">IF(AE13="","",IF(AE13&gt;=CONFIG!$E$21,CONFIG!$F$21,IF(AE13&gt;=CONFIG!$E$20,CONFIG!$F$20,CONFIG!$F$19)))</f>
        <v/>
      </c>
      <c r="AG13" s="21" t="str">
        <f aca="false">IF(F13="","",TRIM(IF(N(M13)=0,"Sin ensayos. ","")&amp;IF(AND(N(M13)&gt;0,N(M13)&lt;CONFIG!$B$26),"Menos de "&amp;CONFIG!$B$26&amp;" probetas. ","")&amp;IF(N(T13)&gt;CONFIG!$B$25,"CV alto. ","")&amp;IF(AND(N(AD13)&gt;0,N(AD13)&gt;N(AF13)),"Absorción alta. ","")))</f>
        <v>CV alto.</v>
      </c>
      <c r="AH13" s="22" t="n">
        <f aca="false">IF(AND(N(M13)&gt;0,OR(CONTROL!$C$4="TODAS",C13=CONTROL!$C$4),D13=CONTROL!$C$5),MAX($AH$4:AH12)+1,"")</f>
        <v>8</v>
      </c>
      <c r="AI13" s="22" t="n">
        <f aca="false">IF(AH13="","",P13^2)</f>
        <v>9705.55114254076</v>
      </c>
    </row>
    <row r="14" customFormat="false" ht="15" hidden="false" customHeight="false" outlineLevel="0" collapsed="false">
      <c r="A14" s="11" t="n">
        <f aca="false">IF(B14="","",ROW()-4)</f>
        <v>10</v>
      </c>
      <c r="B14" s="12" t="n">
        <v>45691</v>
      </c>
      <c r="C14" s="13" t="s">
        <v>86</v>
      </c>
      <c r="D14" s="13" t="s">
        <v>87</v>
      </c>
      <c r="E14" s="13"/>
      <c r="F14" s="14" t="str">
        <f aca="false">IF(OR(B14="",C14="",D14=""),"",IFERROR(INDEX(CONFIG!$E$5:$E$14,MATCH(D14,CONFIG!$D$5:$D$14,0)),"?")&amp;RIGHT("0"&amp;DAY(B14),2)&amp;RIGHT("0"&amp;MONTH(B14),2)&amp;RIGHT(YEAR(B14),2)&amp;C14&amp;IF(E14="","","-"&amp;E14))</f>
        <v>6030225P2</v>
      </c>
      <c r="G14" s="13" t="s">
        <v>93</v>
      </c>
      <c r="H14" s="13"/>
      <c r="I14" s="13"/>
      <c r="J14" s="13"/>
      <c r="K14" s="13"/>
      <c r="L14" s="13"/>
      <c r="M14" s="11" t="n">
        <f aca="false">IF(F14="","",COUNTIFS(ENSAYOS!$C$5:$C$3004,F14,ENSAYOS!$Q$5:$Q$3004,"&gt;0"))</f>
        <v>7</v>
      </c>
      <c r="N14" s="15" t="n">
        <f aca="false">IF(N(M14)=0,"",_xlfn.MINIFS(ENSAYOS!$G$5:$G$3004,ENSAYOS!$C$5:$C$3004,F14,ENSAYOS!$Q$5:$Q$3004,"&gt;0"))</f>
        <v>3</v>
      </c>
      <c r="O14" s="15" t="n">
        <f aca="false">IF(N(M14)=0,"",_xlfn.MAXIFS(ENSAYOS!$G$5:$G$3004,ENSAYOS!$C$5:$C$3004,F14,ENSAYOS!$Q$5:$Q$3004,"&gt;0"))</f>
        <v>3</v>
      </c>
      <c r="P14" s="16" t="n">
        <f aca="false">IF(N(M14)=0,"",AVERAGEIFS(ENSAYOS!$Q$5:$Q$3004,ENSAYOS!$C$5:$C$3004,F14,ENSAYOS!$Q$5:$Q$3004,"&gt;0"))</f>
        <v>65.7586830454574</v>
      </c>
      <c r="Q14" s="16" t="n">
        <f aca="false">IF(N(M14)=0,"",_xlfn.MINIFS(ENSAYOS!$Q$5:$Q$3004,ENSAYOS!$C$5:$C$3004,F14,ENSAYOS!$Q$5:$Q$3004,"&gt;0"))</f>
        <v>52.054124836316</v>
      </c>
      <c r="R14" s="16" t="n">
        <f aca="false">IF(N(M14)=0,"",_xlfn.MAXIFS(ENSAYOS!$Q$5:$Q$3004,ENSAYOS!$C$5:$C$3004,F14,ENSAYOS!$Q$5:$Q$3004,"&gt;0"))</f>
        <v>80.1850720209516</v>
      </c>
      <c r="S14" s="16" t="n">
        <f aca="false">IF(N(M14)&lt;2,"",SQRT(MAX(0,(SUMIFS(ENSAYOS!$X$5:$X$3004,ENSAYOS!$C$5:$C$3004,F14,ENSAYOS!$Q$5:$Q$3004,"&gt;0")-M14*P14^2)/(M14-1))))</f>
        <v>10.9366820429535</v>
      </c>
      <c r="T14" s="17" t="n">
        <f aca="false">IF(S14="","",S14/P14)</f>
        <v>0.166315405608005</v>
      </c>
      <c r="U14" s="16" t="n">
        <f aca="false">IF(N(M14)=0,"",IF(N14&gt;=CONFIG!$B$27,"",AVERAGEIFS(ENSAYOS!$Q$5:$Q$3004,ENSAYOS!$C$5:$C$3004,F14,ENSAYOS!$Q$5:$Q$3004,"&gt;0",ENSAYOS!$G$5:$G$3004,N14)))</f>
        <v>65.7586830454574</v>
      </c>
      <c r="V14" s="16" t="str">
        <f aca="false">IF(N(M14)=0,"",IF(COUNTIFS(ENSAYOS!$C$5:$C$3004,F14,ENSAYOS!$Q$5:$Q$3004,"&gt;0",ENSAYOS!$G$5:$G$3004,"&gt;="&amp;CONFIG!$B$27)=0,"",AVERAGEIFS(ENSAYOS!$Q$5:$Q$3004,ENSAYOS!$C$5:$C$3004,F14,ENSAYOS!$Q$5:$Q$3004,"&gt;0",ENSAYOS!$G$5:$G$3004,"&gt;="&amp;CONFIG!$B$27)))</f>
        <v/>
      </c>
      <c r="W14" s="18" t="str">
        <f aca="false">IF(AND(U14&lt;&gt;"",V14&lt;&gt;""),U14/V14,"")</f>
        <v/>
      </c>
      <c r="X14" s="18" t="n">
        <f aca="false">IF(U14="","",INDEX('CURVA EDAD'!$E$5:$E$32,MIN(28,MAX(1,N14))))</f>
        <v>0.84</v>
      </c>
      <c r="Y14" s="16" t="n">
        <f aca="false">IF(V14&lt;&gt;"",V14,IF(U14="","",U14/X14))</f>
        <v>78.2841464826874</v>
      </c>
      <c r="Z14" s="16" t="n">
        <f aca="false">IF(V14&lt;&gt;"",_xlfn.MINIFS(ENSAYOS!$Q$5:$Q$3004,ENSAYOS!$C$5:$C$3004,F14,ENSAYOS!$Q$5:$Q$3004,"&gt;0",ENSAYOS!$G$5:$G$3004,"&gt;="&amp;CONFIG!$B$27),IF(U14="","",_xlfn.MINIFS(ENSAYOS!$Q$5:$Q$3004,ENSAYOS!$C$5:$C$3004,F14,ENSAYOS!$Q$5:$Q$3004,"&gt;0",ENSAYOS!$G$5:$G$3004,N14)/X14))</f>
        <v>61.9691962337096</v>
      </c>
      <c r="AA14" s="16" t="str">
        <f aca="false">IF(D14="","",IFERROR(1/(1/INDEX(CONFIG!$J$5:$J$14,MATCH(D14,CONFIG!$D$5:$D$14,0))),""))</f>
        <v/>
      </c>
      <c r="AB14" s="16" t="str">
        <f aca="false">IF(D14="","",IFERROR(1/(1/INDEX(CONFIG!$K$5:$K$14,MATCH(D14,CONFIG!$D$5:$D$14,0))),""))</f>
        <v/>
      </c>
      <c r="AC14" s="19" t="str">
        <f aca="false">IF(N(M14)=0,"",IF(AA14="","Sin spec",IF(AND(Y14&gt;=AA14,OR(AB14="",Z14&gt;=AB14)),"CUMPLE","NO CUMPLE")&amp;IF(V14=""," (est.)","")))</f>
        <v>Sin spec</v>
      </c>
      <c r="AD14" s="20" t="str">
        <f aca="false">IF(F14="","",IF(COUNTIFS(ABSORCION!$C$5:$C$1004,F14,ABSORCION!$I$5:$I$1004,"&gt;0")=0,"",AVERAGEIFS(ABSORCION!$I$5:$I$1004,ABSORCION!$C$5:$C$1004,F14,ABSORCION!$I$5:$I$1004,"&gt;0")))</f>
        <v/>
      </c>
      <c r="AE14" s="20" t="str">
        <f aca="false">IF(F14="","",IF(COUNTIFS(ABSORCION!$C$5:$C$1004,F14,ABSORCION!$I$5:$I$1004,"&gt;0")=0,"",AVERAGEIFS(ABSORCION!$K$5:$K$1004,ABSORCION!$C$5:$C$1004,F14,ABSORCION!$I$5:$I$1004,"&gt;0")))</f>
        <v/>
      </c>
      <c r="AF14" s="20" t="str">
        <f aca="false">IF(AE14="","",IF(AE14&gt;=CONFIG!$E$21,CONFIG!$F$21,IF(AE14&gt;=CONFIG!$E$20,CONFIG!$F$20,CONFIG!$F$19)))</f>
        <v/>
      </c>
      <c r="AG14" s="21" t="str">
        <f aca="false">IF(F14="","",TRIM(IF(N(M14)=0,"Sin ensayos. ","")&amp;IF(AND(N(M14)&gt;0,N(M14)&lt;CONFIG!$B$26),"Menos de "&amp;CONFIG!$B$26&amp;" probetas. ","")&amp;IF(N(T14)&gt;CONFIG!$B$25,"CV alto. ","")&amp;IF(AND(N(AD14)&gt;0,N(AD14)&gt;N(AF14)),"Absorción alta. ","")))</f>
        <v>CV alto.</v>
      </c>
      <c r="AH14" s="22" t="str">
        <f aca="false">IF(AND(N(M14)&gt;0,OR(CONTROL!$C$4="TODAS",C14=CONTROL!$C$4),D14=CONTROL!$C$5),MAX($AH$4:AH13)+1,"")</f>
        <v/>
      </c>
      <c r="AI14" s="22" t="str">
        <f aca="false">IF(AH14="","",P14^2)</f>
        <v/>
      </c>
    </row>
    <row r="15" customFormat="false" ht="15" hidden="false" customHeight="false" outlineLevel="0" collapsed="false">
      <c r="A15" s="11" t="n">
        <f aca="false">IF(B15="","",ROW()-4)</f>
        <v>11</v>
      </c>
      <c r="B15" s="12" t="n">
        <v>45694</v>
      </c>
      <c r="C15" s="13" t="s">
        <v>83</v>
      </c>
      <c r="D15" s="13" t="s">
        <v>84</v>
      </c>
      <c r="E15" s="13"/>
      <c r="F15" s="14" t="str">
        <f aca="false">IF(OR(B15="",C15="",D15=""),"",IFERROR(INDEX(CONFIG!$E$5:$E$14,MATCH(D15,CONFIG!$D$5:$D$14,0)),"?")&amp;RIGHT("0"&amp;DAY(B15),2)&amp;RIGHT("0"&amp;MONTH(B15),2)&amp;RIGHT(YEAR(B15),2)&amp;C15&amp;IF(E15="","","-"&amp;E15))</f>
        <v>8060225P1</v>
      </c>
      <c r="G15" s="13" t="s">
        <v>94</v>
      </c>
      <c r="H15" s="13"/>
      <c r="I15" s="13"/>
      <c r="J15" s="13"/>
      <c r="K15" s="13"/>
      <c r="L15" s="13"/>
      <c r="M15" s="11" t="n">
        <f aca="false">IF(F15="","",COUNTIFS(ENSAYOS!$C$5:$C$3004,F15,ENSAYOS!$Q$5:$Q$3004,"&gt;0"))</f>
        <v>4</v>
      </c>
      <c r="N15" s="15" t="n">
        <f aca="false">IF(N(M15)=0,"",_xlfn.MINIFS(ENSAYOS!$G$5:$G$3004,ENSAYOS!$C$5:$C$3004,F15,ENSAYOS!$Q$5:$Q$3004,"&gt;0"))</f>
        <v>5</v>
      </c>
      <c r="O15" s="15" t="n">
        <f aca="false">IF(N(M15)=0,"",_xlfn.MAXIFS(ENSAYOS!$G$5:$G$3004,ENSAYOS!$C$5:$C$3004,F15,ENSAYOS!$Q$5:$Q$3004,"&gt;0"))</f>
        <v>5</v>
      </c>
      <c r="P15" s="16" t="n">
        <f aca="false">IF(N(M15)=0,"",AVERAGEIFS(ENSAYOS!$Q$5:$Q$3004,ENSAYOS!$C$5:$C$3004,F15,ENSAYOS!$Q$5:$Q$3004,"&gt;0"))</f>
        <v>87.7643622200584</v>
      </c>
      <c r="Q15" s="16" t="n">
        <f aca="false">IF(N(M15)=0,"",_xlfn.MINIFS(ENSAYOS!$Q$5:$Q$3004,ENSAYOS!$C$5:$C$3004,F15,ENSAYOS!$Q$5:$Q$3004,"&gt;0"))</f>
        <v>82.5679974034404</v>
      </c>
      <c r="R15" s="16" t="n">
        <f aca="false">IF(N(M15)=0,"",_xlfn.MAXIFS(ENSAYOS!$Q$5:$Q$3004,ENSAYOS!$C$5:$C$3004,F15,ENSAYOS!$Q$5:$Q$3004,"&gt;0"))</f>
        <v>92.0363518338202</v>
      </c>
      <c r="S15" s="16" t="n">
        <f aca="false">IF(N(M15)&lt;2,"",SQRT(MAX(0,(SUMIFS(ENSAYOS!$X$5:$X$3004,ENSAYOS!$C$5:$C$3004,F15,ENSAYOS!$Q$5:$Q$3004,"&gt;0")-M15*P15^2)/(M15-1))))</f>
        <v>4.00538291176182</v>
      </c>
      <c r="T15" s="17" t="n">
        <f aca="false">IF(S15="","",S15/P15)</f>
        <v>0.0456379196571704</v>
      </c>
      <c r="U15" s="16" t="n">
        <f aca="false">IF(N(M15)=0,"",IF(N15&gt;=CONFIG!$B$27,"",AVERAGEIFS(ENSAYOS!$Q$5:$Q$3004,ENSAYOS!$C$5:$C$3004,F15,ENSAYOS!$Q$5:$Q$3004,"&gt;0",ENSAYOS!$G$5:$G$3004,N15)))</f>
        <v>87.7643622200584</v>
      </c>
      <c r="V15" s="16" t="str">
        <f aca="false">IF(N(M15)=0,"",IF(COUNTIFS(ENSAYOS!$C$5:$C$3004,F15,ENSAYOS!$Q$5:$Q$3004,"&gt;0",ENSAYOS!$G$5:$G$3004,"&gt;="&amp;CONFIG!$B$27)=0,"",AVERAGEIFS(ENSAYOS!$Q$5:$Q$3004,ENSAYOS!$C$5:$C$3004,F15,ENSAYOS!$Q$5:$Q$3004,"&gt;0",ENSAYOS!$G$5:$G$3004,"&gt;="&amp;CONFIG!$B$27)))</f>
        <v/>
      </c>
      <c r="W15" s="18" t="str">
        <f aca="false">IF(AND(U15&lt;&gt;"",V15&lt;&gt;""),U15/V15,"")</f>
        <v/>
      </c>
      <c r="X15" s="18" t="n">
        <f aca="false">IF(U15="","",INDEX('CURVA EDAD'!$E$5:$E$32,MIN(28,MAX(1,N15))))</f>
        <v>0.89</v>
      </c>
      <c r="Y15" s="16" t="n">
        <f aca="false">IF(V15&lt;&gt;"",V15,IF(U15="","",U15/X15))</f>
        <v>98.6116429438859</v>
      </c>
      <c r="Z15" s="16" t="n">
        <f aca="false">IF(V15&lt;&gt;"",_xlfn.MINIFS(ENSAYOS!$Q$5:$Q$3004,ENSAYOS!$C$5:$C$3004,F15,ENSAYOS!$Q$5:$Q$3004,"&gt;0",ENSAYOS!$G$5:$G$3004,"&gt;="&amp;CONFIG!$B$27),IF(U15="","",_xlfn.MINIFS(ENSAYOS!$Q$5:$Q$3004,ENSAYOS!$C$5:$C$3004,F15,ENSAYOS!$Q$5:$Q$3004,"&gt;0",ENSAYOS!$G$5:$G$3004,N15)/X15))</f>
        <v>92.7730307903825</v>
      </c>
      <c r="AA15" s="16" t="str">
        <f aca="false">IF(D15="","",IFERROR(1/(1/INDEX(CONFIG!$J$5:$J$14,MATCH(D15,CONFIG!$D$5:$D$14,0))),""))</f>
        <v/>
      </c>
      <c r="AB15" s="16" t="str">
        <f aca="false">IF(D15="","",IFERROR(1/(1/INDEX(CONFIG!$K$5:$K$14,MATCH(D15,CONFIG!$D$5:$D$14,0))),""))</f>
        <v/>
      </c>
      <c r="AC15" s="19" t="str">
        <f aca="false">IF(N(M15)=0,"",IF(AA15="","Sin spec",IF(AND(Y15&gt;=AA15,OR(AB15="",Z15&gt;=AB15)),"CUMPLE","NO CUMPLE")&amp;IF(V15=""," (est.)","")))</f>
        <v>Sin spec</v>
      </c>
      <c r="AD15" s="20" t="str">
        <f aca="false">IF(F15="","",IF(COUNTIFS(ABSORCION!$C$5:$C$1004,F15,ABSORCION!$I$5:$I$1004,"&gt;0")=0,"",AVERAGEIFS(ABSORCION!$I$5:$I$1004,ABSORCION!$C$5:$C$1004,F15,ABSORCION!$I$5:$I$1004,"&gt;0")))</f>
        <v/>
      </c>
      <c r="AE15" s="20" t="str">
        <f aca="false">IF(F15="","",IF(COUNTIFS(ABSORCION!$C$5:$C$1004,F15,ABSORCION!$I$5:$I$1004,"&gt;0")=0,"",AVERAGEIFS(ABSORCION!$K$5:$K$1004,ABSORCION!$C$5:$C$1004,F15,ABSORCION!$I$5:$I$1004,"&gt;0")))</f>
        <v/>
      </c>
      <c r="AF15" s="20" t="str">
        <f aca="false">IF(AE15="","",IF(AE15&gt;=CONFIG!$E$21,CONFIG!$F$21,IF(AE15&gt;=CONFIG!$E$20,CONFIG!$F$20,CONFIG!$F$19)))</f>
        <v/>
      </c>
      <c r="AG15" s="21" t="str">
        <f aca="false">IF(F15="","",TRIM(IF(N(M15)=0,"Sin ensayos. ","")&amp;IF(AND(N(M15)&gt;0,N(M15)&lt;CONFIG!$B$26),"Menos de "&amp;CONFIG!$B$26&amp;" probetas. ","")&amp;IF(N(T15)&gt;CONFIG!$B$25,"CV alto. ","")&amp;IF(AND(N(AD15)&gt;0,N(AD15)&gt;N(AF15)),"Absorción alta. ","")))</f>
        <v/>
      </c>
      <c r="AH15" s="22" t="n">
        <f aca="false">IF(AND(N(M15)&gt;0,OR(CONTROL!$C$4="TODAS",C15=CONTROL!$C$4),D15=CONTROL!$C$5),MAX($AH$4:AH14)+1,"")</f>
        <v>9</v>
      </c>
      <c r="AI15" s="22" t="n">
        <f aca="false">IF(AH15="","",P15^2)</f>
        <v>7702.58327589362</v>
      </c>
    </row>
    <row r="16" customFormat="false" ht="15" hidden="false" customHeight="false" outlineLevel="0" collapsed="false">
      <c r="A16" s="11" t="n">
        <f aca="false">IF(B16="","",ROW()-4)</f>
        <v>12</v>
      </c>
      <c r="B16" s="12" t="n">
        <v>45699</v>
      </c>
      <c r="C16" s="13" t="s">
        <v>83</v>
      </c>
      <c r="D16" s="13" t="s">
        <v>84</v>
      </c>
      <c r="E16" s="13"/>
      <c r="F16" s="14" t="str">
        <f aca="false">IF(OR(B16="",C16="",D16=""),"",IFERROR(INDEX(CONFIG!$E$5:$E$14,MATCH(D16,CONFIG!$D$5:$D$14,0)),"?")&amp;RIGHT("0"&amp;DAY(B16),2)&amp;RIGHT("0"&amp;MONTH(B16),2)&amp;RIGHT(YEAR(B16),2)&amp;C16&amp;IF(E16="","","-"&amp;E16))</f>
        <v>8110225P1</v>
      </c>
      <c r="G16" s="13"/>
      <c r="H16" s="13"/>
      <c r="I16" s="13"/>
      <c r="J16" s="13"/>
      <c r="K16" s="13"/>
      <c r="L16" s="13"/>
      <c r="M16" s="11" t="n">
        <f aca="false">IF(F16="","",COUNTIFS(ENSAYOS!$C$5:$C$3004,F16,ENSAYOS!$Q$5:$Q$3004,"&gt;0"))</f>
        <v>4</v>
      </c>
      <c r="N16" s="15" t="n">
        <f aca="false">IF(N(M16)=0,"",_xlfn.MINIFS(ENSAYOS!$G$5:$G$3004,ENSAYOS!$C$5:$C$3004,F16,ENSAYOS!$Q$5:$Q$3004,"&gt;0"))</f>
        <v>2</v>
      </c>
      <c r="O16" s="15" t="n">
        <f aca="false">IF(N(M16)=0,"",_xlfn.MAXIFS(ENSAYOS!$G$5:$G$3004,ENSAYOS!$C$5:$C$3004,F16,ENSAYOS!$Q$5:$Q$3004,"&gt;0"))</f>
        <v>2</v>
      </c>
      <c r="P16" s="16" t="n">
        <f aca="false">IF(N(M16)=0,"",AVERAGEIFS(ENSAYOS!$Q$5:$Q$3004,ENSAYOS!$C$5:$C$3004,F16,ENSAYOS!$Q$5:$Q$3004,"&gt;0"))</f>
        <v>64.297306069458</v>
      </c>
      <c r="Q16" s="16" t="n">
        <f aca="false">IF(N(M16)=0,"",_xlfn.MINIFS(ENSAYOS!$Q$5:$Q$3004,ENSAYOS!$C$5:$C$3004,F16,ENSAYOS!$Q$5:$Q$3004,"&gt;0"))</f>
        <v>55.4845829276209</v>
      </c>
      <c r="R16" s="16" t="n">
        <f aca="false">IF(N(M16)=0,"",_xlfn.MAXIFS(ENSAYOS!$Q$5:$Q$3004,ENSAYOS!$C$5:$C$3004,F16,ENSAYOS!$Q$5:$Q$3004,"&gt;0"))</f>
        <v>72.3855890944499</v>
      </c>
      <c r="S16" s="16" t="n">
        <f aca="false">IF(N(M16)&lt;2,"",SQRT(MAX(0,(SUMIFS(ENSAYOS!$X$5:$X$3004,ENSAYOS!$C$5:$C$3004,F16,ENSAYOS!$Q$5:$Q$3004,"&gt;0")-M16*P16^2)/(M16-1))))</f>
        <v>7.07334056769941</v>
      </c>
      <c r="T16" s="17" t="n">
        <f aca="false">IF(S16="","",S16/P16)</f>
        <v>0.110009905548116</v>
      </c>
      <c r="U16" s="16" t="n">
        <f aca="false">IF(N(M16)=0,"",IF(N16&gt;=CONFIG!$B$27,"",AVERAGEIFS(ENSAYOS!$Q$5:$Q$3004,ENSAYOS!$C$5:$C$3004,F16,ENSAYOS!$Q$5:$Q$3004,"&gt;0",ENSAYOS!$G$5:$G$3004,N16)))</f>
        <v>64.297306069458</v>
      </c>
      <c r="V16" s="16" t="str">
        <f aca="false">IF(N(M16)=0,"",IF(COUNTIFS(ENSAYOS!$C$5:$C$3004,F16,ENSAYOS!$Q$5:$Q$3004,"&gt;0",ENSAYOS!$G$5:$G$3004,"&gt;="&amp;CONFIG!$B$27)=0,"",AVERAGEIFS(ENSAYOS!$Q$5:$Q$3004,ENSAYOS!$C$5:$C$3004,F16,ENSAYOS!$Q$5:$Q$3004,"&gt;0",ENSAYOS!$G$5:$G$3004,"&gt;="&amp;CONFIG!$B$27)))</f>
        <v/>
      </c>
      <c r="W16" s="18" t="str">
        <f aca="false">IF(AND(U16&lt;&gt;"",V16&lt;&gt;""),U16/V16,"")</f>
        <v/>
      </c>
      <c r="X16" s="18" t="n">
        <f aca="false">IF(U16="","",INDEX('CURVA EDAD'!$E$5:$E$32,MIN(28,MAX(1,N16))))</f>
        <v>0.77</v>
      </c>
      <c r="Y16" s="16" t="n">
        <f aca="false">IF(V16&lt;&gt;"",V16,IF(U16="","",U16/X16))</f>
        <v>83.5029948954</v>
      </c>
      <c r="Z16" s="16" t="n">
        <f aca="false">IF(V16&lt;&gt;"",_xlfn.MINIFS(ENSAYOS!$Q$5:$Q$3004,ENSAYOS!$C$5:$C$3004,F16,ENSAYOS!$Q$5:$Q$3004,"&gt;0",ENSAYOS!$G$5:$G$3004,"&gt;="&amp;CONFIG!$B$27),IF(U16="","",_xlfn.MINIFS(ENSAYOS!$Q$5:$Q$3004,ENSAYOS!$C$5:$C$3004,F16,ENSAYOS!$Q$5:$Q$3004,"&gt;0",ENSAYOS!$G$5:$G$3004,N16)/X16))</f>
        <v>72.0578999060012</v>
      </c>
      <c r="AA16" s="16" t="str">
        <f aca="false">IF(D16="","",IFERROR(1/(1/INDEX(CONFIG!$J$5:$J$14,MATCH(D16,CONFIG!$D$5:$D$14,0))),""))</f>
        <v/>
      </c>
      <c r="AB16" s="16" t="str">
        <f aca="false">IF(D16="","",IFERROR(1/(1/INDEX(CONFIG!$K$5:$K$14,MATCH(D16,CONFIG!$D$5:$D$14,0))),""))</f>
        <v/>
      </c>
      <c r="AC16" s="19" t="str">
        <f aca="false">IF(N(M16)=0,"",IF(AA16="","Sin spec",IF(AND(Y16&gt;=AA16,OR(AB16="",Z16&gt;=AB16)),"CUMPLE","NO CUMPLE")&amp;IF(V16=""," (est.)","")))</f>
        <v>Sin spec</v>
      </c>
      <c r="AD16" s="20" t="str">
        <f aca="false">IF(F16="","",IF(COUNTIFS(ABSORCION!$C$5:$C$1004,F16,ABSORCION!$I$5:$I$1004,"&gt;0")=0,"",AVERAGEIFS(ABSORCION!$I$5:$I$1004,ABSORCION!$C$5:$C$1004,F16,ABSORCION!$I$5:$I$1004,"&gt;0")))</f>
        <v/>
      </c>
      <c r="AE16" s="20" t="str">
        <f aca="false">IF(F16="","",IF(COUNTIFS(ABSORCION!$C$5:$C$1004,F16,ABSORCION!$I$5:$I$1004,"&gt;0")=0,"",AVERAGEIFS(ABSORCION!$K$5:$K$1004,ABSORCION!$C$5:$C$1004,F16,ABSORCION!$I$5:$I$1004,"&gt;0")))</f>
        <v/>
      </c>
      <c r="AF16" s="20" t="str">
        <f aca="false">IF(AE16="","",IF(AE16&gt;=CONFIG!$E$21,CONFIG!$F$21,IF(AE16&gt;=CONFIG!$E$20,CONFIG!$F$20,CONFIG!$F$19)))</f>
        <v/>
      </c>
      <c r="AG16" s="21" t="str">
        <f aca="false">IF(F16="","",TRIM(IF(N(M16)=0,"Sin ensayos. ","")&amp;IF(AND(N(M16)&gt;0,N(M16)&lt;CONFIG!$B$26),"Menos de "&amp;CONFIG!$B$26&amp;" probetas. ","")&amp;IF(N(T16)&gt;CONFIG!$B$25,"CV alto. ","")&amp;IF(AND(N(AD16)&gt;0,N(AD16)&gt;N(AF16)),"Absorción alta. ","")))</f>
        <v/>
      </c>
      <c r="AH16" s="22" t="n">
        <f aca="false">IF(AND(N(M16)&gt;0,OR(CONTROL!$C$4="TODAS",C16=CONTROL!$C$4),D16=CONTROL!$C$5),MAX($AH$4:AH15)+1,"")</f>
        <v>10</v>
      </c>
      <c r="AI16" s="22" t="n">
        <f aca="false">IF(AH16="","",P16^2)</f>
        <v>4134.14356778956</v>
      </c>
    </row>
    <row r="17" customFormat="false" ht="15" hidden="false" customHeight="false" outlineLevel="0" collapsed="false">
      <c r="A17" s="11" t="n">
        <f aca="false">IF(B17="","",ROW()-4)</f>
        <v>13</v>
      </c>
      <c r="B17" s="12" t="n">
        <v>45700</v>
      </c>
      <c r="C17" s="13" t="s">
        <v>86</v>
      </c>
      <c r="D17" s="13" t="s">
        <v>87</v>
      </c>
      <c r="E17" s="13"/>
      <c r="F17" s="14" t="str">
        <f aca="false">IF(OR(B17="",C17="",D17=""),"",IFERROR(INDEX(CONFIG!$E$5:$E$14,MATCH(D17,CONFIG!$D$5:$D$14,0)),"?")&amp;RIGHT("0"&amp;DAY(B17),2)&amp;RIGHT("0"&amp;MONTH(B17),2)&amp;RIGHT(YEAR(B17),2)&amp;C17&amp;IF(E17="","","-"&amp;E17))</f>
        <v>6120225P2</v>
      </c>
      <c r="G17" s="13"/>
      <c r="H17" s="13"/>
      <c r="I17" s="13"/>
      <c r="J17" s="13"/>
      <c r="K17" s="13"/>
      <c r="L17" s="13"/>
      <c r="M17" s="11" t="n">
        <f aca="false">IF(F17="","",COUNTIFS(ENSAYOS!$C$5:$C$3004,F17,ENSAYOS!$Q$5:$Q$3004,"&gt;0"))</f>
        <v>5</v>
      </c>
      <c r="N17" s="15" t="n">
        <f aca="false">IF(N(M17)=0,"",_xlfn.MINIFS(ENSAYOS!$G$5:$G$3004,ENSAYOS!$C$5:$C$3004,F17,ENSAYOS!$Q$5:$Q$3004,"&gt;0"))</f>
        <v>5</v>
      </c>
      <c r="O17" s="15" t="n">
        <f aca="false">IF(N(M17)=0,"",_xlfn.MAXIFS(ENSAYOS!$G$5:$G$3004,ENSAYOS!$C$5:$C$3004,F17,ENSAYOS!$Q$5:$Q$3004,"&gt;0"))</f>
        <v>5</v>
      </c>
      <c r="P17" s="16" t="n">
        <f aca="false">IF(N(M17)=0,"",AVERAGEIFS(ENSAYOS!$Q$5:$Q$3004,ENSAYOS!$C$5:$C$3004,F17,ENSAYOS!$Q$5:$Q$3004,"&gt;0"))</f>
        <v>67.6399825403754</v>
      </c>
      <c r="Q17" s="16" t="n">
        <f aca="false">IF(N(M17)=0,"",_xlfn.MINIFS(ENSAYOS!$Q$5:$Q$3004,ENSAYOS!$C$5:$C$3004,F17,ENSAYOS!$Q$5:$Q$3004,"&gt;0"))</f>
        <v>60.750763858577</v>
      </c>
      <c r="R17" s="16" t="n">
        <f aca="false">IF(N(M17)=0,"",_xlfn.MAXIFS(ENSAYOS!$Q$5:$Q$3004,ENSAYOS!$C$5:$C$3004,F17,ENSAYOS!$Q$5:$Q$3004,"&gt;0"))</f>
        <v>83.6054124836316</v>
      </c>
      <c r="S17" s="16" t="n">
        <f aca="false">IF(N(M17)&lt;2,"",SQRT(MAX(0,(SUMIFS(ENSAYOS!$X$5:$X$3004,ENSAYOS!$C$5:$C$3004,F17,ENSAYOS!$Q$5:$Q$3004,"&gt;0")-M17*P17^2)/(M17-1))))</f>
        <v>9.37498469388813</v>
      </c>
      <c r="T17" s="17" t="n">
        <f aca="false">IF(S17="","",S17/P17)</f>
        <v>0.138601228767202</v>
      </c>
      <c r="U17" s="16" t="n">
        <f aca="false">IF(N(M17)=0,"",IF(N17&gt;=CONFIG!$B$27,"",AVERAGEIFS(ENSAYOS!$Q$5:$Q$3004,ENSAYOS!$C$5:$C$3004,F17,ENSAYOS!$Q$5:$Q$3004,"&gt;0",ENSAYOS!$G$5:$G$3004,N17)))</f>
        <v>67.6399825403754</v>
      </c>
      <c r="V17" s="16" t="str">
        <f aca="false">IF(N(M17)=0,"",IF(COUNTIFS(ENSAYOS!$C$5:$C$3004,F17,ENSAYOS!$Q$5:$Q$3004,"&gt;0",ENSAYOS!$G$5:$G$3004,"&gt;="&amp;CONFIG!$B$27)=0,"",AVERAGEIFS(ENSAYOS!$Q$5:$Q$3004,ENSAYOS!$C$5:$C$3004,F17,ENSAYOS!$Q$5:$Q$3004,"&gt;0",ENSAYOS!$G$5:$G$3004,"&gt;="&amp;CONFIG!$B$27)))</f>
        <v/>
      </c>
      <c r="W17" s="18" t="str">
        <f aca="false">IF(AND(U17&lt;&gt;"",V17&lt;&gt;""),U17/V17,"")</f>
        <v/>
      </c>
      <c r="X17" s="18" t="n">
        <f aca="false">IF(U17="","",INDEX('CURVA EDAD'!$E$5:$E$32,MIN(28,MAX(1,N17))))</f>
        <v>0.89</v>
      </c>
      <c r="Y17" s="16" t="n">
        <f aca="false">IF(V17&lt;&gt;"",V17,IF(U17="","",U17/X17))</f>
        <v>75.9999803824442</v>
      </c>
      <c r="Z17" s="16" t="n">
        <f aca="false">IF(V17&lt;&gt;"",_xlfn.MINIFS(ENSAYOS!$Q$5:$Q$3004,ENSAYOS!$C$5:$C$3004,F17,ENSAYOS!$Q$5:$Q$3004,"&gt;0",ENSAYOS!$G$5:$G$3004,"&gt;="&amp;CONFIG!$B$27),IF(U17="","",_xlfn.MINIFS(ENSAYOS!$Q$5:$Q$3004,ENSAYOS!$C$5:$C$3004,F17,ENSAYOS!$Q$5:$Q$3004,"&gt;0",ENSAYOS!$G$5:$G$3004,N17)/X17))</f>
        <v>68.2592852343562</v>
      </c>
      <c r="AA17" s="16" t="str">
        <f aca="false">IF(D17="","",IFERROR(1/(1/INDEX(CONFIG!$J$5:$J$14,MATCH(D17,CONFIG!$D$5:$D$14,0))),""))</f>
        <v/>
      </c>
      <c r="AB17" s="16" t="str">
        <f aca="false">IF(D17="","",IFERROR(1/(1/INDEX(CONFIG!$K$5:$K$14,MATCH(D17,CONFIG!$D$5:$D$14,0))),""))</f>
        <v/>
      </c>
      <c r="AC17" s="19" t="str">
        <f aca="false">IF(N(M17)=0,"",IF(AA17="","Sin spec",IF(AND(Y17&gt;=AA17,OR(AB17="",Z17&gt;=AB17)),"CUMPLE","NO CUMPLE")&amp;IF(V17=""," (est.)","")))</f>
        <v>Sin spec</v>
      </c>
      <c r="AD17" s="20" t="str">
        <f aca="false">IF(F17="","",IF(COUNTIFS(ABSORCION!$C$5:$C$1004,F17,ABSORCION!$I$5:$I$1004,"&gt;0")=0,"",AVERAGEIFS(ABSORCION!$I$5:$I$1004,ABSORCION!$C$5:$C$1004,F17,ABSORCION!$I$5:$I$1004,"&gt;0")))</f>
        <v/>
      </c>
      <c r="AE17" s="20" t="str">
        <f aca="false">IF(F17="","",IF(COUNTIFS(ABSORCION!$C$5:$C$1004,F17,ABSORCION!$I$5:$I$1004,"&gt;0")=0,"",AVERAGEIFS(ABSORCION!$K$5:$K$1004,ABSORCION!$C$5:$C$1004,F17,ABSORCION!$I$5:$I$1004,"&gt;0")))</f>
        <v/>
      </c>
      <c r="AF17" s="20" t="str">
        <f aca="false">IF(AE17="","",IF(AE17&gt;=CONFIG!$E$21,CONFIG!$F$21,IF(AE17&gt;=CONFIG!$E$20,CONFIG!$F$20,CONFIG!$F$19)))</f>
        <v/>
      </c>
      <c r="AG17" s="21" t="str">
        <f aca="false">IF(F17="","",TRIM(IF(N(M17)=0,"Sin ensayos. ","")&amp;IF(AND(N(M17)&gt;0,N(M17)&lt;CONFIG!$B$26),"Menos de "&amp;CONFIG!$B$26&amp;" probetas. ","")&amp;IF(N(T17)&gt;CONFIG!$B$25,"CV alto. ","")&amp;IF(AND(N(AD17)&gt;0,N(AD17)&gt;N(AF17)),"Absorción alta. ","")))</f>
        <v/>
      </c>
      <c r="AH17" s="22" t="str">
        <f aca="false">IF(AND(N(M17)&gt;0,OR(CONTROL!$C$4="TODAS",C17=CONTROL!$C$4),D17=CONTROL!$C$5),MAX($AH$4:AH16)+1,"")</f>
        <v/>
      </c>
      <c r="AI17" s="22" t="str">
        <f aca="false">IF(AH17="","",P17^2)</f>
        <v/>
      </c>
    </row>
    <row r="18" customFormat="false" ht="15" hidden="false" customHeight="false" outlineLevel="0" collapsed="false">
      <c r="A18" s="11" t="n">
        <f aca="false">IF(B18="","",ROW()-4)</f>
        <v>14</v>
      </c>
      <c r="B18" s="12" t="n">
        <v>45700</v>
      </c>
      <c r="C18" s="13" t="s">
        <v>83</v>
      </c>
      <c r="D18" s="13" t="s">
        <v>84</v>
      </c>
      <c r="E18" s="13"/>
      <c r="F18" s="14" t="str">
        <f aca="false">IF(OR(B18="",C18="",D18=""),"",IFERROR(INDEX(CONFIG!$E$5:$E$14,MATCH(D18,CONFIG!$D$5:$D$14,0)),"?")&amp;RIGHT("0"&amp;DAY(B18),2)&amp;RIGHT("0"&amp;MONTH(B18),2)&amp;RIGHT(YEAR(B18),2)&amp;C18&amp;IF(E18="","","-"&amp;E18))</f>
        <v>8120225P1</v>
      </c>
      <c r="G18" s="13"/>
      <c r="H18" s="13"/>
      <c r="I18" s="13"/>
      <c r="J18" s="13"/>
      <c r="K18" s="13"/>
      <c r="L18" s="13"/>
      <c r="M18" s="11" t="n">
        <f aca="false">IF(F18="","",COUNTIFS(ENSAYOS!$C$5:$C$3004,F18,ENSAYOS!$Q$5:$Q$3004,"&gt;0"))</f>
        <v>5</v>
      </c>
      <c r="N18" s="15" t="n">
        <f aca="false">IF(N(M18)=0,"",_xlfn.MINIFS(ENSAYOS!$G$5:$G$3004,ENSAYOS!$C$5:$C$3004,F18,ENSAYOS!$Q$5:$Q$3004,"&gt;0"))</f>
        <v>5</v>
      </c>
      <c r="O18" s="15" t="n">
        <f aca="false">IF(N(M18)=0,"",_xlfn.MAXIFS(ENSAYOS!$G$5:$G$3004,ENSAYOS!$C$5:$C$3004,F18,ENSAYOS!$Q$5:$Q$3004,"&gt;0"))</f>
        <v>5</v>
      </c>
      <c r="P18" s="16" t="n">
        <f aca="false">IF(N(M18)=0,"",AVERAGEIFS(ENSAYOS!$Q$5:$Q$3004,ENSAYOS!$C$5:$C$3004,F18,ENSAYOS!$Q$5:$Q$3004,"&gt;0"))</f>
        <v>76.2227848101266</v>
      </c>
      <c r="Q18" s="16" t="n">
        <f aca="false">IF(N(M18)=0,"",_xlfn.MINIFS(ENSAYOS!$Q$5:$Q$3004,ENSAYOS!$C$5:$C$3004,F18,ENSAYOS!$Q$5:$Q$3004,"&gt;0"))</f>
        <v>57.5332684193444</v>
      </c>
      <c r="R18" s="16" t="n">
        <f aca="false">IF(N(M18)=0,"",_xlfn.MAXIFS(ENSAYOS!$Q$5:$Q$3004,ENSAYOS!$C$5:$C$3004,F18,ENSAYOS!$Q$5:$Q$3004,"&gt;0"))</f>
        <v>90.9003570269393</v>
      </c>
      <c r="S18" s="16" t="n">
        <f aca="false">IF(N(M18)&lt;2,"",SQRT(MAX(0,(SUMIFS(ENSAYOS!$X$5:$X$3004,ENSAYOS!$C$5:$C$3004,F18,ENSAYOS!$Q$5:$Q$3004,"&gt;0")-M18*P18^2)/(M18-1))))</f>
        <v>13.5022160196049</v>
      </c>
      <c r="T18" s="17" t="n">
        <f aca="false">IF(S18="","",S18/P18)</f>
        <v>0.177141468305565</v>
      </c>
      <c r="U18" s="16" t="n">
        <f aca="false">IF(N(M18)=0,"",IF(N18&gt;=CONFIG!$B$27,"",AVERAGEIFS(ENSAYOS!$Q$5:$Q$3004,ENSAYOS!$C$5:$C$3004,F18,ENSAYOS!$Q$5:$Q$3004,"&gt;0",ENSAYOS!$G$5:$G$3004,N18)))</f>
        <v>76.2227848101266</v>
      </c>
      <c r="V18" s="16" t="str">
        <f aca="false">IF(N(M18)=0,"",IF(COUNTIFS(ENSAYOS!$C$5:$C$3004,F18,ENSAYOS!$Q$5:$Q$3004,"&gt;0",ENSAYOS!$G$5:$G$3004,"&gt;="&amp;CONFIG!$B$27)=0,"",AVERAGEIFS(ENSAYOS!$Q$5:$Q$3004,ENSAYOS!$C$5:$C$3004,F18,ENSAYOS!$Q$5:$Q$3004,"&gt;0",ENSAYOS!$G$5:$G$3004,"&gt;="&amp;CONFIG!$B$27)))</f>
        <v/>
      </c>
      <c r="W18" s="18" t="str">
        <f aca="false">IF(AND(U18&lt;&gt;"",V18&lt;&gt;""),U18/V18,"")</f>
        <v/>
      </c>
      <c r="X18" s="18" t="n">
        <f aca="false">IF(U18="","",INDEX('CURVA EDAD'!$E$5:$E$32,MIN(28,MAX(1,N18))))</f>
        <v>0.89</v>
      </c>
      <c r="Y18" s="16" t="n">
        <f aca="false">IF(V18&lt;&gt;"",V18,IF(U18="","",U18/X18))</f>
        <v>85.6435784383445</v>
      </c>
      <c r="Z18" s="16" t="n">
        <f aca="false">IF(V18&lt;&gt;"",_xlfn.MINIFS(ENSAYOS!$Q$5:$Q$3004,ENSAYOS!$C$5:$C$3004,F18,ENSAYOS!$Q$5:$Q$3004,"&gt;0",ENSAYOS!$G$5:$G$3004,"&gt;="&amp;CONFIG!$B$27),IF(U18="","",_xlfn.MINIFS(ENSAYOS!$Q$5:$Q$3004,ENSAYOS!$C$5:$C$3004,F18,ENSAYOS!$Q$5:$Q$3004,"&gt;0",ENSAYOS!$G$5:$G$3004,N18)/X18))</f>
        <v>64.6441218194881</v>
      </c>
      <c r="AA18" s="16" t="str">
        <f aca="false">IF(D18="","",IFERROR(1/(1/INDEX(CONFIG!$J$5:$J$14,MATCH(D18,CONFIG!$D$5:$D$14,0))),""))</f>
        <v/>
      </c>
      <c r="AB18" s="16" t="str">
        <f aca="false">IF(D18="","",IFERROR(1/(1/INDEX(CONFIG!$K$5:$K$14,MATCH(D18,CONFIG!$D$5:$D$14,0))),""))</f>
        <v/>
      </c>
      <c r="AC18" s="19" t="str">
        <f aca="false">IF(N(M18)=0,"",IF(AA18="","Sin spec",IF(AND(Y18&gt;=AA18,OR(AB18="",Z18&gt;=AB18)),"CUMPLE","NO CUMPLE")&amp;IF(V18=""," (est.)","")))</f>
        <v>Sin spec</v>
      </c>
      <c r="AD18" s="20" t="str">
        <f aca="false">IF(F18="","",IF(COUNTIFS(ABSORCION!$C$5:$C$1004,F18,ABSORCION!$I$5:$I$1004,"&gt;0")=0,"",AVERAGEIFS(ABSORCION!$I$5:$I$1004,ABSORCION!$C$5:$C$1004,F18,ABSORCION!$I$5:$I$1004,"&gt;0")))</f>
        <v/>
      </c>
      <c r="AE18" s="20" t="str">
        <f aca="false">IF(F18="","",IF(COUNTIFS(ABSORCION!$C$5:$C$1004,F18,ABSORCION!$I$5:$I$1004,"&gt;0")=0,"",AVERAGEIFS(ABSORCION!$K$5:$K$1004,ABSORCION!$C$5:$C$1004,F18,ABSORCION!$I$5:$I$1004,"&gt;0")))</f>
        <v/>
      </c>
      <c r="AF18" s="20" t="str">
        <f aca="false">IF(AE18="","",IF(AE18&gt;=CONFIG!$E$21,CONFIG!$F$21,IF(AE18&gt;=CONFIG!$E$20,CONFIG!$F$20,CONFIG!$F$19)))</f>
        <v/>
      </c>
      <c r="AG18" s="21" t="str">
        <f aca="false">IF(F18="","",TRIM(IF(N(M18)=0,"Sin ensayos. ","")&amp;IF(AND(N(M18)&gt;0,N(M18)&lt;CONFIG!$B$26),"Menos de "&amp;CONFIG!$B$26&amp;" probetas. ","")&amp;IF(N(T18)&gt;CONFIG!$B$25,"CV alto. ","")&amp;IF(AND(N(AD18)&gt;0,N(AD18)&gt;N(AF18)),"Absorción alta. ","")))</f>
        <v>CV alto.</v>
      </c>
      <c r="AH18" s="22" t="n">
        <f aca="false">IF(AND(N(M18)&gt;0,OR(CONTROL!$C$4="TODAS",C18=CONTROL!$C$4),D18=CONTROL!$C$5),MAX($AH$4:AH17)+1,"")</f>
        <v>11</v>
      </c>
      <c r="AI18" s="22" t="n">
        <f aca="false">IF(AH18="","",P18^2)</f>
        <v>5809.91292421086</v>
      </c>
    </row>
    <row r="19" customFormat="false" ht="15" hidden="false" customHeight="false" outlineLevel="0" collapsed="false">
      <c r="A19" s="11" t="n">
        <f aca="false">IF(B19="","",ROW()-4)</f>
        <v>15</v>
      </c>
      <c r="B19" s="12" t="n">
        <v>45706</v>
      </c>
      <c r="C19" s="13" t="s">
        <v>83</v>
      </c>
      <c r="D19" s="13" t="s">
        <v>84</v>
      </c>
      <c r="E19" s="13"/>
      <c r="F19" s="14" t="str">
        <f aca="false">IF(OR(B19="",C19="",D19=""),"",IFERROR(INDEX(CONFIG!$E$5:$E$14,MATCH(D19,CONFIG!$D$5:$D$14,0)),"?")&amp;RIGHT("0"&amp;DAY(B19),2)&amp;RIGHT("0"&amp;MONTH(B19),2)&amp;RIGHT(YEAR(B19),2)&amp;C19&amp;IF(E19="","","-"&amp;E19))</f>
        <v>8180225P1</v>
      </c>
      <c r="G19" s="13"/>
      <c r="H19" s="13"/>
      <c r="I19" s="13"/>
      <c r="J19" s="13"/>
      <c r="K19" s="13"/>
      <c r="L19" s="13"/>
      <c r="M19" s="11" t="n">
        <f aca="false">IF(F19="","",COUNTIFS(ENSAYOS!$C$5:$C$3004,F19,ENSAYOS!$Q$5:$Q$3004,"&gt;0"))</f>
        <v>4</v>
      </c>
      <c r="N19" s="15" t="n">
        <f aca="false">IF(N(M19)=0,"",_xlfn.MINIFS(ENSAYOS!$G$5:$G$3004,ENSAYOS!$C$5:$C$3004,F19,ENSAYOS!$Q$5:$Q$3004,"&gt;0"))</f>
        <v>3</v>
      </c>
      <c r="O19" s="15" t="n">
        <f aca="false">IF(N(M19)=0,"",_xlfn.MAXIFS(ENSAYOS!$G$5:$G$3004,ENSAYOS!$C$5:$C$3004,F19,ENSAYOS!$Q$5:$Q$3004,"&gt;0"))</f>
        <v>3</v>
      </c>
      <c r="P19" s="16" t="n">
        <f aca="false">IF(N(M19)=0,"",AVERAGEIFS(ENSAYOS!$Q$5:$Q$3004,ENSAYOS!$C$5:$C$3004,F19,ENSAYOS!$Q$5:$Q$3004,"&gt;0"))</f>
        <v>71.2638753651412</v>
      </c>
      <c r="Q19" s="16" t="n">
        <f aca="false">IF(N(M19)=0,"",_xlfn.MINIFS(ENSAYOS!$Q$5:$Q$3004,ENSAYOS!$C$5:$C$3004,F19,ENSAYOS!$Q$5:$Q$3004,"&gt;0"))</f>
        <v>64.2064264849075</v>
      </c>
      <c r="R19" s="16" t="n">
        <f aca="false">IF(N(M19)=0,"",_xlfn.MAXIFS(ENSAYOS!$Q$5:$Q$3004,ENSAYOS!$C$5:$C$3004,F19,ENSAYOS!$Q$5:$Q$3004,"&gt;0"))</f>
        <v>76.5426809477442</v>
      </c>
      <c r="S19" s="16" t="n">
        <f aca="false">IF(N(M19)&lt;2,"",SQRT(MAX(0,(SUMIFS(ENSAYOS!$X$5:$X$3004,ENSAYOS!$C$5:$C$3004,F19,ENSAYOS!$Q$5:$Q$3004,"&gt;0")-M19*P19^2)/(M19-1))))</f>
        <v>5.26514799458869</v>
      </c>
      <c r="T19" s="17" t="n">
        <f aca="false">IF(S19="","",S19/P19)</f>
        <v>0.073882425950191</v>
      </c>
      <c r="U19" s="16" t="n">
        <f aca="false">IF(N(M19)=0,"",IF(N19&gt;=CONFIG!$B$27,"",AVERAGEIFS(ENSAYOS!$Q$5:$Q$3004,ENSAYOS!$C$5:$C$3004,F19,ENSAYOS!$Q$5:$Q$3004,"&gt;0",ENSAYOS!$G$5:$G$3004,N19)))</f>
        <v>71.2638753651412</v>
      </c>
      <c r="V19" s="16" t="str">
        <f aca="false">IF(N(M19)=0,"",IF(COUNTIFS(ENSAYOS!$C$5:$C$3004,F19,ENSAYOS!$Q$5:$Q$3004,"&gt;0",ENSAYOS!$G$5:$G$3004,"&gt;="&amp;CONFIG!$B$27)=0,"",AVERAGEIFS(ENSAYOS!$Q$5:$Q$3004,ENSAYOS!$C$5:$C$3004,F19,ENSAYOS!$Q$5:$Q$3004,"&gt;0",ENSAYOS!$G$5:$G$3004,"&gt;="&amp;CONFIG!$B$27)))</f>
        <v/>
      </c>
      <c r="W19" s="18" t="str">
        <f aca="false">IF(AND(U19&lt;&gt;"",V19&lt;&gt;""),U19/V19,"")</f>
        <v/>
      </c>
      <c r="X19" s="18" t="n">
        <f aca="false">IF(U19="","",INDEX('CURVA EDAD'!$E$5:$E$32,MIN(28,MAX(1,N19))))</f>
        <v>0.84</v>
      </c>
      <c r="Y19" s="16" t="n">
        <f aca="false">IF(V19&lt;&gt;"",V19,IF(U19="","",U19/X19))</f>
        <v>84.8379468632633</v>
      </c>
      <c r="Z19" s="16" t="n">
        <f aca="false">IF(V19&lt;&gt;"",_xlfn.MINIFS(ENSAYOS!$Q$5:$Q$3004,ENSAYOS!$C$5:$C$3004,F19,ENSAYOS!$Q$5:$Q$3004,"&gt;0",ENSAYOS!$G$5:$G$3004,"&gt;="&amp;CONFIG!$B$27),IF(U19="","",_xlfn.MINIFS(ENSAYOS!$Q$5:$Q$3004,ENSAYOS!$C$5:$C$3004,F19,ENSAYOS!$Q$5:$Q$3004,"&gt;0",ENSAYOS!$G$5:$G$3004,N19)/X19))</f>
        <v>76.4362220058423</v>
      </c>
      <c r="AA19" s="16" t="str">
        <f aca="false">IF(D19="","",IFERROR(1/(1/INDEX(CONFIG!$J$5:$J$14,MATCH(D19,CONFIG!$D$5:$D$14,0))),""))</f>
        <v/>
      </c>
      <c r="AB19" s="16" t="str">
        <f aca="false">IF(D19="","",IFERROR(1/(1/INDEX(CONFIG!$K$5:$K$14,MATCH(D19,CONFIG!$D$5:$D$14,0))),""))</f>
        <v/>
      </c>
      <c r="AC19" s="19" t="str">
        <f aca="false">IF(N(M19)=0,"",IF(AA19="","Sin spec",IF(AND(Y19&gt;=AA19,OR(AB19="",Z19&gt;=AB19)),"CUMPLE","NO CUMPLE")&amp;IF(V19=""," (est.)","")))</f>
        <v>Sin spec</v>
      </c>
      <c r="AD19" s="20" t="str">
        <f aca="false">IF(F19="","",IF(COUNTIFS(ABSORCION!$C$5:$C$1004,F19,ABSORCION!$I$5:$I$1004,"&gt;0")=0,"",AVERAGEIFS(ABSORCION!$I$5:$I$1004,ABSORCION!$C$5:$C$1004,F19,ABSORCION!$I$5:$I$1004,"&gt;0")))</f>
        <v/>
      </c>
      <c r="AE19" s="20" t="str">
        <f aca="false">IF(F19="","",IF(COUNTIFS(ABSORCION!$C$5:$C$1004,F19,ABSORCION!$I$5:$I$1004,"&gt;0")=0,"",AVERAGEIFS(ABSORCION!$K$5:$K$1004,ABSORCION!$C$5:$C$1004,F19,ABSORCION!$I$5:$I$1004,"&gt;0")))</f>
        <v/>
      </c>
      <c r="AF19" s="20" t="str">
        <f aca="false">IF(AE19="","",IF(AE19&gt;=CONFIG!$E$21,CONFIG!$F$21,IF(AE19&gt;=CONFIG!$E$20,CONFIG!$F$20,CONFIG!$F$19)))</f>
        <v/>
      </c>
      <c r="AG19" s="21" t="str">
        <f aca="false">IF(F19="","",TRIM(IF(N(M19)=0,"Sin ensayos. ","")&amp;IF(AND(N(M19)&gt;0,N(M19)&lt;CONFIG!$B$26),"Menos de "&amp;CONFIG!$B$26&amp;" probetas. ","")&amp;IF(N(T19)&gt;CONFIG!$B$25,"CV alto. ","")&amp;IF(AND(N(AD19)&gt;0,N(AD19)&gt;N(AF19)),"Absorción alta. ","")))</f>
        <v/>
      </c>
      <c r="AH19" s="22" t="n">
        <f aca="false">IF(AND(N(M19)&gt;0,OR(CONTROL!$C$4="TODAS",C19=CONTROL!$C$4),D19=CONTROL!$C$5),MAX($AH$4:AH18)+1,"")</f>
        <v>12</v>
      </c>
      <c r="AI19" s="22" t="n">
        <f aca="false">IF(AH19="","",P19^2)</f>
        <v>5078.53993205838</v>
      </c>
    </row>
    <row r="20" customFormat="false" ht="15" hidden="false" customHeight="false" outlineLevel="0" collapsed="false">
      <c r="A20" s="11" t="n">
        <f aca="false">IF(B20="","",ROW()-4)</f>
        <v>16</v>
      </c>
      <c r="B20" s="12" t="n">
        <v>45707</v>
      </c>
      <c r="C20" s="13" t="s">
        <v>83</v>
      </c>
      <c r="D20" s="13" t="s">
        <v>84</v>
      </c>
      <c r="E20" s="13"/>
      <c r="F20" s="14" t="str">
        <f aca="false">IF(OR(B20="",C20="",D20=""),"",IFERROR(INDEX(CONFIG!$E$5:$E$14,MATCH(D20,CONFIG!$D$5:$D$14,0)),"?")&amp;RIGHT("0"&amp;DAY(B20),2)&amp;RIGHT("0"&amp;MONTH(B20),2)&amp;RIGHT(YEAR(B20),2)&amp;C20&amp;IF(E20="","","-"&amp;E20))</f>
        <v>8190225P1</v>
      </c>
      <c r="G20" s="13"/>
      <c r="H20" s="13"/>
      <c r="I20" s="13"/>
      <c r="J20" s="13"/>
      <c r="K20" s="13"/>
      <c r="L20" s="13"/>
      <c r="M20" s="11" t="n">
        <f aca="false">IF(F20="","",COUNTIFS(ENSAYOS!$C$5:$C$3004,F20,ENSAYOS!$Q$5:$Q$3004,"&gt;0"))</f>
        <v>4</v>
      </c>
      <c r="N20" s="15" t="n">
        <f aca="false">IF(N(M20)=0,"",_xlfn.MINIFS(ENSAYOS!$G$5:$G$3004,ENSAYOS!$C$5:$C$3004,F20,ENSAYOS!$Q$5:$Q$3004,"&gt;0"))</f>
        <v>9</v>
      </c>
      <c r="O20" s="15" t="n">
        <f aca="false">IF(N(M20)=0,"",_xlfn.MAXIFS(ENSAYOS!$G$5:$G$3004,ENSAYOS!$C$5:$C$3004,F20,ENSAYOS!$Q$5:$Q$3004,"&gt;0"))</f>
        <v>9</v>
      </c>
      <c r="P20" s="16" t="n">
        <f aca="false">IF(N(M20)=0,"",AVERAGEIFS(ENSAYOS!$Q$5:$Q$3004,ENSAYOS!$C$5:$C$3004,F20,ENSAYOS!$Q$5:$Q$3004,"&gt;0"))</f>
        <v>77.5014605647517</v>
      </c>
      <c r="Q20" s="16" t="n">
        <f aca="false">IF(N(M20)=0,"",_xlfn.MINIFS(ENSAYOS!$Q$5:$Q$3004,ENSAYOS!$C$5:$C$3004,F20,ENSAYOS!$Q$5:$Q$3004,"&gt;0"))</f>
        <v>69.535864978903</v>
      </c>
      <c r="R20" s="16" t="n">
        <f aca="false">IF(N(M20)=0,"",_xlfn.MAXIFS(ENSAYOS!$Q$5:$Q$3004,ENSAYOS!$C$5:$C$3004,F20,ENSAYOS!$Q$5:$Q$3004,"&gt;0"))</f>
        <v>82.5848750405713</v>
      </c>
      <c r="S20" s="16" t="n">
        <f aca="false">IF(N(M20)&lt;2,"",SQRT(MAX(0,(SUMIFS(ENSAYOS!$X$5:$X$3004,ENSAYOS!$C$5:$C$3004,F20,ENSAYOS!$Q$5:$Q$3004,"&gt;0")-M20*P20^2)/(M20-1))))</f>
        <v>5.650416930988</v>
      </c>
      <c r="T20" s="17" t="n">
        <f aca="false">IF(S20="","",S20/P20)</f>
        <v>0.0729072315516832</v>
      </c>
      <c r="U20" s="16" t="n">
        <f aca="false">IF(N(M20)=0,"",IF(N20&gt;=CONFIG!$B$27,"",AVERAGEIFS(ENSAYOS!$Q$5:$Q$3004,ENSAYOS!$C$5:$C$3004,F20,ENSAYOS!$Q$5:$Q$3004,"&gt;0",ENSAYOS!$G$5:$G$3004,N20)))</f>
        <v>77.5014605647517</v>
      </c>
      <c r="V20" s="16" t="str">
        <f aca="false">IF(N(M20)=0,"",IF(COUNTIFS(ENSAYOS!$C$5:$C$3004,F20,ENSAYOS!$Q$5:$Q$3004,"&gt;0",ENSAYOS!$G$5:$G$3004,"&gt;="&amp;CONFIG!$B$27)=0,"",AVERAGEIFS(ENSAYOS!$Q$5:$Q$3004,ENSAYOS!$C$5:$C$3004,F20,ENSAYOS!$Q$5:$Q$3004,"&gt;0",ENSAYOS!$G$5:$G$3004,"&gt;="&amp;CONFIG!$B$27)))</f>
        <v/>
      </c>
      <c r="W20" s="18" t="str">
        <f aca="false">IF(AND(U20&lt;&gt;"",V20&lt;&gt;""),U20/V20,"")</f>
        <v/>
      </c>
      <c r="X20" s="18" t="n">
        <f aca="false">IF(U20="","",INDEX('CURVA EDAD'!$E$5:$E$32,MIN(28,MAX(1,N20))))</f>
        <v>0.924</v>
      </c>
      <c r="Y20" s="16" t="n">
        <f aca="false">IF(V20&lt;&gt;"",V20,IF(U20="","",U20/X20))</f>
        <v>83.8760395722421</v>
      </c>
      <c r="Z20" s="16" t="n">
        <f aca="false">IF(V20&lt;&gt;"",_xlfn.MINIFS(ENSAYOS!$Q$5:$Q$3004,ENSAYOS!$C$5:$C$3004,F20,ENSAYOS!$Q$5:$Q$3004,"&gt;0",ENSAYOS!$G$5:$G$3004,"&gt;="&amp;CONFIG!$B$27),IF(U20="","",_xlfn.MINIFS(ENSAYOS!$Q$5:$Q$3004,ENSAYOS!$C$5:$C$3004,F20,ENSAYOS!$Q$5:$Q$3004,"&gt;0",ENSAYOS!$G$5:$G$3004,N20)/X20))</f>
        <v>75.2552651286828</v>
      </c>
      <c r="AA20" s="16" t="str">
        <f aca="false">IF(D20="","",IFERROR(1/(1/INDEX(CONFIG!$J$5:$J$14,MATCH(D20,CONFIG!$D$5:$D$14,0))),""))</f>
        <v/>
      </c>
      <c r="AB20" s="16" t="str">
        <f aca="false">IF(D20="","",IFERROR(1/(1/INDEX(CONFIG!$K$5:$K$14,MATCH(D20,CONFIG!$D$5:$D$14,0))),""))</f>
        <v/>
      </c>
      <c r="AC20" s="19" t="str">
        <f aca="false">IF(N(M20)=0,"",IF(AA20="","Sin spec",IF(AND(Y20&gt;=AA20,OR(AB20="",Z20&gt;=AB20)),"CUMPLE","NO CUMPLE")&amp;IF(V20=""," (est.)","")))</f>
        <v>Sin spec</v>
      </c>
      <c r="AD20" s="20" t="str">
        <f aca="false">IF(F20="","",IF(COUNTIFS(ABSORCION!$C$5:$C$1004,F20,ABSORCION!$I$5:$I$1004,"&gt;0")=0,"",AVERAGEIFS(ABSORCION!$I$5:$I$1004,ABSORCION!$C$5:$C$1004,F20,ABSORCION!$I$5:$I$1004,"&gt;0")))</f>
        <v/>
      </c>
      <c r="AE20" s="20" t="str">
        <f aca="false">IF(F20="","",IF(COUNTIFS(ABSORCION!$C$5:$C$1004,F20,ABSORCION!$I$5:$I$1004,"&gt;0")=0,"",AVERAGEIFS(ABSORCION!$K$5:$K$1004,ABSORCION!$C$5:$C$1004,F20,ABSORCION!$I$5:$I$1004,"&gt;0")))</f>
        <v/>
      </c>
      <c r="AF20" s="20" t="str">
        <f aca="false">IF(AE20="","",IF(AE20&gt;=CONFIG!$E$21,CONFIG!$F$21,IF(AE20&gt;=CONFIG!$E$20,CONFIG!$F$20,CONFIG!$F$19)))</f>
        <v/>
      </c>
      <c r="AG20" s="21" t="str">
        <f aca="false">IF(F20="","",TRIM(IF(N(M20)=0,"Sin ensayos. ","")&amp;IF(AND(N(M20)&gt;0,N(M20)&lt;CONFIG!$B$26),"Menos de "&amp;CONFIG!$B$26&amp;" probetas. ","")&amp;IF(N(T20)&gt;CONFIG!$B$25,"CV alto. ","")&amp;IF(AND(N(AD20)&gt;0,N(AD20)&gt;N(AF20)),"Absorción alta. ","")))</f>
        <v/>
      </c>
      <c r="AH20" s="22" t="n">
        <f aca="false">IF(AND(N(M20)&gt;0,OR(CONTROL!$C$4="TODAS",C20=CONTROL!$C$4),D20=CONTROL!$C$5),MAX($AH$4:AH19)+1,"")</f>
        <v>13</v>
      </c>
      <c r="AI20" s="22" t="n">
        <f aca="false">IF(AH20="","",P20^2)</f>
        <v>6006.47638966976</v>
      </c>
    </row>
    <row r="21" customFormat="false" ht="15" hidden="false" customHeight="false" outlineLevel="0" collapsed="false">
      <c r="A21" s="11" t="n">
        <f aca="false">IF(B21="","",ROW()-4)</f>
        <v>17</v>
      </c>
      <c r="B21" s="12" t="n">
        <v>45709</v>
      </c>
      <c r="C21" s="13" t="s">
        <v>86</v>
      </c>
      <c r="D21" s="13" t="s">
        <v>87</v>
      </c>
      <c r="E21" s="13"/>
      <c r="F21" s="14" t="str">
        <f aca="false">IF(OR(B21="",C21="",D21=""),"",IFERROR(INDEX(CONFIG!$E$5:$E$14,MATCH(D21,CONFIG!$D$5:$D$14,0)),"?")&amp;RIGHT("0"&amp;DAY(B21),2)&amp;RIGHT("0"&amp;MONTH(B21),2)&amp;RIGHT(YEAR(B21),2)&amp;C21&amp;IF(E21="","","-"&amp;E21))</f>
        <v>6210225P2</v>
      </c>
      <c r="G21" s="13"/>
      <c r="H21" s="13"/>
      <c r="I21" s="13"/>
      <c r="J21" s="13"/>
      <c r="K21" s="13"/>
      <c r="L21" s="13"/>
      <c r="M21" s="11" t="n">
        <f aca="false">IF(F21="","",COUNTIFS(ENSAYOS!$C$5:$C$3004,F21,ENSAYOS!$Q$5:$Q$3004,"&gt;0"))</f>
        <v>4</v>
      </c>
      <c r="N21" s="15" t="n">
        <f aca="false">IF(N(M21)=0,"",_xlfn.MINIFS(ENSAYOS!$G$5:$G$3004,ENSAYOS!$C$5:$C$3004,F21,ENSAYOS!$Q$5:$Q$3004,"&gt;0"))</f>
        <v>5</v>
      </c>
      <c r="O21" s="15" t="n">
        <f aca="false">IF(N(M21)=0,"",_xlfn.MAXIFS(ENSAYOS!$G$5:$G$3004,ENSAYOS!$C$5:$C$3004,F21,ENSAYOS!$Q$5:$Q$3004,"&gt;0"))</f>
        <v>5</v>
      </c>
      <c r="P21" s="16" t="n">
        <f aca="false">IF(N(M21)=0,"",AVERAGEIFS(ENSAYOS!$Q$5:$Q$3004,ENSAYOS!$C$5:$C$3004,F21,ENSAYOS!$Q$5:$Q$3004,"&gt;0"))</f>
        <v>65.0305543430816</v>
      </c>
      <c r="Q21" s="16" t="n">
        <f aca="false">IF(N(M21)=0,"",_xlfn.MINIFS(ENSAYOS!$Q$5:$Q$3004,ENSAYOS!$C$5:$C$3004,F21,ENSAYOS!$Q$5:$Q$3004,"&gt;0"))</f>
        <v>61.0266259275426</v>
      </c>
      <c r="R21" s="16" t="n">
        <f aca="false">IF(N(M21)=0,"",_xlfn.MAXIFS(ENSAYOS!$Q$5:$Q$3004,ENSAYOS!$C$5:$C$3004,F21,ENSAYOS!$Q$5:$Q$3004,"&gt;0"))</f>
        <v>74.6643387167176</v>
      </c>
      <c r="S21" s="16" t="n">
        <f aca="false">IF(N(M21)&lt;2,"",SQRT(MAX(0,(SUMIFS(ENSAYOS!$X$5:$X$3004,ENSAYOS!$C$5:$C$3004,F21,ENSAYOS!$Q$5:$Q$3004,"&gt;0")-M21*P21^2)/(M21-1))))</f>
        <v>6.44693423700846</v>
      </c>
      <c r="T21" s="17" t="n">
        <f aca="false">IF(S21="","",S21/P21)</f>
        <v>0.099137002631046</v>
      </c>
      <c r="U21" s="16" t="n">
        <f aca="false">IF(N(M21)=0,"",IF(N21&gt;=CONFIG!$B$27,"",AVERAGEIFS(ENSAYOS!$Q$5:$Q$3004,ENSAYOS!$C$5:$C$3004,F21,ENSAYOS!$Q$5:$Q$3004,"&gt;0",ENSAYOS!$G$5:$G$3004,N21)))</f>
        <v>65.0305543430816</v>
      </c>
      <c r="V21" s="16" t="str">
        <f aca="false">IF(N(M21)=0,"",IF(COUNTIFS(ENSAYOS!$C$5:$C$3004,F21,ENSAYOS!$Q$5:$Q$3004,"&gt;0",ENSAYOS!$G$5:$G$3004,"&gt;="&amp;CONFIG!$B$27)=0,"",AVERAGEIFS(ENSAYOS!$Q$5:$Q$3004,ENSAYOS!$C$5:$C$3004,F21,ENSAYOS!$Q$5:$Q$3004,"&gt;0",ENSAYOS!$G$5:$G$3004,"&gt;="&amp;CONFIG!$B$27)))</f>
        <v/>
      </c>
      <c r="W21" s="18" t="str">
        <f aca="false">IF(AND(U21&lt;&gt;"",V21&lt;&gt;""),U21/V21,"")</f>
        <v/>
      </c>
      <c r="X21" s="18" t="n">
        <f aca="false">IF(U21="","",INDEX('CURVA EDAD'!$E$5:$E$32,MIN(28,MAX(1,N21))))</f>
        <v>0.89</v>
      </c>
      <c r="Y21" s="16" t="n">
        <f aca="false">IF(V21&lt;&gt;"",V21,IF(U21="","",U21/X21))</f>
        <v>73.0680385877322</v>
      </c>
      <c r="Z21" s="16" t="n">
        <f aca="false">IF(V21&lt;&gt;"",_xlfn.MINIFS(ENSAYOS!$Q$5:$Q$3004,ENSAYOS!$C$5:$C$3004,F21,ENSAYOS!$Q$5:$Q$3004,"&gt;0",ENSAYOS!$G$5:$G$3004,"&gt;="&amp;CONFIG!$B$27),IF(U21="","",_xlfn.MINIFS(ENSAYOS!$Q$5:$Q$3004,ENSAYOS!$C$5:$C$3004,F21,ENSAYOS!$Q$5:$Q$3004,"&gt;0",ENSAYOS!$G$5:$G$3004,N21)/X21))</f>
        <v>68.5692426152164</v>
      </c>
      <c r="AA21" s="16" t="str">
        <f aca="false">IF(D21="","",IFERROR(1/(1/INDEX(CONFIG!$J$5:$J$14,MATCH(D21,CONFIG!$D$5:$D$14,0))),""))</f>
        <v/>
      </c>
      <c r="AB21" s="16" t="str">
        <f aca="false">IF(D21="","",IFERROR(1/(1/INDEX(CONFIG!$K$5:$K$14,MATCH(D21,CONFIG!$D$5:$D$14,0))),""))</f>
        <v/>
      </c>
      <c r="AC21" s="19" t="str">
        <f aca="false">IF(N(M21)=0,"",IF(AA21="","Sin spec",IF(AND(Y21&gt;=AA21,OR(AB21="",Z21&gt;=AB21)),"CUMPLE","NO CUMPLE")&amp;IF(V21=""," (est.)","")))</f>
        <v>Sin spec</v>
      </c>
      <c r="AD21" s="20" t="str">
        <f aca="false">IF(F21="","",IF(COUNTIFS(ABSORCION!$C$5:$C$1004,F21,ABSORCION!$I$5:$I$1004,"&gt;0")=0,"",AVERAGEIFS(ABSORCION!$I$5:$I$1004,ABSORCION!$C$5:$C$1004,F21,ABSORCION!$I$5:$I$1004,"&gt;0")))</f>
        <v/>
      </c>
      <c r="AE21" s="20" t="str">
        <f aca="false">IF(F21="","",IF(COUNTIFS(ABSORCION!$C$5:$C$1004,F21,ABSORCION!$I$5:$I$1004,"&gt;0")=0,"",AVERAGEIFS(ABSORCION!$K$5:$K$1004,ABSORCION!$C$5:$C$1004,F21,ABSORCION!$I$5:$I$1004,"&gt;0")))</f>
        <v/>
      </c>
      <c r="AF21" s="20" t="str">
        <f aca="false">IF(AE21="","",IF(AE21&gt;=CONFIG!$E$21,CONFIG!$F$21,IF(AE21&gt;=CONFIG!$E$20,CONFIG!$F$20,CONFIG!$F$19)))</f>
        <v/>
      </c>
      <c r="AG21" s="21" t="str">
        <f aca="false">IF(F21="","",TRIM(IF(N(M21)=0,"Sin ensayos. ","")&amp;IF(AND(N(M21)&gt;0,N(M21)&lt;CONFIG!$B$26),"Menos de "&amp;CONFIG!$B$26&amp;" probetas. ","")&amp;IF(N(T21)&gt;CONFIG!$B$25,"CV alto. ","")&amp;IF(AND(N(AD21)&gt;0,N(AD21)&gt;N(AF21)),"Absorción alta. ","")))</f>
        <v/>
      </c>
      <c r="AH21" s="22" t="str">
        <f aca="false">IF(AND(N(M21)&gt;0,OR(CONTROL!$C$4="TODAS",C21=CONTROL!$C$4),D21=CONTROL!$C$5),MAX($AH$4:AH20)+1,"")</f>
        <v/>
      </c>
      <c r="AI21" s="22" t="str">
        <f aca="false">IF(AH21="","",P21^2)</f>
        <v/>
      </c>
    </row>
    <row r="22" customFormat="false" ht="15" hidden="false" customHeight="false" outlineLevel="0" collapsed="false">
      <c r="A22" s="11" t="n">
        <f aca="false">IF(B22="","",ROW()-4)</f>
        <v>18</v>
      </c>
      <c r="B22" s="12" t="n">
        <v>45712</v>
      </c>
      <c r="C22" s="13" t="s">
        <v>83</v>
      </c>
      <c r="D22" s="13" t="s">
        <v>84</v>
      </c>
      <c r="E22" s="13"/>
      <c r="F22" s="14" t="str">
        <f aca="false">IF(OR(B22="",C22="",D22=""),"",IFERROR(INDEX(CONFIG!$E$5:$E$14,MATCH(D22,CONFIG!$D$5:$D$14,0)),"?")&amp;RIGHT("0"&amp;DAY(B22),2)&amp;RIGHT("0"&amp;MONTH(B22),2)&amp;RIGHT(YEAR(B22),2)&amp;C22&amp;IF(E22="","","-"&amp;E22))</f>
        <v>8240225P1</v>
      </c>
      <c r="G22" s="13"/>
      <c r="H22" s="13"/>
      <c r="I22" s="13"/>
      <c r="J22" s="13"/>
      <c r="K22" s="13"/>
      <c r="L22" s="13"/>
      <c r="M22" s="11" t="n">
        <f aca="false">IF(F22="","",COUNTIFS(ENSAYOS!$C$5:$C$3004,F22,ENSAYOS!$Q$5:$Q$3004,"&gt;0"))</f>
        <v>4</v>
      </c>
      <c r="N22" s="15" t="n">
        <f aca="false">IF(N(M22)=0,"",_xlfn.MINIFS(ENSAYOS!$G$5:$G$3004,ENSAYOS!$C$5:$C$3004,F22,ENSAYOS!$Q$5:$Q$3004,"&gt;0"))</f>
        <v>7</v>
      </c>
      <c r="O22" s="15" t="n">
        <f aca="false">IF(N(M22)=0,"",_xlfn.MAXIFS(ENSAYOS!$G$5:$G$3004,ENSAYOS!$C$5:$C$3004,F22,ENSAYOS!$Q$5:$Q$3004,"&gt;0"))</f>
        <v>7</v>
      </c>
      <c r="P22" s="16" t="n">
        <f aca="false">IF(N(M22)=0,"",AVERAGEIFS(ENSAYOS!$Q$5:$Q$3004,ENSAYOS!$C$5:$C$3004,F22,ENSAYOS!$Q$5:$Q$3004,"&gt;0"))</f>
        <v>76.7786432976306</v>
      </c>
      <c r="Q22" s="16" t="n">
        <f aca="false">IF(N(M22)=0,"",_xlfn.MINIFS(ENSAYOS!$Q$5:$Q$3004,ENSAYOS!$C$5:$C$3004,F22,ENSAYOS!$Q$5:$Q$3004,"&gt;0"))</f>
        <v>69.7176241480039</v>
      </c>
      <c r="R22" s="16" t="n">
        <f aca="false">IF(N(M22)=0,"",_xlfn.MAXIFS(ENSAYOS!$Q$5:$Q$3004,ENSAYOS!$C$5:$C$3004,F22,ENSAYOS!$Q$5:$Q$3004,"&gt;0"))</f>
        <v>81.0360272638754</v>
      </c>
      <c r="S22" s="16" t="n">
        <f aca="false">IF(N(M22)&lt;2,"",SQRT(MAX(0,(SUMIFS(ENSAYOS!$X$5:$X$3004,ENSAYOS!$C$5:$C$3004,F22,ENSAYOS!$Q$5:$Q$3004,"&gt;0")-M22*P22^2)/(M22-1))))</f>
        <v>4.92245894317304</v>
      </c>
      <c r="T22" s="17" t="n">
        <f aca="false">IF(S22="","",S22/P22)</f>
        <v>0.0641123459826093</v>
      </c>
      <c r="U22" s="16" t="n">
        <f aca="false">IF(N(M22)=0,"",IF(N22&gt;=CONFIG!$B$27,"",AVERAGEIFS(ENSAYOS!$Q$5:$Q$3004,ENSAYOS!$C$5:$C$3004,F22,ENSAYOS!$Q$5:$Q$3004,"&gt;0",ENSAYOS!$G$5:$G$3004,N22)))</f>
        <v>76.7786432976306</v>
      </c>
      <c r="V22" s="16" t="str">
        <f aca="false">IF(N(M22)=0,"",IF(COUNTIFS(ENSAYOS!$C$5:$C$3004,F22,ENSAYOS!$Q$5:$Q$3004,"&gt;0",ENSAYOS!$G$5:$G$3004,"&gt;="&amp;CONFIG!$B$27)=0,"",AVERAGEIFS(ENSAYOS!$Q$5:$Q$3004,ENSAYOS!$C$5:$C$3004,F22,ENSAYOS!$Q$5:$Q$3004,"&gt;0",ENSAYOS!$G$5:$G$3004,"&gt;="&amp;CONFIG!$B$27)))</f>
        <v/>
      </c>
      <c r="W22" s="18" t="str">
        <f aca="false">IF(AND(U22&lt;&gt;"",V22&lt;&gt;""),U22/V22,"")</f>
        <v/>
      </c>
      <c r="X22" s="18" t="n">
        <f aca="false">IF(U22="","",INDEX('CURVA EDAD'!$E$5:$E$32,MIN(28,MAX(1,N22))))</f>
        <v>0.91</v>
      </c>
      <c r="Y22" s="16" t="n">
        <f aca="false">IF(V22&lt;&gt;"",V22,IF(U22="","",U22/X22))</f>
        <v>84.3721354919018</v>
      </c>
      <c r="Z22" s="16" t="n">
        <f aca="false">IF(V22&lt;&gt;"",_xlfn.MINIFS(ENSAYOS!$Q$5:$Q$3004,ENSAYOS!$C$5:$C$3004,F22,ENSAYOS!$Q$5:$Q$3004,"&gt;0",ENSAYOS!$G$5:$G$3004,"&gt;="&amp;CONFIG!$B$27),IF(U22="","",_xlfn.MINIFS(ENSAYOS!$Q$5:$Q$3004,ENSAYOS!$C$5:$C$3004,F22,ENSAYOS!$Q$5:$Q$3004,"&gt;0",ENSAYOS!$G$5:$G$3004,N22)/X22))</f>
        <v>76.6127737890153</v>
      </c>
      <c r="AA22" s="16" t="str">
        <f aca="false">IF(D22="","",IFERROR(1/(1/INDEX(CONFIG!$J$5:$J$14,MATCH(D22,CONFIG!$D$5:$D$14,0))),""))</f>
        <v/>
      </c>
      <c r="AB22" s="16" t="str">
        <f aca="false">IF(D22="","",IFERROR(1/(1/INDEX(CONFIG!$K$5:$K$14,MATCH(D22,CONFIG!$D$5:$D$14,0))),""))</f>
        <v/>
      </c>
      <c r="AC22" s="19" t="str">
        <f aca="false">IF(N(M22)=0,"",IF(AA22="","Sin spec",IF(AND(Y22&gt;=AA22,OR(AB22="",Z22&gt;=AB22)),"CUMPLE","NO CUMPLE")&amp;IF(V22=""," (est.)","")))</f>
        <v>Sin spec</v>
      </c>
      <c r="AD22" s="20" t="str">
        <f aca="false">IF(F22="","",IF(COUNTIFS(ABSORCION!$C$5:$C$1004,F22,ABSORCION!$I$5:$I$1004,"&gt;0")=0,"",AVERAGEIFS(ABSORCION!$I$5:$I$1004,ABSORCION!$C$5:$C$1004,F22,ABSORCION!$I$5:$I$1004,"&gt;0")))</f>
        <v/>
      </c>
      <c r="AE22" s="20" t="str">
        <f aca="false">IF(F22="","",IF(COUNTIFS(ABSORCION!$C$5:$C$1004,F22,ABSORCION!$I$5:$I$1004,"&gt;0")=0,"",AVERAGEIFS(ABSORCION!$K$5:$K$1004,ABSORCION!$C$5:$C$1004,F22,ABSORCION!$I$5:$I$1004,"&gt;0")))</f>
        <v/>
      </c>
      <c r="AF22" s="20" t="str">
        <f aca="false">IF(AE22="","",IF(AE22&gt;=CONFIG!$E$21,CONFIG!$F$21,IF(AE22&gt;=CONFIG!$E$20,CONFIG!$F$20,CONFIG!$F$19)))</f>
        <v/>
      </c>
      <c r="AG22" s="21" t="str">
        <f aca="false">IF(F22="","",TRIM(IF(N(M22)=0,"Sin ensayos. ","")&amp;IF(AND(N(M22)&gt;0,N(M22)&lt;CONFIG!$B$26),"Menos de "&amp;CONFIG!$B$26&amp;" probetas. ","")&amp;IF(N(T22)&gt;CONFIG!$B$25,"CV alto. ","")&amp;IF(AND(N(AD22)&gt;0,N(AD22)&gt;N(AF22)),"Absorción alta. ","")))</f>
        <v/>
      </c>
      <c r="AH22" s="22" t="n">
        <f aca="false">IF(AND(N(M22)&gt;0,OR(CONTROL!$C$4="TODAS",C22=CONTROL!$C$4),D22=CONTROL!$C$5),MAX($AH$4:AH21)+1,"")</f>
        <v>14</v>
      </c>
      <c r="AI22" s="22" t="n">
        <f aca="false">IF(AH22="","",P22^2)</f>
        <v>5894.9600666248</v>
      </c>
    </row>
    <row r="23" customFormat="false" ht="15" hidden="false" customHeight="false" outlineLevel="0" collapsed="false">
      <c r="A23" s="11" t="n">
        <f aca="false">IF(B23="","",ROW()-4)</f>
        <v>19</v>
      </c>
      <c r="B23" s="12" t="n">
        <v>45719</v>
      </c>
      <c r="C23" s="13" t="s">
        <v>83</v>
      </c>
      <c r="D23" s="13" t="s">
        <v>84</v>
      </c>
      <c r="E23" s="13"/>
      <c r="F23" s="14" t="str">
        <f aca="false">IF(OR(B23="",C23="",D23=""),"",IFERROR(INDEX(CONFIG!$E$5:$E$14,MATCH(D23,CONFIG!$D$5:$D$14,0)),"?")&amp;RIGHT("0"&amp;DAY(B23),2)&amp;RIGHT("0"&amp;MONTH(B23),2)&amp;RIGHT(YEAR(B23),2)&amp;C23&amp;IF(E23="","","-"&amp;E23))</f>
        <v>8030325P1</v>
      </c>
      <c r="G23" s="13"/>
      <c r="H23" s="13"/>
      <c r="I23" s="13"/>
      <c r="J23" s="13"/>
      <c r="K23" s="13"/>
      <c r="L23" s="13"/>
      <c r="M23" s="11" t="n">
        <f aca="false">IF(F23="","",COUNTIFS(ENSAYOS!$C$5:$C$3004,F23,ENSAYOS!$Q$5:$Q$3004,"&gt;0"))</f>
        <v>8</v>
      </c>
      <c r="N23" s="15" t="n">
        <f aca="false">IF(N(M23)=0,"",_xlfn.MINIFS(ENSAYOS!$G$5:$G$3004,ENSAYOS!$C$5:$C$3004,F23,ENSAYOS!$Q$5:$Q$3004,"&gt;0"))</f>
        <v>4</v>
      </c>
      <c r="O23" s="15" t="n">
        <f aca="false">IF(N(M23)=0,"",_xlfn.MAXIFS(ENSAYOS!$G$5:$G$3004,ENSAYOS!$C$5:$C$3004,F23,ENSAYOS!$Q$5:$Q$3004,"&gt;0"))</f>
        <v>7</v>
      </c>
      <c r="P23" s="16" t="n">
        <f aca="false">IF(N(M23)=0,"",AVERAGEIFS(ENSAYOS!$Q$5:$Q$3004,ENSAYOS!$C$5:$C$3004,F23,ENSAYOS!$Q$5:$Q$3004,"&gt;0"))</f>
        <v>79.0900681596884</v>
      </c>
      <c r="Q23" s="16" t="n">
        <f aca="false">IF(N(M23)=0,"",_xlfn.MINIFS(ENSAYOS!$Q$5:$Q$3004,ENSAYOS!$C$5:$C$3004,F23,ENSAYOS!$Q$5:$Q$3004,"&gt;0"))</f>
        <v>69.6358325219085</v>
      </c>
      <c r="R23" s="16" t="n">
        <f aca="false">IF(N(M23)=0,"",_xlfn.MAXIFS(ENSAYOS!$Q$5:$Q$3004,ENSAYOS!$C$5:$C$3004,F23,ENSAYOS!$Q$5:$Q$3004,"&gt;0"))</f>
        <v>87.0314832846479</v>
      </c>
      <c r="S23" s="16" t="n">
        <f aca="false">IF(N(M23)&lt;2,"",SQRT(MAX(0,(SUMIFS(ENSAYOS!$X$5:$X$3004,ENSAYOS!$C$5:$C$3004,F23,ENSAYOS!$Q$5:$Q$3004,"&gt;0")-M23*P23^2)/(M23-1))))</f>
        <v>5.9406073974591</v>
      </c>
      <c r="T23" s="17" t="n">
        <f aca="false">IF(S23="","",S23/P23)</f>
        <v>0.0751119266386848</v>
      </c>
      <c r="U23" s="16" t="n">
        <f aca="false">IF(N(M23)=0,"",IF(N23&gt;=CONFIG!$B$27,"",AVERAGEIFS(ENSAYOS!$Q$5:$Q$3004,ENSAYOS!$C$5:$C$3004,F23,ENSAYOS!$Q$5:$Q$3004,"&gt;0",ENSAYOS!$G$5:$G$3004,N23)))</f>
        <v>77.2645245050308</v>
      </c>
      <c r="V23" s="16" t="str">
        <f aca="false">IF(N(M23)=0,"",IF(COUNTIFS(ENSAYOS!$C$5:$C$3004,F23,ENSAYOS!$Q$5:$Q$3004,"&gt;0",ENSAYOS!$G$5:$G$3004,"&gt;="&amp;CONFIG!$B$27)=0,"",AVERAGEIFS(ENSAYOS!$Q$5:$Q$3004,ENSAYOS!$C$5:$C$3004,F23,ENSAYOS!$Q$5:$Q$3004,"&gt;0",ENSAYOS!$G$5:$G$3004,"&gt;="&amp;CONFIG!$B$27)))</f>
        <v/>
      </c>
      <c r="W23" s="18" t="str">
        <f aca="false">IF(AND(U23&lt;&gt;"",V23&lt;&gt;""),U23/V23,"")</f>
        <v/>
      </c>
      <c r="X23" s="18" t="n">
        <f aca="false">IF(U23="","",INDEX('CURVA EDAD'!$E$5:$E$32,MIN(28,MAX(1,N23))))</f>
        <v>0.87</v>
      </c>
      <c r="Y23" s="16" t="n">
        <f aca="false">IF(V23&lt;&gt;"",V23,IF(U23="","",U23/X23))</f>
        <v>88.8097982816446</v>
      </c>
      <c r="Z23" s="16" t="n">
        <f aca="false">IF(V23&lt;&gt;"",_xlfn.MINIFS(ENSAYOS!$Q$5:$Q$3004,ENSAYOS!$C$5:$C$3004,F23,ENSAYOS!$Q$5:$Q$3004,"&gt;0",ENSAYOS!$G$5:$G$3004,"&gt;="&amp;CONFIG!$B$27),IF(U23="","",_xlfn.MINIFS(ENSAYOS!$Q$5:$Q$3004,ENSAYOS!$C$5:$C$3004,F23,ENSAYOS!$Q$5:$Q$3004,"&gt;0",ENSAYOS!$G$5:$G$3004,N23)/X23))</f>
        <v>84.6776871220346</v>
      </c>
      <c r="AA23" s="16" t="str">
        <f aca="false">IF(D23="","",IFERROR(1/(1/INDEX(CONFIG!$J$5:$J$14,MATCH(D23,CONFIG!$D$5:$D$14,0))),""))</f>
        <v/>
      </c>
      <c r="AB23" s="16" t="str">
        <f aca="false">IF(D23="","",IFERROR(1/(1/INDEX(CONFIG!$K$5:$K$14,MATCH(D23,CONFIG!$D$5:$D$14,0))),""))</f>
        <v/>
      </c>
      <c r="AC23" s="19" t="str">
        <f aca="false">IF(N(M23)=0,"",IF(AA23="","Sin spec",IF(AND(Y23&gt;=AA23,OR(AB23="",Z23&gt;=AB23)),"CUMPLE","NO CUMPLE")&amp;IF(V23=""," (est.)","")))</f>
        <v>Sin spec</v>
      </c>
      <c r="AD23" s="20" t="str">
        <f aca="false">IF(F23="","",IF(COUNTIFS(ABSORCION!$C$5:$C$1004,F23,ABSORCION!$I$5:$I$1004,"&gt;0")=0,"",AVERAGEIFS(ABSORCION!$I$5:$I$1004,ABSORCION!$C$5:$C$1004,F23,ABSORCION!$I$5:$I$1004,"&gt;0")))</f>
        <v/>
      </c>
      <c r="AE23" s="20" t="str">
        <f aca="false">IF(F23="","",IF(COUNTIFS(ABSORCION!$C$5:$C$1004,F23,ABSORCION!$I$5:$I$1004,"&gt;0")=0,"",AVERAGEIFS(ABSORCION!$K$5:$K$1004,ABSORCION!$C$5:$C$1004,F23,ABSORCION!$I$5:$I$1004,"&gt;0")))</f>
        <v/>
      </c>
      <c r="AF23" s="20" t="str">
        <f aca="false">IF(AE23="","",IF(AE23&gt;=CONFIG!$E$21,CONFIG!$F$21,IF(AE23&gt;=CONFIG!$E$20,CONFIG!$F$20,CONFIG!$F$19)))</f>
        <v/>
      </c>
      <c r="AG23" s="21" t="str">
        <f aca="false">IF(F23="","",TRIM(IF(N(M23)=0,"Sin ensayos. ","")&amp;IF(AND(N(M23)&gt;0,N(M23)&lt;CONFIG!$B$26),"Menos de "&amp;CONFIG!$B$26&amp;" probetas. ","")&amp;IF(N(T23)&gt;CONFIG!$B$25,"CV alto. ","")&amp;IF(AND(N(AD23)&gt;0,N(AD23)&gt;N(AF23)),"Absorción alta. ","")))</f>
        <v/>
      </c>
      <c r="AH23" s="22" t="n">
        <f aca="false">IF(AND(N(M23)&gt;0,OR(CONTROL!$C$4="TODAS",C23=CONTROL!$C$4),D23=CONTROL!$C$5),MAX($AH$4:AH22)+1,"")</f>
        <v>15</v>
      </c>
      <c r="AI23" s="22" t="n">
        <f aca="false">IF(AH23="","",P23^2)</f>
        <v>6255.23888150416</v>
      </c>
    </row>
    <row r="24" customFormat="false" ht="15" hidden="false" customHeight="false" outlineLevel="0" collapsed="false">
      <c r="A24" s="11" t="n">
        <f aca="false">IF(B24="","",ROW()-4)</f>
        <v>20</v>
      </c>
      <c r="B24" s="12" t="n">
        <v>45723</v>
      </c>
      <c r="C24" s="13" t="s">
        <v>83</v>
      </c>
      <c r="D24" s="13" t="s">
        <v>84</v>
      </c>
      <c r="E24" s="13"/>
      <c r="F24" s="14" t="str">
        <f aca="false">IF(OR(B24="",C24="",D24=""),"",IFERROR(INDEX(CONFIG!$E$5:$E$14,MATCH(D24,CONFIG!$D$5:$D$14,0)),"?")&amp;RIGHT("0"&amp;DAY(B24),2)&amp;RIGHT("0"&amp;MONTH(B24),2)&amp;RIGHT(YEAR(B24),2)&amp;C24&amp;IF(E24="","","-"&amp;E24))</f>
        <v>8070325P1</v>
      </c>
      <c r="G24" s="13"/>
      <c r="H24" s="13"/>
      <c r="I24" s="13"/>
      <c r="J24" s="13"/>
      <c r="K24" s="13"/>
      <c r="L24" s="13"/>
      <c r="M24" s="11" t="n">
        <f aca="false">IF(F24="","",COUNTIFS(ENSAYOS!$C$5:$C$3004,F24,ENSAYOS!$Q$5:$Q$3004,"&gt;0"))</f>
        <v>8</v>
      </c>
      <c r="N24" s="15" t="n">
        <f aca="false">IF(N(M24)=0,"",_xlfn.MINIFS(ENSAYOS!$G$5:$G$3004,ENSAYOS!$C$5:$C$3004,F24,ENSAYOS!$Q$5:$Q$3004,"&gt;0"))</f>
        <v>6</v>
      </c>
      <c r="O24" s="15" t="n">
        <f aca="false">IF(N(M24)=0,"",_xlfn.MAXIFS(ENSAYOS!$G$5:$G$3004,ENSAYOS!$C$5:$C$3004,F24,ENSAYOS!$Q$5:$Q$3004,"&gt;0"))</f>
        <v>6</v>
      </c>
      <c r="P24" s="16" t="n">
        <f aca="false">IF(N(M24)=0,"",AVERAGEIFS(ENSAYOS!$Q$5:$Q$3004,ENSAYOS!$C$5:$C$3004,F24,ENSAYOS!$Q$5:$Q$3004,"&gt;0"))</f>
        <v>74.4195066536839</v>
      </c>
      <c r="Q24" s="16" t="n">
        <f aca="false">IF(N(M24)=0,"",_xlfn.MINIFS(ENSAYOS!$Q$5:$Q$3004,ENSAYOS!$C$5:$C$3004,F24,ENSAYOS!$Q$5:$Q$3004,"&gt;0"))</f>
        <v>64.4362220058423</v>
      </c>
      <c r="R24" s="16" t="n">
        <f aca="false">IF(N(M24)=0,"",_xlfn.MAXIFS(ENSAYOS!$Q$5:$Q$3004,ENSAYOS!$C$5:$C$3004,F24,ENSAYOS!$Q$5:$Q$3004,"&gt;0"))</f>
        <v>82.0902304446608</v>
      </c>
      <c r="S24" s="16" t="n">
        <f aca="false">IF(N(M24)&lt;2,"",SQRT(MAX(0,(SUMIFS(ENSAYOS!$X$5:$X$3004,ENSAYOS!$C$5:$C$3004,F24,ENSAYOS!$Q$5:$Q$3004,"&gt;0")-M24*P24^2)/(M24-1))))</f>
        <v>6.92816970677573</v>
      </c>
      <c r="T24" s="17" t="n">
        <f aca="false">IF(S24="","",S24/P24)</f>
        <v>0.0930961520480971</v>
      </c>
      <c r="U24" s="16" t="n">
        <f aca="false">IF(N(M24)=0,"",IF(N24&gt;=CONFIG!$B$27,"",AVERAGEIFS(ENSAYOS!$Q$5:$Q$3004,ENSAYOS!$C$5:$C$3004,F24,ENSAYOS!$Q$5:$Q$3004,"&gt;0",ENSAYOS!$G$5:$G$3004,N24)))</f>
        <v>74.4195066536839</v>
      </c>
      <c r="V24" s="16" t="str">
        <f aca="false">IF(N(M24)=0,"",IF(COUNTIFS(ENSAYOS!$C$5:$C$3004,F24,ENSAYOS!$Q$5:$Q$3004,"&gt;0",ENSAYOS!$G$5:$G$3004,"&gt;="&amp;CONFIG!$B$27)=0,"",AVERAGEIFS(ENSAYOS!$Q$5:$Q$3004,ENSAYOS!$C$5:$C$3004,F24,ENSAYOS!$Q$5:$Q$3004,"&gt;0",ENSAYOS!$G$5:$G$3004,"&gt;="&amp;CONFIG!$B$27)))</f>
        <v/>
      </c>
      <c r="W24" s="18" t="str">
        <f aca="false">IF(AND(U24&lt;&gt;"",V24&lt;&gt;""),U24/V24,"")</f>
        <v/>
      </c>
      <c r="X24" s="18" t="n">
        <f aca="false">IF(U24="","",INDEX('CURVA EDAD'!$E$5:$E$32,MIN(28,MAX(1,N24))))</f>
        <v>0.9</v>
      </c>
      <c r="Y24" s="16" t="n">
        <f aca="false">IF(V24&lt;&gt;"",V24,IF(U24="","",U24/X24))</f>
        <v>82.6883407263154</v>
      </c>
      <c r="Z24" s="16" t="n">
        <f aca="false">IF(V24&lt;&gt;"",_xlfn.MINIFS(ENSAYOS!$Q$5:$Q$3004,ENSAYOS!$C$5:$C$3004,F24,ENSAYOS!$Q$5:$Q$3004,"&gt;0",ENSAYOS!$G$5:$G$3004,"&gt;="&amp;CONFIG!$B$27),IF(U24="","",_xlfn.MINIFS(ENSAYOS!$Q$5:$Q$3004,ENSAYOS!$C$5:$C$3004,F24,ENSAYOS!$Q$5:$Q$3004,"&gt;0",ENSAYOS!$G$5:$G$3004,N24)/X24))</f>
        <v>71.5958022287136</v>
      </c>
      <c r="AA24" s="16" t="str">
        <f aca="false">IF(D24="","",IFERROR(1/(1/INDEX(CONFIG!$J$5:$J$14,MATCH(D24,CONFIG!$D$5:$D$14,0))),""))</f>
        <v/>
      </c>
      <c r="AB24" s="16" t="str">
        <f aca="false">IF(D24="","",IFERROR(1/(1/INDEX(CONFIG!$K$5:$K$14,MATCH(D24,CONFIG!$D$5:$D$14,0))),""))</f>
        <v/>
      </c>
      <c r="AC24" s="19" t="str">
        <f aca="false">IF(N(M24)=0,"",IF(AA24="","Sin spec",IF(AND(Y24&gt;=AA24,OR(AB24="",Z24&gt;=AB24)),"CUMPLE","NO CUMPLE")&amp;IF(V24=""," (est.)","")))</f>
        <v>Sin spec</v>
      </c>
      <c r="AD24" s="20" t="str">
        <f aca="false">IF(F24="","",IF(COUNTIFS(ABSORCION!$C$5:$C$1004,F24,ABSORCION!$I$5:$I$1004,"&gt;0")=0,"",AVERAGEIFS(ABSORCION!$I$5:$I$1004,ABSORCION!$C$5:$C$1004,F24,ABSORCION!$I$5:$I$1004,"&gt;0")))</f>
        <v/>
      </c>
      <c r="AE24" s="20" t="str">
        <f aca="false">IF(F24="","",IF(COUNTIFS(ABSORCION!$C$5:$C$1004,F24,ABSORCION!$I$5:$I$1004,"&gt;0")=0,"",AVERAGEIFS(ABSORCION!$K$5:$K$1004,ABSORCION!$C$5:$C$1004,F24,ABSORCION!$I$5:$I$1004,"&gt;0")))</f>
        <v/>
      </c>
      <c r="AF24" s="20" t="str">
        <f aca="false">IF(AE24="","",IF(AE24&gt;=CONFIG!$E$21,CONFIG!$F$21,IF(AE24&gt;=CONFIG!$E$20,CONFIG!$F$20,CONFIG!$F$19)))</f>
        <v/>
      </c>
      <c r="AG24" s="21" t="str">
        <f aca="false">IF(F24="","",TRIM(IF(N(M24)=0,"Sin ensayos. ","")&amp;IF(AND(N(M24)&gt;0,N(M24)&lt;CONFIG!$B$26),"Menos de "&amp;CONFIG!$B$26&amp;" probetas. ","")&amp;IF(N(T24)&gt;CONFIG!$B$25,"CV alto. ","")&amp;IF(AND(N(AD24)&gt;0,N(AD24)&gt;N(AF24)),"Absorción alta. ","")))</f>
        <v/>
      </c>
      <c r="AH24" s="22" t="n">
        <f aca="false">IF(AND(N(M24)&gt;0,OR(CONTROL!$C$4="TODAS",C24=CONTROL!$C$4),D24=CONTROL!$C$5),MAX($AH$4:AH23)+1,"")</f>
        <v>16</v>
      </c>
      <c r="AI24" s="22" t="n">
        <f aca="false">IF(AH24="","",P24^2)</f>
        <v>5538.2629705777</v>
      </c>
    </row>
    <row r="25" customFormat="false" ht="15" hidden="false" customHeight="false" outlineLevel="0" collapsed="false">
      <c r="A25" s="11" t="n">
        <f aca="false">IF(B25="","",ROW()-4)</f>
        <v>21</v>
      </c>
      <c r="B25" s="12" t="n">
        <v>45730</v>
      </c>
      <c r="C25" s="13" t="s">
        <v>86</v>
      </c>
      <c r="D25" s="13" t="s">
        <v>87</v>
      </c>
      <c r="E25" s="13"/>
      <c r="F25" s="14" t="str">
        <f aca="false">IF(OR(B25="",C25="",D25=""),"",IFERROR(INDEX(CONFIG!$E$5:$E$14,MATCH(D25,CONFIG!$D$5:$D$14,0)),"?")&amp;RIGHT("0"&amp;DAY(B25),2)&amp;RIGHT("0"&amp;MONTH(B25),2)&amp;RIGHT(YEAR(B25),2)&amp;C25&amp;IF(E25="","","-"&amp;E25))</f>
        <v>6140325P2</v>
      </c>
      <c r="G25" s="13"/>
      <c r="H25" s="13"/>
      <c r="I25" s="13"/>
      <c r="J25" s="13"/>
      <c r="K25" s="13"/>
      <c r="L25" s="13"/>
      <c r="M25" s="11" t="n">
        <f aca="false">IF(F25="","",COUNTIFS(ENSAYOS!$C$5:$C$3004,F25,ENSAYOS!$Q$5:$Q$3004,"&gt;0"))</f>
        <v>4</v>
      </c>
      <c r="N25" s="15" t="n">
        <f aca="false">IF(N(M25)=0,"",_xlfn.MINIFS(ENSAYOS!$G$5:$G$3004,ENSAYOS!$C$5:$C$3004,F25,ENSAYOS!$Q$5:$Q$3004,"&gt;0"))</f>
        <v>3</v>
      </c>
      <c r="O25" s="15" t="n">
        <f aca="false">IF(N(M25)=0,"",_xlfn.MAXIFS(ENSAYOS!$G$5:$G$3004,ENSAYOS!$C$5:$C$3004,F25,ENSAYOS!$Q$5:$Q$3004,"&gt;0"))</f>
        <v>3</v>
      </c>
      <c r="P25" s="16" t="n">
        <f aca="false">IF(N(M25)=0,"",AVERAGEIFS(ENSAYOS!$Q$5:$Q$3004,ENSAYOS!$C$5:$C$3004,F25,ENSAYOS!$Q$5:$Q$3004,"&gt;0"))</f>
        <v>69.9524225229158</v>
      </c>
      <c r="Q25" s="16" t="n">
        <f aca="false">IF(N(M25)=0,"",_xlfn.MINIFS(ENSAYOS!$Q$5:$Q$3004,ENSAYOS!$C$5:$C$3004,F25,ENSAYOS!$Q$5:$Q$3004,"&gt;0"))</f>
        <v>63.8061981667394</v>
      </c>
      <c r="R25" s="16" t="n">
        <f aca="false">IF(N(M25)=0,"",_xlfn.MAXIFS(ENSAYOS!$Q$5:$Q$3004,ENSAYOS!$C$5:$C$3004,F25,ENSAYOS!$Q$5:$Q$3004,"&gt;0"))</f>
        <v>73.6586643387167</v>
      </c>
      <c r="S25" s="16" t="n">
        <f aca="false">IF(N(M25)&lt;2,"",SQRT(MAX(0,(SUMIFS(ENSAYOS!$X$5:$X$3004,ENSAYOS!$C$5:$C$3004,F25,ENSAYOS!$Q$5:$Q$3004,"&gt;0")-M25*P25^2)/(M25-1))))</f>
        <v>4.30054841533358</v>
      </c>
      <c r="T25" s="17" t="n">
        <f aca="false">IF(S25="","",S25/P25)</f>
        <v>0.061478191322463</v>
      </c>
      <c r="U25" s="16" t="n">
        <f aca="false">IF(N(M25)=0,"",IF(N25&gt;=CONFIG!$B$27,"",AVERAGEIFS(ENSAYOS!$Q$5:$Q$3004,ENSAYOS!$C$5:$C$3004,F25,ENSAYOS!$Q$5:$Q$3004,"&gt;0",ENSAYOS!$G$5:$G$3004,N25)))</f>
        <v>69.9524225229158</v>
      </c>
      <c r="V25" s="16" t="str">
        <f aca="false">IF(N(M25)=0,"",IF(COUNTIFS(ENSAYOS!$C$5:$C$3004,F25,ENSAYOS!$Q$5:$Q$3004,"&gt;0",ENSAYOS!$G$5:$G$3004,"&gt;="&amp;CONFIG!$B$27)=0,"",AVERAGEIFS(ENSAYOS!$Q$5:$Q$3004,ENSAYOS!$C$5:$C$3004,F25,ENSAYOS!$Q$5:$Q$3004,"&gt;0",ENSAYOS!$G$5:$G$3004,"&gt;="&amp;CONFIG!$B$27)))</f>
        <v/>
      </c>
      <c r="W25" s="18" t="str">
        <f aca="false">IF(AND(U25&lt;&gt;"",V25&lt;&gt;""),U25/V25,"")</f>
        <v/>
      </c>
      <c r="X25" s="18" t="n">
        <f aca="false">IF(U25="","",INDEX('CURVA EDAD'!$E$5:$E$32,MIN(28,MAX(1,N25))))</f>
        <v>0.84</v>
      </c>
      <c r="Y25" s="16" t="n">
        <f aca="false">IF(V25&lt;&gt;"",V25,IF(U25="","",U25/X25))</f>
        <v>83.2766934796616</v>
      </c>
      <c r="Z25" s="16" t="n">
        <f aca="false">IF(V25&lt;&gt;"",_xlfn.MINIFS(ENSAYOS!$Q$5:$Q$3004,ENSAYOS!$C$5:$C$3004,F25,ENSAYOS!$Q$5:$Q$3004,"&gt;0",ENSAYOS!$G$5:$G$3004,"&gt;="&amp;CONFIG!$B$27),IF(U25="","",_xlfn.MINIFS(ENSAYOS!$Q$5:$Q$3004,ENSAYOS!$C$5:$C$3004,F25,ENSAYOS!$Q$5:$Q$3004,"&gt;0",ENSAYOS!$G$5:$G$3004,N25)/X25))</f>
        <v>75.9597597223088</v>
      </c>
      <c r="AA25" s="16" t="str">
        <f aca="false">IF(D25="","",IFERROR(1/(1/INDEX(CONFIG!$J$5:$J$14,MATCH(D25,CONFIG!$D$5:$D$14,0))),""))</f>
        <v/>
      </c>
      <c r="AB25" s="16" t="str">
        <f aca="false">IF(D25="","",IFERROR(1/(1/INDEX(CONFIG!$K$5:$K$14,MATCH(D25,CONFIG!$D$5:$D$14,0))),""))</f>
        <v/>
      </c>
      <c r="AC25" s="19" t="str">
        <f aca="false">IF(N(M25)=0,"",IF(AA25="","Sin spec",IF(AND(Y25&gt;=AA25,OR(AB25="",Z25&gt;=AB25)),"CUMPLE","NO CUMPLE")&amp;IF(V25=""," (est.)","")))</f>
        <v>Sin spec</v>
      </c>
      <c r="AD25" s="20" t="str">
        <f aca="false">IF(F25="","",IF(COUNTIFS(ABSORCION!$C$5:$C$1004,F25,ABSORCION!$I$5:$I$1004,"&gt;0")=0,"",AVERAGEIFS(ABSORCION!$I$5:$I$1004,ABSORCION!$C$5:$C$1004,F25,ABSORCION!$I$5:$I$1004,"&gt;0")))</f>
        <v/>
      </c>
      <c r="AE25" s="20" t="str">
        <f aca="false">IF(F25="","",IF(COUNTIFS(ABSORCION!$C$5:$C$1004,F25,ABSORCION!$I$5:$I$1004,"&gt;0")=0,"",AVERAGEIFS(ABSORCION!$K$5:$K$1004,ABSORCION!$C$5:$C$1004,F25,ABSORCION!$I$5:$I$1004,"&gt;0")))</f>
        <v/>
      </c>
      <c r="AF25" s="20" t="str">
        <f aca="false">IF(AE25="","",IF(AE25&gt;=CONFIG!$E$21,CONFIG!$F$21,IF(AE25&gt;=CONFIG!$E$20,CONFIG!$F$20,CONFIG!$F$19)))</f>
        <v/>
      </c>
      <c r="AG25" s="21" t="str">
        <f aca="false">IF(F25="","",TRIM(IF(N(M25)=0,"Sin ensayos. ","")&amp;IF(AND(N(M25)&gt;0,N(M25)&lt;CONFIG!$B$26),"Menos de "&amp;CONFIG!$B$26&amp;" probetas. ","")&amp;IF(N(T25)&gt;CONFIG!$B$25,"CV alto. ","")&amp;IF(AND(N(AD25)&gt;0,N(AD25)&gt;N(AF25)),"Absorción alta. ","")))</f>
        <v/>
      </c>
      <c r="AH25" s="22" t="str">
        <f aca="false">IF(AND(N(M25)&gt;0,OR(CONTROL!$C$4="TODAS",C25=CONTROL!$C$4),D25=CONTROL!$C$5),MAX($AH$4:AH24)+1,"")</f>
        <v/>
      </c>
      <c r="AI25" s="22" t="str">
        <f aca="false">IF(AH25="","",P25^2)</f>
        <v/>
      </c>
    </row>
    <row r="26" customFormat="false" ht="15" hidden="false" customHeight="false" outlineLevel="0" collapsed="false">
      <c r="A26" s="11" t="n">
        <f aca="false">IF(B26="","",ROW()-4)</f>
        <v>22</v>
      </c>
      <c r="B26" s="12" t="n">
        <v>45730</v>
      </c>
      <c r="C26" s="13" t="s">
        <v>83</v>
      </c>
      <c r="D26" s="13" t="s">
        <v>84</v>
      </c>
      <c r="E26" s="13"/>
      <c r="F26" s="14" t="str">
        <f aca="false">IF(OR(B26="",C26="",D26=""),"",IFERROR(INDEX(CONFIG!$E$5:$E$14,MATCH(D26,CONFIG!$D$5:$D$14,0)),"?")&amp;RIGHT("0"&amp;DAY(B26),2)&amp;RIGHT("0"&amp;MONTH(B26),2)&amp;RIGHT(YEAR(B26),2)&amp;C26&amp;IF(E26="","","-"&amp;E26))</f>
        <v>8140325P1</v>
      </c>
      <c r="G26" s="13"/>
      <c r="H26" s="13"/>
      <c r="I26" s="13"/>
      <c r="J26" s="13"/>
      <c r="K26" s="13"/>
      <c r="L26" s="13"/>
      <c r="M26" s="11" t="n">
        <f aca="false">IF(F26="","",COUNTIFS(ENSAYOS!$C$5:$C$3004,F26,ENSAYOS!$Q$5:$Q$3004,"&gt;0"))</f>
        <v>4</v>
      </c>
      <c r="N26" s="15" t="n">
        <f aca="false">IF(N(M26)=0,"",_xlfn.MINIFS(ENSAYOS!$G$5:$G$3004,ENSAYOS!$C$5:$C$3004,F26,ENSAYOS!$Q$5:$Q$3004,"&gt;0"))</f>
        <v>5</v>
      </c>
      <c r="O26" s="15" t="n">
        <f aca="false">IF(N(M26)=0,"",_xlfn.MAXIFS(ENSAYOS!$G$5:$G$3004,ENSAYOS!$C$5:$C$3004,F26,ENSAYOS!$Q$5:$Q$3004,"&gt;0"))</f>
        <v>5</v>
      </c>
      <c r="P26" s="16" t="n">
        <f aca="false">IF(N(M26)=0,"",AVERAGEIFS(ENSAYOS!$Q$5:$Q$3004,ENSAYOS!$C$5:$C$3004,F26,ENSAYOS!$Q$5:$Q$3004,"&gt;0"))</f>
        <v>75.5540408958131</v>
      </c>
      <c r="Q26" s="16" t="n">
        <f aca="false">IF(N(M26)=0,"",_xlfn.MINIFS(ENSAYOS!$Q$5:$Q$3004,ENSAYOS!$C$5:$C$3004,F26,ENSAYOS!$Q$5:$Q$3004,"&gt;0"))</f>
        <v>57.2684193443687</v>
      </c>
      <c r="R26" s="16" t="n">
        <f aca="false">IF(N(M26)=0,"",_xlfn.MAXIFS(ENSAYOS!$Q$5:$Q$3004,ENSAYOS!$C$5:$C$3004,F26,ENSAYOS!$Q$5:$Q$3004,"&gt;0"))</f>
        <v>84.888023369036</v>
      </c>
      <c r="S26" s="16" t="n">
        <f aca="false">IF(N(M26)&lt;2,"",SQRT(MAX(0,(SUMIFS(ENSAYOS!$X$5:$X$3004,ENSAYOS!$C$5:$C$3004,F26,ENSAYOS!$Q$5:$Q$3004,"&gt;0")-M26*P26^2)/(M26-1))))</f>
        <v>12.51794628512</v>
      </c>
      <c r="T26" s="17" t="n">
        <f aca="false">IF(S26="","",S26/P26)</f>
        <v>0.165682022254533</v>
      </c>
      <c r="U26" s="16" t="n">
        <f aca="false">IF(N(M26)=0,"",IF(N26&gt;=CONFIG!$B$27,"",AVERAGEIFS(ENSAYOS!$Q$5:$Q$3004,ENSAYOS!$C$5:$C$3004,F26,ENSAYOS!$Q$5:$Q$3004,"&gt;0",ENSAYOS!$G$5:$G$3004,N26)))</f>
        <v>75.5540408958131</v>
      </c>
      <c r="V26" s="16" t="str">
        <f aca="false">IF(N(M26)=0,"",IF(COUNTIFS(ENSAYOS!$C$5:$C$3004,F26,ENSAYOS!$Q$5:$Q$3004,"&gt;0",ENSAYOS!$G$5:$G$3004,"&gt;="&amp;CONFIG!$B$27)=0,"",AVERAGEIFS(ENSAYOS!$Q$5:$Q$3004,ENSAYOS!$C$5:$C$3004,F26,ENSAYOS!$Q$5:$Q$3004,"&gt;0",ENSAYOS!$G$5:$G$3004,"&gt;="&amp;CONFIG!$B$27)))</f>
        <v/>
      </c>
      <c r="W26" s="18" t="str">
        <f aca="false">IF(AND(U26&lt;&gt;"",V26&lt;&gt;""),U26/V26,"")</f>
        <v/>
      </c>
      <c r="X26" s="18" t="n">
        <f aca="false">IF(U26="","",INDEX('CURVA EDAD'!$E$5:$E$32,MIN(28,MAX(1,N26))))</f>
        <v>0.89</v>
      </c>
      <c r="Y26" s="16" t="n">
        <f aca="false">IF(V26&lt;&gt;"",V26,IF(U26="","",U26/X26))</f>
        <v>84.8921807818124</v>
      </c>
      <c r="Z26" s="16" t="n">
        <f aca="false">IF(V26&lt;&gt;"",_xlfn.MINIFS(ENSAYOS!$Q$5:$Q$3004,ENSAYOS!$C$5:$C$3004,F26,ENSAYOS!$Q$5:$Q$3004,"&gt;0",ENSAYOS!$G$5:$G$3004,"&gt;="&amp;CONFIG!$B$27),IF(U26="","",_xlfn.MINIFS(ENSAYOS!$Q$5:$Q$3004,ENSAYOS!$C$5:$C$3004,F26,ENSAYOS!$Q$5:$Q$3004,"&gt;0",ENSAYOS!$G$5:$G$3004,N26)/X26))</f>
        <v>64.3465385891783</v>
      </c>
      <c r="AA26" s="16" t="str">
        <f aca="false">IF(D26="","",IFERROR(1/(1/INDEX(CONFIG!$J$5:$J$14,MATCH(D26,CONFIG!$D$5:$D$14,0))),""))</f>
        <v/>
      </c>
      <c r="AB26" s="16" t="str">
        <f aca="false">IF(D26="","",IFERROR(1/(1/INDEX(CONFIG!$K$5:$K$14,MATCH(D26,CONFIG!$D$5:$D$14,0))),""))</f>
        <v/>
      </c>
      <c r="AC26" s="19" t="str">
        <f aca="false">IF(N(M26)=0,"",IF(AA26="","Sin spec",IF(AND(Y26&gt;=AA26,OR(AB26="",Z26&gt;=AB26)),"CUMPLE","NO CUMPLE")&amp;IF(V26=""," (est.)","")))</f>
        <v>Sin spec</v>
      </c>
      <c r="AD26" s="20" t="str">
        <f aca="false">IF(F26="","",IF(COUNTIFS(ABSORCION!$C$5:$C$1004,F26,ABSORCION!$I$5:$I$1004,"&gt;0")=0,"",AVERAGEIFS(ABSORCION!$I$5:$I$1004,ABSORCION!$C$5:$C$1004,F26,ABSORCION!$I$5:$I$1004,"&gt;0")))</f>
        <v/>
      </c>
      <c r="AE26" s="20" t="str">
        <f aca="false">IF(F26="","",IF(COUNTIFS(ABSORCION!$C$5:$C$1004,F26,ABSORCION!$I$5:$I$1004,"&gt;0")=0,"",AVERAGEIFS(ABSORCION!$K$5:$K$1004,ABSORCION!$C$5:$C$1004,F26,ABSORCION!$I$5:$I$1004,"&gt;0")))</f>
        <v/>
      </c>
      <c r="AF26" s="20" t="str">
        <f aca="false">IF(AE26="","",IF(AE26&gt;=CONFIG!$E$21,CONFIG!$F$21,IF(AE26&gt;=CONFIG!$E$20,CONFIG!$F$20,CONFIG!$F$19)))</f>
        <v/>
      </c>
      <c r="AG26" s="21" t="str">
        <f aca="false">IF(F26="","",TRIM(IF(N(M26)=0,"Sin ensayos. ","")&amp;IF(AND(N(M26)&gt;0,N(M26)&lt;CONFIG!$B$26),"Menos de "&amp;CONFIG!$B$26&amp;" probetas. ","")&amp;IF(N(T26)&gt;CONFIG!$B$25,"CV alto. ","")&amp;IF(AND(N(AD26)&gt;0,N(AD26)&gt;N(AF26)),"Absorción alta. ","")))</f>
        <v>CV alto.</v>
      </c>
      <c r="AH26" s="22" t="n">
        <f aca="false">IF(AND(N(M26)&gt;0,OR(CONTROL!$C$4="TODAS",C26=CONTROL!$C$4),D26=CONTROL!$C$5),MAX($AH$4:AH25)+1,"")</f>
        <v>17</v>
      </c>
      <c r="AI26" s="22" t="n">
        <f aca="false">IF(AH26="","",P26^2)</f>
        <v>5708.41309568619</v>
      </c>
    </row>
    <row r="27" customFormat="false" ht="15" hidden="false" customHeight="false" outlineLevel="0" collapsed="false">
      <c r="A27" s="11" t="n">
        <f aca="false">IF(B27="","",ROW()-4)</f>
        <v>23</v>
      </c>
      <c r="B27" s="12" t="n">
        <v>45736</v>
      </c>
      <c r="C27" s="13" t="s">
        <v>86</v>
      </c>
      <c r="D27" s="13" t="s">
        <v>87</v>
      </c>
      <c r="E27" s="13"/>
      <c r="F27" s="14" t="str">
        <f aca="false">IF(OR(B27="",C27="",D27=""),"",IFERROR(INDEX(CONFIG!$E$5:$E$14,MATCH(D27,CONFIG!$D$5:$D$14,0)),"?")&amp;RIGHT("0"&amp;DAY(B27),2)&amp;RIGHT("0"&amp;MONTH(B27),2)&amp;RIGHT(YEAR(B27),2)&amp;C27&amp;IF(E27="","","-"&amp;E27))</f>
        <v>6200325P2</v>
      </c>
      <c r="G27" s="13"/>
      <c r="H27" s="13"/>
      <c r="I27" s="13"/>
      <c r="J27" s="13"/>
      <c r="K27" s="13"/>
      <c r="L27" s="13"/>
      <c r="M27" s="11" t="n">
        <f aca="false">IF(F27="","",COUNTIFS(ENSAYOS!$C$5:$C$3004,F27,ENSAYOS!$Q$5:$Q$3004,"&gt;0"))</f>
        <v>4</v>
      </c>
      <c r="N27" s="15" t="n">
        <f aca="false">IF(N(M27)=0,"",_xlfn.MINIFS(ENSAYOS!$G$5:$G$3004,ENSAYOS!$C$5:$C$3004,F27,ENSAYOS!$Q$5:$Q$3004,"&gt;0"))</f>
        <v>2</v>
      </c>
      <c r="O27" s="15" t="n">
        <f aca="false">IF(N(M27)=0,"",_xlfn.MAXIFS(ENSAYOS!$G$5:$G$3004,ENSAYOS!$C$5:$C$3004,F27,ENSAYOS!$Q$5:$Q$3004,"&gt;0"))</f>
        <v>2</v>
      </c>
      <c r="P27" s="16" t="n">
        <f aca="false">IF(N(M27)=0,"",AVERAGEIFS(ENSAYOS!$Q$5:$Q$3004,ENSAYOS!$C$5:$C$3004,F27,ENSAYOS!$Q$5:$Q$3004,"&gt;0"))</f>
        <v>65.8939327804452</v>
      </c>
      <c r="Q27" s="16" t="n">
        <f aca="false">IF(N(M27)=0,"",_xlfn.MINIFS(ENSAYOS!$Q$5:$Q$3004,ENSAYOS!$C$5:$C$3004,F27,ENSAYOS!$Q$5:$Q$3004,"&gt;0"))</f>
        <v>60.3858577040594</v>
      </c>
      <c r="R27" s="16" t="n">
        <f aca="false">IF(N(M27)=0,"",_xlfn.MAXIFS(ENSAYOS!$Q$5:$Q$3004,ENSAYOS!$C$5:$C$3004,F27,ENSAYOS!$Q$5:$Q$3004,"&gt;0"))</f>
        <v>68.733304233959</v>
      </c>
      <c r="S27" s="16" t="n">
        <f aca="false">IF(N(M27)&lt;2,"",SQRT(MAX(0,(SUMIFS(ENSAYOS!$X$5:$X$3004,ENSAYOS!$C$5:$C$3004,F27,ENSAYOS!$Q$5:$Q$3004,"&gt;0")-M27*P27^2)/(M27-1))))</f>
        <v>3.78894568511555</v>
      </c>
      <c r="T27" s="17" t="n">
        <f aca="false">IF(S27="","",S27/P27)</f>
        <v>0.057500676090166</v>
      </c>
      <c r="U27" s="16" t="n">
        <f aca="false">IF(N(M27)=0,"",IF(N27&gt;=CONFIG!$B$27,"",AVERAGEIFS(ENSAYOS!$Q$5:$Q$3004,ENSAYOS!$C$5:$C$3004,F27,ENSAYOS!$Q$5:$Q$3004,"&gt;0",ENSAYOS!$G$5:$G$3004,N27)))</f>
        <v>65.8939327804452</v>
      </c>
      <c r="V27" s="16" t="str">
        <f aca="false">IF(N(M27)=0,"",IF(COUNTIFS(ENSAYOS!$C$5:$C$3004,F27,ENSAYOS!$Q$5:$Q$3004,"&gt;0",ENSAYOS!$G$5:$G$3004,"&gt;="&amp;CONFIG!$B$27)=0,"",AVERAGEIFS(ENSAYOS!$Q$5:$Q$3004,ENSAYOS!$C$5:$C$3004,F27,ENSAYOS!$Q$5:$Q$3004,"&gt;0",ENSAYOS!$G$5:$G$3004,"&gt;="&amp;CONFIG!$B$27)))</f>
        <v/>
      </c>
      <c r="W27" s="18" t="str">
        <f aca="false">IF(AND(U27&lt;&gt;"",V27&lt;&gt;""),U27/V27,"")</f>
        <v/>
      </c>
      <c r="X27" s="18" t="n">
        <f aca="false">IF(U27="","",INDEX('CURVA EDAD'!$E$5:$E$32,MIN(28,MAX(1,N27))))</f>
        <v>0.77</v>
      </c>
      <c r="Y27" s="16" t="n">
        <f aca="false">IF(V27&lt;&gt;"",V27,IF(U27="","",U27/X27))</f>
        <v>85.5765360785003</v>
      </c>
      <c r="Z27" s="16" t="n">
        <f aca="false">IF(V27&lt;&gt;"",_xlfn.MINIFS(ENSAYOS!$Q$5:$Q$3004,ENSAYOS!$C$5:$C$3004,F27,ENSAYOS!$Q$5:$Q$3004,"&gt;0",ENSAYOS!$G$5:$G$3004,"&gt;="&amp;CONFIG!$B$27),IF(U27="","",_xlfn.MINIFS(ENSAYOS!$Q$5:$Q$3004,ENSAYOS!$C$5:$C$3004,F27,ENSAYOS!$Q$5:$Q$3004,"&gt;0",ENSAYOS!$G$5:$G$3004,N27)/X27))</f>
        <v>78.4231918234537</v>
      </c>
      <c r="AA27" s="16" t="str">
        <f aca="false">IF(D27="","",IFERROR(1/(1/INDEX(CONFIG!$J$5:$J$14,MATCH(D27,CONFIG!$D$5:$D$14,0))),""))</f>
        <v/>
      </c>
      <c r="AB27" s="16" t="str">
        <f aca="false">IF(D27="","",IFERROR(1/(1/INDEX(CONFIG!$K$5:$K$14,MATCH(D27,CONFIG!$D$5:$D$14,0))),""))</f>
        <v/>
      </c>
      <c r="AC27" s="19" t="str">
        <f aca="false">IF(N(M27)=0,"",IF(AA27="","Sin spec",IF(AND(Y27&gt;=AA27,OR(AB27="",Z27&gt;=AB27)),"CUMPLE","NO CUMPLE")&amp;IF(V27=""," (est.)","")))</f>
        <v>Sin spec</v>
      </c>
      <c r="AD27" s="20" t="str">
        <f aca="false">IF(F27="","",IF(COUNTIFS(ABSORCION!$C$5:$C$1004,F27,ABSORCION!$I$5:$I$1004,"&gt;0")=0,"",AVERAGEIFS(ABSORCION!$I$5:$I$1004,ABSORCION!$C$5:$C$1004,F27,ABSORCION!$I$5:$I$1004,"&gt;0")))</f>
        <v/>
      </c>
      <c r="AE27" s="20" t="str">
        <f aca="false">IF(F27="","",IF(COUNTIFS(ABSORCION!$C$5:$C$1004,F27,ABSORCION!$I$5:$I$1004,"&gt;0")=0,"",AVERAGEIFS(ABSORCION!$K$5:$K$1004,ABSORCION!$C$5:$C$1004,F27,ABSORCION!$I$5:$I$1004,"&gt;0")))</f>
        <v/>
      </c>
      <c r="AF27" s="20" t="str">
        <f aca="false">IF(AE27="","",IF(AE27&gt;=CONFIG!$E$21,CONFIG!$F$21,IF(AE27&gt;=CONFIG!$E$20,CONFIG!$F$20,CONFIG!$F$19)))</f>
        <v/>
      </c>
      <c r="AG27" s="21" t="str">
        <f aca="false">IF(F27="","",TRIM(IF(N(M27)=0,"Sin ensayos. ","")&amp;IF(AND(N(M27)&gt;0,N(M27)&lt;CONFIG!$B$26),"Menos de "&amp;CONFIG!$B$26&amp;" probetas. ","")&amp;IF(N(T27)&gt;CONFIG!$B$25,"CV alto. ","")&amp;IF(AND(N(AD27)&gt;0,N(AD27)&gt;N(AF27)),"Absorción alta. ","")))</f>
        <v/>
      </c>
      <c r="AH27" s="22" t="str">
        <f aca="false">IF(AND(N(M27)&gt;0,OR(CONTROL!$C$4="TODAS",C27=CONTROL!$C$4),D27=CONTROL!$C$5),MAX($AH$4:AH26)+1,"")</f>
        <v/>
      </c>
      <c r="AI27" s="22" t="str">
        <f aca="false">IF(AH27="","",P27^2)</f>
        <v/>
      </c>
    </row>
    <row r="28" customFormat="false" ht="15" hidden="false" customHeight="false" outlineLevel="0" collapsed="false">
      <c r="A28" s="11" t="n">
        <f aca="false">IF(B28="","",ROW()-4)</f>
        <v>24</v>
      </c>
      <c r="B28" s="12" t="n">
        <v>45736</v>
      </c>
      <c r="C28" s="13" t="s">
        <v>83</v>
      </c>
      <c r="D28" s="13" t="s">
        <v>84</v>
      </c>
      <c r="E28" s="13"/>
      <c r="F28" s="14" t="str">
        <f aca="false">IF(OR(B28="",C28="",D28=""),"",IFERROR(INDEX(CONFIG!$E$5:$E$14,MATCH(D28,CONFIG!$D$5:$D$14,0)),"?")&amp;RIGHT("0"&amp;DAY(B28),2)&amp;RIGHT("0"&amp;MONTH(B28),2)&amp;RIGHT(YEAR(B28),2)&amp;C28&amp;IF(E28="","","-"&amp;E28))</f>
        <v>8200325P1</v>
      </c>
      <c r="G28" s="13"/>
      <c r="H28" s="13"/>
      <c r="I28" s="13"/>
      <c r="J28" s="13"/>
      <c r="K28" s="13"/>
      <c r="L28" s="13"/>
      <c r="M28" s="11" t="n">
        <f aca="false">IF(F28="","",COUNTIFS(ENSAYOS!$C$5:$C$3004,F28,ENSAYOS!$Q$5:$Q$3004,"&gt;0"))</f>
        <v>4</v>
      </c>
      <c r="N28" s="15" t="n">
        <f aca="false">IF(N(M28)=0,"",_xlfn.MINIFS(ENSAYOS!$G$5:$G$3004,ENSAYOS!$C$5:$C$3004,F28,ENSAYOS!$Q$5:$Q$3004,"&gt;0"))</f>
        <v>4</v>
      </c>
      <c r="O28" s="15" t="n">
        <f aca="false">IF(N(M28)=0,"",_xlfn.MAXIFS(ENSAYOS!$G$5:$G$3004,ENSAYOS!$C$5:$C$3004,F28,ENSAYOS!$Q$5:$Q$3004,"&gt;0"))</f>
        <v>4</v>
      </c>
      <c r="P28" s="16" t="n">
        <f aca="false">IF(N(M28)=0,"",AVERAGEIFS(ENSAYOS!$Q$5:$Q$3004,ENSAYOS!$C$5:$C$3004,F28,ENSAYOS!$Q$5:$Q$3004,"&gt;0"))</f>
        <v>70.7851346965271</v>
      </c>
      <c r="Q28" s="16" t="n">
        <f aca="false">IF(N(M28)=0,"",_xlfn.MINIFS(ENSAYOS!$Q$5:$Q$3004,ENSAYOS!$C$5:$C$3004,F28,ENSAYOS!$Q$5:$Q$3004,"&gt;0"))</f>
        <v>61.185329438494</v>
      </c>
      <c r="R28" s="16" t="n">
        <f aca="false">IF(N(M28)=0,"",_xlfn.MAXIFS(ENSAYOS!$Q$5:$Q$3004,ENSAYOS!$C$5:$C$3004,F28,ENSAYOS!$Q$5:$Q$3004,"&gt;0"))</f>
        <v>78.7692307692308</v>
      </c>
      <c r="S28" s="16" t="n">
        <f aca="false">IF(N(M28)&lt;2,"",SQRT(MAX(0,(SUMIFS(ENSAYOS!$X$5:$X$3004,ENSAYOS!$C$5:$C$3004,F28,ENSAYOS!$Q$5:$Q$3004,"&gt;0")-M28*P28^2)/(M28-1))))</f>
        <v>7.34487794406553</v>
      </c>
      <c r="T28" s="17" t="n">
        <f aca="false">IF(S28="","",S28/P28)</f>
        <v>0.103763000177294</v>
      </c>
      <c r="U28" s="16" t="n">
        <f aca="false">IF(N(M28)=0,"",IF(N28&gt;=CONFIG!$B$27,"",AVERAGEIFS(ENSAYOS!$Q$5:$Q$3004,ENSAYOS!$C$5:$C$3004,F28,ENSAYOS!$Q$5:$Q$3004,"&gt;0",ENSAYOS!$G$5:$G$3004,N28)))</f>
        <v>70.7851346965271</v>
      </c>
      <c r="V28" s="16" t="str">
        <f aca="false">IF(N(M28)=0,"",IF(COUNTIFS(ENSAYOS!$C$5:$C$3004,F28,ENSAYOS!$Q$5:$Q$3004,"&gt;0",ENSAYOS!$G$5:$G$3004,"&gt;="&amp;CONFIG!$B$27)=0,"",AVERAGEIFS(ENSAYOS!$Q$5:$Q$3004,ENSAYOS!$C$5:$C$3004,F28,ENSAYOS!$Q$5:$Q$3004,"&gt;0",ENSAYOS!$G$5:$G$3004,"&gt;="&amp;CONFIG!$B$27)))</f>
        <v/>
      </c>
      <c r="W28" s="18" t="str">
        <f aca="false">IF(AND(U28&lt;&gt;"",V28&lt;&gt;""),U28/V28,"")</f>
        <v/>
      </c>
      <c r="X28" s="18" t="n">
        <f aca="false">IF(U28="","",INDEX('CURVA EDAD'!$E$5:$E$32,MIN(28,MAX(1,N28))))</f>
        <v>0.87</v>
      </c>
      <c r="Y28" s="16" t="n">
        <f aca="false">IF(V28&lt;&gt;"",V28,IF(U28="","",U28/X28))</f>
        <v>81.3622237891116</v>
      </c>
      <c r="Z28" s="16" t="n">
        <f aca="false">IF(V28&lt;&gt;"",_xlfn.MINIFS(ENSAYOS!$Q$5:$Q$3004,ENSAYOS!$C$5:$C$3004,F28,ENSAYOS!$Q$5:$Q$3004,"&gt;0",ENSAYOS!$G$5:$G$3004,"&gt;="&amp;CONFIG!$B$27),IF(U28="","",_xlfn.MINIFS(ENSAYOS!$Q$5:$Q$3004,ENSAYOS!$C$5:$C$3004,F28,ENSAYOS!$Q$5:$Q$3004,"&gt;0",ENSAYOS!$G$5:$G$3004,N28)/X28))</f>
        <v>70.3279648718322</v>
      </c>
      <c r="AA28" s="16" t="str">
        <f aca="false">IF(D28="","",IFERROR(1/(1/INDEX(CONFIG!$J$5:$J$14,MATCH(D28,CONFIG!$D$5:$D$14,0))),""))</f>
        <v/>
      </c>
      <c r="AB28" s="16" t="str">
        <f aca="false">IF(D28="","",IFERROR(1/(1/INDEX(CONFIG!$K$5:$K$14,MATCH(D28,CONFIG!$D$5:$D$14,0))),""))</f>
        <v/>
      </c>
      <c r="AC28" s="19" t="str">
        <f aca="false">IF(N(M28)=0,"",IF(AA28="","Sin spec",IF(AND(Y28&gt;=AA28,OR(AB28="",Z28&gt;=AB28)),"CUMPLE","NO CUMPLE")&amp;IF(V28=""," (est.)","")))</f>
        <v>Sin spec</v>
      </c>
      <c r="AD28" s="20" t="str">
        <f aca="false">IF(F28="","",IF(COUNTIFS(ABSORCION!$C$5:$C$1004,F28,ABSORCION!$I$5:$I$1004,"&gt;0")=0,"",AVERAGEIFS(ABSORCION!$I$5:$I$1004,ABSORCION!$C$5:$C$1004,F28,ABSORCION!$I$5:$I$1004,"&gt;0")))</f>
        <v/>
      </c>
      <c r="AE28" s="20" t="str">
        <f aca="false">IF(F28="","",IF(COUNTIFS(ABSORCION!$C$5:$C$1004,F28,ABSORCION!$I$5:$I$1004,"&gt;0")=0,"",AVERAGEIFS(ABSORCION!$K$5:$K$1004,ABSORCION!$C$5:$C$1004,F28,ABSORCION!$I$5:$I$1004,"&gt;0")))</f>
        <v/>
      </c>
      <c r="AF28" s="20" t="str">
        <f aca="false">IF(AE28="","",IF(AE28&gt;=CONFIG!$E$21,CONFIG!$F$21,IF(AE28&gt;=CONFIG!$E$20,CONFIG!$F$20,CONFIG!$F$19)))</f>
        <v/>
      </c>
      <c r="AG28" s="21" t="str">
        <f aca="false">IF(F28="","",TRIM(IF(N(M28)=0,"Sin ensayos. ","")&amp;IF(AND(N(M28)&gt;0,N(M28)&lt;CONFIG!$B$26),"Menos de "&amp;CONFIG!$B$26&amp;" probetas. ","")&amp;IF(N(T28)&gt;CONFIG!$B$25,"CV alto. ","")&amp;IF(AND(N(AD28)&gt;0,N(AD28)&gt;N(AF28)),"Absorción alta. ","")))</f>
        <v/>
      </c>
      <c r="AH28" s="22" t="n">
        <f aca="false">IF(AND(N(M28)&gt;0,OR(CONTROL!$C$4="TODAS",C28=CONTROL!$C$4),D28=CONTROL!$C$5),MAX($AH$4:AH27)+1,"")</f>
        <v>18</v>
      </c>
      <c r="AI28" s="22" t="n">
        <f aca="false">IF(AH28="","",P28^2)</f>
        <v>5010.53529400549</v>
      </c>
    </row>
    <row r="29" customFormat="false" ht="15" hidden="false" customHeight="false" outlineLevel="0" collapsed="false">
      <c r="A29" s="11" t="n">
        <f aca="false">IF(B29="","",ROW()-4)</f>
        <v>25</v>
      </c>
      <c r="B29" s="12" t="n">
        <v>45740</v>
      </c>
      <c r="C29" s="13" t="s">
        <v>83</v>
      </c>
      <c r="D29" s="13" t="s">
        <v>84</v>
      </c>
      <c r="E29" s="13"/>
      <c r="F29" s="14" t="str">
        <f aca="false">IF(OR(B29="",C29="",D29=""),"",IFERROR(INDEX(CONFIG!$E$5:$E$14,MATCH(D29,CONFIG!$D$5:$D$14,0)),"?")&amp;RIGHT("0"&amp;DAY(B29),2)&amp;RIGHT("0"&amp;MONTH(B29),2)&amp;RIGHT(YEAR(B29),2)&amp;C29&amp;IF(E29="","","-"&amp;E29))</f>
        <v>8240325P1</v>
      </c>
      <c r="G29" s="13"/>
      <c r="H29" s="13"/>
      <c r="I29" s="13"/>
      <c r="J29" s="13"/>
      <c r="K29" s="13"/>
      <c r="L29" s="13"/>
      <c r="M29" s="11" t="n">
        <f aca="false">IF(F29="","",COUNTIFS(ENSAYOS!$C$5:$C$3004,F29,ENSAYOS!$Q$5:$Q$3004,"&gt;0"))</f>
        <v>4</v>
      </c>
      <c r="N29" s="15" t="n">
        <f aca="false">IF(N(M29)=0,"",_xlfn.MINIFS(ENSAYOS!$G$5:$G$3004,ENSAYOS!$C$5:$C$3004,F29,ENSAYOS!$Q$5:$Q$3004,"&gt;0"))</f>
        <v>3</v>
      </c>
      <c r="O29" s="15" t="n">
        <f aca="false">IF(N(M29)=0,"",_xlfn.MAXIFS(ENSAYOS!$G$5:$G$3004,ENSAYOS!$C$5:$C$3004,F29,ENSAYOS!$Q$5:$Q$3004,"&gt;0"))</f>
        <v>3</v>
      </c>
      <c r="P29" s="16" t="n">
        <f aca="false">IF(N(M29)=0,"",AVERAGEIFS(ENSAYOS!$Q$5:$Q$3004,ENSAYOS!$C$5:$C$3004,F29,ENSAYOS!$Q$5:$Q$3004,"&gt;0"))</f>
        <v>69.8503732554366</v>
      </c>
      <c r="Q29" s="16" t="n">
        <f aca="false">IF(N(M29)=0,"",_xlfn.MINIFS(ENSAYOS!$Q$5:$Q$3004,ENSAYOS!$C$5:$C$3004,F29,ENSAYOS!$Q$5:$Q$3004,"&gt;0"))</f>
        <v>63.8286270691334</v>
      </c>
      <c r="R29" s="16" t="n">
        <f aca="false">IF(N(M29)=0,"",_xlfn.MAXIFS(ENSAYOS!$Q$5:$Q$3004,ENSAYOS!$C$5:$C$3004,F29,ENSAYOS!$Q$5:$Q$3004,"&gt;0"))</f>
        <v>75.0068159688413</v>
      </c>
      <c r="S29" s="16" t="n">
        <f aca="false">IF(N(M29)&lt;2,"",SQRT(MAX(0,(SUMIFS(ENSAYOS!$X$5:$X$3004,ENSAYOS!$C$5:$C$3004,F29,ENSAYOS!$Q$5:$Q$3004,"&gt;0")-M29*P29^2)/(M29-1))))</f>
        <v>5.21827471870615</v>
      </c>
      <c r="T29" s="17" t="n">
        <f aca="false">IF(S29="","",S29/P29)</f>
        <v>0.0747064686343678</v>
      </c>
      <c r="U29" s="16" t="n">
        <f aca="false">IF(N(M29)=0,"",IF(N29&gt;=CONFIG!$B$27,"",AVERAGEIFS(ENSAYOS!$Q$5:$Q$3004,ENSAYOS!$C$5:$C$3004,F29,ENSAYOS!$Q$5:$Q$3004,"&gt;0",ENSAYOS!$G$5:$G$3004,N29)))</f>
        <v>69.8503732554366</v>
      </c>
      <c r="V29" s="16" t="str">
        <f aca="false">IF(N(M29)=0,"",IF(COUNTIFS(ENSAYOS!$C$5:$C$3004,F29,ENSAYOS!$Q$5:$Q$3004,"&gt;0",ENSAYOS!$G$5:$G$3004,"&gt;="&amp;CONFIG!$B$27)=0,"",AVERAGEIFS(ENSAYOS!$Q$5:$Q$3004,ENSAYOS!$C$5:$C$3004,F29,ENSAYOS!$Q$5:$Q$3004,"&gt;0",ENSAYOS!$G$5:$G$3004,"&gt;="&amp;CONFIG!$B$27)))</f>
        <v/>
      </c>
      <c r="W29" s="18" t="str">
        <f aca="false">IF(AND(U29&lt;&gt;"",V29&lt;&gt;""),U29/V29,"")</f>
        <v/>
      </c>
      <c r="X29" s="18" t="n">
        <f aca="false">IF(U29="","",INDEX('CURVA EDAD'!$E$5:$E$32,MIN(28,MAX(1,N29))))</f>
        <v>0.84</v>
      </c>
      <c r="Y29" s="16" t="n">
        <f aca="false">IF(V29&lt;&gt;"",V29,IF(U29="","",U29/X29))</f>
        <v>83.1552062564721</v>
      </c>
      <c r="Z29" s="16" t="n">
        <f aca="false">IF(V29&lt;&gt;"",_xlfn.MINIFS(ENSAYOS!$Q$5:$Q$3004,ENSAYOS!$C$5:$C$3004,F29,ENSAYOS!$Q$5:$Q$3004,"&gt;0",ENSAYOS!$G$5:$G$3004,"&gt;="&amp;CONFIG!$B$27),IF(U29="","",_xlfn.MINIFS(ENSAYOS!$Q$5:$Q$3004,ENSAYOS!$C$5:$C$3004,F29,ENSAYOS!$Q$5:$Q$3004,"&gt;0",ENSAYOS!$G$5:$G$3004,N29)/X29))</f>
        <v>75.9864607965874</v>
      </c>
      <c r="AA29" s="16" t="str">
        <f aca="false">IF(D29="","",IFERROR(1/(1/INDEX(CONFIG!$J$5:$J$14,MATCH(D29,CONFIG!$D$5:$D$14,0))),""))</f>
        <v/>
      </c>
      <c r="AB29" s="16" t="str">
        <f aca="false">IF(D29="","",IFERROR(1/(1/INDEX(CONFIG!$K$5:$K$14,MATCH(D29,CONFIG!$D$5:$D$14,0))),""))</f>
        <v/>
      </c>
      <c r="AC29" s="19" t="str">
        <f aca="false">IF(N(M29)=0,"",IF(AA29="","Sin spec",IF(AND(Y29&gt;=AA29,OR(AB29="",Z29&gt;=AB29)),"CUMPLE","NO CUMPLE")&amp;IF(V29=""," (est.)","")))</f>
        <v>Sin spec</v>
      </c>
      <c r="AD29" s="20" t="str">
        <f aca="false">IF(F29="","",IF(COUNTIFS(ABSORCION!$C$5:$C$1004,F29,ABSORCION!$I$5:$I$1004,"&gt;0")=0,"",AVERAGEIFS(ABSORCION!$I$5:$I$1004,ABSORCION!$C$5:$C$1004,F29,ABSORCION!$I$5:$I$1004,"&gt;0")))</f>
        <v/>
      </c>
      <c r="AE29" s="20" t="str">
        <f aca="false">IF(F29="","",IF(COUNTIFS(ABSORCION!$C$5:$C$1004,F29,ABSORCION!$I$5:$I$1004,"&gt;0")=0,"",AVERAGEIFS(ABSORCION!$K$5:$K$1004,ABSORCION!$C$5:$C$1004,F29,ABSORCION!$I$5:$I$1004,"&gt;0")))</f>
        <v/>
      </c>
      <c r="AF29" s="20" t="str">
        <f aca="false">IF(AE29="","",IF(AE29&gt;=CONFIG!$E$21,CONFIG!$F$21,IF(AE29&gt;=CONFIG!$E$20,CONFIG!$F$20,CONFIG!$F$19)))</f>
        <v/>
      </c>
      <c r="AG29" s="21" t="str">
        <f aca="false">IF(F29="","",TRIM(IF(N(M29)=0,"Sin ensayos. ","")&amp;IF(AND(N(M29)&gt;0,N(M29)&lt;CONFIG!$B$26),"Menos de "&amp;CONFIG!$B$26&amp;" probetas. ","")&amp;IF(N(T29)&gt;CONFIG!$B$25,"CV alto. ","")&amp;IF(AND(N(AD29)&gt;0,N(AD29)&gt;N(AF29)),"Absorción alta. ","")))</f>
        <v/>
      </c>
      <c r="AH29" s="22" t="n">
        <f aca="false">IF(AND(N(M29)&gt;0,OR(CONTROL!$C$4="TODAS",C29=CONTROL!$C$4),D29=CONTROL!$C$5),MAX($AH$4:AH28)+1,"")</f>
        <v>19</v>
      </c>
      <c r="AI29" s="22" t="n">
        <f aca="false">IF(AH29="","",P29^2)</f>
        <v>4879.07464392381</v>
      </c>
    </row>
    <row r="30" customFormat="false" ht="15" hidden="false" customHeight="false" outlineLevel="0" collapsed="false">
      <c r="A30" s="11" t="n">
        <f aca="false">IF(B30="","",ROW()-4)</f>
        <v>26</v>
      </c>
      <c r="B30" s="12" t="n">
        <v>45743</v>
      </c>
      <c r="C30" s="13" t="s">
        <v>83</v>
      </c>
      <c r="D30" s="13" t="s">
        <v>84</v>
      </c>
      <c r="E30" s="13"/>
      <c r="F30" s="14" t="str">
        <f aca="false">IF(OR(B30="",C30="",D30=""),"",IFERROR(INDEX(CONFIG!$E$5:$E$14,MATCH(D30,CONFIG!$D$5:$D$14,0)),"?")&amp;RIGHT("0"&amp;DAY(B30),2)&amp;RIGHT("0"&amp;MONTH(B30),2)&amp;RIGHT(YEAR(B30),2)&amp;C30&amp;IF(E30="","","-"&amp;E30))</f>
        <v>8270325P1</v>
      </c>
      <c r="G30" s="13"/>
      <c r="H30" s="13"/>
      <c r="I30" s="13"/>
      <c r="J30" s="13"/>
      <c r="K30" s="13"/>
      <c r="L30" s="13"/>
      <c r="M30" s="11" t="n">
        <f aca="false">IF(F30="","",COUNTIFS(ENSAYOS!$C$5:$C$3004,F30,ENSAYOS!$Q$5:$Q$3004,"&gt;0"))</f>
        <v>4</v>
      </c>
      <c r="N30" s="15" t="n">
        <f aca="false">IF(N(M30)=0,"",_xlfn.MINIFS(ENSAYOS!$G$5:$G$3004,ENSAYOS!$C$5:$C$3004,F30,ENSAYOS!$Q$5:$Q$3004,"&gt;0"))</f>
        <v>2</v>
      </c>
      <c r="O30" s="15" t="n">
        <f aca="false">IF(N(M30)=0,"",_xlfn.MAXIFS(ENSAYOS!$G$5:$G$3004,ENSAYOS!$C$5:$C$3004,F30,ENSAYOS!$Q$5:$Q$3004,"&gt;0"))</f>
        <v>2</v>
      </c>
      <c r="P30" s="16" t="n">
        <f aca="false">IF(N(M30)=0,"",AVERAGEIFS(ENSAYOS!$Q$5:$Q$3004,ENSAYOS!$C$5:$C$3004,F30,ENSAYOS!$Q$5:$Q$3004,"&gt;0"))</f>
        <v>69.1496267445635</v>
      </c>
      <c r="Q30" s="16" t="n">
        <f aca="false">IF(N(M30)=0,"",_xlfn.MINIFS(ENSAYOS!$Q$5:$Q$3004,ENSAYOS!$C$5:$C$3004,F30,ENSAYOS!$Q$5:$Q$3004,"&gt;0"))</f>
        <v>64.3414475819539</v>
      </c>
      <c r="R30" s="16" t="n">
        <f aca="false">IF(N(M30)=0,"",_xlfn.MAXIFS(ENSAYOS!$Q$5:$Q$3004,ENSAYOS!$C$5:$C$3004,F30,ENSAYOS!$Q$5:$Q$3004,"&gt;0"))</f>
        <v>74.7887049659202</v>
      </c>
      <c r="S30" s="16" t="n">
        <f aca="false">IF(N(M30)&lt;2,"",SQRT(MAX(0,(SUMIFS(ENSAYOS!$X$5:$X$3004,ENSAYOS!$C$5:$C$3004,F30,ENSAYOS!$Q$5:$Q$3004,"&gt;0")-M30*P30^2)/(M30-1))))</f>
        <v>4.76818090014034</v>
      </c>
      <c r="T30" s="17" t="n">
        <f aca="false">IF(S30="","",S30/P30)</f>
        <v>0.0689545428459628</v>
      </c>
      <c r="U30" s="16" t="n">
        <f aca="false">IF(N(M30)=0,"",IF(N30&gt;=CONFIG!$B$27,"",AVERAGEIFS(ENSAYOS!$Q$5:$Q$3004,ENSAYOS!$C$5:$C$3004,F30,ENSAYOS!$Q$5:$Q$3004,"&gt;0",ENSAYOS!$G$5:$G$3004,N30)))</f>
        <v>69.1496267445635</v>
      </c>
      <c r="V30" s="16" t="str">
        <f aca="false">IF(N(M30)=0,"",IF(COUNTIFS(ENSAYOS!$C$5:$C$3004,F30,ENSAYOS!$Q$5:$Q$3004,"&gt;0",ENSAYOS!$G$5:$G$3004,"&gt;="&amp;CONFIG!$B$27)=0,"",AVERAGEIFS(ENSAYOS!$Q$5:$Q$3004,ENSAYOS!$C$5:$C$3004,F30,ENSAYOS!$Q$5:$Q$3004,"&gt;0",ENSAYOS!$G$5:$G$3004,"&gt;="&amp;CONFIG!$B$27)))</f>
        <v/>
      </c>
      <c r="W30" s="18" t="str">
        <f aca="false">IF(AND(U30&lt;&gt;"",V30&lt;&gt;""),U30/V30,"")</f>
        <v/>
      </c>
      <c r="X30" s="18" t="n">
        <f aca="false">IF(U30="","",INDEX('CURVA EDAD'!$E$5:$E$32,MIN(28,MAX(1,N30))))</f>
        <v>0.77</v>
      </c>
      <c r="Y30" s="16" t="n">
        <f aca="false">IF(V30&lt;&gt;"",V30,IF(U30="","",U30/X30))</f>
        <v>89.8047100578746</v>
      </c>
      <c r="Z30" s="16" t="n">
        <f aca="false">IF(V30&lt;&gt;"",_xlfn.MINIFS(ENSAYOS!$Q$5:$Q$3004,ENSAYOS!$C$5:$C$3004,F30,ENSAYOS!$Q$5:$Q$3004,"&gt;0",ENSAYOS!$G$5:$G$3004,"&gt;="&amp;CONFIG!$B$27),IF(U30="","",_xlfn.MINIFS(ENSAYOS!$Q$5:$Q$3004,ENSAYOS!$C$5:$C$3004,F30,ENSAYOS!$Q$5:$Q$3004,"&gt;0",ENSAYOS!$G$5:$G$3004,N30)/X30))</f>
        <v>83.5603215350051</v>
      </c>
      <c r="AA30" s="16" t="str">
        <f aca="false">IF(D30="","",IFERROR(1/(1/INDEX(CONFIG!$J$5:$J$14,MATCH(D30,CONFIG!$D$5:$D$14,0))),""))</f>
        <v/>
      </c>
      <c r="AB30" s="16" t="str">
        <f aca="false">IF(D30="","",IFERROR(1/(1/INDEX(CONFIG!$K$5:$K$14,MATCH(D30,CONFIG!$D$5:$D$14,0))),""))</f>
        <v/>
      </c>
      <c r="AC30" s="19" t="str">
        <f aca="false">IF(N(M30)=0,"",IF(AA30="","Sin spec",IF(AND(Y30&gt;=AA30,OR(AB30="",Z30&gt;=AB30)),"CUMPLE","NO CUMPLE")&amp;IF(V30=""," (est.)","")))</f>
        <v>Sin spec</v>
      </c>
      <c r="AD30" s="20" t="str">
        <f aca="false">IF(F30="","",IF(COUNTIFS(ABSORCION!$C$5:$C$1004,F30,ABSORCION!$I$5:$I$1004,"&gt;0")=0,"",AVERAGEIFS(ABSORCION!$I$5:$I$1004,ABSORCION!$C$5:$C$1004,F30,ABSORCION!$I$5:$I$1004,"&gt;0")))</f>
        <v/>
      </c>
      <c r="AE30" s="20" t="str">
        <f aca="false">IF(F30="","",IF(COUNTIFS(ABSORCION!$C$5:$C$1004,F30,ABSORCION!$I$5:$I$1004,"&gt;0")=0,"",AVERAGEIFS(ABSORCION!$K$5:$K$1004,ABSORCION!$C$5:$C$1004,F30,ABSORCION!$I$5:$I$1004,"&gt;0")))</f>
        <v/>
      </c>
      <c r="AF30" s="20" t="str">
        <f aca="false">IF(AE30="","",IF(AE30&gt;=CONFIG!$E$21,CONFIG!$F$21,IF(AE30&gt;=CONFIG!$E$20,CONFIG!$F$20,CONFIG!$F$19)))</f>
        <v/>
      </c>
      <c r="AG30" s="21" t="str">
        <f aca="false">IF(F30="","",TRIM(IF(N(M30)=0,"Sin ensayos. ","")&amp;IF(AND(N(M30)&gt;0,N(M30)&lt;CONFIG!$B$26),"Menos de "&amp;CONFIG!$B$26&amp;" probetas. ","")&amp;IF(N(T30)&gt;CONFIG!$B$25,"CV alto. ","")&amp;IF(AND(N(AD30)&gt;0,N(AD30)&gt;N(AF30)),"Absorción alta. ","")))</f>
        <v/>
      </c>
      <c r="AH30" s="22" t="n">
        <f aca="false">IF(AND(N(M30)&gt;0,OR(CONTROL!$C$4="TODAS",C30=CONTROL!$C$4),D30=CONTROL!$C$5),MAX($AH$4:AH29)+1,"")</f>
        <v>20</v>
      </c>
      <c r="AI30" s="22" t="n">
        <f aca="false">IF(AH30="","",P30^2)</f>
        <v>4781.67087891245</v>
      </c>
    </row>
    <row r="31" customFormat="false" ht="15" hidden="false" customHeight="false" outlineLevel="0" collapsed="false">
      <c r="A31" s="11" t="n">
        <f aca="false">IF(B31="","",ROW()-4)</f>
        <v>27</v>
      </c>
      <c r="B31" s="12" t="n">
        <v>45745</v>
      </c>
      <c r="C31" s="13" t="s">
        <v>86</v>
      </c>
      <c r="D31" s="13" t="s">
        <v>87</v>
      </c>
      <c r="E31" s="13"/>
      <c r="F31" s="14" t="str">
        <f aca="false">IF(OR(B31="",C31="",D31=""),"",IFERROR(INDEX(CONFIG!$E$5:$E$14,MATCH(D31,CONFIG!$D$5:$D$14,0)),"?")&amp;RIGHT("0"&amp;DAY(B31),2)&amp;RIGHT("0"&amp;MONTH(B31),2)&amp;RIGHT(YEAR(B31),2)&amp;C31&amp;IF(E31="","","-"&amp;E31))</f>
        <v>6290325P2</v>
      </c>
      <c r="G31" s="13"/>
      <c r="H31" s="13"/>
      <c r="I31" s="13"/>
      <c r="J31" s="13"/>
      <c r="K31" s="13"/>
      <c r="L31" s="13"/>
      <c r="M31" s="11" t="n">
        <f aca="false">IF(F31="","",COUNTIFS(ENSAYOS!$C$5:$C$3004,F31,ENSAYOS!$Q$5:$Q$3004,"&gt;0"))</f>
        <v>4</v>
      </c>
      <c r="N31" s="15" t="n">
        <f aca="false">IF(N(M31)=0,"",_xlfn.MINIFS(ENSAYOS!$G$5:$G$3004,ENSAYOS!$C$5:$C$3004,F31,ENSAYOS!$Q$5:$Q$3004,"&gt;0"))</f>
        <v>3</v>
      </c>
      <c r="O31" s="15" t="n">
        <f aca="false">IF(N(M31)=0,"",_xlfn.MAXIFS(ENSAYOS!$G$5:$G$3004,ENSAYOS!$C$5:$C$3004,F31,ENSAYOS!$Q$5:$Q$3004,"&gt;0"))</f>
        <v>3</v>
      </c>
      <c r="P31" s="16" t="n">
        <f aca="false">IF(N(M31)=0,"",AVERAGEIFS(ENSAYOS!$Q$5:$Q$3004,ENSAYOS!$C$5:$C$3004,F31,ENSAYOS!$Q$5:$Q$3004,"&gt;0"))</f>
        <v>72.5600174596246</v>
      </c>
      <c r="Q31" s="16" t="n">
        <f aca="false">IF(N(M31)=0,"",_xlfn.MINIFS(ENSAYOS!$Q$5:$Q$3004,ENSAYOS!$C$5:$C$3004,F31,ENSAYOS!$Q$5:$Q$3004,"&gt;0"))</f>
        <v>64.8921868179834</v>
      </c>
      <c r="R31" s="16" t="n">
        <f aca="false">IF(N(M31)=0,"",_xlfn.MAXIFS(ENSAYOS!$Q$5:$Q$3004,ENSAYOS!$C$5:$C$3004,F31,ENSAYOS!$Q$5:$Q$3004,"&gt;0"))</f>
        <v>80.9445656918376</v>
      </c>
      <c r="S31" s="16" t="n">
        <f aca="false">IF(N(M31)&lt;2,"",SQRT(MAX(0,(SUMIFS(ENSAYOS!$X$5:$X$3004,ENSAYOS!$C$5:$C$3004,F31,ENSAYOS!$Q$5:$Q$3004,"&gt;0")-M31*P31^2)/(M31-1))))</f>
        <v>6.57287573538028</v>
      </c>
      <c r="T31" s="17" t="n">
        <f aca="false">IF(S31="","",S31/P31)</f>
        <v>0.0905853659563643</v>
      </c>
      <c r="U31" s="16" t="n">
        <f aca="false">IF(N(M31)=0,"",IF(N31&gt;=CONFIG!$B$27,"",AVERAGEIFS(ENSAYOS!$Q$5:$Q$3004,ENSAYOS!$C$5:$C$3004,F31,ENSAYOS!$Q$5:$Q$3004,"&gt;0",ENSAYOS!$G$5:$G$3004,N31)))</f>
        <v>72.5600174596246</v>
      </c>
      <c r="V31" s="16" t="str">
        <f aca="false">IF(N(M31)=0,"",IF(COUNTIFS(ENSAYOS!$C$5:$C$3004,F31,ENSAYOS!$Q$5:$Q$3004,"&gt;0",ENSAYOS!$G$5:$G$3004,"&gt;="&amp;CONFIG!$B$27)=0,"",AVERAGEIFS(ENSAYOS!$Q$5:$Q$3004,ENSAYOS!$C$5:$C$3004,F31,ENSAYOS!$Q$5:$Q$3004,"&gt;0",ENSAYOS!$G$5:$G$3004,"&gt;="&amp;CONFIG!$B$27)))</f>
        <v/>
      </c>
      <c r="W31" s="18" t="str">
        <f aca="false">IF(AND(U31&lt;&gt;"",V31&lt;&gt;""),U31/V31,"")</f>
        <v/>
      </c>
      <c r="X31" s="18" t="n">
        <f aca="false">IF(U31="","",INDEX('CURVA EDAD'!$E$5:$E$32,MIN(28,MAX(1,N31))))</f>
        <v>0.84</v>
      </c>
      <c r="Y31" s="16" t="n">
        <f aca="false">IF(V31&lt;&gt;"",V31,IF(U31="","",U31/X31))</f>
        <v>86.3809731662198</v>
      </c>
      <c r="Z31" s="16" t="n">
        <f aca="false">IF(V31&lt;&gt;"",_xlfn.MINIFS(ENSAYOS!$Q$5:$Q$3004,ENSAYOS!$C$5:$C$3004,F31,ENSAYOS!$Q$5:$Q$3004,"&gt;0",ENSAYOS!$G$5:$G$3004,"&gt;="&amp;CONFIG!$B$27),IF(U31="","",_xlfn.MINIFS(ENSAYOS!$Q$5:$Q$3004,ENSAYOS!$C$5:$C$3004,F31,ENSAYOS!$Q$5:$Q$3004,"&gt;0",ENSAYOS!$G$5:$G$3004,N31)/X31))</f>
        <v>77.2526033547422</v>
      </c>
      <c r="AA31" s="16" t="str">
        <f aca="false">IF(D31="","",IFERROR(1/(1/INDEX(CONFIG!$J$5:$J$14,MATCH(D31,CONFIG!$D$5:$D$14,0))),""))</f>
        <v/>
      </c>
      <c r="AB31" s="16" t="str">
        <f aca="false">IF(D31="","",IFERROR(1/(1/INDEX(CONFIG!$K$5:$K$14,MATCH(D31,CONFIG!$D$5:$D$14,0))),""))</f>
        <v/>
      </c>
      <c r="AC31" s="19" t="str">
        <f aca="false">IF(N(M31)=0,"",IF(AA31="","Sin spec",IF(AND(Y31&gt;=AA31,OR(AB31="",Z31&gt;=AB31)),"CUMPLE","NO CUMPLE")&amp;IF(V31=""," (est.)","")))</f>
        <v>Sin spec</v>
      </c>
      <c r="AD31" s="20" t="str">
        <f aca="false">IF(F31="","",IF(COUNTIFS(ABSORCION!$C$5:$C$1004,F31,ABSORCION!$I$5:$I$1004,"&gt;0")=0,"",AVERAGEIFS(ABSORCION!$I$5:$I$1004,ABSORCION!$C$5:$C$1004,F31,ABSORCION!$I$5:$I$1004,"&gt;0")))</f>
        <v/>
      </c>
      <c r="AE31" s="20" t="str">
        <f aca="false">IF(F31="","",IF(COUNTIFS(ABSORCION!$C$5:$C$1004,F31,ABSORCION!$I$5:$I$1004,"&gt;0")=0,"",AVERAGEIFS(ABSORCION!$K$5:$K$1004,ABSORCION!$C$5:$C$1004,F31,ABSORCION!$I$5:$I$1004,"&gt;0")))</f>
        <v/>
      </c>
      <c r="AF31" s="20" t="str">
        <f aca="false">IF(AE31="","",IF(AE31&gt;=CONFIG!$E$21,CONFIG!$F$21,IF(AE31&gt;=CONFIG!$E$20,CONFIG!$F$20,CONFIG!$F$19)))</f>
        <v/>
      </c>
      <c r="AG31" s="21" t="str">
        <f aca="false">IF(F31="","",TRIM(IF(N(M31)=0,"Sin ensayos. ","")&amp;IF(AND(N(M31)&gt;0,N(M31)&lt;CONFIG!$B$26),"Menos de "&amp;CONFIG!$B$26&amp;" probetas. ","")&amp;IF(N(T31)&gt;CONFIG!$B$25,"CV alto. ","")&amp;IF(AND(N(AD31)&gt;0,N(AD31)&gt;N(AF31)),"Absorción alta. ","")))</f>
        <v/>
      </c>
      <c r="AH31" s="22" t="str">
        <f aca="false">IF(AND(N(M31)&gt;0,OR(CONTROL!$C$4="TODAS",C31=CONTROL!$C$4),D31=CONTROL!$C$5),MAX($AH$4:AH30)+1,"")</f>
        <v/>
      </c>
      <c r="AI31" s="22" t="str">
        <f aca="false">IF(AH31="","",P31^2)</f>
        <v/>
      </c>
    </row>
    <row r="32" customFormat="false" ht="15" hidden="false" customHeight="false" outlineLevel="0" collapsed="false">
      <c r="A32" s="11" t="n">
        <f aca="false">IF(B32="","",ROW()-4)</f>
        <v>28</v>
      </c>
      <c r="B32" s="12" t="n">
        <v>45749</v>
      </c>
      <c r="C32" s="13" t="s">
        <v>83</v>
      </c>
      <c r="D32" s="13" t="s">
        <v>84</v>
      </c>
      <c r="E32" s="13"/>
      <c r="F32" s="14" t="str">
        <f aca="false">IF(OR(B32="",C32="",D32=""),"",IFERROR(INDEX(CONFIG!$E$5:$E$14,MATCH(D32,CONFIG!$D$5:$D$14,0)),"?")&amp;RIGHT("0"&amp;DAY(B32),2)&amp;RIGHT("0"&amp;MONTH(B32),2)&amp;RIGHT(YEAR(B32),2)&amp;C32&amp;IF(E32="","","-"&amp;E32))</f>
        <v>8020425P1</v>
      </c>
      <c r="G32" s="13"/>
      <c r="H32" s="13"/>
      <c r="I32" s="13"/>
      <c r="J32" s="13"/>
      <c r="K32" s="13"/>
      <c r="L32" s="13"/>
      <c r="M32" s="11" t="n">
        <f aca="false">IF(F32="","",COUNTIFS(ENSAYOS!$C$5:$C$3004,F32,ENSAYOS!$Q$5:$Q$3004,"&gt;0"))</f>
        <v>4</v>
      </c>
      <c r="N32" s="15" t="n">
        <f aca="false">IF(N(M32)=0,"",_xlfn.MINIFS(ENSAYOS!$G$5:$G$3004,ENSAYOS!$C$5:$C$3004,F32,ENSAYOS!$Q$5:$Q$3004,"&gt;0"))</f>
        <v>2</v>
      </c>
      <c r="O32" s="15" t="n">
        <f aca="false">IF(N(M32)=0,"",_xlfn.MAXIFS(ENSAYOS!$G$5:$G$3004,ENSAYOS!$C$5:$C$3004,F32,ENSAYOS!$Q$5:$Q$3004,"&gt;0"))</f>
        <v>2</v>
      </c>
      <c r="P32" s="16" t="n">
        <f aca="false">IF(N(M32)=0,"",AVERAGEIFS(ENSAYOS!$Q$5:$Q$3004,ENSAYOS!$C$5:$C$3004,F32,ENSAYOS!$Q$5:$Q$3004,"&gt;0"))</f>
        <v>70.6751054852321</v>
      </c>
      <c r="Q32" s="16" t="n">
        <f aca="false">IF(N(M32)=0,"",_xlfn.MINIFS(ENSAYOS!$Q$5:$Q$3004,ENSAYOS!$C$5:$C$3004,F32,ENSAYOS!$Q$5:$Q$3004,"&gt;0"))</f>
        <v>66.4732229795521</v>
      </c>
      <c r="R32" s="16" t="n">
        <f aca="false">IF(N(M32)=0,"",_xlfn.MAXIFS(ENSAYOS!$Q$5:$Q$3004,ENSAYOS!$C$5:$C$3004,F32,ENSAYOS!$Q$5:$Q$3004,"&gt;0"))</f>
        <v>76.1778643297631</v>
      </c>
      <c r="S32" s="16" t="n">
        <f aca="false">IF(N(M32)&lt;2,"",SQRT(MAX(0,(SUMIFS(ENSAYOS!$X$5:$X$3004,ENSAYOS!$C$5:$C$3004,F32,ENSAYOS!$Q$5:$Q$3004,"&gt;0")-M32*P32^2)/(M32-1))))</f>
        <v>4.66065304845532</v>
      </c>
      <c r="T32" s="17" t="n">
        <f aca="false">IF(S32="","",S32/P32)</f>
        <v>0.0659447625363529</v>
      </c>
      <c r="U32" s="16" t="n">
        <f aca="false">IF(N(M32)=0,"",IF(N32&gt;=CONFIG!$B$27,"",AVERAGEIFS(ENSAYOS!$Q$5:$Q$3004,ENSAYOS!$C$5:$C$3004,F32,ENSAYOS!$Q$5:$Q$3004,"&gt;0",ENSAYOS!$G$5:$G$3004,N32)))</f>
        <v>70.6751054852321</v>
      </c>
      <c r="V32" s="16" t="str">
        <f aca="false">IF(N(M32)=0,"",IF(COUNTIFS(ENSAYOS!$C$5:$C$3004,F32,ENSAYOS!$Q$5:$Q$3004,"&gt;0",ENSAYOS!$G$5:$G$3004,"&gt;="&amp;CONFIG!$B$27)=0,"",AVERAGEIFS(ENSAYOS!$Q$5:$Q$3004,ENSAYOS!$C$5:$C$3004,F32,ENSAYOS!$Q$5:$Q$3004,"&gt;0",ENSAYOS!$G$5:$G$3004,"&gt;="&amp;CONFIG!$B$27)))</f>
        <v/>
      </c>
      <c r="W32" s="18" t="str">
        <f aca="false">IF(AND(U32&lt;&gt;"",V32&lt;&gt;""),U32/V32,"")</f>
        <v/>
      </c>
      <c r="X32" s="18" t="n">
        <f aca="false">IF(U32="","",INDEX('CURVA EDAD'!$E$5:$E$32,MIN(28,MAX(1,N32))))</f>
        <v>0.77</v>
      </c>
      <c r="Y32" s="16" t="n">
        <f aca="false">IF(V32&lt;&gt;"",V32,IF(U32="","",U32/X32))</f>
        <v>91.7858512795222</v>
      </c>
      <c r="Z32" s="16" t="n">
        <f aca="false">IF(V32&lt;&gt;"",_xlfn.MINIFS(ENSAYOS!$Q$5:$Q$3004,ENSAYOS!$C$5:$C$3004,F32,ENSAYOS!$Q$5:$Q$3004,"&gt;0",ENSAYOS!$G$5:$G$3004,"&gt;="&amp;CONFIG!$B$27),IF(U32="","",_xlfn.MINIFS(ENSAYOS!$Q$5:$Q$3004,ENSAYOS!$C$5:$C$3004,F32,ENSAYOS!$Q$5:$Q$3004,"&gt;0",ENSAYOS!$G$5:$G$3004,N32)/X32))</f>
        <v>86.3288610124053</v>
      </c>
      <c r="AA32" s="16" t="str">
        <f aca="false">IF(D32="","",IFERROR(1/(1/INDEX(CONFIG!$J$5:$J$14,MATCH(D32,CONFIG!$D$5:$D$14,0))),""))</f>
        <v/>
      </c>
      <c r="AB32" s="16" t="str">
        <f aca="false">IF(D32="","",IFERROR(1/(1/INDEX(CONFIG!$K$5:$K$14,MATCH(D32,CONFIG!$D$5:$D$14,0))),""))</f>
        <v/>
      </c>
      <c r="AC32" s="19" t="str">
        <f aca="false">IF(N(M32)=0,"",IF(AA32="","Sin spec",IF(AND(Y32&gt;=AA32,OR(AB32="",Z32&gt;=AB32)),"CUMPLE","NO CUMPLE")&amp;IF(V32=""," (est.)","")))</f>
        <v>Sin spec</v>
      </c>
      <c r="AD32" s="20" t="str">
        <f aca="false">IF(F32="","",IF(COUNTIFS(ABSORCION!$C$5:$C$1004,F32,ABSORCION!$I$5:$I$1004,"&gt;0")=0,"",AVERAGEIFS(ABSORCION!$I$5:$I$1004,ABSORCION!$C$5:$C$1004,F32,ABSORCION!$I$5:$I$1004,"&gt;0")))</f>
        <v/>
      </c>
      <c r="AE32" s="20" t="str">
        <f aca="false">IF(F32="","",IF(COUNTIFS(ABSORCION!$C$5:$C$1004,F32,ABSORCION!$I$5:$I$1004,"&gt;0")=0,"",AVERAGEIFS(ABSORCION!$K$5:$K$1004,ABSORCION!$C$5:$C$1004,F32,ABSORCION!$I$5:$I$1004,"&gt;0")))</f>
        <v/>
      </c>
      <c r="AF32" s="20" t="str">
        <f aca="false">IF(AE32="","",IF(AE32&gt;=CONFIG!$E$21,CONFIG!$F$21,IF(AE32&gt;=CONFIG!$E$20,CONFIG!$F$20,CONFIG!$F$19)))</f>
        <v/>
      </c>
      <c r="AG32" s="21" t="str">
        <f aca="false">IF(F32="","",TRIM(IF(N(M32)=0,"Sin ensayos. ","")&amp;IF(AND(N(M32)&gt;0,N(M32)&lt;CONFIG!$B$26),"Menos de "&amp;CONFIG!$B$26&amp;" probetas. ","")&amp;IF(N(T32)&gt;CONFIG!$B$25,"CV alto. ","")&amp;IF(AND(N(AD32)&gt;0,N(AD32)&gt;N(AF32)),"Absorción alta. ","")))</f>
        <v/>
      </c>
      <c r="AH32" s="22" t="n">
        <f aca="false">IF(AND(N(M32)&gt;0,OR(CONTROL!$C$4="TODAS",C32=CONTROL!$C$4),D32=CONTROL!$C$5),MAX($AH$4:AH31)+1,"")</f>
        <v>21</v>
      </c>
      <c r="AI32" s="22" t="n">
        <f aca="false">IF(AH32="","",P32^2)</f>
        <v>4994.97053534868</v>
      </c>
    </row>
    <row r="33" customFormat="false" ht="15" hidden="false" customHeight="false" outlineLevel="0" collapsed="false">
      <c r="A33" s="11" t="n">
        <f aca="false">IF(B33="","",ROW()-4)</f>
        <v>29</v>
      </c>
      <c r="B33" s="12" t="n">
        <v>45773</v>
      </c>
      <c r="C33" s="13" t="s">
        <v>83</v>
      </c>
      <c r="D33" s="13" t="s">
        <v>84</v>
      </c>
      <c r="E33" s="13"/>
      <c r="F33" s="14" t="str">
        <f aca="false">IF(OR(B33="",C33="",D33=""),"",IFERROR(INDEX(CONFIG!$E$5:$E$14,MATCH(D33,CONFIG!$D$5:$D$14,0)),"?")&amp;RIGHT("0"&amp;DAY(B33),2)&amp;RIGHT("0"&amp;MONTH(B33),2)&amp;RIGHT(YEAR(B33),2)&amp;C33&amp;IF(E33="","","-"&amp;E33))</f>
        <v>8260425P1</v>
      </c>
      <c r="G33" s="13"/>
      <c r="H33" s="13"/>
      <c r="I33" s="13"/>
      <c r="J33" s="13"/>
      <c r="K33" s="13"/>
      <c r="L33" s="13"/>
      <c r="M33" s="11" t="n">
        <f aca="false">IF(F33="","",COUNTIFS(ENSAYOS!$C$5:$C$3004,F33,ENSAYOS!$Q$5:$Q$3004,"&gt;0"))</f>
        <v>4</v>
      </c>
      <c r="N33" s="15" t="n">
        <f aca="false">IF(N(M33)=0,"",_xlfn.MINIFS(ENSAYOS!$G$5:$G$3004,ENSAYOS!$C$5:$C$3004,F33,ENSAYOS!$Q$5:$Q$3004,"&gt;0"))</f>
        <v>3</v>
      </c>
      <c r="O33" s="15" t="n">
        <f aca="false">IF(N(M33)=0,"",_xlfn.MAXIFS(ENSAYOS!$G$5:$G$3004,ENSAYOS!$C$5:$C$3004,F33,ENSAYOS!$Q$5:$Q$3004,"&gt;0"))</f>
        <v>3</v>
      </c>
      <c r="P33" s="16" t="n">
        <f aca="false">IF(N(M33)=0,"",AVERAGEIFS(ENSAYOS!$Q$5:$Q$3004,ENSAYOS!$C$5:$C$3004,F33,ENSAYOS!$Q$5:$Q$3004,"&gt;0"))</f>
        <v>69.704641350211</v>
      </c>
      <c r="Q33" s="16" t="n">
        <f aca="false">IF(N(M33)=0,"",_xlfn.MINIFS(ENSAYOS!$Q$5:$Q$3004,ENSAYOS!$C$5:$C$3004,F33,ENSAYOS!$Q$5:$Q$3004,"&gt;0"))</f>
        <v>62.2512171372931</v>
      </c>
      <c r="R33" s="16" t="n">
        <f aca="false">IF(N(M33)=0,"",_xlfn.MAXIFS(ENSAYOS!$Q$5:$Q$3004,ENSAYOS!$C$5:$C$3004,F33,ENSAYOS!$Q$5:$Q$3004,"&gt;0"))</f>
        <v>73.7280103862382</v>
      </c>
      <c r="S33" s="16" t="n">
        <f aca="false">IF(N(M33)&lt;2,"",SQRT(MAX(0,(SUMIFS(ENSAYOS!$X$5:$X$3004,ENSAYOS!$C$5:$C$3004,F33,ENSAYOS!$Q$5:$Q$3004,"&gt;0")-M33*P33^2)/(M33-1))))</f>
        <v>5.09814329669699</v>
      </c>
      <c r="T33" s="17" t="n">
        <f aca="false">IF(S33="","",S33/P33)</f>
        <v>0.0731392228400235</v>
      </c>
      <c r="U33" s="16" t="n">
        <f aca="false">IF(N(M33)=0,"",IF(N33&gt;=CONFIG!$B$27,"",AVERAGEIFS(ENSAYOS!$Q$5:$Q$3004,ENSAYOS!$C$5:$C$3004,F33,ENSAYOS!$Q$5:$Q$3004,"&gt;0",ENSAYOS!$G$5:$G$3004,N33)))</f>
        <v>69.704641350211</v>
      </c>
      <c r="V33" s="16" t="str">
        <f aca="false">IF(N(M33)=0,"",IF(COUNTIFS(ENSAYOS!$C$5:$C$3004,F33,ENSAYOS!$Q$5:$Q$3004,"&gt;0",ENSAYOS!$G$5:$G$3004,"&gt;="&amp;CONFIG!$B$27)=0,"",AVERAGEIFS(ENSAYOS!$Q$5:$Q$3004,ENSAYOS!$C$5:$C$3004,F33,ENSAYOS!$Q$5:$Q$3004,"&gt;0",ENSAYOS!$G$5:$G$3004,"&gt;="&amp;CONFIG!$B$27)))</f>
        <v/>
      </c>
      <c r="W33" s="18" t="str">
        <f aca="false">IF(AND(U33&lt;&gt;"",V33&lt;&gt;""),U33/V33,"")</f>
        <v/>
      </c>
      <c r="X33" s="18" t="n">
        <f aca="false">IF(U33="","",INDEX('CURVA EDAD'!$E$5:$E$32,MIN(28,MAX(1,N33))))</f>
        <v>0.84</v>
      </c>
      <c r="Y33" s="16" t="n">
        <f aca="false">IF(V33&lt;&gt;"",V33,IF(U33="","",U33/X33))</f>
        <v>82.9817158931083</v>
      </c>
      <c r="Z33" s="16" t="n">
        <f aca="false">IF(V33&lt;&gt;"",_xlfn.MINIFS(ENSAYOS!$Q$5:$Q$3004,ENSAYOS!$C$5:$C$3004,F33,ENSAYOS!$Q$5:$Q$3004,"&gt;0",ENSAYOS!$G$5:$G$3004,"&gt;="&amp;CONFIG!$B$27),IF(U33="","",_xlfn.MINIFS(ENSAYOS!$Q$5:$Q$3004,ENSAYOS!$C$5:$C$3004,F33,ENSAYOS!$Q$5:$Q$3004,"&gt;0",ENSAYOS!$G$5:$G$3004,N33)/X33))</f>
        <v>74.1085918301108</v>
      </c>
      <c r="AA33" s="16" t="str">
        <f aca="false">IF(D33="","",IFERROR(1/(1/INDEX(CONFIG!$J$5:$J$14,MATCH(D33,CONFIG!$D$5:$D$14,0))),""))</f>
        <v/>
      </c>
      <c r="AB33" s="16" t="str">
        <f aca="false">IF(D33="","",IFERROR(1/(1/INDEX(CONFIG!$K$5:$K$14,MATCH(D33,CONFIG!$D$5:$D$14,0))),""))</f>
        <v/>
      </c>
      <c r="AC33" s="19" t="str">
        <f aca="false">IF(N(M33)=0,"",IF(AA33="","Sin spec",IF(AND(Y33&gt;=AA33,OR(AB33="",Z33&gt;=AB33)),"CUMPLE","NO CUMPLE")&amp;IF(V33=""," (est.)","")))</f>
        <v>Sin spec</v>
      </c>
      <c r="AD33" s="20" t="str">
        <f aca="false">IF(F33="","",IF(COUNTIFS(ABSORCION!$C$5:$C$1004,F33,ABSORCION!$I$5:$I$1004,"&gt;0")=0,"",AVERAGEIFS(ABSORCION!$I$5:$I$1004,ABSORCION!$C$5:$C$1004,F33,ABSORCION!$I$5:$I$1004,"&gt;0")))</f>
        <v/>
      </c>
      <c r="AE33" s="20" t="str">
        <f aca="false">IF(F33="","",IF(COUNTIFS(ABSORCION!$C$5:$C$1004,F33,ABSORCION!$I$5:$I$1004,"&gt;0")=0,"",AVERAGEIFS(ABSORCION!$K$5:$K$1004,ABSORCION!$C$5:$C$1004,F33,ABSORCION!$I$5:$I$1004,"&gt;0")))</f>
        <v/>
      </c>
      <c r="AF33" s="20" t="str">
        <f aca="false">IF(AE33="","",IF(AE33&gt;=CONFIG!$E$21,CONFIG!$F$21,IF(AE33&gt;=CONFIG!$E$20,CONFIG!$F$20,CONFIG!$F$19)))</f>
        <v/>
      </c>
      <c r="AG33" s="21" t="str">
        <f aca="false">IF(F33="","",TRIM(IF(N(M33)=0,"Sin ensayos. ","")&amp;IF(AND(N(M33)&gt;0,N(M33)&lt;CONFIG!$B$26),"Menos de "&amp;CONFIG!$B$26&amp;" probetas. ","")&amp;IF(N(T33)&gt;CONFIG!$B$25,"CV alto. ","")&amp;IF(AND(N(AD33)&gt;0,N(AD33)&gt;N(AF33)),"Absorción alta. ","")))</f>
        <v/>
      </c>
      <c r="AH33" s="22" t="n">
        <f aca="false">IF(AND(N(M33)&gt;0,OR(CONTROL!$C$4="TODAS",C33=CONTROL!$C$4),D33=CONTROL!$C$5),MAX($AH$4:AH32)+1,"")</f>
        <v>22</v>
      </c>
      <c r="AI33" s="22" t="n">
        <f aca="false">IF(AH33="","",P33^2)</f>
        <v>4858.73702576154</v>
      </c>
    </row>
    <row r="34" customFormat="false" ht="15" hidden="false" customHeight="false" outlineLevel="0" collapsed="false">
      <c r="A34" s="11" t="n">
        <f aca="false">IF(B34="","",ROW()-4)</f>
        <v>30</v>
      </c>
      <c r="B34" s="12" t="n">
        <v>45775</v>
      </c>
      <c r="C34" s="13" t="s">
        <v>83</v>
      </c>
      <c r="D34" s="13" t="s">
        <v>84</v>
      </c>
      <c r="E34" s="13"/>
      <c r="F34" s="14" t="str">
        <f aca="false">IF(OR(B34="",C34="",D34=""),"",IFERROR(INDEX(CONFIG!$E$5:$E$14,MATCH(D34,CONFIG!$D$5:$D$14,0)),"?")&amp;RIGHT("0"&amp;DAY(B34),2)&amp;RIGHT("0"&amp;MONTH(B34),2)&amp;RIGHT(YEAR(B34),2)&amp;C34&amp;IF(E34="","","-"&amp;E34))</f>
        <v>8280425P1</v>
      </c>
      <c r="G34" s="13"/>
      <c r="H34" s="13"/>
      <c r="I34" s="13"/>
      <c r="J34" s="13"/>
      <c r="K34" s="13"/>
      <c r="L34" s="13"/>
      <c r="M34" s="11" t="n">
        <f aca="false">IF(F34="","",COUNTIFS(ENSAYOS!$C$5:$C$3004,F34,ENSAYOS!$Q$5:$Q$3004,"&gt;0"))</f>
        <v>4</v>
      </c>
      <c r="N34" s="15" t="n">
        <f aca="false">IF(N(M34)=0,"",_xlfn.MINIFS(ENSAYOS!$G$5:$G$3004,ENSAYOS!$C$5:$C$3004,F34,ENSAYOS!$Q$5:$Q$3004,"&gt;0"))</f>
        <v>2</v>
      </c>
      <c r="O34" s="15" t="n">
        <f aca="false">IF(N(M34)=0,"",_xlfn.MAXIFS(ENSAYOS!$G$5:$G$3004,ENSAYOS!$C$5:$C$3004,F34,ENSAYOS!$Q$5:$Q$3004,"&gt;0"))</f>
        <v>2</v>
      </c>
      <c r="P34" s="16" t="n">
        <f aca="false">IF(N(M34)=0,"",AVERAGEIFS(ENSAYOS!$Q$5:$Q$3004,ENSAYOS!$C$5:$C$3004,F34,ENSAYOS!$Q$5:$Q$3004,"&gt;0"))</f>
        <v>69.154170723791</v>
      </c>
      <c r="Q34" s="16" t="n">
        <f aca="false">IF(N(M34)=0,"",_xlfn.MINIFS(ENSAYOS!$Q$5:$Q$3004,ENSAYOS!$C$5:$C$3004,F34,ENSAYOS!$Q$5:$Q$3004,"&gt;0"))</f>
        <v>65.3956507627394</v>
      </c>
      <c r="R34" s="16" t="n">
        <f aca="false">IF(N(M34)=0,"",_xlfn.MAXIFS(ENSAYOS!$Q$5:$Q$3004,ENSAYOS!$C$5:$C$3004,F34,ENSAYOS!$Q$5:$Q$3004,"&gt;0"))</f>
        <v>73.8344693281402</v>
      </c>
      <c r="S34" s="16" t="n">
        <f aca="false">IF(N(M34)&lt;2,"",SQRT(MAX(0,(SUMIFS(ENSAYOS!$X$5:$X$3004,ENSAYOS!$C$5:$C$3004,F34,ENSAYOS!$Q$5:$Q$3004,"&gt;0")-M34*P34^2)/(M34-1))))</f>
        <v>3.50512699557589</v>
      </c>
      <c r="T34" s="17" t="n">
        <f aca="false">IF(S34="","",S34/P34)</f>
        <v>0.0506856919675277</v>
      </c>
      <c r="U34" s="16" t="n">
        <f aca="false">IF(N(M34)=0,"",IF(N34&gt;=CONFIG!$B$27,"",AVERAGEIFS(ENSAYOS!$Q$5:$Q$3004,ENSAYOS!$C$5:$C$3004,F34,ENSAYOS!$Q$5:$Q$3004,"&gt;0",ENSAYOS!$G$5:$G$3004,N34)))</f>
        <v>69.154170723791</v>
      </c>
      <c r="V34" s="16" t="str">
        <f aca="false">IF(N(M34)=0,"",IF(COUNTIFS(ENSAYOS!$C$5:$C$3004,F34,ENSAYOS!$Q$5:$Q$3004,"&gt;0",ENSAYOS!$G$5:$G$3004,"&gt;="&amp;CONFIG!$B$27)=0,"",AVERAGEIFS(ENSAYOS!$Q$5:$Q$3004,ENSAYOS!$C$5:$C$3004,F34,ENSAYOS!$Q$5:$Q$3004,"&gt;0",ENSAYOS!$G$5:$G$3004,"&gt;="&amp;CONFIG!$B$27)))</f>
        <v/>
      </c>
      <c r="W34" s="18" t="str">
        <f aca="false">IF(AND(U34&lt;&gt;"",V34&lt;&gt;""),U34/V34,"")</f>
        <v/>
      </c>
      <c r="X34" s="18" t="n">
        <f aca="false">IF(U34="","",INDEX('CURVA EDAD'!$E$5:$E$32,MIN(28,MAX(1,N34))))</f>
        <v>0.77</v>
      </c>
      <c r="Y34" s="16" t="n">
        <f aca="false">IF(V34&lt;&gt;"",V34,IF(U34="","",U34/X34))</f>
        <v>89.8106113295987</v>
      </c>
      <c r="Z34" s="16" t="n">
        <f aca="false">IF(V34&lt;&gt;"",_xlfn.MINIFS(ENSAYOS!$Q$5:$Q$3004,ENSAYOS!$C$5:$C$3004,F34,ENSAYOS!$Q$5:$Q$3004,"&gt;0",ENSAYOS!$G$5:$G$3004,"&gt;="&amp;CONFIG!$B$27),IF(U34="","",_xlfn.MINIFS(ENSAYOS!$Q$5:$Q$3004,ENSAYOS!$C$5:$C$3004,F34,ENSAYOS!$Q$5:$Q$3004,"&gt;0",ENSAYOS!$G$5:$G$3004,N34)/X34))</f>
        <v>84.9294165749862</v>
      </c>
      <c r="AA34" s="16" t="str">
        <f aca="false">IF(D34="","",IFERROR(1/(1/INDEX(CONFIG!$J$5:$J$14,MATCH(D34,CONFIG!$D$5:$D$14,0))),""))</f>
        <v/>
      </c>
      <c r="AB34" s="16" t="str">
        <f aca="false">IF(D34="","",IFERROR(1/(1/INDEX(CONFIG!$K$5:$K$14,MATCH(D34,CONFIG!$D$5:$D$14,0))),""))</f>
        <v/>
      </c>
      <c r="AC34" s="19" t="str">
        <f aca="false">IF(N(M34)=0,"",IF(AA34="","Sin spec",IF(AND(Y34&gt;=AA34,OR(AB34="",Z34&gt;=AB34)),"CUMPLE","NO CUMPLE")&amp;IF(V34=""," (est.)","")))</f>
        <v>Sin spec</v>
      </c>
      <c r="AD34" s="20" t="str">
        <f aca="false">IF(F34="","",IF(COUNTIFS(ABSORCION!$C$5:$C$1004,F34,ABSORCION!$I$5:$I$1004,"&gt;0")=0,"",AVERAGEIFS(ABSORCION!$I$5:$I$1004,ABSORCION!$C$5:$C$1004,F34,ABSORCION!$I$5:$I$1004,"&gt;0")))</f>
        <v/>
      </c>
      <c r="AE34" s="20" t="str">
        <f aca="false">IF(F34="","",IF(COUNTIFS(ABSORCION!$C$5:$C$1004,F34,ABSORCION!$I$5:$I$1004,"&gt;0")=0,"",AVERAGEIFS(ABSORCION!$K$5:$K$1004,ABSORCION!$C$5:$C$1004,F34,ABSORCION!$I$5:$I$1004,"&gt;0")))</f>
        <v/>
      </c>
      <c r="AF34" s="20" t="str">
        <f aca="false">IF(AE34="","",IF(AE34&gt;=CONFIG!$E$21,CONFIG!$F$21,IF(AE34&gt;=CONFIG!$E$20,CONFIG!$F$20,CONFIG!$F$19)))</f>
        <v/>
      </c>
      <c r="AG34" s="21" t="str">
        <f aca="false">IF(F34="","",TRIM(IF(N(M34)=0,"Sin ensayos. ","")&amp;IF(AND(N(M34)&gt;0,N(M34)&lt;CONFIG!$B$26),"Menos de "&amp;CONFIG!$B$26&amp;" probetas. ","")&amp;IF(N(T34)&gt;CONFIG!$B$25,"CV alto. ","")&amp;IF(AND(N(AD34)&gt;0,N(AD34)&gt;N(AF34)),"Absorción alta. ","")))</f>
        <v/>
      </c>
      <c r="AH34" s="22" t="n">
        <f aca="false">IF(AND(N(M34)&gt;0,OR(CONTROL!$C$4="TODAS",C34=CONTROL!$C$4),D34=CONTROL!$C$5),MAX($AH$4:AH33)+1,"")</f>
        <v>23</v>
      </c>
      <c r="AI34" s="22" t="n">
        <f aca="false">IF(AH34="","",P34^2)</f>
        <v>4782.29932849523</v>
      </c>
    </row>
    <row r="35" customFormat="false" ht="15" hidden="false" customHeight="false" outlineLevel="0" collapsed="false">
      <c r="A35" s="11" t="n">
        <f aca="false">IF(B35="","",ROW()-4)</f>
        <v>31</v>
      </c>
      <c r="B35" s="12" t="n">
        <v>45778</v>
      </c>
      <c r="C35" s="13" t="s">
        <v>83</v>
      </c>
      <c r="D35" s="13" t="s">
        <v>84</v>
      </c>
      <c r="E35" s="13"/>
      <c r="F35" s="14" t="str">
        <f aca="false">IF(OR(B35="",C35="",D35=""),"",IFERROR(INDEX(CONFIG!$E$5:$E$14,MATCH(D35,CONFIG!$D$5:$D$14,0)),"?")&amp;RIGHT("0"&amp;DAY(B35),2)&amp;RIGHT("0"&amp;MONTH(B35),2)&amp;RIGHT(YEAR(B35),2)&amp;C35&amp;IF(E35="","","-"&amp;E35))</f>
        <v>8010525P1</v>
      </c>
      <c r="G35" s="13"/>
      <c r="H35" s="13"/>
      <c r="I35" s="13"/>
      <c r="J35" s="13"/>
      <c r="K35" s="13"/>
      <c r="L35" s="13"/>
      <c r="M35" s="11" t="n">
        <f aca="false">IF(F35="","",COUNTIFS(ENSAYOS!$C$5:$C$3004,F35,ENSAYOS!$Q$5:$Q$3004,"&gt;0"))</f>
        <v>4</v>
      </c>
      <c r="N35" s="15" t="n">
        <f aca="false">IF(N(M35)=0,"",_xlfn.MINIFS(ENSAYOS!$G$5:$G$3004,ENSAYOS!$C$5:$C$3004,F35,ENSAYOS!$Q$5:$Q$3004,"&gt;0"))</f>
        <v>5</v>
      </c>
      <c r="O35" s="15" t="n">
        <f aca="false">IF(N(M35)=0,"",_xlfn.MAXIFS(ENSAYOS!$G$5:$G$3004,ENSAYOS!$C$5:$C$3004,F35,ENSAYOS!$Q$5:$Q$3004,"&gt;0"))</f>
        <v>5</v>
      </c>
      <c r="P35" s="16" t="n">
        <f aca="false">IF(N(M35)=0,"",AVERAGEIFS(ENSAYOS!$Q$5:$Q$3004,ENSAYOS!$C$5:$C$3004,F35,ENSAYOS!$Q$5:$Q$3004,"&gt;0"))</f>
        <v>72.6270691333983</v>
      </c>
      <c r="Q35" s="16" t="n">
        <f aca="false">IF(N(M35)=0,"",_xlfn.MINIFS(ENSAYOS!$Q$5:$Q$3004,ENSAYOS!$C$5:$C$3004,F35,ENSAYOS!$Q$5:$Q$3004,"&gt;0"))</f>
        <v>70.3654657578708</v>
      </c>
      <c r="R35" s="16" t="n">
        <f aca="false">IF(N(M35)=0,"",_xlfn.MAXIFS(ENSAYOS!$Q$5:$Q$3004,ENSAYOS!$C$5:$C$3004,F35,ENSAYOS!$Q$5:$Q$3004,"&gt;0"))</f>
        <v>76.4258357676079</v>
      </c>
      <c r="S35" s="16" t="n">
        <f aca="false">IF(N(M35)&lt;2,"",SQRT(MAX(0,(SUMIFS(ENSAYOS!$X$5:$X$3004,ENSAYOS!$C$5:$C$3004,F35,ENSAYOS!$Q$5:$Q$3004,"&gt;0")-M35*P35^2)/(M35-1))))</f>
        <v>2.63754731686876</v>
      </c>
      <c r="T35" s="17" t="n">
        <f aca="false">IF(S35="","",S35/P35)</f>
        <v>0.0363163122006787</v>
      </c>
      <c r="U35" s="16" t="n">
        <f aca="false">IF(N(M35)=0,"",IF(N35&gt;=CONFIG!$B$27,"",AVERAGEIFS(ENSAYOS!$Q$5:$Q$3004,ENSAYOS!$C$5:$C$3004,F35,ENSAYOS!$Q$5:$Q$3004,"&gt;0",ENSAYOS!$G$5:$G$3004,N35)))</f>
        <v>72.6270691333983</v>
      </c>
      <c r="V35" s="16" t="str">
        <f aca="false">IF(N(M35)=0,"",IF(COUNTIFS(ENSAYOS!$C$5:$C$3004,F35,ENSAYOS!$Q$5:$Q$3004,"&gt;0",ENSAYOS!$G$5:$G$3004,"&gt;="&amp;CONFIG!$B$27)=0,"",AVERAGEIFS(ENSAYOS!$Q$5:$Q$3004,ENSAYOS!$C$5:$C$3004,F35,ENSAYOS!$Q$5:$Q$3004,"&gt;0",ENSAYOS!$G$5:$G$3004,"&gt;="&amp;CONFIG!$B$27)))</f>
        <v/>
      </c>
      <c r="W35" s="18" t="str">
        <f aca="false">IF(AND(U35&lt;&gt;"",V35&lt;&gt;""),U35/V35,"")</f>
        <v/>
      </c>
      <c r="X35" s="18" t="n">
        <f aca="false">IF(U35="","",INDEX('CURVA EDAD'!$E$5:$E$32,MIN(28,MAX(1,N35))))</f>
        <v>0.89</v>
      </c>
      <c r="Y35" s="16" t="n">
        <f aca="false">IF(V35&lt;&gt;"",V35,IF(U35="","",U35/X35))</f>
        <v>81.6034484644924</v>
      </c>
      <c r="Z35" s="16" t="n">
        <f aca="false">IF(V35&lt;&gt;"",_xlfn.MINIFS(ENSAYOS!$Q$5:$Q$3004,ENSAYOS!$C$5:$C$3004,F35,ENSAYOS!$Q$5:$Q$3004,"&gt;0",ENSAYOS!$G$5:$G$3004,"&gt;="&amp;CONFIG!$B$27),IF(U35="","",_xlfn.MINIFS(ENSAYOS!$Q$5:$Q$3004,ENSAYOS!$C$5:$C$3004,F35,ENSAYOS!$Q$5:$Q$3004,"&gt;0",ENSAYOS!$G$5:$G$3004,N35)/X35))</f>
        <v>79.0623210762594</v>
      </c>
      <c r="AA35" s="16" t="str">
        <f aca="false">IF(D35="","",IFERROR(1/(1/INDEX(CONFIG!$J$5:$J$14,MATCH(D35,CONFIG!$D$5:$D$14,0))),""))</f>
        <v/>
      </c>
      <c r="AB35" s="16" t="str">
        <f aca="false">IF(D35="","",IFERROR(1/(1/INDEX(CONFIG!$K$5:$K$14,MATCH(D35,CONFIG!$D$5:$D$14,0))),""))</f>
        <v/>
      </c>
      <c r="AC35" s="19" t="str">
        <f aca="false">IF(N(M35)=0,"",IF(AA35="","Sin spec",IF(AND(Y35&gt;=AA35,OR(AB35="",Z35&gt;=AB35)),"CUMPLE","NO CUMPLE")&amp;IF(V35=""," (est.)","")))</f>
        <v>Sin spec</v>
      </c>
      <c r="AD35" s="20" t="str">
        <f aca="false">IF(F35="","",IF(COUNTIFS(ABSORCION!$C$5:$C$1004,F35,ABSORCION!$I$5:$I$1004,"&gt;0")=0,"",AVERAGEIFS(ABSORCION!$I$5:$I$1004,ABSORCION!$C$5:$C$1004,F35,ABSORCION!$I$5:$I$1004,"&gt;0")))</f>
        <v/>
      </c>
      <c r="AE35" s="20" t="str">
        <f aca="false">IF(F35="","",IF(COUNTIFS(ABSORCION!$C$5:$C$1004,F35,ABSORCION!$I$5:$I$1004,"&gt;0")=0,"",AVERAGEIFS(ABSORCION!$K$5:$K$1004,ABSORCION!$C$5:$C$1004,F35,ABSORCION!$I$5:$I$1004,"&gt;0")))</f>
        <v/>
      </c>
      <c r="AF35" s="20" t="str">
        <f aca="false">IF(AE35="","",IF(AE35&gt;=CONFIG!$E$21,CONFIG!$F$21,IF(AE35&gt;=CONFIG!$E$20,CONFIG!$F$20,CONFIG!$F$19)))</f>
        <v/>
      </c>
      <c r="AG35" s="21" t="str">
        <f aca="false">IF(F35="","",TRIM(IF(N(M35)=0,"Sin ensayos. ","")&amp;IF(AND(N(M35)&gt;0,N(M35)&lt;CONFIG!$B$26),"Menos de "&amp;CONFIG!$B$26&amp;" probetas. ","")&amp;IF(N(T35)&gt;CONFIG!$B$25,"CV alto. ","")&amp;IF(AND(N(AD35)&gt;0,N(AD35)&gt;N(AF35)),"Absorción alta. ","")))</f>
        <v/>
      </c>
      <c r="AH35" s="22" t="n">
        <f aca="false">IF(AND(N(M35)&gt;0,OR(CONTROL!$C$4="TODAS",C35=CONTROL!$C$4),D35=CONTROL!$C$5),MAX($AH$4:AH34)+1,"")</f>
        <v>24</v>
      </c>
      <c r="AI35" s="22" t="n">
        <f aca="false">IF(AH35="","",P35^2)</f>
        <v>5274.69117090741</v>
      </c>
    </row>
    <row r="36" customFormat="false" ht="15" hidden="false" customHeight="false" outlineLevel="0" collapsed="false">
      <c r="A36" s="11" t="n">
        <f aca="false">IF(B36="","",ROW()-4)</f>
        <v>32</v>
      </c>
      <c r="B36" s="12" t="n">
        <v>45787</v>
      </c>
      <c r="C36" s="13" t="s">
        <v>83</v>
      </c>
      <c r="D36" s="13" t="s">
        <v>84</v>
      </c>
      <c r="E36" s="13"/>
      <c r="F36" s="14" t="str">
        <f aca="false">IF(OR(B36="",C36="",D36=""),"",IFERROR(INDEX(CONFIG!$E$5:$E$14,MATCH(D36,CONFIG!$D$5:$D$14,0)),"?")&amp;RIGHT("0"&amp;DAY(B36),2)&amp;RIGHT("0"&amp;MONTH(B36),2)&amp;RIGHT(YEAR(B36),2)&amp;C36&amp;IF(E36="","","-"&amp;E36))</f>
        <v>8100525P1</v>
      </c>
      <c r="G36" s="13" t="s">
        <v>95</v>
      </c>
      <c r="H36" s="13"/>
      <c r="I36" s="13"/>
      <c r="J36" s="13"/>
      <c r="K36" s="13"/>
      <c r="L36" s="13"/>
      <c r="M36" s="11" t="n">
        <f aca="false">IF(F36="","",COUNTIFS(ENSAYOS!$C$5:$C$3004,F36,ENSAYOS!$Q$5:$Q$3004,"&gt;0"))</f>
        <v>4</v>
      </c>
      <c r="N36" s="15" t="n">
        <f aca="false">IF(N(M36)=0,"",_xlfn.MINIFS(ENSAYOS!$G$5:$G$3004,ENSAYOS!$C$5:$C$3004,F36,ENSAYOS!$Q$5:$Q$3004,"&gt;0"))</f>
        <v>0</v>
      </c>
      <c r="O36" s="15" t="n">
        <f aca="false">IF(N(M36)=0,"",_xlfn.MAXIFS(ENSAYOS!$G$5:$G$3004,ENSAYOS!$C$5:$C$3004,F36,ENSAYOS!$Q$5:$Q$3004,"&gt;0"))</f>
        <v>0</v>
      </c>
      <c r="P36" s="16" t="n">
        <f aca="false">IF(N(M36)=0,"",AVERAGEIFS(ENSAYOS!$Q$5:$Q$3004,ENSAYOS!$C$5:$C$3004,F36,ENSAYOS!$Q$5:$Q$3004,"&gt;0"))</f>
        <v>63.8302499188575</v>
      </c>
      <c r="Q36" s="16" t="n">
        <f aca="false">IF(N(M36)=0,"",_xlfn.MINIFS(ENSAYOS!$Q$5:$Q$3004,ENSAYOS!$C$5:$C$3004,F36,ENSAYOS!$Q$5:$Q$3004,"&gt;0"))</f>
        <v>60.5426809477442</v>
      </c>
      <c r="R36" s="16" t="n">
        <f aca="false">IF(N(M36)=0,"",_xlfn.MAXIFS(ENSAYOS!$Q$5:$Q$3004,ENSAYOS!$C$5:$C$3004,F36,ENSAYOS!$Q$5:$Q$3004,"&gt;0"))</f>
        <v>66.8380395975333</v>
      </c>
      <c r="S36" s="16" t="n">
        <f aca="false">IF(N(M36)&lt;2,"",SQRT(MAX(0,(SUMIFS(ENSAYOS!$X$5:$X$3004,ENSAYOS!$C$5:$C$3004,F36,ENSAYOS!$Q$5:$Q$3004,"&gt;0")-M36*P36^2)/(M36-1))))</f>
        <v>3.35724279454834</v>
      </c>
      <c r="T36" s="17" t="n">
        <f aca="false">IF(S36="","",S36/P36)</f>
        <v>0.0525964225240563</v>
      </c>
      <c r="U36" s="16" t="n">
        <f aca="false">IF(N(M36)=0,"",IF(N36&gt;=CONFIG!$B$27,"",AVERAGEIFS(ENSAYOS!$Q$5:$Q$3004,ENSAYOS!$C$5:$C$3004,F36,ENSAYOS!$Q$5:$Q$3004,"&gt;0",ENSAYOS!$G$5:$G$3004,N36)))</f>
        <v>63.8302499188575</v>
      </c>
      <c r="V36" s="16" t="str">
        <f aca="false">IF(N(M36)=0,"",IF(COUNTIFS(ENSAYOS!$C$5:$C$3004,F36,ENSAYOS!$Q$5:$Q$3004,"&gt;0",ENSAYOS!$G$5:$G$3004,"&gt;="&amp;CONFIG!$B$27)=0,"",AVERAGEIFS(ENSAYOS!$Q$5:$Q$3004,ENSAYOS!$C$5:$C$3004,F36,ENSAYOS!$Q$5:$Q$3004,"&gt;0",ENSAYOS!$G$5:$G$3004,"&gt;="&amp;CONFIG!$B$27)))</f>
        <v/>
      </c>
      <c r="W36" s="18" t="str">
        <f aca="false">IF(AND(U36&lt;&gt;"",V36&lt;&gt;""),U36/V36,"")</f>
        <v/>
      </c>
      <c r="X36" s="18" t="n">
        <f aca="false">IF(U36="","",INDEX('CURVA EDAD'!$E$5:$E$32,MIN(28,MAX(1,N36))))</f>
        <v>0.7</v>
      </c>
      <c r="Y36" s="16" t="n">
        <f aca="false">IF(V36&lt;&gt;"",V36,IF(U36="","",U36/X36))</f>
        <v>91.1860713126536</v>
      </c>
      <c r="Z36" s="16" t="n">
        <f aca="false">IF(V36&lt;&gt;"",_xlfn.MINIFS(ENSAYOS!$Q$5:$Q$3004,ENSAYOS!$C$5:$C$3004,F36,ENSAYOS!$Q$5:$Q$3004,"&gt;0",ENSAYOS!$G$5:$G$3004,"&gt;="&amp;CONFIG!$B$27),IF(U36="","",_xlfn.MINIFS(ENSAYOS!$Q$5:$Q$3004,ENSAYOS!$C$5:$C$3004,F36,ENSAYOS!$Q$5:$Q$3004,"&gt;0",ENSAYOS!$G$5:$G$3004,N36)/X36))</f>
        <v>86.4895442110632</v>
      </c>
      <c r="AA36" s="16" t="str">
        <f aca="false">IF(D36="","",IFERROR(1/(1/INDEX(CONFIG!$J$5:$J$14,MATCH(D36,CONFIG!$D$5:$D$14,0))),""))</f>
        <v/>
      </c>
      <c r="AB36" s="16" t="str">
        <f aca="false">IF(D36="","",IFERROR(1/(1/INDEX(CONFIG!$K$5:$K$14,MATCH(D36,CONFIG!$D$5:$D$14,0))),""))</f>
        <v/>
      </c>
      <c r="AC36" s="19" t="str">
        <f aca="false">IF(N(M36)=0,"",IF(AA36="","Sin spec",IF(AND(Y36&gt;=AA36,OR(AB36="",Z36&gt;=AB36)),"CUMPLE","NO CUMPLE")&amp;IF(V36=""," (est.)","")))</f>
        <v>Sin spec</v>
      </c>
      <c r="AD36" s="20" t="str">
        <f aca="false">IF(F36="","",IF(COUNTIFS(ABSORCION!$C$5:$C$1004,F36,ABSORCION!$I$5:$I$1004,"&gt;0")=0,"",AVERAGEIFS(ABSORCION!$I$5:$I$1004,ABSORCION!$C$5:$C$1004,F36,ABSORCION!$I$5:$I$1004,"&gt;0")))</f>
        <v/>
      </c>
      <c r="AE36" s="20" t="str">
        <f aca="false">IF(F36="","",IF(COUNTIFS(ABSORCION!$C$5:$C$1004,F36,ABSORCION!$I$5:$I$1004,"&gt;0")=0,"",AVERAGEIFS(ABSORCION!$K$5:$K$1004,ABSORCION!$C$5:$C$1004,F36,ABSORCION!$I$5:$I$1004,"&gt;0")))</f>
        <v/>
      </c>
      <c r="AF36" s="20" t="str">
        <f aca="false">IF(AE36="","",IF(AE36&gt;=CONFIG!$E$21,CONFIG!$F$21,IF(AE36&gt;=CONFIG!$E$20,CONFIG!$F$20,CONFIG!$F$19)))</f>
        <v/>
      </c>
      <c r="AG36" s="21" t="str">
        <f aca="false">IF(F36="","",TRIM(IF(N(M36)=0,"Sin ensayos. ","")&amp;IF(AND(N(M36)&gt;0,N(M36)&lt;CONFIG!$B$26),"Menos de "&amp;CONFIG!$B$26&amp;" probetas. ","")&amp;IF(N(T36)&gt;CONFIG!$B$25,"CV alto. ","")&amp;IF(AND(N(AD36)&gt;0,N(AD36)&gt;N(AF36)),"Absorción alta. ","")))</f>
        <v/>
      </c>
      <c r="AH36" s="22" t="n">
        <f aca="false">IF(AND(N(M36)&gt;0,OR(CONTROL!$C$4="TODAS",C36=CONTROL!$C$4),D36=CONTROL!$C$5),MAX($AH$4:AH35)+1,"")</f>
        <v>25</v>
      </c>
      <c r="AI36" s="22" t="n">
        <f aca="false">IF(AH36="","",P36^2)</f>
        <v>4074.30080470381</v>
      </c>
    </row>
    <row r="37" customFormat="false" ht="15" hidden="false" customHeight="false" outlineLevel="0" collapsed="false">
      <c r="A37" s="11" t="n">
        <f aca="false">IF(B37="","",ROW()-4)</f>
        <v>33</v>
      </c>
      <c r="B37" s="12" t="n">
        <v>45793</v>
      </c>
      <c r="C37" s="13" t="s">
        <v>83</v>
      </c>
      <c r="D37" s="13" t="s">
        <v>84</v>
      </c>
      <c r="E37" s="13"/>
      <c r="F37" s="14" t="str">
        <f aca="false">IF(OR(B37="",C37="",D37=""),"",IFERROR(INDEX(CONFIG!$E$5:$E$14,MATCH(D37,CONFIG!$D$5:$D$14,0)),"?")&amp;RIGHT("0"&amp;DAY(B37),2)&amp;RIGHT("0"&amp;MONTH(B37),2)&amp;RIGHT(YEAR(B37),2)&amp;C37&amp;IF(E37="","","-"&amp;E37))</f>
        <v>8160525P1</v>
      </c>
      <c r="G37" s="13" t="s">
        <v>96</v>
      </c>
      <c r="H37" s="13"/>
      <c r="I37" s="13"/>
      <c r="J37" s="13"/>
      <c r="K37" s="13"/>
      <c r="L37" s="13"/>
      <c r="M37" s="11" t="n">
        <f aca="false">IF(F37="","",COUNTIFS(ENSAYOS!$C$5:$C$3004,F37,ENSAYOS!$Q$5:$Q$3004,"&gt;0"))</f>
        <v>4</v>
      </c>
      <c r="N37" s="15" t="n">
        <f aca="false">IF(N(M37)=0,"",_xlfn.MINIFS(ENSAYOS!$G$5:$G$3004,ENSAYOS!$C$5:$C$3004,F37,ENSAYOS!$Q$5:$Q$3004,"&gt;0"))</f>
        <v>4</v>
      </c>
      <c r="O37" s="15" t="n">
        <f aca="false">IF(N(M37)=0,"",_xlfn.MAXIFS(ENSAYOS!$G$5:$G$3004,ENSAYOS!$C$5:$C$3004,F37,ENSAYOS!$Q$5:$Q$3004,"&gt;0"))</f>
        <v>4</v>
      </c>
      <c r="P37" s="16" t="n">
        <f aca="false">IF(N(M37)=0,"",AVERAGEIFS(ENSAYOS!$Q$5:$Q$3004,ENSAYOS!$C$5:$C$3004,F37,ENSAYOS!$Q$5:$Q$3004,"&gt;0"))</f>
        <v>70.6751054852321</v>
      </c>
      <c r="Q37" s="16" t="n">
        <f aca="false">IF(N(M37)=0,"",_xlfn.MINIFS(ENSAYOS!$Q$5:$Q$3004,ENSAYOS!$C$5:$C$3004,F37,ENSAYOS!$Q$5:$Q$3004,"&gt;0"))</f>
        <v>64.7127555988316</v>
      </c>
      <c r="R37" s="16" t="n">
        <f aca="false">IF(N(M37)=0,"",_xlfn.MAXIFS(ENSAYOS!$Q$5:$Q$3004,ENSAYOS!$C$5:$C$3004,F37,ENSAYOS!$Q$5:$Q$3004,"&gt;0"))</f>
        <v>76.337552742616</v>
      </c>
      <c r="S37" s="16" t="n">
        <f aca="false">IF(N(M37)&lt;2,"",SQRT(MAX(0,(SUMIFS(ENSAYOS!$X$5:$X$3004,ENSAYOS!$C$5:$C$3004,F37,ENSAYOS!$Q$5:$Q$3004,"&gt;0")-M37*P37^2)/(M37-1))))</f>
        <v>4.86012724624401</v>
      </c>
      <c r="T37" s="17" t="n">
        <f aca="false">IF(S37="","",S37/P37)</f>
        <v>0.0687671735737212</v>
      </c>
      <c r="U37" s="16" t="n">
        <f aca="false">IF(N(M37)=0,"",IF(N37&gt;=CONFIG!$B$27,"",AVERAGEIFS(ENSAYOS!$Q$5:$Q$3004,ENSAYOS!$C$5:$C$3004,F37,ENSAYOS!$Q$5:$Q$3004,"&gt;0",ENSAYOS!$G$5:$G$3004,N37)))</f>
        <v>70.6751054852321</v>
      </c>
      <c r="V37" s="16" t="str">
        <f aca="false">IF(N(M37)=0,"",IF(COUNTIFS(ENSAYOS!$C$5:$C$3004,F37,ENSAYOS!$Q$5:$Q$3004,"&gt;0",ENSAYOS!$G$5:$G$3004,"&gt;="&amp;CONFIG!$B$27)=0,"",AVERAGEIFS(ENSAYOS!$Q$5:$Q$3004,ENSAYOS!$C$5:$C$3004,F37,ENSAYOS!$Q$5:$Q$3004,"&gt;0",ENSAYOS!$G$5:$G$3004,"&gt;="&amp;CONFIG!$B$27)))</f>
        <v/>
      </c>
      <c r="W37" s="18" t="str">
        <f aca="false">IF(AND(U37&lt;&gt;"",V37&lt;&gt;""),U37/V37,"")</f>
        <v/>
      </c>
      <c r="X37" s="18" t="n">
        <f aca="false">IF(U37="","",INDEX('CURVA EDAD'!$E$5:$E$32,MIN(28,MAX(1,N37))))</f>
        <v>0.87</v>
      </c>
      <c r="Y37" s="16" t="n">
        <f aca="false">IF(V37&lt;&gt;"",V37,IF(U37="","",U37/X37))</f>
        <v>81.2357534313012</v>
      </c>
      <c r="Z37" s="16" t="n">
        <f aca="false">IF(V37&lt;&gt;"",_xlfn.MINIFS(ENSAYOS!$Q$5:$Q$3004,ENSAYOS!$C$5:$C$3004,F37,ENSAYOS!$Q$5:$Q$3004,"&gt;0",ENSAYOS!$G$5:$G$3004,"&gt;="&amp;CONFIG!$B$27),IF(U37="","",_xlfn.MINIFS(ENSAYOS!$Q$5:$Q$3004,ENSAYOS!$C$5:$C$3004,F37,ENSAYOS!$Q$5:$Q$3004,"&gt;0",ENSAYOS!$G$5:$G$3004,N37)/X37))</f>
        <v>74.3824776998064</v>
      </c>
      <c r="AA37" s="16" t="str">
        <f aca="false">IF(D37="","",IFERROR(1/(1/INDEX(CONFIG!$J$5:$J$14,MATCH(D37,CONFIG!$D$5:$D$14,0))),""))</f>
        <v/>
      </c>
      <c r="AB37" s="16" t="str">
        <f aca="false">IF(D37="","",IFERROR(1/(1/INDEX(CONFIG!$K$5:$K$14,MATCH(D37,CONFIG!$D$5:$D$14,0))),""))</f>
        <v/>
      </c>
      <c r="AC37" s="19" t="str">
        <f aca="false">IF(N(M37)=0,"",IF(AA37="","Sin spec",IF(AND(Y37&gt;=AA37,OR(AB37="",Z37&gt;=AB37)),"CUMPLE","NO CUMPLE")&amp;IF(V37=""," (est.)","")))</f>
        <v>Sin spec</v>
      </c>
      <c r="AD37" s="20" t="str">
        <f aca="false">IF(F37="","",IF(COUNTIFS(ABSORCION!$C$5:$C$1004,F37,ABSORCION!$I$5:$I$1004,"&gt;0")=0,"",AVERAGEIFS(ABSORCION!$I$5:$I$1004,ABSORCION!$C$5:$C$1004,F37,ABSORCION!$I$5:$I$1004,"&gt;0")))</f>
        <v/>
      </c>
      <c r="AE37" s="20" t="str">
        <f aca="false">IF(F37="","",IF(COUNTIFS(ABSORCION!$C$5:$C$1004,F37,ABSORCION!$I$5:$I$1004,"&gt;0")=0,"",AVERAGEIFS(ABSORCION!$K$5:$K$1004,ABSORCION!$C$5:$C$1004,F37,ABSORCION!$I$5:$I$1004,"&gt;0")))</f>
        <v/>
      </c>
      <c r="AF37" s="20" t="str">
        <f aca="false">IF(AE37="","",IF(AE37&gt;=CONFIG!$E$21,CONFIG!$F$21,IF(AE37&gt;=CONFIG!$E$20,CONFIG!$F$20,CONFIG!$F$19)))</f>
        <v/>
      </c>
      <c r="AG37" s="21" t="str">
        <f aca="false">IF(F37="","",TRIM(IF(N(M37)=0,"Sin ensayos. ","")&amp;IF(AND(N(M37)&gt;0,N(M37)&lt;CONFIG!$B$26),"Menos de "&amp;CONFIG!$B$26&amp;" probetas. ","")&amp;IF(N(T37)&gt;CONFIG!$B$25,"CV alto. ","")&amp;IF(AND(N(AD37)&gt;0,N(AD37)&gt;N(AF37)),"Absorción alta. ","")))</f>
        <v/>
      </c>
      <c r="AH37" s="22" t="n">
        <f aca="false">IF(AND(N(M37)&gt;0,OR(CONTROL!$C$4="TODAS",C37=CONTROL!$C$4),D37=CONTROL!$C$5),MAX($AH$4:AH36)+1,"")</f>
        <v>26</v>
      </c>
      <c r="AI37" s="22" t="n">
        <f aca="false">IF(AH37="","",P37^2)</f>
        <v>4994.97053534868</v>
      </c>
    </row>
    <row r="38" customFormat="false" ht="15" hidden="false" customHeight="false" outlineLevel="0" collapsed="false">
      <c r="A38" s="11" t="n">
        <f aca="false">IF(B38="","",ROW()-4)</f>
        <v>34</v>
      </c>
      <c r="B38" s="12" t="n">
        <v>45798</v>
      </c>
      <c r="C38" s="13" t="s">
        <v>86</v>
      </c>
      <c r="D38" s="13" t="s">
        <v>87</v>
      </c>
      <c r="E38" s="13"/>
      <c r="F38" s="14" t="str">
        <f aca="false">IF(OR(B38="",C38="",D38=""),"",IFERROR(INDEX(CONFIG!$E$5:$E$14,MATCH(D38,CONFIG!$D$5:$D$14,0)),"?")&amp;RIGHT("0"&amp;DAY(B38),2)&amp;RIGHT("0"&amp;MONTH(B38),2)&amp;RIGHT(YEAR(B38),2)&amp;C38&amp;IF(E38="","","-"&amp;E38))</f>
        <v>6210525P2</v>
      </c>
      <c r="G38" s="13" t="s">
        <v>97</v>
      </c>
      <c r="H38" s="13"/>
      <c r="I38" s="13"/>
      <c r="J38" s="13"/>
      <c r="K38" s="13"/>
      <c r="L38" s="13"/>
      <c r="M38" s="11" t="n">
        <f aca="false">IF(F38="","",COUNTIFS(ENSAYOS!$C$5:$C$3004,F38,ENSAYOS!$Q$5:$Q$3004,"&gt;0"))</f>
        <v>4</v>
      </c>
      <c r="N38" s="15" t="n">
        <f aca="false">IF(N(M38)=0,"",_xlfn.MINIFS(ENSAYOS!$G$5:$G$3004,ENSAYOS!$C$5:$C$3004,F38,ENSAYOS!$Q$5:$Q$3004,"&gt;0"))</f>
        <v>2</v>
      </c>
      <c r="O38" s="15" t="n">
        <f aca="false">IF(N(M38)=0,"",_xlfn.MAXIFS(ENSAYOS!$G$5:$G$3004,ENSAYOS!$C$5:$C$3004,F38,ENSAYOS!$Q$5:$Q$3004,"&gt;0"))</f>
        <v>2</v>
      </c>
      <c r="P38" s="16" t="n">
        <f aca="false">IF(N(M38)=0,"",AVERAGEIFS(ENSAYOS!$Q$5:$Q$3004,ENSAYOS!$C$5:$C$3004,F38,ENSAYOS!$Q$5:$Q$3004,"&gt;0"))</f>
        <v>68.9209951986032</v>
      </c>
      <c r="Q38" s="16" t="n">
        <f aca="false">IF(N(M38)=0,"",_xlfn.MINIFS(ENSAYOS!$Q$5:$Q$3004,ENSAYOS!$C$5:$C$3004,F38,ENSAYOS!$Q$5:$Q$3004,"&gt;0"))</f>
        <v>64.7891750327368</v>
      </c>
      <c r="R38" s="16" t="n">
        <f aca="false">IF(N(M38)=0,"",_xlfn.MAXIFS(ENSAYOS!$Q$5:$Q$3004,ENSAYOS!$C$5:$C$3004,F38,ENSAYOS!$Q$5:$Q$3004,"&gt;0"))</f>
        <v>70.8389349628983</v>
      </c>
      <c r="S38" s="16" t="n">
        <f aca="false">IF(N(M38)&lt;2,"",SQRT(MAX(0,(SUMIFS(ENSAYOS!$X$5:$X$3004,ENSAYOS!$C$5:$C$3004,F38,ENSAYOS!$Q$5:$Q$3004,"&gt;0")-M38*P38^2)/(M38-1))))</f>
        <v>2.78195783940119</v>
      </c>
      <c r="T38" s="17" t="n">
        <f aca="false">IF(S38="","",S38/P38)</f>
        <v>0.0403644467318657</v>
      </c>
      <c r="U38" s="16" t="n">
        <f aca="false">IF(N(M38)=0,"",IF(N38&gt;=CONFIG!$B$27,"",AVERAGEIFS(ENSAYOS!$Q$5:$Q$3004,ENSAYOS!$C$5:$C$3004,F38,ENSAYOS!$Q$5:$Q$3004,"&gt;0",ENSAYOS!$G$5:$G$3004,N38)))</f>
        <v>68.9209951986032</v>
      </c>
      <c r="V38" s="16" t="str">
        <f aca="false">IF(N(M38)=0,"",IF(COUNTIFS(ENSAYOS!$C$5:$C$3004,F38,ENSAYOS!$Q$5:$Q$3004,"&gt;0",ENSAYOS!$G$5:$G$3004,"&gt;="&amp;CONFIG!$B$27)=0,"",AVERAGEIFS(ENSAYOS!$Q$5:$Q$3004,ENSAYOS!$C$5:$C$3004,F38,ENSAYOS!$Q$5:$Q$3004,"&gt;0",ENSAYOS!$G$5:$G$3004,"&gt;="&amp;CONFIG!$B$27)))</f>
        <v/>
      </c>
      <c r="W38" s="18" t="str">
        <f aca="false">IF(AND(U38&lt;&gt;"",V38&lt;&gt;""),U38/V38,"")</f>
        <v/>
      </c>
      <c r="X38" s="18" t="n">
        <f aca="false">IF(U38="","",INDEX('CURVA EDAD'!$E$5:$E$32,MIN(28,MAX(1,N38))))</f>
        <v>0.77</v>
      </c>
      <c r="Y38" s="16" t="n">
        <f aca="false">IF(V38&lt;&gt;"",V38,IF(U38="","",U38/X38))</f>
        <v>89.507785972212</v>
      </c>
      <c r="Z38" s="16" t="n">
        <f aca="false">IF(V38&lt;&gt;"",_xlfn.MINIFS(ENSAYOS!$Q$5:$Q$3004,ENSAYOS!$C$5:$C$3004,F38,ENSAYOS!$Q$5:$Q$3004,"&gt;0",ENSAYOS!$G$5:$G$3004,"&gt;="&amp;CONFIG!$B$27),IF(U38="","",_xlfn.MINIFS(ENSAYOS!$Q$5:$Q$3004,ENSAYOS!$C$5:$C$3004,F38,ENSAYOS!$Q$5:$Q$3004,"&gt;0",ENSAYOS!$G$5:$G$3004,N38)/X38))</f>
        <v>84.141785756801</v>
      </c>
      <c r="AA38" s="16" t="str">
        <f aca="false">IF(D38="","",IFERROR(1/(1/INDEX(CONFIG!$J$5:$J$14,MATCH(D38,CONFIG!$D$5:$D$14,0))),""))</f>
        <v/>
      </c>
      <c r="AB38" s="16" t="str">
        <f aca="false">IF(D38="","",IFERROR(1/(1/INDEX(CONFIG!$K$5:$K$14,MATCH(D38,CONFIG!$D$5:$D$14,0))),""))</f>
        <v/>
      </c>
      <c r="AC38" s="19" t="str">
        <f aca="false">IF(N(M38)=0,"",IF(AA38="","Sin spec",IF(AND(Y38&gt;=AA38,OR(AB38="",Z38&gt;=AB38)),"CUMPLE","NO CUMPLE")&amp;IF(V38=""," (est.)","")))</f>
        <v>Sin spec</v>
      </c>
      <c r="AD38" s="20" t="str">
        <f aca="false">IF(F38="","",IF(COUNTIFS(ABSORCION!$C$5:$C$1004,F38,ABSORCION!$I$5:$I$1004,"&gt;0")=0,"",AVERAGEIFS(ABSORCION!$I$5:$I$1004,ABSORCION!$C$5:$C$1004,F38,ABSORCION!$I$5:$I$1004,"&gt;0")))</f>
        <v/>
      </c>
      <c r="AE38" s="20" t="str">
        <f aca="false">IF(F38="","",IF(COUNTIFS(ABSORCION!$C$5:$C$1004,F38,ABSORCION!$I$5:$I$1004,"&gt;0")=0,"",AVERAGEIFS(ABSORCION!$K$5:$K$1004,ABSORCION!$C$5:$C$1004,F38,ABSORCION!$I$5:$I$1004,"&gt;0")))</f>
        <v/>
      </c>
      <c r="AF38" s="20" t="str">
        <f aca="false">IF(AE38="","",IF(AE38&gt;=CONFIG!$E$21,CONFIG!$F$21,IF(AE38&gt;=CONFIG!$E$20,CONFIG!$F$20,CONFIG!$F$19)))</f>
        <v/>
      </c>
      <c r="AG38" s="21" t="str">
        <f aca="false">IF(F38="","",TRIM(IF(N(M38)=0,"Sin ensayos. ","")&amp;IF(AND(N(M38)&gt;0,N(M38)&lt;CONFIG!$B$26),"Menos de "&amp;CONFIG!$B$26&amp;" probetas. ","")&amp;IF(N(T38)&gt;CONFIG!$B$25,"CV alto. ","")&amp;IF(AND(N(AD38)&gt;0,N(AD38)&gt;N(AF38)),"Absorción alta. ","")))</f>
        <v/>
      </c>
      <c r="AH38" s="22" t="str">
        <f aca="false">IF(AND(N(M38)&gt;0,OR(CONTROL!$C$4="TODAS",C38=CONTROL!$C$4),D38=CONTROL!$C$5),MAX($AH$4:AH37)+1,"")</f>
        <v/>
      </c>
      <c r="AI38" s="22" t="str">
        <f aca="false">IF(AH38="","",P38^2)</f>
        <v/>
      </c>
    </row>
    <row r="39" customFormat="false" ht="15" hidden="false" customHeight="false" outlineLevel="0" collapsed="false">
      <c r="A39" s="11" t="n">
        <f aca="false">IF(B39="","",ROW()-4)</f>
        <v>35</v>
      </c>
      <c r="B39" s="12" t="n">
        <v>45798</v>
      </c>
      <c r="C39" s="13" t="s">
        <v>83</v>
      </c>
      <c r="D39" s="13" t="s">
        <v>84</v>
      </c>
      <c r="E39" s="13"/>
      <c r="F39" s="14" t="str">
        <f aca="false">IF(OR(B39="",C39="",D39=""),"",IFERROR(INDEX(CONFIG!$E$5:$E$14,MATCH(D39,CONFIG!$D$5:$D$14,0)),"?")&amp;RIGHT("0"&amp;DAY(B39),2)&amp;RIGHT("0"&amp;MONTH(B39),2)&amp;RIGHT(YEAR(B39),2)&amp;C39&amp;IF(E39="","","-"&amp;E39))</f>
        <v>8210525P1</v>
      </c>
      <c r="G39" s="13" t="s">
        <v>98</v>
      </c>
      <c r="H39" s="13"/>
      <c r="I39" s="13"/>
      <c r="J39" s="13"/>
      <c r="K39" s="13"/>
      <c r="L39" s="13"/>
      <c r="M39" s="11" t="n">
        <f aca="false">IF(F39="","",COUNTIFS(ENSAYOS!$C$5:$C$3004,F39,ENSAYOS!$Q$5:$Q$3004,"&gt;0"))</f>
        <v>4</v>
      </c>
      <c r="N39" s="15" t="n">
        <f aca="false">IF(N(M39)=0,"",_xlfn.MINIFS(ENSAYOS!$G$5:$G$3004,ENSAYOS!$C$5:$C$3004,F39,ENSAYOS!$Q$5:$Q$3004,"&gt;0"))</f>
        <v>2</v>
      </c>
      <c r="O39" s="15" t="n">
        <f aca="false">IF(N(M39)=0,"",_xlfn.MAXIFS(ENSAYOS!$G$5:$G$3004,ENSAYOS!$C$5:$C$3004,F39,ENSAYOS!$Q$5:$Q$3004,"&gt;0"))</f>
        <v>2</v>
      </c>
      <c r="P39" s="16" t="n">
        <f aca="false">IF(N(M39)=0,"",AVERAGEIFS(ENSAYOS!$Q$5:$Q$3004,ENSAYOS!$C$5:$C$3004,F39,ENSAYOS!$Q$5:$Q$3004,"&gt;0"))</f>
        <v>67.1606621226874</v>
      </c>
      <c r="Q39" s="16" t="n">
        <f aca="false">IF(N(M39)=0,"",_xlfn.MINIFS(ENSAYOS!$Q$5:$Q$3004,ENSAYOS!$C$5:$C$3004,F39,ENSAYOS!$Q$5:$Q$3004,"&gt;0"))</f>
        <v>60.0077896786758</v>
      </c>
      <c r="R39" s="16" t="n">
        <f aca="false">IF(N(M39)=0,"",_xlfn.MAXIFS(ENSAYOS!$Q$5:$Q$3004,ENSAYOS!$C$5:$C$3004,F39,ENSAYOS!$Q$5:$Q$3004,"&gt;0"))</f>
        <v>76.5842259006816</v>
      </c>
      <c r="S39" s="16" t="n">
        <f aca="false">IF(N(M39)&lt;2,"",SQRT(MAX(0,(SUMIFS(ENSAYOS!$X$5:$X$3004,ENSAYOS!$C$5:$C$3004,F39,ENSAYOS!$Q$5:$Q$3004,"&gt;0")-M39*P39^2)/(M39-1))))</f>
        <v>8.00150837238045</v>
      </c>
      <c r="T39" s="17" t="n">
        <f aca="false">IF(S39="","",S39/P39)</f>
        <v>0.119139807730953</v>
      </c>
      <c r="U39" s="16" t="n">
        <f aca="false">IF(N(M39)=0,"",IF(N39&gt;=CONFIG!$B$27,"",AVERAGEIFS(ENSAYOS!$Q$5:$Q$3004,ENSAYOS!$C$5:$C$3004,F39,ENSAYOS!$Q$5:$Q$3004,"&gt;0",ENSAYOS!$G$5:$G$3004,N39)))</f>
        <v>67.1606621226874</v>
      </c>
      <c r="V39" s="16" t="str">
        <f aca="false">IF(N(M39)=0,"",IF(COUNTIFS(ENSAYOS!$C$5:$C$3004,F39,ENSAYOS!$Q$5:$Q$3004,"&gt;0",ENSAYOS!$G$5:$G$3004,"&gt;="&amp;CONFIG!$B$27)=0,"",AVERAGEIFS(ENSAYOS!$Q$5:$Q$3004,ENSAYOS!$C$5:$C$3004,F39,ENSAYOS!$Q$5:$Q$3004,"&gt;0",ENSAYOS!$G$5:$G$3004,"&gt;="&amp;CONFIG!$B$27)))</f>
        <v/>
      </c>
      <c r="W39" s="18" t="str">
        <f aca="false">IF(AND(U39&lt;&gt;"",V39&lt;&gt;""),U39/V39,"")</f>
        <v/>
      </c>
      <c r="X39" s="18" t="n">
        <f aca="false">IF(U39="","",INDEX('CURVA EDAD'!$E$5:$E$32,MIN(28,MAX(1,N39))))</f>
        <v>0.77</v>
      </c>
      <c r="Y39" s="16" t="n">
        <f aca="false">IF(V39&lt;&gt;"",V39,IF(U39="","",U39/X39))</f>
        <v>87.2216391203733</v>
      </c>
      <c r="Z39" s="16" t="n">
        <f aca="false">IF(V39&lt;&gt;"",_xlfn.MINIFS(ENSAYOS!$Q$5:$Q$3004,ENSAYOS!$C$5:$C$3004,F39,ENSAYOS!$Q$5:$Q$3004,"&gt;0",ENSAYOS!$G$5:$G$3004,"&gt;="&amp;CONFIG!$B$27),IF(U39="","",_xlfn.MINIFS(ENSAYOS!$Q$5:$Q$3004,ENSAYOS!$C$5:$C$3004,F39,ENSAYOS!$Q$5:$Q$3004,"&gt;0",ENSAYOS!$G$5:$G$3004,N39)/X39))</f>
        <v>77.9321943878906</v>
      </c>
      <c r="AA39" s="16" t="str">
        <f aca="false">IF(D39="","",IFERROR(1/(1/INDEX(CONFIG!$J$5:$J$14,MATCH(D39,CONFIG!$D$5:$D$14,0))),""))</f>
        <v/>
      </c>
      <c r="AB39" s="16" t="str">
        <f aca="false">IF(D39="","",IFERROR(1/(1/INDEX(CONFIG!$K$5:$K$14,MATCH(D39,CONFIG!$D$5:$D$14,0))),""))</f>
        <v/>
      </c>
      <c r="AC39" s="19" t="str">
        <f aca="false">IF(N(M39)=0,"",IF(AA39="","Sin spec",IF(AND(Y39&gt;=AA39,OR(AB39="",Z39&gt;=AB39)),"CUMPLE","NO CUMPLE")&amp;IF(V39=""," (est.)","")))</f>
        <v>Sin spec</v>
      </c>
      <c r="AD39" s="20" t="str">
        <f aca="false">IF(F39="","",IF(COUNTIFS(ABSORCION!$C$5:$C$1004,F39,ABSORCION!$I$5:$I$1004,"&gt;0")=0,"",AVERAGEIFS(ABSORCION!$I$5:$I$1004,ABSORCION!$C$5:$C$1004,F39,ABSORCION!$I$5:$I$1004,"&gt;0")))</f>
        <v/>
      </c>
      <c r="AE39" s="20" t="str">
        <f aca="false">IF(F39="","",IF(COUNTIFS(ABSORCION!$C$5:$C$1004,F39,ABSORCION!$I$5:$I$1004,"&gt;0")=0,"",AVERAGEIFS(ABSORCION!$K$5:$K$1004,ABSORCION!$C$5:$C$1004,F39,ABSORCION!$I$5:$I$1004,"&gt;0")))</f>
        <v/>
      </c>
      <c r="AF39" s="20" t="str">
        <f aca="false">IF(AE39="","",IF(AE39&gt;=CONFIG!$E$21,CONFIG!$F$21,IF(AE39&gt;=CONFIG!$E$20,CONFIG!$F$20,CONFIG!$F$19)))</f>
        <v/>
      </c>
      <c r="AG39" s="21" t="str">
        <f aca="false">IF(F39="","",TRIM(IF(N(M39)=0,"Sin ensayos. ","")&amp;IF(AND(N(M39)&gt;0,N(M39)&lt;CONFIG!$B$26),"Menos de "&amp;CONFIG!$B$26&amp;" probetas. ","")&amp;IF(N(T39)&gt;CONFIG!$B$25,"CV alto. ","")&amp;IF(AND(N(AD39)&gt;0,N(AD39)&gt;N(AF39)),"Absorción alta. ","")))</f>
        <v/>
      </c>
      <c r="AH39" s="22" t="n">
        <f aca="false">IF(AND(N(M39)&gt;0,OR(CONTROL!$C$4="TODAS",C39=CONTROL!$C$4),D39=CONTROL!$C$5),MAX($AH$4:AH38)+1,"")</f>
        <v>27</v>
      </c>
      <c r="AI39" s="22" t="n">
        <f aca="false">IF(AH39="","",P39^2)</f>
        <v>4510.55453675778</v>
      </c>
    </row>
    <row r="40" customFormat="false" ht="15" hidden="false" customHeight="false" outlineLevel="0" collapsed="false">
      <c r="A40" s="11" t="n">
        <f aca="false">IF(B40="","",ROW()-4)</f>
        <v>36</v>
      </c>
      <c r="B40" s="12" t="n">
        <v>45799</v>
      </c>
      <c r="C40" s="13" t="s">
        <v>83</v>
      </c>
      <c r="D40" s="13" t="s">
        <v>84</v>
      </c>
      <c r="E40" s="13"/>
      <c r="F40" s="14" t="str">
        <f aca="false">IF(OR(B40="",C40="",D40=""),"",IFERROR(INDEX(CONFIG!$E$5:$E$14,MATCH(D40,CONFIG!$D$5:$D$14,0)),"?")&amp;RIGHT("0"&amp;DAY(B40),2)&amp;RIGHT("0"&amp;MONTH(B40),2)&amp;RIGHT(YEAR(B40),2)&amp;C40&amp;IF(E40="","","-"&amp;E40))</f>
        <v>8220525P1</v>
      </c>
      <c r="G40" s="13" t="s">
        <v>99</v>
      </c>
      <c r="H40" s="13"/>
      <c r="I40" s="13"/>
      <c r="J40" s="13"/>
      <c r="K40" s="13"/>
      <c r="L40" s="13"/>
      <c r="M40" s="11" t="n">
        <f aca="false">IF(F40="","",COUNTIFS(ENSAYOS!$C$5:$C$3004,F40,ENSAYOS!$Q$5:$Q$3004,"&gt;0"))</f>
        <v>4</v>
      </c>
      <c r="N40" s="15" t="n">
        <f aca="false">IF(N(M40)=0,"",_xlfn.MINIFS(ENSAYOS!$G$5:$G$3004,ENSAYOS!$C$5:$C$3004,F40,ENSAYOS!$Q$5:$Q$3004,"&gt;0"))</f>
        <v>2</v>
      </c>
      <c r="O40" s="15" t="n">
        <f aca="false">IF(N(M40)=0,"",_xlfn.MAXIFS(ENSAYOS!$G$5:$G$3004,ENSAYOS!$C$5:$C$3004,F40,ENSAYOS!$Q$5:$Q$3004,"&gt;0"))</f>
        <v>2</v>
      </c>
      <c r="P40" s="16" t="n">
        <f aca="false">IF(N(M40)=0,"",AVERAGEIFS(ENSAYOS!$Q$5:$Q$3004,ENSAYOS!$C$5:$C$3004,F40,ENSAYOS!$Q$5:$Q$3004,"&gt;0"))</f>
        <v>67.9529373580007</v>
      </c>
      <c r="Q40" s="16" t="n">
        <f aca="false">IF(N(M40)=0,"",_xlfn.MINIFS(ENSAYOS!$Q$5:$Q$3004,ENSAYOS!$C$5:$C$3004,F40,ENSAYOS!$Q$5:$Q$3004,"&gt;0"))</f>
        <v>56.1090555014606</v>
      </c>
      <c r="R40" s="16" t="n">
        <f aca="false">IF(N(M40)=0,"",_xlfn.MAXIFS(ENSAYOS!$Q$5:$Q$3004,ENSAYOS!$C$5:$C$3004,F40,ENSAYOS!$Q$5:$Q$3004,"&gt;0"))</f>
        <v>74.1642323920805</v>
      </c>
      <c r="S40" s="16" t="n">
        <f aca="false">IF(N(M40)&lt;2,"",SQRT(MAX(0,(SUMIFS(ENSAYOS!$X$5:$X$3004,ENSAYOS!$C$5:$C$3004,F40,ENSAYOS!$Q$5:$Q$3004,"&gt;0")-M40*P40^2)/(M40-1))))</f>
        <v>8.06421217780834</v>
      </c>
      <c r="T40" s="17" t="n">
        <f aca="false">IF(S40="","",S40/P40)</f>
        <v>0.118673489202139</v>
      </c>
      <c r="U40" s="16" t="n">
        <f aca="false">IF(N(M40)=0,"",IF(N40&gt;=CONFIG!$B$27,"",AVERAGEIFS(ENSAYOS!$Q$5:$Q$3004,ENSAYOS!$C$5:$C$3004,F40,ENSAYOS!$Q$5:$Q$3004,"&gt;0",ENSAYOS!$G$5:$G$3004,N40)))</f>
        <v>67.9529373580007</v>
      </c>
      <c r="V40" s="16" t="str">
        <f aca="false">IF(N(M40)=0,"",IF(COUNTIFS(ENSAYOS!$C$5:$C$3004,F40,ENSAYOS!$Q$5:$Q$3004,"&gt;0",ENSAYOS!$G$5:$G$3004,"&gt;="&amp;CONFIG!$B$27)=0,"",AVERAGEIFS(ENSAYOS!$Q$5:$Q$3004,ENSAYOS!$C$5:$C$3004,F40,ENSAYOS!$Q$5:$Q$3004,"&gt;0",ENSAYOS!$G$5:$G$3004,"&gt;="&amp;CONFIG!$B$27)))</f>
        <v/>
      </c>
      <c r="W40" s="18" t="str">
        <f aca="false">IF(AND(U40&lt;&gt;"",V40&lt;&gt;""),U40/V40,"")</f>
        <v/>
      </c>
      <c r="X40" s="18" t="n">
        <f aca="false">IF(U40="","",INDEX('CURVA EDAD'!$E$5:$E$32,MIN(28,MAX(1,N40))))</f>
        <v>0.77</v>
      </c>
      <c r="Y40" s="16" t="n">
        <f aca="false">IF(V40&lt;&gt;"",V40,IF(U40="","",U40/X40))</f>
        <v>88.2505679974035</v>
      </c>
      <c r="Z40" s="16" t="n">
        <f aca="false">IF(V40&lt;&gt;"",_xlfn.MINIFS(ENSAYOS!$Q$5:$Q$3004,ENSAYOS!$C$5:$C$3004,F40,ENSAYOS!$Q$5:$Q$3004,"&gt;0",ENSAYOS!$G$5:$G$3004,"&gt;="&amp;CONFIG!$B$27),IF(U40="","",_xlfn.MINIFS(ENSAYOS!$Q$5:$Q$3004,ENSAYOS!$C$5:$C$3004,F40,ENSAYOS!$Q$5:$Q$3004,"&gt;0",ENSAYOS!$G$5:$G$3004,N40)/X40))</f>
        <v>72.8689032486501</v>
      </c>
      <c r="AA40" s="16" t="str">
        <f aca="false">IF(D40="","",IFERROR(1/(1/INDEX(CONFIG!$J$5:$J$14,MATCH(D40,CONFIG!$D$5:$D$14,0))),""))</f>
        <v/>
      </c>
      <c r="AB40" s="16" t="str">
        <f aca="false">IF(D40="","",IFERROR(1/(1/INDEX(CONFIG!$K$5:$K$14,MATCH(D40,CONFIG!$D$5:$D$14,0))),""))</f>
        <v/>
      </c>
      <c r="AC40" s="19" t="str">
        <f aca="false">IF(N(M40)=0,"",IF(AA40="","Sin spec",IF(AND(Y40&gt;=AA40,OR(AB40="",Z40&gt;=AB40)),"CUMPLE","NO CUMPLE")&amp;IF(V40=""," (est.)","")))</f>
        <v>Sin spec</v>
      </c>
      <c r="AD40" s="20" t="str">
        <f aca="false">IF(F40="","",IF(COUNTIFS(ABSORCION!$C$5:$C$1004,F40,ABSORCION!$I$5:$I$1004,"&gt;0")=0,"",AVERAGEIFS(ABSORCION!$I$5:$I$1004,ABSORCION!$C$5:$C$1004,F40,ABSORCION!$I$5:$I$1004,"&gt;0")))</f>
        <v/>
      </c>
      <c r="AE40" s="20" t="str">
        <f aca="false">IF(F40="","",IF(COUNTIFS(ABSORCION!$C$5:$C$1004,F40,ABSORCION!$I$5:$I$1004,"&gt;0")=0,"",AVERAGEIFS(ABSORCION!$K$5:$K$1004,ABSORCION!$C$5:$C$1004,F40,ABSORCION!$I$5:$I$1004,"&gt;0")))</f>
        <v/>
      </c>
      <c r="AF40" s="20" t="str">
        <f aca="false">IF(AE40="","",IF(AE40&gt;=CONFIG!$E$21,CONFIG!$F$21,IF(AE40&gt;=CONFIG!$E$20,CONFIG!$F$20,CONFIG!$F$19)))</f>
        <v/>
      </c>
      <c r="AG40" s="21" t="str">
        <f aca="false">IF(F40="","",TRIM(IF(N(M40)=0,"Sin ensayos. ","")&amp;IF(AND(N(M40)&gt;0,N(M40)&lt;CONFIG!$B$26),"Menos de "&amp;CONFIG!$B$26&amp;" probetas. ","")&amp;IF(N(T40)&gt;CONFIG!$B$25,"CV alto. ","")&amp;IF(AND(N(AD40)&gt;0,N(AD40)&gt;N(AF40)),"Absorción alta. ","")))</f>
        <v/>
      </c>
      <c r="AH40" s="22" t="n">
        <f aca="false">IF(AND(N(M40)&gt;0,OR(CONTROL!$C$4="TODAS",C40=CONTROL!$C$4),D40=CONTROL!$C$5),MAX($AH$4:AH39)+1,"")</f>
        <v>28</v>
      </c>
      <c r="AI40" s="22" t="n">
        <f aca="false">IF(AH40="","",P40^2)</f>
        <v>4617.60169558036</v>
      </c>
    </row>
    <row r="41" customFormat="false" ht="15" hidden="false" customHeight="false" outlineLevel="0" collapsed="false">
      <c r="A41" s="11" t="n">
        <f aca="false">IF(B41="","",ROW()-4)</f>
        <v>37</v>
      </c>
      <c r="B41" s="12" t="n">
        <v>45801</v>
      </c>
      <c r="C41" s="13" t="s">
        <v>83</v>
      </c>
      <c r="D41" s="13" t="s">
        <v>84</v>
      </c>
      <c r="E41" s="13"/>
      <c r="F41" s="14" t="str">
        <f aca="false">IF(OR(B41="",C41="",D41=""),"",IFERROR(INDEX(CONFIG!$E$5:$E$14,MATCH(D41,CONFIG!$D$5:$D$14,0)),"?")&amp;RIGHT("0"&amp;DAY(B41),2)&amp;RIGHT("0"&amp;MONTH(B41),2)&amp;RIGHT(YEAR(B41),2)&amp;C41&amp;IF(E41="","","-"&amp;E41))</f>
        <v>8240525P1</v>
      </c>
      <c r="G41" s="13" t="s">
        <v>100</v>
      </c>
      <c r="H41" s="13"/>
      <c r="I41" s="13"/>
      <c r="J41" s="13"/>
      <c r="K41" s="13"/>
      <c r="L41" s="13"/>
      <c r="M41" s="11" t="n">
        <f aca="false">IF(F41="","",COUNTIFS(ENSAYOS!$C$5:$C$3004,F41,ENSAYOS!$Q$5:$Q$3004,"&gt;0"))</f>
        <v>4</v>
      </c>
      <c r="N41" s="15" t="n">
        <f aca="false">IF(N(M41)=0,"",_xlfn.MINIFS(ENSAYOS!$G$5:$G$3004,ENSAYOS!$C$5:$C$3004,F41,ENSAYOS!$Q$5:$Q$3004,"&gt;0"))</f>
        <v>3</v>
      </c>
      <c r="O41" s="15" t="n">
        <f aca="false">IF(N(M41)=0,"",_xlfn.MAXIFS(ENSAYOS!$G$5:$G$3004,ENSAYOS!$C$5:$C$3004,F41,ENSAYOS!$Q$5:$Q$3004,"&gt;0"))</f>
        <v>3</v>
      </c>
      <c r="P41" s="16" t="n">
        <f aca="false">IF(N(M41)=0,"",AVERAGEIFS(ENSAYOS!$Q$5:$Q$3004,ENSAYOS!$C$5:$C$3004,F41,ENSAYOS!$Q$5:$Q$3004,"&gt;0"))</f>
        <v>72.7017202207076</v>
      </c>
      <c r="Q41" s="16" t="n">
        <f aca="false">IF(N(M41)=0,"",_xlfn.MINIFS(ENSAYOS!$Q$5:$Q$3004,ENSAYOS!$C$5:$C$3004,F41,ENSAYOS!$Q$5:$Q$3004,"&gt;0"))</f>
        <v>69.0814670561506</v>
      </c>
      <c r="R41" s="16" t="n">
        <f aca="false">IF(N(M41)=0,"",_xlfn.MAXIFS(ENSAYOS!$Q$5:$Q$3004,ENSAYOS!$C$5:$C$3004,F41,ENSAYOS!$Q$5:$Q$3004,"&gt;0"))</f>
        <v>77.5436546575787</v>
      </c>
      <c r="S41" s="16" t="n">
        <f aca="false">IF(N(M41)&lt;2,"",SQRT(MAX(0,(SUMIFS(ENSAYOS!$X$5:$X$3004,ENSAYOS!$C$5:$C$3004,F41,ENSAYOS!$Q$5:$Q$3004,"&gt;0")-M41*P41^2)/(M41-1))))</f>
        <v>3.52599427375692</v>
      </c>
      <c r="T41" s="17" t="n">
        <f aca="false">IF(S41="","",S41/P41)</f>
        <v>0.0484994614027387</v>
      </c>
      <c r="U41" s="16" t="n">
        <f aca="false">IF(N(M41)=0,"",IF(N41&gt;=CONFIG!$B$27,"",AVERAGEIFS(ENSAYOS!$Q$5:$Q$3004,ENSAYOS!$C$5:$C$3004,F41,ENSAYOS!$Q$5:$Q$3004,"&gt;0",ENSAYOS!$G$5:$G$3004,N41)))</f>
        <v>72.7017202207076</v>
      </c>
      <c r="V41" s="16" t="str">
        <f aca="false">IF(N(M41)=0,"",IF(COUNTIFS(ENSAYOS!$C$5:$C$3004,F41,ENSAYOS!$Q$5:$Q$3004,"&gt;0",ENSAYOS!$G$5:$G$3004,"&gt;="&amp;CONFIG!$B$27)=0,"",AVERAGEIFS(ENSAYOS!$Q$5:$Q$3004,ENSAYOS!$C$5:$C$3004,F41,ENSAYOS!$Q$5:$Q$3004,"&gt;0",ENSAYOS!$G$5:$G$3004,"&gt;="&amp;CONFIG!$B$27)))</f>
        <v/>
      </c>
      <c r="W41" s="18" t="str">
        <f aca="false">IF(AND(U41&lt;&gt;"",V41&lt;&gt;""),U41/V41,"")</f>
        <v/>
      </c>
      <c r="X41" s="18" t="n">
        <f aca="false">IF(U41="","",INDEX('CURVA EDAD'!$E$5:$E$32,MIN(28,MAX(1,N41))))</f>
        <v>0.84</v>
      </c>
      <c r="Y41" s="16" t="n">
        <f aca="false">IF(V41&lt;&gt;"",V41,IF(U41="","",U41/X41))</f>
        <v>86.5496669294138</v>
      </c>
      <c r="Z41" s="16" t="n">
        <f aca="false">IF(V41&lt;&gt;"",_xlfn.MINIFS(ENSAYOS!$Q$5:$Q$3004,ENSAYOS!$C$5:$C$3004,F41,ENSAYOS!$Q$5:$Q$3004,"&gt;0",ENSAYOS!$G$5:$G$3004,"&gt;="&amp;CONFIG!$B$27),IF(U41="","",_xlfn.MINIFS(ENSAYOS!$Q$5:$Q$3004,ENSAYOS!$C$5:$C$3004,F41,ENSAYOS!$Q$5:$Q$3004,"&gt;0",ENSAYOS!$G$5:$G$3004,N41)/X41))</f>
        <v>82.2398417335126</v>
      </c>
      <c r="AA41" s="16" t="str">
        <f aca="false">IF(D41="","",IFERROR(1/(1/INDEX(CONFIG!$J$5:$J$14,MATCH(D41,CONFIG!$D$5:$D$14,0))),""))</f>
        <v/>
      </c>
      <c r="AB41" s="16" t="str">
        <f aca="false">IF(D41="","",IFERROR(1/(1/INDEX(CONFIG!$K$5:$K$14,MATCH(D41,CONFIG!$D$5:$D$14,0))),""))</f>
        <v/>
      </c>
      <c r="AC41" s="19" t="str">
        <f aca="false">IF(N(M41)=0,"",IF(AA41="","Sin spec",IF(AND(Y41&gt;=AA41,OR(AB41="",Z41&gt;=AB41)),"CUMPLE","NO CUMPLE")&amp;IF(V41=""," (est.)","")))</f>
        <v>Sin spec</v>
      </c>
      <c r="AD41" s="20" t="str">
        <f aca="false">IF(F41="","",IF(COUNTIFS(ABSORCION!$C$5:$C$1004,F41,ABSORCION!$I$5:$I$1004,"&gt;0")=0,"",AVERAGEIFS(ABSORCION!$I$5:$I$1004,ABSORCION!$C$5:$C$1004,F41,ABSORCION!$I$5:$I$1004,"&gt;0")))</f>
        <v/>
      </c>
      <c r="AE41" s="20" t="str">
        <f aca="false">IF(F41="","",IF(COUNTIFS(ABSORCION!$C$5:$C$1004,F41,ABSORCION!$I$5:$I$1004,"&gt;0")=0,"",AVERAGEIFS(ABSORCION!$K$5:$K$1004,ABSORCION!$C$5:$C$1004,F41,ABSORCION!$I$5:$I$1004,"&gt;0")))</f>
        <v/>
      </c>
      <c r="AF41" s="20" t="str">
        <f aca="false">IF(AE41="","",IF(AE41&gt;=CONFIG!$E$21,CONFIG!$F$21,IF(AE41&gt;=CONFIG!$E$20,CONFIG!$F$20,CONFIG!$F$19)))</f>
        <v/>
      </c>
      <c r="AG41" s="21" t="str">
        <f aca="false">IF(F41="","",TRIM(IF(N(M41)=0,"Sin ensayos. ","")&amp;IF(AND(N(M41)&gt;0,N(M41)&lt;CONFIG!$B$26),"Menos de "&amp;CONFIG!$B$26&amp;" probetas. ","")&amp;IF(N(T41)&gt;CONFIG!$B$25,"CV alto. ","")&amp;IF(AND(N(AD41)&gt;0,N(AD41)&gt;N(AF41)),"Absorción alta. ","")))</f>
        <v/>
      </c>
      <c r="AH41" s="22" t="n">
        <f aca="false">IF(AND(N(M41)&gt;0,OR(CONTROL!$C$4="TODAS",C41=CONTROL!$C$4),D41=CONTROL!$C$5),MAX($AH$4:AH40)+1,"")</f>
        <v>29</v>
      </c>
      <c r="AI41" s="22" t="n">
        <f aca="false">IF(AH41="","",P41^2)</f>
        <v>5285.54012305004</v>
      </c>
    </row>
    <row r="42" customFormat="false" ht="15" hidden="false" customHeight="false" outlineLevel="0" collapsed="false">
      <c r="A42" s="11" t="n">
        <f aca="false">IF(B42="","",ROW()-4)</f>
        <v>38</v>
      </c>
      <c r="B42" s="12" t="n">
        <v>45806</v>
      </c>
      <c r="C42" s="13" t="s">
        <v>83</v>
      </c>
      <c r="D42" s="13" t="s">
        <v>84</v>
      </c>
      <c r="E42" s="13"/>
      <c r="F42" s="14" t="str">
        <f aca="false">IF(OR(B42="",C42="",D42=""),"",IFERROR(INDEX(CONFIG!$E$5:$E$14,MATCH(D42,CONFIG!$D$5:$D$14,0)),"?")&amp;RIGHT("0"&amp;DAY(B42),2)&amp;RIGHT("0"&amp;MONTH(B42),2)&amp;RIGHT(YEAR(B42),2)&amp;C42&amp;IF(E42="","","-"&amp;E42))</f>
        <v>8290525P1</v>
      </c>
      <c r="G42" s="13" t="s">
        <v>101</v>
      </c>
      <c r="H42" s="13"/>
      <c r="I42" s="13"/>
      <c r="J42" s="13"/>
      <c r="K42" s="13"/>
      <c r="L42" s="13"/>
      <c r="M42" s="11" t="n">
        <f aca="false">IF(F42="","",COUNTIFS(ENSAYOS!$C$5:$C$3004,F42,ENSAYOS!$Q$5:$Q$3004,"&gt;0"))</f>
        <v>4</v>
      </c>
      <c r="N42" s="15" t="n">
        <f aca="false">IF(N(M42)=0,"",_xlfn.MINIFS(ENSAYOS!$G$5:$G$3004,ENSAYOS!$C$5:$C$3004,F42,ENSAYOS!$Q$5:$Q$3004,"&gt;0"))</f>
        <v>2</v>
      </c>
      <c r="O42" s="15" t="n">
        <f aca="false">IF(N(M42)=0,"",_xlfn.MAXIFS(ENSAYOS!$G$5:$G$3004,ENSAYOS!$C$5:$C$3004,F42,ENSAYOS!$Q$5:$Q$3004,"&gt;0"))</f>
        <v>2</v>
      </c>
      <c r="P42" s="16" t="n">
        <f aca="false">IF(N(M42)=0,"",AVERAGEIFS(ENSAYOS!$Q$5:$Q$3004,ENSAYOS!$C$5:$C$3004,F42,ENSAYOS!$Q$5:$Q$3004,"&gt;0"))</f>
        <v>73.2736124634859</v>
      </c>
      <c r="Q42" s="16" t="n">
        <f aca="false">IF(N(M42)=0,"",_xlfn.MINIFS(ENSAYOS!$Q$5:$Q$3004,ENSAYOS!$C$5:$C$3004,F42,ENSAYOS!$Q$5:$Q$3004,"&gt;0"))</f>
        <v>66.2966569295683</v>
      </c>
      <c r="R42" s="16" t="n">
        <f aca="false">IF(N(M42)=0,"",_xlfn.MAXIFS(ENSAYOS!$Q$5:$Q$3004,ENSAYOS!$C$5:$C$3004,F42,ENSAYOS!$Q$5:$Q$3004,"&gt;0"))</f>
        <v>78.0863356053229</v>
      </c>
      <c r="S42" s="16" t="n">
        <f aca="false">IF(N(M42)&lt;2,"",SQRT(MAX(0,(SUMIFS(ENSAYOS!$X$5:$X$3004,ENSAYOS!$C$5:$C$3004,F42,ENSAYOS!$Q$5:$Q$3004,"&gt;0")-M42*P42^2)/(M42-1))))</f>
        <v>5.07078864669225</v>
      </c>
      <c r="T42" s="17" t="n">
        <f aca="false">IF(S42="","",S42/P42)</f>
        <v>0.0692034755242776</v>
      </c>
      <c r="U42" s="16" t="n">
        <f aca="false">IF(N(M42)=0,"",IF(N42&gt;=CONFIG!$B$27,"",AVERAGEIFS(ENSAYOS!$Q$5:$Q$3004,ENSAYOS!$C$5:$C$3004,F42,ENSAYOS!$Q$5:$Q$3004,"&gt;0",ENSAYOS!$G$5:$G$3004,N42)))</f>
        <v>73.2736124634859</v>
      </c>
      <c r="V42" s="16" t="str">
        <f aca="false">IF(N(M42)=0,"",IF(COUNTIFS(ENSAYOS!$C$5:$C$3004,F42,ENSAYOS!$Q$5:$Q$3004,"&gt;0",ENSAYOS!$G$5:$G$3004,"&gt;="&amp;CONFIG!$B$27)=0,"",AVERAGEIFS(ENSAYOS!$Q$5:$Q$3004,ENSAYOS!$C$5:$C$3004,F42,ENSAYOS!$Q$5:$Q$3004,"&gt;0",ENSAYOS!$G$5:$G$3004,"&gt;="&amp;CONFIG!$B$27)))</f>
        <v/>
      </c>
      <c r="W42" s="18" t="str">
        <f aca="false">IF(AND(U42&lt;&gt;"",V42&lt;&gt;""),U42/V42,"")</f>
        <v/>
      </c>
      <c r="X42" s="18" t="n">
        <f aca="false">IF(U42="","",INDEX('CURVA EDAD'!$E$5:$E$32,MIN(28,MAX(1,N42))))</f>
        <v>0.77</v>
      </c>
      <c r="Y42" s="16" t="n">
        <f aca="false">IF(V42&lt;&gt;"",V42,IF(U42="","",U42/X42))</f>
        <v>95.1605356668648</v>
      </c>
      <c r="Z42" s="16" t="n">
        <f aca="false">IF(V42&lt;&gt;"",_xlfn.MINIFS(ENSAYOS!$Q$5:$Q$3004,ENSAYOS!$C$5:$C$3004,F42,ENSAYOS!$Q$5:$Q$3004,"&gt;0",ENSAYOS!$G$5:$G$3004,"&gt;="&amp;CONFIG!$B$27),IF(U42="","",_xlfn.MINIFS(ENSAYOS!$Q$5:$Q$3004,ENSAYOS!$C$5:$C$3004,F42,ENSAYOS!$Q$5:$Q$3004,"&gt;0",ENSAYOS!$G$5:$G$3004,N42)/X42))</f>
        <v>86.0995544539848</v>
      </c>
      <c r="AA42" s="16" t="str">
        <f aca="false">IF(D42="","",IFERROR(1/(1/INDEX(CONFIG!$J$5:$J$14,MATCH(D42,CONFIG!$D$5:$D$14,0))),""))</f>
        <v/>
      </c>
      <c r="AB42" s="16" t="str">
        <f aca="false">IF(D42="","",IFERROR(1/(1/INDEX(CONFIG!$K$5:$K$14,MATCH(D42,CONFIG!$D$5:$D$14,0))),""))</f>
        <v/>
      </c>
      <c r="AC42" s="19" t="str">
        <f aca="false">IF(N(M42)=0,"",IF(AA42="","Sin spec",IF(AND(Y42&gt;=AA42,OR(AB42="",Z42&gt;=AB42)),"CUMPLE","NO CUMPLE")&amp;IF(V42=""," (est.)","")))</f>
        <v>Sin spec</v>
      </c>
      <c r="AD42" s="20" t="str">
        <f aca="false">IF(F42="","",IF(COUNTIFS(ABSORCION!$C$5:$C$1004,F42,ABSORCION!$I$5:$I$1004,"&gt;0")=0,"",AVERAGEIFS(ABSORCION!$I$5:$I$1004,ABSORCION!$C$5:$C$1004,F42,ABSORCION!$I$5:$I$1004,"&gt;0")))</f>
        <v/>
      </c>
      <c r="AE42" s="20" t="str">
        <f aca="false">IF(F42="","",IF(COUNTIFS(ABSORCION!$C$5:$C$1004,F42,ABSORCION!$I$5:$I$1004,"&gt;0")=0,"",AVERAGEIFS(ABSORCION!$K$5:$K$1004,ABSORCION!$C$5:$C$1004,F42,ABSORCION!$I$5:$I$1004,"&gt;0")))</f>
        <v/>
      </c>
      <c r="AF42" s="20" t="str">
        <f aca="false">IF(AE42="","",IF(AE42&gt;=CONFIG!$E$21,CONFIG!$F$21,IF(AE42&gt;=CONFIG!$E$20,CONFIG!$F$20,CONFIG!$F$19)))</f>
        <v/>
      </c>
      <c r="AG42" s="21" t="str">
        <f aca="false">IF(F42="","",TRIM(IF(N(M42)=0,"Sin ensayos. ","")&amp;IF(AND(N(M42)&gt;0,N(M42)&lt;CONFIG!$B$26),"Menos de "&amp;CONFIG!$B$26&amp;" probetas. ","")&amp;IF(N(T42)&gt;CONFIG!$B$25,"CV alto. ","")&amp;IF(AND(N(AD42)&gt;0,N(AD42)&gt;N(AF42)),"Absorción alta. ","")))</f>
        <v/>
      </c>
      <c r="AH42" s="22" t="n">
        <f aca="false">IF(AND(N(M42)&gt;0,OR(CONTROL!$C$4="TODAS",C42=CONTROL!$C$4),D42=CONTROL!$C$5),MAX($AH$4:AH41)+1,"")</f>
        <v>30</v>
      </c>
      <c r="AI42" s="22" t="n">
        <f aca="false">IF(AH42="","",P42^2)</f>
        <v>5369.02228344911</v>
      </c>
    </row>
    <row r="43" customFormat="false" ht="15" hidden="false" customHeight="false" outlineLevel="0" collapsed="false">
      <c r="A43" s="11" t="n">
        <f aca="false">IF(B43="","",ROW()-4)</f>
        <v>39</v>
      </c>
      <c r="B43" s="12" t="n">
        <v>45813</v>
      </c>
      <c r="C43" s="13" t="s">
        <v>86</v>
      </c>
      <c r="D43" s="13" t="s">
        <v>84</v>
      </c>
      <c r="E43" s="13"/>
      <c r="F43" s="14" t="str">
        <f aca="false">IF(OR(B43="",C43="",D43=""),"",IFERROR(INDEX(CONFIG!$E$5:$E$14,MATCH(D43,CONFIG!$D$5:$D$14,0)),"?")&amp;RIGHT("0"&amp;DAY(B43),2)&amp;RIGHT("0"&amp;MONTH(B43),2)&amp;RIGHT(YEAR(B43),2)&amp;C43&amp;IF(E43="","","-"&amp;E43))</f>
        <v>8050625P2</v>
      </c>
      <c r="G43" s="13" t="s">
        <v>102</v>
      </c>
      <c r="H43" s="13"/>
      <c r="I43" s="13"/>
      <c r="J43" s="13"/>
      <c r="K43" s="13"/>
      <c r="L43" s="13"/>
      <c r="M43" s="11" t="n">
        <f aca="false">IF(F43="","",COUNTIFS(ENSAYOS!$C$5:$C$3004,F43,ENSAYOS!$Q$5:$Q$3004,"&gt;0"))</f>
        <v>12</v>
      </c>
      <c r="N43" s="15" t="n">
        <f aca="false">IF(N(M43)=0,"",_xlfn.MINIFS(ENSAYOS!$G$5:$G$3004,ENSAYOS!$C$5:$C$3004,F43,ENSAYOS!$Q$5:$Q$3004,"&gt;0"))</f>
        <v>0</v>
      </c>
      <c r="O43" s="15" t="n">
        <f aca="false">IF(N(M43)=0,"",_xlfn.MAXIFS(ENSAYOS!$G$5:$G$3004,ENSAYOS!$C$5:$C$3004,F43,ENSAYOS!$Q$5:$Q$3004,"&gt;0"))</f>
        <v>2</v>
      </c>
      <c r="P43" s="16" t="n">
        <f aca="false">IF(N(M43)=0,"",AVERAGEIFS(ENSAYOS!$Q$5:$Q$3004,ENSAYOS!$C$5:$C$3004,F43,ENSAYOS!$Q$5:$Q$3004,"&gt;0"))</f>
        <v>62.6958779617007</v>
      </c>
      <c r="Q43" s="16" t="n">
        <f aca="false">IF(N(M43)=0,"",_xlfn.MINIFS(ENSAYOS!$Q$5:$Q$3004,ENSAYOS!$C$5:$C$3004,F43,ENSAYOS!$Q$5:$Q$3004,"&gt;0"))</f>
        <v>58.4991885751379</v>
      </c>
      <c r="R43" s="16" t="n">
        <f aca="false">IF(N(M43)=0,"",_xlfn.MAXIFS(ENSAYOS!$Q$5:$Q$3004,ENSAYOS!$C$5:$C$3004,F43,ENSAYOS!$Q$5:$Q$3004,"&gt;0"))</f>
        <v>68.5582603050957</v>
      </c>
      <c r="S43" s="16" t="n">
        <f aca="false">IF(N(M43)&lt;2,"",SQRT(MAX(0,(SUMIFS(ENSAYOS!$X$5:$X$3004,ENSAYOS!$C$5:$C$3004,F43,ENSAYOS!$Q$5:$Q$3004,"&gt;0")-M43*P43^2)/(M43-1))))</f>
        <v>2.89000803593482</v>
      </c>
      <c r="T43" s="17" t="n">
        <f aca="false">IF(S43="","",S43/P43)</f>
        <v>0.0460956625840736</v>
      </c>
      <c r="U43" s="16" t="n">
        <f aca="false">IF(N(M43)=0,"",IF(N43&gt;=CONFIG!$B$27,"",AVERAGEIFS(ENSAYOS!$Q$5:$Q$3004,ENSAYOS!$C$5:$C$3004,F43,ENSAYOS!$Q$5:$Q$3004,"&gt;0",ENSAYOS!$G$5:$G$3004,N43)))</f>
        <v>63.4728984096073</v>
      </c>
      <c r="V43" s="16" t="str">
        <f aca="false">IF(N(M43)=0,"",IF(COUNTIFS(ENSAYOS!$C$5:$C$3004,F43,ENSAYOS!$Q$5:$Q$3004,"&gt;0",ENSAYOS!$G$5:$G$3004,"&gt;="&amp;CONFIG!$B$27)=0,"",AVERAGEIFS(ENSAYOS!$Q$5:$Q$3004,ENSAYOS!$C$5:$C$3004,F43,ENSAYOS!$Q$5:$Q$3004,"&gt;0",ENSAYOS!$G$5:$G$3004,"&gt;="&amp;CONFIG!$B$27)))</f>
        <v/>
      </c>
      <c r="W43" s="18" t="str">
        <f aca="false">IF(AND(U43&lt;&gt;"",V43&lt;&gt;""),U43/V43,"")</f>
        <v/>
      </c>
      <c r="X43" s="18" t="n">
        <f aca="false">IF(U43="","",INDEX('CURVA EDAD'!$E$5:$E$32,MIN(28,MAX(1,N43))))</f>
        <v>0.7</v>
      </c>
      <c r="Y43" s="16" t="n">
        <f aca="false">IF(V43&lt;&gt;"",V43,IF(U43="","",U43/X43))</f>
        <v>90.6755691565818</v>
      </c>
      <c r="Z43" s="16" t="n">
        <f aca="false">IF(V43&lt;&gt;"",_xlfn.MINIFS(ENSAYOS!$Q$5:$Q$3004,ENSAYOS!$C$5:$C$3004,F43,ENSAYOS!$Q$5:$Q$3004,"&gt;0",ENSAYOS!$G$5:$G$3004,"&gt;="&amp;CONFIG!$B$27),IF(U43="","",_xlfn.MINIFS(ENSAYOS!$Q$5:$Q$3004,ENSAYOS!$C$5:$C$3004,F43,ENSAYOS!$Q$5:$Q$3004,"&gt;0",ENSAYOS!$G$5:$G$3004,N43)/X43))</f>
        <v>83.5702693930542</v>
      </c>
      <c r="AA43" s="16" t="str">
        <f aca="false">IF(D43="","",IFERROR(1/(1/INDEX(CONFIG!$J$5:$J$14,MATCH(D43,CONFIG!$D$5:$D$14,0))),""))</f>
        <v/>
      </c>
      <c r="AB43" s="16" t="str">
        <f aca="false">IF(D43="","",IFERROR(1/(1/INDEX(CONFIG!$K$5:$K$14,MATCH(D43,CONFIG!$D$5:$D$14,0))),""))</f>
        <v/>
      </c>
      <c r="AC43" s="19" t="str">
        <f aca="false">IF(N(M43)=0,"",IF(AA43="","Sin spec",IF(AND(Y43&gt;=AA43,OR(AB43="",Z43&gt;=AB43)),"CUMPLE","NO CUMPLE")&amp;IF(V43=""," (est.)","")))</f>
        <v>Sin spec</v>
      </c>
      <c r="AD43" s="20" t="str">
        <f aca="false">IF(F43="","",IF(COUNTIFS(ABSORCION!$C$5:$C$1004,F43,ABSORCION!$I$5:$I$1004,"&gt;0")=0,"",AVERAGEIFS(ABSORCION!$I$5:$I$1004,ABSORCION!$C$5:$C$1004,F43,ABSORCION!$I$5:$I$1004,"&gt;0")))</f>
        <v/>
      </c>
      <c r="AE43" s="20" t="str">
        <f aca="false">IF(F43="","",IF(COUNTIFS(ABSORCION!$C$5:$C$1004,F43,ABSORCION!$I$5:$I$1004,"&gt;0")=0,"",AVERAGEIFS(ABSORCION!$K$5:$K$1004,ABSORCION!$C$5:$C$1004,F43,ABSORCION!$I$5:$I$1004,"&gt;0")))</f>
        <v/>
      </c>
      <c r="AF43" s="20" t="str">
        <f aca="false">IF(AE43="","",IF(AE43&gt;=CONFIG!$E$21,CONFIG!$F$21,IF(AE43&gt;=CONFIG!$E$20,CONFIG!$F$20,CONFIG!$F$19)))</f>
        <v/>
      </c>
      <c r="AG43" s="21" t="str">
        <f aca="false">IF(F43="","",TRIM(IF(N(M43)=0,"Sin ensayos. ","")&amp;IF(AND(N(M43)&gt;0,N(M43)&lt;CONFIG!$B$26),"Menos de "&amp;CONFIG!$B$26&amp;" probetas. ","")&amp;IF(N(T43)&gt;CONFIG!$B$25,"CV alto. ","")&amp;IF(AND(N(AD43)&gt;0,N(AD43)&gt;N(AF43)),"Absorción alta. ","")))</f>
        <v/>
      </c>
      <c r="AH43" s="22" t="n">
        <f aca="false">IF(AND(N(M43)&gt;0,OR(CONTROL!$C$4="TODAS",C43=CONTROL!$C$4),D43=CONTROL!$C$5),MAX($AH$4:AH42)+1,"")</f>
        <v>31</v>
      </c>
      <c r="AI43" s="22" t="n">
        <f aca="false">IF(AH43="","",P43^2)</f>
        <v>3930.77311338847</v>
      </c>
    </row>
    <row r="44" customFormat="false" ht="15" hidden="false" customHeight="false" outlineLevel="0" collapsed="false">
      <c r="A44" s="11" t="n">
        <f aca="false">IF(B44="","",ROW()-4)</f>
        <v>40</v>
      </c>
      <c r="B44" s="12" t="n">
        <v>45815</v>
      </c>
      <c r="C44" s="13" t="s">
        <v>86</v>
      </c>
      <c r="D44" s="13" t="s">
        <v>84</v>
      </c>
      <c r="E44" s="13"/>
      <c r="F44" s="14" t="str">
        <f aca="false">IF(OR(B44="",C44="",D44=""),"",IFERROR(INDEX(CONFIG!$E$5:$E$14,MATCH(D44,CONFIG!$D$5:$D$14,0)),"?")&amp;RIGHT("0"&amp;DAY(B44),2)&amp;RIGHT("0"&amp;MONTH(B44),2)&amp;RIGHT(YEAR(B44),2)&amp;C44&amp;IF(E44="","","-"&amp;E44))</f>
        <v>8070625P2</v>
      </c>
      <c r="G44" s="13" t="s">
        <v>103</v>
      </c>
      <c r="H44" s="13"/>
      <c r="I44" s="13"/>
      <c r="J44" s="13"/>
      <c r="K44" s="13"/>
      <c r="L44" s="13"/>
      <c r="M44" s="11" t="n">
        <f aca="false">IF(F44="","",COUNTIFS(ENSAYOS!$C$5:$C$3004,F44,ENSAYOS!$Q$5:$Q$3004,"&gt;0"))</f>
        <v>4</v>
      </c>
      <c r="N44" s="15" t="n">
        <f aca="false">IF(N(M44)=0,"",_xlfn.MINIFS(ENSAYOS!$G$5:$G$3004,ENSAYOS!$C$5:$C$3004,F44,ENSAYOS!$Q$5:$Q$3004,"&gt;0"))</f>
        <v>3</v>
      </c>
      <c r="O44" s="15" t="n">
        <f aca="false">IF(N(M44)=0,"",_xlfn.MAXIFS(ENSAYOS!$G$5:$G$3004,ENSAYOS!$C$5:$C$3004,F44,ENSAYOS!$Q$5:$Q$3004,"&gt;0"))</f>
        <v>3</v>
      </c>
      <c r="P44" s="16" t="n">
        <f aca="false">IF(N(M44)=0,"",AVERAGEIFS(ENSAYOS!$Q$5:$Q$3004,ENSAYOS!$C$5:$C$3004,F44,ENSAYOS!$Q$5:$Q$3004,"&gt;0"))</f>
        <v>68.6553067185979</v>
      </c>
      <c r="Q44" s="16" t="n">
        <f aca="false">IF(N(M44)=0,"",_xlfn.MINIFS(ENSAYOS!$Q$5:$Q$3004,ENSAYOS!$C$5:$C$3004,F44,ENSAYOS!$Q$5:$Q$3004,"&gt;0"))</f>
        <v>61.4618630314833</v>
      </c>
      <c r="R44" s="16" t="n">
        <f aca="false">IF(N(M44)=0,"",_xlfn.MAXIFS(ENSAYOS!$Q$5:$Q$3004,ENSAYOS!$C$5:$C$3004,F44,ENSAYOS!$Q$5:$Q$3004,"&gt;0"))</f>
        <v>73.0632911392405</v>
      </c>
      <c r="S44" s="16" t="n">
        <f aca="false">IF(N(M44)&lt;2,"",SQRT(MAX(0,(SUMIFS(ENSAYOS!$X$5:$X$3004,ENSAYOS!$C$5:$C$3004,F44,ENSAYOS!$Q$5:$Q$3004,"&gt;0")-M44*P44^2)/(M44-1))))</f>
        <v>5.01774205010012</v>
      </c>
      <c r="T44" s="17" t="n">
        <f aca="false">IF(S44="","",S44/P44)</f>
        <v>0.0730860044172067</v>
      </c>
      <c r="U44" s="16" t="n">
        <f aca="false">IF(N(M44)=0,"",IF(N44&gt;=CONFIG!$B$27,"",AVERAGEIFS(ENSAYOS!$Q$5:$Q$3004,ENSAYOS!$C$5:$C$3004,F44,ENSAYOS!$Q$5:$Q$3004,"&gt;0",ENSAYOS!$G$5:$G$3004,N44)))</f>
        <v>68.6553067185979</v>
      </c>
      <c r="V44" s="16" t="str">
        <f aca="false">IF(N(M44)=0,"",IF(COUNTIFS(ENSAYOS!$C$5:$C$3004,F44,ENSAYOS!$Q$5:$Q$3004,"&gt;0",ENSAYOS!$G$5:$G$3004,"&gt;="&amp;CONFIG!$B$27)=0,"",AVERAGEIFS(ENSAYOS!$Q$5:$Q$3004,ENSAYOS!$C$5:$C$3004,F44,ENSAYOS!$Q$5:$Q$3004,"&gt;0",ENSAYOS!$G$5:$G$3004,"&gt;="&amp;CONFIG!$B$27)))</f>
        <v/>
      </c>
      <c r="W44" s="18" t="str">
        <f aca="false">IF(AND(U44&lt;&gt;"",V44&lt;&gt;""),U44/V44,"")</f>
        <v/>
      </c>
      <c r="X44" s="18" t="n">
        <f aca="false">IF(U44="","",INDEX('CURVA EDAD'!$E$5:$E$32,MIN(28,MAX(1,N44))))</f>
        <v>0.84</v>
      </c>
      <c r="Y44" s="16" t="n">
        <f aca="false">IF(V44&lt;&gt;"",V44,IF(U44="","",U44/X44))</f>
        <v>81.7325079983308</v>
      </c>
      <c r="Z44" s="16" t="n">
        <f aca="false">IF(V44&lt;&gt;"",_xlfn.MINIFS(ENSAYOS!$Q$5:$Q$3004,ENSAYOS!$C$5:$C$3004,F44,ENSAYOS!$Q$5:$Q$3004,"&gt;0",ENSAYOS!$G$5:$G$3004,"&gt;="&amp;CONFIG!$B$27),IF(U44="","",_xlfn.MINIFS(ENSAYOS!$Q$5:$Q$3004,ENSAYOS!$C$5:$C$3004,F44,ENSAYOS!$Q$5:$Q$3004,"&gt;0",ENSAYOS!$G$5:$G$3004,N44)/X44))</f>
        <v>73.1688845612896</v>
      </c>
      <c r="AA44" s="16" t="str">
        <f aca="false">IF(D44="","",IFERROR(1/(1/INDEX(CONFIG!$J$5:$J$14,MATCH(D44,CONFIG!$D$5:$D$14,0))),""))</f>
        <v/>
      </c>
      <c r="AB44" s="16" t="str">
        <f aca="false">IF(D44="","",IFERROR(1/(1/INDEX(CONFIG!$K$5:$K$14,MATCH(D44,CONFIG!$D$5:$D$14,0))),""))</f>
        <v/>
      </c>
      <c r="AC44" s="19" t="str">
        <f aca="false">IF(N(M44)=0,"",IF(AA44="","Sin spec",IF(AND(Y44&gt;=AA44,OR(AB44="",Z44&gt;=AB44)),"CUMPLE","NO CUMPLE")&amp;IF(V44=""," (est.)","")))</f>
        <v>Sin spec</v>
      </c>
      <c r="AD44" s="20" t="str">
        <f aca="false">IF(F44="","",IF(COUNTIFS(ABSORCION!$C$5:$C$1004,F44,ABSORCION!$I$5:$I$1004,"&gt;0")=0,"",AVERAGEIFS(ABSORCION!$I$5:$I$1004,ABSORCION!$C$5:$C$1004,F44,ABSORCION!$I$5:$I$1004,"&gt;0")))</f>
        <v/>
      </c>
      <c r="AE44" s="20" t="str">
        <f aca="false">IF(F44="","",IF(COUNTIFS(ABSORCION!$C$5:$C$1004,F44,ABSORCION!$I$5:$I$1004,"&gt;0")=0,"",AVERAGEIFS(ABSORCION!$K$5:$K$1004,ABSORCION!$C$5:$C$1004,F44,ABSORCION!$I$5:$I$1004,"&gt;0")))</f>
        <v/>
      </c>
      <c r="AF44" s="20" t="str">
        <f aca="false">IF(AE44="","",IF(AE44&gt;=CONFIG!$E$21,CONFIG!$F$21,IF(AE44&gt;=CONFIG!$E$20,CONFIG!$F$20,CONFIG!$F$19)))</f>
        <v/>
      </c>
      <c r="AG44" s="21" t="str">
        <f aca="false">IF(F44="","",TRIM(IF(N(M44)=0,"Sin ensayos. ","")&amp;IF(AND(N(M44)&gt;0,N(M44)&lt;CONFIG!$B$26),"Menos de "&amp;CONFIG!$B$26&amp;" probetas. ","")&amp;IF(N(T44)&gt;CONFIG!$B$25,"CV alto. ","")&amp;IF(AND(N(AD44)&gt;0,N(AD44)&gt;N(AF44)),"Absorción alta. ","")))</f>
        <v/>
      </c>
      <c r="AH44" s="22" t="n">
        <f aca="false">IF(AND(N(M44)&gt;0,OR(CONTROL!$C$4="TODAS",C44=CONTROL!$C$4),D44=CONTROL!$C$5),MAX($AH$4:AH43)+1,"")</f>
        <v>32</v>
      </c>
      <c r="AI44" s="22" t="n">
        <f aca="false">IF(AH44="","",P44^2)</f>
        <v>4713.55114062475</v>
      </c>
    </row>
    <row r="45" customFormat="false" ht="15" hidden="false" customHeight="false" outlineLevel="0" collapsed="false">
      <c r="A45" s="11" t="n">
        <f aca="false">IF(B45="","",ROW()-4)</f>
        <v>41</v>
      </c>
      <c r="B45" s="12" t="n">
        <v>45954</v>
      </c>
      <c r="C45" s="13" t="s">
        <v>104</v>
      </c>
      <c r="D45" s="13" t="s">
        <v>87</v>
      </c>
      <c r="E45" s="13"/>
      <c r="F45" s="14" t="str">
        <f aca="false">IF(OR(B45="",C45="",D45=""),"",IFERROR(INDEX(CONFIG!$E$5:$E$14,MATCH(D45,CONFIG!$D$5:$D$14,0)),"?")&amp;RIGHT("0"&amp;DAY(B45),2)&amp;RIGHT("0"&amp;MONTH(B45),2)&amp;RIGHT(YEAR(B45),2)&amp;C45&amp;IF(E45="","","-"&amp;E45))</f>
        <v>6241025P3</v>
      </c>
      <c r="G45" s="13" t="s">
        <v>105</v>
      </c>
      <c r="H45" s="13"/>
      <c r="I45" s="13"/>
      <c r="J45" s="13"/>
      <c r="K45" s="13"/>
      <c r="L45" s="13"/>
      <c r="M45" s="11" t="n">
        <f aca="false">IF(F45="","",COUNTIFS(ENSAYOS!$C$5:$C$3004,F45,ENSAYOS!$Q$5:$Q$3004,"&gt;0"))</f>
        <v>4</v>
      </c>
      <c r="N45" s="15" t="n">
        <f aca="false">IF(N(M45)=0,"",_xlfn.MINIFS(ENSAYOS!$G$5:$G$3004,ENSAYOS!$C$5:$C$3004,F45,ENSAYOS!$Q$5:$Q$3004,"&gt;0"))</f>
        <v>3</v>
      </c>
      <c r="O45" s="15" t="n">
        <f aca="false">IF(N(M45)=0,"",_xlfn.MAXIFS(ENSAYOS!$G$5:$G$3004,ENSAYOS!$C$5:$C$3004,F45,ENSAYOS!$Q$5:$Q$3004,"&gt;0"))</f>
        <v>3</v>
      </c>
      <c r="P45" s="16" t="n">
        <f aca="false">IF(N(M45)=0,"",AVERAGEIFS(ENSAYOS!$Q$5:$Q$3004,ENSAYOS!$C$5:$C$3004,F45,ENSAYOS!$Q$5:$Q$3004,"&gt;0"))</f>
        <v>88.0226975120035</v>
      </c>
      <c r="Q45" s="16" t="n">
        <f aca="false">IF(N(M45)=0,"",_xlfn.MINIFS(ENSAYOS!$Q$5:$Q$3004,ENSAYOS!$C$5:$C$3004,F45,ENSAYOS!$Q$5:$Q$3004,"&gt;0"))</f>
        <v>69.6516804888695</v>
      </c>
      <c r="R45" s="16" t="n">
        <f aca="false">IF(N(M45)=0,"",_xlfn.MAXIFS(ENSAYOS!$Q$5:$Q$3004,ENSAYOS!$C$5:$C$3004,F45,ENSAYOS!$Q$5:$Q$3004,"&gt;0"))</f>
        <v>98.9611523352248</v>
      </c>
      <c r="S45" s="16" t="n">
        <f aca="false">IF(N(M45)&lt;2,"",SQRT(MAX(0,(SUMIFS(ENSAYOS!$X$5:$X$3004,ENSAYOS!$C$5:$C$3004,F45,ENSAYOS!$Q$5:$Q$3004,"&gt;0")-M45*P45^2)/(M45-1))))</f>
        <v>12.7268988852093</v>
      </c>
      <c r="T45" s="17" t="n">
        <f aca="false">IF(S45="","",S45/P45)</f>
        <v>0.144586558296214</v>
      </c>
      <c r="U45" s="16" t="n">
        <f aca="false">IF(N(M45)=0,"",IF(N45&gt;=CONFIG!$B$27,"",AVERAGEIFS(ENSAYOS!$Q$5:$Q$3004,ENSAYOS!$C$5:$C$3004,F45,ENSAYOS!$Q$5:$Q$3004,"&gt;0",ENSAYOS!$G$5:$G$3004,N45)))</f>
        <v>88.0226975120035</v>
      </c>
      <c r="V45" s="16" t="str">
        <f aca="false">IF(N(M45)=0,"",IF(COUNTIFS(ENSAYOS!$C$5:$C$3004,F45,ENSAYOS!$Q$5:$Q$3004,"&gt;0",ENSAYOS!$G$5:$G$3004,"&gt;="&amp;CONFIG!$B$27)=0,"",AVERAGEIFS(ENSAYOS!$Q$5:$Q$3004,ENSAYOS!$C$5:$C$3004,F45,ENSAYOS!$Q$5:$Q$3004,"&gt;0",ENSAYOS!$G$5:$G$3004,"&gt;="&amp;CONFIG!$B$27)))</f>
        <v/>
      </c>
      <c r="W45" s="18" t="str">
        <f aca="false">IF(AND(U45&lt;&gt;"",V45&lt;&gt;""),U45/V45,"")</f>
        <v/>
      </c>
      <c r="X45" s="18" t="n">
        <f aca="false">IF(U45="","",INDEX('CURVA EDAD'!$E$5:$E$32,MIN(28,MAX(1,N45))))</f>
        <v>0.84</v>
      </c>
      <c r="Y45" s="16" t="n">
        <f aca="false">IF(V45&lt;&gt;"",V45,IF(U45="","",U45/X45))</f>
        <v>104.788925609528</v>
      </c>
      <c r="Z45" s="16" t="n">
        <f aca="false">IF(V45&lt;&gt;"",_xlfn.MINIFS(ENSAYOS!$Q$5:$Q$3004,ENSAYOS!$C$5:$C$3004,F45,ENSAYOS!$Q$5:$Q$3004,"&gt;0",ENSAYOS!$G$5:$G$3004,"&gt;="&amp;CONFIG!$B$27),IF(U45="","",_xlfn.MINIFS(ENSAYOS!$Q$5:$Q$3004,ENSAYOS!$C$5:$C$3004,F45,ENSAYOS!$Q$5:$Q$3004,"&gt;0",ENSAYOS!$G$5:$G$3004,N45)/X45))</f>
        <v>82.9186672486542</v>
      </c>
      <c r="AA45" s="16" t="str">
        <f aca="false">IF(D45="","",IFERROR(1/(1/INDEX(CONFIG!$J$5:$J$14,MATCH(D45,CONFIG!$D$5:$D$14,0))),""))</f>
        <v/>
      </c>
      <c r="AB45" s="16" t="str">
        <f aca="false">IF(D45="","",IFERROR(1/(1/INDEX(CONFIG!$K$5:$K$14,MATCH(D45,CONFIG!$D$5:$D$14,0))),""))</f>
        <v/>
      </c>
      <c r="AC45" s="19" t="str">
        <f aca="false">IF(N(M45)=0,"",IF(AA45="","Sin spec",IF(AND(Y45&gt;=AA45,OR(AB45="",Z45&gt;=AB45)),"CUMPLE","NO CUMPLE")&amp;IF(V45=""," (est.)","")))</f>
        <v>Sin spec</v>
      </c>
      <c r="AD45" s="20" t="str">
        <f aca="false">IF(F45="","",IF(COUNTIFS(ABSORCION!$C$5:$C$1004,F45,ABSORCION!$I$5:$I$1004,"&gt;0")=0,"",AVERAGEIFS(ABSORCION!$I$5:$I$1004,ABSORCION!$C$5:$C$1004,F45,ABSORCION!$I$5:$I$1004,"&gt;0")))</f>
        <v/>
      </c>
      <c r="AE45" s="20" t="str">
        <f aca="false">IF(F45="","",IF(COUNTIFS(ABSORCION!$C$5:$C$1004,F45,ABSORCION!$I$5:$I$1004,"&gt;0")=0,"",AVERAGEIFS(ABSORCION!$K$5:$K$1004,ABSORCION!$C$5:$C$1004,F45,ABSORCION!$I$5:$I$1004,"&gt;0")))</f>
        <v/>
      </c>
      <c r="AF45" s="20" t="str">
        <f aca="false">IF(AE45="","",IF(AE45&gt;=CONFIG!$E$21,CONFIG!$F$21,IF(AE45&gt;=CONFIG!$E$20,CONFIG!$F$20,CONFIG!$F$19)))</f>
        <v/>
      </c>
      <c r="AG45" s="21" t="str">
        <f aca="false">IF(F45="","",TRIM(IF(N(M45)=0,"Sin ensayos. ","")&amp;IF(AND(N(M45)&gt;0,N(M45)&lt;CONFIG!$B$26),"Menos de "&amp;CONFIG!$B$26&amp;" probetas. ","")&amp;IF(N(T45)&gt;CONFIG!$B$25,"CV alto. ","")&amp;IF(AND(N(AD45)&gt;0,N(AD45)&gt;N(AF45)),"Absorción alta. ","")))</f>
        <v/>
      </c>
      <c r="AH45" s="22" t="str">
        <f aca="false">IF(AND(N(M45)&gt;0,OR(CONTROL!$C$4="TODAS",C45=CONTROL!$C$4),D45=CONTROL!$C$5),MAX($AH$4:AH44)+1,"")</f>
        <v/>
      </c>
      <c r="AI45" s="22" t="str">
        <f aca="false">IF(AH45="","",P45^2)</f>
        <v/>
      </c>
    </row>
    <row r="46" customFormat="false" ht="15" hidden="false" customHeight="false" outlineLevel="0" collapsed="false">
      <c r="A46" s="11" t="n">
        <f aca="false">IF(B46="","",ROW()-4)</f>
        <v>42</v>
      </c>
      <c r="B46" s="12" t="n">
        <v>45971</v>
      </c>
      <c r="C46" s="13" t="s">
        <v>83</v>
      </c>
      <c r="D46" s="13" t="s">
        <v>84</v>
      </c>
      <c r="E46" s="13"/>
      <c r="F46" s="14" t="str">
        <f aca="false">IF(OR(B46="",C46="",D46=""),"",IFERROR(INDEX(CONFIG!$E$5:$E$14,MATCH(D46,CONFIG!$D$5:$D$14,0)),"?")&amp;RIGHT("0"&amp;DAY(B46),2)&amp;RIGHT("0"&amp;MONTH(B46),2)&amp;RIGHT(YEAR(B46),2)&amp;C46&amp;IF(E46="","","-"&amp;E46))</f>
        <v>8101125P1</v>
      </c>
      <c r="G46" s="13" t="s">
        <v>106</v>
      </c>
      <c r="H46" s="13"/>
      <c r="I46" s="13"/>
      <c r="J46" s="13"/>
      <c r="K46" s="13"/>
      <c r="L46" s="13"/>
      <c r="M46" s="11" t="n">
        <f aca="false">IF(F46="","",COUNTIFS(ENSAYOS!$C$5:$C$3004,F46,ENSAYOS!$Q$5:$Q$3004,"&gt;0"))</f>
        <v>4</v>
      </c>
      <c r="N46" s="15" t="n">
        <f aca="false">IF(N(M46)=0,"",_xlfn.MINIFS(ENSAYOS!$G$5:$G$3004,ENSAYOS!$C$5:$C$3004,F46,ENSAYOS!$Q$5:$Q$3004,"&gt;0"))</f>
        <v>3</v>
      </c>
      <c r="O46" s="15" t="n">
        <f aca="false">IF(N(M46)=0,"",_xlfn.MAXIFS(ENSAYOS!$G$5:$G$3004,ENSAYOS!$C$5:$C$3004,F46,ENSAYOS!$Q$5:$Q$3004,"&gt;0"))</f>
        <v>3</v>
      </c>
      <c r="P46" s="16" t="n">
        <f aca="false">IF(N(M46)=0,"",AVERAGEIFS(ENSAYOS!$Q$5:$Q$3004,ENSAYOS!$C$5:$C$3004,F46,ENSAYOS!$Q$5:$Q$3004,"&gt;0"))</f>
        <v>79.559558584875</v>
      </c>
      <c r="Q46" s="16" t="n">
        <f aca="false">IF(N(M46)=0,"",_xlfn.MINIFS(ENSAYOS!$Q$5:$Q$3004,ENSAYOS!$C$5:$C$3004,F46,ENSAYOS!$Q$5:$Q$3004,"&gt;0"))</f>
        <v>60.4777669587796</v>
      </c>
      <c r="R46" s="16" t="n">
        <f aca="false">IF(N(M46)=0,"",_xlfn.MAXIFS(ENSAYOS!$Q$5:$Q$3004,ENSAYOS!$C$5:$C$3004,F46,ENSAYOS!$Q$5:$Q$3004,"&gt;0"))</f>
        <v>92.5141187925998</v>
      </c>
      <c r="S46" s="16" t="n">
        <f aca="false">IF(N(M46)&lt;2,"",SQRT(MAX(0,(SUMIFS(ENSAYOS!$X$5:$X$3004,ENSAYOS!$C$5:$C$3004,F46,ENSAYOS!$Q$5:$Q$3004,"&gt;0")-M46*P46^2)/(M46-1))))</f>
        <v>15.4713790773328</v>
      </c>
      <c r="T46" s="17" t="n">
        <f aca="false">IF(S46="","",S46/P46)</f>
        <v>0.194462857166656</v>
      </c>
      <c r="U46" s="16" t="n">
        <f aca="false">IF(N(M46)=0,"",IF(N46&gt;=CONFIG!$B$27,"",AVERAGEIFS(ENSAYOS!$Q$5:$Q$3004,ENSAYOS!$C$5:$C$3004,F46,ENSAYOS!$Q$5:$Q$3004,"&gt;0",ENSAYOS!$G$5:$G$3004,N46)))</f>
        <v>79.559558584875</v>
      </c>
      <c r="V46" s="16" t="str">
        <f aca="false">IF(N(M46)=0,"",IF(COUNTIFS(ENSAYOS!$C$5:$C$3004,F46,ENSAYOS!$Q$5:$Q$3004,"&gt;0",ENSAYOS!$G$5:$G$3004,"&gt;="&amp;CONFIG!$B$27)=0,"",AVERAGEIFS(ENSAYOS!$Q$5:$Q$3004,ENSAYOS!$C$5:$C$3004,F46,ENSAYOS!$Q$5:$Q$3004,"&gt;0",ENSAYOS!$G$5:$G$3004,"&gt;="&amp;CONFIG!$B$27)))</f>
        <v/>
      </c>
      <c r="W46" s="18" t="str">
        <f aca="false">IF(AND(U46&lt;&gt;"",V46&lt;&gt;""),U46/V46,"")</f>
        <v/>
      </c>
      <c r="X46" s="18" t="n">
        <f aca="false">IF(U46="","",INDEX('CURVA EDAD'!$E$5:$E$32,MIN(28,MAX(1,N46))))</f>
        <v>0.84</v>
      </c>
      <c r="Y46" s="16" t="n">
        <f aca="false">IF(V46&lt;&gt;"",V46,IF(U46="","",U46/X46))</f>
        <v>94.7137602200893</v>
      </c>
      <c r="Z46" s="16" t="n">
        <f aca="false">IF(V46&lt;&gt;"",_xlfn.MINIFS(ENSAYOS!$Q$5:$Q$3004,ENSAYOS!$C$5:$C$3004,F46,ENSAYOS!$Q$5:$Q$3004,"&gt;0",ENSAYOS!$G$5:$G$3004,"&gt;="&amp;CONFIG!$B$27),IF(U46="","",_xlfn.MINIFS(ENSAYOS!$Q$5:$Q$3004,ENSAYOS!$C$5:$C$3004,F46,ENSAYOS!$Q$5:$Q$3004,"&gt;0",ENSAYOS!$G$5:$G$3004,N46)/X46))</f>
        <v>71.9973416175948</v>
      </c>
      <c r="AA46" s="16" t="str">
        <f aca="false">IF(D46="","",IFERROR(1/(1/INDEX(CONFIG!$J$5:$J$14,MATCH(D46,CONFIG!$D$5:$D$14,0))),""))</f>
        <v/>
      </c>
      <c r="AB46" s="16" t="str">
        <f aca="false">IF(D46="","",IFERROR(1/(1/INDEX(CONFIG!$K$5:$K$14,MATCH(D46,CONFIG!$D$5:$D$14,0))),""))</f>
        <v/>
      </c>
      <c r="AC46" s="19" t="str">
        <f aca="false">IF(N(M46)=0,"",IF(AA46="","Sin spec",IF(AND(Y46&gt;=AA46,OR(AB46="",Z46&gt;=AB46)),"CUMPLE","NO CUMPLE")&amp;IF(V46=""," (est.)","")))</f>
        <v>Sin spec</v>
      </c>
      <c r="AD46" s="20" t="str">
        <f aca="false">IF(F46="","",IF(COUNTIFS(ABSORCION!$C$5:$C$1004,F46,ABSORCION!$I$5:$I$1004,"&gt;0")=0,"",AVERAGEIFS(ABSORCION!$I$5:$I$1004,ABSORCION!$C$5:$C$1004,F46,ABSORCION!$I$5:$I$1004,"&gt;0")))</f>
        <v/>
      </c>
      <c r="AE46" s="20" t="str">
        <f aca="false">IF(F46="","",IF(COUNTIFS(ABSORCION!$C$5:$C$1004,F46,ABSORCION!$I$5:$I$1004,"&gt;0")=0,"",AVERAGEIFS(ABSORCION!$K$5:$K$1004,ABSORCION!$C$5:$C$1004,F46,ABSORCION!$I$5:$I$1004,"&gt;0")))</f>
        <v/>
      </c>
      <c r="AF46" s="20" t="str">
        <f aca="false">IF(AE46="","",IF(AE46&gt;=CONFIG!$E$21,CONFIG!$F$21,IF(AE46&gt;=CONFIG!$E$20,CONFIG!$F$20,CONFIG!$F$19)))</f>
        <v/>
      </c>
      <c r="AG46" s="21" t="str">
        <f aca="false">IF(F46="","",TRIM(IF(N(M46)=0,"Sin ensayos. ","")&amp;IF(AND(N(M46)&gt;0,N(M46)&lt;CONFIG!$B$26),"Menos de "&amp;CONFIG!$B$26&amp;" probetas. ","")&amp;IF(N(T46)&gt;CONFIG!$B$25,"CV alto. ","")&amp;IF(AND(N(AD46)&gt;0,N(AD46)&gt;N(AF46)),"Absorción alta. ","")))</f>
        <v>CV alto.</v>
      </c>
      <c r="AH46" s="22" t="n">
        <f aca="false">IF(AND(N(M46)&gt;0,OR(CONTROL!$C$4="TODAS",C46=CONTROL!$C$4),D46=CONTROL!$C$5),MAX($AH$4:AH45)+1,"")</f>
        <v>33</v>
      </c>
      <c r="AI46" s="22" t="n">
        <f aca="false">IF(AH46="","",P46^2)</f>
        <v>6329.72336222016</v>
      </c>
    </row>
    <row r="47" customFormat="false" ht="15" hidden="false" customHeight="false" outlineLevel="0" collapsed="false">
      <c r="A47" s="11" t="str">
        <f aca="false">IF(B47="","",ROW()-4)</f>
        <v/>
      </c>
      <c r="B47" s="12"/>
      <c r="C47" s="13"/>
      <c r="D47" s="13"/>
      <c r="E47" s="13"/>
      <c r="F47" s="14" t="str">
        <f aca="false">IF(OR(B47="",C47="",D47=""),"",IFERROR(INDEX(CONFIG!$E$5:$E$14,MATCH(D47,CONFIG!$D$5:$D$14,0)),"?")&amp;RIGHT("0"&amp;DAY(B47),2)&amp;RIGHT("0"&amp;MONTH(B47),2)&amp;RIGHT(YEAR(B47),2)&amp;C47&amp;IF(E47="","","-"&amp;E47))</f>
        <v/>
      </c>
      <c r="G47" s="13"/>
      <c r="H47" s="13"/>
      <c r="I47" s="13"/>
      <c r="J47" s="13"/>
      <c r="K47" s="13"/>
      <c r="L47" s="13"/>
      <c r="M47" s="11" t="str">
        <f aca="false">IF(F47="","",COUNTIFS(ENSAYOS!$C$5:$C$3004,F47,ENSAYOS!$Q$5:$Q$3004,"&gt;0"))</f>
        <v/>
      </c>
      <c r="N47" s="15" t="str">
        <f aca="false">IF(N(M47)=0,"",_xlfn.MINIFS(ENSAYOS!$G$5:$G$3004,ENSAYOS!$C$5:$C$3004,F47,ENSAYOS!$Q$5:$Q$3004,"&gt;0"))</f>
        <v/>
      </c>
      <c r="O47" s="15" t="str">
        <f aca="false">IF(N(M47)=0,"",_xlfn.MAXIFS(ENSAYOS!$G$5:$G$3004,ENSAYOS!$C$5:$C$3004,F47,ENSAYOS!$Q$5:$Q$3004,"&gt;0"))</f>
        <v/>
      </c>
      <c r="P47" s="16" t="str">
        <f aca="false">IF(N(M47)=0,"",AVERAGEIFS(ENSAYOS!$Q$5:$Q$3004,ENSAYOS!$C$5:$C$3004,F47,ENSAYOS!$Q$5:$Q$3004,"&gt;0"))</f>
        <v/>
      </c>
      <c r="Q47" s="16" t="str">
        <f aca="false">IF(N(M47)=0,"",_xlfn.MINIFS(ENSAYOS!$Q$5:$Q$3004,ENSAYOS!$C$5:$C$3004,F47,ENSAYOS!$Q$5:$Q$3004,"&gt;0"))</f>
        <v/>
      </c>
      <c r="R47" s="16" t="str">
        <f aca="false">IF(N(M47)=0,"",_xlfn.MAXIFS(ENSAYOS!$Q$5:$Q$3004,ENSAYOS!$C$5:$C$3004,F47,ENSAYOS!$Q$5:$Q$3004,"&gt;0"))</f>
        <v/>
      </c>
      <c r="S47" s="16" t="str">
        <f aca="false">IF(N(M47)&lt;2,"",SQRT(MAX(0,(SUMIFS(ENSAYOS!$X$5:$X$3004,ENSAYOS!$C$5:$C$3004,F47,ENSAYOS!$Q$5:$Q$3004,"&gt;0")-M47*P47^2)/(M47-1))))</f>
        <v/>
      </c>
      <c r="T47" s="17" t="str">
        <f aca="false">IF(S47="","",S47/P47)</f>
        <v/>
      </c>
      <c r="U47" s="16" t="str">
        <f aca="false">IF(N(M47)=0,"",IF(N47&gt;=CONFIG!$B$27,"",AVERAGEIFS(ENSAYOS!$Q$5:$Q$3004,ENSAYOS!$C$5:$C$3004,F47,ENSAYOS!$Q$5:$Q$3004,"&gt;0",ENSAYOS!$G$5:$G$3004,N47)))</f>
        <v/>
      </c>
      <c r="V47" s="16" t="str">
        <f aca="false">IF(N(M47)=0,"",IF(COUNTIFS(ENSAYOS!$C$5:$C$3004,F47,ENSAYOS!$Q$5:$Q$3004,"&gt;0",ENSAYOS!$G$5:$G$3004,"&gt;="&amp;CONFIG!$B$27)=0,"",AVERAGEIFS(ENSAYOS!$Q$5:$Q$3004,ENSAYOS!$C$5:$C$3004,F47,ENSAYOS!$Q$5:$Q$3004,"&gt;0",ENSAYOS!$G$5:$G$3004,"&gt;="&amp;CONFIG!$B$27)))</f>
        <v/>
      </c>
      <c r="W47" s="18" t="str">
        <f aca="false">IF(AND(U47&lt;&gt;"",V47&lt;&gt;""),U47/V47,"")</f>
        <v/>
      </c>
      <c r="X47" s="18" t="str">
        <f aca="false">IF(U47="","",INDEX('CURVA EDAD'!$E$5:$E$32,MIN(28,MAX(1,N47))))</f>
        <v/>
      </c>
      <c r="Y47" s="16" t="str">
        <f aca="false">IF(V47&lt;&gt;"",V47,IF(U47="","",U47/X47))</f>
        <v/>
      </c>
      <c r="Z47" s="16" t="str">
        <f aca="false">IF(V47&lt;&gt;"",_xlfn.MINIFS(ENSAYOS!$Q$5:$Q$3004,ENSAYOS!$C$5:$C$3004,F47,ENSAYOS!$Q$5:$Q$3004,"&gt;0",ENSAYOS!$G$5:$G$3004,"&gt;="&amp;CONFIG!$B$27),IF(U47="","",_xlfn.MINIFS(ENSAYOS!$Q$5:$Q$3004,ENSAYOS!$C$5:$C$3004,F47,ENSAYOS!$Q$5:$Q$3004,"&gt;0",ENSAYOS!$G$5:$G$3004,N47)/X47))</f>
        <v/>
      </c>
      <c r="AA47" s="16" t="str">
        <f aca="false">IF(D47="","",IFERROR(1/(1/INDEX(CONFIG!$J$5:$J$14,MATCH(D47,CONFIG!$D$5:$D$14,0))),""))</f>
        <v/>
      </c>
      <c r="AB47" s="16" t="str">
        <f aca="false">IF(D47="","",IFERROR(1/(1/INDEX(CONFIG!$K$5:$K$14,MATCH(D47,CONFIG!$D$5:$D$14,0))),""))</f>
        <v/>
      </c>
      <c r="AC47" s="19" t="str">
        <f aca="false">IF(N(M47)=0,"",IF(AA47="","Sin spec",IF(AND(Y47&gt;=AA47,OR(AB47="",Z47&gt;=AB47)),"CUMPLE","NO CUMPLE")&amp;IF(V47=""," (est.)","")))</f>
        <v/>
      </c>
      <c r="AD47" s="20" t="str">
        <f aca="false">IF(F47="","",IF(COUNTIFS(ABSORCION!$C$5:$C$1004,F47,ABSORCION!$I$5:$I$1004,"&gt;0")=0,"",AVERAGEIFS(ABSORCION!$I$5:$I$1004,ABSORCION!$C$5:$C$1004,F47,ABSORCION!$I$5:$I$1004,"&gt;0")))</f>
        <v/>
      </c>
      <c r="AE47" s="20" t="str">
        <f aca="false">IF(F47="","",IF(COUNTIFS(ABSORCION!$C$5:$C$1004,F47,ABSORCION!$I$5:$I$1004,"&gt;0")=0,"",AVERAGEIFS(ABSORCION!$K$5:$K$1004,ABSORCION!$C$5:$C$1004,F47,ABSORCION!$I$5:$I$1004,"&gt;0")))</f>
        <v/>
      </c>
      <c r="AF47" s="20" t="str">
        <f aca="false">IF(AE47="","",IF(AE47&gt;=CONFIG!$E$21,CONFIG!$F$21,IF(AE47&gt;=CONFIG!$E$20,CONFIG!$F$20,CONFIG!$F$19)))</f>
        <v/>
      </c>
      <c r="AG47" s="21" t="str">
        <f aca="false">IF(F47="","",TRIM(IF(N(M47)=0,"Sin ensayos. ","")&amp;IF(AND(N(M47)&gt;0,N(M47)&lt;CONFIG!$B$26),"Menos de "&amp;CONFIG!$B$26&amp;" probetas. ","")&amp;IF(N(T47)&gt;CONFIG!$B$25,"CV alto. ","")&amp;IF(AND(N(AD47)&gt;0,N(AD47)&gt;N(AF47)),"Absorción alta. ","")))</f>
        <v/>
      </c>
      <c r="AH47" s="22" t="str">
        <f aca="false">IF(AND(N(M47)&gt;0,OR(CONTROL!$C$4="TODAS",C47=CONTROL!$C$4),D47=CONTROL!$C$5),MAX($AH$4:AH46)+1,"")</f>
        <v/>
      </c>
      <c r="AI47" s="22" t="str">
        <f aca="false">IF(AH47="","",P47^2)</f>
        <v/>
      </c>
    </row>
    <row r="48" customFormat="false" ht="15" hidden="false" customHeight="false" outlineLevel="0" collapsed="false">
      <c r="A48" s="11" t="str">
        <f aca="false">IF(B48="","",ROW()-4)</f>
        <v/>
      </c>
      <c r="B48" s="12"/>
      <c r="C48" s="13"/>
      <c r="D48" s="13"/>
      <c r="E48" s="13"/>
      <c r="F48" s="14" t="str">
        <f aca="false">IF(OR(B48="",C48="",D48=""),"",IFERROR(INDEX(CONFIG!$E$5:$E$14,MATCH(D48,CONFIG!$D$5:$D$14,0)),"?")&amp;RIGHT("0"&amp;DAY(B48),2)&amp;RIGHT("0"&amp;MONTH(B48),2)&amp;RIGHT(YEAR(B48),2)&amp;C48&amp;IF(E48="","","-"&amp;E48))</f>
        <v/>
      </c>
      <c r="G48" s="13"/>
      <c r="H48" s="13"/>
      <c r="I48" s="13"/>
      <c r="J48" s="13"/>
      <c r="K48" s="13"/>
      <c r="L48" s="13"/>
      <c r="M48" s="11" t="str">
        <f aca="false">IF(F48="","",COUNTIFS(ENSAYOS!$C$5:$C$3004,F48,ENSAYOS!$Q$5:$Q$3004,"&gt;0"))</f>
        <v/>
      </c>
      <c r="N48" s="15" t="str">
        <f aca="false">IF(N(M48)=0,"",_xlfn.MINIFS(ENSAYOS!$G$5:$G$3004,ENSAYOS!$C$5:$C$3004,F48,ENSAYOS!$Q$5:$Q$3004,"&gt;0"))</f>
        <v/>
      </c>
      <c r="O48" s="15" t="str">
        <f aca="false">IF(N(M48)=0,"",_xlfn.MAXIFS(ENSAYOS!$G$5:$G$3004,ENSAYOS!$C$5:$C$3004,F48,ENSAYOS!$Q$5:$Q$3004,"&gt;0"))</f>
        <v/>
      </c>
      <c r="P48" s="16" t="str">
        <f aca="false">IF(N(M48)=0,"",AVERAGEIFS(ENSAYOS!$Q$5:$Q$3004,ENSAYOS!$C$5:$C$3004,F48,ENSAYOS!$Q$5:$Q$3004,"&gt;0"))</f>
        <v/>
      </c>
      <c r="Q48" s="16" t="str">
        <f aca="false">IF(N(M48)=0,"",_xlfn.MINIFS(ENSAYOS!$Q$5:$Q$3004,ENSAYOS!$C$5:$C$3004,F48,ENSAYOS!$Q$5:$Q$3004,"&gt;0"))</f>
        <v/>
      </c>
      <c r="R48" s="16" t="str">
        <f aca="false">IF(N(M48)=0,"",_xlfn.MAXIFS(ENSAYOS!$Q$5:$Q$3004,ENSAYOS!$C$5:$C$3004,F48,ENSAYOS!$Q$5:$Q$3004,"&gt;0"))</f>
        <v/>
      </c>
      <c r="S48" s="16" t="str">
        <f aca="false">IF(N(M48)&lt;2,"",SQRT(MAX(0,(SUMIFS(ENSAYOS!$X$5:$X$3004,ENSAYOS!$C$5:$C$3004,F48,ENSAYOS!$Q$5:$Q$3004,"&gt;0")-M48*P48^2)/(M48-1))))</f>
        <v/>
      </c>
      <c r="T48" s="17" t="str">
        <f aca="false">IF(S48="","",S48/P48)</f>
        <v/>
      </c>
      <c r="U48" s="16" t="str">
        <f aca="false">IF(N(M48)=0,"",IF(N48&gt;=CONFIG!$B$27,"",AVERAGEIFS(ENSAYOS!$Q$5:$Q$3004,ENSAYOS!$C$5:$C$3004,F48,ENSAYOS!$Q$5:$Q$3004,"&gt;0",ENSAYOS!$G$5:$G$3004,N48)))</f>
        <v/>
      </c>
      <c r="V48" s="16" t="str">
        <f aca="false">IF(N(M48)=0,"",IF(COUNTIFS(ENSAYOS!$C$5:$C$3004,F48,ENSAYOS!$Q$5:$Q$3004,"&gt;0",ENSAYOS!$G$5:$G$3004,"&gt;="&amp;CONFIG!$B$27)=0,"",AVERAGEIFS(ENSAYOS!$Q$5:$Q$3004,ENSAYOS!$C$5:$C$3004,F48,ENSAYOS!$Q$5:$Q$3004,"&gt;0",ENSAYOS!$G$5:$G$3004,"&gt;="&amp;CONFIG!$B$27)))</f>
        <v/>
      </c>
      <c r="W48" s="18" t="str">
        <f aca="false">IF(AND(U48&lt;&gt;"",V48&lt;&gt;""),U48/V48,"")</f>
        <v/>
      </c>
      <c r="X48" s="18" t="str">
        <f aca="false">IF(U48="","",INDEX('CURVA EDAD'!$E$5:$E$32,MIN(28,MAX(1,N48))))</f>
        <v/>
      </c>
      <c r="Y48" s="16" t="str">
        <f aca="false">IF(V48&lt;&gt;"",V48,IF(U48="","",U48/X48))</f>
        <v/>
      </c>
      <c r="Z48" s="16" t="str">
        <f aca="false">IF(V48&lt;&gt;"",_xlfn.MINIFS(ENSAYOS!$Q$5:$Q$3004,ENSAYOS!$C$5:$C$3004,F48,ENSAYOS!$Q$5:$Q$3004,"&gt;0",ENSAYOS!$G$5:$G$3004,"&gt;="&amp;CONFIG!$B$27),IF(U48="","",_xlfn.MINIFS(ENSAYOS!$Q$5:$Q$3004,ENSAYOS!$C$5:$C$3004,F48,ENSAYOS!$Q$5:$Q$3004,"&gt;0",ENSAYOS!$G$5:$G$3004,N48)/X48))</f>
        <v/>
      </c>
      <c r="AA48" s="16" t="str">
        <f aca="false">IF(D48="","",IFERROR(1/(1/INDEX(CONFIG!$J$5:$J$14,MATCH(D48,CONFIG!$D$5:$D$14,0))),""))</f>
        <v/>
      </c>
      <c r="AB48" s="16" t="str">
        <f aca="false">IF(D48="","",IFERROR(1/(1/INDEX(CONFIG!$K$5:$K$14,MATCH(D48,CONFIG!$D$5:$D$14,0))),""))</f>
        <v/>
      </c>
      <c r="AC48" s="19" t="str">
        <f aca="false">IF(N(M48)=0,"",IF(AA48="","Sin spec",IF(AND(Y48&gt;=AA48,OR(AB48="",Z48&gt;=AB48)),"CUMPLE","NO CUMPLE")&amp;IF(V48=""," (est.)","")))</f>
        <v/>
      </c>
      <c r="AD48" s="20" t="str">
        <f aca="false">IF(F48="","",IF(COUNTIFS(ABSORCION!$C$5:$C$1004,F48,ABSORCION!$I$5:$I$1004,"&gt;0")=0,"",AVERAGEIFS(ABSORCION!$I$5:$I$1004,ABSORCION!$C$5:$C$1004,F48,ABSORCION!$I$5:$I$1004,"&gt;0")))</f>
        <v/>
      </c>
      <c r="AE48" s="20" t="str">
        <f aca="false">IF(F48="","",IF(COUNTIFS(ABSORCION!$C$5:$C$1004,F48,ABSORCION!$I$5:$I$1004,"&gt;0")=0,"",AVERAGEIFS(ABSORCION!$K$5:$K$1004,ABSORCION!$C$5:$C$1004,F48,ABSORCION!$I$5:$I$1004,"&gt;0")))</f>
        <v/>
      </c>
      <c r="AF48" s="20" t="str">
        <f aca="false">IF(AE48="","",IF(AE48&gt;=CONFIG!$E$21,CONFIG!$F$21,IF(AE48&gt;=CONFIG!$E$20,CONFIG!$F$20,CONFIG!$F$19)))</f>
        <v/>
      </c>
      <c r="AG48" s="21" t="str">
        <f aca="false">IF(F48="","",TRIM(IF(N(M48)=0,"Sin ensayos. ","")&amp;IF(AND(N(M48)&gt;0,N(M48)&lt;CONFIG!$B$26),"Menos de "&amp;CONFIG!$B$26&amp;" probetas. ","")&amp;IF(N(T48)&gt;CONFIG!$B$25,"CV alto. ","")&amp;IF(AND(N(AD48)&gt;0,N(AD48)&gt;N(AF48)),"Absorción alta. ","")))</f>
        <v/>
      </c>
      <c r="AH48" s="22" t="str">
        <f aca="false">IF(AND(N(M48)&gt;0,OR(CONTROL!$C$4="TODAS",C48=CONTROL!$C$4),D48=CONTROL!$C$5),MAX($AH$4:AH47)+1,"")</f>
        <v/>
      </c>
      <c r="AI48" s="22" t="str">
        <f aca="false">IF(AH48="","",P48^2)</f>
        <v/>
      </c>
    </row>
    <row r="49" customFormat="false" ht="15" hidden="false" customHeight="false" outlineLevel="0" collapsed="false">
      <c r="A49" s="11" t="str">
        <f aca="false">IF(B49="","",ROW()-4)</f>
        <v/>
      </c>
      <c r="B49" s="12"/>
      <c r="C49" s="13"/>
      <c r="D49" s="13"/>
      <c r="E49" s="13"/>
      <c r="F49" s="14" t="str">
        <f aca="false">IF(OR(B49="",C49="",D49=""),"",IFERROR(INDEX(CONFIG!$E$5:$E$14,MATCH(D49,CONFIG!$D$5:$D$14,0)),"?")&amp;RIGHT("0"&amp;DAY(B49),2)&amp;RIGHT("0"&amp;MONTH(B49),2)&amp;RIGHT(YEAR(B49),2)&amp;C49&amp;IF(E49="","","-"&amp;E49))</f>
        <v/>
      </c>
      <c r="G49" s="13"/>
      <c r="H49" s="13"/>
      <c r="I49" s="13"/>
      <c r="J49" s="13"/>
      <c r="K49" s="13"/>
      <c r="L49" s="13"/>
      <c r="M49" s="11" t="str">
        <f aca="false">IF(F49="","",COUNTIFS(ENSAYOS!$C$5:$C$3004,F49,ENSAYOS!$Q$5:$Q$3004,"&gt;0"))</f>
        <v/>
      </c>
      <c r="N49" s="15" t="str">
        <f aca="false">IF(N(M49)=0,"",_xlfn.MINIFS(ENSAYOS!$G$5:$G$3004,ENSAYOS!$C$5:$C$3004,F49,ENSAYOS!$Q$5:$Q$3004,"&gt;0"))</f>
        <v/>
      </c>
      <c r="O49" s="15" t="str">
        <f aca="false">IF(N(M49)=0,"",_xlfn.MAXIFS(ENSAYOS!$G$5:$G$3004,ENSAYOS!$C$5:$C$3004,F49,ENSAYOS!$Q$5:$Q$3004,"&gt;0"))</f>
        <v/>
      </c>
      <c r="P49" s="16" t="str">
        <f aca="false">IF(N(M49)=0,"",AVERAGEIFS(ENSAYOS!$Q$5:$Q$3004,ENSAYOS!$C$5:$C$3004,F49,ENSAYOS!$Q$5:$Q$3004,"&gt;0"))</f>
        <v/>
      </c>
      <c r="Q49" s="16" t="str">
        <f aca="false">IF(N(M49)=0,"",_xlfn.MINIFS(ENSAYOS!$Q$5:$Q$3004,ENSAYOS!$C$5:$C$3004,F49,ENSAYOS!$Q$5:$Q$3004,"&gt;0"))</f>
        <v/>
      </c>
      <c r="R49" s="16" t="str">
        <f aca="false">IF(N(M49)=0,"",_xlfn.MAXIFS(ENSAYOS!$Q$5:$Q$3004,ENSAYOS!$C$5:$C$3004,F49,ENSAYOS!$Q$5:$Q$3004,"&gt;0"))</f>
        <v/>
      </c>
      <c r="S49" s="16" t="str">
        <f aca="false">IF(N(M49)&lt;2,"",SQRT(MAX(0,(SUMIFS(ENSAYOS!$X$5:$X$3004,ENSAYOS!$C$5:$C$3004,F49,ENSAYOS!$Q$5:$Q$3004,"&gt;0")-M49*P49^2)/(M49-1))))</f>
        <v/>
      </c>
      <c r="T49" s="17" t="str">
        <f aca="false">IF(S49="","",S49/P49)</f>
        <v/>
      </c>
      <c r="U49" s="16" t="str">
        <f aca="false">IF(N(M49)=0,"",IF(N49&gt;=CONFIG!$B$27,"",AVERAGEIFS(ENSAYOS!$Q$5:$Q$3004,ENSAYOS!$C$5:$C$3004,F49,ENSAYOS!$Q$5:$Q$3004,"&gt;0",ENSAYOS!$G$5:$G$3004,N49)))</f>
        <v/>
      </c>
      <c r="V49" s="16" t="str">
        <f aca="false">IF(N(M49)=0,"",IF(COUNTIFS(ENSAYOS!$C$5:$C$3004,F49,ENSAYOS!$Q$5:$Q$3004,"&gt;0",ENSAYOS!$G$5:$G$3004,"&gt;="&amp;CONFIG!$B$27)=0,"",AVERAGEIFS(ENSAYOS!$Q$5:$Q$3004,ENSAYOS!$C$5:$C$3004,F49,ENSAYOS!$Q$5:$Q$3004,"&gt;0",ENSAYOS!$G$5:$G$3004,"&gt;="&amp;CONFIG!$B$27)))</f>
        <v/>
      </c>
      <c r="W49" s="18" t="str">
        <f aca="false">IF(AND(U49&lt;&gt;"",V49&lt;&gt;""),U49/V49,"")</f>
        <v/>
      </c>
      <c r="X49" s="18" t="str">
        <f aca="false">IF(U49="","",INDEX('CURVA EDAD'!$E$5:$E$32,MIN(28,MAX(1,N49))))</f>
        <v/>
      </c>
      <c r="Y49" s="16" t="str">
        <f aca="false">IF(V49&lt;&gt;"",V49,IF(U49="","",U49/X49))</f>
        <v/>
      </c>
      <c r="Z49" s="16" t="str">
        <f aca="false">IF(V49&lt;&gt;"",_xlfn.MINIFS(ENSAYOS!$Q$5:$Q$3004,ENSAYOS!$C$5:$C$3004,F49,ENSAYOS!$Q$5:$Q$3004,"&gt;0",ENSAYOS!$G$5:$G$3004,"&gt;="&amp;CONFIG!$B$27),IF(U49="","",_xlfn.MINIFS(ENSAYOS!$Q$5:$Q$3004,ENSAYOS!$C$5:$C$3004,F49,ENSAYOS!$Q$5:$Q$3004,"&gt;0",ENSAYOS!$G$5:$G$3004,N49)/X49))</f>
        <v/>
      </c>
      <c r="AA49" s="16" t="str">
        <f aca="false">IF(D49="","",IFERROR(1/(1/INDEX(CONFIG!$J$5:$J$14,MATCH(D49,CONFIG!$D$5:$D$14,0))),""))</f>
        <v/>
      </c>
      <c r="AB49" s="16" t="str">
        <f aca="false">IF(D49="","",IFERROR(1/(1/INDEX(CONFIG!$K$5:$K$14,MATCH(D49,CONFIG!$D$5:$D$14,0))),""))</f>
        <v/>
      </c>
      <c r="AC49" s="19" t="str">
        <f aca="false">IF(N(M49)=0,"",IF(AA49="","Sin spec",IF(AND(Y49&gt;=AA49,OR(AB49="",Z49&gt;=AB49)),"CUMPLE","NO CUMPLE")&amp;IF(V49=""," (est.)","")))</f>
        <v/>
      </c>
      <c r="AD49" s="20" t="str">
        <f aca="false">IF(F49="","",IF(COUNTIFS(ABSORCION!$C$5:$C$1004,F49,ABSORCION!$I$5:$I$1004,"&gt;0")=0,"",AVERAGEIFS(ABSORCION!$I$5:$I$1004,ABSORCION!$C$5:$C$1004,F49,ABSORCION!$I$5:$I$1004,"&gt;0")))</f>
        <v/>
      </c>
      <c r="AE49" s="20" t="str">
        <f aca="false">IF(F49="","",IF(COUNTIFS(ABSORCION!$C$5:$C$1004,F49,ABSORCION!$I$5:$I$1004,"&gt;0")=0,"",AVERAGEIFS(ABSORCION!$K$5:$K$1004,ABSORCION!$C$5:$C$1004,F49,ABSORCION!$I$5:$I$1004,"&gt;0")))</f>
        <v/>
      </c>
      <c r="AF49" s="20" t="str">
        <f aca="false">IF(AE49="","",IF(AE49&gt;=CONFIG!$E$21,CONFIG!$F$21,IF(AE49&gt;=CONFIG!$E$20,CONFIG!$F$20,CONFIG!$F$19)))</f>
        <v/>
      </c>
      <c r="AG49" s="21" t="str">
        <f aca="false">IF(F49="","",TRIM(IF(N(M49)=0,"Sin ensayos. ","")&amp;IF(AND(N(M49)&gt;0,N(M49)&lt;CONFIG!$B$26),"Menos de "&amp;CONFIG!$B$26&amp;" probetas. ","")&amp;IF(N(T49)&gt;CONFIG!$B$25,"CV alto. ","")&amp;IF(AND(N(AD49)&gt;0,N(AD49)&gt;N(AF49)),"Absorción alta. ","")))</f>
        <v/>
      </c>
      <c r="AH49" s="22" t="str">
        <f aca="false">IF(AND(N(M49)&gt;0,OR(CONTROL!$C$4="TODAS",C49=CONTROL!$C$4),D49=CONTROL!$C$5),MAX($AH$4:AH48)+1,"")</f>
        <v/>
      </c>
      <c r="AI49" s="22" t="str">
        <f aca="false">IF(AH49="","",P49^2)</f>
        <v/>
      </c>
    </row>
    <row r="50" customFormat="false" ht="15" hidden="false" customHeight="false" outlineLevel="0" collapsed="false">
      <c r="A50" s="11" t="str">
        <f aca="false">IF(B50="","",ROW()-4)</f>
        <v/>
      </c>
      <c r="B50" s="12"/>
      <c r="C50" s="13"/>
      <c r="D50" s="13"/>
      <c r="E50" s="13"/>
      <c r="F50" s="14" t="str">
        <f aca="false">IF(OR(B50="",C50="",D50=""),"",IFERROR(INDEX(CONFIG!$E$5:$E$14,MATCH(D50,CONFIG!$D$5:$D$14,0)),"?")&amp;RIGHT("0"&amp;DAY(B50),2)&amp;RIGHT("0"&amp;MONTH(B50),2)&amp;RIGHT(YEAR(B50),2)&amp;C50&amp;IF(E50="","","-"&amp;E50))</f>
        <v/>
      </c>
      <c r="G50" s="13"/>
      <c r="H50" s="13"/>
      <c r="I50" s="13"/>
      <c r="J50" s="13"/>
      <c r="K50" s="13"/>
      <c r="L50" s="13"/>
      <c r="M50" s="11" t="str">
        <f aca="false">IF(F50="","",COUNTIFS(ENSAYOS!$C$5:$C$3004,F50,ENSAYOS!$Q$5:$Q$3004,"&gt;0"))</f>
        <v/>
      </c>
      <c r="N50" s="15" t="str">
        <f aca="false">IF(N(M50)=0,"",_xlfn.MINIFS(ENSAYOS!$G$5:$G$3004,ENSAYOS!$C$5:$C$3004,F50,ENSAYOS!$Q$5:$Q$3004,"&gt;0"))</f>
        <v/>
      </c>
      <c r="O50" s="15" t="str">
        <f aca="false">IF(N(M50)=0,"",_xlfn.MAXIFS(ENSAYOS!$G$5:$G$3004,ENSAYOS!$C$5:$C$3004,F50,ENSAYOS!$Q$5:$Q$3004,"&gt;0"))</f>
        <v/>
      </c>
      <c r="P50" s="16" t="str">
        <f aca="false">IF(N(M50)=0,"",AVERAGEIFS(ENSAYOS!$Q$5:$Q$3004,ENSAYOS!$C$5:$C$3004,F50,ENSAYOS!$Q$5:$Q$3004,"&gt;0"))</f>
        <v/>
      </c>
      <c r="Q50" s="16" t="str">
        <f aca="false">IF(N(M50)=0,"",_xlfn.MINIFS(ENSAYOS!$Q$5:$Q$3004,ENSAYOS!$C$5:$C$3004,F50,ENSAYOS!$Q$5:$Q$3004,"&gt;0"))</f>
        <v/>
      </c>
      <c r="R50" s="16" t="str">
        <f aca="false">IF(N(M50)=0,"",_xlfn.MAXIFS(ENSAYOS!$Q$5:$Q$3004,ENSAYOS!$C$5:$C$3004,F50,ENSAYOS!$Q$5:$Q$3004,"&gt;0"))</f>
        <v/>
      </c>
      <c r="S50" s="16" t="str">
        <f aca="false">IF(N(M50)&lt;2,"",SQRT(MAX(0,(SUMIFS(ENSAYOS!$X$5:$X$3004,ENSAYOS!$C$5:$C$3004,F50,ENSAYOS!$Q$5:$Q$3004,"&gt;0")-M50*P50^2)/(M50-1))))</f>
        <v/>
      </c>
      <c r="T50" s="17" t="str">
        <f aca="false">IF(S50="","",S50/P50)</f>
        <v/>
      </c>
      <c r="U50" s="16" t="str">
        <f aca="false">IF(N(M50)=0,"",IF(N50&gt;=CONFIG!$B$27,"",AVERAGEIFS(ENSAYOS!$Q$5:$Q$3004,ENSAYOS!$C$5:$C$3004,F50,ENSAYOS!$Q$5:$Q$3004,"&gt;0",ENSAYOS!$G$5:$G$3004,N50)))</f>
        <v/>
      </c>
      <c r="V50" s="16" t="str">
        <f aca="false">IF(N(M50)=0,"",IF(COUNTIFS(ENSAYOS!$C$5:$C$3004,F50,ENSAYOS!$Q$5:$Q$3004,"&gt;0",ENSAYOS!$G$5:$G$3004,"&gt;="&amp;CONFIG!$B$27)=0,"",AVERAGEIFS(ENSAYOS!$Q$5:$Q$3004,ENSAYOS!$C$5:$C$3004,F50,ENSAYOS!$Q$5:$Q$3004,"&gt;0",ENSAYOS!$G$5:$G$3004,"&gt;="&amp;CONFIG!$B$27)))</f>
        <v/>
      </c>
      <c r="W50" s="18" t="str">
        <f aca="false">IF(AND(U50&lt;&gt;"",V50&lt;&gt;""),U50/V50,"")</f>
        <v/>
      </c>
      <c r="X50" s="18" t="str">
        <f aca="false">IF(U50="","",INDEX('CURVA EDAD'!$E$5:$E$32,MIN(28,MAX(1,N50))))</f>
        <v/>
      </c>
      <c r="Y50" s="16" t="str">
        <f aca="false">IF(V50&lt;&gt;"",V50,IF(U50="","",U50/X50))</f>
        <v/>
      </c>
      <c r="Z50" s="16" t="str">
        <f aca="false">IF(V50&lt;&gt;"",_xlfn.MINIFS(ENSAYOS!$Q$5:$Q$3004,ENSAYOS!$C$5:$C$3004,F50,ENSAYOS!$Q$5:$Q$3004,"&gt;0",ENSAYOS!$G$5:$G$3004,"&gt;="&amp;CONFIG!$B$27),IF(U50="","",_xlfn.MINIFS(ENSAYOS!$Q$5:$Q$3004,ENSAYOS!$C$5:$C$3004,F50,ENSAYOS!$Q$5:$Q$3004,"&gt;0",ENSAYOS!$G$5:$G$3004,N50)/X50))</f>
        <v/>
      </c>
      <c r="AA50" s="16" t="str">
        <f aca="false">IF(D50="","",IFERROR(1/(1/INDEX(CONFIG!$J$5:$J$14,MATCH(D50,CONFIG!$D$5:$D$14,0))),""))</f>
        <v/>
      </c>
      <c r="AB50" s="16" t="str">
        <f aca="false">IF(D50="","",IFERROR(1/(1/INDEX(CONFIG!$K$5:$K$14,MATCH(D50,CONFIG!$D$5:$D$14,0))),""))</f>
        <v/>
      </c>
      <c r="AC50" s="19" t="str">
        <f aca="false">IF(N(M50)=0,"",IF(AA50="","Sin spec",IF(AND(Y50&gt;=AA50,OR(AB50="",Z50&gt;=AB50)),"CUMPLE","NO CUMPLE")&amp;IF(V50=""," (est.)","")))</f>
        <v/>
      </c>
      <c r="AD50" s="20" t="str">
        <f aca="false">IF(F50="","",IF(COUNTIFS(ABSORCION!$C$5:$C$1004,F50,ABSORCION!$I$5:$I$1004,"&gt;0")=0,"",AVERAGEIFS(ABSORCION!$I$5:$I$1004,ABSORCION!$C$5:$C$1004,F50,ABSORCION!$I$5:$I$1004,"&gt;0")))</f>
        <v/>
      </c>
      <c r="AE50" s="20" t="str">
        <f aca="false">IF(F50="","",IF(COUNTIFS(ABSORCION!$C$5:$C$1004,F50,ABSORCION!$I$5:$I$1004,"&gt;0")=0,"",AVERAGEIFS(ABSORCION!$K$5:$K$1004,ABSORCION!$C$5:$C$1004,F50,ABSORCION!$I$5:$I$1004,"&gt;0")))</f>
        <v/>
      </c>
      <c r="AF50" s="20" t="str">
        <f aca="false">IF(AE50="","",IF(AE50&gt;=CONFIG!$E$21,CONFIG!$F$21,IF(AE50&gt;=CONFIG!$E$20,CONFIG!$F$20,CONFIG!$F$19)))</f>
        <v/>
      </c>
      <c r="AG50" s="21" t="str">
        <f aca="false">IF(F50="","",TRIM(IF(N(M50)=0,"Sin ensayos. ","")&amp;IF(AND(N(M50)&gt;0,N(M50)&lt;CONFIG!$B$26),"Menos de "&amp;CONFIG!$B$26&amp;" probetas. ","")&amp;IF(N(T50)&gt;CONFIG!$B$25,"CV alto. ","")&amp;IF(AND(N(AD50)&gt;0,N(AD50)&gt;N(AF50)),"Absorción alta. ","")))</f>
        <v/>
      </c>
      <c r="AH50" s="22" t="str">
        <f aca="false">IF(AND(N(M50)&gt;0,OR(CONTROL!$C$4="TODAS",C50=CONTROL!$C$4),D50=CONTROL!$C$5),MAX($AH$4:AH49)+1,"")</f>
        <v/>
      </c>
      <c r="AI50" s="22" t="str">
        <f aca="false">IF(AH50="","",P50^2)</f>
        <v/>
      </c>
    </row>
    <row r="51" customFormat="false" ht="15" hidden="false" customHeight="false" outlineLevel="0" collapsed="false">
      <c r="A51" s="11" t="str">
        <f aca="false">IF(B51="","",ROW()-4)</f>
        <v/>
      </c>
      <c r="B51" s="12"/>
      <c r="C51" s="13"/>
      <c r="D51" s="13"/>
      <c r="E51" s="13"/>
      <c r="F51" s="14" t="str">
        <f aca="false">IF(OR(B51="",C51="",D51=""),"",IFERROR(INDEX(CONFIG!$E$5:$E$14,MATCH(D51,CONFIG!$D$5:$D$14,0)),"?")&amp;RIGHT("0"&amp;DAY(B51),2)&amp;RIGHT("0"&amp;MONTH(B51),2)&amp;RIGHT(YEAR(B51),2)&amp;C51&amp;IF(E51="","","-"&amp;E51))</f>
        <v/>
      </c>
      <c r="G51" s="13"/>
      <c r="H51" s="13"/>
      <c r="I51" s="13"/>
      <c r="J51" s="13"/>
      <c r="K51" s="13"/>
      <c r="L51" s="13"/>
      <c r="M51" s="11" t="str">
        <f aca="false">IF(F51="","",COUNTIFS(ENSAYOS!$C$5:$C$3004,F51,ENSAYOS!$Q$5:$Q$3004,"&gt;0"))</f>
        <v/>
      </c>
      <c r="N51" s="15" t="str">
        <f aca="false">IF(N(M51)=0,"",_xlfn.MINIFS(ENSAYOS!$G$5:$G$3004,ENSAYOS!$C$5:$C$3004,F51,ENSAYOS!$Q$5:$Q$3004,"&gt;0"))</f>
        <v/>
      </c>
      <c r="O51" s="15" t="str">
        <f aca="false">IF(N(M51)=0,"",_xlfn.MAXIFS(ENSAYOS!$G$5:$G$3004,ENSAYOS!$C$5:$C$3004,F51,ENSAYOS!$Q$5:$Q$3004,"&gt;0"))</f>
        <v/>
      </c>
      <c r="P51" s="16" t="str">
        <f aca="false">IF(N(M51)=0,"",AVERAGEIFS(ENSAYOS!$Q$5:$Q$3004,ENSAYOS!$C$5:$C$3004,F51,ENSAYOS!$Q$5:$Q$3004,"&gt;0"))</f>
        <v/>
      </c>
      <c r="Q51" s="16" t="str">
        <f aca="false">IF(N(M51)=0,"",_xlfn.MINIFS(ENSAYOS!$Q$5:$Q$3004,ENSAYOS!$C$5:$C$3004,F51,ENSAYOS!$Q$5:$Q$3004,"&gt;0"))</f>
        <v/>
      </c>
      <c r="R51" s="16" t="str">
        <f aca="false">IF(N(M51)=0,"",_xlfn.MAXIFS(ENSAYOS!$Q$5:$Q$3004,ENSAYOS!$C$5:$C$3004,F51,ENSAYOS!$Q$5:$Q$3004,"&gt;0"))</f>
        <v/>
      </c>
      <c r="S51" s="16" t="str">
        <f aca="false">IF(N(M51)&lt;2,"",SQRT(MAX(0,(SUMIFS(ENSAYOS!$X$5:$X$3004,ENSAYOS!$C$5:$C$3004,F51,ENSAYOS!$Q$5:$Q$3004,"&gt;0")-M51*P51^2)/(M51-1))))</f>
        <v/>
      </c>
      <c r="T51" s="17" t="str">
        <f aca="false">IF(S51="","",S51/P51)</f>
        <v/>
      </c>
      <c r="U51" s="16" t="str">
        <f aca="false">IF(N(M51)=0,"",IF(N51&gt;=CONFIG!$B$27,"",AVERAGEIFS(ENSAYOS!$Q$5:$Q$3004,ENSAYOS!$C$5:$C$3004,F51,ENSAYOS!$Q$5:$Q$3004,"&gt;0",ENSAYOS!$G$5:$G$3004,N51)))</f>
        <v/>
      </c>
      <c r="V51" s="16" t="str">
        <f aca="false">IF(N(M51)=0,"",IF(COUNTIFS(ENSAYOS!$C$5:$C$3004,F51,ENSAYOS!$Q$5:$Q$3004,"&gt;0",ENSAYOS!$G$5:$G$3004,"&gt;="&amp;CONFIG!$B$27)=0,"",AVERAGEIFS(ENSAYOS!$Q$5:$Q$3004,ENSAYOS!$C$5:$C$3004,F51,ENSAYOS!$Q$5:$Q$3004,"&gt;0",ENSAYOS!$G$5:$G$3004,"&gt;="&amp;CONFIG!$B$27)))</f>
        <v/>
      </c>
      <c r="W51" s="18" t="str">
        <f aca="false">IF(AND(U51&lt;&gt;"",V51&lt;&gt;""),U51/V51,"")</f>
        <v/>
      </c>
      <c r="X51" s="18" t="str">
        <f aca="false">IF(U51="","",INDEX('CURVA EDAD'!$E$5:$E$32,MIN(28,MAX(1,N51))))</f>
        <v/>
      </c>
      <c r="Y51" s="16" t="str">
        <f aca="false">IF(V51&lt;&gt;"",V51,IF(U51="","",U51/X51))</f>
        <v/>
      </c>
      <c r="Z51" s="16" t="str">
        <f aca="false">IF(V51&lt;&gt;"",_xlfn.MINIFS(ENSAYOS!$Q$5:$Q$3004,ENSAYOS!$C$5:$C$3004,F51,ENSAYOS!$Q$5:$Q$3004,"&gt;0",ENSAYOS!$G$5:$G$3004,"&gt;="&amp;CONFIG!$B$27),IF(U51="","",_xlfn.MINIFS(ENSAYOS!$Q$5:$Q$3004,ENSAYOS!$C$5:$C$3004,F51,ENSAYOS!$Q$5:$Q$3004,"&gt;0",ENSAYOS!$G$5:$G$3004,N51)/X51))</f>
        <v/>
      </c>
      <c r="AA51" s="16" t="str">
        <f aca="false">IF(D51="","",IFERROR(1/(1/INDEX(CONFIG!$J$5:$J$14,MATCH(D51,CONFIG!$D$5:$D$14,0))),""))</f>
        <v/>
      </c>
      <c r="AB51" s="16" t="str">
        <f aca="false">IF(D51="","",IFERROR(1/(1/INDEX(CONFIG!$K$5:$K$14,MATCH(D51,CONFIG!$D$5:$D$14,0))),""))</f>
        <v/>
      </c>
      <c r="AC51" s="19" t="str">
        <f aca="false">IF(N(M51)=0,"",IF(AA51="","Sin spec",IF(AND(Y51&gt;=AA51,OR(AB51="",Z51&gt;=AB51)),"CUMPLE","NO CUMPLE")&amp;IF(V51=""," (est.)","")))</f>
        <v/>
      </c>
      <c r="AD51" s="20" t="str">
        <f aca="false">IF(F51="","",IF(COUNTIFS(ABSORCION!$C$5:$C$1004,F51,ABSORCION!$I$5:$I$1004,"&gt;0")=0,"",AVERAGEIFS(ABSORCION!$I$5:$I$1004,ABSORCION!$C$5:$C$1004,F51,ABSORCION!$I$5:$I$1004,"&gt;0")))</f>
        <v/>
      </c>
      <c r="AE51" s="20" t="str">
        <f aca="false">IF(F51="","",IF(COUNTIFS(ABSORCION!$C$5:$C$1004,F51,ABSORCION!$I$5:$I$1004,"&gt;0")=0,"",AVERAGEIFS(ABSORCION!$K$5:$K$1004,ABSORCION!$C$5:$C$1004,F51,ABSORCION!$I$5:$I$1004,"&gt;0")))</f>
        <v/>
      </c>
      <c r="AF51" s="20" t="str">
        <f aca="false">IF(AE51="","",IF(AE51&gt;=CONFIG!$E$21,CONFIG!$F$21,IF(AE51&gt;=CONFIG!$E$20,CONFIG!$F$20,CONFIG!$F$19)))</f>
        <v/>
      </c>
      <c r="AG51" s="21" t="str">
        <f aca="false">IF(F51="","",TRIM(IF(N(M51)=0,"Sin ensayos. ","")&amp;IF(AND(N(M51)&gt;0,N(M51)&lt;CONFIG!$B$26),"Menos de "&amp;CONFIG!$B$26&amp;" probetas. ","")&amp;IF(N(T51)&gt;CONFIG!$B$25,"CV alto. ","")&amp;IF(AND(N(AD51)&gt;0,N(AD51)&gt;N(AF51)),"Absorción alta. ","")))</f>
        <v/>
      </c>
      <c r="AH51" s="22" t="str">
        <f aca="false">IF(AND(N(M51)&gt;0,OR(CONTROL!$C$4="TODAS",C51=CONTROL!$C$4),D51=CONTROL!$C$5),MAX($AH$4:AH50)+1,"")</f>
        <v/>
      </c>
      <c r="AI51" s="22" t="str">
        <f aca="false">IF(AH51="","",P51^2)</f>
        <v/>
      </c>
    </row>
    <row r="52" customFormat="false" ht="15" hidden="false" customHeight="false" outlineLevel="0" collapsed="false">
      <c r="A52" s="11" t="str">
        <f aca="false">IF(B52="","",ROW()-4)</f>
        <v/>
      </c>
      <c r="B52" s="12"/>
      <c r="C52" s="13"/>
      <c r="D52" s="13"/>
      <c r="E52" s="13"/>
      <c r="F52" s="14" t="str">
        <f aca="false">IF(OR(B52="",C52="",D52=""),"",IFERROR(INDEX(CONFIG!$E$5:$E$14,MATCH(D52,CONFIG!$D$5:$D$14,0)),"?")&amp;RIGHT("0"&amp;DAY(B52),2)&amp;RIGHT("0"&amp;MONTH(B52),2)&amp;RIGHT(YEAR(B52),2)&amp;C52&amp;IF(E52="","","-"&amp;E52))</f>
        <v/>
      </c>
      <c r="G52" s="13"/>
      <c r="H52" s="13"/>
      <c r="I52" s="13"/>
      <c r="J52" s="13"/>
      <c r="K52" s="13"/>
      <c r="L52" s="13"/>
      <c r="M52" s="11" t="str">
        <f aca="false">IF(F52="","",COUNTIFS(ENSAYOS!$C$5:$C$3004,F52,ENSAYOS!$Q$5:$Q$3004,"&gt;0"))</f>
        <v/>
      </c>
      <c r="N52" s="15" t="str">
        <f aca="false">IF(N(M52)=0,"",_xlfn.MINIFS(ENSAYOS!$G$5:$G$3004,ENSAYOS!$C$5:$C$3004,F52,ENSAYOS!$Q$5:$Q$3004,"&gt;0"))</f>
        <v/>
      </c>
      <c r="O52" s="15" t="str">
        <f aca="false">IF(N(M52)=0,"",_xlfn.MAXIFS(ENSAYOS!$G$5:$G$3004,ENSAYOS!$C$5:$C$3004,F52,ENSAYOS!$Q$5:$Q$3004,"&gt;0"))</f>
        <v/>
      </c>
      <c r="P52" s="16" t="str">
        <f aca="false">IF(N(M52)=0,"",AVERAGEIFS(ENSAYOS!$Q$5:$Q$3004,ENSAYOS!$C$5:$C$3004,F52,ENSAYOS!$Q$5:$Q$3004,"&gt;0"))</f>
        <v/>
      </c>
      <c r="Q52" s="16" t="str">
        <f aca="false">IF(N(M52)=0,"",_xlfn.MINIFS(ENSAYOS!$Q$5:$Q$3004,ENSAYOS!$C$5:$C$3004,F52,ENSAYOS!$Q$5:$Q$3004,"&gt;0"))</f>
        <v/>
      </c>
      <c r="R52" s="16" t="str">
        <f aca="false">IF(N(M52)=0,"",_xlfn.MAXIFS(ENSAYOS!$Q$5:$Q$3004,ENSAYOS!$C$5:$C$3004,F52,ENSAYOS!$Q$5:$Q$3004,"&gt;0"))</f>
        <v/>
      </c>
      <c r="S52" s="16" t="str">
        <f aca="false">IF(N(M52)&lt;2,"",SQRT(MAX(0,(SUMIFS(ENSAYOS!$X$5:$X$3004,ENSAYOS!$C$5:$C$3004,F52,ENSAYOS!$Q$5:$Q$3004,"&gt;0")-M52*P52^2)/(M52-1))))</f>
        <v/>
      </c>
      <c r="T52" s="17" t="str">
        <f aca="false">IF(S52="","",S52/P52)</f>
        <v/>
      </c>
      <c r="U52" s="16" t="str">
        <f aca="false">IF(N(M52)=0,"",IF(N52&gt;=CONFIG!$B$27,"",AVERAGEIFS(ENSAYOS!$Q$5:$Q$3004,ENSAYOS!$C$5:$C$3004,F52,ENSAYOS!$Q$5:$Q$3004,"&gt;0",ENSAYOS!$G$5:$G$3004,N52)))</f>
        <v/>
      </c>
      <c r="V52" s="16" t="str">
        <f aca="false">IF(N(M52)=0,"",IF(COUNTIFS(ENSAYOS!$C$5:$C$3004,F52,ENSAYOS!$Q$5:$Q$3004,"&gt;0",ENSAYOS!$G$5:$G$3004,"&gt;="&amp;CONFIG!$B$27)=0,"",AVERAGEIFS(ENSAYOS!$Q$5:$Q$3004,ENSAYOS!$C$5:$C$3004,F52,ENSAYOS!$Q$5:$Q$3004,"&gt;0",ENSAYOS!$G$5:$G$3004,"&gt;="&amp;CONFIG!$B$27)))</f>
        <v/>
      </c>
      <c r="W52" s="18" t="str">
        <f aca="false">IF(AND(U52&lt;&gt;"",V52&lt;&gt;""),U52/V52,"")</f>
        <v/>
      </c>
      <c r="X52" s="18" t="str">
        <f aca="false">IF(U52="","",INDEX('CURVA EDAD'!$E$5:$E$32,MIN(28,MAX(1,N52))))</f>
        <v/>
      </c>
      <c r="Y52" s="16" t="str">
        <f aca="false">IF(V52&lt;&gt;"",V52,IF(U52="","",U52/X52))</f>
        <v/>
      </c>
      <c r="Z52" s="16" t="str">
        <f aca="false">IF(V52&lt;&gt;"",_xlfn.MINIFS(ENSAYOS!$Q$5:$Q$3004,ENSAYOS!$C$5:$C$3004,F52,ENSAYOS!$Q$5:$Q$3004,"&gt;0",ENSAYOS!$G$5:$G$3004,"&gt;="&amp;CONFIG!$B$27),IF(U52="","",_xlfn.MINIFS(ENSAYOS!$Q$5:$Q$3004,ENSAYOS!$C$5:$C$3004,F52,ENSAYOS!$Q$5:$Q$3004,"&gt;0",ENSAYOS!$G$5:$G$3004,N52)/X52))</f>
        <v/>
      </c>
      <c r="AA52" s="16" t="str">
        <f aca="false">IF(D52="","",IFERROR(1/(1/INDEX(CONFIG!$J$5:$J$14,MATCH(D52,CONFIG!$D$5:$D$14,0))),""))</f>
        <v/>
      </c>
      <c r="AB52" s="16" t="str">
        <f aca="false">IF(D52="","",IFERROR(1/(1/INDEX(CONFIG!$K$5:$K$14,MATCH(D52,CONFIG!$D$5:$D$14,0))),""))</f>
        <v/>
      </c>
      <c r="AC52" s="19" t="str">
        <f aca="false">IF(N(M52)=0,"",IF(AA52="","Sin spec",IF(AND(Y52&gt;=AA52,OR(AB52="",Z52&gt;=AB52)),"CUMPLE","NO CUMPLE")&amp;IF(V52=""," (est.)","")))</f>
        <v/>
      </c>
      <c r="AD52" s="20" t="str">
        <f aca="false">IF(F52="","",IF(COUNTIFS(ABSORCION!$C$5:$C$1004,F52,ABSORCION!$I$5:$I$1004,"&gt;0")=0,"",AVERAGEIFS(ABSORCION!$I$5:$I$1004,ABSORCION!$C$5:$C$1004,F52,ABSORCION!$I$5:$I$1004,"&gt;0")))</f>
        <v/>
      </c>
      <c r="AE52" s="20" t="str">
        <f aca="false">IF(F52="","",IF(COUNTIFS(ABSORCION!$C$5:$C$1004,F52,ABSORCION!$I$5:$I$1004,"&gt;0")=0,"",AVERAGEIFS(ABSORCION!$K$5:$K$1004,ABSORCION!$C$5:$C$1004,F52,ABSORCION!$I$5:$I$1004,"&gt;0")))</f>
        <v/>
      </c>
      <c r="AF52" s="20" t="str">
        <f aca="false">IF(AE52="","",IF(AE52&gt;=CONFIG!$E$21,CONFIG!$F$21,IF(AE52&gt;=CONFIG!$E$20,CONFIG!$F$20,CONFIG!$F$19)))</f>
        <v/>
      </c>
      <c r="AG52" s="21" t="str">
        <f aca="false">IF(F52="","",TRIM(IF(N(M52)=0,"Sin ensayos. ","")&amp;IF(AND(N(M52)&gt;0,N(M52)&lt;CONFIG!$B$26),"Menos de "&amp;CONFIG!$B$26&amp;" probetas. ","")&amp;IF(N(T52)&gt;CONFIG!$B$25,"CV alto. ","")&amp;IF(AND(N(AD52)&gt;0,N(AD52)&gt;N(AF52)),"Absorción alta. ","")))</f>
        <v/>
      </c>
      <c r="AH52" s="22" t="str">
        <f aca="false">IF(AND(N(M52)&gt;0,OR(CONTROL!$C$4="TODAS",C52=CONTROL!$C$4),D52=CONTROL!$C$5),MAX($AH$4:AH51)+1,"")</f>
        <v/>
      </c>
      <c r="AI52" s="22" t="str">
        <f aca="false">IF(AH52="","",P52^2)</f>
        <v/>
      </c>
    </row>
    <row r="53" customFormat="false" ht="15" hidden="false" customHeight="false" outlineLevel="0" collapsed="false">
      <c r="A53" s="11" t="str">
        <f aca="false">IF(B53="","",ROW()-4)</f>
        <v/>
      </c>
      <c r="B53" s="12"/>
      <c r="C53" s="13"/>
      <c r="D53" s="13"/>
      <c r="E53" s="13"/>
      <c r="F53" s="14" t="str">
        <f aca="false">IF(OR(B53="",C53="",D53=""),"",IFERROR(INDEX(CONFIG!$E$5:$E$14,MATCH(D53,CONFIG!$D$5:$D$14,0)),"?")&amp;RIGHT("0"&amp;DAY(B53),2)&amp;RIGHT("0"&amp;MONTH(B53),2)&amp;RIGHT(YEAR(B53),2)&amp;C53&amp;IF(E53="","","-"&amp;E53))</f>
        <v/>
      </c>
      <c r="G53" s="13"/>
      <c r="H53" s="13"/>
      <c r="I53" s="13"/>
      <c r="J53" s="13"/>
      <c r="K53" s="13"/>
      <c r="L53" s="13"/>
      <c r="M53" s="11" t="str">
        <f aca="false">IF(F53="","",COUNTIFS(ENSAYOS!$C$5:$C$3004,F53,ENSAYOS!$Q$5:$Q$3004,"&gt;0"))</f>
        <v/>
      </c>
      <c r="N53" s="15" t="str">
        <f aca="false">IF(N(M53)=0,"",_xlfn.MINIFS(ENSAYOS!$G$5:$G$3004,ENSAYOS!$C$5:$C$3004,F53,ENSAYOS!$Q$5:$Q$3004,"&gt;0"))</f>
        <v/>
      </c>
      <c r="O53" s="15" t="str">
        <f aca="false">IF(N(M53)=0,"",_xlfn.MAXIFS(ENSAYOS!$G$5:$G$3004,ENSAYOS!$C$5:$C$3004,F53,ENSAYOS!$Q$5:$Q$3004,"&gt;0"))</f>
        <v/>
      </c>
      <c r="P53" s="16" t="str">
        <f aca="false">IF(N(M53)=0,"",AVERAGEIFS(ENSAYOS!$Q$5:$Q$3004,ENSAYOS!$C$5:$C$3004,F53,ENSAYOS!$Q$5:$Q$3004,"&gt;0"))</f>
        <v/>
      </c>
      <c r="Q53" s="16" t="str">
        <f aca="false">IF(N(M53)=0,"",_xlfn.MINIFS(ENSAYOS!$Q$5:$Q$3004,ENSAYOS!$C$5:$C$3004,F53,ENSAYOS!$Q$5:$Q$3004,"&gt;0"))</f>
        <v/>
      </c>
      <c r="R53" s="16" t="str">
        <f aca="false">IF(N(M53)=0,"",_xlfn.MAXIFS(ENSAYOS!$Q$5:$Q$3004,ENSAYOS!$C$5:$C$3004,F53,ENSAYOS!$Q$5:$Q$3004,"&gt;0"))</f>
        <v/>
      </c>
      <c r="S53" s="16" t="str">
        <f aca="false">IF(N(M53)&lt;2,"",SQRT(MAX(0,(SUMIFS(ENSAYOS!$X$5:$X$3004,ENSAYOS!$C$5:$C$3004,F53,ENSAYOS!$Q$5:$Q$3004,"&gt;0")-M53*P53^2)/(M53-1))))</f>
        <v/>
      </c>
      <c r="T53" s="17" t="str">
        <f aca="false">IF(S53="","",S53/P53)</f>
        <v/>
      </c>
      <c r="U53" s="16" t="str">
        <f aca="false">IF(N(M53)=0,"",IF(N53&gt;=CONFIG!$B$27,"",AVERAGEIFS(ENSAYOS!$Q$5:$Q$3004,ENSAYOS!$C$5:$C$3004,F53,ENSAYOS!$Q$5:$Q$3004,"&gt;0",ENSAYOS!$G$5:$G$3004,N53)))</f>
        <v/>
      </c>
      <c r="V53" s="16" t="str">
        <f aca="false">IF(N(M53)=0,"",IF(COUNTIFS(ENSAYOS!$C$5:$C$3004,F53,ENSAYOS!$Q$5:$Q$3004,"&gt;0",ENSAYOS!$G$5:$G$3004,"&gt;="&amp;CONFIG!$B$27)=0,"",AVERAGEIFS(ENSAYOS!$Q$5:$Q$3004,ENSAYOS!$C$5:$C$3004,F53,ENSAYOS!$Q$5:$Q$3004,"&gt;0",ENSAYOS!$G$5:$G$3004,"&gt;="&amp;CONFIG!$B$27)))</f>
        <v/>
      </c>
      <c r="W53" s="18" t="str">
        <f aca="false">IF(AND(U53&lt;&gt;"",V53&lt;&gt;""),U53/V53,"")</f>
        <v/>
      </c>
      <c r="X53" s="18" t="str">
        <f aca="false">IF(U53="","",INDEX('CURVA EDAD'!$E$5:$E$32,MIN(28,MAX(1,N53))))</f>
        <v/>
      </c>
      <c r="Y53" s="16" t="str">
        <f aca="false">IF(V53&lt;&gt;"",V53,IF(U53="","",U53/X53))</f>
        <v/>
      </c>
      <c r="Z53" s="16" t="str">
        <f aca="false">IF(V53&lt;&gt;"",_xlfn.MINIFS(ENSAYOS!$Q$5:$Q$3004,ENSAYOS!$C$5:$C$3004,F53,ENSAYOS!$Q$5:$Q$3004,"&gt;0",ENSAYOS!$G$5:$G$3004,"&gt;="&amp;CONFIG!$B$27),IF(U53="","",_xlfn.MINIFS(ENSAYOS!$Q$5:$Q$3004,ENSAYOS!$C$5:$C$3004,F53,ENSAYOS!$Q$5:$Q$3004,"&gt;0",ENSAYOS!$G$5:$G$3004,N53)/X53))</f>
        <v/>
      </c>
      <c r="AA53" s="16" t="str">
        <f aca="false">IF(D53="","",IFERROR(1/(1/INDEX(CONFIG!$J$5:$J$14,MATCH(D53,CONFIG!$D$5:$D$14,0))),""))</f>
        <v/>
      </c>
      <c r="AB53" s="16" t="str">
        <f aca="false">IF(D53="","",IFERROR(1/(1/INDEX(CONFIG!$K$5:$K$14,MATCH(D53,CONFIG!$D$5:$D$14,0))),""))</f>
        <v/>
      </c>
      <c r="AC53" s="19" t="str">
        <f aca="false">IF(N(M53)=0,"",IF(AA53="","Sin spec",IF(AND(Y53&gt;=AA53,OR(AB53="",Z53&gt;=AB53)),"CUMPLE","NO CUMPLE")&amp;IF(V53=""," (est.)","")))</f>
        <v/>
      </c>
      <c r="AD53" s="20" t="str">
        <f aca="false">IF(F53="","",IF(COUNTIFS(ABSORCION!$C$5:$C$1004,F53,ABSORCION!$I$5:$I$1004,"&gt;0")=0,"",AVERAGEIFS(ABSORCION!$I$5:$I$1004,ABSORCION!$C$5:$C$1004,F53,ABSORCION!$I$5:$I$1004,"&gt;0")))</f>
        <v/>
      </c>
      <c r="AE53" s="20" t="str">
        <f aca="false">IF(F53="","",IF(COUNTIFS(ABSORCION!$C$5:$C$1004,F53,ABSORCION!$I$5:$I$1004,"&gt;0")=0,"",AVERAGEIFS(ABSORCION!$K$5:$K$1004,ABSORCION!$C$5:$C$1004,F53,ABSORCION!$I$5:$I$1004,"&gt;0")))</f>
        <v/>
      </c>
      <c r="AF53" s="20" t="str">
        <f aca="false">IF(AE53="","",IF(AE53&gt;=CONFIG!$E$21,CONFIG!$F$21,IF(AE53&gt;=CONFIG!$E$20,CONFIG!$F$20,CONFIG!$F$19)))</f>
        <v/>
      </c>
      <c r="AG53" s="21" t="str">
        <f aca="false">IF(F53="","",TRIM(IF(N(M53)=0,"Sin ensayos. ","")&amp;IF(AND(N(M53)&gt;0,N(M53)&lt;CONFIG!$B$26),"Menos de "&amp;CONFIG!$B$26&amp;" probetas. ","")&amp;IF(N(T53)&gt;CONFIG!$B$25,"CV alto. ","")&amp;IF(AND(N(AD53)&gt;0,N(AD53)&gt;N(AF53)),"Absorción alta. ","")))</f>
        <v/>
      </c>
      <c r="AH53" s="22" t="str">
        <f aca="false">IF(AND(N(M53)&gt;0,OR(CONTROL!$C$4="TODAS",C53=CONTROL!$C$4),D53=CONTROL!$C$5),MAX($AH$4:AH52)+1,"")</f>
        <v/>
      </c>
      <c r="AI53" s="22" t="str">
        <f aca="false">IF(AH53="","",P53^2)</f>
        <v/>
      </c>
    </row>
    <row r="54" customFormat="false" ht="15" hidden="false" customHeight="false" outlineLevel="0" collapsed="false">
      <c r="A54" s="11" t="str">
        <f aca="false">IF(B54="","",ROW()-4)</f>
        <v/>
      </c>
      <c r="B54" s="12"/>
      <c r="C54" s="13"/>
      <c r="D54" s="13"/>
      <c r="E54" s="13"/>
      <c r="F54" s="14" t="str">
        <f aca="false">IF(OR(B54="",C54="",D54=""),"",IFERROR(INDEX(CONFIG!$E$5:$E$14,MATCH(D54,CONFIG!$D$5:$D$14,0)),"?")&amp;RIGHT("0"&amp;DAY(B54),2)&amp;RIGHT("0"&amp;MONTH(B54),2)&amp;RIGHT(YEAR(B54),2)&amp;C54&amp;IF(E54="","","-"&amp;E54))</f>
        <v/>
      </c>
      <c r="G54" s="13"/>
      <c r="H54" s="13"/>
      <c r="I54" s="13"/>
      <c r="J54" s="13"/>
      <c r="K54" s="13"/>
      <c r="L54" s="13"/>
      <c r="M54" s="11" t="str">
        <f aca="false">IF(F54="","",COUNTIFS(ENSAYOS!$C$5:$C$3004,F54,ENSAYOS!$Q$5:$Q$3004,"&gt;0"))</f>
        <v/>
      </c>
      <c r="N54" s="15" t="str">
        <f aca="false">IF(N(M54)=0,"",_xlfn.MINIFS(ENSAYOS!$G$5:$G$3004,ENSAYOS!$C$5:$C$3004,F54,ENSAYOS!$Q$5:$Q$3004,"&gt;0"))</f>
        <v/>
      </c>
      <c r="O54" s="15" t="str">
        <f aca="false">IF(N(M54)=0,"",_xlfn.MAXIFS(ENSAYOS!$G$5:$G$3004,ENSAYOS!$C$5:$C$3004,F54,ENSAYOS!$Q$5:$Q$3004,"&gt;0"))</f>
        <v/>
      </c>
      <c r="P54" s="16" t="str">
        <f aca="false">IF(N(M54)=0,"",AVERAGEIFS(ENSAYOS!$Q$5:$Q$3004,ENSAYOS!$C$5:$C$3004,F54,ENSAYOS!$Q$5:$Q$3004,"&gt;0"))</f>
        <v/>
      </c>
      <c r="Q54" s="16" t="str">
        <f aca="false">IF(N(M54)=0,"",_xlfn.MINIFS(ENSAYOS!$Q$5:$Q$3004,ENSAYOS!$C$5:$C$3004,F54,ENSAYOS!$Q$5:$Q$3004,"&gt;0"))</f>
        <v/>
      </c>
      <c r="R54" s="16" t="str">
        <f aca="false">IF(N(M54)=0,"",_xlfn.MAXIFS(ENSAYOS!$Q$5:$Q$3004,ENSAYOS!$C$5:$C$3004,F54,ENSAYOS!$Q$5:$Q$3004,"&gt;0"))</f>
        <v/>
      </c>
      <c r="S54" s="16" t="str">
        <f aca="false">IF(N(M54)&lt;2,"",SQRT(MAX(0,(SUMIFS(ENSAYOS!$X$5:$X$3004,ENSAYOS!$C$5:$C$3004,F54,ENSAYOS!$Q$5:$Q$3004,"&gt;0")-M54*P54^2)/(M54-1))))</f>
        <v/>
      </c>
      <c r="T54" s="17" t="str">
        <f aca="false">IF(S54="","",S54/P54)</f>
        <v/>
      </c>
      <c r="U54" s="16" t="str">
        <f aca="false">IF(N(M54)=0,"",IF(N54&gt;=CONFIG!$B$27,"",AVERAGEIFS(ENSAYOS!$Q$5:$Q$3004,ENSAYOS!$C$5:$C$3004,F54,ENSAYOS!$Q$5:$Q$3004,"&gt;0",ENSAYOS!$G$5:$G$3004,N54)))</f>
        <v/>
      </c>
      <c r="V54" s="16" t="str">
        <f aca="false">IF(N(M54)=0,"",IF(COUNTIFS(ENSAYOS!$C$5:$C$3004,F54,ENSAYOS!$Q$5:$Q$3004,"&gt;0",ENSAYOS!$G$5:$G$3004,"&gt;="&amp;CONFIG!$B$27)=0,"",AVERAGEIFS(ENSAYOS!$Q$5:$Q$3004,ENSAYOS!$C$5:$C$3004,F54,ENSAYOS!$Q$5:$Q$3004,"&gt;0",ENSAYOS!$G$5:$G$3004,"&gt;="&amp;CONFIG!$B$27)))</f>
        <v/>
      </c>
      <c r="W54" s="18" t="str">
        <f aca="false">IF(AND(U54&lt;&gt;"",V54&lt;&gt;""),U54/V54,"")</f>
        <v/>
      </c>
      <c r="X54" s="18" t="str">
        <f aca="false">IF(U54="","",INDEX('CURVA EDAD'!$E$5:$E$32,MIN(28,MAX(1,N54))))</f>
        <v/>
      </c>
      <c r="Y54" s="16" t="str">
        <f aca="false">IF(V54&lt;&gt;"",V54,IF(U54="","",U54/X54))</f>
        <v/>
      </c>
      <c r="Z54" s="16" t="str">
        <f aca="false">IF(V54&lt;&gt;"",_xlfn.MINIFS(ENSAYOS!$Q$5:$Q$3004,ENSAYOS!$C$5:$C$3004,F54,ENSAYOS!$Q$5:$Q$3004,"&gt;0",ENSAYOS!$G$5:$G$3004,"&gt;="&amp;CONFIG!$B$27),IF(U54="","",_xlfn.MINIFS(ENSAYOS!$Q$5:$Q$3004,ENSAYOS!$C$5:$C$3004,F54,ENSAYOS!$Q$5:$Q$3004,"&gt;0",ENSAYOS!$G$5:$G$3004,N54)/X54))</f>
        <v/>
      </c>
      <c r="AA54" s="16" t="str">
        <f aca="false">IF(D54="","",IFERROR(1/(1/INDEX(CONFIG!$J$5:$J$14,MATCH(D54,CONFIG!$D$5:$D$14,0))),""))</f>
        <v/>
      </c>
      <c r="AB54" s="16" t="str">
        <f aca="false">IF(D54="","",IFERROR(1/(1/INDEX(CONFIG!$K$5:$K$14,MATCH(D54,CONFIG!$D$5:$D$14,0))),""))</f>
        <v/>
      </c>
      <c r="AC54" s="19" t="str">
        <f aca="false">IF(N(M54)=0,"",IF(AA54="","Sin spec",IF(AND(Y54&gt;=AA54,OR(AB54="",Z54&gt;=AB54)),"CUMPLE","NO CUMPLE")&amp;IF(V54=""," (est.)","")))</f>
        <v/>
      </c>
      <c r="AD54" s="20" t="str">
        <f aca="false">IF(F54="","",IF(COUNTIFS(ABSORCION!$C$5:$C$1004,F54,ABSORCION!$I$5:$I$1004,"&gt;0")=0,"",AVERAGEIFS(ABSORCION!$I$5:$I$1004,ABSORCION!$C$5:$C$1004,F54,ABSORCION!$I$5:$I$1004,"&gt;0")))</f>
        <v/>
      </c>
      <c r="AE54" s="20" t="str">
        <f aca="false">IF(F54="","",IF(COUNTIFS(ABSORCION!$C$5:$C$1004,F54,ABSORCION!$I$5:$I$1004,"&gt;0")=0,"",AVERAGEIFS(ABSORCION!$K$5:$K$1004,ABSORCION!$C$5:$C$1004,F54,ABSORCION!$I$5:$I$1004,"&gt;0")))</f>
        <v/>
      </c>
      <c r="AF54" s="20" t="str">
        <f aca="false">IF(AE54="","",IF(AE54&gt;=CONFIG!$E$21,CONFIG!$F$21,IF(AE54&gt;=CONFIG!$E$20,CONFIG!$F$20,CONFIG!$F$19)))</f>
        <v/>
      </c>
      <c r="AG54" s="21" t="str">
        <f aca="false">IF(F54="","",TRIM(IF(N(M54)=0,"Sin ensayos. ","")&amp;IF(AND(N(M54)&gt;0,N(M54)&lt;CONFIG!$B$26),"Menos de "&amp;CONFIG!$B$26&amp;" probetas. ","")&amp;IF(N(T54)&gt;CONFIG!$B$25,"CV alto. ","")&amp;IF(AND(N(AD54)&gt;0,N(AD54)&gt;N(AF54)),"Absorción alta. ","")))</f>
        <v/>
      </c>
      <c r="AH54" s="22" t="str">
        <f aca="false">IF(AND(N(M54)&gt;0,OR(CONTROL!$C$4="TODAS",C54=CONTROL!$C$4),D54=CONTROL!$C$5),MAX($AH$4:AH53)+1,"")</f>
        <v/>
      </c>
      <c r="AI54" s="22" t="str">
        <f aca="false">IF(AH54="","",P54^2)</f>
        <v/>
      </c>
    </row>
    <row r="55" customFormat="false" ht="15" hidden="false" customHeight="false" outlineLevel="0" collapsed="false">
      <c r="A55" s="11" t="str">
        <f aca="false">IF(B55="","",ROW()-4)</f>
        <v/>
      </c>
      <c r="B55" s="12"/>
      <c r="C55" s="13"/>
      <c r="D55" s="13"/>
      <c r="E55" s="13"/>
      <c r="F55" s="14" t="str">
        <f aca="false">IF(OR(B55="",C55="",D55=""),"",IFERROR(INDEX(CONFIG!$E$5:$E$14,MATCH(D55,CONFIG!$D$5:$D$14,0)),"?")&amp;RIGHT("0"&amp;DAY(B55),2)&amp;RIGHT("0"&amp;MONTH(B55),2)&amp;RIGHT(YEAR(B55),2)&amp;C55&amp;IF(E55="","","-"&amp;E55))</f>
        <v/>
      </c>
      <c r="G55" s="13"/>
      <c r="H55" s="13"/>
      <c r="I55" s="13"/>
      <c r="J55" s="13"/>
      <c r="K55" s="13"/>
      <c r="L55" s="13"/>
      <c r="M55" s="11" t="str">
        <f aca="false">IF(F55="","",COUNTIFS(ENSAYOS!$C$5:$C$3004,F55,ENSAYOS!$Q$5:$Q$3004,"&gt;0"))</f>
        <v/>
      </c>
      <c r="N55" s="15" t="str">
        <f aca="false">IF(N(M55)=0,"",_xlfn.MINIFS(ENSAYOS!$G$5:$G$3004,ENSAYOS!$C$5:$C$3004,F55,ENSAYOS!$Q$5:$Q$3004,"&gt;0"))</f>
        <v/>
      </c>
      <c r="O55" s="15" t="str">
        <f aca="false">IF(N(M55)=0,"",_xlfn.MAXIFS(ENSAYOS!$G$5:$G$3004,ENSAYOS!$C$5:$C$3004,F55,ENSAYOS!$Q$5:$Q$3004,"&gt;0"))</f>
        <v/>
      </c>
      <c r="P55" s="16" t="str">
        <f aca="false">IF(N(M55)=0,"",AVERAGEIFS(ENSAYOS!$Q$5:$Q$3004,ENSAYOS!$C$5:$C$3004,F55,ENSAYOS!$Q$5:$Q$3004,"&gt;0"))</f>
        <v/>
      </c>
      <c r="Q55" s="16" t="str">
        <f aca="false">IF(N(M55)=0,"",_xlfn.MINIFS(ENSAYOS!$Q$5:$Q$3004,ENSAYOS!$C$5:$C$3004,F55,ENSAYOS!$Q$5:$Q$3004,"&gt;0"))</f>
        <v/>
      </c>
      <c r="R55" s="16" t="str">
        <f aca="false">IF(N(M55)=0,"",_xlfn.MAXIFS(ENSAYOS!$Q$5:$Q$3004,ENSAYOS!$C$5:$C$3004,F55,ENSAYOS!$Q$5:$Q$3004,"&gt;0"))</f>
        <v/>
      </c>
      <c r="S55" s="16" t="str">
        <f aca="false">IF(N(M55)&lt;2,"",SQRT(MAX(0,(SUMIFS(ENSAYOS!$X$5:$X$3004,ENSAYOS!$C$5:$C$3004,F55,ENSAYOS!$Q$5:$Q$3004,"&gt;0")-M55*P55^2)/(M55-1))))</f>
        <v/>
      </c>
      <c r="T55" s="17" t="str">
        <f aca="false">IF(S55="","",S55/P55)</f>
        <v/>
      </c>
      <c r="U55" s="16" t="str">
        <f aca="false">IF(N(M55)=0,"",IF(N55&gt;=CONFIG!$B$27,"",AVERAGEIFS(ENSAYOS!$Q$5:$Q$3004,ENSAYOS!$C$5:$C$3004,F55,ENSAYOS!$Q$5:$Q$3004,"&gt;0",ENSAYOS!$G$5:$G$3004,N55)))</f>
        <v/>
      </c>
      <c r="V55" s="16" t="str">
        <f aca="false">IF(N(M55)=0,"",IF(COUNTIFS(ENSAYOS!$C$5:$C$3004,F55,ENSAYOS!$Q$5:$Q$3004,"&gt;0",ENSAYOS!$G$5:$G$3004,"&gt;="&amp;CONFIG!$B$27)=0,"",AVERAGEIFS(ENSAYOS!$Q$5:$Q$3004,ENSAYOS!$C$5:$C$3004,F55,ENSAYOS!$Q$5:$Q$3004,"&gt;0",ENSAYOS!$G$5:$G$3004,"&gt;="&amp;CONFIG!$B$27)))</f>
        <v/>
      </c>
      <c r="W55" s="18" t="str">
        <f aca="false">IF(AND(U55&lt;&gt;"",V55&lt;&gt;""),U55/V55,"")</f>
        <v/>
      </c>
      <c r="X55" s="18" t="str">
        <f aca="false">IF(U55="","",INDEX('CURVA EDAD'!$E$5:$E$32,MIN(28,MAX(1,N55))))</f>
        <v/>
      </c>
      <c r="Y55" s="16" t="str">
        <f aca="false">IF(V55&lt;&gt;"",V55,IF(U55="","",U55/X55))</f>
        <v/>
      </c>
      <c r="Z55" s="16" t="str">
        <f aca="false">IF(V55&lt;&gt;"",_xlfn.MINIFS(ENSAYOS!$Q$5:$Q$3004,ENSAYOS!$C$5:$C$3004,F55,ENSAYOS!$Q$5:$Q$3004,"&gt;0",ENSAYOS!$G$5:$G$3004,"&gt;="&amp;CONFIG!$B$27),IF(U55="","",_xlfn.MINIFS(ENSAYOS!$Q$5:$Q$3004,ENSAYOS!$C$5:$C$3004,F55,ENSAYOS!$Q$5:$Q$3004,"&gt;0",ENSAYOS!$G$5:$G$3004,N55)/X55))</f>
        <v/>
      </c>
      <c r="AA55" s="16" t="str">
        <f aca="false">IF(D55="","",IFERROR(1/(1/INDEX(CONFIG!$J$5:$J$14,MATCH(D55,CONFIG!$D$5:$D$14,0))),""))</f>
        <v/>
      </c>
      <c r="AB55" s="16" t="str">
        <f aca="false">IF(D55="","",IFERROR(1/(1/INDEX(CONFIG!$K$5:$K$14,MATCH(D55,CONFIG!$D$5:$D$14,0))),""))</f>
        <v/>
      </c>
      <c r="AC55" s="19" t="str">
        <f aca="false">IF(N(M55)=0,"",IF(AA55="","Sin spec",IF(AND(Y55&gt;=AA55,OR(AB55="",Z55&gt;=AB55)),"CUMPLE","NO CUMPLE")&amp;IF(V55=""," (est.)","")))</f>
        <v/>
      </c>
      <c r="AD55" s="20" t="str">
        <f aca="false">IF(F55="","",IF(COUNTIFS(ABSORCION!$C$5:$C$1004,F55,ABSORCION!$I$5:$I$1004,"&gt;0")=0,"",AVERAGEIFS(ABSORCION!$I$5:$I$1004,ABSORCION!$C$5:$C$1004,F55,ABSORCION!$I$5:$I$1004,"&gt;0")))</f>
        <v/>
      </c>
      <c r="AE55" s="20" t="str">
        <f aca="false">IF(F55="","",IF(COUNTIFS(ABSORCION!$C$5:$C$1004,F55,ABSORCION!$I$5:$I$1004,"&gt;0")=0,"",AVERAGEIFS(ABSORCION!$K$5:$K$1004,ABSORCION!$C$5:$C$1004,F55,ABSORCION!$I$5:$I$1004,"&gt;0")))</f>
        <v/>
      </c>
      <c r="AF55" s="20" t="str">
        <f aca="false">IF(AE55="","",IF(AE55&gt;=CONFIG!$E$21,CONFIG!$F$21,IF(AE55&gt;=CONFIG!$E$20,CONFIG!$F$20,CONFIG!$F$19)))</f>
        <v/>
      </c>
      <c r="AG55" s="21" t="str">
        <f aca="false">IF(F55="","",TRIM(IF(N(M55)=0,"Sin ensayos. ","")&amp;IF(AND(N(M55)&gt;0,N(M55)&lt;CONFIG!$B$26),"Menos de "&amp;CONFIG!$B$26&amp;" probetas. ","")&amp;IF(N(T55)&gt;CONFIG!$B$25,"CV alto. ","")&amp;IF(AND(N(AD55)&gt;0,N(AD55)&gt;N(AF55)),"Absorción alta. ","")))</f>
        <v/>
      </c>
      <c r="AH55" s="22" t="str">
        <f aca="false">IF(AND(N(M55)&gt;0,OR(CONTROL!$C$4="TODAS",C55=CONTROL!$C$4),D55=CONTROL!$C$5),MAX($AH$4:AH54)+1,"")</f>
        <v/>
      </c>
      <c r="AI55" s="22" t="str">
        <f aca="false">IF(AH55="","",P55^2)</f>
        <v/>
      </c>
    </row>
    <row r="56" customFormat="false" ht="15" hidden="false" customHeight="false" outlineLevel="0" collapsed="false">
      <c r="A56" s="11" t="str">
        <f aca="false">IF(B56="","",ROW()-4)</f>
        <v/>
      </c>
      <c r="B56" s="12"/>
      <c r="C56" s="13"/>
      <c r="D56" s="13"/>
      <c r="E56" s="13"/>
      <c r="F56" s="14" t="str">
        <f aca="false">IF(OR(B56="",C56="",D56=""),"",IFERROR(INDEX(CONFIG!$E$5:$E$14,MATCH(D56,CONFIG!$D$5:$D$14,0)),"?")&amp;RIGHT("0"&amp;DAY(B56),2)&amp;RIGHT("0"&amp;MONTH(B56),2)&amp;RIGHT(YEAR(B56),2)&amp;C56&amp;IF(E56="","","-"&amp;E56))</f>
        <v/>
      </c>
      <c r="G56" s="13"/>
      <c r="H56" s="13"/>
      <c r="I56" s="13"/>
      <c r="J56" s="13"/>
      <c r="K56" s="13"/>
      <c r="L56" s="13"/>
      <c r="M56" s="11" t="str">
        <f aca="false">IF(F56="","",COUNTIFS(ENSAYOS!$C$5:$C$3004,F56,ENSAYOS!$Q$5:$Q$3004,"&gt;0"))</f>
        <v/>
      </c>
      <c r="N56" s="15" t="str">
        <f aca="false">IF(N(M56)=0,"",_xlfn.MINIFS(ENSAYOS!$G$5:$G$3004,ENSAYOS!$C$5:$C$3004,F56,ENSAYOS!$Q$5:$Q$3004,"&gt;0"))</f>
        <v/>
      </c>
      <c r="O56" s="15" t="str">
        <f aca="false">IF(N(M56)=0,"",_xlfn.MAXIFS(ENSAYOS!$G$5:$G$3004,ENSAYOS!$C$5:$C$3004,F56,ENSAYOS!$Q$5:$Q$3004,"&gt;0"))</f>
        <v/>
      </c>
      <c r="P56" s="16" t="str">
        <f aca="false">IF(N(M56)=0,"",AVERAGEIFS(ENSAYOS!$Q$5:$Q$3004,ENSAYOS!$C$5:$C$3004,F56,ENSAYOS!$Q$5:$Q$3004,"&gt;0"))</f>
        <v/>
      </c>
      <c r="Q56" s="16" t="str">
        <f aca="false">IF(N(M56)=0,"",_xlfn.MINIFS(ENSAYOS!$Q$5:$Q$3004,ENSAYOS!$C$5:$C$3004,F56,ENSAYOS!$Q$5:$Q$3004,"&gt;0"))</f>
        <v/>
      </c>
      <c r="R56" s="16" t="str">
        <f aca="false">IF(N(M56)=0,"",_xlfn.MAXIFS(ENSAYOS!$Q$5:$Q$3004,ENSAYOS!$C$5:$C$3004,F56,ENSAYOS!$Q$5:$Q$3004,"&gt;0"))</f>
        <v/>
      </c>
      <c r="S56" s="16" t="str">
        <f aca="false">IF(N(M56)&lt;2,"",SQRT(MAX(0,(SUMIFS(ENSAYOS!$X$5:$X$3004,ENSAYOS!$C$5:$C$3004,F56,ENSAYOS!$Q$5:$Q$3004,"&gt;0")-M56*P56^2)/(M56-1))))</f>
        <v/>
      </c>
      <c r="T56" s="17" t="str">
        <f aca="false">IF(S56="","",S56/P56)</f>
        <v/>
      </c>
      <c r="U56" s="16" t="str">
        <f aca="false">IF(N(M56)=0,"",IF(N56&gt;=CONFIG!$B$27,"",AVERAGEIFS(ENSAYOS!$Q$5:$Q$3004,ENSAYOS!$C$5:$C$3004,F56,ENSAYOS!$Q$5:$Q$3004,"&gt;0",ENSAYOS!$G$5:$G$3004,N56)))</f>
        <v/>
      </c>
      <c r="V56" s="16" t="str">
        <f aca="false">IF(N(M56)=0,"",IF(COUNTIFS(ENSAYOS!$C$5:$C$3004,F56,ENSAYOS!$Q$5:$Q$3004,"&gt;0",ENSAYOS!$G$5:$G$3004,"&gt;="&amp;CONFIG!$B$27)=0,"",AVERAGEIFS(ENSAYOS!$Q$5:$Q$3004,ENSAYOS!$C$5:$C$3004,F56,ENSAYOS!$Q$5:$Q$3004,"&gt;0",ENSAYOS!$G$5:$G$3004,"&gt;="&amp;CONFIG!$B$27)))</f>
        <v/>
      </c>
      <c r="W56" s="18" t="str">
        <f aca="false">IF(AND(U56&lt;&gt;"",V56&lt;&gt;""),U56/V56,"")</f>
        <v/>
      </c>
      <c r="X56" s="18" t="str">
        <f aca="false">IF(U56="","",INDEX('CURVA EDAD'!$E$5:$E$32,MIN(28,MAX(1,N56))))</f>
        <v/>
      </c>
      <c r="Y56" s="16" t="str">
        <f aca="false">IF(V56&lt;&gt;"",V56,IF(U56="","",U56/X56))</f>
        <v/>
      </c>
      <c r="Z56" s="16" t="str">
        <f aca="false">IF(V56&lt;&gt;"",_xlfn.MINIFS(ENSAYOS!$Q$5:$Q$3004,ENSAYOS!$C$5:$C$3004,F56,ENSAYOS!$Q$5:$Q$3004,"&gt;0",ENSAYOS!$G$5:$G$3004,"&gt;="&amp;CONFIG!$B$27),IF(U56="","",_xlfn.MINIFS(ENSAYOS!$Q$5:$Q$3004,ENSAYOS!$C$5:$C$3004,F56,ENSAYOS!$Q$5:$Q$3004,"&gt;0",ENSAYOS!$G$5:$G$3004,N56)/X56))</f>
        <v/>
      </c>
      <c r="AA56" s="16" t="str">
        <f aca="false">IF(D56="","",IFERROR(1/(1/INDEX(CONFIG!$J$5:$J$14,MATCH(D56,CONFIG!$D$5:$D$14,0))),""))</f>
        <v/>
      </c>
      <c r="AB56" s="16" t="str">
        <f aca="false">IF(D56="","",IFERROR(1/(1/INDEX(CONFIG!$K$5:$K$14,MATCH(D56,CONFIG!$D$5:$D$14,0))),""))</f>
        <v/>
      </c>
      <c r="AC56" s="19" t="str">
        <f aca="false">IF(N(M56)=0,"",IF(AA56="","Sin spec",IF(AND(Y56&gt;=AA56,OR(AB56="",Z56&gt;=AB56)),"CUMPLE","NO CUMPLE")&amp;IF(V56=""," (est.)","")))</f>
        <v/>
      </c>
      <c r="AD56" s="20" t="str">
        <f aca="false">IF(F56="","",IF(COUNTIFS(ABSORCION!$C$5:$C$1004,F56,ABSORCION!$I$5:$I$1004,"&gt;0")=0,"",AVERAGEIFS(ABSORCION!$I$5:$I$1004,ABSORCION!$C$5:$C$1004,F56,ABSORCION!$I$5:$I$1004,"&gt;0")))</f>
        <v/>
      </c>
      <c r="AE56" s="20" t="str">
        <f aca="false">IF(F56="","",IF(COUNTIFS(ABSORCION!$C$5:$C$1004,F56,ABSORCION!$I$5:$I$1004,"&gt;0")=0,"",AVERAGEIFS(ABSORCION!$K$5:$K$1004,ABSORCION!$C$5:$C$1004,F56,ABSORCION!$I$5:$I$1004,"&gt;0")))</f>
        <v/>
      </c>
      <c r="AF56" s="20" t="str">
        <f aca="false">IF(AE56="","",IF(AE56&gt;=CONFIG!$E$21,CONFIG!$F$21,IF(AE56&gt;=CONFIG!$E$20,CONFIG!$F$20,CONFIG!$F$19)))</f>
        <v/>
      </c>
      <c r="AG56" s="21" t="str">
        <f aca="false">IF(F56="","",TRIM(IF(N(M56)=0,"Sin ensayos. ","")&amp;IF(AND(N(M56)&gt;0,N(M56)&lt;CONFIG!$B$26),"Menos de "&amp;CONFIG!$B$26&amp;" probetas. ","")&amp;IF(N(T56)&gt;CONFIG!$B$25,"CV alto. ","")&amp;IF(AND(N(AD56)&gt;0,N(AD56)&gt;N(AF56)),"Absorción alta. ","")))</f>
        <v/>
      </c>
      <c r="AH56" s="22" t="str">
        <f aca="false">IF(AND(N(M56)&gt;0,OR(CONTROL!$C$4="TODAS",C56=CONTROL!$C$4),D56=CONTROL!$C$5),MAX($AH$4:AH55)+1,"")</f>
        <v/>
      </c>
      <c r="AI56" s="22" t="str">
        <f aca="false">IF(AH56="","",P56^2)</f>
        <v/>
      </c>
    </row>
    <row r="57" customFormat="false" ht="15" hidden="false" customHeight="false" outlineLevel="0" collapsed="false">
      <c r="A57" s="11" t="str">
        <f aca="false">IF(B57="","",ROW()-4)</f>
        <v/>
      </c>
      <c r="B57" s="12"/>
      <c r="C57" s="13"/>
      <c r="D57" s="13"/>
      <c r="E57" s="13"/>
      <c r="F57" s="14" t="str">
        <f aca="false">IF(OR(B57="",C57="",D57=""),"",IFERROR(INDEX(CONFIG!$E$5:$E$14,MATCH(D57,CONFIG!$D$5:$D$14,0)),"?")&amp;RIGHT("0"&amp;DAY(B57),2)&amp;RIGHT("0"&amp;MONTH(B57),2)&amp;RIGHT(YEAR(B57),2)&amp;C57&amp;IF(E57="","","-"&amp;E57))</f>
        <v/>
      </c>
      <c r="G57" s="13"/>
      <c r="H57" s="13"/>
      <c r="I57" s="13"/>
      <c r="J57" s="13"/>
      <c r="K57" s="13"/>
      <c r="L57" s="13"/>
      <c r="M57" s="11" t="str">
        <f aca="false">IF(F57="","",COUNTIFS(ENSAYOS!$C$5:$C$3004,F57,ENSAYOS!$Q$5:$Q$3004,"&gt;0"))</f>
        <v/>
      </c>
      <c r="N57" s="15" t="str">
        <f aca="false">IF(N(M57)=0,"",_xlfn.MINIFS(ENSAYOS!$G$5:$G$3004,ENSAYOS!$C$5:$C$3004,F57,ENSAYOS!$Q$5:$Q$3004,"&gt;0"))</f>
        <v/>
      </c>
      <c r="O57" s="15" t="str">
        <f aca="false">IF(N(M57)=0,"",_xlfn.MAXIFS(ENSAYOS!$G$5:$G$3004,ENSAYOS!$C$5:$C$3004,F57,ENSAYOS!$Q$5:$Q$3004,"&gt;0"))</f>
        <v/>
      </c>
      <c r="P57" s="16" t="str">
        <f aca="false">IF(N(M57)=0,"",AVERAGEIFS(ENSAYOS!$Q$5:$Q$3004,ENSAYOS!$C$5:$C$3004,F57,ENSAYOS!$Q$5:$Q$3004,"&gt;0"))</f>
        <v/>
      </c>
      <c r="Q57" s="16" t="str">
        <f aca="false">IF(N(M57)=0,"",_xlfn.MINIFS(ENSAYOS!$Q$5:$Q$3004,ENSAYOS!$C$5:$C$3004,F57,ENSAYOS!$Q$5:$Q$3004,"&gt;0"))</f>
        <v/>
      </c>
      <c r="R57" s="16" t="str">
        <f aca="false">IF(N(M57)=0,"",_xlfn.MAXIFS(ENSAYOS!$Q$5:$Q$3004,ENSAYOS!$C$5:$C$3004,F57,ENSAYOS!$Q$5:$Q$3004,"&gt;0"))</f>
        <v/>
      </c>
      <c r="S57" s="16" t="str">
        <f aca="false">IF(N(M57)&lt;2,"",SQRT(MAX(0,(SUMIFS(ENSAYOS!$X$5:$X$3004,ENSAYOS!$C$5:$C$3004,F57,ENSAYOS!$Q$5:$Q$3004,"&gt;0")-M57*P57^2)/(M57-1))))</f>
        <v/>
      </c>
      <c r="T57" s="17" t="str">
        <f aca="false">IF(S57="","",S57/P57)</f>
        <v/>
      </c>
      <c r="U57" s="16" t="str">
        <f aca="false">IF(N(M57)=0,"",IF(N57&gt;=CONFIG!$B$27,"",AVERAGEIFS(ENSAYOS!$Q$5:$Q$3004,ENSAYOS!$C$5:$C$3004,F57,ENSAYOS!$Q$5:$Q$3004,"&gt;0",ENSAYOS!$G$5:$G$3004,N57)))</f>
        <v/>
      </c>
      <c r="V57" s="16" t="str">
        <f aca="false">IF(N(M57)=0,"",IF(COUNTIFS(ENSAYOS!$C$5:$C$3004,F57,ENSAYOS!$Q$5:$Q$3004,"&gt;0",ENSAYOS!$G$5:$G$3004,"&gt;="&amp;CONFIG!$B$27)=0,"",AVERAGEIFS(ENSAYOS!$Q$5:$Q$3004,ENSAYOS!$C$5:$C$3004,F57,ENSAYOS!$Q$5:$Q$3004,"&gt;0",ENSAYOS!$G$5:$G$3004,"&gt;="&amp;CONFIG!$B$27)))</f>
        <v/>
      </c>
      <c r="W57" s="18" t="str">
        <f aca="false">IF(AND(U57&lt;&gt;"",V57&lt;&gt;""),U57/V57,"")</f>
        <v/>
      </c>
      <c r="X57" s="18" t="str">
        <f aca="false">IF(U57="","",INDEX('CURVA EDAD'!$E$5:$E$32,MIN(28,MAX(1,N57))))</f>
        <v/>
      </c>
      <c r="Y57" s="16" t="str">
        <f aca="false">IF(V57&lt;&gt;"",V57,IF(U57="","",U57/X57))</f>
        <v/>
      </c>
      <c r="Z57" s="16" t="str">
        <f aca="false">IF(V57&lt;&gt;"",_xlfn.MINIFS(ENSAYOS!$Q$5:$Q$3004,ENSAYOS!$C$5:$C$3004,F57,ENSAYOS!$Q$5:$Q$3004,"&gt;0",ENSAYOS!$G$5:$G$3004,"&gt;="&amp;CONFIG!$B$27),IF(U57="","",_xlfn.MINIFS(ENSAYOS!$Q$5:$Q$3004,ENSAYOS!$C$5:$C$3004,F57,ENSAYOS!$Q$5:$Q$3004,"&gt;0",ENSAYOS!$G$5:$G$3004,N57)/X57))</f>
        <v/>
      </c>
      <c r="AA57" s="16" t="str">
        <f aca="false">IF(D57="","",IFERROR(1/(1/INDEX(CONFIG!$J$5:$J$14,MATCH(D57,CONFIG!$D$5:$D$14,0))),""))</f>
        <v/>
      </c>
      <c r="AB57" s="16" t="str">
        <f aca="false">IF(D57="","",IFERROR(1/(1/INDEX(CONFIG!$K$5:$K$14,MATCH(D57,CONFIG!$D$5:$D$14,0))),""))</f>
        <v/>
      </c>
      <c r="AC57" s="19" t="str">
        <f aca="false">IF(N(M57)=0,"",IF(AA57="","Sin spec",IF(AND(Y57&gt;=AA57,OR(AB57="",Z57&gt;=AB57)),"CUMPLE","NO CUMPLE")&amp;IF(V57=""," (est.)","")))</f>
        <v/>
      </c>
      <c r="AD57" s="20" t="str">
        <f aca="false">IF(F57="","",IF(COUNTIFS(ABSORCION!$C$5:$C$1004,F57,ABSORCION!$I$5:$I$1004,"&gt;0")=0,"",AVERAGEIFS(ABSORCION!$I$5:$I$1004,ABSORCION!$C$5:$C$1004,F57,ABSORCION!$I$5:$I$1004,"&gt;0")))</f>
        <v/>
      </c>
      <c r="AE57" s="20" t="str">
        <f aca="false">IF(F57="","",IF(COUNTIFS(ABSORCION!$C$5:$C$1004,F57,ABSORCION!$I$5:$I$1004,"&gt;0")=0,"",AVERAGEIFS(ABSORCION!$K$5:$K$1004,ABSORCION!$C$5:$C$1004,F57,ABSORCION!$I$5:$I$1004,"&gt;0")))</f>
        <v/>
      </c>
      <c r="AF57" s="20" t="str">
        <f aca="false">IF(AE57="","",IF(AE57&gt;=CONFIG!$E$21,CONFIG!$F$21,IF(AE57&gt;=CONFIG!$E$20,CONFIG!$F$20,CONFIG!$F$19)))</f>
        <v/>
      </c>
      <c r="AG57" s="21" t="str">
        <f aca="false">IF(F57="","",TRIM(IF(N(M57)=0,"Sin ensayos. ","")&amp;IF(AND(N(M57)&gt;0,N(M57)&lt;CONFIG!$B$26),"Menos de "&amp;CONFIG!$B$26&amp;" probetas. ","")&amp;IF(N(T57)&gt;CONFIG!$B$25,"CV alto. ","")&amp;IF(AND(N(AD57)&gt;0,N(AD57)&gt;N(AF57)),"Absorción alta. ","")))</f>
        <v/>
      </c>
      <c r="AH57" s="22" t="str">
        <f aca="false">IF(AND(N(M57)&gt;0,OR(CONTROL!$C$4="TODAS",C57=CONTROL!$C$4),D57=CONTROL!$C$5),MAX($AH$4:AH56)+1,"")</f>
        <v/>
      </c>
      <c r="AI57" s="22" t="str">
        <f aca="false">IF(AH57="","",P57^2)</f>
        <v/>
      </c>
    </row>
    <row r="58" customFormat="false" ht="15" hidden="false" customHeight="false" outlineLevel="0" collapsed="false">
      <c r="A58" s="11" t="str">
        <f aca="false">IF(B58="","",ROW()-4)</f>
        <v/>
      </c>
      <c r="B58" s="12"/>
      <c r="C58" s="13"/>
      <c r="D58" s="13"/>
      <c r="E58" s="13"/>
      <c r="F58" s="14" t="str">
        <f aca="false">IF(OR(B58="",C58="",D58=""),"",IFERROR(INDEX(CONFIG!$E$5:$E$14,MATCH(D58,CONFIG!$D$5:$D$14,0)),"?")&amp;RIGHT("0"&amp;DAY(B58),2)&amp;RIGHT("0"&amp;MONTH(B58),2)&amp;RIGHT(YEAR(B58),2)&amp;C58&amp;IF(E58="","","-"&amp;E58))</f>
        <v/>
      </c>
      <c r="G58" s="13"/>
      <c r="H58" s="13"/>
      <c r="I58" s="13"/>
      <c r="J58" s="13"/>
      <c r="K58" s="13"/>
      <c r="L58" s="13"/>
      <c r="M58" s="11" t="str">
        <f aca="false">IF(F58="","",COUNTIFS(ENSAYOS!$C$5:$C$3004,F58,ENSAYOS!$Q$5:$Q$3004,"&gt;0"))</f>
        <v/>
      </c>
      <c r="N58" s="15" t="str">
        <f aca="false">IF(N(M58)=0,"",_xlfn.MINIFS(ENSAYOS!$G$5:$G$3004,ENSAYOS!$C$5:$C$3004,F58,ENSAYOS!$Q$5:$Q$3004,"&gt;0"))</f>
        <v/>
      </c>
      <c r="O58" s="15" t="str">
        <f aca="false">IF(N(M58)=0,"",_xlfn.MAXIFS(ENSAYOS!$G$5:$G$3004,ENSAYOS!$C$5:$C$3004,F58,ENSAYOS!$Q$5:$Q$3004,"&gt;0"))</f>
        <v/>
      </c>
      <c r="P58" s="16" t="str">
        <f aca="false">IF(N(M58)=0,"",AVERAGEIFS(ENSAYOS!$Q$5:$Q$3004,ENSAYOS!$C$5:$C$3004,F58,ENSAYOS!$Q$5:$Q$3004,"&gt;0"))</f>
        <v/>
      </c>
      <c r="Q58" s="16" t="str">
        <f aca="false">IF(N(M58)=0,"",_xlfn.MINIFS(ENSAYOS!$Q$5:$Q$3004,ENSAYOS!$C$5:$C$3004,F58,ENSAYOS!$Q$5:$Q$3004,"&gt;0"))</f>
        <v/>
      </c>
      <c r="R58" s="16" t="str">
        <f aca="false">IF(N(M58)=0,"",_xlfn.MAXIFS(ENSAYOS!$Q$5:$Q$3004,ENSAYOS!$C$5:$C$3004,F58,ENSAYOS!$Q$5:$Q$3004,"&gt;0"))</f>
        <v/>
      </c>
      <c r="S58" s="16" t="str">
        <f aca="false">IF(N(M58)&lt;2,"",SQRT(MAX(0,(SUMIFS(ENSAYOS!$X$5:$X$3004,ENSAYOS!$C$5:$C$3004,F58,ENSAYOS!$Q$5:$Q$3004,"&gt;0")-M58*P58^2)/(M58-1))))</f>
        <v/>
      </c>
      <c r="T58" s="17" t="str">
        <f aca="false">IF(S58="","",S58/P58)</f>
        <v/>
      </c>
      <c r="U58" s="16" t="str">
        <f aca="false">IF(N(M58)=0,"",IF(N58&gt;=CONFIG!$B$27,"",AVERAGEIFS(ENSAYOS!$Q$5:$Q$3004,ENSAYOS!$C$5:$C$3004,F58,ENSAYOS!$Q$5:$Q$3004,"&gt;0",ENSAYOS!$G$5:$G$3004,N58)))</f>
        <v/>
      </c>
      <c r="V58" s="16" t="str">
        <f aca="false">IF(N(M58)=0,"",IF(COUNTIFS(ENSAYOS!$C$5:$C$3004,F58,ENSAYOS!$Q$5:$Q$3004,"&gt;0",ENSAYOS!$G$5:$G$3004,"&gt;="&amp;CONFIG!$B$27)=0,"",AVERAGEIFS(ENSAYOS!$Q$5:$Q$3004,ENSAYOS!$C$5:$C$3004,F58,ENSAYOS!$Q$5:$Q$3004,"&gt;0",ENSAYOS!$G$5:$G$3004,"&gt;="&amp;CONFIG!$B$27)))</f>
        <v/>
      </c>
      <c r="W58" s="18" t="str">
        <f aca="false">IF(AND(U58&lt;&gt;"",V58&lt;&gt;""),U58/V58,"")</f>
        <v/>
      </c>
      <c r="X58" s="18" t="str">
        <f aca="false">IF(U58="","",INDEX('CURVA EDAD'!$E$5:$E$32,MIN(28,MAX(1,N58))))</f>
        <v/>
      </c>
      <c r="Y58" s="16" t="str">
        <f aca="false">IF(V58&lt;&gt;"",V58,IF(U58="","",U58/X58))</f>
        <v/>
      </c>
      <c r="Z58" s="16" t="str">
        <f aca="false">IF(V58&lt;&gt;"",_xlfn.MINIFS(ENSAYOS!$Q$5:$Q$3004,ENSAYOS!$C$5:$C$3004,F58,ENSAYOS!$Q$5:$Q$3004,"&gt;0",ENSAYOS!$G$5:$G$3004,"&gt;="&amp;CONFIG!$B$27),IF(U58="","",_xlfn.MINIFS(ENSAYOS!$Q$5:$Q$3004,ENSAYOS!$C$5:$C$3004,F58,ENSAYOS!$Q$5:$Q$3004,"&gt;0",ENSAYOS!$G$5:$G$3004,N58)/X58))</f>
        <v/>
      </c>
      <c r="AA58" s="16" t="str">
        <f aca="false">IF(D58="","",IFERROR(1/(1/INDEX(CONFIG!$J$5:$J$14,MATCH(D58,CONFIG!$D$5:$D$14,0))),""))</f>
        <v/>
      </c>
      <c r="AB58" s="16" t="str">
        <f aca="false">IF(D58="","",IFERROR(1/(1/INDEX(CONFIG!$K$5:$K$14,MATCH(D58,CONFIG!$D$5:$D$14,0))),""))</f>
        <v/>
      </c>
      <c r="AC58" s="19" t="str">
        <f aca="false">IF(N(M58)=0,"",IF(AA58="","Sin spec",IF(AND(Y58&gt;=AA58,OR(AB58="",Z58&gt;=AB58)),"CUMPLE","NO CUMPLE")&amp;IF(V58=""," (est.)","")))</f>
        <v/>
      </c>
      <c r="AD58" s="20" t="str">
        <f aca="false">IF(F58="","",IF(COUNTIFS(ABSORCION!$C$5:$C$1004,F58,ABSORCION!$I$5:$I$1004,"&gt;0")=0,"",AVERAGEIFS(ABSORCION!$I$5:$I$1004,ABSORCION!$C$5:$C$1004,F58,ABSORCION!$I$5:$I$1004,"&gt;0")))</f>
        <v/>
      </c>
      <c r="AE58" s="20" t="str">
        <f aca="false">IF(F58="","",IF(COUNTIFS(ABSORCION!$C$5:$C$1004,F58,ABSORCION!$I$5:$I$1004,"&gt;0")=0,"",AVERAGEIFS(ABSORCION!$K$5:$K$1004,ABSORCION!$C$5:$C$1004,F58,ABSORCION!$I$5:$I$1004,"&gt;0")))</f>
        <v/>
      </c>
      <c r="AF58" s="20" t="str">
        <f aca="false">IF(AE58="","",IF(AE58&gt;=CONFIG!$E$21,CONFIG!$F$21,IF(AE58&gt;=CONFIG!$E$20,CONFIG!$F$20,CONFIG!$F$19)))</f>
        <v/>
      </c>
      <c r="AG58" s="21" t="str">
        <f aca="false">IF(F58="","",TRIM(IF(N(M58)=0,"Sin ensayos. ","")&amp;IF(AND(N(M58)&gt;0,N(M58)&lt;CONFIG!$B$26),"Menos de "&amp;CONFIG!$B$26&amp;" probetas. ","")&amp;IF(N(T58)&gt;CONFIG!$B$25,"CV alto. ","")&amp;IF(AND(N(AD58)&gt;0,N(AD58)&gt;N(AF58)),"Absorción alta. ","")))</f>
        <v/>
      </c>
      <c r="AH58" s="22" t="str">
        <f aca="false">IF(AND(N(M58)&gt;0,OR(CONTROL!$C$4="TODAS",C58=CONTROL!$C$4),D58=CONTROL!$C$5),MAX($AH$4:AH57)+1,"")</f>
        <v/>
      </c>
      <c r="AI58" s="22" t="str">
        <f aca="false">IF(AH58="","",P58^2)</f>
        <v/>
      </c>
    </row>
    <row r="59" customFormat="false" ht="15" hidden="false" customHeight="false" outlineLevel="0" collapsed="false">
      <c r="A59" s="11" t="str">
        <f aca="false">IF(B59="","",ROW()-4)</f>
        <v/>
      </c>
      <c r="B59" s="12"/>
      <c r="C59" s="13"/>
      <c r="D59" s="13"/>
      <c r="E59" s="13"/>
      <c r="F59" s="14" t="str">
        <f aca="false">IF(OR(B59="",C59="",D59=""),"",IFERROR(INDEX(CONFIG!$E$5:$E$14,MATCH(D59,CONFIG!$D$5:$D$14,0)),"?")&amp;RIGHT("0"&amp;DAY(B59),2)&amp;RIGHT("0"&amp;MONTH(B59),2)&amp;RIGHT(YEAR(B59),2)&amp;C59&amp;IF(E59="","","-"&amp;E59))</f>
        <v/>
      </c>
      <c r="G59" s="13"/>
      <c r="H59" s="13"/>
      <c r="I59" s="13"/>
      <c r="J59" s="13"/>
      <c r="K59" s="13"/>
      <c r="L59" s="13"/>
      <c r="M59" s="11" t="str">
        <f aca="false">IF(F59="","",COUNTIFS(ENSAYOS!$C$5:$C$3004,F59,ENSAYOS!$Q$5:$Q$3004,"&gt;0"))</f>
        <v/>
      </c>
      <c r="N59" s="15" t="str">
        <f aca="false">IF(N(M59)=0,"",_xlfn.MINIFS(ENSAYOS!$G$5:$G$3004,ENSAYOS!$C$5:$C$3004,F59,ENSAYOS!$Q$5:$Q$3004,"&gt;0"))</f>
        <v/>
      </c>
      <c r="O59" s="15" t="str">
        <f aca="false">IF(N(M59)=0,"",_xlfn.MAXIFS(ENSAYOS!$G$5:$G$3004,ENSAYOS!$C$5:$C$3004,F59,ENSAYOS!$Q$5:$Q$3004,"&gt;0"))</f>
        <v/>
      </c>
      <c r="P59" s="16" t="str">
        <f aca="false">IF(N(M59)=0,"",AVERAGEIFS(ENSAYOS!$Q$5:$Q$3004,ENSAYOS!$C$5:$C$3004,F59,ENSAYOS!$Q$5:$Q$3004,"&gt;0"))</f>
        <v/>
      </c>
      <c r="Q59" s="16" t="str">
        <f aca="false">IF(N(M59)=0,"",_xlfn.MINIFS(ENSAYOS!$Q$5:$Q$3004,ENSAYOS!$C$5:$C$3004,F59,ENSAYOS!$Q$5:$Q$3004,"&gt;0"))</f>
        <v/>
      </c>
      <c r="R59" s="16" t="str">
        <f aca="false">IF(N(M59)=0,"",_xlfn.MAXIFS(ENSAYOS!$Q$5:$Q$3004,ENSAYOS!$C$5:$C$3004,F59,ENSAYOS!$Q$5:$Q$3004,"&gt;0"))</f>
        <v/>
      </c>
      <c r="S59" s="16" t="str">
        <f aca="false">IF(N(M59)&lt;2,"",SQRT(MAX(0,(SUMIFS(ENSAYOS!$X$5:$X$3004,ENSAYOS!$C$5:$C$3004,F59,ENSAYOS!$Q$5:$Q$3004,"&gt;0")-M59*P59^2)/(M59-1))))</f>
        <v/>
      </c>
      <c r="T59" s="17" t="str">
        <f aca="false">IF(S59="","",S59/P59)</f>
        <v/>
      </c>
      <c r="U59" s="16" t="str">
        <f aca="false">IF(N(M59)=0,"",IF(N59&gt;=CONFIG!$B$27,"",AVERAGEIFS(ENSAYOS!$Q$5:$Q$3004,ENSAYOS!$C$5:$C$3004,F59,ENSAYOS!$Q$5:$Q$3004,"&gt;0",ENSAYOS!$G$5:$G$3004,N59)))</f>
        <v/>
      </c>
      <c r="V59" s="16" t="str">
        <f aca="false">IF(N(M59)=0,"",IF(COUNTIFS(ENSAYOS!$C$5:$C$3004,F59,ENSAYOS!$Q$5:$Q$3004,"&gt;0",ENSAYOS!$G$5:$G$3004,"&gt;="&amp;CONFIG!$B$27)=0,"",AVERAGEIFS(ENSAYOS!$Q$5:$Q$3004,ENSAYOS!$C$5:$C$3004,F59,ENSAYOS!$Q$5:$Q$3004,"&gt;0",ENSAYOS!$G$5:$G$3004,"&gt;="&amp;CONFIG!$B$27)))</f>
        <v/>
      </c>
      <c r="W59" s="18" t="str">
        <f aca="false">IF(AND(U59&lt;&gt;"",V59&lt;&gt;""),U59/V59,"")</f>
        <v/>
      </c>
      <c r="X59" s="18" t="str">
        <f aca="false">IF(U59="","",INDEX('CURVA EDAD'!$E$5:$E$32,MIN(28,MAX(1,N59))))</f>
        <v/>
      </c>
      <c r="Y59" s="16" t="str">
        <f aca="false">IF(V59&lt;&gt;"",V59,IF(U59="","",U59/X59))</f>
        <v/>
      </c>
      <c r="Z59" s="16" t="str">
        <f aca="false">IF(V59&lt;&gt;"",_xlfn.MINIFS(ENSAYOS!$Q$5:$Q$3004,ENSAYOS!$C$5:$C$3004,F59,ENSAYOS!$Q$5:$Q$3004,"&gt;0",ENSAYOS!$G$5:$G$3004,"&gt;="&amp;CONFIG!$B$27),IF(U59="","",_xlfn.MINIFS(ENSAYOS!$Q$5:$Q$3004,ENSAYOS!$C$5:$C$3004,F59,ENSAYOS!$Q$5:$Q$3004,"&gt;0",ENSAYOS!$G$5:$G$3004,N59)/X59))</f>
        <v/>
      </c>
      <c r="AA59" s="16" t="str">
        <f aca="false">IF(D59="","",IFERROR(1/(1/INDEX(CONFIG!$J$5:$J$14,MATCH(D59,CONFIG!$D$5:$D$14,0))),""))</f>
        <v/>
      </c>
      <c r="AB59" s="16" t="str">
        <f aca="false">IF(D59="","",IFERROR(1/(1/INDEX(CONFIG!$K$5:$K$14,MATCH(D59,CONFIG!$D$5:$D$14,0))),""))</f>
        <v/>
      </c>
      <c r="AC59" s="19" t="str">
        <f aca="false">IF(N(M59)=0,"",IF(AA59="","Sin spec",IF(AND(Y59&gt;=AA59,OR(AB59="",Z59&gt;=AB59)),"CUMPLE","NO CUMPLE")&amp;IF(V59=""," (est.)","")))</f>
        <v/>
      </c>
      <c r="AD59" s="20" t="str">
        <f aca="false">IF(F59="","",IF(COUNTIFS(ABSORCION!$C$5:$C$1004,F59,ABSORCION!$I$5:$I$1004,"&gt;0")=0,"",AVERAGEIFS(ABSORCION!$I$5:$I$1004,ABSORCION!$C$5:$C$1004,F59,ABSORCION!$I$5:$I$1004,"&gt;0")))</f>
        <v/>
      </c>
      <c r="AE59" s="20" t="str">
        <f aca="false">IF(F59="","",IF(COUNTIFS(ABSORCION!$C$5:$C$1004,F59,ABSORCION!$I$5:$I$1004,"&gt;0")=0,"",AVERAGEIFS(ABSORCION!$K$5:$K$1004,ABSORCION!$C$5:$C$1004,F59,ABSORCION!$I$5:$I$1004,"&gt;0")))</f>
        <v/>
      </c>
      <c r="AF59" s="20" t="str">
        <f aca="false">IF(AE59="","",IF(AE59&gt;=CONFIG!$E$21,CONFIG!$F$21,IF(AE59&gt;=CONFIG!$E$20,CONFIG!$F$20,CONFIG!$F$19)))</f>
        <v/>
      </c>
      <c r="AG59" s="21" t="str">
        <f aca="false">IF(F59="","",TRIM(IF(N(M59)=0,"Sin ensayos. ","")&amp;IF(AND(N(M59)&gt;0,N(M59)&lt;CONFIG!$B$26),"Menos de "&amp;CONFIG!$B$26&amp;" probetas. ","")&amp;IF(N(T59)&gt;CONFIG!$B$25,"CV alto. ","")&amp;IF(AND(N(AD59)&gt;0,N(AD59)&gt;N(AF59)),"Absorción alta. ","")))</f>
        <v/>
      </c>
      <c r="AH59" s="22" t="str">
        <f aca="false">IF(AND(N(M59)&gt;0,OR(CONTROL!$C$4="TODAS",C59=CONTROL!$C$4),D59=CONTROL!$C$5),MAX($AH$4:AH58)+1,"")</f>
        <v/>
      </c>
      <c r="AI59" s="22" t="str">
        <f aca="false">IF(AH59="","",P59^2)</f>
        <v/>
      </c>
    </row>
    <row r="60" customFormat="false" ht="15" hidden="false" customHeight="false" outlineLevel="0" collapsed="false">
      <c r="A60" s="11" t="str">
        <f aca="false">IF(B60="","",ROW()-4)</f>
        <v/>
      </c>
      <c r="B60" s="12"/>
      <c r="C60" s="13"/>
      <c r="D60" s="13"/>
      <c r="E60" s="13"/>
      <c r="F60" s="14" t="str">
        <f aca="false">IF(OR(B60="",C60="",D60=""),"",IFERROR(INDEX(CONFIG!$E$5:$E$14,MATCH(D60,CONFIG!$D$5:$D$14,0)),"?")&amp;RIGHT("0"&amp;DAY(B60),2)&amp;RIGHT("0"&amp;MONTH(B60),2)&amp;RIGHT(YEAR(B60),2)&amp;C60&amp;IF(E60="","","-"&amp;E60))</f>
        <v/>
      </c>
      <c r="G60" s="13"/>
      <c r="H60" s="13"/>
      <c r="I60" s="13"/>
      <c r="J60" s="13"/>
      <c r="K60" s="13"/>
      <c r="L60" s="13"/>
      <c r="M60" s="11" t="str">
        <f aca="false">IF(F60="","",COUNTIFS(ENSAYOS!$C$5:$C$3004,F60,ENSAYOS!$Q$5:$Q$3004,"&gt;0"))</f>
        <v/>
      </c>
      <c r="N60" s="15" t="str">
        <f aca="false">IF(N(M60)=0,"",_xlfn.MINIFS(ENSAYOS!$G$5:$G$3004,ENSAYOS!$C$5:$C$3004,F60,ENSAYOS!$Q$5:$Q$3004,"&gt;0"))</f>
        <v/>
      </c>
      <c r="O60" s="15" t="str">
        <f aca="false">IF(N(M60)=0,"",_xlfn.MAXIFS(ENSAYOS!$G$5:$G$3004,ENSAYOS!$C$5:$C$3004,F60,ENSAYOS!$Q$5:$Q$3004,"&gt;0"))</f>
        <v/>
      </c>
      <c r="P60" s="16" t="str">
        <f aca="false">IF(N(M60)=0,"",AVERAGEIFS(ENSAYOS!$Q$5:$Q$3004,ENSAYOS!$C$5:$C$3004,F60,ENSAYOS!$Q$5:$Q$3004,"&gt;0"))</f>
        <v/>
      </c>
      <c r="Q60" s="16" t="str">
        <f aca="false">IF(N(M60)=0,"",_xlfn.MINIFS(ENSAYOS!$Q$5:$Q$3004,ENSAYOS!$C$5:$C$3004,F60,ENSAYOS!$Q$5:$Q$3004,"&gt;0"))</f>
        <v/>
      </c>
      <c r="R60" s="16" t="str">
        <f aca="false">IF(N(M60)=0,"",_xlfn.MAXIFS(ENSAYOS!$Q$5:$Q$3004,ENSAYOS!$C$5:$C$3004,F60,ENSAYOS!$Q$5:$Q$3004,"&gt;0"))</f>
        <v/>
      </c>
      <c r="S60" s="16" t="str">
        <f aca="false">IF(N(M60)&lt;2,"",SQRT(MAX(0,(SUMIFS(ENSAYOS!$X$5:$X$3004,ENSAYOS!$C$5:$C$3004,F60,ENSAYOS!$Q$5:$Q$3004,"&gt;0")-M60*P60^2)/(M60-1))))</f>
        <v/>
      </c>
      <c r="T60" s="17" t="str">
        <f aca="false">IF(S60="","",S60/P60)</f>
        <v/>
      </c>
      <c r="U60" s="16" t="str">
        <f aca="false">IF(N(M60)=0,"",IF(N60&gt;=CONFIG!$B$27,"",AVERAGEIFS(ENSAYOS!$Q$5:$Q$3004,ENSAYOS!$C$5:$C$3004,F60,ENSAYOS!$Q$5:$Q$3004,"&gt;0",ENSAYOS!$G$5:$G$3004,N60)))</f>
        <v/>
      </c>
      <c r="V60" s="16" t="str">
        <f aca="false">IF(N(M60)=0,"",IF(COUNTIFS(ENSAYOS!$C$5:$C$3004,F60,ENSAYOS!$Q$5:$Q$3004,"&gt;0",ENSAYOS!$G$5:$G$3004,"&gt;="&amp;CONFIG!$B$27)=0,"",AVERAGEIFS(ENSAYOS!$Q$5:$Q$3004,ENSAYOS!$C$5:$C$3004,F60,ENSAYOS!$Q$5:$Q$3004,"&gt;0",ENSAYOS!$G$5:$G$3004,"&gt;="&amp;CONFIG!$B$27)))</f>
        <v/>
      </c>
      <c r="W60" s="18" t="str">
        <f aca="false">IF(AND(U60&lt;&gt;"",V60&lt;&gt;""),U60/V60,"")</f>
        <v/>
      </c>
      <c r="X60" s="18" t="str">
        <f aca="false">IF(U60="","",INDEX('CURVA EDAD'!$E$5:$E$32,MIN(28,MAX(1,N60))))</f>
        <v/>
      </c>
      <c r="Y60" s="16" t="str">
        <f aca="false">IF(V60&lt;&gt;"",V60,IF(U60="","",U60/X60))</f>
        <v/>
      </c>
      <c r="Z60" s="16" t="str">
        <f aca="false">IF(V60&lt;&gt;"",_xlfn.MINIFS(ENSAYOS!$Q$5:$Q$3004,ENSAYOS!$C$5:$C$3004,F60,ENSAYOS!$Q$5:$Q$3004,"&gt;0",ENSAYOS!$G$5:$G$3004,"&gt;="&amp;CONFIG!$B$27),IF(U60="","",_xlfn.MINIFS(ENSAYOS!$Q$5:$Q$3004,ENSAYOS!$C$5:$C$3004,F60,ENSAYOS!$Q$5:$Q$3004,"&gt;0",ENSAYOS!$G$5:$G$3004,N60)/X60))</f>
        <v/>
      </c>
      <c r="AA60" s="16" t="str">
        <f aca="false">IF(D60="","",IFERROR(1/(1/INDEX(CONFIG!$J$5:$J$14,MATCH(D60,CONFIG!$D$5:$D$14,0))),""))</f>
        <v/>
      </c>
      <c r="AB60" s="16" t="str">
        <f aca="false">IF(D60="","",IFERROR(1/(1/INDEX(CONFIG!$K$5:$K$14,MATCH(D60,CONFIG!$D$5:$D$14,0))),""))</f>
        <v/>
      </c>
      <c r="AC60" s="19" t="str">
        <f aca="false">IF(N(M60)=0,"",IF(AA60="","Sin spec",IF(AND(Y60&gt;=AA60,OR(AB60="",Z60&gt;=AB60)),"CUMPLE","NO CUMPLE")&amp;IF(V60=""," (est.)","")))</f>
        <v/>
      </c>
      <c r="AD60" s="20" t="str">
        <f aca="false">IF(F60="","",IF(COUNTIFS(ABSORCION!$C$5:$C$1004,F60,ABSORCION!$I$5:$I$1004,"&gt;0")=0,"",AVERAGEIFS(ABSORCION!$I$5:$I$1004,ABSORCION!$C$5:$C$1004,F60,ABSORCION!$I$5:$I$1004,"&gt;0")))</f>
        <v/>
      </c>
      <c r="AE60" s="20" t="str">
        <f aca="false">IF(F60="","",IF(COUNTIFS(ABSORCION!$C$5:$C$1004,F60,ABSORCION!$I$5:$I$1004,"&gt;0")=0,"",AVERAGEIFS(ABSORCION!$K$5:$K$1004,ABSORCION!$C$5:$C$1004,F60,ABSORCION!$I$5:$I$1004,"&gt;0")))</f>
        <v/>
      </c>
      <c r="AF60" s="20" t="str">
        <f aca="false">IF(AE60="","",IF(AE60&gt;=CONFIG!$E$21,CONFIG!$F$21,IF(AE60&gt;=CONFIG!$E$20,CONFIG!$F$20,CONFIG!$F$19)))</f>
        <v/>
      </c>
      <c r="AG60" s="21" t="str">
        <f aca="false">IF(F60="","",TRIM(IF(N(M60)=0,"Sin ensayos. ","")&amp;IF(AND(N(M60)&gt;0,N(M60)&lt;CONFIG!$B$26),"Menos de "&amp;CONFIG!$B$26&amp;" probetas. ","")&amp;IF(N(T60)&gt;CONFIG!$B$25,"CV alto. ","")&amp;IF(AND(N(AD60)&gt;0,N(AD60)&gt;N(AF60)),"Absorción alta. ","")))</f>
        <v/>
      </c>
      <c r="AH60" s="22" t="str">
        <f aca="false">IF(AND(N(M60)&gt;0,OR(CONTROL!$C$4="TODAS",C60=CONTROL!$C$4),D60=CONTROL!$C$5),MAX($AH$4:AH59)+1,"")</f>
        <v/>
      </c>
      <c r="AI60" s="22" t="str">
        <f aca="false">IF(AH60="","",P60^2)</f>
        <v/>
      </c>
    </row>
    <row r="61" customFormat="false" ht="15" hidden="false" customHeight="false" outlineLevel="0" collapsed="false">
      <c r="A61" s="11" t="str">
        <f aca="false">IF(B61="","",ROW()-4)</f>
        <v/>
      </c>
      <c r="B61" s="12"/>
      <c r="C61" s="13"/>
      <c r="D61" s="13"/>
      <c r="E61" s="13"/>
      <c r="F61" s="14" t="str">
        <f aca="false">IF(OR(B61="",C61="",D61=""),"",IFERROR(INDEX(CONFIG!$E$5:$E$14,MATCH(D61,CONFIG!$D$5:$D$14,0)),"?")&amp;RIGHT("0"&amp;DAY(B61),2)&amp;RIGHT("0"&amp;MONTH(B61),2)&amp;RIGHT(YEAR(B61),2)&amp;C61&amp;IF(E61="","","-"&amp;E61))</f>
        <v/>
      </c>
      <c r="G61" s="13"/>
      <c r="H61" s="13"/>
      <c r="I61" s="13"/>
      <c r="J61" s="13"/>
      <c r="K61" s="13"/>
      <c r="L61" s="13"/>
      <c r="M61" s="11" t="str">
        <f aca="false">IF(F61="","",COUNTIFS(ENSAYOS!$C$5:$C$3004,F61,ENSAYOS!$Q$5:$Q$3004,"&gt;0"))</f>
        <v/>
      </c>
      <c r="N61" s="15" t="str">
        <f aca="false">IF(N(M61)=0,"",_xlfn.MINIFS(ENSAYOS!$G$5:$G$3004,ENSAYOS!$C$5:$C$3004,F61,ENSAYOS!$Q$5:$Q$3004,"&gt;0"))</f>
        <v/>
      </c>
      <c r="O61" s="15" t="str">
        <f aca="false">IF(N(M61)=0,"",_xlfn.MAXIFS(ENSAYOS!$G$5:$G$3004,ENSAYOS!$C$5:$C$3004,F61,ENSAYOS!$Q$5:$Q$3004,"&gt;0"))</f>
        <v/>
      </c>
      <c r="P61" s="16" t="str">
        <f aca="false">IF(N(M61)=0,"",AVERAGEIFS(ENSAYOS!$Q$5:$Q$3004,ENSAYOS!$C$5:$C$3004,F61,ENSAYOS!$Q$5:$Q$3004,"&gt;0"))</f>
        <v/>
      </c>
      <c r="Q61" s="16" t="str">
        <f aca="false">IF(N(M61)=0,"",_xlfn.MINIFS(ENSAYOS!$Q$5:$Q$3004,ENSAYOS!$C$5:$C$3004,F61,ENSAYOS!$Q$5:$Q$3004,"&gt;0"))</f>
        <v/>
      </c>
      <c r="R61" s="16" t="str">
        <f aca="false">IF(N(M61)=0,"",_xlfn.MAXIFS(ENSAYOS!$Q$5:$Q$3004,ENSAYOS!$C$5:$C$3004,F61,ENSAYOS!$Q$5:$Q$3004,"&gt;0"))</f>
        <v/>
      </c>
      <c r="S61" s="16" t="str">
        <f aca="false">IF(N(M61)&lt;2,"",SQRT(MAX(0,(SUMIFS(ENSAYOS!$X$5:$X$3004,ENSAYOS!$C$5:$C$3004,F61,ENSAYOS!$Q$5:$Q$3004,"&gt;0")-M61*P61^2)/(M61-1))))</f>
        <v/>
      </c>
      <c r="T61" s="17" t="str">
        <f aca="false">IF(S61="","",S61/P61)</f>
        <v/>
      </c>
      <c r="U61" s="16" t="str">
        <f aca="false">IF(N(M61)=0,"",IF(N61&gt;=CONFIG!$B$27,"",AVERAGEIFS(ENSAYOS!$Q$5:$Q$3004,ENSAYOS!$C$5:$C$3004,F61,ENSAYOS!$Q$5:$Q$3004,"&gt;0",ENSAYOS!$G$5:$G$3004,N61)))</f>
        <v/>
      </c>
      <c r="V61" s="16" t="str">
        <f aca="false">IF(N(M61)=0,"",IF(COUNTIFS(ENSAYOS!$C$5:$C$3004,F61,ENSAYOS!$Q$5:$Q$3004,"&gt;0",ENSAYOS!$G$5:$G$3004,"&gt;="&amp;CONFIG!$B$27)=0,"",AVERAGEIFS(ENSAYOS!$Q$5:$Q$3004,ENSAYOS!$C$5:$C$3004,F61,ENSAYOS!$Q$5:$Q$3004,"&gt;0",ENSAYOS!$G$5:$G$3004,"&gt;="&amp;CONFIG!$B$27)))</f>
        <v/>
      </c>
      <c r="W61" s="18" t="str">
        <f aca="false">IF(AND(U61&lt;&gt;"",V61&lt;&gt;""),U61/V61,"")</f>
        <v/>
      </c>
      <c r="X61" s="18" t="str">
        <f aca="false">IF(U61="","",INDEX('CURVA EDAD'!$E$5:$E$32,MIN(28,MAX(1,N61))))</f>
        <v/>
      </c>
      <c r="Y61" s="16" t="str">
        <f aca="false">IF(V61&lt;&gt;"",V61,IF(U61="","",U61/X61))</f>
        <v/>
      </c>
      <c r="Z61" s="16" t="str">
        <f aca="false">IF(V61&lt;&gt;"",_xlfn.MINIFS(ENSAYOS!$Q$5:$Q$3004,ENSAYOS!$C$5:$C$3004,F61,ENSAYOS!$Q$5:$Q$3004,"&gt;0",ENSAYOS!$G$5:$G$3004,"&gt;="&amp;CONFIG!$B$27),IF(U61="","",_xlfn.MINIFS(ENSAYOS!$Q$5:$Q$3004,ENSAYOS!$C$5:$C$3004,F61,ENSAYOS!$Q$5:$Q$3004,"&gt;0",ENSAYOS!$G$5:$G$3004,N61)/X61))</f>
        <v/>
      </c>
      <c r="AA61" s="16" t="str">
        <f aca="false">IF(D61="","",IFERROR(1/(1/INDEX(CONFIG!$J$5:$J$14,MATCH(D61,CONFIG!$D$5:$D$14,0))),""))</f>
        <v/>
      </c>
      <c r="AB61" s="16" t="str">
        <f aca="false">IF(D61="","",IFERROR(1/(1/INDEX(CONFIG!$K$5:$K$14,MATCH(D61,CONFIG!$D$5:$D$14,0))),""))</f>
        <v/>
      </c>
      <c r="AC61" s="19" t="str">
        <f aca="false">IF(N(M61)=0,"",IF(AA61="","Sin spec",IF(AND(Y61&gt;=AA61,OR(AB61="",Z61&gt;=AB61)),"CUMPLE","NO CUMPLE")&amp;IF(V61=""," (est.)","")))</f>
        <v/>
      </c>
      <c r="AD61" s="20" t="str">
        <f aca="false">IF(F61="","",IF(COUNTIFS(ABSORCION!$C$5:$C$1004,F61,ABSORCION!$I$5:$I$1004,"&gt;0")=0,"",AVERAGEIFS(ABSORCION!$I$5:$I$1004,ABSORCION!$C$5:$C$1004,F61,ABSORCION!$I$5:$I$1004,"&gt;0")))</f>
        <v/>
      </c>
      <c r="AE61" s="20" t="str">
        <f aca="false">IF(F61="","",IF(COUNTIFS(ABSORCION!$C$5:$C$1004,F61,ABSORCION!$I$5:$I$1004,"&gt;0")=0,"",AVERAGEIFS(ABSORCION!$K$5:$K$1004,ABSORCION!$C$5:$C$1004,F61,ABSORCION!$I$5:$I$1004,"&gt;0")))</f>
        <v/>
      </c>
      <c r="AF61" s="20" t="str">
        <f aca="false">IF(AE61="","",IF(AE61&gt;=CONFIG!$E$21,CONFIG!$F$21,IF(AE61&gt;=CONFIG!$E$20,CONFIG!$F$20,CONFIG!$F$19)))</f>
        <v/>
      </c>
      <c r="AG61" s="21" t="str">
        <f aca="false">IF(F61="","",TRIM(IF(N(M61)=0,"Sin ensayos. ","")&amp;IF(AND(N(M61)&gt;0,N(M61)&lt;CONFIG!$B$26),"Menos de "&amp;CONFIG!$B$26&amp;" probetas. ","")&amp;IF(N(T61)&gt;CONFIG!$B$25,"CV alto. ","")&amp;IF(AND(N(AD61)&gt;0,N(AD61)&gt;N(AF61)),"Absorción alta. ","")))</f>
        <v/>
      </c>
      <c r="AH61" s="22" t="str">
        <f aca="false">IF(AND(N(M61)&gt;0,OR(CONTROL!$C$4="TODAS",C61=CONTROL!$C$4),D61=CONTROL!$C$5),MAX($AH$4:AH60)+1,"")</f>
        <v/>
      </c>
      <c r="AI61" s="22" t="str">
        <f aca="false">IF(AH61="","",P61^2)</f>
        <v/>
      </c>
    </row>
    <row r="62" customFormat="false" ht="15" hidden="false" customHeight="false" outlineLevel="0" collapsed="false">
      <c r="A62" s="11" t="str">
        <f aca="false">IF(B62="","",ROW()-4)</f>
        <v/>
      </c>
      <c r="B62" s="12"/>
      <c r="C62" s="13"/>
      <c r="D62" s="13"/>
      <c r="E62" s="13"/>
      <c r="F62" s="14" t="str">
        <f aca="false">IF(OR(B62="",C62="",D62=""),"",IFERROR(INDEX(CONFIG!$E$5:$E$14,MATCH(D62,CONFIG!$D$5:$D$14,0)),"?")&amp;RIGHT("0"&amp;DAY(B62),2)&amp;RIGHT("0"&amp;MONTH(B62),2)&amp;RIGHT(YEAR(B62),2)&amp;C62&amp;IF(E62="","","-"&amp;E62))</f>
        <v/>
      </c>
      <c r="G62" s="13"/>
      <c r="H62" s="13"/>
      <c r="I62" s="13"/>
      <c r="J62" s="13"/>
      <c r="K62" s="13"/>
      <c r="L62" s="13"/>
      <c r="M62" s="11" t="str">
        <f aca="false">IF(F62="","",COUNTIFS(ENSAYOS!$C$5:$C$3004,F62,ENSAYOS!$Q$5:$Q$3004,"&gt;0"))</f>
        <v/>
      </c>
      <c r="N62" s="15" t="str">
        <f aca="false">IF(N(M62)=0,"",_xlfn.MINIFS(ENSAYOS!$G$5:$G$3004,ENSAYOS!$C$5:$C$3004,F62,ENSAYOS!$Q$5:$Q$3004,"&gt;0"))</f>
        <v/>
      </c>
      <c r="O62" s="15" t="str">
        <f aca="false">IF(N(M62)=0,"",_xlfn.MAXIFS(ENSAYOS!$G$5:$G$3004,ENSAYOS!$C$5:$C$3004,F62,ENSAYOS!$Q$5:$Q$3004,"&gt;0"))</f>
        <v/>
      </c>
      <c r="P62" s="16" t="str">
        <f aca="false">IF(N(M62)=0,"",AVERAGEIFS(ENSAYOS!$Q$5:$Q$3004,ENSAYOS!$C$5:$C$3004,F62,ENSAYOS!$Q$5:$Q$3004,"&gt;0"))</f>
        <v/>
      </c>
      <c r="Q62" s="16" t="str">
        <f aca="false">IF(N(M62)=0,"",_xlfn.MINIFS(ENSAYOS!$Q$5:$Q$3004,ENSAYOS!$C$5:$C$3004,F62,ENSAYOS!$Q$5:$Q$3004,"&gt;0"))</f>
        <v/>
      </c>
      <c r="R62" s="16" t="str">
        <f aca="false">IF(N(M62)=0,"",_xlfn.MAXIFS(ENSAYOS!$Q$5:$Q$3004,ENSAYOS!$C$5:$C$3004,F62,ENSAYOS!$Q$5:$Q$3004,"&gt;0"))</f>
        <v/>
      </c>
      <c r="S62" s="16" t="str">
        <f aca="false">IF(N(M62)&lt;2,"",SQRT(MAX(0,(SUMIFS(ENSAYOS!$X$5:$X$3004,ENSAYOS!$C$5:$C$3004,F62,ENSAYOS!$Q$5:$Q$3004,"&gt;0")-M62*P62^2)/(M62-1))))</f>
        <v/>
      </c>
      <c r="T62" s="17" t="str">
        <f aca="false">IF(S62="","",S62/P62)</f>
        <v/>
      </c>
      <c r="U62" s="16" t="str">
        <f aca="false">IF(N(M62)=0,"",IF(N62&gt;=CONFIG!$B$27,"",AVERAGEIFS(ENSAYOS!$Q$5:$Q$3004,ENSAYOS!$C$5:$C$3004,F62,ENSAYOS!$Q$5:$Q$3004,"&gt;0",ENSAYOS!$G$5:$G$3004,N62)))</f>
        <v/>
      </c>
      <c r="V62" s="16" t="str">
        <f aca="false">IF(N(M62)=0,"",IF(COUNTIFS(ENSAYOS!$C$5:$C$3004,F62,ENSAYOS!$Q$5:$Q$3004,"&gt;0",ENSAYOS!$G$5:$G$3004,"&gt;="&amp;CONFIG!$B$27)=0,"",AVERAGEIFS(ENSAYOS!$Q$5:$Q$3004,ENSAYOS!$C$5:$C$3004,F62,ENSAYOS!$Q$5:$Q$3004,"&gt;0",ENSAYOS!$G$5:$G$3004,"&gt;="&amp;CONFIG!$B$27)))</f>
        <v/>
      </c>
      <c r="W62" s="18" t="str">
        <f aca="false">IF(AND(U62&lt;&gt;"",V62&lt;&gt;""),U62/V62,"")</f>
        <v/>
      </c>
      <c r="X62" s="18" t="str">
        <f aca="false">IF(U62="","",INDEX('CURVA EDAD'!$E$5:$E$32,MIN(28,MAX(1,N62))))</f>
        <v/>
      </c>
      <c r="Y62" s="16" t="str">
        <f aca="false">IF(V62&lt;&gt;"",V62,IF(U62="","",U62/X62))</f>
        <v/>
      </c>
      <c r="Z62" s="16" t="str">
        <f aca="false">IF(V62&lt;&gt;"",_xlfn.MINIFS(ENSAYOS!$Q$5:$Q$3004,ENSAYOS!$C$5:$C$3004,F62,ENSAYOS!$Q$5:$Q$3004,"&gt;0",ENSAYOS!$G$5:$G$3004,"&gt;="&amp;CONFIG!$B$27),IF(U62="","",_xlfn.MINIFS(ENSAYOS!$Q$5:$Q$3004,ENSAYOS!$C$5:$C$3004,F62,ENSAYOS!$Q$5:$Q$3004,"&gt;0",ENSAYOS!$G$5:$G$3004,N62)/X62))</f>
        <v/>
      </c>
      <c r="AA62" s="16" t="str">
        <f aca="false">IF(D62="","",IFERROR(1/(1/INDEX(CONFIG!$J$5:$J$14,MATCH(D62,CONFIG!$D$5:$D$14,0))),""))</f>
        <v/>
      </c>
      <c r="AB62" s="16" t="str">
        <f aca="false">IF(D62="","",IFERROR(1/(1/INDEX(CONFIG!$K$5:$K$14,MATCH(D62,CONFIG!$D$5:$D$14,0))),""))</f>
        <v/>
      </c>
      <c r="AC62" s="19" t="str">
        <f aca="false">IF(N(M62)=0,"",IF(AA62="","Sin spec",IF(AND(Y62&gt;=AA62,OR(AB62="",Z62&gt;=AB62)),"CUMPLE","NO CUMPLE")&amp;IF(V62=""," (est.)","")))</f>
        <v/>
      </c>
      <c r="AD62" s="20" t="str">
        <f aca="false">IF(F62="","",IF(COUNTIFS(ABSORCION!$C$5:$C$1004,F62,ABSORCION!$I$5:$I$1004,"&gt;0")=0,"",AVERAGEIFS(ABSORCION!$I$5:$I$1004,ABSORCION!$C$5:$C$1004,F62,ABSORCION!$I$5:$I$1004,"&gt;0")))</f>
        <v/>
      </c>
      <c r="AE62" s="20" t="str">
        <f aca="false">IF(F62="","",IF(COUNTIFS(ABSORCION!$C$5:$C$1004,F62,ABSORCION!$I$5:$I$1004,"&gt;0")=0,"",AVERAGEIFS(ABSORCION!$K$5:$K$1004,ABSORCION!$C$5:$C$1004,F62,ABSORCION!$I$5:$I$1004,"&gt;0")))</f>
        <v/>
      </c>
      <c r="AF62" s="20" t="str">
        <f aca="false">IF(AE62="","",IF(AE62&gt;=CONFIG!$E$21,CONFIG!$F$21,IF(AE62&gt;=CONFIG!$E$20,CONFIG!$F$20,CONFIG!$F$19)))</f>
        <v/>
      </c>
      <c r="AG62" s="21" t="str">
        <f aca="false">IF(F62="","",TRIM(IF(N(M62)=0,"Sin ensayos. ","")&amp;IF(AND(N(M62)&gt;0,N(M62)&lt;CONFIG!$B$26),"Menos de "&amp;CONFIG!$B$26&amp;" probetas. ","")&amp;IF(N(T62)&gt;CONFIG!$B$25,"CV alto. ","")&amp;IF(AND(N(AD62)&gt;0,N(AD62)&gt;N(AF62)),"Absorción alta. ","")))</f>
        <v/>
      </c>
      <c r="AH62" s="22" t="str">
        <f aca="false">IF(AND(N(M62)&gt;0,OR(CONTROL!$C$4="TODAS",C62=CONTROL!$C$4),D62=CONTROL!$C$5),MAX($AH$4:AH61)+1,"")</f>
        <v/>
      </c>
      <c r="AI62" s="22" t="str">
        <f aca="false">IF(AH62="","",P62^2)</f>
        <v/>
      </c>
    </row>
    <row r="63" customFormat="false" ht="15" hidden="false" customHeight="false" outlineLevel="0" collapsed="false">
      <c r="A63" s="11" t="str">
        <f aca="false">IF(B63="","",ROW()-4)</f>
        <v/>
      </c>
      <c r="B63" s="12"/>
      <c r="C63" s="13"/>
      <c r="D63" s="13"/>
      <c r="E63" s="13"/>
      <c r="F63" s="14" t="str">
        <f aca="false">IF(OR(B63="",C63="",D63=""),"",IFERROR(INDEX(CONFIG!$E$5:$E$14,MATCH(D63,CONFIG!$D$5:$D$14,0)),"?")&amp;RIGHT("0"&amp;DAY(B63),2)&amp;RIGHT("0"&amp;MONTH(B63),2)&amp;RIGHT(YEAR(B63),2)&amp;C63&amp;IF(E63="","","-"&amp;E63))</f>
        <v/>
      </c>
      <c r="G63" s="13"/>
      <c r="H63" s="13"/>
      <c r="I63" s="13"/>
      <c r="J63" s="13"/>
      <c r="K63" s="13"/>
      <c r="L63" s="13"/>
      <c r="M63" s="11" t="str">
        <f aca="false">IF(F63="","",COUNTIFS(ENSAYOS!$C$5:$C$3004,F63,ENSAYOS!$Q$5:$Q$3004,"&gt;0"))</f>
        <v/>
      </c>
      <c r="N63" s="15" t="str">
        <f aca="false">IF(N(M63)=0,"",_xlfn.MINIFS(ENSAYOS!$G$5:$G$3004,ENSAYOS!$C$5:$C$3004,F63,ENSAYOS!$Q$5:$Q$3004,"&gt;0"))</f>
        <v/>
      </c>
      <c r="O63" s="15" t="str">
        <f aca="false">IF(N(M63)=0,"",_xlfn.MAXIFS(ENSAYOS!$G$5:$G$3004,ENSAYOS!$C$5:$C$3004,F63,ENSAYOS!$Q$5:$Q$3004,"&gt;0"))</f>
        <v/>
      </c>
      <c r="P63" s="16" t="str">
        <f aca="false">IF(N(M63)=0,"",AVERAGEIFS(ENSAYOS!$Q$5:$Q$3004,ENSAYOS!$C$5:$C$3004,F63,ENSAYOS!$Q$5:$Q$3004,"&gt;0"))</f>
        <v/>
      </c>
      <c r="Q63" s="16" t="str">
        <f aca="false">IF(N(M63)=0,"",_xlfn.MINIFS(ENSAYOS!$Q$5:$Q$3004,ENSAYOS!$C$5:$C$3004,F63,ENSAYOS!$Q$5:$Q$3004,"&gt;0"))</f>
        <v/>
      </c>
      <c r="R63" s="16" t="str">
        <f aca="false">IF(N(M63)=0,"",_xlfn.MAXIFS(ENSAYOS!$Q$5:$Q$3004,ENSAYOS!$C$5:$C$3004,F63,ENSAYOS!$Q$5:$Q$3004,"&gt;0"))</f>
        <v/>
      </c>
      <c r="S63" s="16" t="str">
        <f aca="false">IF(N(M63)&lt;2,"",SQRT(MAX(0,(SUMIFS(ENSAYOS!$X$5:$X$3004,ENSAYOS!$C$5:$C$3004,F63,ENSAYOS!$Q$5:$Q$3004,"&gt;0")-M63*P63^2)/(M63-1))))</f>
        <v/>
      </c>
      <c r="T63" s="17" t="str">
        <f aca="false">IF(S63="","",S63/P63)</f>
        <v/>
      </c>
      <c r="U63" s="16" t="str">
        <f aca="false">IF(N(M63)=0,"",IF(N63&gt;=CONFIG!$B$27,"",AVERAGEIFS(ENSAYOS!$Q$5:$Q$3004,ENSAYOS!$C$5:$C$3004,F63,ENSAYOS!$Q$5:$Q$3004,"&gt;0",ENSAYOS!$G$5:$G$3004,N63)))</f>
        <v/>
      </c>
      <c r="V63" s="16" t="str">
        <f aca="false">IF(N(M63)=0,"",IF(COUNTIFS(ENSAYOS!$C$5:$C$3004,F63,ENSAYOS!$Q$5:$Q$3004,"&gt;0",ENSAYOS!$G$5:$G$3004,"&gt;="&amp;CONFIG!$B$27)=0,"",AVERAGEIFS(ENSAYOS!$Q$5:$Q$3004,ENSAYOS!$C$5:$C$3004,F63,ENSAYOS!$Q$5:$Q$3004,"&gt;0",ENSAYOS!$G$5:$G$3004,"&gt;="&amp;CONFIG!$B$27)))</f>
        <v/>
      </c>
      <c r="W63" s="18" t="str">
        <f aca="false">IF(AND(U63&lt;&gt;"",V63&lt;&gt;""),U63/V63,"")</f>
        <v/>
      </c>
      <c r="X63" s="18" t="str">
        <f aca="false">IF(U63="","",INDEX('CURVA EDAD'!$E$5:$E$32,MIN(28,MAX(1,N63))))</f>
        <v/>
      </c>
      <c r="Y63" s="16" t="str">
        <f aca="false">IF(V63&lt;&gt;"",V63,IF(U63="","",U63/X63))</f>
        <v/>
      </c>
      <c r="Z63" s="16" t="str">
        <f aca="false">IF(V63&lt;&gt;"",_xlfn.MINIFS(ENSAYOS!$Q$5:$Q$3004,ENSAYOS!$C$5:$C$3004,F63,ENSAYOS!$Q$5:$Q$3004,"&gt;0",ENSAYOS!$G$5:$G$3004,"&gt;="&amp;CONFIG!$B$27),IF(U63="","",_xlfn.MINIFS(ENSAYOS!$Q$5:$Q$3004,ENSAYOS!$C$5:$C$3004,F63,ENSAYOS!$Q$5:$Q$3004,"&gt;0",ENSAYOS!$G$5:$G$3004,N63)/X63))</f>
        <v/>
      </c>
      <c r="AA63" s="16" t="str">
        <f aca="false">IF(D63="","",IFERROR(1/(1/INDEX(CONFIG!$J$5:$J$14,MATCH(D63,CONFIG!$D$5:$D$14,0))),""))</f>
        <v/>
      </c>
      <c r="AB63" s="16" t="str">
        <f aca="false">IF(D63="","",IFERROR(1/(1/INDEX(CONFIG!$K$5:$K$14,MATCH(D63,CONFIG!$D$5:$D$14,0))),""))</f>
        <v/>
      </c>
      <c r="AC63" s="19" t="str">
        <f aca="false">IF(N(M63)=0,"",IF(AA63="","Sin spec",IF(AND(Y63&gt;=AA63,OR(AB63="",Z63&gt;=AB63)),"CUMPLE","NO CUMPLE")&amp;IF(V63=""," (est.)","")))</f>
        <v/>
      </c>
      <c r="AD63" s="20" t="str">
        <f aca="false">IF(F63="","",IF(COUNTIFS(ABSORCION!$C$5:$C$1004,F63,ABSORCION!$I$5:$I$1004,"&gt;0")=0,"",AVERAGEIFS(ABSORCION!$I$5:$I$1004,ABSORCION!$C$5:$C$1004,F63,ABSORCION!$I$5:$I$1004,"&gt;0")))</f>
        <v/>
      </c>
      <c r="AE63" s="20" t="str">
        <f aca="false">IF(F63="","",IF(COUNTIFS(ABSORCION!$C$5:$C$1004,F63,ABSORCION!$I$5:$I$1004,"&gt;0")=0,"",AVERAGEIFS(ABSORCION!$K$5:$K$1004,ABSORCION!$C$5:$C$1004,F63,ABSORCION!$I$5:$I$1004,"&gt;0")))</f>
        <v/>
      </c>
      <c r="AF63" s="20" t="str">
        <f aca="false">IF(AE63="","",IF(AE63&gt;=CONFIG!$E$21,CONFIG!$F$21,IF(AE63&gt;=CONFIG!$E$20,CONFIG!$F$20,CONFIG!$F$19)))</f>
        <v/>
      </c>
      <c r="AG63" s="21" t="str">
        <f aca="false">IF(F63="","",TRIM(IF(N(M63)=0,"Sin ensayos. ","")&amp;IF(AND(N(M63)&gt;0,N(M63)&lt;CONFIG!$B$26),"Menos de "&amp;CONFIG!$B$26&amp;" probetas. ","")&amp;IF(N(T63)&gt;CONFIG!$B$25,"CV alto. ","")&amp;IF(AND(N(AD63)&gt;0,N(AD63)&gt;N(AF63)),"Absorción alta. ","")))</f>
        <v/>
      </c>
      <c r="AH63" s="22" t="str">
        <f aca="false">IF(AND(N(M63)&gt;0,OR(CONTROL!$C$4="TODAS",C63=CONTROL!$C$4),D63=CONTROL!$C$5),MAX($AH$4:AH62)+1,"")</f>
        <v/>
      </c>
      <c r="AI63" s="22" t="str">
        <f aca="false">IF(AH63="","",P63^2)</f>
        <v/>
      </c>
    </row>
    <row r="64" customFormat="false" ht="15" hidden="false" customHeight="false" outlineLevel="0" collapsed="false">
      <c r="A64" s="11" t="str">
        <f aca="false">IF(B64="","",ROW()-4)</f>
        <v/>
      </c>
      <c r="B64" s="12"/>
      <c r="C64" s="13"/>
      <c r="D64" s="13"/>
      <c r="E64" s="13"/>
      <c r="F64" s="14" t="str">
        <f aca="false">IF(OR(B64="",C64="",D64=""),"",IFERROR(INDEX(CONFIG!$E$5:$E$14,MATCH(D64,CONFIG!$D$5:$D$14,0)),"?")&amp;RIGHT("0"&amp;DAY(B64),2)&amp;RIGHT("0"&amp;MONTH(B64),2)&amp;RIGHT(YEAR(B64),2)&amp;C64&amp;IF(E64="","","-"&amp;E64))</f>
        <v/>
      </c>
      <c r="G64" s="13"/>
      <c r="H64" s="13"/>
      <c r="I64" s="13"/>
      <c r="J64" s="13"/>
      <c r="K64" s="13"/>
      <c r="L64" s="13"/>
      <c r="M64" s="11" t="str">
        <f aca="false">IF(F64="","",COUNTIFS(ENSAYOS!$C$5:$C$3004,F64,ENSAYOS!$Q$5:$Q$3004,"&gt;0"))</f>
        <v/>
      </c>
      <c r="N64" s="15" t="str">
        <f aca="false">IF(N(M64)=0,"",_xlfn.MINIFS(ENSAYOS!$G$5:$G$3004,ENSAYOS!$C$5:$C$3004,F64,ENSAYOS!$Q$5:$Q$3004,"&gt;0"))</f>
        <v/>
      </c>
      <c r="O64" s="15" t="str">
        <f aca="false">IF(N(M64)=0,"",_xlfn.MAXIFS(ENSAYOS!$G$5:$G$3004,ENSAYOS!$C$5:$C$3004,F64,ENSAYOS!$Q$5:$Q$3004,"&gt;0"))</f>
        <v/>
      </c>
      <c r="P64" s="16" t="str">
        <f aca="false">IF(N(M64)=0,"",AVERAGEIFS(ENSAYOS!$Q$5:$Q$3004,ENSAYOS!$C$5:$C$3004,F64,ENSAYOS!$Q$5:$Q$3004,"&gt;0"))</f>
        <v/>
      </c>
      <c r="Q64" s="16" t="str">
        <f aca="false">IF(N(M64)=0,"",_xlfn.MINIFS(ENSAYOS!$Q$5:$Q$3004,ENSAYOS!$C$5:$C$3004,F64,ENSAYOS!$Q$5:$Q$3004,"&gt;0"))</f>
        <v/>
      </c>
      <c r="R64" s="16" t="str">
        <f aca="false">IF(N(M64)=0,"",_xlfn.MAXIFS(ENSAYOS!$Q$5:$Q$3004,ENSAYOS!$C$5:$C$3004,F64,ENSAYOS!$Q$5:$Q$3004,"&gt;0"))</f>
        <v/>
      </c>
      <c r="S64" s="16" t="str">
        <f aca="false">IF(N(M64)&lt;2,"",SQRT(MAX(0,(SUMIFS(ENSAYOS!$X$5:$X$3004,ENSAYOS!$C$5:$C$3004,F64,ENSAYOS!$Q$5:$Q$3004,"&gt;0")-M64*P64^2)/(M64-1))))</f>
        <v/>
      </c>
      <c r="T64" s="17" t="str">
        <f aca="false">IF(S64="","",S64/P64)</f>
        <v/>
      </c>
      <c r="U64" s="16" t="str">
        <f aca="false">IF(N(M64)=0,"",IF(N64&gt;=CONFIG!$B$27,"",AVERAGEIFS(ENSAYOS!$Q$5:$Q$3004,ENSAYOS!$C$5:$C$3004,F64,ENSAYOS!$Q$5:$Q$3004,"&gt;0",ENSAYOS!$G$5:$G$3004,N64)))</f>
        <v/>
      </c>
      <c r="V64" s="16" t="str">
        <f aca="false">IF(N(M64)=0,"",IF(COUNTIFS(ENSAYOS!$C$5:$C$3004,F64,ENSAYOS!$Q$5:$Q$3004,"&gt;0",ENSAYOS!$G$5:$G$3004,"&gt;="&amp;CONFIG!$B$27)=0,"",AVERAGEIFS(ENSAYOS!$Q$5:$Q$3004,ENSAYOS!$C$5:$C$3004,F64,ENSAYOS!$Q$5:$Q$3004,"&gt;0",ENSAYOS!$G$5:$G$3004,"&gt;="&amp;CONFIG!$B$27)))</f>
        <v/>
      </c>
      <c r="W64" s="18" t="str">
        <f aca="false">IF(AND(U64&lt;&gt;"",V64&lt;&gt;""),U64/V64,"")</f>
        <v/>
      </c>
      <c r="X64" s="18" t="str">
        <f aca="false">IF(U64="","",INDEX('CURVA EDAD'!$E$5:$E$32,MIN(28,MAX(1,N64))))</f>
        <v/>
      </c>
      <c r="Y64" s="16" t="str">
        <f aca="false">IF(V64&lt;&gt;"",V64,IF(U64="","",U64/X64))</f>
        <v/>
      </c>
      <c r="Z64" s="16" t="str">
        <f aca="false">IF(V64&lt;&gt;"",_xlfn.MINIFS(ENSAYOS!$Q$5:$Q$3004,ENSAYOS!$C$5:$C$3004,F64,ENSAYOS!$Q$5:$Q$3004,"&gt;0",ENSAYOS!$G$5:$G$3004,"&gt;="&amp;CONFIG!$B$27),IF(U64="","",_xlfn.MINIFS(ENSAYOS!$Q$5:$Q$3004,ENSAYOS!$C$5:$C$3004,F64,ENSAYOS!$Q$5:$Q$3004,"&gt;0",ENSAYOS!$G$5:$G$3004,N64)/X64))</f>
        <v/>
      </c>
      <c r="AA64" s="16" t="str">
        <f aca="false">IF(D64="","",IFERROR(1/(1/INDEX(CONFIG!$J$5:$J$14,MATCH(D64,CONFIG!$D$5:$D$14,0))),""))</f>
        <v/>
      </c>
      <c r="AB64" s="16" t="str">
        <f aca="false">IF(D64="","",IFERROR(1/(1/INDEX(CONFIG!$K$5:$K$14,MATCH(D64,CONFIG!$D$5:$D$14,0))),""))</f>
        <v/>
      </c>
      <c r="AC64" s="19" t="str">
        <f aca="false">IF(N(M64)=0,"",IF(AA64="","Sin spec",IF(AND(Y64&gt;=AA64,OR(AB64="",Z64&gt;=AB64)),"CUMPLE","NO CUMPLE")&amp;IF(V64=""," (est.)","")))</f>
        <v/>
      </c>
      <c r="AD64" s="20" t="str">
        <f aca="false">IF(F64="","",IF(COUNTIFS(ABSORCION!$C$5:$C$1004,F64,ABSORCION!$I$5:$I$1004,"&gt;0")=0,"",AVERAGEIFS(ABSORCION!$I$5:$I$1004,ABSORCION!$C$5:$C$1004,F64,ABSORCION!$I$5:$I$1004,"&gt;0")))</f>
        <v/>
      </c>
      <c r="AE64" s="20" t="str">
        <f aca="false">IF(F64="","",IF(COUNTIFS(ABSORCION!$C$5:$C$1004,F64,ABSORCION!$I$5:$I$1004,"&gt;0")=0,"",AVERAGEIFS(ABSORCION!$K$5:$K$1004,ABSORCION!$C$5:$C$1004,F64,ABSORCION!$I$5:$I$1004,"&gt;0")))</f>
        <v/>
      </c>
      <c r="AF64" s="20" t="str">
        <f aca="false">IF(AE64="","",IF(AE64&gt;=CONFIG!$E$21,CONFIG!$F$21,IF(AE64&gt;=CONFIG!$E$20,CONFIG!$F$20,CONFIG!$F$19)))</f>
        <v/>
      </c>
      <c r="AG64" s="21" t="str">
        <f aca="false">IF(F64="","",TRIM(IF(N(M64)=0,"Sin ensayos. ","")&amp;IF(AND(N(M64)&gt;0,N(M64)&lt;CONFIG!$B$26),"Menos de "&amp;CONFIG!$B$26&amp;" probetas. ","")&amp;IF(N(T64)&gt;CONFIG!$B$25,"CV alto. ","")&amp;IF(AND(N(AD64)&gt;0,N(AD64)&gt;N(AF64)),"Absorción alta. ","")))</f>
        <v/>
      </c>
      <c r="AH64" s="22" t="str">
        <f aca="false">IF(AND(N(M64)&gt;0,OR(CONTROL!$C$4="TODAS",C64=CONTROL!$C$4),D64=CONTROL!$C$5),MAX($AH$4:AH63)+1,"")</f>
        <v/>
      </c>
      <c r="AI64" s="22" t="str">
        <f aca="false">IF(AH64="","",P64^2)</f>
        <v/>
      </c>
    </row>
    <row r="65" customFormat="false" ht="15" hidden="false" customHeight="false" outlineLevel="0" collapsed="false">
      <c r="A65" s="11" t="str">
        <f aca="false">IF(B65="","",ROW()-4)</f>
        <v/>
      </c>
      <c r="B65" s="12"/>
      <c r="C65" s="13"/>
      <c r="D65" s="13"/>
      <c r="E65" s="13"/>
      <c r="F65" s="14" t="str">
        <f aca="false">IF(OR(B65="",C65="",D65=""),"",IFERROR(INDEX(CONFIG!$E$5:$E$14,MATCH(D65,CONFIG!$D$5:$D$14,0)),"?")&amp;RIGHT("0"&amp;DAY(B65),2)&amp;RIGHT("0"&amp;MONTH(B65),2)&amp;RIGHT(YEAR(B65),2)&amp;C65&amp;IF(E65="","","-"&amp;E65))</f>
        <v/>
      </c>
      <c r="G65" s="13"/>
      <c r="H65" s="13"/>
      <c r="I65" s="13"/>
      <c r="J65" s="13"/>
      <c r="K65" s="13"/>
      <c r="L65" s="13"/>
      <c r="M65" s="11" t="str">
        <f aca="false">IF(F65="","",COUNTIFS(ENSAYOS!$C$5:$C$3004,F65,ENSAYOS!$Q$5:$Q$3004,"&gt;0"))</f>
        <v/>
      </c>
      <c r="N65" s="15" t="str">
        <f aca="false">IF(N(M65)=0,"",_xlfn.MINIFS(ENSAYOS!$G$5:$G$3004,ENSAYOS!$C$5:$C$3004,F65,ENSAYOS!$Q$5:$Q$3004,"&gt;0"))</f>
        <v/>
      </c>
      <c r="O65" s="15" t="str">
        <f aca="false">IF(N(M65)=0,"",_xlfn.MAXIFS(ENSAYOS!$G$5:$G$3004,ENSAYOS!$C$5:$C$3004,F65,ENSAYOS!$Q$5:$Q$3004,"&gt;0"))</f>
        <v/>
      </c>
      <c r="P65" s="16" t="str">
        <f aca="false">IF(N(M65)=0,"",AVERAGEIFS(ENSAYOS!$Q$5:$Q$3004,ENSAYOS!$C$5:$C$3004,F65,ENSAYOS!$Q$5:$Q$3004,"&gt;0"))</f>
        <v/>
      </c>
      <c r="Q65" s="16" t="str">
        <f aca="false">IF(N(M65)=0,"",_xlfn.MINIFS(ENSAYOS!$Q$5:$Q$3004,ENSAYOS!$C$5:$C$3004,F65,ENSAYOS!$Q$5:$Q$3004,"&gt;0"))</f>
        <v/>
      </c>
      <c r="R65" s="16" t="str">
        <f aca="false">IF(N(M65)=0,"",_xlfn.MAXIFS(ENSAYOS!$Q$5:$Q$3004,ENSAYOS!$C$5:$C$3004,F65,ENSAYOS!$Q$5:$Q$3004,"&gt;0"))</f>
        <v/>
      </c>
      <c r="S65" s="16" t="str">
        <f aca="false">IF(N(M65)&lt;2,"",SQRT(MAX(0,(SUMIFS(ENSAYOS!$X$5:$X$3004,ENSAYOS!$C$5:$C$3004,F65,ENSAYOS!$Q$5:$Q$3004,"&gt;0")-M65*P65^2)/(M65-1))))</f>
        <v/>
      </c>
      <c r="T65" s="17" t="str">
        <f aca="false">IF(S65="","",S65/P65)</f>
        <v/>
      </c>
      <c r="U65" s="16" t="str">
        <f aca="false">IF(N(M65)=0,"",IF(N65&gt;=CONFIG!$B$27,"",AVERAGEIFS(ENSAYOS!$Q$5:$Q$3004,ENSAYOS!$C$5:$C$3004,F65,ENSAYOS!$Q$5:$Q$3004,"&gt;0",ENSAYOS!$G$5:$G$3004,N65)))</f>
        <v/>
      </c>
      <c r="V65" s="16" t="str">
        <f aca="false">IF(N(M65)=0,"",IF(COUNTIFS(ENSAYOS!$C$5:$C$3004,F65,ENSAYOS!$Q$5:$Q$3004,"&gt;0",ENSAYOS!$G$5:$G$3004,"&gt;="&amp;CONFIG!$B$27)=0,"",AVERAGEIFS(ENSAYOS!$Q$5:$Q$3004,ENSAYOS!$C$5:$C$3004,F65,ENSAYOS!$Q$5:$Q$3004,"&gt;0",ENSAYOS!$G$5:$G$3004,"&gt;="&amp;CONFIG!$B$27)))</f>
        <v/>
      </c>
      <c r="W65" s="18" t="str">
        <f aca="false">IF(AND(U65&lt;&gt;"",V65&lt;&gt;""),U65/V65,"")</f>
        <v/>
      </c>
      <c r="X65" s="18" t="str">
        <f aca="false">IF(U65="","",INDEX('CURVA EDAD'!$E$5:$E$32,MIN(28,MAX(1,N65))))</f>
        <v/>
      </c>
      <c r="Y65" s="16" t="str">
        <f aca="false">IF(V65&lt;&gt;"",V65,IF(U65="","",U65/X65))</f>
        <v/>
      </c>
      <c r="Z65" s="16" t="str">
        <f aca="false">IF(V65&lt;&gt;"",_xlfn.MINIFS(ENSAYOS!$Q$5:$Q$3004,ENSAYOS!$C$5:$C$3004,F65,ENSAYOS!$Q$5:$Q$3004,"&gt;0",ENSAYOS!$G$5:$G$3004,"&gt;="&amp;CONFIG!$B$27),IF(U65="","",_xlfn.MINIFS(ENSAYOS!$Q$5:$Q$3004,ENSAYOS!$C$5:$C$3004,F65,ENSAYOS!$Q$5:$Q$3004,"&gt;0",ENSAYOS!$G$5:$G$3004,N65)/X65))</f>
        <v/>
      </c>
      <c r="AA65" s="16" t="str">
        <f aca="false">IF(D65="","",IFERROR(1/(1/INDEX(CONFIG!$J$5:$J$14,MATCH(D65,CONFIG!$D$5:$D$14,0))),""))</f>
        <v/>
      </c>
      <c r="AB65" s="16" t="str">
        <f aca="false">IF(D65="","",IFERROR(1/(1/INDEX(CONFIG!$K$5:$K$14,MATCH(D65,CONFIG!$D$5:$D$14,0))),""))</f>
        <v/>
      </c>
      <c r="AC65" s="19" t="str">
        <f aca="false">IF(N(M65)=0,"",IF(AA65="","Sin spec",IF(AND(Y65&gt;=AA65,OR(AB65="",Z65&gt;=AB65)),"CUMPLE","NO CUMPLE")&amp;IF(V65=""," (est.)","")))</f>
        <v/>
      </c>
      <c r="AD65" s="20" t="str">
        <f aca="false">IF(F65="","",IF(COUNTIFS(ABSORCION!$C$5:$C$1004,F65,ABSORCION!$I$5:$I$1004,"&gt;0")=0,"",AVERAGEIFS(ABSORCION!$I$5:$I$1004,ABSORCION!$C$5:$C$1004,F65,ABSORCION!$I$5:$I$1004,"&gt;0")))</f>
        <v/>
      </c>
      <c r="AE65" s="20" t="str">
        <f aca="false">IF(F65="","",IF(COUNTIFS(ABSORCION!$C$5:$C$1004,F65,ABSORCION!$I$5:$I$1004,"&gt;0")=0,"",AVERAGEIFS(ABSORCION!$K$5:$K$1004,ABSORCION!$C$5:$C$1004,F65,ABSORCION!$I$5:$I$1004,"&gt;0")))</f>
        <v/>
      </c>
      <c r="AF65" s="20" t="str">
        <f aca="false">IF(AE65="","",IF(AE65&gt;=CONFIG!$E$21,CONFIG!$F$21,IF(AE65&gt;=CONFIG!$E$20,CONFIG!$F$20,CONFIG!$F$19)))</f>
        <v/>
      </c>
      <c r="AG65" s="21" t="str">
        <f aca="false">IF(F65="","",TRIM(IF(N(M65)=0,"Sin ensayos. ","")&amp;IF(AND(N(M65)&gt;0,N(M65)&lt;CONFIG!$B$26),"Menos de "&amp;CONFIG!$B$26&amp;" probetas. ","")&amp;IF(N(T65)&gt;CONFIG!$B$25,"CV alto. ","")&amp;IF(AND(N(AD65)&gt;0,N(AD65)&gt;N(AF65)),"Absorción alta. ","")))</f>
        <v/>
      </c>
      <c r="AH65" s="22" t="str">
        <f aca="false">IF(AND(N(M65)&gt;0,OR(CONTROL!$C$4="TODAS",C65=CONTROL!$C$4),D65=CONTROL!$C$5),MAX($AH$4:AH64)+1,"")</f>
        <v/>
      </c>
      <c r="AI65" s="22" t="str">
        <f aca="false">IF(AH65="","",P65^2)</f>
        <v/>
      </c>
    </row>
    <row r="66" customFormat="false" ht="15" hidden="false" customHeight="false" outlineLevel="0" collapsed="false">
      <c r="A66" s="11" t="str">
        <f aca="false">IF(B66="","",ROW()-4)</f>
        <v/>
      </c>
      <c r="B66" s="12"/>
      <c r="C66" s="13"/>
      <c r="D66" s="13"/>
      <c r="E66" s="13"/>
      <c r="F66" s="14" t="str">
        <f aca="false">IF(OR(B66="",C66="",D66=""),"",IFERROR(INDEX(CONFIG!$E$5:$E$14,MATCH(D66,CONFIG!$D$5:$D$14,0)),"?")&amp;RIGHT("0"&amp;DAY(B66),2)&amp;RIGHT("0"&amp;MONTH(B66),2)&amp;RIGHT(YEAR(B66),2)&amp;C66&amp;IF(E66="","","-"&amp;E66))</f>
        <v/>
      </c>
      <c r="G66" s="13"/>
      <c r="H66" s="13"/>
      <c r="I66" s="13"/>
      <c r="J66" s="13"/>
      <c r="K66" s="13"/>
      <c r="L66" s="13"/>
      <c r="M66" s="11" t="str">
        <f aca="false">IF(F66="","",COUNTIFS(ENSAYOS!$C$5:$C$3004,F66,ENSAYOS!$Q$5:$Q$3004,"&gt;0"))</f>
        <v/>
      </c>
      <c r="N66" s="15" t="str">
        <f aca="false">IF(N(M66)=0,"",_xlfn.MINIFS(ENSAYOS!$G$5:$G$3004,ENSAYOS!$C$5:$C$3004,F66,ENSAYOS!$Q$5:$Q$3004,"&gt;0"))</f>
        <v/>
      </c>
      <c r="O66" s="15" t="str">
        <f aca="false">IF(N(M66)=0,"",_xlfn.MAXIFS(ENSAYOS!$G$5:$G$3004,ENSAYOS!$C$5:$C$3004,F66,ENSAYOS!$Q$5:$Q$3004,"&gt;0"))</f>
        <v/>
      </c>
      <c r="P66" s="16" t="str">
        <f aca="false">IF(N(M66)=0,"",AVERAGEIFS(ENSAYOS!$Q$5:$Q$3004,ENSAYOS!$C$5:$C$3004,F66,ENSAYOS!$Q$5:$Q$3004,"&gt;0"))</f>
        <v/>
      </c>
      <c r="Q66" s="16" t="str">
        <f aca="false">IF(N(M66)=0,"",_xlfn.MINIFS(ENSAYOS!$Q$5:$Q$3004,ENSAYOS!$C$5:$C$3004,F66,ENSAYOS!$Q$5:$Q$3004,"&gt;0"))</f>
        <v/>
      </c>
      <c r="R66" s="16" t="str">
        <f aca="false">IF(N(M66)=0,"",_xlfn.MAXIFS(ENSAYOS!$Q$5:$Q$3004,ENSAYOS!$C$5:$C$3004,F66,ENSAYOS!$Q$5:$Q$3004,"&gt;0"))</f>
        <v/>
      </c>
      <c r="S66" s="16" t="str">
        <f aca="false">IF(N(M66)&lt;2,"",SQRT(MAX(0,(SUMIFS(ENSAYOS!$X$5:$X$3004,ENSAYOS!$C$5:$C$3004,F66,ENSAYOS!$Q$5:$Q$3004,"&gt;0")-M66*P66^2)/(M66-1))))</f>
        <v/>
      </c>
      <c r="T66" s="17" t="str">
        <f aca="false">IF(S66="","",S66/P66)</f>
        <v/>
      </c>
      <c r="U66" s="16" t="str">
        <f aca="false">IF(N(M66)=0,"",IF(N66&gt;=CONFIG!$B$27,"",AVERAGEIFS(ENSAYOS!$Q$5:$Q$3004,ENSAYOS!$C$5:$C$3004,F66,ENSAYOS!$Q$5:$Q$3004,"&gt;0",ENSAYOS!$G$5:$G$3004,N66)))</f>
        <v/>
      </c>
      <c r="V66" s="16" t="str">
        <f aca="false">IF(N(M66)=0,"",IF(COUNTIFS(ENSAYOS!$C$5:$C$3004,F66,ENSAYOS!$Q$5:$Q$3004,"&gt;0",ENSAYOS!$G$5:$G$3004,"&gt;="&amp;CONFIG!$B$27)=0,"",AVERAGEIFS(ENSAYOS!$Q$5:$Q$3004,ENSAYOS!$C$5:$C$3004,F66,ENSAYOS!$Q$5:$Q$3004,"&gt;0",ENSAYOS!$G$5:$G$3004,"&gt;="&amp;CONFIG!$B$27)))</f>
        <v/>
      </c>
      <c r="W66" s="18" t="str">
        <f aca="false">IF(AND(U66&lt;&gt;"",V66&lt;&gt;""),U66/V66,"")</f>
        <v/>
      </c>
      <c r="X66" s="18" t="str">
        <f aca="false">IF(U66="","",INDEX('CURVA EDAD'!$E$5:$E$32,MIN(28,MAX(1,N66))))</f>
        <v/>
      </c>
      <c r="Y66" s="16" t="str">
        <f aca="false">IF(V66&lt;&gt;"",V66,IF(U66="","",U66/X66))</f>
        <v/>
      </c>
      <c r="Z66" s="16" t="str">
        <f aca="false">IF(V66&lt;&gt;"",_xlfn.MINIFS(ENSAYOS!$Q$5:$Q$3004,ENSAYOS!$C$5:$C$3004,F66,ENSAYOS!$Q$5:$Q$3004,"&gt;0",ENSAYOS!$G$5:$G$3004,"&gt;="&amp;CONFIG!$B$27),IF(U66="","",_xlfn.MINIFS(ENSAYOS!$Q$5:$Q$3004,ENSAYOS!$C$5:$C$3004,F66,ENSAYOS!$Q$5:$Q$3004,"&gt;0",ENSAYOS!$G$5:$G$3004,N66)/X66))</f>
        <v/>
      </c>
      <c r="AA66" s="16" t="str">
        <f aca="false">IF(D66="","",IFERROR(1/(1/INDEX(CONFIG!$J$5:$J$14,MATCH(D66,CONFIG!$D$5:$D$14,0))),""))</f>
        <v/>
      </c>
      <c r="AB66" s="16" t="str">
        <f aca="false">IF(D66="","",IFERROR(1/(1/INDEX(CONFIG!$K$5:$K$14,MATCH(D66,CONFIG!$D$5:$D$14,0))),""))</f>
        <v/>
      </c>
      <c r="AC66" s="19" t="str">
        <f aca="false">IF(N(M66)=0,"",IF(AA66="","Sin spec",IF(AND(Y66&gt;=AA66,OR(AB66="",Z66&gt;=AB66)),"CUMPLE","NO CUMPLE")&amp;IF(V66=""," (est.)","")))</f>
        <v/>
      </c>
      <c r="AD66" s="20" t="str">
        <f aca="false">IF(F66="","",IF(COUNTIFS(ABSORCION!$C$5:$C$1004,F66,ABSORCION!$I$5:$I$1004,"&gt;0")=0,"",AVERAGEIFS(ABSORCION!$I$5:$I$1004,ABSORCION!$C$5:$C$1004,F66,ABSORCION!$I$5:$I$1004,"&gt;0")))</f>
        <v/>
      </c>
      <c r="AE66" s="20" t="str">
        <f aca="false">IF(F66="","",IF(COUNTIFS(ABSORCION!$C$5:$C$1004,F66,ABSORCION!$I$5:$I$1004,"&gt;0")=0,"",AVERAGEIFS(ABSORCION!$K$5:$K$1004,ABSORCION!$C$5:$C$1004,F66,ABSORCION!$I$5:$I$1004,"&gt;0")))</f>
        <v/>
      </c>
      <c r="AF66" s="20" t="str">
        <f aca="false">IF(AE66="","",IF(AE66&gt;=CONFIG!$E$21,CONFIG!$F$21,IF(AE66&gt;=CONFIG!$E$20,CONFIG!$F$20,CONFIG!$F$19)))</f>
        <v/>
      </c>
      <c r="AG66" s="21" t="str">
        <f aca="false">IF(F66="","",TRIM(IF(N(M66)=0,"Sin ensayos. ","")&amp;IF(AND(N(M66)&gt;0,N(M66)&lt;CONFIG!$B$26),"Menos de "&amp;CONFIG!$B$26&amp;" probetas. ","")&amp;IF(N(T66)&gt;CONFIG!$B$25,"CV alto. ","")&amp;IF(AND(N(AD66)&gt;0,N(AD66)&gt;N(AF66)),"Absorción alta. ","")))</f>
        <v/>
      </c>
      <c r="AH66" s="22" t="str">
        <f aca="false">IF(AND(N(M66)&gt;0,OR(CONTROL!$C$4="TODAS",C66=CONTROL!$C$4),D66=CONTROL!$C$5),MAX($AH$4:AH65)+1,"")</f>
        <v/>
      </c>
      <c r="AI66" s="22" t="str">
        <f aca="false">IF(AH66="","",P66^2)</f>
        <v/>
      </c>
    </row>
    <row r="67" customFormat="false" ht="15" hidden="false" customHeight="false" outlineLevel="0" collapsed="false">
      <c r="A67" s="11" t="str">
        <f aca="false">IF(B67="","",ROW()-4)</f>
        <v/>
      </c>
      <c r="B67" s="12"/>
      <c r="C67" s="13"/>
      <c r="D67" s="13"/>
      <c r="E67" s="13"/>
      <c r="F67" s="14" t="str">
        <f aca="false">IF(OR(B67="",C67="",D67=""),"",IFERROR(INDEX(CONFIG!$E$5:$E$14,MATCH(D67,CONFIG!$D$5:$D$14,0)),"?")&amp;RIGHT("0"&amp;DAY(B67),2)&amp;RIGHT("0"&amp;MONTH(B67),2)&amp;RIGHT(YEAR(B67),2)&amp;C67&amp;IF(E67="","","-"&amp;E67))</f>
        <v/>
      </c>
      <c r="G67" s="13"/>
      <c r="H67" s="13"/>
      <c r="I67" s="13"/>
      <c r="J67" s="13"/>
      <c r="K67" s="13"/>
      <c r="L67" s="13"/>
      <c r="M67" s="11" t="str">
        <f aca="false">IF(F67="","",COUNTIFS(ENSAYOS!$C$5:$C$3004,F67,ENSAYOS!$Q$5:$Q$3004,"&gt;0"))</f>
        <v/>
      </c>
      <c r="N67" s="15" t="str">
        <f aca="false">IF(N(M67)=0,"",_xlfn.MINIFS(ENSAYOS!$G$5:$G$3004,ENSAYOS!$C$5:$C$3004,F67,ENSAYOS!$Q$5:$Q$3004,"&gt;0"))</f>
        <v/>
      </c>
      <c r="O67" s="15" t="str">
        <f aca="false">IF(N(M67)=0,"",_xlfn.MAXIFS(ENSAYOS!$G$5:$G$3004,ENSAYOS!$C$5:$C$3004,F67,ENSAYOS!$Q$5:$Q$3004,"&gt;0"))</f>
        <v/>
      </c>
      <c r="P67" s="16" t="str">
        <f aca="false">IF(N(M67)=0,"",AVERAGEIFS(ENSAYOS!$Q$5:$Q$3004,ENSAYOS!$C$5:$C$3004,F67,ENSAYOS!$Q$5:$Q$3004,"&gt;0"))</f>
        <v/>
      </c>
      <c r="Q67" s="16" t="str">
        <f aca="false">IF(N(M67)=0,"",_xlfn.MINIFS(ENSAYOS!$Q$5:$Q$3004,ENSAYOS!$C$5:$C$3004,F67,ENSAYOS!$Q$5:$Q$3004,"&gt;0"))</f>
        <v/>
      </c>
      <c r="R67" s="16" t="str">
        <f aca="false">IF(N(M67)=0,"",_xlfn.MAXIFS(ENSAYOS!$Q$5:$Q$3004,ENSAYOS!$C$5:$C$3004,F67,ENSAYOS!$Q$5:$Q$3004,"&gt;0"))</f>
        <v/>
      </c>
      <c r="S67" s="16" t="str">
        <f aca="false">IF(N(M67)&lt;2,"",SQRT(MAX(0,(SUMIFS(ENSAYOS!$X$5:$X$3004,ENSAYOS!$C$5:$C$3004,F67,ENSAYOS!$Q$5:$Q$3004,"&gt;0")-M67*P67^2)/(M67-1))))</f>
        <v/>
      </c>
      <c r="T67" s="17" t="str">
        <f aca="false">IF(S67="","",S67/P67)</f>
        <v/>
      </c>
      <c r="U67" s="16" t="str">
        <f aca="false">IF(N(M67)=0,"",IF(N67&gt;=CONFIG!$B$27,"",AVERAGEIFS(ENSAYOS!$Q$5:$Q$3004,ENSAYOS!$C$5:$C$3004,F67,ENSAYOS!$Q$5:$Q$3004,"&gt;0",ENSAYOS!$G$5:$G$3004,N67)))</f>
        <v/>
      </c>
      <c r="V67" s="16" t="str">
        <f aca="false">IF(N(M67)=0,"",IF(COUNTIFS(ENSAYOS!$C$5:$C$3004,F67,ENSAYOS!$Q$5:$Q$3004,"&gt;0",ENSAYOS!$G$5:$G$3004,"&gt;="&amp;CONFIG!$B$27)=0,"",AVERAGEIFS(ENSAYOS!$Q$5:$Q$3004,ENSAYOS!$C$5:$C$3004,F67,ENSAYOS!$Q$5:$Q$3004,"&gt;0",ENSAYOS!$G$5:$G$3004,"&gt;="&amp;CONFIG!$B$27)))</f>
        <v/>
      </c>
      <c r="W67" s="18" t="str">
        <f aca="false">IF(AND(U67&lt;&gt;"",V67&lt;&gt;""),U67/V67,"")</f>
        <v/>
      </c>
      <c r="X67" s="18" t="str">
        <f aca="false">IF(U67="","",INDEX('CURVA EDAD'!$E$5:$E$32,MIN(28,MAX(1,N67))))</f>
        <v/>
      </c>
      <c r="Y67" s="16" t="str">
        <f aca="false">IF(V67&lt;&gt;"",V67,IF(U67="","",U67/X67))</f>
        <v/>
      </c>
      <c r="Z67" s="16" t="str">
        <f aca="false">IF(V67&lt;&gt;"",_xlfn.MINIFS(ENSAYOS!$Q$5:$Q$3004,ENSAYOS!$C$5:$C$3004,F67,ENSAYOS!$Q$5:$Q$3004,"&gt;0",ENSAYOS!$G$5:$G$3004,"&gt;="&amp;CONFIG!$B$27),IF(U67="","",_xlfn.MINIFS(ENSAYOS!$Q$5:$Q$3004,ENSAYOS!$C$5:$C$3004,F67,ENSAYOS!$Q$5:$Q$3004,"&gt;0",ENSAYOS!$G$5:$G$3004,N67)/X67))</f>
        <v/>
      </c>
      <c r="AA67" s="16" t="str">
        <f aca="false">IF(D67="","",IFERROR(1/(1/INDEX(CONFIG!$J$5:$J$14,MATCH(D67,CONFIG!$D$5:$D$14,0))),""))</f>
        <v/>
      </c>
      <c r="AB67" s="16" t="str">
        <f aca="false">IF(D67="","",IFERROR(1/(1/INDEX(CONFIG!$K$5:$K$14,MATCH(D67,CONFIG!$D$5:$D$14,0))),""))</f>
        <v/>
      </c>
      <c r="AC67" s="19" t="str">
        <f aca="false">IF(N(M67)=0,"",IF(AA67="","Sin spec",IF(AND(Y67&gt;=AA67,OR(AB67="",Z67&gt;=AB67)),"CUMPLE","NO CUMPLE")&amp;IF(V67=""," (est.)","")))</f>
        <v/>
      </c>
      <c r="AD67" s="20" t="str">
        <f aca="false">IF(F67="","",IF(COUNTIFS(ABSORCION!$C$5:$C$1004,F67,ABSORCION!$I$5:$I$1004,"&gt;0")=0,"",AVERAGEIFS(ABSORCION!$I$5:$I$1004,ABSORCION!$C$5:$C$1004,F67,ABSORCION!$I$5:$I$1004,"&gt;0")))</f>
        <v/>
      </c>
      <c r="AE67" s="20" t="str">
        <f aca="false">IF(F67="","",IF(COUNTIFS(ABSORCION!$C$5:$C$1004,F67,ABSORCION!$I$5:$I$1004,"&gt;0")=0,"",AVERAGEIFS(ABSORCION!$K$5:$K$1004,ABSORCION!$C$5:$C$1004,F67,ABSORCION!$I$5:$I$1004,"&gt;0")))</f>
        <v/>
      </c>
      <c r="AF67" s="20" t="str">
        <f aca="false">IF(AE67="","",IF(AE67&gt;=CONFIG!$E$21,CONFIG!$F$21,IF(AE67&gt;=CONFIG!$E$20,CONFIG!$F$20,CONFIG!$F$19)))</f>
        <v/>
      </c>
      <c r="AG67" s="21" t="str">
        <f aca="false">IF(F67="","",TRIM(IF(N(M67)=0,"Sin ensayos. ","")&amp;IF(AND(N(M67)&gt;0,N(M67)&lt;CONFIG!$B$26),"Menos de "&amp;CONFIG!$B$26&amp;" probetas. ","")&amp;IF(N(T67)&gt;CONFIG!$B$25,"CV alto. ","")&amp;IF(AND(N(AD67)&gt;0,N(AD67)&gt;N(AF67)),"Absorción alta. ","")))</f>
        <v/>
      </c>
      <c r="AH67" s="22" t="str">
        <f aca="false">IF(AND(N(M67)&gt;0,OR(CONTROL!$C$4="TODAS",C67=CONTROL!$C$4),D67=CONTROL!$C$5),MAX($AH$4:AH66)+1,"")</f>
        <v/>
      </c>
      <c r="AI67" s="22" t="str">
        <f aca="false">IF(AH67="","",P67^2)</f>
        <v/>
      </c>
    </row>
    <row r="68" customFormat="false" ht="15" hidden="false" customHeight="false" outlineLevel="0" collapsed="false">
      <c r="A68" s="11" t="str">
        <f aca="false">IF(B68="","",ROW()-4)</f>
        <v/>
      </c>
      <c r="B68" s="12"/>
      <c r="C68" s="13"/>
      <c r="D68" s="13"/>
      <c r="E68" s="13"/>
      <c r="F68" s="14" t="str">
        <f aca="false">IF(OR(B68="",C68="",D68=""),"",IFERROR(INDEX(CONFIG!$E$5:$E$14,MATCH(D68,CONFIG!$D$5:$D$14,0)),"?")&amp;RIGHT("0"&amp;DAY(B68),2)&amp;RIGHT("0"&amp;MONTH(B68),2)&amp;RIGHT(YEAR(B68),2)&amp;C68&amp;IF(E68="","","-"&amp;E68))</f>
        <v/>
      </c>
      <c r="G68" s="13"/>
      <c r="H68" s="13"/>
      <c r="I68" s="13"/>
      <c r="J68" s="13"/>
      <c r="K68" s="13"/>
      <c r="L68" s="13"/>
      <c r="M68" s="11" t="str">
        <f aca="false">IF(F68="","",COUNTIFS(ENSAYOS!$C$5:$C$3004,F68,ENSAYOS!$Q$5:$Q$3004,"&gt;0"))</f>
        <v/>
      </c>
      <c r="N68" s="15" t="str">
        <f aca="false">IF(N(M68)=0,"",_xlfn.MINIFS(ENSAYOS!$G$5:$G$3004,ENSAYOS!$C$5:$C$3004,F68,ENSAYOS!$Q$5:$Q$3004,"&gt;0"))</f>
        <v/>
      </c>
      <c r="O68" s="15" t="str">
        <f aca="false">IF(N(M68)=0,"",_xlfn.MAXIFS(ENSAYOS!$G$5:$G$3004,ENSAYOS!$C$5:$C$3004,F68,ENSAYOS!$Q$5:$Q$3004,"&gt;0"))</f>
        <v/>
      </c>
      <c r="P68" s="16" t="str">
        <f aca="false">IF(N(M68)=0,"",AVERAGEIFS(ENSAYOS!$Q$5:$Q$3004,ENSAYOS!$C$5:$C$3004,F68,ENSAYOS!$Q$5:$Q$3004,"&gt;0"))</f>
        <v/>
      </c>
      <c r="Q68" s="16" t="str">
        <f aca="false">IF(N(M68)=0,"",_xlfn.MINIFS(ENSAYOS!$Q$5:$Q$3004,ENSAYOS!$C$5:$C$3004,F68,ENSAYOS!$Q$5:$Q$3004,"&gt;0"))</f>
        <v/>
      </c>
      <c r="R68" s="16" t="str">
        <f aca="false">IF(N(M68)=0,"",_xlfn.MAXIFS(ENSAYOS!$Q$5:$Q$3004,ENSAYOS!$C$5:$C$3004,F68,ENSAYOS!$Q$5:$Q$3004,"&gt;0"))</f>
        <v/>
      </c>
      <c r="S68" s="16" t="str">
        <f aca="false">IF(N(M68)&lt;2,"",SQRT(MAX(0,(SUMIFS(ENSAYOS!$X$5:$X$3004,ENSAYOS!$C$5:$C$3004,F68,ENSAYOS!$Q$5:$Q$3004,"&gt;0")-M68*P68^2)/(M68-1))))</f>
        <v/>
      </c>
      <c r="T68" s="17" t="str">
        <f aca="false">IF(S68="","",S68/P68)</f>
        <v/>
      </c>
      <c r="U68" s="16" t="str">
        <f aca="false">IF(N(M68)=0,"",IF(N68&gt;=CONFIG!$B$27,"",AVERAGEIFS(ENSAYOS!$Q$5:$Q$3004,ENSAYOS!$C$5:$C$3004,F68,ENSAYOS!$Q$5:$Q$3004,"&gt;0",ENSAYOS!$G$5:$G$3004,N68)))</f>
        <v/>
      </c>
      <c r="V68" s="16" t="str">
        <f aca="false">IF(N(M68)=0,"",IF(COUNTIFS(ENSAYOS!$C$5:$C$3004,F68,ENSAYOS!$Q$5:$Q$3004,"&gt;0",ENSAYOS!$G$5:$G$3004,"&gt;="&amp;CONFIG!$B$27)=0,"",AVERAGEIFS(ENSAYOS!$Q$5:$Q$3004,ENSAYOS!$C$5:$C$3004,F68,ENSAYOS!$Q$5:$Q$3004,"&gt;0",ENSAYOS!$G$5:$G$3004,"&gt;="&amp;CONFIG!$B$27)))</f>
        <v/>
      </c>
      <c r="W68" s="18" t="str">
        <f aca="false">IF(AND(U68&lt;&gt;"",V68&lt;&gt;""),U68/V68,"")</f>
        <v/>
      </c>
      <c r="X68" s="18" t="str">
        <f aca="false">IF(U68="","",INDEX('CURVA EDAD'!$E$5:$E$32,MIN(28,MAX(1,N68))))</f>
        <v/>
      </c>
      <c r="Y68" s="16" t="str">
        <f aca="false">IF(V68&lt;&gt;"",V68,IF(U68="","",U68/X68))</f>
        <v/>
      </c>
      <c r="Z68" s="16" t="str">
        <f aca="false">IF(V68&lt;&gt;"",_xlfn.MINIFS(ENSAYOS!$Q$5:$Q$3004,ENSAYOS!$C$5:$C$3004,F68,ENSAYOS!$Q$5:$Q$3004,"&gt;0",ENSAYOS!$G$5:$G$3004,"&gt;="&amp;CONFIG!$B$27),IF(U68="","",_xlfn.MINIFS(ENSAYOS!$Q$5:$Q$3004,ENSAYOS!$C$5:$C$3004,F68,ENSAYOS!$Q$5:$Q$3004,"&gt;0",ENSAYOS!$G$5:$G$3004,N68)/X68))</f>
        <v/>
      </c>
      <c r="AA68" s="16" t="str">
        <f aca="false">IF(D68="","",IFERROR(1/(1/INDEX(CONFIG!$J$5:$J$14,MATCH(D68,CONFIG!$D$5:$D$14,0))),""))</f>
        <v/>
      </c>
      <c r="AB68" s="16" t="str">
        <f aca="false">IF(D68="","",IFERROR(1/(1/INDEX(CONFIG!$K$5:$K$14,MATCH(D68,CONFIG!$D$5:$D$14,0))),""))</f>
        <v/>
      </c>
      <c r="AC68" s="19" t="str">
        <f aca="false">IF(N(M68)=0,"",IF(AA68="","Sin spec",IF(AND(Y68&gt;=AA68,OR(AB68="",Z68&gt;=AB68)),"CUMPLE","NO CUMPLE")&amp;IF(V68=""," (est.)","")))</f>
        <v/>
      </c>
      <c r="AD68" s="20" t="str">
        <f aca="false">IF(F68="","",IF(COUNTIFS(ABSORCION!$C$5:$C$1004,F68,ABSORCION!$I$5:$I$1004,"&gt;0")=0,"",AVERAGEIFS(ABSORCION!$I$5:$I$1004,ABSORCION!$C$5:$C$1004,F68,ABSORCION!$I$5:$I$1004,"&gt;0")))</f>
        <v/>
      </c>
      <c r="AE68" s="20" t="str">
        <f aca="false">IF(F68="","",IF(COUNTIFS(ABSORCION!$C$5:$C$1004,F68,ABSORCION!$I$5:$I$1004,"&gt;0")=0,"",AVERAGEIFS(ABSORCION!$K$5:$K$1004,ABSORCION!$C$5:$C$1004,F68,ABSORCION!$I$5:$I$1004,"&gt;0")))</f>
        <v/>
      </c>
      <c r="AF68" s="20" t="str">
        <f aca="false">IF(AE68="","",IF(AE68&gt;=CONFIG!$E$21,CONFIG!$F$21,IF(AE68&gt;=CONFIG!$E$20,CONFIG!$F$20,CONFIG!$F$19)))</f>
        <v/>
      </c>
      <c r="AG68" s="21" t="str">
        <f aca="false">IF(F68="","",TRIM(IF(N(M68)=0,"Sin ensayos. ","")&amp;IF(AND(N(M68)&gt;0,N(M68)&lt;CONFIG!$B$26),"Menos de "&amp;CONFIG!$B$26&amp;" probetas. ","")&amp;IF(N(T68)&gt;CONFIG!$B$25,"CV alto. ","")&amp;IF(AND(N(AD68)&gt;0,N(AD68)&gt;N(AF68)),"Absorción alta. ","")))</f>
        <v/>
      </c>
      <c r="AH68" s="22" t="str">
        <f aca="false">IF(AND(N(M68)&gt;0,OR(CONTROL!$C$4="TODAS",C68=CONTROL!$C$4),D68=CONTROL!$C$5),MAX($AH$4:AH67)+1,"")</f>
        <v/>
      </c>
      <c r="AI68" s="22" t="str">
        <f aca="false">IF(AH68="","",P68^2)</f>
        <v/>
      </c>
    </row>
    <row r="69" customFormat="false" ht="15" hidden="false" customHeight="false" outlineLevel="0" collapsed="false">
      <c r="A69" s="11" t="str">
        <f aca="false">IF(B69="","",ROW()-4)</f>
        <v/>
      </c>
      <c r="B69" s="12"/>
      <c r="C69" s="13"/>
      <c r="D69" s="13"/>
      <c r="E69" s="13"/>
      <c r="F69" s="14" t="str">
        <f aca="false">IF(OR(B69="",C69="",D69=""),"",IFERROR(INDEX(CONFIG!$E$5:$E$14,MATCH(D69,CONFIG!$D$5:$D$14,0)),"?")&amp;RIGHT("0"&amp;DAY(B69),2)&amp;RIGHT("0"&amp;MONTH(B69),2)&amp;RIGHT(YEAR(B69),2)&amp;C69&amp;IF(E69="","","-"&amp;E69))</f>
        <v/>
      </c>
      <c r="G69" s="13"/>
      <c r="H69" s="13"/>
      <c r="I69" s="13"/>
      <c r="J69" s="13"/>
      <c r="K69" s="13"/>
      <c r="L69" s="13"/>
      <c r="M69" s="11" t="str">
        <f aca="false">IF(F69="","",COUNTIFS(ENSAYOS!$C$5:$C$3004,F69,ENSAYOS!$Q$5:$Q$3004,"&gt;0"))</f>
        <v/>
      </c>
      <c r="N69" s="15" t="str">
        <f aca="false">IF(N(M69)=0,"",_xlfn.MINIFS(ENSAYOS!$G$5:$G$3004,ENSAYOS!$C$5:$C$3004,F69,ENSAYOS!$Q$5:$Q$3004,"&gt;0"))</f>
        <v/>
      </c>
      <c r="O69" s="15" t="str">
        <f aca="false">IF(N(M69)=0,"",_xlfn.MAXIFS(ENSAYOS!$G$5:$G$3004,ENSAYOS!$C$5:$C$3004,F69,ENSAYOS!$Q$5:$Q$3004,"&gt;0"))</f>
        <v/>
      </c>
      <c r="P69" s="16" t="str">
        <f aca="false">IF(N(M69)=0,"",AVERAGEIFS(ENSAYOS!$Q$5:$Q$3004,ENSAYOS!$C$5:$C$3004,F69,ENSAYOS!$Q$5:$Q$3004,"&gt;0"))</f>
        <v/>
      </c>
      <c r="Q69" s="16" t="str">
        <f aca="false">IF(N(M69)=0,"",_xlfn.MINIFS(ENSAYOS!$Q$5:$Q$3004,ENSAYOS!$C$5:$C$3004,F69,ENSAYOS!$Q$5:$Q$3004,"&gt;0"))</f>
        <v/>
      </c>
      <c r="R69" s="16" t="str">
        <f aca="false">IF(N(M69)=0,"",_xlfn.MAXIFS(ENSAYOS!$Q$5:$Q$3004,ENSAYOS!$C$5:$C$3004,F69,ENSAYOS!$Q$5:$Q$3004,"&gt;0"))</f>
        <v/>
      </c>
      <c r="S69" s="16" t="str">
        <f aca="false">IF(N(M69)&lt;2,"",SQRT(MAX(0,(SUMIFS(ENSAYOS!$X$5:$X$3004,ENSAYOS!$C$5:$C$3004,F69,ENSAYOS!$Q$5:$Q$3004,"&gt;0")-M69*P69^2)/(M69-1))))</f>
        <v/>
      </c>
      <c r="T69" s="17" t="str">
        <f aca="false">IF(S69="","",S69/P69)</f>
        <v/>
      </c>
      <c r="U69" s="16" t="str">
        <f aca="false">IF(N(M69)=0,"",IF(N69&gt;=CONFIG!$B$27,"",AVERAGEIFS(ENSAYOS!$Q$5:$Q$3004,ENSAYOS!$C$5:$C$3004,F69,ENSAYOS!$Q$5:$Q$3004,"&gt;0",ENSAYOS!$G$5:$G$3004,N69)))</f>
        <v/>
      </c>
      <c r="V69" s="16" t="str">
        <f aca="false">IF(N(M69)=0,"",IF(COUNTIFS(ENSAYOS!$C$5:$C$3004,F69,ENSAYOS!$Q$5:$Q$3004,"&gt;0",ENSAYOS!$G$5:$G$3004,"&gt;="&amp;CONFIG!$B$27)=0,"",AVERAGEIFS(ENSAYOS!$Q$5:$Q$3004,ENSAYOS!$C$5:$C$3004,F69,ENSAYOS!$Q$5:$Q$3004,"&gt;0",ENSAYOS!$G$5:$G$3004,"&gt;="&amp;CONFIG!$B$27)))</f>
        <v/>
      </c>
      <c r="W69" s="18" t="str">
        <f aca="false">IF(AND(U69&lt;&gt;"",V69&lt;&gt;""),U69/V69,"")</f>
        <v/>
      </c>
      <c r="X69" s="18" t="str">
        <f aca="false">IF(U69="","",INDEX('CURVA EDAD'!$E$5:$E$32,MIN(28,MAX(1,N69))))</f>
        <v/>
      </c>
      <c r="Y69" s="16" t="str">
        <f aca="false">IF(V69&lt;&gt;"",V69,IF(U69="","",U69/X69))</f>
        <v/>
      </c>
      <c r="Z69" s="16" t="str">
        <f aca="false">IF(V69&lt;&gt;"",_xlfn.MINIFS(ENSAYOS!$Q$5:$Q$3004,ENSAYOS!$C$5:$C$3004,F69,ENSAYOS!$Q$5:$Q$3004,"&gt;0",ENSAYOS!$G$5:$G$3004,"&gt;="&amp;CONFIG!$B$27),IF(U69="","",_xlfn.MINIFS(ENSAYOS!$Q$5:$Q$3004,ENSAYOS!$C$5:$C$3004,F69,ENSAYOS!$Q$5:$Q$3004,"&gt;0",ENSAYOS!$G$5:$G$3004,N69)/X69))</f>
        <v/>
      </c>
      <c r="AA69" s="16" t="str">
        <f aca="false">IF(D69="","",IFERROR(1/(1/INDEX(CONFIG!$J$5:$J$14,MATCH(D69,CONFIG!$D$5:$D$14,0))),""))</f>
        <v/>
      </c>
      <c r="AB69" s="16" t="str">
        <f aca="false">IF(D69="","",IFERROR(1/(1/INDEX(CONFIG!$K$5:$K$14,MATCH(D69,CONFIG!$D$5:$D$14,0))),""))</f>
        <v/>
      </c>
      <c r="AC69" s="19" t="str">
        <f aca="false">IF(N(M69)=0,"",IF(AA69="","Sin spec",IF(AND(Y69&gt;=AA69,OR(AB69="",Z69&gt;=AB69)),"CUMPLE","NO CUMPLE")&amp;IF(V69=""," (est.)","")))</f>
        <v/>
      </c>
      <c r="AD69" s="20" t="str">
        <f aca="false">IF(F69="","",IF(COUNTIFS(ABSORCION!$C$5:$C$1004,F69,ABSORCION!$I$5:$I$1004,"&gt;0")=0,"",AVERAGEIFS(ABSORCION!$I$5:$I$1004,ABSORCION!$C$5:$C$1004,F69,ABSORCION!$I$5:$I$1004,"&gt;0")))</f>
        <v/>
      </c>
      <c r="AE69" s="20" t="str">
        <f aca="false">IF(F69="","",IF(COUNTIFS(ABSORCION!$C$5:$C$1004,F69,ABSORCION!$I$5:$I$1004,"&gt;0")=0,"",AVERAGEIFS(ABSORCION!$K$5:$K$1004,ABSORCION!$C$5:$C$1004,F69,ABSORCION!$I$5:$I$1004,"&gt;0")))</f>
        <v/>
      </c>
      <c r="AF69" s="20" t="str">
        <f aca="false">IF(AE69="","",IF(AE69&gt;=CONFIG!$E$21,CONFIG!$F$21,IF(AE69&gt;=CONFIG!$E$20,CONFIG!$F$20,CONFIG!$F$19)))</f>
        <v/>
      </c>
      <c r="AG69" s="21" t="str">
        <f aca="false">IF(F69="","",TRIM(IF(N(M69)=0,"Sin ensayos. ","")&amp;IF(AND(N(M69)&gt;0,N(M69)&lt;CONFIG!$B$26),"Menos de "&amp;CONFIG!$B$26&amp;" probetas. ","")&amp;IF(N(T69)&gt;CONFIG!$B$25,"CV alto. ","")&amp;IF(AND(N(AD69)&gt;0,N(AD69)&gt;N(AF69)),"Absorción alta. ","")))</f>
        <v/>
      </c>
      <c r="AH69" s="22" t="str">
        <f aca="false">IF(AND(N(M69)&gt;0,OR(CONTROL!$C$4="TODAS",C69=CONTROL!$C$4),D69=CONTROL!$C$5),MAX($AH$4:AH68)+1,"")</f>
        <v/>
      </c>
      <c r="AI69" s="22" t="str">
        <f aca="false">IF(AH69="","",P69^2)</f>
        <v/>
      </c>
    </row>
    <row r="70" customFormat="false" ht="15" hidden="false" customHeight="false" outlineLevel="0" collapsed="false">
      <c r="A70" s="11" t="str">
        <f aca="false">IF(B70="","",ROW()-4)</f>
        <v/>
      </c>
      <c r="B70" s="12"/>
      <c r="C70" s="13"/>
      <c r="D70" s="13"/>
      <c r="E70" s="13"/>
      <c r="F70" s="14" t="str">
        <f aca="false">IF(OR(B70="",C70="",D70=""),"",IFERROR(INDEX(CONFIG!$E$5:$E$14,MATCH(D70,CONFIG!$D$5:$D$14,0)),"?")&amp;RIGHT("0"&amp;DAY(B70),2)&amp;RIGHT("0"&amp;MONTH(B70),2)&amp;RIGHT(YEAR(B70),2)&amp;C70&amp;IF(E70="","","-"&amp;E70))</f>
        <v/>
      </c>
      <c r="G70" s="13"/>
      <c r="H70" s="13"/>
      <c r="I70" s="13"/>
      <c r="J70" s="13"/>
      <c r="K70" s="13"/>
      <c r="L70" s="13"/>
      <c r="M70" s="11" t="str">
        <f aca="false">IF(F70="","",COUNTIFS(ENSAYOS!$C$5:$C$3004,F70,ENSAYOS!$Q$5:$Q$3004,"&gt;0"))</f>
        <v/>
      </c>
      <c r="N70" s="15" t="str">
        <f aca="false">IF(N(M70)=0,"",_xlfn.MINIFS(ENSAYOS!$G$5:$G$3004,ENSAYOS!$C$5:$C$3004,F70,ENSAYOS!$Q$5:$Q$3004,"&gt;0"))</f>
        <v/>
      </c>
      <c r="O70" s="15" t="str">
        <f aca="false">IF(N(M70)=0,"",_xlfn.MAXIFS(ENSAYOS!$G$5:$G$3004,ENSAYOS!$C$5:$C$3004,F70,ENSAYOS!$Q$5:$Q$3004,"&gt;0"))</f>
        <v/>
      </c>
      <c r="P70" s="16" t="str">
        <f aca="false">IF(N(M70)=0,"",AVERAGEIFS(ENSAYOS!$Q$5:$Q$3004,ENSAYOS!$C$5:$C$3004,F70,ENSAYOS!$Q$5:$Q$3004,"&gt;0"))</f>
        <v/>
      </c>
      <c r="Q70" s="16" t="str">
        <f aca="false">IF(N(M70)=0,"",_xlfn.MINIFS(ENSAYOS!$Q$5:$Q$3004,ENSAYOS!$C$5:$C$3004,F70,ENSAYOS!$Q$5:$Q$3004,"&gt;0"))</f>
        <v/>
      </c>
      <c r="R70" s="16" t="str">
        <f aca="false">IF(N(M70)=0,"",_xlfn.MAXIFS(ENSAYOS!$Q$5:$Q$3004,ENSAYOS!$C$5:$C$3004,F70,ENSAYOS!$Q$5:$Q$3004,"&gt;0"))</f>
        <v/>
      </c>
      <c r="S70" s="16" t="str">
        <f aca="false">IF(N(M70)&lt;2,"",SQRT(MAX(0,(SUMIFS(ENSAYOS!$X$5:$X$3004,ENSAYOS!$C$5:$C$3004,F70,ENSAYOS!$Q$5:$Q$3004,"&gt;0")-M70*P70^2)/(M70-1))))</f>
        <v/>
      </c>
      <c r="T70" s="17" t="str">
        <f aca="false">IF(S70="","",S70/P70)</f>
        <v/>
      </c>
      <c r="U70" s="16" t="str">
        <f aca="false">IF(N(M70)=0,"",IF(N70&gt;=CONFIG!$B$27,"",AVERAGEIFS(ENSAYOS!$Q$5:$Q$3004,ENSAYOS!$C$5:$C$3004,F70,ENSAYOS!$Q$5:$Q$3004,"&gt;0",ENSAYOS!$G$5:$G$3004,N70)))</f>
        <v/>
      </c>
      <c r="V70" s="16" t="str">
        <f aca="false">IF(N(M70)=0,"",IF(COUNTIFS(ENSAYOS!$C$5:$C$3004,F70,ENSAYOS!$Q$5:$Q$3004,"&gt;0",ENSAYOS!$G$5:$G$3004,"&gt;="&amp;CONFIG!$B$27)=0,"",AVERAGEIFS(ENSAYOS!$Q$5:$Q$3004,ENSAYOS!$C$5:$C$3004,F70,ENSAYOS!$Q$5:$Q$3004,"&gt;0",ENSAYOS!$G$5:$G$3004,"&gt;="&amp;CONFIG!$B$27)))</f>
        <v/>
      </c>
      <c r="W70" s="18" t="str">
        <f aca="false">IF(AND(U70&lt;&gt;"",V70&lt;&gt;""),U70/V70,"")</f>
        <v/>
      </c>
      <c r="X70" s="18" t="str">
        <f aca="false">IF(U70="","",INDEX('CURVA EDAD'!$E$5:$E$32,MIN(28,MAX(1,N70))))</f>
        <v/>
      </c>
      <c r="Y70" s="16" t="str">
        <f aca="false">IF(V70&lt;&gt;"",V70,IF(U70="","",U70/X70))</f>
        <v/>
      </c>
      <c r="Z70" s="16" t="str">
        <f aca="false">IF(V70&lt;&gt;"",_xlfn.MINIFS(ENSAYOS!$Q$5:$Q$3004,ENSAYOS!$C$5:$C$3004,F70,ENSAYOS!$Q$5:$Q$3004,"&gt;0",ENSAYOS!$G$5:$G$3004,"&gt;="&amp;CONFIG!$B$27),IF(U70="","",_xlfn.MINIFS(ENSAYOS!$Q$5:$Q$3004,ENSAYOS!$C$5:$C$3004,F70,ENSAYOS!$Q$5:$Q$3004,"&gt;0",ENSAYOS!$G$5:$G$3004,N70)/X70))</f>
        <v/>
      </c>
      <c r="AA70" s="16" t="str">
        <f aca="false">IF(D70="","",IFERROR(1/(1/INDEX(CONFIG!$J$5:$J$14,MATCH(D70,CONFIG!$D$5:$D$14,0))),""))</f>
        <v/>
      </c>
      <c r="AB70" s="16" t="str">
        <f aca="false">IF(D70="","",IFERROR(1/(1/INDEX(CONFIG!$K$5:$K$14,MATCH(D70,CONFIG!$D$5:$D$14,0))),""))</f>
        <v/>
      </c>
      <c r="AC70" s="19" t="str">
        <f aca="false">IF(N(M70)=0,"",IF(AA70="","Sin spec",IF(AND(Y70&gt;=AA70,OR(AB70="",Z70&gt;=AB70)),"CUMPLE","NO CUMPLE")&amp;IF(V70=""," (est.)","")))</f>
        <v/>
      </c>
      <c r="AD70" s="20" t="str">
        <f aca="false">IF(F70="","",IF(COUNTIFS(ABSORCION!$C$5:$C$1004,F70,ABSORCION!$I$5:$I$1004,"&gt;0")=0,"",AVERAGEIFS(ABSORCION!$I$5:$I$1004,ABSORCION!$C$5:$C$1004,F70,ABSORCION!$I$5:$I$1004,"&gt;0")))</f>
        <v/>
      </c>
      <c r="AE70" s="20" t="str">
        <f aca="false">IF(F70="","",IF(COUNTIFS(ABSORCION!$C$5:$C$1004,F70,ABSORCION!$I$5:$I$1004,"&gt;0")=0,"",AVERAGEIFS(ABSORCION!$K$5:$K$1004,ABSORCION!$C$5:$C$1004,F70,ABSORCION!$I$5:$I$1004,"&gt;0")))</f>
        <v/>
      </c>
      <c r="AF70" s="20" t="str">
        <f aca="false">IF(AE70="","",IF(AE70&gt;=CONFIG!$E$21,CONFIG!$F$21,IF(AE70&gt;=CONFIG!$E$20,CONFIG!$F$20,CONFIG!$F$19)))</f>
        <v/>
      </c>
      <c r="AG70" s="21" t="str">
        <f aca="false">IF(F70="","",TRIM(IF(N(M70)=0,"Sin ensayos. ","")&amp;IF(AND(N(M70)&gt;0,N(M70)&lt;CONFIG!$B$26),"Menos de "&amp;CONFIG!$B$26&amp;" probetas. ","")&amp;IF(N(T70)&gt;CONFIG!$B$25,"CV alto. ","")&amp;IF(AND(N(AD70)&gt;0,N(AD70)&gt;N(AF70)),"Absorción alta. ","")))</f>
        <v/>
      </c>
      <c r="AH70" s="22" t="str">
        <f aca="false">IF(AND(N(M70)&gt;0,OR(CONTROL!$C$4="TODAS",C70=CONTROL!$C$4),D70=CONTROL!$C$5),MAX($AH$4:AH69)+1,"")</f>
        <v/>
      </c>
      <c r="AI70" s="22" t="str">
        <f aca="false">IF(AH70="","",P70^2)</f>
        <v/>
      </c>
    </row>
    <row r="71" customFormat="false" ht="15" hidden="false" customHeight="false" outlineLevel="0" collapsed="false">
      <c r="A71" s="11" t="str">
        <f aca="false">IF(B71="","",ROW()-4)</f>
        <v/>
      </c>
      <c r="B71" s="12"/>
      <c r="C71" s="13"/>
      <c r="D71" s="13"/>
      <c r="E71" s="13"/>
      <c r="F71" s="14" t="str">
        <f aca="false">IF(OR(B71="",C71="",D71=""),"",IFERROR(INDEX(CONFIG!$E$5:$E$14,MATCH(D71,CONFIG!$D$5:$D$14,0)),"?")&amp;RIGHT("0"&amp;DAY(B71),2)&amp;RIGHT("0"&amp;MONTH(B71),2)&amp;RIGHT(YEAR(B71),2)&amp;C71&amp;IF(E71="","","-"&amp;E71))</f>
        <v/>
      </c>
      <c r="G71" s="13"/>
      <c r="H71" s="13"/>
      <c r="I71" s="13"/>
      <c r="J71" s="13"/>
      <c r="K71" s="13"/>
      <c r="L71" s="13"/>
      <c r="M71" s="11" t="str">
        <f aca="false">IF(F71="","",COUNTIFS(ENSAYOS!$C$5:$C$3004,F71,ENSAYOS!$Q$5:$Q$3004,"&gt;0"))</f>
        <v/>
      </c>
      <c r="N71" s="15" t="str">
        <f aca="false">IF(N(M71)=0,"",_xlfn.MINIFS(ENSAYOS!$G$5:$G$3004,ENSAYOS!$C$5:$C$3004,F71,ENSAYOS!$Q$5:$Q$3004,"&gt;0"))</f>
        <v/>
      </c>
      <c r="O71" s="15" t="str">
        <f aca="false">IF(N(M71)=0,"",_xlfn.MAXIFS(ENSAYOS!$G$5:$G$3004,ENSAYOS!$C$5:$C$3004,F71,ENSAYOS!$Q$5:$Q$3004,"&gt;0"))</f>
        <v/>
      </c>
      <c r="P71" s="16" t="str">
        <f aca="false">IF(N(M71)=0,"",AVERAGEIFS(ENSAYOS!$Q$5:$Q$3004,ENSAYOS!$C$5:$C$3004,F71,ENSAYOS!$Q$5:$Q$3004,"&gt;0"))</f>
        <v/>
      </c>
      <c r="Q71" s="16" t="str">
        <f aca="false">IF(N(M71)=0,"",_xlfn.MINIFS(ENSAYOS!$Q$5:$Q$3004,ENSAYOS!$C$5:$C$3004,F71,ENSAYOS!$Q$5:$Q$3004,"&gt;0"))</f>
        <v/>
      </c>
      <c r="R71" s="16" t="str">
        <f aca="false">IF(N(M71)=0,"",_xlfn.MAXIFS(ENSAYOS!$Q$5:$Q$3004,ENSAYOS!$C$5:$C$3004,F71,ENSAYOS!$Q$5:$Q$3004,"&gt;0"))</f>
        <v/>
      </c>
      <c r="S71" s="16" t="str">
        <f aca="false">IF(N(M71)&lt;2,"",SQRT(MAX(0,(SUMIFS(ENSAYOS!$X$5:$X$3004,ENSAYOS!$C$5:$C$3004,F71,ENSAYOS!$Q$5:$Q$3004,"&gt;0")-M71*P71^2)/(M71-1))))</f>
        <v/>
      </c>
      <c r="T71" s="17" t="str">
        <f aca="false">IF(S71="","",S71/P71)</f>
        <v/>
      </c>
      <c r="U71" s="16" t="str">
        <f aca="false">IF(N(M71)=0,"",IF(N71&gt;=CONFIG!$B$27,"",AVERAGEIFS(ENSAYOS!$Q$5:$Q$3004,ENSAYOS!$C$5:$C$3004,F71,ENSAYOS!$Q$5:$Q$3004,"&gt;0",ENSAYOS!$G$5:$G$3004,N71)))</f>
        <v/>
      </c>
      <c r="V71" s="16" t="str">
        <f aca="false">IF(N(M71)=0,"",IF(COUNTIFS(ENSAYOS!$C$5:$C$3004,F71,ENSAYOS!$Q$5:$Q$3004,"&gt;0",ENSAYOS!$G$5:$G$3004,"&gt;="&amp;CONFIG!$B$27)=0,"",AVERAGEIFS(ENSAYOS!$Q$5:$Q$3004,ENSAYOS!$C$5:$C$3004,F71,ENSAYOS!$Q$5:$Q$3004,"&gt;0",ENSAYOS!$G$5:$G$3004,"&gt;="&amp;CONFIG!$B$27)))</f>
        <v/>
      </c>
      <c r="W71" s="18" t="str">
        <f aca="false">IF(AND(U71&lt;&gt;"",V71&lt;&gt;""),U71/V71,"")</f>
        <v/>
      </c>
      <c r="X71" s="18" t="str">
        <f aca="false">IF(U71="","",INDEX('CURVA EDAD'!$E$5:$E$32,MIN(28,MAX(1,N71))))</f>
        <v/>
      </c>
      <c r="Y71" s="16" t="str">
        <f aca="false">IF(V71&lt;&gt;"",V71,IF(U71="","",U71/X71))</f>
        <v/>
      </c>
      <c r="Z71" s="16" t="str">
        <f aca="false">IF(V71&lt;&gt;"",_xlfn.MINIFS(ENSAYOS!$Q$5:$Q$3004,ENSAYOS!$C$5:$C$3004,F71,ENSAYOS!$Q$5:$Q$3004,"&gt;0",ENSAYOS!$G$5:$G$3004,"&gt;="&amp;CONFIG!$B$27),IF(U71="","",_xlfn.MINIFS(ENSAYOS!$Q$5:$Q$3004,ENSAYOS!$C$5:$C$3004,F71,ENSAYOS!$Q$5:$Q$3004,"&gt;0",ENSAYOS!$G$5:$G$3004,N71)/X71))</f>
        <v/>
      </c>
      <c r="AA71" s="16" t="str">
        <f aca="false">IF(D71="","",IFERROR(1/(1/INDEX(CONFIG!$J$5:$J$14,MATCH(D71,CONFIG!$D$5:$D$14,0))),""))</f>
        <v/>
      </c>
      <c r="AB71" s="16" t="str">
        <f aca="false">IF(D71="","",IFERROR(1/(1/INDEX(CONFIG!$K$5:$K$14,MATCH(D71,CONFIG!$D$5:$D$14,0))),""))</f>
        <v/>
      </c>
      <c r="AC71" s="19" t="str">
        <f aca="false">IF(N(M71)=0,"",IF(AA71="","Sin spec",IF(AND(Y71&gt;=AA71,OR(AB71="",Z71&gt;=AB71)),"CUMPLE","NO CUMPLE")&amp;IF(V71=""," (est.)","")))</f>
        <v/>
      </c>
      <c r="AD71" s="20" t="str">
        <f aca="false">IF(F71="","",IF(COUNTIFS(ABSORCION!$C$5:$C$1004,F71,ABSORCION!$I$5:$I$1004,"&gt;0")=0,"",AVERAGEIFS(ABSORCION!$I$5:$I$1004,ABSORCION!$C$5:$C$1004,F71,ABSORCION!$I$5:$I$1004,"&gt;0")))</f>
        <v/>
      </c>
      <c r="AE71" s="20" t="str">
        <f aca="false">IF(F71="","",IF(COUNTIFS(ABSORCION!$C$5:$C$1004,F71,ABSORCION!$I$5:$I$1004,"&gt;0")=0,"",AVERAGEIFS(ABSORCION!$K$5:$K$1004,ABSORCION!$C$5:$C$1004,F71,ABSORCION!$I$5:$I$1004,"&gt;0")))</f>
        <v/>
      </c>
      <c r="AF71" s="20" t="str">
        <f aca="false">IF(AE71="","",IF(AE71&gt;=CONFIG!$E$21,CONFIG!$F$21,IF(AE71&gt;=CONFIG!$E$20,CONFIG!$F$20,CONFIG!$F$19)))</f>
        <v/>
      </c>
      <c r="AG71" s="21" t="str">
        <f aca="false">IF(F71="","",TRIM(IF(N(M71)=0,"Sin ensayos. ","")&amp;IF(AND(N(M71)&gt;0,N(M71)&lt;CONFIG!$B$26),"Menos de "&amp;CONFIG!$B$26&amp;" probetas. ","")&amp;IF(N(T71)&gt;CONFIG!$B$25,"CV alto. ","")&amp;IF(AND(N(AD71)&gt;0,N(AD71)&gt;N(AF71)),"Absorción alta. ","")))</f>
        <v/>
      </c>
      <c r="AH71" s="22" t="str">
        <f aca="false">IF(AND(N(M71)&gt;0,OR(CONTROL!$C$4="TODAS",C71=CONTROL!$C$4),D71=CONTROL!$C$5),MAX($AH$4:AH70)+1,"")</f>
        <v/>
      </c>
      <c r="AI71" s="22" t="str">
        <f aca="false">IF(AH71="","",P71^2)</f>
        <v/>
      </c>
    </row>
    <row r="72" customFormat="false" ht="15" hidden="false" customHeight="false" outlineLevel="0" collapsed="false">
      <c r="A72" s="11" t="str">
        <f aca="false">IF(B72="","",ROW()-4)</f>
        <v/>
      </c>
      <c r="B72" s="12"/>
      <c r="C72" s="13"/>
      <c r="D72" s="13"/>
      <c r="E72" s="13"/>
      <c r="F72" s="14" t="str">
        <f aca="false">IF(OR(B72="",C72="",D72=""),"",IFERROR(INDEX(CONFIG!$E$5:$E$14,MATCH(D72,CONFIG!$D$5:$D$14,0)),"?")&amp;RIGHT("0"&amp;DAY(B72),2)&amp;RIGHT("0"&amp;MONTH(B72),2)&amp;RIGHT(YEAR(B72),2)&amp;C72&amp;IF(E72="","","-"&amp;E72))</f>
        <v/>
      </c>
      <c r="G72" s="13"/>
      <c r="H72" s="13"/>
      <c r="I72" s="13"/>
      <c r="J72" s="13"/>
      <c r="K72" s="13"/>
      <c r="L72" s="13"/>
      <c r="M72" s="11" t="str">
        <f aca="false">IF(F72="","",COUNTIFS(ENSAYOS!$C$5:$C$3004,F72,ENSAYOS!$Q$5:$Q$3004,"&gt;0"))</f>
        <v/>
      </c>
      <c r="N72" s="15" t="str">
        <f aca="false">IF(N(M72)=0,"",_xlfn.MINIFS(ENSAYOS!$G$5:$G$3004,ENSAYOS!$C$5:$C$3004,F72,ENSAYOS!$Q$5:$Q$3004,"&gt;0"))</f>
        <v/>
      </c>
      <c r="O72" s="15" t="str">
        <f aca="false">IF(N(M72)=0,"",_xlfn.MAXIFS(ENSAYOS!$G$5:$G$3004,ENSAYOS!$C$5:$C$3004,F72,ENSAYOS!$Q$5:$Q$3004,"&gt;0"))</f>
        <v/>
      </c>
      <c r="P72" s="16" t="str">
        <f aca="false">IF(N(M72)=0,"",AVERAGEIFS(ENSAYOS!$Q$5:$Q$3004,ENSAYOS!$C$5:$C$3004,F72,ENSAYOS!$Q$5:$Q$3004,"&gt;0"))</f>
        <v/>
      </c>
      <c r="Q72" s="16" t="str">
        <f aca="false">IF(N(M72)=0,"",_xlfn.MINIFS(ENSAYOS!$Q$5:$Q$3004,ENSAYOS!$C$5:$C$3004,F72,ENSAYOS!$Q$5:$Q$3004,"&gt;0"))</f>
        <v/>
      </c>
      <c r="R72" s="16" t="str">
        <f aca="false">IF(N(M72)=0,"",_xlfn.MAXIFS(ENSAYOS!$Q$5:$Q$3004,ENSAYOS!$C$5:$C$3004,F72,ENSAYOS!$Q$5:$Q$3004,"&gt;0"))</f>
        <v/>
      </c>
      <c r="S72" s="16" t="str">
        <f aca="false">IF(N(M72)&lt;2,"",SQRT(MAX(0,(SUMIFS(ENSAYOS!$X$5:$X$3004,ENSAYOS!$C$5:$C$3004,F72,ENSAYOS!$Q$5:$Q$3004,"&gt;0")-M72*P72^2)/(M72-1))))</f>
        <v/>
      </c>
      <c r="T72" s="17" t="str">
        <f aca="false">IF(S72="","",S72/P72)</f>
        <v/>
      </c>
      <c r="U72" s="16" t="str">
        <f aca="false">IF(N(M72)=0,"",IF(N72&gt;=CONFIG!$B$27,"",AVERAGEIFS(ENSAYOS!$Q$5:$Q$3004,ENSAYOS!$C$5:$C$3004,F72,ENSAYOS!$Q$5:$Q$3004,"&gt;0",ENSAYOS!$G$5:$G$3004,N72)))</f>
        <v/>
      </c>
      <c r="V72" s="16" t="str">
        <f aca="false">IF(N(M72)=0,"",IF(COUNTIFS(ENSAYOS!$C$5:$C$3004,F72,ENSAYOS!$Q$5:$Q$3004,"&gt;0",ENSAYOS!$G$5:$G$3004,"&gt;="&amp;CONFIG!$B$27)=0,"",AVERAGEIFS(ENSAYOS!$Q$5:$Q$3004,ENSAYOS!$C$5:$C$3004,F72,ENSAYOS!$Q$5:$Q$3004,"&gt;0",ENSAYOS!$G$5:$G$3004,"&gt;="&amp;CONFIG!$B$27)))</f>
        <v/>
      </c>
      <c r="W72" s="18" t="str">
        <f aca="false">IF(AND(U72&lt;&gt;"",V72&lt;&gt;""),U72/V72,"")</f>
        <v/>
      </c>
      <c r="X72" s="18" t="str">
        <f aca="false">IF(U72="","",INDEX('CURVA EDAD'!$E$5:$E$32,MIN(28,MAX(1,N72))))</f>
        <v/>
      </c>
      <c r="Y72" s="16" t="str">
        <f aca="false">IF(V72&lt;&gt;"",V72,IF(U72="","",U72/X72))</f>
        <v/>
      </c>
      <c r="Z72" s="16" t="str">
        <f aca="false">IF(V72&lt;&gt;"",_xlfn.MINIFS(ENSAYOS!$Q$5:$Q$3004,ENSAYOS!$C$5:$C$3004,F72,ENSAYOS!$Q$5:$Q$3004,"&gt;0",ENSAYOS!$G$5:$G$3004,"&gt;="&amp;CONFIG!$B$27),IF(U72="","",_xlfn.MINIFS(ENSAYOS!$Q$5:$Q$3004,ENSAYOS!$C$5:$C$3004,F72,ENSAYOS!$Q$5:$Q$3004,"&gt;0",ENSAYOS!$G$5:$G$3004,N72)/X72))</f>
        <v/>
      </c>
      <c r="AA72" s="16" t="str">
        <f aca="false">IF(D72="","",IFERROR(1/(1/INDEX(CONFIG!$J$5:$J$14,MATCH(D72,CONFIG!$D$5:$D$14,0))),""))</f>
        <v/>
      </c>
      <c r="AB72" s="16" t="str">
        <f aca="false">IF(D72="","",IFERROR(1/(1/INDEX(CONFIG!$K$5:$K$14,MATCH(D72,CONFIG!$D$5:$D$14,0))),""))</f>
        <v/>
      </c>
      <c r="AC72" s="19" t="str">
        <f aca="false">IF(N(M72)=0,"",IF(AA72="","Sin spec",IF(AND(Y72&gt;=AA72,OR(AB72="",Z72&gt;=AB72)),"CUMPLE","NO CUMPLE")&amp;IF(V72=""," (est.)","")))</f>
        <v/>
      </c>
      <c r="AD72" s="20" t="str">
        <f aca="false">IF(F72="","",IF(COUNTIFS(ABSORCION!$C$5:$C$1004,F72,ABSORCION!$I$5:$I$1004,"&gt;0")=0,"",AVERAGEIFS(ABSORCION!$I$5:$I$1004,ABSORCION!$C$5:$C$1004,F72,ABSORCION!$I$5:$I$1004,"&gt;0")))</f>
        <v/>
      </c>
      <c r="AE72" s="20" t="str">
        <f aca="false">IF(F72="","",IF(COUNTIFS(ABSORCION!$C$5:$C$1004,F72,ABSORCION!$I$5:$I$1004,"&gt;0")=0,"",AVERAGEIFS(ABSORCION!$K$5:$K$1004,ABSORCION!$C$5:$C$1004,F72,ABSORCION!$I$5:$I$1004,"&gt;0")))</f>
        <v/>
      </c>
      <c r="AF72" s="20" t="str">
        <f aca="false">IF(AE72="","",IF(AE72&gt;=CONFIG!$E$21,CONFIG!$F$21,IF(AE72&gt;=CONFIG!$E$20,CONFIG!$F$20,CONFIG!$F$19)))</f>
        <v/>
      </c>
      <c r="AG72" s="21" t="str">
        <f aca="false">IF(F72="","",TRIM(IF(N(M72)=0,"Sin ensayos. ","")&amp;IF(AND(N(M72)&gt;0,N(M72)&lt;CONFIG!$B$26),"Menos de "&amp;CONFIG!$B$26&amp;" probetas. ","")&amp;IF(N(T72)&gt;CONFIG!$B$25,"CV alto. ","")&amp;IF(AND(N(AD72)&gt;0,N(AD72)&gt;N(AF72)),"Absorción alta. ","")))</f>
        <v/>
      </c>
      <c r="AH72" s="22" t="str">
        <f aca="false">IF(AND(N(M72)&gt;0,OR(CONTROL!$C$4="TODAS",C72=CONTROL!$C$4),D72=CONTROL!$C$5),MAX($AH$4:AH71)+1,"")</f>
        <v/>
      </c>
      <c r="AI72" s="22" t="str">
        <f aca="false">IF(AH72="","",P72^2)</f>
        <v/>
      </c>
    </row>
    <row r="73" customFormat="false" ht="15" hidden="false" customHeight="false" outlineLevel="0" collapsed="false">
      <c r="A73" s="11" t="str">
        <f aca="false">IF(B73="","",ROW()-4)</f>
        <v/>
      </c>
      <c r="B73" s="12"/>
      <c r="C73" s="13"/>
      <c r="D73" s="13"/>
      <c r="E73" s="13"/>
      <c r="F73" s="14" t="str">
        <f aca="false">IF(OR(B73="",C73="",D73=""),"",IFERROR(INDEX(CONFIG!$E$5:$E$14,MATCH(D73,CONFIG!$D$5:$D$14,0)),"?")&amp;RIGHT("0"&amp;DAY(B73),2)&amp;RIGHT("0"&amp;MONTH(B73),2)&amp;RIGHT(YEAR(B73),2)&amp;C73&amp;IF(E73="","","-"&amp;E73))</f>
        <v/>
      </c>
      <c r="G73" s="13"/>
      <c r="H73" s="13"/>
      <c r="I73" s="13"/>
      <c r="J73" s="13"/>
      <c r="K73" s="13"/>
      <c r="L73" s="13"/>
      <c r="M73" s="11" t="str">
        <f aca="false">IF(F73="","",COUNTIFS(ENSAYOS!$C$5:$C$3004,F73,ENSAYOS!$Q$5:$Q$3004,"&gt;0"))</f>
        <v/>
      </c>
      <c r="N73" s="15" t="str">
        <f aca="false">IF(N(M73)=0,"",_xlfn.MINIFS(ENSAYOS!$G$5:$G$3004,ENSAYOS!$C$5:$C$3004,F73,ENSAYOS!$Q$5:$Q$3004,"&gt;0"))</f>
        <v/>
      </c>
      <c r="O73" s="15" t="str">
        <f aca="false">IF(N(M73)=0,"",_xlfn.MAXIFS(ENSAYOS!$G$5:$G$3004,ENSAYOS!$C$5:$C$3004,F73,ENSAYOS!$Q$5:$Q$3004,"&gt;0"))</f>
        <v/>
      </c>
      <c r="P73" s="16" t="str">
        <f aca="false">IF(N(M73)=0,"",AVERAGEIFS(ENSAYOS!$Q$5:$Q$3004,ENSAYOS!$C$5:$C$3004,F73,ENSAYOS!$Q$5:$Q$3004,"&gt;0"))</f>
        <v/>
      </c>
      <c r="Q73" s="16" t="str">
        <f aca="false">IF(N(M73)=0,"",_xlfn.MINIFS(ENSAYOS!$Q$5:$Q$3004,ENSAYOS!$C$5:$C$3004,F73,ENSAYOS!$Q$5:$Q$3004,"&gt;0"))</f>
        <v/>
      </c>
      <c r="R73" s="16" t="str">
        <f aca="false">IF(N(M73)=0,"",_xlfn.MAXIFS(ENSAYOS!$Q$5:$Q$3004,ENSAYOS!$C$5:$C$3004,F73,ENSAYOS!$Q$5:$Q$3004,"&gt;0"))</f>
        <v/>
      </c>
      <c r="S73" s="16" t="str">
        <f aca="false">IF(N(M73)&lt;2,"",SQRT(MAX(0,(SUMIFS(ENSAYOS!$X$5:$X$3004,ENSAYOS!$C$5:$C$3004,F73,ENSAYOS!$Q$5:$Q$3004,"&gt;0")-M73*P73^2)/(M73-1))))</f>
        <v/>
      </c>
      <c r="T73" s="17" t="str">
        <f aca="false">IF(S73="","",S73/P73)</f>
        <v/>
      </c>
      <c r="U73" s="16" t="str">
        <f aca="false">IF(N(M73)=0,"",IF(N73&gt;=CONFIG!$B$27,"",AVERAGEIFS(ENSAYOS!$Q$5:$Q$3004,ENSAYOS!$C$5:$C$3004,F73,ENSAYOS!$Q$5:$Q$3004,"&gt;0",ENSAYOS!$G$5:$G$3004,N73)))</f>
        <v/>
      </c>
      <c r="V73" s="16" t="str">
        <f aca="false">IF(N(M73)=0,"",IF(COUNTIFS(ENSAYOS!$C$5:$C$3004,F73,ENSAYOS!$Q$5:$Q$3004,"&gt;0",ENSAYOS!$G$5:$G$3004,"&gt;="&amp;CONFIG!$B$27)=0,"",AVERAGEIFS(ENSAYOS!$Q$5:$Q$3004,ENSAYOS!$C$5:$C$3004,F73,ENSAYOS!$Q$5:$Q$3004,"&gt;0",ENSAYOS!$G$5:$G$3004,"&gt;="&amp;CONFIG!$B$27)))</f>
        <v/>
      </c>
      <c r="W73" s="18" t="str">
        <f aca="false">IF(AND(U73&lt;&gt;"",V73&lt;&gt;""),U73/V73,"")</f>
        <v/>
      </c>
      <c r="X73" s="18" t="str">
        <f aca="false">IF(U73="","",INDEX('CURVA EDAD'!$E$5:$E$32,MIN(28,MAX(1,N73))))</f>
        <v/>
      </c>
      <c r="Y73" s="16" t="str">
        <f aca="false">IF(V73&lt;&gt;"",V73,IF(U73="","",U73/X73))</f>
        <v/>
      </c>
      <c r="Z73" s="16" t="str">
        <f aca="false">IF(V73&lt;&gt;"",_xlfn.MINIFS(ENSAYOS!$Q$5:$Q$3004,ENSAYOS!$C$5:$C$3004,F73,ENSAYOS!$Q$5:$Q$3004,"&gt;0",ENSAYOS!$G$5:$G$3004,"&gt;="&amp;CONFIG!$B$27),IF(U73="","",_xlfn.MINIFS(ENSAYOS!$Q$5:$Q$3004,ENSAYOS!$C$5:$C$3004,F73,ENSAYOS!$Q$5:$Q$3004,"&gt;0",ENSAYOS!$G$5:$G$3004,N73)/X73))</f>
        <v/>
      </c>
      <c r="AA73" s="16" t="str">
        <f aca="false">IF(D73="","",IFERROR(1/(1/INDEX(CONFIG!$J$5:$J$14,MATCH(D73,CONFIG!$D$5:$D$14,0))),""))</f>
        <v/>
      </c>
      <c r="AB73" s="16" t="str">
        <f aca="false">IF(D73="","",IFERROR(1/(1/INDEX(CONFIG!$K$5:$K$14,MATCH(D73,CONFIG!$D$5:$D$14,0))),""))</f>
        <v/>
      </c>
      <c r="AC73" s="19" t="str">
        <f aca="false">IF(N(M73)=0,"",IF(AA73="","Sin spec",IF(AND(Y73&gt;=AA73,OR(AB73="",Z73&gt;=AB73)),"CUMPLE","NO CUMPLE")&amp;IF(V73=""," (est.)","")))</f>
        <v/>
      </c>
      <c r="AD73" s="20" t="str">
        <f aca="false">IF(F73="","",IF(COUNTIFS(ABSORCION!$C$5:$C$1004,F73,ABSORCION!$I$5:$I$1004,"&gt;0")=0,"",AVERAGEIFS(ABSORCION!$I$5:$I$1004,ABSORCION!$C$5:$C$1004,F73,ABSORCION!$I$5:$I$1004,"&gt;0")))</f>
        <v/>
      </c>
      <c r="AE73" s="20" t="str">
        <f aca="false">IF(F73="","",IF(COUNTIFS(ABSORCION!$C$5:$C$1004,F73,ABSORCION!$I$5:$I$1004,"&gt;0")=0,"",AVERAGEIFS(ABSORCION!$K$5:$K$1004,ABSORCION!$C$5:$C$1004,F73,ABSORCION!$I$5:$I$1004,"&gt;0")))</f>
        <v/>
      </c>
      <c r="AF73" s="20" t="str">
        <f aca="false">IF(AE73="","",IF(AE73&gt;=CONFIG!$E$21,CONFIG!$F$21,IF(AE73&gt;=CONFIG!$E$20,CONFIG!$F$20,CONFIG!$F$19)))</f>
        <v/>
      </c>
      <c r="AG73" s="21" t="str">
        <f aca="false">IF(F73="","",TRIM(IF(N(M73)=0,"Sin ensayos. ","")&amp;IF(AND(N(M73)&gt;0,N(M73)&lt;CONFIG!$B$26),"Menos de "&amp;CONFIG!$B$26&amp;" probetas. ","")&amp;IF(N(T73)&gt;CONFIG!$B$25,"CV alto. ","")&amp;IF(AND(N(AD73)&gt;0,N(AD73)&gt;N(AF73)),"Absorción alta. ","")))</f>
        <v/>
      </c>
      <c r="AH73" s="22" t="str">
        <f aca="false">IF(AND(N(M73)&gt;0,OR(CONTROL!$C$4="TODAS",C73=CONTROL!$C$4),D73=CONTROL!$C$5),MAX($AH$4:AH72)+1,"")</f>
        <v/>
      </c>
      <c r="AI73" s="22" t="str">
        <f aca="false">IF(AH73="","",P73^2)</f>
        <v/>
      </c>
    </row>
    <row r="74" customFormat="false" ht="15" hidden="false" customHeight="false" outlineLevel="0" collapsed="false">
      <c r="A74" s="11" t="str">
        <f aca="false">IF(B74="","",ROW()-4)</f>
        <v/>
      </c>
      <c r="B74" s="12"/>
      <c r="C74" s="13"/>
      <c r="D74" s="13"/>
      <c r="E74" s="13"/>
      <c r="F74" s="14" t="str">
        <f aca="false">IF(OR(B74="",C74="",D74=""),"",IFERROR(INDEX(CONFIG!$E$5:$E$14,MATCH(D74,CONFIG!$D$5:$D$14,0)),"?")&amp;RIGHT("0"&amp;DAY(B74),2)&amp;RIGHT("0"&amp;MONTH(B74),2)&amp;RIGHT(YEAR(B74),2)&amp;C74&amp;IF(E74="","","-"&amp;E74))</f>
        <v/>
      </c>
      <c r="G74" s="13"/>
      <c r="H74" s="13"/>
      <c r="I74" s="13"/>
      <c r="J74" s="13"/>
      <c r="K74" s="13"/>
      <c r="L74" s="13"/>
      <c r="M74" s="11" t="str">
        <f aca="false">IF(F74="","",COUNTIFS(ENSAYOS!$C$5:$C$3004,F74,ENSAYOS!$Q$5:$Q$3004,"&gt;0"))</f>
        <v/>
      </c>
      <c r="N74" s="15" t="str">
        <f aca="false">IF(N(M74)=0,"",_xlfn.MINIFS(ENSAYOS!$G$5:$G$3004,ENSAYOS!$C$5:$C$3004,F74,ENSAYOS!$Q$5:$Q$3004,"&gt;0"))</f>
        <v/>
      </c>
      <c r="O74" s="15" t="str">
        <f aca="false">IF(N(M74)=0,"",_xlfn.MAXIFS(ENSAYOS!$G$5:$G$3004,ENSAYOS!$C$5:$C$3004,F74,ENSAYOS!$Q$5:$Q$3004,"&gt;0"))</f>
        <v/>
      </c>
      <c r="P74" s="16" t="str">
        <f aca="false">IF(N(M74)=0,"",AVERAGEIFS(ENSAYOS!$Q$5:$Q$3004,ENSAYOS!$C$5:$C$3004,F74,ENSAYOS!$Q$5:$Q$3004,"&gt;0"))</f>
        <v/>
      </c>
      <c r="Q74" s="16" t="str">
        <f aca="false">IF(N(M74)=0,"",_xlfn.MINIFS(ENSAYOS!$Q$5:$Q$3004,ENSAYOS!$C$5:$C$3004,F74,ENSAYOS!$Q$5:$Q$3004,"&gt;0"))</f>
        <v/>
      </c>
      <c r="R74" s="16" t="str">
        <f aca="false">IF(N(M74)=0,"",_xlfn.MAXIFS(ENSAYOS!$Q$5:$Q$3004,ENSAYOS!$C$5:$C$3004,F74,ENSAYOS!$Q$5:$Q$3004,"&gt;0"))</f>
        <v/>
      </c>
      <c r="S74" s="16" t="str">
        <f aca="false">IF(N(M74)&lt;2,"",SQRT(MAX(0,(SUMIFS(ENSAYOS!$X$5:$X$3004,ENSAYOS!$C$5:$C$3004,F74,ENSAYOS!$Q$5:$Q$3004,"&gt;0")-M74*P74^2)/(M74-1))))</f>
        <v/>
      </c>
      <c r="T74" s="17" t="str">
        <f aca="false">IF(S74="","",S74/P74)</f>
        <v/>
      </c>
      <c r="U74" s="16" t="str">
        <f aca="false">IF(N(M74)=0,"",IF(N74&gt;=CONFIG!$B$27,"",AVERAGEIFS(ENSAYOS!$Q$5:$Q$3004,ENSAYOS!$C$5:$C$3004,F74,ENSAYOS!$Q$5:$Q$3004,"&gt;0",ENSAYOS!$G$5:$G$3004,N74)))</f>
        <v/>
      </c>
      <c r="V74" s="16" t="str">
        <f aca="false">IF(N(M74)=0,"",IF(COUNTIFS(ENSAYOS!$C$5:$C$3004,F74,ENSAYOS!$Q$5:$Q$3004,"&gt;0",ENSAYOS!$G$5:$G$3004,"&gt;="&amp;CONFIG!$B$27)=0,"",AVERAGEIFS(ENSAYOS!$Q$5:$Q$3004,ENSAYOS!$C$5:$C$3004,F74,ENSAYOS!$Q$5:$Q$3004,"&gt;0",ENSAYOS!$G$5:$G$3004,"&gt;="&amp;CONFIG!$B$27)))</f>
        <v/>
      </c>
      <c r="W74" s="18" t="str">
        <f aca="false">IF(AND(U74&lt;&gt;"",V74&lt;&gt;""),U74/V74,"")</f>
        <v/>
      </c>
      <c r="X74" s="18" t="str">
        <f aca="false">IF(U74="","",INDEX('CURVA EDAD'!$E$5:$E$32,MIN(28,MAX(1,N74))))</f>
        <v/>
      </c>
      <c r="Y74" s="16" t="str">
        <f aca="false">IF(V74&lt;&gt;"",V74,IF(U74="","",U74/X74))</f>
        <v/>
      </c>
      <c r="Z74" s="16" t="str">
        <f aca="false">IF(V74&lt;&gt;"",_xlfn.MINIFS(ENSAYOS!$Q$5:$Q$3004,ENSAYOS!$C$5:$C$3004,F74,ENSAYOS!$Q$5:$Q$3004,"&gt;0",ENSAYOS!$G$5:$G$3004,"&gt;="&amp;CONFIG!$B$27),IF(U74="","",_xlfn.MINIFS(ENSAYOS!$Q$5:$Q$3004,ENSAYOS!$C$5:$C$3004,F74,ENSAYOS!$Q$5:$Q$3004,"&gt;0",ENSAYOS!$G$5:$G$3004,N74)/X74))</f>
        <v/>
      </c>
      <c r="AA74" s="16" t="str">
        <f aca="false">IF(D74="","",IFERROR(1/(1/INDEX(CONFIG!$J$5:$J$14,MATCH(D74,CONFIG!$D$5:$D$14,0))),""))</f>
        <v/>
      </c>
      <c r="AB74" s="16" t="str">
        <f aca="false">IF(D74="","",IFERROR(1/(1/INDEX(CONFIG!$K$5:$K$14,MATCH(D74,CONFIG!$D$5:$D$14,0))),""))</f>
        <v/>
      </c>
      <c r="AC74" s="19" t="str">
        <f aca="false">IF(N(M74)=0,"",IF(AA74="","Sin spec",IF(AND(Y74&gt;=AA74,OR(AB74="",Z74&gt;=AB74)),"CUMPLE","NO CUMPLE")&amp;IF(V74=""," (est.)","")))</f>
        <v/>
      </c>
      <c r="AD74" s="20" t="str">
        <f aca="false">IF(F74="","",IF(COUNTIFS(ABSORCION!$C$5:$C$1004,F74,ABSORCION!$I$5:$I$1004,"&gt;0")=0,"",AVERAGEIFS(ABSORCION!$I$5:$I$1004,ABSORCION!$C$5:$C$1004,F74,ABSORCION!$I$5:$I$1004,"&gt;0")))</f>
        <v/>
      </c>
      <c r="AE74" s="20" t="str">
        <f aca="false">IF(F74="","",IF(COUNTIFS(ABSORCION!$C$5:$C$1004,F74,ABSORCION!$I$5:$I$1004,"&gt;0")=0,"",AVERAGEIFS(ABSORCION!$K$5:$K$1004,ABSORCION!$C$5:$C$1004,F74,ABSORCION!$I$5:$I$1004,"&gt;0")))</f>
        <v/>
      </c>
      <c r="AF74" s="20" t="str">
        <f aca="false">IF(AE74="","",IF(AE74&gt;=CONFIG!$E$21,CONFIG!$F$21,IF(AE74&gt;=CONFIG!$E$20,CONFIG!$F$20,CONFIG!$F$19)))</f>
        <v/>
      </c>
      <c r="AG74" s="21" t="str">
        <f aca="false">IF(F74="","",TRIM(IF(N(M74)=0,"Sin ensayos. ","")&amp;IF(AND(N(M74)&gt;0,N(M74)&lt;CONFIG!$B$26),"Menos de "&amp;CONFIG!$B$26&amp;" probetas. ","")&amp;IF(N(T74)&gt;CONFIG!$B$25,"CV alto. ","")&amp;IF(AND(N(AD74)&gt;0,N(AD74)&gt;N(AF74)),"Absorción alta. ","")))</f>
        <v/>
      </c>
      <c r="AH74" s="22" t="str">
        <f aca="false">IF(AND(N(M74)&gt;0,OR(CONTROL!$C$4="TODAS",C74=CONTROL!$C$4),D74=CONTROL!$C$5),MAX($AH$4:AH73)+1,"")</f>
        <v/>
      </c>
      <c r="AI74" s="22" t="str">
        <f aca="false">IF(AH74="","",P74^2)</f>
        <v/>
      </c>
    </row>
    <row r="75" customFormat="false" ht="15" hidden="false" customHeight="false" outlineLevel="0" collapsed="false">
      <c r="A75" s="11" t="str">
        <f aca="false">IF(B75="","",ROW()-4)</f>
        <v/>
      </c>
      <c r="B75" s="12"/>
      <c r="C75" s="13"/>
      <c r="D75" s="13"/>
      <c r="E75" s="13"/>
      <c r="F75" s="14" t="str">
        <f aca="false">IF(OR(B75="",C75="",D75=""),"",IFERROR(INDEX(CONFIG!$E$5:$E$14,MATCH(D75,CONFIG!$D$5:$D$14,0)),"?")&amp;RIGHT("0"&amp;DAY(B75),2)&amp;RIGHT("0"&amp;MONTH(B75),2)&amp;RIGHT(YEAR(B75),2)&amp;C75&amp;IF(E75="","","-"&amp;E75))</f>
        <v/>
      </c>
      <c r="G75" s="13"/>
      <c r="H75" s="13"/>
      <c r="I75" s="13"/>
      <c r="J75" s="13"/>
      <c r="K75" s="13"/>
      <c r="L75" s="13"/>
      <c r="M75" s="11" t="str">
        <f aca="false">IF(F75="","",COUNTIFS(ENSAYOS!$C$5:$C$3004,F75,ENSAYOS!$Q$5:$Q$3004,"&gt;0"))</f>
        <v/>
      </c>
      <c r="N75" s="15" t="str">
        <f aca="false">IF(N(M75)=0,"",_xlfn.MINIFS(ENSAYOS!$G$5:$G$3004,ENSAYOS!$C$5:$C$3004,F75,ENSAYOS!$Q$5:$Q$3004,"&gt;0"))</f>
        <v/>
      </c>
      <c r="O75" s="15" t="str">
        <f aca="false">IF(N(M75)=0,"",_xlfn.MAXIFS(ENSAYOS!$G$5:$G$3004,ENSAYOS!$C$5:$C$3004,F75,ENSAYOS!$Q$5:$Q$3004,"&gt;0"))</f>
        <v/>
      </c>
      <c r="P75" s="16" t="str">
        <f aca="false">IF(N(M75)=0,"",AVERAGEIFS(ENSAYOS!$Q$5:$Q$3004,ENSAYOS!$C$5:$C$3004,F75,ENSAYOS!$Q$5:$Q$3004,"&gt;0"))</f>
        <v/>
      </c>
      <c r="Q75" s="16" t="str">
        <f aca="false">IF(N(M75)=0,"",_xlfn.MINIFS(ENSAYOS!$Q$5:$Q$3004,ENSAYOS!$C$5:$C$3004,F75,ENSAYOS!$Q$5:$Q$3004,"&gt;0"))</f>
        <v/>
      </c>
      <c r="R75" s="16" t="str">
        <f aca="false">IF(N(M75)=0,"",_xlfn.MAXIFS(ENSAYOS!$Q$5:$Q$3004,ENSAYOS!$C$5:$C$3004,F75,ENSAYOS!$Q$5:$Q$3004,"&gt;0"))</f>
        <v/>
      </c>
      <c r="S75" s="16" t="str">
        <f aca="false">IF(N(M75)&lt;2,"",SQRT(MAX(0,(SUMIFS(ENSAYOS!$X$5:$X$3004,ENSAYOS!$C$5:$C$3004,F75,ENSAYOS!$Q$5:$Q$3004,"&gt;0")-M75*P75^2)/(M75-1))))</f>
        <v/>
      </c>
      <c r="T75" s="17" t="str">
        <f aca="false">IF(S75="","",S75/P75)</f>
        <v/>
      </c>
      <c r="U75" s="16" t="str">
        <f aca="false">IF(N(M75)=0,"",IF(N75&gt;=CONFIG!$B$27,"",AVERAGEIFS(ENSAYOS!$Q$5:$Q$3004,ENSAYOS!$C$5:$C$3004,F75,ENSAYOS!$Q$5:$Q$3004,"&gt;0",ENSAYOS!$G$5:$G$3004,N75)))</f>
        <v/>
      </c>
      <c r="V75" s="16" t="str">
        <f aca="false">IF(N(M75)=0,"",IF(COUNTIFS(ENSAYOS!$C$5:$C$3004,F75,ENSAYOS!$Q$5:$Q$3004,"&gt;0",ENSAYOS!$G$5:$G$3004,"&gt;="&amp;CONFIG!$B$27)=0,"",AVERAGEIFS(ENSAYOS!$Q$5:$Q$3004,ENSAYOS!$C$5:$C$3004,F75,ENSAYOS!$Q$5:$Q$3004,"&gt;0",ENSAYOS!$G$5:$G$3004,"&gt;="&amp;CONFIG!$B$27)))</f>
        <v/>
      </c>
      <c r="W75" s="18" t="str">
        <f aca="false">IF(AND(U75&lt;&gt;"",V75&lt;&gt;""),U75/V75,"")</f>
        <v/>
      </c>
      <c r="X75" s="18" t="str">
        <f aca="false">IF(U75="","",INDEX('CURVA EDAD'!$E$5:$E$32,MIN(28,MAX(1,N75))))</f>
        <v/>
      </c>
      <c r="Y75" s="16" t="str">
        <f aca="false">IF(V75&lt;&gt;"",V75,IF(U75="","",U75/X75))</f>
        <v/>
      </c>
      <c r="Z75" s="16" t="str">
        <f aca="false">IF(V75&lt;&gt;"",_xlfn.MINIFS(ENSAYOS!$Q$5:$Q$3004,ENSAYOS!$C$5:$C$3004,F75,ENSAYOS!$Q$5:$Q$3004,"&gt;0",ENSAYOS!$G$5:$G$3004,"&gt;="&amp;CONFIG!$B$27),IF(U75="","",_xlfn.MINIFS(ENSAYOS!$Q$5:$Q$3004,ENSAYOS!$C$5:$C$3004,F75,ENSAYOS!$Q$5:$Q$3004,"&gt;0",ENSAYOS!$G$5:$G$3004,N75)/X75))</f>
        <v/>
      </c>
      <c r="AA75" s="16" t="str">
        <f aca="false">IF(D75="","",IFERROR(1/(1/INDEX(CONFIG!$J$5:$J$14,MATCH(D75,CONFIG!$D$5:$D$14,0))),""))</f>
        <v/>
      </c>
      <c r="AB75" s="16" t="str">
        <f aca="false">IF(D75="","",IFERROR(1/(1/INDEX(CONFIG!$K$5:$K$14,MATCH(D75,CONFIG!$D$5:$D$14,0))),""))</f>
        <v/>
      </c>
      <c r="AC75" s="19" t="str">
        <f aca="false">IF(N(M75)=0,"",IF(AA75="","Sin spec",IF(AND(Y75&gt;=AA75,OR(AB75="",Z75&gt;=AB75)),"CUMPLE","NO CUMPLE")&amp;IF(V75=""," (est.)","")))</f>
        <v/>
      </c>
      <c r="AD75" s="20" t="str">
        <f aca="false">IF(F75="","",IF(COUNTIFS(ABSORCION!$C$5:$C$1004,F75,ABSORCION!$I$5:$I$1004,"&gt;0")=0,"",AVERAGEIFS(ABSORCION!$I$5:$I$1004,ABSORCION!$C$5:$C$1004,F75,ABSORCION!$I$5:$I$1004,"&gt;0")))</f>
        <v/>
      </c>
      <c r="AE75" s="20" t="str">
        <f aca="false">IF(F75="","",IF(COUNTIFS(ABSORCION!$C$5:$C$1004,F75,ABSORCION!$I$5:$I$1004,"&gt;0")=0,"",AVERAGEIFS(ABSORCION!$K$5:$K$1004,ABSORCION!$C$5:$C$1004,F75,ABSORCION!$I$5:$I$1004,"&gt;0")))</f>
        <v/>
      </c>
      <c r="AF75" s="20" t="str">
        <f aca="false">IF(AE75="","",IF(AE75&gt;=CONFIG!$E$21,CONFIG!$F$21,IF(AE75&gt;=CONFIG!$E$20,CONFIG!$F$20,CONFIG!$F$19)))</f>
        <v/>
      </c>
      <c r="AG75" s="21" t="str">
        <f aca="false">IF(F75="","",TRIM(IF(N(M75)=0,"Sin ensayos. ","")&amp;IF(AND(N(M75)&gt;0,N(M75)&lt;CONFIG!$B$26),"Menos de "&amp;CONFIG!$B$26&amp;" probetas. ","")&amp;IF(N(T75)&gt;CONFIG!$B$25,"CV alto. ","")&amp;IF(AND(N(AD75)&gt;0,N(AD75)&gt;N(AF75)),"Absorción alta. ","")))</f>
        <v/>
      </c>
      <c r="AH75" s="22" t="str">
        <f aca="false">IF(AND(N(M75)&gt;0,OR(CONTROL!$C$4="TODAS",C75=CONTROL!$C$4),D75=CONTROL!$C$5),MAX($AH$4:AH74)+1,"")</f>
        <v/>
      </c>
      <c r="AI75" s="22" t="str">
        <f aca="false">IF(AH75="","",P75^2)</f>
        <v/>
      </c>
    </row>
    <row r="76" customFormat="false" ht="15" hidden="false" customHeight="false" outlineLevel="0" collapsed="false">
      <c r="A76" s="11" t="str">
        <f aca="false">IF(B76="","",ROW()-4)</f>
        <v/>
      </c>
      <c r="B76" s="12"/>
      <c r="C76" s="13"/>
      <c r="D76" s="13"/>
      <c r="E76" s="13"/>
      <c r="F76" s="14" t="str">
        <f aca="false">IF(OR(B76="",C76="",D76=""),"",IFERROR(INDEX(CONFIG!$E$5:$E$14,MATCH(D76,CONFIG!$D$5:$D$14,0)),"?")&amp;RIGHT("0"&amp;DAY(B76),2)&amp;RIGHT("0"&amp;MONTH(B76),2)&amp;RIGHT(YEAR(B76),2)&amp;C76&amp;IF(E76="","","-"&amp;E76))</f>
        <v/>
      </c>
      <c r="G76" s="13"/>
      <c r="H76" s="13"/>
      <c r="I76" s="13"/>
      <c r="J76" s="13"/>
      <c r="K76" s="13"/>
      <c r="L76" s="13"/>
      <c r="M76" s="11" t="str">
        <f aca="false">IF(F76="","",COUNTIFS(ENSAYOS!$C$5:$C$3004,F76,ENSAYOS!$Q$5:$Q$3004,"&gt;0"))</f>
        <v/>
      </c>
      <c r="N76" s="15" t="str">
        <f aca="false">IF(N(M76)=0,"",_xlfn.MINIFS(ENSAYOS!$G$5:$G$3004,ENSAYOS!$C$5:$C$3004,F76,ENSAYOS!$Q$5:$Q$3004,"&gt;0"))</f>
        <v/>
      </c>
      <c r="O76" s="15" t="str">
        <f aca="false">IF(N(M76)=0,"",_xlfn.MAXIFS(ENSAYOS!$G$5:$G$3004,ENSAYOS!$C$5:$C$3004,F76,ENSAYOS!$Q$5:$Q$3004,"&gt;0"))</f>
        <v/>
      </c>
      <c r="P76" s="16" t="str">
        <f aca="false">IF(N(M76)=0,"",AVERAGEIFS(ENSAYOS!$Q$5:$Q$3004,ENSAYOS!$C$5:$C$3004,F76,ENSAYOS!$Q$5:$Q$3004,"&gt;0"))</f>
        <v/>
      </c>
      <c r="Q76" s="16" t="str">
        <f aca="false">IF(N(M76)=0,"",_xlfn.MINIFS(ENSAYOS!$Q$5:$Q$3004,ENSAYOS!$C$5:$C$3004,F76,ENSAYOS!$Q$5:$Q$3004,"&gt;0"))</f>
        <v/>
      </c>
      <c r="R76" s="16" t="str">
        <f aca="false">IF(N(M76)=0,"",_xlfn.MAXIFS(ENSAYOS!$Q$5:$Q$3004,ENSAYOS!$C$5:$C$3004,F76,ENSAYOS!$Q$5:$Q$3004,"&gt;0"))</f>
        <v/>
      </c>
      <c r="S76" s="16" t="str">
        <f aca="false">IF(N(M76)&lt;2,"",SQRT(MAX(0,(SUMIFS(ENSAYOS!$X$5:$X$3004,ENSAYOS!$C$5:$C$3004,F76,ENSAYOS!$Q$5:$Q$3004,"&gt;0")-M76*P76^2)/(M76-1))))</f>
        <v/>
      </c>
      <c r="T76" s="17" t="str">
        <f aca="false">IF(S76="","",S76/P76)</f>
        <v/>
      </c>
      <c r="U76" s="16" t="str">
        <f aca="false">IF(N(M76)=0,"",IF(N76&gt;=CONFIG!$B$27,"",AVERAGEIFS(ENSAYOS!$Q$5:$Q$3004,ENSAYOS!$C$5:$C$3004,F76,ENSAYOS!$Q$5:$Q$3004,"&gt;0",ENSAYOS!$G$5:$G$3004,N76)))</f>
        <v/>
      </c>
      <c r="V76" s="16" t="str">
        <f aca="false">IF(N(M76)=0,"",IF(COUNTIFS(ENSAYOS!$C$5:$C$3004,F76,ENSAYOS!$Q$5:$Q$3004,"&gt;0",ENSAYOS!$G$5:$G$3004,"&gt;="&amp;CONFIG!$B$27)=0,"",AVERAGEIFS(ENSAYOS!$Q$5:$Q$3004,ENSAYOS!$C$5:$C$3004,F76,ENSAYOS!$Q$5:$Q$3004,"&gt;0",ENSAYOS!$G$5:$G$3004,"&gt;="&amp;CONFIG!$B$27)))</f>
        <v/>
      </c>
      <c r="W76" s="18" t="str">
        <f aca="false">IF(AND(U76&lt;&gt;"",V76&lt;&gt;""),U76/V76,"")</f>
        <v/>
      </c>
      <c r="X76" s="18" t="str">
        <f aca="false">IF(U76="","",INDEX('CURVA EDAD'!$E$5:$E$32,MIN(28,MAX(1,N76))))</f>
        <v/>
      </c>
      <c r="Y76" s="16" t="str">
        <f aca="false">IF(V76&lt;&gt;"",V76,IF(U76="","",U76/X76))</f>
        <v/>
      </c>
      <c r="Z76" s="16" t="str">
        <f aca="false">IF(V76&lt;&gt;"",_xlfn.MINIFS(ENSAYOS!$Q$5:$Q$3004,ENSAYOS!$C$5:$C$3004,F76,ENSAYOS!$Q$5:$Q$3004,"&gt;0",ENSAYOS!$G$5:$G$3004,"&gt;="&amp;CONFIG!$B$27),IF(U76="","",_xlfn.MINIFS(ENSAYOS!$Q$5:$Q$3004,ENSAYOS!$C$5:$C$3004,F76,ENSAYOS!$Q$5:$Q$3004,"&gt;0",ENSAYOS!$G$5:$G$3004,N76)/X76))</f>
        <v/>
      </c>
      <c r="AA76" s="16" t="str">
        <f aca="false">IF(D76="","",IFERROR(1/(1/INDEX(CONFIG!$J$5:$J$14,MATCH(D76,CONFIG!$D$5:$D$14,0))),""))</f>
        <v/>
      </c>
      <c r="AB76" s="16" t="str">
        <f aca="false">IF(D76="","",IFERROR(1/(1/INDEX(CONFIG!$K$5:$K$14,MATCH(D76,CONFIG!$D$5:$D$14,0))),""))</f>
        <v/>
      </c>
      <c r="AC76" s="19" t="str">
        <f aca="false">IF(N(M76)=0,"",IF(AA76="","Sin spec",IF(AND(Y76&gt;=AA76,OR(AB76="",Z76&gt;=AB76)),"CUMPLE","NO CUMPLE")&amp;IF(V76=""," (est.)","")))</f>
        <v/>
      </c>
      <c r="AD76" s="20" t="str">
        <f aca="false">IF(F76="","",IF(COUNTIFS(ABSORCION!$C$5:$C$1004,F76,ABSORCION!$I$5:$I$1004,"&gt;0")=0,"",AVERAGEIFS(ABSORCION!$I$5:$I$1004,ABSORCION!$C$5:$C$1004,F76,ABSORCION!$I$5:$I$1004,"&gt;0")))</f>
        <v/>
      </c>
      <c r="AE76" s="20" t="str">
        <f aca="false">IF(F76="","",IF(COUNTIFS(ABSORCION!$C$5:$C$1004,F76,ABSORCION!$I$5:$I$1004,"&gt;0")=0,"",AVERAGEIFS(ABSORCION!$K$5:$K$1004,ABSORCION!$C$5:$C$1004,F76,ABSORCION!$I$5:$I$1004,"&gt;0")))</f>
        <v/>
      </c>
      <c r="AF76" s="20" t="str">
        <f aca="false">IF(AE76="","",IF(AE76&gt;=CONFIG!$E$21,CONFIG!$F$21,IF(AE76&gt;=CONFIG!$E$20,CONFIG!$F$20,CONFIG!$F$19)))</f>
        <v/>
      </c>
      <c r="AG76" s="21" t="str">
        <f aca="false">IF(F76="","",TRIM(IF(N(M76)=0,"Sin ensayos. ","")&amp;IF(AND(N(M76)&gt;0,N(M76)&lt;CONFIG!$B$26),"Menos de "&amp;CONFIG!$B$26&amp;" probetas. ","")&amp;IF(N(T76)&gt;CONFIG!$B$25,"CV alto. ","")&amp;IF(AND(N(AD76)&gt;0,N(AD76)&gt;N(AF76)),"Absorción alta. ","")))</f>
        <v/>
      </c>
      <c r="AH76" s="22" t="str">
        <f aca="false">IF(AND(N(M76)&gt;0,OR(CONTROL!$C$4="TODAS",C76=CONTROL!$C$4),D76=CONTROL!$C$5),MAX($AH$4:AH75)+1,"")</f>
        <v/>
      </c>
      <c r="AI76" s="22" t="str">
        <f aca="false">IF(AH76="","",P76^2)</f>
        <v/>
      </c>
    </row>
    <row r="77" customFormat="false" ht="15" hidden="false" customHeight="false" outlineLevel="0" collapsed="false">
      <c r="A77" s="11" t="str">
        <f aca="false">IF(B77="","",ROW()-4)</f>
        <v/>
      </c>
      <c r="B77" s="12"/>
      <c r="C77" s="13"/>
      <c r="D77" s="13"/>
      <c r="E77" s="13"/>
      <c r="F77" s="14" t="str">
        <f aca="false">IF(OR(B77="",C77="",D77=""),"",IFERROR(INDEX(CONFIG!$E$5:$E$14,MATCH(D77,CONFIG!$D$5:$D$14,0)),"?")&amp;RIGHT("0"&amp;DAY(B77),2)&amp;RIGHT("0"&amp;MONTH(B77),2)&amp;RIGHT(YEAR(B77),2)&amp;C77&amp;IF(E77="","","-"&amp;E77))</f>
        <v/>
      </c>
      <c r="G77" s="13"/>
      <c r="H77" s="13"/>
      <c r="I77" s="13"/>
      <c r="J77" s="13"/>
      <c r="K77" s="13"/>
      <c r="L77" s="13"/>
      <c r="M77" s="11" t="str">
        <f aca="false">IF(F77="","",COUNTIFS(ENSAYOS!$C$5:$C$3004,F77,ENSAYOS!$Q$5:$Q$3004,"&gt;0"))</f>
        <v/>
      </c>
      <c r="N77" s="15" t="str">
        <f aca="false">IF(N(M77)=0,"",_xlfn.MINIFS(ENSAYOS!$G$5:$G$3004,ENSAYOS!$C$5:$C$3004,F77,ENSAYOS!$Q$5:$Q$3004,"&gt;0"))</f>
        <v/>
      </c>
      <c r="O77" s="15" t="str">
        <f aca="false">IF(N(M77)=0,"",_xlfn.MAXIFS(ENSAYOS!$G$5:$G$3004,ENSAYOS!$C$5:$C$3004,F77,ENSAYOS!$Q$5:$Q$3004,"&gt;0"))</f>
        <v/>
      </c>
      <c r="P77" s="16" t="str">
        <f aca="false">IF(N(M77)=0,"",AVERAGEIFS(ENSAYOS!$Q$5:$Q$3004,ENSAYOS!$C$5:$C$3004,F77,ENSAYOS!$Q$5:$Q$3004,"&gt;0"))</f>
        <v/>
      </c>
      <c r="Q77" s="16" t="str">
        <f aca="false">IF(N(M77)=0,"",_xlfn.MINIFS(ENSAYOS!$Q$5:$Q$3004,ENSAYOS!$C$5:$C$3004,F77,ENSAYOS!$Q$5:$Q$3004,"&gt;0"))</f>
        <v/>
      </c>
      <c r="R77" s="16" t="str">
        <f aca="false">IF(N(M77)=0,"",_xlfn.MAXIFS(ENSAYOS!$Q$5:$Q$3004,ENSAYOS!$C$5:$C$3004,F77,ENSAYOS!$Q$5:$Q$3004,"&gt;0"))</f>
        <v/>
      </c>
      <c r="S77" s="16" t="str">
        <f aca="false">IF(N(M77)&lt;2,"",SQRT(MAX(0,(SUMIFS(ENSAYOS!$X$5:$X$3004,ENSAYOS!$C$5:$C$3004,F77,ENSAYOS!$Q$5:$Q$3004,"&gt;0")-M77*P77^2)/(M77-1))))</f>
        <v/>
      </c>
      <c r="T77" s="17" t="str">
        <f aca="false">IF(S77="","",S77/P77)</f>
        <v/>
      </c>
      <c r="U77" s="16" t="str">
        <f aca="false">IF(N(M77)=0,"",IF(N77&gt;=CONFIG!$B$27,"",AVERAGEIFS(ENSAYOS!$Q$5:$Q$3004,ENSAYOS!$C$5:$C$3004,F77,ENSAYOS!$Q$5:$Q$3004,"&gt;0",ENSAYOS!$G$5:$G$3004,N77)))</f>
        <v/>
      </c>
      <c r="V77" s="16" t="str">
        <f aca="false">IF(N(M77)=0,"",IF(COUNTIFS(ENSAYOS!$C$5:$C$3004,F77,ENSAYOS!$Q$5:$Q$3004,"&gt;0",ENSAYOS!$G$5:$G$3004,"&gt;="&amp;CONFIG!$B$27)=0,"",AVERAGEIFS(ENSAYOS!$Q$5:$Q$3004,ENSAYOS!$C$5:$C$3004,F77,ENSAYOS!$Q$5:$Q$3004,"&gt;0",ENSAYOS!$G$5:$G$3004,"&gt;="&amp;CONFIG!$B$27)))</f>
        <v/>
      </c>
      <c r="W77" s="18" t="str">
        <f aca="false">IF(AND(U77&lt;&gt;"",V77&lt;&gt;""),U77/V77,"")</f>
        <v/>
      </c>
      <c r="X77" s="18" t="str">
        <f aca="false">IF(U77="","",INDEX('CURVA EDAD'!$E$5:$E$32,MIN(28,MAX(1,N77))))</f>
        <v/>
      </c>
      <c r="Y77" s="16" t="str">
        <f aca="false">IF(V77&lt;&gt;"",V77,IF(U77="","",U77/X77))</f>
        <v/>
      </c>
      <c r="Z77" s="16" t="str">
        <f aca="false">IF(V77&lt;&gt;"",_xlfn.MINIFS(ENSAYOS!$Q$5:$Q$3004,ENSAYOS!$C$5:$C$3004,F77,ENSAYOS!$Q$5:$Q$3004,"&gt;0",ENSAYOS!$G$5:$G$3004,"&gt;="&amp;CONFIG!$B$27),IF(U77="","",_xlfn.MINIFS(ENSAYOS!$Q$5:$Q$3004,ENSAYOS!$C$5:$C$3004,F77,ENSAYOS!$Q$5:$Q$3004,"&gt;0",ENSAYOS!$G$5:$G$3004,N77)/X77))</f>
        <v/>
      </c>
      <c r="AA77" s="16" t="str">
        <f aca="false">IF(D77="","",IFERROR(1/(1/INDEX(CONFIG!$J$5:$J$14,MATCH(D77,CONFIG!$D$5:$D$14,0))),""))</f>
        <v/>
      </c>
      <c r="AB77" s="16" t="str">
        <f aca="false">IF(D77="","",IFERROR(1/(1/INDEX(CONFIG!$K$5:$K$14,MATCH(D77,CONFIG!$D$5:$D$14,0))),""))</f>
        <v/>
      </c>
      <c r="AC77" s="19" t="str">
        <f aca="false">IF(N(M77)=0,"",IF(AA77="","Sin spec",IF(AND(Y77&gt;=AA77,OR(AB77="",Z77&gt;=AB77)),"CUMPLE","NO CUMPLE")&amp;IF(V77=""," (est.)","")))</f>
        <v/>
      </c>
      <c r="AD77" s="20" t="str">
        <f aca="false">IF(F77="","",IF(COUNTIFS(ABSORCION!$C$5:$C$1004,F77,ABSORCION!$I$5:$I$1004,"&gt;0")=0,"",AVERAGEIFS(ABSORCION!$I$5:$I$1004,ABSORCION!$C$5:$C$1004,F77,ABSORCION!$I$5:$I$1004,"&gt;0")))</f>
        <v/>
      </c>
      <c r="AE77" s="20" t="str">
        <f aca="false">IF(F77="","",IF(COUNTIFS(ABSORCION!$C$5:$C$1004,F77,ABSORCION!$I$5:$I$1004,"&gt;0")=0,"",AVERAGEIFS(ABSORCION!$K$5:$K$1004,ABSORCION!$C$5:$C$1004,F77,ABSORCION!$I$5:$I$1004,"&gt;0")))</f>
        <v/>
      </c>
      <c r="AF77" s="20" t="str">
        <f aca="false">IF(AE77="","",IF(AE77&gt;=CONFIG!$E$21,CONFIG!$F$21,IF(AE77&gt;=CONFIG!$E$20,CONFIG!$F$20,CONFIG!$F$19)))</f>
        <v/>
      </c>
      <c r="AG77" s="21" t="str">
        <f aca="false">IF(F77="","",TRIM(IF(N(M77)=0,"Sin ensayos. ","")&amp;IF(AND(N(M77)&gt;0,N(M77)&lt;CONFIG!$B$26),"Menos de "&amp;CONFIG!$B$26&amp;" probetas. ","")&amp;IF(N(T77)&gt;CONFIG!$B$25,"CV alto. ","")&amp;IF(AND(N(AD77)&gt;0,N(AD77)&gt;N(AF77)),"Absorción alta. ","")))</f>
        <v/>
      </c>
      <c r="AH77" s="22" t="str">
        <f aca="false">IF(AND(N(M77)&gt;0,OR(CONTROL!$C$4="TODAS",C77=CONTROL!$C$4),D77=CONTROL!$C$5),MAX($AH$4:AH76)+1,"")</f>
        <v/>
      </c>
      <c r="AI77" s="22" t="str">
        <f aca="false">IF(AH77="","",P77^2)</f>
        <v/>
      </c>
    </row>
    <row r="78" customFormat="false" ht="15" hidden="false" customHeight="false" outlineLevel="0" collapsed="false">
      <c r="A78" s="11" t="str">
        <f aca="false">IF(B78="","",ROW()-4)</f>
        <v/>
      </c>
      <c r="B78" s="12"/>
      <c r="C78" s="13"/>
      <c r="D78" s="13"/>
      <c r="E78" s="13"/>
      <c r="F78" s="14" t="str">
        <f aca="false">IF(OR(B78="",C78="",D78=""),"",IFERROR(INDEX(CONFIG!$E$5:$E$14,MATCH(D78,CONFIG!$D$5:$D$14,0)),"?")&amp;RIGHT("0"&amp;DAY(B78),2)&amp;RIGHT("0"&amp;MONTH(B78),2)&amp;RIGHT(YEAR(B78),2)&amp;C78&amp;IF(E78="","","-"&amp;E78))</f>
        <v/>
      </c>
      <c r="G78" s="13"/>
      <c r="H78" s="13"/>
      <c r="I78" s="13"/>
      <c r="J78" s="13"/>
      <c r="K78" s="13"/>
      <c r="L78" s="13"/>
      <c r="M78" s="11" t="str">
        <f aca="false">IF(F78="","",COUNTIFS(ENSAYOS!$C$5:$C$3004,F78,ENSAYOS!$Q$5:$Q$3004,"&gt;0"))</f>
        <v/>
      </c>
      <c r="N78" s="15" t="str">
        <f aca="false">IF(N(M78)=0,"",_xlfn.MINIFS(ENSAYOS!$G$5:$G$3004,ENSAYOS!$C$5:$C$3004,F78,ENSAYOS!$Q$5:$Q$3004,"&gt;0"))</f>
        <v/>
      </c>
      <c r="O78" s="15" t="str">
        <f aca="false">IF(N(M78)=0,"",_xlfn.MAXIFS(ENSAYOS!$G$5:$G$3004,ENSAYOS!$C$5:$C$3004,F78,ENSAYOS!$Q$5:$Q$3004,"&gt;0"))</f>
        <v/>
      </c>
      <c r="P78" s="16" t="str">
        <f aca="false">IF(N(M78)=0,"",AVERAGEIFS(ENSAYOS!$Q$5:$Q$3004,ENSAYOS!$C$5:$C$3004,F78,ENSAYOS!$Q$5:$Q$3004,"&gt;0"))</f>
        <v/>
      </c>
      <c r="Q78" s="16" t="str">
        <f aca="false">IF(N(M78)=0,"",_xlfn.MINIFS(ENSAYOS!$Q$5:$Q$3004,ENSAYOS!$C$5:$C$3004,F78,ENSAYOS!$Q$5:$Q$3004,"&gt;0"))</f>
        <v/>
      </c>
      <c r="R78" s="16" t="str">
        <f aca="false">IF(N(M78)=0,"",_xlfn.MAXIFS(ENSAYOS!$Q$5:$Q$3004,ENSAYOS!$C$5:$C$3004,F78,ENSAYOS!$Q$5:$Q$3004,"&gt;0"))</f>
        <v/>
      </c>
      <c r="S78" s="16" t="str">
        <f aca="false">IF(N(M78)&lt;2,"",SQRT(MAX(0,(SUMIFS(ENSAYOS!$X$5:$X$3004,ENSAYOS!$C$5:$C$3004,F78,ENSAYOS!$Q$5:$Q$3004,"&gt;0")-M78*P78^2)/(M78-1))))</f>
        <v/>
      </c>
      <c r="T78" s="17" t="str">
        <f aca="false">IF(S78="","",S78/P78)</f>
        <v/>
      </c>
      <c r="U78" s="16" t="str">
        <f aca="false">IF(N(M78)=0,"",IF(N78&gt;=CONFIG!$B$27,"",AVERAGEIFS(ENSAYOS!$Q$5:$Q$3004,ENSAYOS!$C$5:$C$3004,F78,ENSAYOS!$Q$5:$Q$3004,"&gt;0",ENSAYOS!$G$5:$G$3004,N78)))</f>
        <v/>
      </c>
      <c r="V78" s="16" t="str">
        <f aca="false">IF(N(M78)=0,"",IF(COUNTIFS(ENSAYOS!$C$5:$C$3004,F78,ENSAYOS!$Q$5:$Q$3004,"&gt;0",ENSAYOS!$G$5:$G$3004,"&gt;="&amp;CONFIG!$B$27)=0,"",AVERAGEIFS(ENSAYOS!$Q$5:$Q$3004,ENSAYOS!$C$5:$C$3004,F78,ENSAYOS!$Q$5:$Q$3004,"&gt;0",ENSAYOS!$G$5:$G$3004,"&gt;="&amp;CONFIG!$B$27)))</f>
        <v/>
      </c>
      <c r="W78" s="18" t="str">
        <f aca="false">IF(AND(U78&lt;&gt;"",V78&lt;&gt;""),U78/V78,"")</f>
        <v/>
      </c>
      <c r="X78" s="18" t="str">
        <f aca="false">IF(U78="","",INDEX('CURVA EDAD'!$E$5:$E$32,MIN(28,MAX(1,N78))))</f>
        <v/>
      </c>
      <c r="Y78" s="16" t="str">
        <f aca="false">IF(V78&lt;&gt;"",V78,IF(U78="","",U78/X78))</f>
        <v/>
      </c>
      <c r="Z78" s="16" t="str">
        <f aca="false">IF(V78&lt;&gt;"",_xlfn.MINIFS(ENSAYOS!$Q$5:$Q$3004,ENSAYOS!$C$5:$C$3004,F78,ENSAYOS!$Q$5:$Q$3004,"&gt;0",ENSAYOS!$G$5:$G$3004,"&gt;="&amp;CONFIG!$B$27),IF(U78="","",_xlfn.MINIFS(ENSAYOS!$Q$5:$Q$3004,ENSAYOS!$C$5:$C$3004,F78,ENSAYOS!$Q$5:$Q$3004,"&gt;0",ENSAYOS!$G$5:$G$3004,N78)/X78))</f>
        <v/>
      </c>
      <c r="AA78" s="16" t="str">
        <f aca="false">IF(D78="","",IFERROR(1/(1/INDEX(CONFIG!$J$5:$J$14,MATCH(D78,CONFIG!$D$5:$D$14,0))),""))</f>
        <v/>
      </c>
      <c r="AB78" s="16" t="str">
        <f aca="false">IF(D78="","",IFERROR(1/(1/INDEX(CONFIG!$K$5:$K$14,MATCH(D78,CONFIG!$D$5:$D$14,0))),""))</f>
        <v/>
      </c>
      <c r="AC78" s="19" t="str">
        <f aca="false">IF(N(M78)=0,"",IF(AA78="","Sin spec",IF(AND(Y78&gt;=AA78,OR(AB78="",Z78&gt;=AB78)),"CUMPLE","NO CUMPLE")&amp;IF(V78=""," (est.)","")))</f>
        <v/>
      </c>
      <c r="AD78" s="20" t="str">
        <f aca="false">IF(F78="","",IF(COUNTIFS(ABSORCION!$C$5:$C$1004,F78,ABSORCION!$I$5:$I$1004,"&gt;0")=0,"",AVERAGEIFS(ABSORCION!$I$5:$I$1004,ABSORCION!$C$5:$C$1004,F78,ABSORCION!$I$5:$I$1004,"&gt;0")))</f>
        <v/>
      </c>
      <c r="AE78" s="20" t="str">
        <f aca="false">IF(F78="","",IF(COUNTIFS(ABSORCION!$C$5:$C$1004,F78,ABSORCION!$I$5:$I$1004,"&gt;0")=0,"",AVERAGEIFS(ABSORCION!$K$5:$K$1004,ABSORCION!$C$5:$C$1004,F78,ABSORCION!$I$5:$I$1004,"&gt;0")))</f>
        <v/>
      </c>
      <c r="AF78" s="20" t="str">
        <f aca="false">IF(AE78="","",IF(AE78&gt;=CONFIG!$E$21,CONFIG!$F$21,IF(AE78&gt;=CONFIG!$E$20,CONFIG!$F$20,CONFIG!$F$19)))</f>
        <v/>
      </c>
      <c r="AG78" s="21" t="str">
        <f aca="false">IF(F78="","",TRIM(IF(N(M78)=0,"Sin ensayos. ","")&amp;IF(AND(N(M78)&gt;0,N(M78)&lt;CONFIG!$B$26),"Menos de "&amp;CONFIG!$B$26&amp;" probetas. ","")&amp;IF(N(T78)&gt;CONFIG!$B$25,"CV alto. ","")&amp;IF(AND(N(AD78)&gt;0,N(AD78)&gt;N(AF78)),"Absorción alta. ","")))</f>
        <v/>
      </c>
      <c r="AH78" s="22" t="str">
        <f aca="false">IF(AND(N(M78)&gt;0,OR(CONTROL!$C$4="TODAS",C78=CONTROL!$C$4),D78=CONTROL!$C$5),MAX($AH$4:AH77)+1,"")</f>
        <v/>
      </c>
      <c r="AI78" s="22" t="str">
        <f aca="false">IF(AH78="","",P78^2)</f>
        <v/>
      </c>
    </row>
    <row r="79" customFormat="false" ht="15" hidden="false" customHeight="false" outlineLevel="0" collapsed="false">
      <c r="A79" s="11" t="str">
        <f aca="false">IF(B79="","",ROW()-4)</f>
        <v/>
      </c>
      <c r="B79" s="12"/>
      <c r="C79" s="13"/>
      <c r="D79" s="13"/>
      <c r="E79" s="13"/>
      <c r="F79" s="14" t="str">
        <f aca="false">IF(OR(B79="",C79="",D79=""),"",IFERROR(INDEX(CONFIG!$E$5:$E$14,MATCH(D79,CONFIG!$D$5:$D$14,0)),"?")&amp;RIGHT("0"&amp;DAY(B79),2)&amp;RIGHT("0"&amp;MONTH(B79),2)&amp;RIGHT(YEAR(B79),2)&amp;C79&amp;IF(E79="","","-"&amp;E79))</f>
        <v/>
      </c>
      <c r="G79" s="13"/>
      <c r="H79" s="13"/>
      <c r="I79" s="13"/>
      <c r="J79" s="13"/>
      <c r="K79" s="13"/>
      <c r="L79" s="13"/>
      <c r="M79" s="11" t="str">
        <f aca="false">IF(F79="","",COUNTIFS(ENSAYOS!$C$5:$C$3004,F79,ENSAYOS!$Q$5:$Q$3004,"&gt;0"))</f>
        <v/>
      </c>
      <c r="N79" s="15" t="str">
        <f aca="false">IF(N(M79)=0,"",_xlfn.MINIFS(ENSAYOS!$G$5:$G$3004,ENSAYOS!$C$5:$C$3004,F79,ENSAYOS!$Q$5:$Q$3004,"&gt;0"))</f>
        <v/>
      </c>
      <c r="O79" s="15" t="str">
        <f aca="false">IF(N(M79)=0,"",_xlfn.MAXIFS(ENSAYOS!$G$5:$G$3004,ENSAYOS!$C$5:$C$3004,F79,ENSAYOS!$Q$5:$Q$3004,"&gt;0"))</f>
        <v/>
      </c>
      <c r="P79" s="16" t="str">
        <f aca="false">IF(N(M79)=0,"",AVERAGEIFS(ENSAYOS!$Q$5:$Q$3004,ENSAYOS!$C$5:$C$3004,F79,ENSAYOS!$Q$5:$Q$3004,"&gt;0"))</f>
        <v/>
      </c>
      <c r="Q79" s="16" t="str">
        <f aca="false">IF(N(M79)=0,"",_xlfn.MINIFS(ENSAYOS!$Q$5:$Q$3004,ENSAYOS!$C$5:$C$3004,F79,ENSAYOS!$Q$5:$Q$3004,"&gt;0"))</f>
        <v/>
      </c>
      <c r="R79" s="16" t="str">
        <f aca="false">IF(N(M79)=0,"",_xlfn.MAXIFS(ENSAYOS!$Q$5:$Q$3004,ENSAYOS!$C$5:$C$3004,F79,ENSAYOS!$Q$5:$Q$3004,"&gt;0"))</f>
        <v/>
      </c>
      <c r="S79" s="16" t="str">
        <f aca="false">IF(N(M79)&lt;2,"",SQRT(MAX(0,(SUMIFS(ENSAYOS!$X$5:$X$3004,ENSAYOS!$C$5:$C$3004,F79,ENSAYOS!$Q$5:$Q$3004,"&gt;0")-M79*P79^2)/(M79-1))))</f>
        <v/>
      </c>
      <c r="T79" s="17" t="str">
        <f aca="false">IF(S79="","",S79/P79)</f>
        <v/>
      </c>
      <c r="U79" s="16" t="str">
        <f aca="false">IF(N(M79)=0,"",IF(N79&gt;=CONFIG!$B$27,"",AVERAGEIFS(ENSAYOS!$Q$5:$Q$3004,ENSAYOS!$C$5:$C$3004,F79,ENSAYOS!$Q$5:$Q$3004,"&gt;0",ENSAYOS!$G$5:$G$3004,N79)))</f>
        <v/>
      </c>
      <c r="V79" s="16" t="str">
        <f aca="false">IF(N(M79)=0,"",IF(COUNTIFS(ENSAYOS!$C$5:$C$3004,F79,ENSAYOS!$Q$5:$Q$3004,"&gt;0",ENSAYOS!$G$5:$G$3004,"&gt;="&amp;CONFIG!$B$27)=0,"",AVERAGEIFS(ENSAYOS!$Q$5:$Q$3004,ENSAYOS!$C$5:$C$3004,F79,ENSAYOS!$Q$5:$Q$3004,"&gt;0",ENSAYOS!$G$5:$G$3004,"&gt;="&amp;CONFIG!$B$27)))</f>
        <v/>
      </c>
      <c r="W79" s="18" t="str">
        <f aca="false">IF(AND(U79&lt;&gt;"",V79&lt;&gt;""),U79/V79,"")</f>
        <v/>
      </c>
      <c r="X79" s="18" t="str">
        <f aca="false">IF(U79="","",INDEX('CURVA EDAD'!$E$5:$E$32,MIN(28,MAX(1,N79))))</f>
        <v/>
      </c>
      <c r="Y79" s="16" t="str">
        <f aca="false">IF(V79&lt;&gt;"",V79,IF(U79="","",U79/X79))</f>
        <v/>
      </c>
      <c r="Z79" s="16" t="str">
        <f aca="false">IF(V79&lt;&gt;"",_xlfn.MINIFS(ENSAYOS!$Q$5:$Q$3004,ENSAYOS!$C$5:$C$3004,F79,ENSAYOS!$Q$5:$Q$3004,"&gt;0",ENSAYOS!$G$5:$G$3004,"&gt;="&amp;CONFIG!$B$27),IF(U79="","",_xlfn.MINIFS(ENSAYOS!$Q$5:$Q$3004,ENSAYOS!$C$5:$C$3004,F79,ENSAYOS!$Q$5:$Q$3004,"&gt;0",ENSAYOS!$G$5:$G$3004,N79)/X79))</f>
        <v/>
      </c>
      <c r="AA79" s="16" t="str">
        <f aca="false">IF(D79="","",IFERROR(1/(1/INDEX(CONFIG!$J$5:$J$14,MATCH(D79,CONFIG!$D$5:$D$14,0))),""))</f>
        <v/>
      </c>
      <c r="AB79" s="16" t="str">
        <f aca="false">IF(D79="","",IFERROR(1/(1/INDEX(CONFIG!$K$5:$K$14,MATCH(D79,CONFIG!$D$5:$D$14,0))),""))</f>
        <v/>
      </c>
      <c r="AC79" s="19" t="str">
        <f aca="false">IF(N(M79)=0,"",IF(AA79="","Sin spec",IF(AND(Y79&gt;=AA79,OR(AB79="",Z79&gt;=AB79)),"CUMPLE","NO CUMPLE")&amp;IF(V79=""," (est.)","")))</f>
        <v/>
      </c>
      <c r="AD79" s="20" t="str">
        <f aca="false">IF(F79="","",IF(COUNTIFS(ABSORCION!$C$5:$C$1004,F79,ABSORCION!$I$5:$I$1004,"&gt;0")=0,"",AVERAGEIFS(ABSORCION!$I$5:$I$1004,ABSORCION!$C$5:$C$1004,F79,ABSORCION!$I$5:$I$1004,"&gt;0")))</f>
        <v/>
      </c>
      <c r="AE79" s="20" t="str">
        <f aca="false">IF(F79="","",IF(COUNTIFS(ABSORCION!$C$5:$C$1004,F79,ABSORCION!$I$5:$I$1004,"&gt;0")=0,"",AVERAGEIFS(ABSORCION!$K$5:$K$1004,ABSORCION!$C$5:$C$1004,F79,ABSORCION!$I$5:$I$1004,"&gt;0")))</f>
        <v/>
      </c>
      <c r="AF79" s="20" t="str">
        <f aca="false">IF(AE79="","",IF(AE79&gt;=CONFIG!$E$21,CONFIG!$F$21,IF(AE79&gt;=CONFIG!$E$20,CONFIG!$F$20,CONFIG!$F$19)))</f>
        <v/>
      </c>
      <c r="AG79" s="21" t="str">
        <f aca="false">IF(F79="","",TRIM(IF(N(M79)=0,"Sin ensayos. ","")&amp;IF(AND(N(M79)&gt;0,N(M79)&lt;CONFIG!$B$26),"Menos de "&amp;CONFIG!$B$26&amp;" probetas. ","")&amp;IF(N(T79)&gt;CONFIG!$B$25,"CV alto. ","")&amp;IF(AND(N(AD79)&gt;0,N(AD79)&gt;N(AF79)),"Absorción alta. ","")))</f>
        <v/>
      </c>
      <c r="AH79" s="22" t="str">
        <f aca="false">IF(AND(N(M79)&gt;0,OR(CONTROL!$C$4="TODAS",C79=CONTROL!$C$4),D79=CONTROL!$C$5),MAX($AH$4:AH78)+1,"")</f>
        <v/>
      </c>
      <c r="AI79" s="22" t="str">
        <f aca="false">IF(AH79="","",P79^2)</f>
        <v/>
      </c>
    </row>
    <row r="80" customFormat="false" ht="15" hidden="false" customHeight="false" outlineLevel="0" collapsed="false">
      <c r="A80" s="11" t="str">
        <f aca="false">IF(B80="","",ROW()-4)</f>
        <v/>
      </c>
      <c r="B80" s="12"/>
      <c r="C80" s="13"/>
      <c r="D80" s="13"/>
      <c r="E80" s="13"/>
      <c r="F80" s="14" t="str">
        <f aca="false">IF(OR(B80="",C80="",D80=""),"",IFERROR(INDEX(CONFIG!$E$5:$E$14,MATCH(D80,CONFIG!$D$5:$D$14,0)),"?")&amp;RIGHT("0"&amp;DAY(B80),2)&amp;RIGHT("0"&amp;MONTH(B80),2)&amp;RIGHT(YEAR(B80),2)&amp;C80&amp;IF(E80="","","-"&amp;E80))</f>
        <v/>
      </c>
      <c r="G80" s="13"/>
      <c r="H80" s="13"/>
      <c r="I80" s="13"/>
      <c r="J80" s="13"/>
      <c r="K80" s="13"/>
      <c r="L80" s="13"/>
      <c r="M80" s="11" t="str">
        <f aca="false">IF(F80="","",COUNTIFS(ENSAYOS!$C$5:$C$3004,F80,ENSAYOS!$Q$5:$Q$3004,"&gt;0"))</f>
        <v/>
      </c>
      <c r="N80" s="15" t="str">
        <f aca="false">IF(N(M80)=0,"",_xlfn.MINIFS(ENSAYOS!$G$5:$G$3004,ENSAYOS!$C$5:$C$3004,F80,ENSAYOS!$Q$5:$Q$3004,"&gt;0"))</f>
        <v/>
      </c>
      <c r="O80" s="15" t="str">
        <f aca="false">IF(N(M80)=0,"",_xlfn.MAXIFS(ENSAYOS!$G$5:$G$3004,ENSAYOS!$C$5:$C$3004,F80,ENSAYOS!$Q$5:$Q$3004,"&gt;0"))</f>
        <v/>
      </c>
      <c r="P80" s="16" t="str">
        <f aca="false">IF(N(M80)=0,"",AVERAGEIFS(ENSAYOS!$Q$5:$Q$3004,ENSAYOS!$C$5:$C$3004,F80,ENSAYOS!$Q$5:$Q$3004,"&gt;0"))</f>
        <v/>
      </c>
      <c r="Q80" s="16" t="str">
        <f aca="false">IF(N(M80)=0,"",_xlfn.MINIFS(ENSAYOS!$Q$5:$Q$3004,ENSAYOS!$C$5:$C$3004,F80,ENSAYOS!$Q$5:$Q$3004,"&gt;0"))</f>
        <v/>
      </c>
      <c r="R80" s="16" t="str">
        <f aca="false">IF(N(M80)=0,"",_xlfn.MAXIFS(ENSAYOS!$Q$5:$Q$3004,ENSAYOS!$C$5:$C$3004,F80,ENSAYOS!$Q$5:$Q$3004,"&gt;0"))</f>
        <v/>
      </c>
      <c r="S80" s="16" t="str">
        <f aca="false">IF(N(M80)&lt;2,"",SQRT(MAX(0,(SUMIFS(ENSAYOS!$X$5:$X$3004,ENSAYOS!$C$5:$C$3004,F80,ENSAYOS!$Q$5:$Q$3004,"&gt;0")-M80*P80^2)/(M80-1))))</f>
        <v/>
      </c>
      <c r="T80" s="17" t="str">
        <f aca="false">IF(S80="","",S80/P80)</f>
        <v/>
      </c>
      <c r="U80" s="16" t="str">
        <f aca="false">IF(N(M80)=0,"",IF(N80&gt;=CONFIG!$B$27,"",AVERAGEIFS(ENSAYOS!$Q$5:$Q$3004,ENSAYOS!$C$5:$C$3004,F80,ENSAYOS!$Q$5:$Q$3004,"&gt;0",ENSAYOS!$G$5:$G$3004,N80)))</f>
        <v/>
      </c>
      <c r="V80" s="16" t="str">
        <f aca="false">IF(N(M80)=0,"",IF(COUNTIFS(ENSAYOS!$C$5:$C$3004,F80,ENSAYOS!$Q$5:$Q$3004,"&gt;0",ENSAYOS!$G$5:$G$3004,"&gt;="&amp;CONFIG!$B$27)=0,"",AVERAGEIFS(ENSAYOS!$Q$5:$Q$3004,ENSAYOS!$C$5:$C$3004,F80,ENSAYOS!$Q$5:$Q$3004,"&gt;0",ENSAYOS!$G$5:$G$3004,"&gt;="&amp;CONFIG!$B$27)))</f>
        <v/>
      </c>
      <c r="W80" s="18" t="str">
        <f aca="false">IF(AND(U80&lt;&gt;"",V80&lt;&gt;""),U80/V80,"")</f>
        <v/>
      </c>
      <c r="X80" s="18" t="str">
        <f aca="false">IF(U80="","",INDEX('CURVA EDAD'!$E$5:$E$32,MIN(28,MAX(1,N80))))</f>
        <v/>
      </c>
      <c r="Y80" s="16" t="str">
        <f aca="false">IF(V80&lt;&gt;"",V80,IF(U80="","",U80/X80))</f>
        <v/>
      </c>
      <c r="Z80" s="16" t="str">
        <f aca="false">IF(V80&lt;&gt;"",_xlfn.MINIFS(ENSAYOS!$Q$5:$Q$3004,ENSAYOS!$C$5:$C$3004,F80,ENSAYOS!$Q$5:$Q$3004,"&gt;0",ENSAYOS!$G$5:$G$3004,"&gt;="&amp;CONFIG!$B$27),IF(U80="","",_xlfn.MINIFS(ENSAYOS!$Q$5:$Q$3004,ENSAYOS!$C$5:$C$3004,F80,ENSAYOS!$Q$5:$Q$3004,"&gt;0",ENSAYOS!$G$5:$G$3004,N80)/X80))</f>
        <v/>
      </c>
      <c r="AA80" s="16" t="str">
        <f aca="false">IF(D80="","",IFERROR(1/(1/INDEX(CONFIG!$J$5:$J$14,MATCH(D80,CONFIG!$D$5:$D$14,0))),""))</f>
        <v/>
      </c>
      <c r="AB80" s="16" t="str">
        <f aca="false">IF(D80="","",IFERROR(1/(1/INDEX(CONFIG!$K$5:$K$14,MATCH(D80,CONFIG!$D$5:$D$14,0))),""))</f>
        <v/>
      </c>
      <c r="AC80" s="19" t="str">
        <f aca="false">IF(N(M80)=0,"",IF(AA80="","Sin spec",IF(AND(Y80&gt;=AA80,OR(AB80="",Z80&gt;=AB80)),"CUMPLE","NO CUMPLE")&amp;IF(V80=""," (est.)","")))</f>
        <v/>
      </c>
      <c r="AD80" s="20" t="str">
        <f aca="false">IF(F80="","",IF(COUNTIFS(ABSORCION!$C$5:$C$1004,F80,ABSORCION!$I$5:$I$1004,"&gt;0")=0,"",AVERAGEIFS(ABSORCION!$I$5:$I$1004,ABSORCION!$C$5:$C$1004,F80,ABSORCION!$I$5:$I$1004,"&gt;0")))</f>
        <v/>
      </c>
      <c r="AE80" s="20" t="str">
        <f aca="false">IF(F80="","",IF(COUNTIFS(ABSORCION!$C$5:$C$1004,F80,ABSORCION!$I$5:$I$1004,"&gt;0")=0,"",AVERAGEIFS(ABSORCION!$K$5:$K$1004,ABSORCION!$C$5:$C$1004,F80,ABSORCION!$I$5:$I$1004,"&gt;0")))</f>
        <v/>
      </c>
      <c r="AF80" s="20" t="str">
        <f aca="false">IF(AE80="","",IF(AE80&gt;=CONFIG!$E$21,CONFIG!$F$21,IF(AE80&gt;=CONFIG!$E$20,CONFIG!$F$20,CONFIG!$F$19)))</f>
        <v/>
      </c>
      <c r="AG80" s="21" t="str">
        <f aca="false">IF(F80="","",TRIM(IF(N(M80)=0,"Sin ensayos. ","")&amp;IF(AND(N(M80)&gt;0,N(M80)&lt;CONFIG!$B$26),"Menos de "&amp;CONFIG!$B$26&amp;" probetas. ","")&amp;IF(N(T80)&gt;CONFIG!$B$25,"CV alto. ","")&amp;IF(AND(N(AD80)&gt;0,N(AD80)&gt;N(AF80)),"Absorción alta. ","")))</f>
        <v/>
      </c>
      <c r="AH80" s="22" t="str">
        <f aca="false">IF(AND(N(M80)&gt;0,OR(CONTROL!$C$4="TODAS",C80=CONTROL!$C$4),D80=CONTROL!$C$5),MAX($AH$4:AH79)+1,"")</f>
        <v/>
      </c>
      <c r="AI80" s="22" t="str">
        <f aca="false">IF(AH80="","",P80^2)</f>
        <v/>
      </c>
    </row>
    <row r="81" customFormat="false" ht="15" hidden="false" customHeight="false" outlineLevel="0" collapsed="false">
      <c r="A81" s="11" t="str">
        <f aca="false">IF(B81="","",ROW()-4)</f>
        <v/>
      </c>
      <c r="B81" s="12"/>
      <c r="C81" s="13"/>
      <c r="D81" s="13"/>
      <c r="E81" s="13"/>
      <c r="F81" s="14" t="str">
        <f aca="false">IF(OR(B81="",C81="",D81=""),"",IFERROR(INDEX(CONFIG!$E$5:$E$14,MATCH(D81,CONFIG!$D$5:$D$14,0)),"?")&amp;RIGHT("0"&amp;DAY(B81),2)&amp;RIGHT("0"&amp;MONTH(B81),2)&amp;RIGHT(YEAR(B81),2)&amp;C81&amp;IF(E81="","","-"&amp;E81))</f>
        <v/>
      </c>
      <c r="G81" s="13"/>
      <c r="H81" s="13"/>
      <c r="I81" s="13"/>
      <c r="J81" s="13"/>
      <c r="K81" s="13"/>
      <c r="L81" s="13"/>
      <c r="M81" s="11" t="str">
        <f aca="false">IF(F81="","",COUNTIFS(ENSAYOS!$C$5:$C$3004,F81,ENSAYOS!$Q$5:$Q$3004,"&gt;0"))</f>
        <v/>
      </c>
      <c r="N81" s="15" t="str">
        <f aca="false">IF(N(M81)=0,"",_xlfn.MINIFS(ENSAYOS!$G$5:$G$3004,ENSAYOS!$C$5:$C$3004,F81,ENSAYOS!$Q$5:$Q$3004,"&gt;0"))</f>
        <v/>
      </c>
      <c r="O81" s="15" t="str">
        <f aca="false">IF(N(M81)=0,"",_xlfn.MAXIFS(ENSAYOS!$G$5:$G$3004,ENSAYOS!$C$5:$C$3004,F81,ENSAYOS!$Q$5:$Q$3004,"&gt;0"))</f>
        <v/>
      </c>
      <c r="P81" s="16" t="str">
        <f aca="false">IF(N(M81)=0,"",AVERAGEIFS(ENSAYOS!$Q$5:$Q$3004,ENSAYOS!$C$5:$C$3004,F81,ENSAYOS!$Q$5:$Q$3004,"&gt;0"))</f>
        <v/>
      </c>
      <c r="Q81" s="16" t="str">
        <f aca="false">IF(N(M81)=0,"",_xlfn.MINIFS(ENSAYOS!$Q$5:$Q$3004,ENSAYOS!$C$5:$C$3004,F81,ENSAYOS!$Q$5:$Q$3004,"&gt;0"))</f>
        <v/>
      </c>
      <c r="R81" s="16" t="str">
        <f aca="false">IF(N(M81)=0,"",_xlfn.MAXIFS(ENSAYOS!$Q$5:$Q$3004,ENSAYOS!$C$5:$C$3004,F81,ENSAYOS!$Q$5:$Q$3004,"&gt;0"))</f>
        <v/>
      </c>
      <c r="S81" s="16" t="str">
        <f aca="false">IF(N(M81)&lt;2,"",SQRT(MAX(0,(SUMIFS(ENSAYOS!$X$5:$X$3004,ENSAYOS!$C$5:$C$3004,F81,ENSAYOS!$Q$5:$Q$3004,"&gt;0")-M81*P81^2)/(M81-1))))</f>
        <v/>
      </c>
      <c r="T81" s="17" t="str">
        <f aca="false">IF(S81="","",S81/P81)</f>
        <v/>
      </c>
      <c r="U81" s="16" t="str">
        <f aca="false">IF(N(M81)=0,"",IF(N81&gt;=CONFIG!$B$27,"",AVERAGEIFS(ENSAYOS!$Q$5:$Q$3004,ENSAYOS!$C$5:$C$3004,F81,ENSAYOS!$Q$5:$Q$3004,"&gt;0",ENSAYOS!$G$5:$G$3004,N81)))</f>
        <v/>
      </c>
      <c r="V81" s="16" t="str">
        <f aca="false">IF(N(M81)=0,"",IF(COUNTIFS(ENSAYOS!$C$5:$C$3004,F81,ENSAYOS!$Q$5:$Q$3004,"&gt;0",ENSAYOS!$G$5:$G$3004,"&gt;="&amp;CONFIG!$B$27)=0,"",AVERAGEIFS(ENSAYOS!$Q$5:$Q$3004,ENSAYOS!$C$5:$C$3004,F81,ENSAYOS!$Q$5:$Q$3004,"&gt;0",ENSAYOS!$G$5:$G$3004,"&gt;="&amp;CONFIG!$B$27)))</f>
        <v/>
      </c>
      <c r="W81" s="18" t="str">
        <f aca="false">IF(AND(U81&lt;&gt;"",V81&lt;&gt;""),U81/V81,"")</f>
        <v/>
      </c>
      <c r="X81" s="18" t="str">
        <f aca="false">IF(U81="","",INDEX('CURVA EDAD'!$E$5:$E$32,MIN(28,MAX(1,N81))))</f>
        <v/>
      </c>
      <c r="Y81" s="16" t="str">
        <f aca="false">IF(V81&lt;&gt;"",V81,IF(U81="","",U81/X81))</f>
        <v/>
      </c>
      <c r="Z81" s="16" t="str">
        <f aca="false">IF(V81&lt;&gt;"",_xlfn.MINIFS(ENSAYOS!$Q$5:$Q$3004,ENSAYOS!$C$5:$C$3004,F81,ENSAYOS!$Q$5:$Q$3004,"&gt;0",ENSAYOS!$G$5:$G$3004,"&gt;="&amp;CONFIG!$B$27),IF(U81="","",_xlfn.MINIFS(ENSAYOS!$Q$5:$Q$3004,ENSAYOS!$C$5:$C$3004,F81,ENSAYOS!$Q$5:$Q$3004,"&gt;0",ENSAYOS!$G$5:$G$3004,N81)/X81))</f>
        <v/>
      </c>
      <c r="AA81" s="16" t="str">
        <f aca="false">IF(D81="","",IFERROR(1/(1/INDEX(CONFIG!$J$5:$J$14,MATCH(D81,CONFIG!$D$5:$D$14,0))),""))</f>
        <v/>
      </c>
      <c r="AB81" s="16" t="str">
        <f aca="false">IF(D81="","",IFERROR(1/(1/INDEX(CONFIG!$K$5:$K$14,MATCH(D81,CONFIG!$D$5:$D$14,0))),""))</f>
        <v/>
      </c>
      <c r="AC81" s="19" t="str">
        <f aca="false">IF(N(M81)=0,"",IF(AA81="","Sin spec",IF(AND(Y81&gt;=AA81,OR(AB81="",Z81&gt;=AB81)),"CUMPLE","NO CUMPLE")&amp;IF(V81=""," (est.)","")))</f>
        <v/>
      </c>
      <c r="AD81" s="20" t="str">
        <f aca="false">IF(F81="","",IF(COUNTIFS(ABSORCION!$C$5:$C$1004,F81,ABSORCION!$I$5:$I$1004,"&gt;0")=0,"",AVERAGEIFS(ABSORCION!$I$5:$I$1004,ABSORCION!$C$5:$C$1004,F81,ABSORCION!$I$5:$I$1004,"&gt;0")))</f>
        <v/>
      </c>
      <c r="AE81" s="20" t="str">
        <f aca="false">IF(F81="","",IF(COUNTIFS(ABSORCION!$C$5:$C$1004,F81,ABSORCION!$I$5:$I$1004,"&gt;0")=0,"",AVERAGEIFS(ABSORCION!$K$5:$K$1004,ABSORCION!$C$5:$C$1004,F81,ABSORCION!$I$5:$I$1004,"&gt;0")))</f>
        <v/>
      </c>
      <c r="AF81" s="20" t="str">
        <f aca="false">IF(AE81="","",IF(AE81&gt;=CONFIG!$E$21,CONFIG!$F$21,IF(AE81&gt;=CONFIG!$E$20,CONFIG!$F$20,CONFIG!$F$19)))</f>
        <v/>
      </c>
      <c r="AG81" s="21" t="str">
        <f aca="false">IF(F81="","",TRIM(IF(N(M81)=0,"Sin ensayos. ","")&amp;IF(AND(N(M81)&gt;0,N(M81)&lt;CONFIG!$B$26),"Menos de "&amp;CONFIG!$B$26&amp;" probetas. ","")&amp;IF(N(T81)&gt;CONFIG!$B$25,"CV alto. ","")&amp;IF(AND(N(AD81)&gt;0,N(AD81)&gt;N(AF81)),"Absorción alta. ","")))</f>
        <v/>
      </c>
      <c r="AH81" s="22" t="str">
        <f aca="false">IF(AND(N(M81)&gt;0,OR(CONTROL!$C$4="TODAS",C81=CONTROL!$C$4),D81=CONTROL!$C$5),MAX($AH$4:AH80)+1,"")</f>
        <v/>
      </c>
      <c r="AI81" s="22" t="str">
        <f aca="false">IF(AH81="","",P81^2)</f>
        <v/>
      </c>
    </row>
    <row r="82" customFormat="false" ht="15" hidden="false" customHeight="false" outlineLevel="0" collapsed="false">
      <c r="A82" s="11" t="str">
        <f aca="false">IF(B82="","",ROW()-4)</f>
        <v/>
      </c>
      <c r="B82" s="12"/>
      <c r="C82" s="13"/>
      <c r="D82" s="13"/>
      <c r="E82" s="13"/>
      <c r="F82" s="14" t="str">
        <f aca="false">IF(OR(B82="",C82="",D82=""),"",IFERROR(INDEX(CONFIG!$E$5:$E$14,MATCH(D82,CONFIG!$D$5:$D$14,0)),"?")&amp;RIGHT("0"&amp;DAY(B82),2)&amp;RIGHT("0"&amp;MONTH(B82),2)&amp;RIGHT(YEAR(B82),2)&amp;C82&amp;IF(E82="","","-"&amp;E82))</f>
        <v/>
      </c>
      <c r="G82" s="13"/>
      <c r="H82" s="13"/>
      <c r="I82" s="13"/>
      <c r="J82" s="13"/>
      <c r="K82" s="13"/>
      <c r="L82" s="13"/>
      <c r="M82" s="11" t="str">
        <f aca="false">IF(F82="","",COUNTIFS(ENSAYOS!$C$5:$C$3004,F82,ENSAYOS!$Q$5:$Q$3004,"&gt;0"))</f>
        <v/>
      </c>
      <c r="N82" s="15" t="str">
        <f aca="false">IF(N(M82)=0,"",_xlfn.MINIFS(ENSAYOS!$G$5:$G$3004,ENSAYOS!$C$5:$C$3004,F82,ENSAYOS!$Q$5:$Q$3004,"&gt;0"))</f>
        <v/>
      </c>
      <c r="O82" s="15" t="str">
        <f aca="false">IF(N(M82)=0,"",_xlfn.MAXIFS(ENSAYOS!$G$5:$G$3004,ENSAYOS!$C$5:$C$3004,F82,ENSAYOS!$Q$5:$Q$3004,"&gt;0"))</f>
        <v/>
      </c>
      <c r="P82" s="16" t="str">
        <f aca="false">IF(N(M82)=0,"",AVERAGEIFS(ENSAYOS!$Q$5:$Q$3004,ENSAYOS!$C$5:$C$3004,F82,ENSAYOS!$Q$5:$Q$3004,"&gt;0"))</f>
        <v/>
      </c>
      <c r="Q82" s="16" t="str">
        <f aca="false">IF(N(M82)=0,"",_xlfn.MINIFS(ENSAYOS!$Q$5:$Q$3004,ENSAYOS!$C$5:$C$3004,F82,ENSAYOS!$Q$5:$Q$3004,"&gt;0"))</f>
        <v/>
      </c>
      <c r="R82" s="16" t="str">
        <f aca="false">IF(N(M82)=0,"",_xlfn.MAXIFS(ENSAYOS!$Q$5:$Q$3004,ENSAYOS!$C$5:$C$3004,F82,ENSAYOS!$Q$5:$Q$3004,"&gt;0"))</f>
        <v/>
      </c>
      <c r="S82" s="16" t="str">
        <f aca="false">IF(N(M82)&lt;2,"",SQRT(MAX(0,(SUMIFS(ENSAYOS!$X$5:$X$3004,ENSAYOS!$C$5:$C$3004,F82,ENSAYOS!$Q$5:$Q$3004,"&gt;0")-M82*P82^2)/(M82-1))))</f>
        <v/>
      </c>
      <c r="T82" s="17" t="str">
        <f aca="false">IF(S82="","",S82/P82)</f>
        <v/>
      </c>
      <c r="U82" s="16" t="str">
        <f aca="false">IF(N(M82)=0,"",IF(N82&gt;=CONFIG!$B$27,"",AVERAGEIFS(ENSAYOS!$Q$5:$Q$3004,ENSAYOS!$C$5:$C$3004,F82,ENSAYOS!$Q$5:$Q$3004,"&gt;0",ENSAYOS!$G$5:$G$3004,N82)))</f>
        <v/>
      </c>
      <c r="V82" s="16" t="str">
        <f aca="false">IF(N(M82)=0,"",IF(COUNTIFS(ENSAYOS!$C$5:$C$3004,F82,ENSAYOS!$Q$5:$Q$3004,"&gt;0",ENSAYOS!$G$5:$G$3004,"&gt;="&amp;CONFIG!$B$27)=0,"",AVERAGEIFS(ENSAYOS!$Q$5:$Q$3004,ENSAYOS!$C$5:$C$3004,F82,ENSAYOS!$Q$5:$Q$3004,"&gt;0",ENSAYOS!$G$5:$G$3004,"&gt;="&amp;CONFIG!$B$27)))</f>
        <v/>
      </c>
      <c r="W82" s="18" t="str">
        <f aca="false">IF(AND(U82&lt;&gt;"",V82&lt;&gt;""),U82/V82,"")</f>
        <v/>
      </c>
      <c r="X82" s="18" t="str">
        <f aca="false">IF(U82="","",INDEX('CURVA EDAD'!$E$5:$E$32,MIN(28,MAX(1,N82))))</f>
        <v/>
      </c>
      <c r="Y82" s="16" t="str">
        <f aca="false">IF(V82&lt;&gt;"",V82,IF(U82="","",U82/X82))</f>
        <v/>
      </c>
      <c r="Z82" s="16" t="str">
        <f aca="false">IF(V82&lt;&gt;"",_xlfn.MINIFS(ENSAYOS!$Q$5:$Q$3004,ENSAYOS!$C$5:$C$3004,F82,ENSAYOS!$Q$5:$Q$3004,"&gt;0",ENSAYOS!$G$5:$G$3004,"&gt;="&amp;CONFIG!$B$27),IF(U82="","",_xlfn.MINIFS(ENSAYOS!$Q$5:$Q$3004,ENSAYOS!$C$5:$C$3004,F82,ENSAYOS!$Q$5:$Q$3004,"&gt;0",ENSAYOS!$G$5:$G$3004,N82)/X82))</f>
        <v/>
      </c>
      <c r="AA82" s="16" t="str">
        <f aca="false">IF(D82="","",IFERROR(1/(1/INDEX(CONFIG!$J$5:$J$14,MATCH(D82,CONFIG!$D$5:$D$14,0))),""))</f>
        <v/>
      </c>
      <c r="AB82" s="16" t="str">
        <f aca="false">IF(D82="","",IFERROR(1/(1/INDEX(CONFIG!$K$5:$K$14,MATCH(D82,CONFIG!$D$5:$D$14,0))),""))</f>
        <v/>
      </c>
      <c r="AC82" s="19" t="str">
        <f aca="false">IF(N(M82)=0,"",IF(AA82="","Sin spec",IF(AND(Y82&gt;=AA82,OR(AB82="",Z82&gt;=AB82)),"CUMPLE","NO CUMPLE")&amp;IF(V82=""," (est.)","")))</f>
        <v/>
      </c>
      <c r="AD82" s="20" t="str">
        <f aca="false">IF(F82="","",IF(COUNTIFS(ABSORCION!$C$5:$C$1004,F82,ABSORCION!$I$5:$I$1004,"&gt;0")=0,"",AVERAGEIFS(ABSORCION!$I$5:$I$1004,ABSORCION!$C$5:$C$1004,F82,ABSORCION!$I$5:$I$1004,"&gt;0")))</f>
        <v/>
      </c>
      <c r="AE82" s="20" t="str">
        <f aca="false">IF(F82="","",IF(COUNTIFS(ABSORCION!$C$5:$C$1004,F82,ABSORCION!$I$5:$I$1004,"&gt;0")=0,"",AVERAGEIFS(ABSORCION!$K$5:$K$1004,ABSORCION!$C$5:$C$1004,F82,ABSORCION!$I$5:$I$1004,"&gt;0")))</f>
        <v/>
      </c>
      <c r="AF82" s="20" t="str">
        <f aca="false">IF(AE82="","",IF(AE82&gt;=CONFIG!$E$21,CONFIG!$F$21,IF(AE82&gt;=CONFIG!$E$20,CONFIG!$F$20,CONFIG!$F$19)))</f>
        <v/>
      </c>
      <c r="AG82" s="21" t="str">
        <f aca="false">IF(F82="","",TRIM(IF(N(M82)=0,"Sin ensayos. ","")&amp;IF(AND(N(M82)&gt;0,N(M82)&lt;CONFIG!$B$26),"Menos de "&amp;CONFIG!$B$26&amp;" probetas. ","")&amp;IF(N(T82)&gt;CONFIG!$B$25,"CV alto. ","")&amp;IF(AND(N(AD82)&gt;0,N(AD82)&gt;N(AF82)),"Absorción alta. ","")))</f>
        <v/>
      </c>
      <c r="AH82" s="22" t="str">
        <f aca="false">IF(AND(N(M82)&gt;0,OR(CONTROL!$C$4="TODAS",C82=CONTROL!$C$4),D82=CONTROL!$C$5),MAX($AH$4:AH81)+1,"")</f>
        <v/>
      </c>
      <c r="AI82" s="22" t="str">
        <f aca="false">IF(AH82="","",P82^2)</f>
        <v/>
      </c>
    </row>
    <row r="83" customFormat="false" ht="15" hidden="false" customHeight="false" outlineLevel="0" collapsed="false">
      <c r="A83" s="11" t="str">
        <f aca="false">IF(B83="","",ROW()-4)</f>
        <v/>
      </c>
      <c r="B83" s="12"/>
      <c r="C83" s="13"/>
      <c r="D83" s="13"/>
      <c r="E83" s="13"/>
      <c r="F83" s="14" t="str">
        <f aca="false">IF(OR(B83="",C83="",D83=""),"",IFERROR(INDEX(CONFIG!$E$5:$E$14,MATCH(D83,CONFIG!$D$5:$D$14,0)),"?")&amp;RIGHT("0"&amp;DAY(B83),2)&amp;RIGHT("0"&amp;MONTH(B83),2)&amp;RIGHT(YEAR(B83),2)&amp;C83&amp;IF(E83="","","-"&amp;E83))</f>
        <v/>
      </c>
      <c r="G83" s="13"/>
      <c r="H83" s="13"/>
      <c r="I83" s="13"/>
      <c r="J83" s="13"/>
      <c r="K83" s="13"/>
      <c r="L83" s="13"/>
      <c r="M83" s="11" t="str">
        <f aca="false">IF(F83="","",COUNTIFS(ENSAYOS!$C$5:$C$3004,F83,ENSAYOS!$Q$5:$Q$3004,"&gt;0"))</f>
        <v/>
      </c>
      <c r="N83" s="15" t="str">
        <f aca="false">IF(N(M83)=0,"",_xlfn.MINIFS(ENSAYOS!$G$5:$G$3004,ENSAYOS!$C$5:$C$3004,F83,ENSAYOS!$Q$5:$Q$3004,"&gt;0"))</f>
        <v/>
      </c>
      <c r="O83" s="15" t="str">
        <f aca="false">IF(N(M83)=0,"",_xlfn.MAXIFS(ENSAYOS!$G$5:$G$3004,ENSAYOS!$C$5:$C$3004,F83,ENSAYOS!$Q$5:$Q$3004,"&gt;0"))</f>
        <v/>
      </c>
      <c r="P83" s="16" t="str">
        <f aca="false">IF(N(M83)=0,"",AVERAGEIFS(ENSAYOS!$Q$5:$Q$3004,ENSAYOS!$C$5:$C$3004,F83,ENSAYOS!$Q$5:$Q$3004,"&gt;0"))</f>
        <v/>
      </c>
      <c r="Q83" s="16" t="str">
        <f aca="false">IF(N(M83)=0,"",_xlfn.MINIFS(ENSAYOS!$Q$5:$Q$3004,ENSAYOS!$C$5:$C$3004,F83,ENSAYOS!$Q$5:$Q$3004,"&gt;0"))</f>
        <v/>
      </c>
      <c r="R83" s="16" t="str">
        <f aca="false">IF(N(M83)=0,"",_xlfn.MAXIFS(ENSAYOS!$Q$5:$Q$3004,ENSAYOS!$C$5:$C$3004,F83,ENSAYOS!$Q$5:$Q$3004,"&gt;0"))</f>
        <v/>
      </c>
      <c r="S83" s="16" t="str">
        <f aca="false">IF(N(M83)&lt;2,"",SQRT(MAX(0,(SUMIFS(ENSAYOS!$X$5:$X$3004,ENSAYOS!$C$5:$C$3004,F83,ENSAYOS!$Q$5:$Q$3004,"&gt;0")-M83*P83^2)/(M83-1))))</f>
        <v/>
      </c>
      <c r="T83" s="17" t="str">
        <f aca="false">IF(S83="","",S83/P83)</f>
        <v/>
      </c>
      <c r="U83" s="16" t="str">
        <f aca="false">IF(N(M83)=0,"",IF(N83&gt;=CONFIG!$B$27,"",AVERAGEIFS(ENSAYOS!$Q$5:$Q$3004,ENSAYOS!$C$5:$C$3004,F83,ENSAYOS!$Q$5:$Q$3004,"&gt;0",ENSAYOS!$G$5:$G$3004,N83)))</f>
        <v/>
      </c>
      <c r="V83" s="16" t="str">
        <f aca="false">IF(N(M83)=0,"",IF(COUNTIFS(ENSAYOS!$C$5:$C$3004,F83,ENSAYOS!$Q$5:$Q$3004,"&gt;0",ENSAYOS!$G$5:$G$3004,"&gt;="&amp;CONFIG!$B$27)=0,"",AVERAGEIFS(ENSAYOS!$Q$5:$Q$3004,ENSAYOS!$C$5:$C$3004,F83,ENSAYOS!$Q$5:$Q$3004,"&gt;0",ENSAYOS!$G$5:$G$3004,"&gt;="&amp;CONFIG!$B$27)))</f>
        <v/>
      </c>
      <c r="W83" s="18" t="str">
        <f aca="false">IF(AND(U83&lt;&gt;"",V83&lt;&gt;""),U83/V83,"")</f>
        <v/>
      </c>
      <c r="X83" s="18" t="str">
        <f aca="false">IF(U83="","",INDEX('CURVA EDAD'!$E$5:$E$32,MIN(28,MAX(1,N83))))</f>
        <v/>
      </c>
      <c r="Y83" s="16" t="str">
        <f aca="false">IF(V83&lt;&gt;"",V83,IF(U83="","",U83/X83))</f>
        <v/>
      </c>
      <c r="Z83" s="16" t="str">
        <f aca="false">IF(V83&lt;&gt;"",_xlfn.MINIFS(ENSAYOS!$Q$5:$Q$3004,ENSAYOS!$C$5:$C$3004,F83,ENSAYOS!$Q$5:$Q$3004,"&gt;0",ENSAYOS!$G$5:$G$3004,"&gt;="&amp;CONFIG!$B$27),IF(U83="","",_xlfn.MINIFS(ENSAYOS!$Q$5:$Q$3004,ENSAYOS!$C$5:$C$3004,F83,ENSAYOS!$Q$5:$Q$3004,"&gt;0",ENSAYOS!$G$5:$G$3004,N83)/X83))</f>
        <v/>
      </c>
      <c r="AA83" s="16" t="str">
        <f aca="false">IF(D83="","",IFERROR(1/(1/INDEX(CONFIG!$J$5:$J$14,MATCH(D83,CONFIG!$D$5:$D$14,0))),""))</f>
        <v/>
      </c>
      <c r="AB83" s="16" t="str">
        <f aca="false">IF(D83="","",IFERROR(1/(1/INDEX(CONFIG!$K$5:$K$14,MATCH(D83,CONFIG!$D$5:$D$14,0))),""))</f>
        <v/>
      </c>
      <c r="AC83" s="19" t="str">
        <f aca="false">IF(N(M83)=0,"",IF(AA83="","Sin spec",IF(AND(Y83&gt;=AA83,OR(AB83="",Z83&gt;=AB83)),"CUMPLE","NO CUMPLE")&amp;IF(V83=""," (est.)","")))</f>
        <v/>
      </c>
      <c r="AD83" s="20" t="str">
        <f aca="false">IF(F83="","",IF(COUNTIFS(ABSORCION!$C$5:$C$1004,F83,ABSORCION!$I$5:$I$1004,"&gt;0")=0,"",AVERAGEIFS(ABSORCION!$I$5:$I$1004,ABSORCION!$C$5:$C$1004,F83,ABSORCION!$I$5:$I$1004,"&gt;0")))</f>
        <v/>
      </c>
      <c r="AE83" s="20" t="str">
        <f aca="false">IF(F83="","",IF(COUNTIFS(ABSORCION!$C$5:$C$1004,F83,ABSORCION!$I$5:$I$1004,"&gt;0")=0,"",AVERAGEIFS(ABSORCION!$K$5:$K$1004,ABSORCION!$C$5:$C$1004,F83,ABSORCION!$I$5:$I$1004,"&gt;0")))</f>
        <v/>
      </c>
      <c r="AF83" s="20" t="str">
        <f aca="false">IF(AE83="","",IF(AE83&gt;=CONFIG!$E$21,CONFIG!$F$21,IF(AE83&gt;=CONFIG!$E$20,CONFIG!$F$20,CONFIG!$F$19)))</f>
        <v/>
      </c>
      <c r="AG83" s="21" t="str">
        <f aca="false">IF(F83="","",TRIM(IF(N(M83)=0,"Sin ensayos. ","")&amp;IF(AND(N(M83)&gt;0,N(M83)&lt;CONFIG!$B$26),"Menos de "&amp;CONFIG!$B$26&amp;" probetas. ","")&amp;IF(N(T83)&gt;CONFIG!$B$25,"CV alto. ","")&amp;IF(AND(N(AD83)&gt;0,N(AD83)&gt;N(AF83)),"Absorción alta. ","")))</f>
        <v/>
      </c>
      <c r="AH83" s="22" t="str">
        <f aca="false">IF(AND(N(M83)&gt;0,OR(CONTROL!$C$4="TODAS",C83=CONTROL!$C$4),D83=CONTROL!$C$5),MAX($AH$4:AH82)+1,"")</f>
        <v/>
      </c>
      <c r="AI83" s="22" t="str">
        <f aca="false">IF(AH83="","",P83^2)</f>
        <v/>
      </c>
    </row>
    <row r="84" customFormat="false" ht="15" hidden="false" customHeight="false" outlineLevel="0" collapsed="false">
      <c r="A84" s="11" t="str">
        <f aca="false">IF(B84="","",ROW()-4)</f>
        <v/>
      </c>
      <c r="B84" s="12"/>
      <c r="C84" s="13"/>
      <c r="D84" s="13"/>
      <c r="E84" s="13"/>
      <c r="F84" s="14" t="str">
        <f aca="false">IF(OR(B84="",C84="",D84=""),"",IFERROR(INDEX(CONFIG!$E$5:$E$14,MATCH(D84,CONFIG!$D$5:$D$14,0)),"?")&amp;RIGHT("0"&amp;DAY(B84),2)&amp;RIGHT("0"&amp;MONTH(B84),2)&amp;RIGHT(YEAR(B84),2)&amp;C84&amp;IF(E84="","","-"&amp;E84))</f>
        <v/>
      </c>
      <c r="G84" s="13"/>
      <c r="H84" s="13"/>
      <c r="I84" s="13"/>
      <c r="J84" s="13"/>
      <c r="K84" s="13"/>
      <c r="L84" s="13"/>
      <c r="M84" s="11" t="str">
        <f aca="false">IF(F84="","",COUNTIFS(ENSAYOS!$C$5:$C$3004,F84,ENSAYOS!$Q$5:$Q$3004,"&gt;0"))</f>
        <v/>
      </c>
      <c r="N84" s="15" t="str">
        <f aca="false">IF(N(M84)=0,"",_xlfn.MINIFS(ENSAYOS!$G$5:$G$3004,ENSAYOS!$C$5:$C$3004,F84,ENSAYOS!$Q$5:$Q$3004,"&gt;0"))</f>
        <v/>
      </c>
      <c r="O84" s="15" t="str">
        <f aca="false">IF(N(M84)=0,"",_xlfn.MAXIFS(ENSAYOS!$G$5:$G$3004,ENSAYOS!$C$5:$C$3004,F84,ENSAYOS!$Q$5:$Q$3004,"&gt;0"))</f>
        <v/>
      </c>
      <c r="P84" s="16" t="str">
        <f aca="false">IF(N(M84)=0,"",AVERAGEIFS(ENSAYOS!$Q$5:$Q$3004,ENSAYOS!$C$5:$C$3004,F84,ENSAYOS!$Q$5:$Q$3004,"&gt;0"))</f>
        <v/>
      </c>
      <c r="Q84" s="16" t="str">
        <f aca="false">IF(N(M84)=0,"",_xlfn.MINIFS(ENSAYOS!$Q$5:$Q$3004,ENSAYOS!$C$5:$C$3004,F84,ENSAYOS!$Q$5:$Q$3004,"&gt;0"))</f>
        <v/>
      </c>
      <c r="R84" s="16" t="str">
        <f aca="false">IF(N(M84)=0,"",_xlfn.MAXIFS(ENSAYOS!$Q$5:$Q$3004,ENSAYOS!$C$5:$C$3004,F84,ENSAYOS!$Q$5:$Q$3004,"&gt;0"))</f>
        <v/>
      </c>
      <c r="S84" s="16" t="str">
        <f aca="false">IF(N(M84)&lt;2,"",SQRT(MAX(0,(SUMIFS(ENSAYOS!$X$5:$X$3004,ENSAYOS!$C$5:$C$3004,F84,ENSAYOS!$Q$5:$Q$3004,"&gt;0")-M84*P84^2)/(M84-1))))</f>
        <v/>
      </c>
      <c r="T84" s="17" t="str">
        <f aca="false">IF(S84="","",S84/P84)</f>
        <v/>
      </c>
      <c r="U84" s="16" t="str">
        <f aca="false">IF(N(M84)=0,"",IF(N84&gt;=CONFIG!$B$27,"",AVERAGEIFS(ENSAYOS!$Q$5:$Q$3004,ENSAYOS!$C$5:$C$3004,F84,ENSAYOS!$Q$5:$Q$3004,"&gt;0",ENSAYOS!$G$5:$G$3004,N84)))</f>
        <v/>
      </c>
      <c r="V84" s="16" t="str">
        <f aca="false">IF(N(M84)=0,"",IF(COUNTIFS(ENSAYOS!$C$5:$C$3004,F84,ENSAYOS!$Q$5:$Q$3004,"&gt;0",ENSAYOS!$G$5:$G$3004,"&gt;="&amp;CONFIG!$B$27)=0,"",AVERAGEIFS(ENSAYOS!$Q$5:$Q$3004,ENSAYOS!$C$5:$C$3004,F84,ENSAYOS!$Q$5:$Q$3004,"&gt;0",ENSAYOS!$G$5:$G$3004,"&gt;="&amp;CONFIG!$B$27)))</f>
        <v/>
      </c>
      <c r="W84" s="18" t="str">
        <f aca="false">IF(AND(U84&lt;&gt;"",V84&lt;&gt;""),U84/V84,"")</f>
        <v/>
      </c>
      <c r="X84" s="18" t="str">
        <f aca="false">IF(U84="","",INDEX('CURVA EDAD'!$E$5:$E$32,MIN(28,MAX(1,N84))))</f>
        <v/>
      </c>
      <c r="Y84" s="16" t="str">
        <f aca="false">IF(V84&lt;&gt;"",V84,IF(U84="","",U84/X84))</f>
        <v/>
      </c>
      <c r="Z84" s="16" t="str">
        <f aca="false">IF(V84&lt;&gt;"",_xlfn.MINIFS(ENSAYOS!$Q$5:$Q$3004,ENSAYOS!$C$5:$C$3004,F84,ENSAYOS!$Q$5:$Q$3004,"&gt;0",ENSAYOS!$G$5:$G$3004,"&gt;="&amp;CONFIG!$B$27),IF(U84="","",_xlfn.MINIFS(ENSAYOS!$Q$5:$Q$3004,ENSAYOS!$C$5:$C$3004,F84,ENSAYOS!$Q$5:$Q$3004,"&gt;0",ENSAYOS!$G$5:$G$3004,N84)/X84))</f>
        <v/>
      </c>
      <c r="AA84" s="16" t="str">
        <f aca="false">IF(D84="","",IFERROR(1/(1/INDEX(CONFIG!$J$5:$J$14,MATCH(D84,CONFIG!$D$5:$D$14,0))),""))</f>
        <v/>
      </c>
      <c r="AB84" s="16" t="str">
        <f aca="false">IF(D84="","",IFERROR(1/(1/INDEX(CONFIG!$K$5:$K$14,MATCH(D84,CONFIG!$D$5:$D$14,0))),""))</f>
        <v/>
      </c>
      <c r="AC84" s="19" t="str">
        <f aca="false">IF(N(M84)=0,"",IF(AA84="","Sin spec",IF(AND(Y84&gt;=AA84,OR(AB84="",Z84&gt;=AB84)),"CUMPLE","NO CUMPLE")&amp;IF(V84=""," (est.)","")))</f>
        <v/>
      </c>
      <c r="AD84" s="20" t="str">
        <f aca="false">IF(F84="","",IF(COUNTIFS(ABSORCION!$C$5:$C$1004,F84,ABSORCION!$I$5:$I$1004,"&gt;0")=0,"",AVERAGEIFS(ABSORCION!$I$5:$I$1004,ABSORCION!$C$5:$C$1004,F84,ABSORCION!$I$5:$I$1004,"&gt;0")))</f>
        <v/>
      </c>
      <c r="AE84" s="20" t="str">
        <f aca="false">IF(F84="","",IF(COUNTIFS(ABSORCION!$C$5:$C$1004,F84,ABSORCION!$I$5:$I$1004,"&gt;0")=0,"",AVERAGEIFS(ABSORCION!$K$5:$K$1004,ABSORCION!$C$5:$C$1004,F84,ABSORCION!$I$5:$I$1004,"&gt;0")))</f>
        <v/>
      </c>
      <c r="AF84" s="20" t="str">
        <f aca="false">IF(AE84="","",IF(AE84&gt;=CONFIG!$E$21,CONFIG!$F$21,IF(AE84&gt;=CONFIG!$E$20,CONFIG!$F$20,CONFIG!$F$19)))</f>
        <v/>
      </c>
      <c r="AG84" s="21" t="str">
        <f aca="false">IF(F84="","",TRIM(IF(N(M84)=0,"Sin ensayos. ","")&amp;IF(AND(N(M84)&gt;0,N(M84)&lt;CONFIG!$B$26),"Menos de "&amp;CONFIG!$B$26&amp;" probetas. ","")&amp;IF(N(T84)&gt;CONFIG!$B$25,"CV alto. ","")&amp;IF(AND(N(AD84)&gt;0,N(AD84)&gt;N(AF84)),"Absorción alta. ","")))</f>
        <v/>
      </c>
      <c r="AH84" s="22" t="str">
        <f aca="false">IF(AND(N(M84)&gt;0,OR(CONTROL!$C$4="TODAS",C84=CONTROL!$C$4),D84=CONTROL!$C$5),MAX($AH$4:AH83)+1,"")</f>
        <v/>
      </c>
      <c r="AI84" s="22" t="str">
        <f aca="false">IF(AH84="","",P84^2)</f>
        <v/>
      </c>
    </row>
    <row r="85" customFormat="false" ht="15" hidden="false" customHeight="false" outlineLevel="0" collapsed="false">
      <c r="A85" s="11" t="str">
        <f aca="false">IF(B85="","",ROW()-4)</f>
        <v/>
      </c>
      <c r="B85" s="12"/>
      <c r="C85" s="13"/>
      <c r="D85" s="13"/>
      <c r="E85" s="13"/>
      <c r="F85" s="14" t="str">
        <f aca="false">IF(OR(B85="",C85="",D85=""),"",IFERROR(INDEX(CONFIG!$E$5:$E$14,MATCH(D85,CONFIG!$D$5:$D$14,0)),"?")&amp;RIGHT("0"&amp;DAY(B85),2)&amp;RIGHT("0"&amp;MONTH(B85),2)&amp;RIGHT(YEAR(B85),2)&amp;C85&amp;IF(E85="","","-"&amp;E85))</f>
        <v/>
      </c>
      <c r="G85" s="13"/>
      <c r="H85" s="13"/>
      <c r="I85" s="13"/>
      <c r="J85" s="13"/>
      <c r="K85" s="13"/>
      <c r="L85" s="13"/>
      <c r="M85" s="11" t="str">
        <f aca="false">IF(F85="","",COUNTIFS(ENSAYOS!$C$5:$C$3004,F85,ENSAYOS!$Q$5:$Q$3004,"&gt;0"))</f>
        <v/>
      </c>
      <c r="N85" s="15" t="str">
        <f aca="false">IF(N(M85)=0,"",_xlfn.MINIFS(ENSAYOS!$G$5:$G$3004,ENSAYOS!$C$5:$C$3004,F85,ENSAYOS!$Q$5:$Q$3004,"&gt;0"))</f>
        <v/>
      </c>
      <c r="O85" s="15" t="str">
        <f aca="false">IF(N(M85)=0,"",_xlfn.MAXIFS(ENSAYOS!$G$5:$G$3004,ENSAYOS!$C$5:$C$3004,F85,ENSAYOS!$Q$5:$Q$3004,"&gt;0"))</f>
        <v/>
      </c>
      <c r="P85" s="16" t="str">
        <f aca="false">IF(N(M85)=0,"",AVERAGEIFS(ENSAYOS!$Q$5:$Q$3004,ENSAYOS!$C$5:$C$3004,F85,ENSAYOS!$Q$5:$Q$3004,"&gt;0"))</f>
        <v/>
      </c>
      <c r="Q85" s="16" t="str">
        <f aca="false">IF(N(M85)=0,"",_xlfn.MINIFS(ENSAYOS!$Q$5:$Q$3004,ENSAYOS!$C$5:$C$3004,F85,ENSAYOS!$Q$5:$Q$3004,"&gt;0"))</f>
        <v/>
      </c>
      <c r="R85" s="16" t="str">
        <f aca="false">IF(N(M85)=0,"",_xlfn.MAXIFS(ENSAYOS!$Q$5:$Q$3004,ENSAYOS!$C$5:$C$3004,F85,ENSAYOS!$Q$5:$Q$3004,"&gt;0"))</f>
        <v/>
      </c>
      <c r="S85" s="16" t="str">
        <f aca="false">IF(N(M85)&lt;2,"",SQRT(MAX(0,(SUMIFS(ENSAYOS!$X$5:$X$3004,ENSAYOS!$C$5:$C$3004,F85,ENSAYOS!$Q$5:$Q$3004,"&gt;0")-M85*P85^2)/(M85-1))))</f>
        <v/>
      </c>
      <c r="T85" s="17" t="str">
        <f aca="false">IF(S85="","",S85/P85)</f>
        <v/>
      </c>
      <c r="U85" s="16" t="str">
        <f aca="false">IF(N(M85)=0,"",IF(N85&gt;=CONFIG!$B$27,"",AVERAGEIFS(ENSAYOS!$Q$5:$Q$3004,ENSAYOS!$C$5:$C$3004,F85,ENSAYOS!$Q$5:$Q$3004,"&gt;0",ENSAYOS!$G$5:$G$3004,N85)))</f>
        <v/>
      </c>
      <c r="V85" s="16" t="str">
        <f aca="false">IF(N(M85)=0,"",IF(COUNTIFS(ENSAYOS!$C$5:$C$3004,F85,ENSAYOS!$Q$5:$Q$3004,"&gt;0",ENSAYOS!$G$5:$G$3004,"&gt;="&amp;CONFIG!$B$27)=0,"",AVERAGEIFS(ENSAYOS!$Q$5:$Q$3004,ENSAYOS!$C$5:$C$3004,F85,ENSAYOS!$Q$5:$Q$3004,"&gt;0",ENSAYOS!$G$5:$G$3004,"&gt;="&amp;CONFIG!$B$27)))</f>
        <v/>
      </c>
      <c r="W85" s="18" t="str">
        <f aca="false">IF(AND(U85&lt;&gt;"",V85&lt;&gt;""),U85/V85,"")</f>
        <v/>
      </c>
      <c r="X85" s="18" t="str">
        <f aca="false">IF(U85="","",INDEX('CURVA EDAD'!$E$5:$E$32,MIN(28,MAX(1,N85))))</f>
        <v/>
      </c>
      <c r="Y85" s="16" t="str">
        <f aca="false">IF(V85&lt;&gt;"",V85,IF(U85="","",U85/X85))</f>
        <v/>
      </c>
      <c r="Z85" s="16" t="str">
        <f aca="false">IF(V85&lt;&gt;"",_xlfn.MINIFS(ENSAYOS!$Q$5:$Q$3004,ENSAYOS!$C$5:$C$3004,F85,ENSAYOS!$Q$5:$Q$3004,"&gt;0",ENSAYOS!$G$5:$G$3004,"&gt;="&amp;CONFIG!$B$27),IF(U85="","",_xlfn.MINIFS(ENSAYOS!$Q$5:$Q$3004,ENSAYOS!$C$5:$C$3004,F85,ENSAYOS!$Q$5:$Q$3004,"&gt;0",ENSAYOS!$G$5:$G$3004,N85)/X85))</f>
        <v/>
      </c>
      <c r="AA85" s="16" t="str">
        <f aca="false">IF(D85="","",IFERROR(1/(1/INDEX(CONFIG!$J$5:$J$14,MATCH(D85,CONFIG!$D$5:$D$14,0))),""))</f>
        <v/>
      </c>
      <c r="AB85" s="16" t="str">
        <f aca="false">IF(D85="","",IFERROR(1/(1/INDEX(CONFIG!$K$5:$K$14,MATCH(D85,CONFIG!$D$5:$D$14,0))),""))</f>
        <v/>
      </c>
      <c r="AC85" s="19" t="str">
        <f aca="false">IF(N(M85)=0,"",IF(AA85="","Sin spec",IF(AND(Y85&gt;=AA85,OR(AB85="",Z85&gt;=AB85)),"CUMPLE","NO CUMPLE")&amp;IF(V85=""," (est.)","")))</f>
        <v/>
      </c>
      <c r="AD85" s="20" t="str">
        <f aca="false">IF(F85="","",IF(COUNTIFS(ABSORCION!$C$5:$C$1004,F85,ABSORCION!$I$5:$I$1004,"&gt;0")=0,"",AVERAGEIFS(ABSORCION!$I$5:$I$1004,ABSORCION!$C$5:$C$1004,F85,ABSORCION!$I$5:$I$1004,"&gt;0")))</f>
        <v/>
      </c>
      <c r="AE85" s="20" t="str">
        <f aca="false">IF(F85="","",IF(COUNTIFS(ABSORCION!$C$5:$C$1004,F85,ABSORCION!$I$5:$I$1004,"&gt;0")=0,"",AVERAGEIFS(ABSORCION!$K$5:$K$1004,ABSORCION!$C$5:$C$1004,F85,ABSORCION!$I$5:$I$1004,"&gt;0")))</f>
        <v/>
      </c>
      <c r="AF85" s="20" t="str">
        <f aca="false">IF(AE85="","",IF(AE85&gt;=CONFIG!$E$21,CONFIG!$F$21,IF(AE85&gt;=CONFIG!$E$20,CONFIG!$F$20,CONFIG!$F$19)))</f>
        <v/>
      </c>
      <c r="AG85" s="21" t="str">
        <f aca="false">IF(F85="","",TRIM(IF(N(M85)=0,"Sin ensayos. ","")&amp;IF(AND(N(M85)&gt;0,N(M85)&lt;CONFIG!$B$26),"Menos de "&amp;CONFIG!$B$26&amp;" probetas. ","")&amp;IF(N(T85)&gt;CONFIG!$B$25,"CV alto. ","")&amp;IF(AND(N(AD85)&gt;0,N(AD85)&gt;N(AF85)),"Absorción alta. ","")))</f>
        <v/>
      </c>
      <c r="AH85" s="22" t="str">
        <f aca="false">IF(AND(N(M85)&gt;0,OR(CONTROL!$C$4="TODAS",C85=CONTROL!$C$4),D85=CONTROL!$C$5),MAX($AH$4:AH84)+1,"")</f>
        <v/>
      </c>
      <c r="AI85" s="22" t="str">
        <f aca="false">IF(AH85="","",P85^2)</f>
        <v/>
      </c>
    </row>
    <row r="86" customFormat="false" ht="15" hidden="false" customHeight="false" outlineLevel="0" collapsed="false">
      <c r="A86" s="11" t="str">
        <f aca="false">IF(B86="","",ROW()-4)</f>
        <v/>
      </c>
      <c r="B86" s="12"/>
      <c r="C86" s="13"/>
      <c r="D86" s="13"/>
      <c r="E86" s="13"/>
      <c r="F86" s="14" t="str">
        <f aca="false">IF(OR(B86="",C86="",D86=""),"",IFERROR(INDEX(CONFIG!$E$5:$E$14,MATCH(D86,CONFIG!$D$5:$D$14,0)),"?")&amp;RIGHT("0"&amp;DAY(B86),2)&amp;RIGHT("0"&amp;MONTH(B86),2)&amp;RIGHT(YEAR(B86),2)&amp;C86&amp;IF(E86="","","-"&amp;E86))</f>
        <v/>
      </c>
      <c r="G86" s="13"/>
      <c r="H86" s="13"/>
      <c r="I86" s="13"/>
      <c r="J86" s="13"/>
      <c r="K86" s="13"/>
      <c r="L86" s="13"/>
      <c r="M86" s="11" t="str">
        <f aca="false">IF(F86="","",COUNTIFS(ENSAYOS!$C$5:$C$3004,F86,ENSAYOS!$Q$5:$Q$3004,"&gt;0"))</f>
        <v/>
      </c>
      <c r="N86" s="15" t="str">
        <f aca="false">IF(N(M86)=0,"",_xlfn.MINIFS(ENSAYOS!$G$5:$G$3004,ENSAYOS!$C$5:$C$3004,F86,ENSAYOS!$Q$5:$Q$3004,"&gt;0"))</f>
        <v/>
      </c>
      <c r="O86" s="15" t="str">
        <f aca="false">IF(N(M86)=0,"",_xlfn.MAXIFS(ENSAYOS!$G$5:$G$3004,ENSAYOS!$C$5:$C$3004,F86,ENSAYOS!$Q$5:$Q$3004,"&gt;0"))</f>
        <v/>
      </c>
      <c r="P86" s="16" t="str">
        <f aca="false">IF(N(M86)=0,"",AVERAGEIFS(ENSAYOS!$Q$5:$Q$3004,ENSAYOS!$C$5:$C$3004,F86,ENSAYOS!$Q$5:$Q$3004,"&gt;0"))</f>
        <v/>
      </c>
      <c r="Q86" s="16" t="str">
        <f aca="false">IF(N(M86)=0,"",_xlfn.MINIFS(ENSAYOS!$Q$5:$Q$3004,ENSAYOS!$C$5:$C$3004,F86,ENSAYOS!$Q$5:$Q$3004,"&gt;0"))</f>
        <v/>
      </c>
      <c r="R86" s="16" t="str">
        <f aca="false">IF(N(M86)=0,"",_xlfn.MAXIFS(ENSAYOS!$Q$5:$Q$3004,ENSAYOS!$C$5:$C$3004,F86,ENSAYOS!$Q$5:$Q$3004,"&gt;0"))</f>
        <v/>
      </c>
      <c r="S86" s="16" t="str">
        <f aca="false">IF(N(M86)&lt;2,"",SQRT(MAX(0,(SUMIFS(ENSAYOS!$X$5:$X$3004,ENSAYOS!$C$5:$C$3004,F86,ENSAYOS!$Q$5:$Q$3004,"&gt;0")-M86*P86^2)/(M86-1))))</f>
        <v/>
      </c>
      <c r="T86" s="17" t="str">
        <f aca="false">IF(S86="","",S86/P86)</f>
        <v/>
      </c>
      <c r="U86" s="16" t="str">
        <f aca="false">IF(N(M86)=0,"",IF(N86&gt;=CONFIG!$B$27,"",AVERAGEIFS(ENSAYOS!$Q$5:$Q$3004,ENSAYOS!$C$5:$C$3004,F86,ENSAYOS!$Q$5:$Q$3004,"&gt;0",ENSAYOS!$G$5:$G$3004,N86)))</f>
        <v/>
      </c>
      <c r="V86" s="16" t="str">
        <f aca="false">IF(N(M86)=0,"",IF(COUNTIFS(ENSAYOS!$C$5:$C$3004,F86,ENSAYOS!$Q$5:$Q$3004,"&gt;0",ENSAYOS!$G$5:$G$3004,"&gt;="&amp;CONFIG!$B$27)=0,"",AVERAGEIFS(ENSAYOS!$Q$5:$Q$3004,ENSAYOS!$C$5:$C$3004,F86,ENSAYOS!$Q$5:$Q$3004,"&gt;0",ENSAYOS!$G$5:$G$3004,"&gt;="&amp;CONFIG!$B$27)))</f>
        <v/>
      </c>
      <c r="W86" s="18" t="str">
        <f aca="false">IF(AND(U86&lt;&gt;"",V86&lt;&gt;""),U86/V86,"")</f>
        <v/>
      </c>
      <c r="X86" s="18" t="str">
        <f aca="false">IF(U86="","",INDEX('CURVA EDAD'!$E$5:$E$32,MIN(28,MAX(1,N86))))</f>
        <v/>
      </c>
      <c r="Y86" s="16" t="str">
        <f aca="false">IF(V86&lt;&gt;"",V86,IF(U86="","",U86/X86))</f>
        <v/>
      </c>
      <c r="Z86" s="16" t="str">
        <f aca="false">IF(V86&lt;&gt;"",_xlfn.MINIFS(ENSAYOS!$Q$5:$Q$3004,ENSAYOS!$C$5:$C$3004,F86,ENSAYOS!$Q$5:$Q$3004,"&gt;0",ENSAYOS!$G$5:$G$3004,"&gt;="&amp;CONFIG!$B$27),IF(U86="","",_xlfn.MINIFS(ENSAYOS!$Q$5:$Q$3004,ENSAYOS!$C$5:$C$3004,F86,ENSAYOS!$Q$5:$Q$3004,"&gt;0",ENSAYOS!$G$5:$G$3004,N86)/X86))</f>
        <v/>
      </c>
      <c r="AA86" s="16" t="str">
        <f aca="false">IF(D86="","",IFERROR(1/(1/INDEX(CONFIG!$J$5:$J$14,MATCH(D86,CONFIG!$D$5:$D$14,0))),""))</f>
        <v/>
      </c>
      <c r="AB86" s="16" t="str">
        <f aca="false">IF(D86="","",IFERROR(1/(1/INDEX(CONFIG!$K$5:$K$14,MATCH(D86,CONFIG!$D$5:$D$14,0))),""))</f>
        <v/>
      </c>
      <c r="AC86" s="19" t="str">
        <f aca="false">IF(N(M86)=0,"",IF(AA86="","Sin spec",IF(AND(Y86&gt;=AA86,OR(AB86="",Z86&gt;=AB86)),"CUMPLE","NO CUMPLE")&amp;IF(V86=""," (est.)","")))</f>
        <v/>
      </c>
      <c r="AD86" s="20" t="str">
        <f aca="false">IF(F86="","",IF(COUNTIFS(ABSORCION!$C$5:$C$1004,F86,ABSORCION!$I$5:$I$1004,"&gt;0")=0,"",AVERAGEIFS(ABSORCION!$I$5:$I$1004,ABSORCION!$C$5:$C$1004,F86,ABSORCION!$I$5:$I$1004,"&gt;0")))</f>
        <v/>
      </c>
      <c r="AE86" s="20" t="str">
        <f aca="false">IF(F86="","",IF(COUNTIFS(ABSORCION!$C$5:$C$1004,F86,ABSORCION!$I$5:$I$1004,"&gt;0")=0,"",AVERAGEIFS(ABSORCION!$K$5:$K$1004,ABSORCION!$C$5:$C$1004,F86,ABSORCION!$I$5:$I$1004,"&gt;0")))</f>
        <v/>
      </c>
      <c r="AF86" s="20" t="str">
        <f aca="false">IF(AE86="","",IF(AE86&gt;=CONFIG!$E$21,CONFIG!$F$21,IF(AE86&gt;=CONFIG!$E$20,CONFIG!$F$20,CONFIG!$F$19)))</f>
        <v/>
      </c>
      <c r="AG86" s="21" t="str">
        <f aca="false">IF(F86="","",TRIM(IF(N(M86)=0,"Sin ensayos. ","")&amp;IF(AND(N(M86)&gt;0,N(M86)&lt;CONFIG!$B$26),"Menos de "&amp;CONFIG!$B$26&amp;" probetas. ","")&amp;IF(N(T86)&gt;CONFIG!$B$25,"CV alto. ","")&amp;IF(AND(N(AD86)&gt;0,N(AD86)&gt;N(AF86)),"Absorción alta. ","")))</f>
        <v/>
      </c>
      <c r="AH86" s="22" t="str">
        <f aca="false">IF(AND(N(M86)&gt;0,OR(CONTROL!$C$4="TODAS",C86=CONTROL!$C$4),D86=CONTROL!$C$5),MAX($AH$4:AH85)+1,"")</f>
        <v/>
      </c>
      <c r="AI86" s="22" t="str">
        <f aca="false">IF(AH86="","",P86^2)</f>
        <v/>
      </c>
    </row>
    <row r="87" customFormat="false" ht="15" hidden="false" customHeight="false" outlineLevel="0" collapsed="false">
      <c r="A87" s="11" t="str">
        <f aca="false">IF(B87="","",ROW()-4)</f>
        <v/>
      </c>
      <c r="B87" s="12"/>
      <c r="C87" s="13"/>
      <c r="D87" s="13"/>
      <c r="E87" s="13"/>
      <c r="F87" s="14" t="str">
        <f aca="false">IF(OR(B87="",C87="",D87=""),"",IFERROR(INDEX(CONFIG!$E$5:$E$14,MATCH(D87,CONFIG!$D$5:$D$14,0)),"?")&amp;RIGHT("0"&amp;DAY(B87),2)&amp;RIGHT("0"&amp;MONTH(B87),2)&amp;RIGHT(YEAR(B87),2)&amp;C87&amp;IF(E87="","","-"&amp;E87))</f>
        <v/>
      </c>
      <c r="G87" s="13"/>
      <c r="H87" s="13"/>
      <c r="I87" s="13"/>
      <c r="J87" s="13"/>
      <c r="K87" s="13"/>
      <c r="L87" s="13"/>
      <c r="M87" s="11" t="str">
        <f aca="false">IF(F87="","",COUNTIFS(ENSAYOS!$C$5:$C$3004,F87,ENSAYOS!$Q$5:$Q$3004,"&gt;0"))</f>
        <v/>
      </c>
      <c r="N87" s="15" t="str">
        <f aca="false">IF(N(M87)=0,"",_xlfn.MINIFS(ENSAYOS!$G$5:$G$3004,ENSAYOS!$C$5:$C$3004,F87,ENSAYOS!$Q$5:$Q$3004,"&gt;0"))</f>
        <v/>
      </c>
      <c r="O87" s="15" t="str">
        <f aca="false">IF(N(M87)=0,"",_xlfn.MAXIFS(ENSAYOS!$G$5:$G$3004,ENSAYOS!$C$5:$C$3004,F87,ENSAYOS!$Q$5:$Q$3004,"&gt;0"))</f>
        <v/>
      </c>
      <c r="P87" s="16" t="str">
        <f aca="false">IF(N(M87)=0,"",AVERAGEIFS(ENSAYOS!$Q$5:$Q$3004,ENSAYOS!$C$5:$C$3004,F87,ENSAYOS!$Q$5:$Q$3004,"&gt;0"))</f>
        <v/>
      </c>
      <c r="Q87" s="16" t="str">
        <f aca="false">IF(N(M87)=0,"",_xlfn.MINIFS(ENSAYOS!$Q$5:$Q$3004,ENSAYOS!$C$5:$C$3004,F87,ENSAYOS!$Q$5:$Q$3004,"&gt;0"))</f>
        <v/>
      </c>
      <c r="R87" s="16" t="str">
        <f aca="false">IF(N(M87)=0,"",_xlfn.MAXIFS(ENSAYOS!$Q$5:$Q$3004,ENSAYOS!$C$5:$C$3004,F87,ENSAYOS!$Q$5:$Q$3004,"&gt;0"))</f>
        <v/>
      </c>
      <c r="S87" s="16" t="str">
        <f aca="false">IF(N(M87)&lt;2,"",SQRT(MAX(0,(SUMIFS(ENSAYOS!$X$5:$X$3004,ENSAYOS!$C$5:$C$3004,F87,ENSAYOS!$Q$5:$Q$3004,"&gt;0")-M87*P87^2)/(M87-1))))</f>
        <v/>
      </c>
      <c r="T87" s="17" t="str">
        <f aca="false">IF(S87="","",S87/P87)</f>
        <v/>
      </c>
      <c r="U87" s="16" t="str">
        <f aca="false">IF(N(M87)=0,"",IF(N87&gt;=CONFIG!$B$27,"",AVERAGEIFS(ENSAYOS!$Q$5:$Q$3004,ENSAYOS!$C$5:$C$3004,F87,ENSAYOS!$Q$5:$Q$3004,"&gt;0",ENSAYOS!$G$5:$G$3004,N87)))</f>
        <v/>
      </c>
      <c r="V87" s="16" t="str">
        <f aca="false">IF(N(M87)=0,"",IF(COUNTIFS(ENSAYOS!$C$5:$C$3004,F87,ENSAYOS!$Q$5:$Q$3004,"&gt;0",ENSAYOS!$G$5:$G$3004,"&gt;="&amp;CONFIG!$B$27)=0,"",AVERAGEIFS(ENSAYOS!$Q$5:$Q$3004,ENSAYOS!$C$5:$C$3004,F87,ENSAYOS!$Q$5:$Q$3004,"&gt;0",ENSAYOS!$G$5:$G$3004,"&gt;="&amp;CONFIG!$B$27)))</f>
        <v/>
      </c>
      <c r="W87" s="18" t="str">
        <f aca="false">IF(AND(U87&lt;&gt;"",V87&lt;&gt;""),U87/V87,"")</f>
        <v/>
      </c>
      <c r="X87" s="18" t="str">
        <f aca="false">IF(U87="","",INDEX('CURVA EDAD'!$E$5:$E$32,MIN(28,MAX(1,N87))))</f>
        <v/>
      </c>
      <c r="Y87" s="16" t="str">
        <f aca="false">IF(V87&lt;&gt;"",V87,IF(U87="","",U87/X87))</f>
        <v/>
      </c>
      <c r="Z87" s="16" t="str">
        <f aca="false">IF(V87&lt;&gt;"",_xlfn.MINIFS(ENSAYOS!$Q$5:$Q$3004,ENSAYOS!$C$5:$C$3004,F87,ENSAYOS!$Q$5:$Q$3004,"&gt;0",ENSAYOS!$G$5:$G$3004,"&gt;="&amp;CONFIG!$B$27),IF(U87="","",_xlfn.MINIFS(ENSAYOS!$Q$5:$Q$3004,ENSAYOS!$C$5:$C$3004,F87,ENSAYOS!$Q$5:$Q$3004,"&gt;0",ENSAYOS!$G$5:$G$3004,N87)/X87))</f>
        <v/>
      </c>
      <c r="AA87" s="16" t="str">
        <f aca="false">IF(D87="","",IFERROR(1/(1/INDEX(CONFIG!$J$5:$J$14,MATCH(D87,CONFIG!$D$5:$D$14,0))),""))</f>
        <v/>
      </c>
      <c r="AB87" s="16" t="str">
        <f aca="false">IF(D87="","",IFERROR(1/(1/INDEX(CONFIG!$K$5:$K$14,MATCH(D87,CONFIG!$D$5:$D$14,0))),""))</f>
        <v/>
      </c>
      <c r="AC87" s="19" t="str">
        <f aca="false">IF(N(M87)=0,"",IF(AA87="","Sin spec",IF(AND(Y87&gt;=AA87,OR(AB87="",Z87&gt;=AB87)),"CUMPLE","NO CUMPLE")&amp;IF(V87=""," (est.)","")))</f>
        <v/>
      </c>
      <c r="AD87" s="20" t="str">
        <f aca="false">IF(F87="","",IF(COUNTIFS(ABSORCION!$C$5:$C$1004,F87,ABSORCION!$I$5:$I$1004,"&gt;0")=0,"",AVERAGEIFS(ABSORCION!$I$5:$I$1004,ABSORCION!$C$5:$C$1004,F87,ABSORCION!$I$5:$I$1004,"&gt;0")))</f>
        <v/>
      </c>
      <c r="AE87" s="20" t="str">
        <f aca="false">IF(F87="","",IF(COUNTIFS(ABSORCION!$C$5:$C$1004,F87,ABSORCION!$I$5:$I$1004,"&gt;0")=0,"",AVERAGEIFS(ABSORCION!$K$5:$K$1004,ABSORCION!$C$5:$C$1004,F87,ABSORCION!$I$5:$I$1004,"&gt;0")))</f>
        <v/>
      </c>
      <c r="AF87" s="20" t="str">
        <f aca="false">IF(AE87="","",IF(AE87&gt;=CONFIG!$E$21,CONFIG!$F$21,IF(AE87&gt;=CONFIG!$E$20,CONFIG!$F$20,CONFIG!$F$19)))</f>
        <v/>
      </c>
      <c r="AG87" s="21" t="str">
        <f aca="false">IF(F87="","",TRIM(IF(N(M87)=0,"Sin ensayos. ","")&amp;IF(AND(N(M87)&gt;0,N(M87)&lt;CONFIG!$B$26),"Menos de "&amp;CONFIG!$B$26&amp;" probetas. ","")&amp;IF(N(T87)&gt;CONFIG!$B$25,"CV alto. ","")&amp;IF(AND(N(AD87)&gt;0,N(AD87)&gt;N(AF87)),"Absorción alta. ","")))</f>
        <v/>
      </c>
      <c r="AH87" s="22" t="str">
        <f aca="false">IF(AND(N(M87)&gt;0,OR(CONTROL!$C$4="TODAS",C87=CONTROL!$C$4),D87=CONTROL!$C$5),MAX($AH$4:AH86)+1,"")</f>
        <v/>
      </c>
      <c r="AI87" s="22" t="str">
        <f aca="false">IF(AH87="","",P87^2)</f>
        <v/>
      </c>
    </row>
    <row r="88" customFormat="false" ht="15" hidden="false" customHeight="false" outlineLevel="0" collapsed="false">
      <c r="A88" s="11" t="str">
        <f aca="false">IF(B88="","",ROW()-4)</f>
        <v/>
      </c>
      <c r="B88" s="12"/>
      <c r="C88" s="13"/>
      <c r="D88" s="13"/>
      <c r="E88" s="13"/>
      <c r="F88" s="14" t="str">
        <f aca="false">IF(OR(B88="",C88="",D88=""),"",IFERROR(INDEX(CONFIG!$E$5:$E$14,MATCH(D88,CONFIG!$D$5:$D$14,0)),"?")&amp;RIGHT("0"&amp;DAY(B88),2)&amp;RIGHT("0"&amp;MONTH(B88),2)&amp;RIGHT(YEAR(B88),2)&amp;C88&amp;IF(E88="","","-"&amp;E88))</f>
        <v/>
      </c>
      <c r="G88" s="13"/>
      <c r="H88" s="13"/>
      <c r="I88" s="13"/>
      <c r="J88" s="13"/>
      <c r="K88" s="13"/>
      <c r="L88" s="13"/>
      <c r="M88" s="11" t="str">
        <f aca="false">IF(F88="","",COUNTIFS(ENSAYOS!$C$5:$C$3004,F88,ENSAYOS!$Q$5:$Q$3004,"&gt;0"))</f>
        <v/>
      </c>
      <c r="N88" s="15" t="str">
        <f aca="false">IF(N(M88)=0,"",_xlfn.MINIFS(ENSAYOS!$G$5:$G$3004,ENSAYOS!$C$5:$C$3004,F88,ENSAYOS!$Q$5:$Q$3004,"&gt;0"))</f>
        <v/>
      </c>
      <c r="O88" s="15" t="str">
        <f aca="false">IF(N(M88)=0,"",_xlfn.MAXIFS(ENSAYOS!$G$5:$G$3004,ENSAYOS!$C$5:$C$3004,F88,ENSAYOS!$Q$5:$Q$3004,"&gt;0"))</f>
        <v/>
      </c>
      <c r="P88" s="16" t="str">
        <f aca="false">IF(N(M88)=0,"",AVERAGEIFS(ENSAYOS!$Q$5:$Q$3004,ENSAYOS!$C$5:$C$3004,F88,ENSAYOS!$Q$5:$Q$3004,"&gt;0"))</f>
        <v/>
      </c>
      <c r="Q88" s="16" t="str">
        <f aca="false">IF(N(M88)=0,"",_xlfn.MINIFS(ENSAYOS!$Q$5:$Q$3004,ENSAYOS!$C$5:$C$3004,F88,ENSAYOS!$Q$5:$Q$3004,"&gt;0"))</f>
        <v/>
      </c>
      <c r="R88" s="16" t="str">
        <f aca="false">IF(N(M88)=0,"",_xlfn.MAXIFS(ENSAYOS!$Q$5:$Q$3004,ENSAYOS!$C$5:$C$3004,F88,ENSAYOS!$Q$5:$Q$3004,"&gt;0"))</f>
        <v/>
      </c>
      <c r="S88" s="16" t="str">
        <f aca="false">IF(N(M88)&lt;2,"",SQRT(MAX(0,(SUMIFS(ENSAYOS!$X$5:$X$3004,ENSAYOS!$C$5:$C$3004,F88,ENSAYOS!$Q$5:$Q$3004,"&gt;0")-M88*P88^2)/(M88-1))))</f>
        <v/>
      </c>
      <c r="T88" s="17" t="str">
        <f aca="false">IF(S88="","",S88/P88)</f>
        <v/>
      </c>
      <c r="U88" s="16" t="str">
        <f aca="false">IF(N(M88)=0,"",IF(N88&gt;=CONFIG!$B$27,"",AVERAGEIFS(ENSAYOS!$Q$5:$Q$3004,ENSAYOS!$C$5:$C$3004,F88,ENSAYOS!$Q$5:$Q$3004,"&gt;0",ENSAYOS!$G$5:$G$3004,N88)))</f>
        <v/>
      </c>
      <c r="V88" s="16" t="str">
        <f aca="false">IF(N(M88)=0,"",IF(COUNTIFS(ENSAYOS!$C$5:$C$3004,F88,ENSAYOS!$Q$5:$Q$3004,"&gt;0",ENSAYOS!$G$5:$G$3004,"&gt;="&amp;CONFIG!$B$27)=0,"",AVERAGEIFS(ENSAYOS!$Q$5:$Q$3004,ENSAYOS!$C$5:$C$3004,F88,ENSAYOS!$Q$5:$Q$3004,"&gt;0",ENSAYOS!$G$5:$G$3004,"&gt;="&amp;CONFIG!$B$27)))</f>
        <v/>
      </c>
      <c r="W88" s="18" t="str">
        <f aca="false">IF(AND(U88&lt;&gt;"",V88&lt;&gt;""),U88/V88,"")</f>
        <v/>
      </c>
      <c r="X88" s="18" t="str">
        <f aca="false">IF(U88="","",INDEX('CURVA EDAD'!$E$5:$E$32,MIN(28,MAX(1,N88))))</f>
        <v/>
      </c>
      <c r="Y88" s="16" t="str">
        <f aca="false">IF(V88&lt;&gt;"",V88,IF(U88="","",U88/X88))</f>
        <v/>
      </c>
      <c r="Z88" s="16" t="str">
        <f aca="false">IF(V88&lt;&gt;"",_xlfn.MINIFS(ENSAYOS!$Q$5:$Q$3004,ENSAYOS!$C$5:$C$3004,F88,ENSAYOS!$Q$5:$Q$3004,"&gt;0",ENSAYOS!$G$5:$G$3004,"&gt;="&amp;CONFIG!$B$27),IF(U88="","",_xlfn.MINIFS(ENSAYOS!$Q$5:$Q$3004,ENSAYOS!$C$5:$C$3004,F88,ENSAYOS!$Q$5:$Q$3004,"&gt;0",ENSAYOS!$G$5:$G$3004,N88)/X88))</f>
        <v/>
      </c>
      <c r="AA88" s="16" t="str">
        <f aca="false">IF(D88="","",IFERROR(1/(1/INDEX(CONFIG!$J$5:$J$14,MATCH(D88,CONFIG!$D$5:$D$14,0))),""))</f>
        <v/>
      </c>
      <c r="AB88" s="16" t="str">
        <f aca="false">IF(D88="","",IFERROR(1/(1/INDEX(CONFIG!$K$5:$K$14,MATCH(D88,CONFIG!$D$5:$D$14,0))),""))</f>
        <v/>
      </c>
      <c r="AC88" s="19" t="str">
        <f aca="false">IF(N(M88)=0,"",IF(AA88="","Sin spec",IF(AND(Y88&gt;=AA88,OR(AB88="",Z88&gt;=AB88)),"CUMPLE","NO CUMPLE")&amp;IF(V88=""," (est.)","")))</f>
        <v/>
      </c>
      <c r="AD88" s="20" t="str">
        <f aca="false">IF(F88="","",IF(COUNTIFS(ABSORCION!$C$5:$C$1004,F88,ABSORCION!$I$5:$I$1004,"&gt;0")=0,"",AVERAGEIFS(ABSORCION!$I$5:$I$1004,ABSORCION!$C$5:$C$1004,F88,ABSORCION!$I$5:$I$1004,"&gt;0")))</f>
        <v/>
      </c>
      <c r="AE88" s="20" t="str">
        <f aca="false">IF(F88="","",IF(COUNTIFS(ABSORCION!$C$5:$C$1004,F88,ABSORCION!$I$5:$I$1004,"&gt;0")=0,"",AVERAGEIFS(ABSORCION!$K$5:$K$1004,ABSORCION!$C$5:$C$1004,F88,ABSORCION!$I$5:$I$1004,"&gt;0")))</f>
        <v/>
      </c>
      <c r="AF88" s="20" t="str">
        <f aca="false">IF(AE88="","",IF(AE88&gt;=CONFIG!$E$21,CONFIG!$F$21,IF(AE88&gt;=CONFIG!$E$20,CONFIG!$F$20,CONFIG!$F$19)))</f>
        <v/>
      </c>
      <c r="AG88" s="21" t="str">
        <f aca="false">IF(F88="","",TRIM(IF(N(M88)=0,"Sin ensayos. ","")&amp;IF(AND(N(M88)&gt;0,N(M88)&lt;CONFIG!$B$26),"Menos de "&amp;CONFIG!$B$26&amp;" probetas. ","")&amp;IF(N(T88)&gt;CONFIG!$B$25,"CV alto. ","")&amp;IF(AND(N(AD88)&gt;0,N(AD88)&gt;N(AF88)),"Absorción alta. ","")))</f>
        <v/>
      </c>
      <c r="AH88" s="22" t="str">
        <f aca="false">IF(AND(N(M88)&gt;0,OR(CONTROL!$C$4="TODAS",C88=CONTROL!$C$4),D88=CONTROL!$C$5),MAX($AH$4:AH87)+1,"")</f>
        <v/>
      </c>
      <c r="AI88" s="22" t="str">
        <f aca="false">IF(AH88="","",P88^2)</f>
        <v/>
      </c>
    </row>
    <row r="89" customFormat="false" ht="15" hidden="false" customHeight="false" outlineLevel="0" collapsed="false">
      <c r="A89" s="11" t="str">
        <f aca="false">IF(B89="","",ROW()-4)</f>
        <v/>
      </c>
      <c r="B89" s="12"/>
      <c r="C89" s="13"/>
      <c r="D89" s="13"/>
      <c r="E89" s="13"/>
      <c r="F89" s="14" t="str">
        <f aca="false">IF(OR(B89="",C89="",D89=""),"",IFERROR(INDEX(CONFIG!$E$5:$E$14,MATCH(D89,CONFIG!$D$5:$D$14,0)),"?")&amp;RIGHT("0"&amp;DAY(B89),2)&amp;RIGHT("0"&amp;MONTH(B89),2)&amp;RIGHT(YEAR(B89),2)&amp;C89&amp;IF(E89="","","-"&amp;E89))</f>
        <v/>
      </c>
      <c r="G89" s="13"/>
      <c r="H89" s="13"/>
      <c r="I89" s="13"/>
      <c r="J89" s="13"/>
      <c r="K89" s="13"/>
      <c r="L89" s="13"/>
      <c r="M89" s="11" t="str">
        <f aca="false">IF(F89="","",COUNTIFS(ENSAYOS!$C$5:$C$3004,F89,ENSAYOS!$Q$5:$Q$3004,"&gt;0"))</f>
        <v/>
      </c>
      <c r="N89" s="15" t="str">
        <f aca="false">IF(N(M89)=0,"",_xlfn.MINIFS(ENSAYOS!$G$5:$G$3004,ENSAYOS!$C$5:$C$3004,F89,ENSAYOS!$Q$5:$Q$3004,"&gt;0"))</f>
        <v/>
      </c>
      <c r="O89" s="15" t="str">
        <f aca="false">IF(N(M89)=0,"",_xlfn.MAXIFS(ENSAYOS!$G$5:$G$3004,ENSAYOS!$C$5:$C$3004,F89,ENSAYOS!$Q$5:$Q$3004,"&gt;0"))</f>
        <v/>
      </c>
      <c r="P89" s="16" t="str">
        <f aca="false">IF(N(M89)=0,"",AVERAGEIFS(ENSAYOS!$Q$5:$Q$3004,ENSAYOS!$C$5:$C$3004,F89,ENSAYOS!$Q$5:$Q$3004,"&gt;0"))</f>
        <v/>
      </c>
      <c r="Q89" s="16" t="str">
        <f aca="false">IF(N(M89)=0,"",_xlfn.MINIFS(ENSAYOS!$Q$5:$Q$3004,ENSAYOS!$C$5:$C$3004,F89,ENSAYOS!$Q$5:$Q$3004,"&gt;0"))</f>
        <v/>
      </c>
      <c r="R89" s="16" t="str">
        <f aca="false">IF(N(M89)=0,"",_xlfn.MAXIFS(ENSAYOS!$Q$5:$Q$3004,ENSAYOS!$C$5:$C$3004,F89,ENSAYOS!$Q$5:$Q$3004,"&gt;0"))</f>
        <v/>
      </c>
      <c r="S89" s="16" t="str">
        <f aca="false">IF(N(M89)&lt;2,"",SQRT(MAX(0,(SUMIFS(ENSAYOS!$X$5:$X$3004,ENSAYOS!$C$5:$C$3004,F89,ENSAYOS!$Q$5:$Q$3004,"&gt;0")-M89*P89^2)/(M89-1))))</f>
        <v/>
      </c>
      <c r="T89" s="17" t="str">
        <f aca="false">IF(S89="","",S89/P89)</f>
        <v/>
      </c>
      <c r="U89" s="16" t="str">
        <f aca="false">IF(N(M89)=0,"",IF(N89&gt;=CONFIG!$B$27,"",AVERAGEIFS(ENSAYOS!$Q$5:$Q$3004,ENSAYOS!$C$5:$C$3004,F89,ENSAYOS!$Q$5:$Q$3004,"&gt;0",ENSAYOS!$G$5:$G$3004,N89)))</f>
        <v/>
      </c>
      <c r="V89" s="16" t="str">
        <f aca="false">IF(N(M89)=0,"",IF(COUNTIFS(ENSAYOS!$C$5:$C$3004,F89,ENSAYOS!$Q$5:$Q$3004,"&gt;0",ENSAYOS!$G$5:$G$3004,"&gt;="&amp;CONFIG!$B$27)=0,"",AVERAGEIFS(ENSAYOS!$Q$5:$Q$3004,ENSAYOS!$C$5:$C$3004,F89,ENSAYOS!$Q$5:$Q$3004,"&gt;0",ENSAYOS!$G$5:$G$3004,"&gt;="&amp;CONFIG!$B$27)))</f>
        <v/>
      </c>
      <c r="W89" s="18" t="str">
        <f aca="false">IF(AND(U89&lt;&gt;"",V89&lt;&gt;""),U89/V89,"")</f>
        <v/>
      </c>
      <c r="X89" s="18" t="str">
        <f aca="false">IF(U89="","",INDEX('CURVA EDAD'!$E$5:$E$32,MIN(28,MAX(1,N89))))</f>
        <v/>
      </c>
      <c r="Y89" s="16" t="str">
        <f aca="false">IF(V89&lt;&gt;"",V89,IF(U89="","",U89/X89))</f>
        <v/>
      </c>
      <c r="Z89" s="16" t="str">
        <f aca="false">IF(V89&lt;&gt;"",_xlfn.MINIFS(ENSAYOS!$Q$5:$Q$3004,ENSAYOS!$C$5:$C$3004,F89,ENSAYOS!$Q$5:$Q$3004,"&gt;0",ENSAYOS!$G$5:$G$3004,"&gt;="&amp;CONFIG!$B$27),IF(U89="","",_xlfn.MINIFS(ENSAYOS!$Q$5:$Q$3004,ENSAYOS!$C$5:$C$3004,F89,ENSAYOS!$Q$5:$Q$3004,"&gt;0",ENSAYOS!$G$5:$G$3004,N89)/X89))</f>
        <v/>
      </c>
      <c r="AA89" s="16" t="str">
        <f aca="false">IF(D89="","",IFERROR(1/(1/INDEX(CONFIG!$J$5:$J$14,MATCH(D89,CONFIG!$D$5:$D$14,0))),""))</f>
        <v/>
      </c>
      <c r="AB89" s="16" t="str">
        <f aca="false">IF(D89="","",IFERROR(1/(1/INDEX(CONFIG!$K$5:$K$14,MATCH(D89,CONFIG!$D$5:$D$14,0))),""))</f>
        <v/>
      </c>
      <c r="AC89" s="19" t="str">
        <f aca="false">IF(N(M89)=0,"",IF(AA89="","Sin spec",IF(AND(Y89&gt;=AA89,OR(AB89="",Z89&gt;=AB89)),"CUMPLE","NO CUMPLE")&amp;IF(V89=""," (est.)","")))</f>
        <v/>
      </c>
      <c r="AD89" s="20" t="str">
        <f aca="false">IF(F89="","",IF(COUNTIFS(ABSORCION!$C$5:$C$1004,F89,ABSORCION!$I$5:$I$1004,"&gt;0")=0,"",AVERAGEIFS(ABSORCION!$I$5:$I$1004,ABSORCION!$C$5:$C$1004,F89,ABSORCION!$I$5:$I$1004,"&gt;0")))</f>
        <v/>
      </c>
      <c r="AE89" s="20" t="str">
        <f aca="false">IF(F89="","",IF(COUNTIFS(ABSORCION!$C$5:$C$1004,F89,ABSORCION!$I$5:$I$1004,"&gt;0")=0,"",AVERAGEIFS(ABSORCION!$K$5:$K$1004,ABSORCION!$C$5:$C$1004,F89,ABSORCION!$I$5:$I$1004,"&gt;0")))</f>
        <v/>
      </c>
      <c r="AF89" s="20" t="str">
        <f aca="false">IF(AE89="","",IF(AE89&gt;=CONFIG!$E$21,CONFIG!$F$21,IF(AE89&gt;=CONFIG!$E$20,CONFIG!$F$20,CONFIG!$F$19)))</f>
        <v/>
      </c>
      <c r="AG89" s="21" t="str">
        <f aca="false">IF(F89="","",TRIM(IF(N(M89)=0,"Sin ensayos. ","")&amp;IF(AND(N(M89)&gt;0,N(M89)&lt;CONFIG!$B$26),"Menos de "&amp;CONFIG!$B$26&amp;" probetas. ","")&amp;IF(N(T89)&gt;CONFIG!$B$25,"CV alto. ","")&amp;IF(AND(N(AD89)&gt;0,N(AD89)&gt;N(AF89)),"Absorción alta. ","")))</f>
        <v/>
      </c>
      <c r="AH89" s="22" t="str">
        <f aca="false">IF(AND(N(M89)&gt;0,OR(CONTROL!$C$4="TODAS",C89=CONTROL!$C$4),D89=CONTROL!$C$5),MAX($AH$4:AH88)+1,"")</f>
        <v/>
      </c>
      <c r="AI89" s="22" t="str">
        <f aca="false">IF(AH89="","",P89^2)</f>
        <v/>
      </c>
    </row>
    <row r="90" customFormat="false" ht="15" hidden="false" customHeight="false" outlineLevel="0" collapsed="false">
      <c r="A90" s="11" t="str">
        <f aca="false">IF(B90="","",ROW()-4)</f>
        <v/>
      </c>
      <c r="B90" s="12"/>
      <c r="C90" s="13"/>
      <c r="D90" s="13"/>
      <c r="E90" s="13"/>
      <c r="F90" s="14" t="str">
        <f aca="false">IF(OR(B90="",C90="",D90=""),"",IFERROR(INDEX(CONFIG!$E$5:$E$14,MATCH(D90,CONFIG!$D$5:$D$14,0)),"?")&amp;RIGHT("0"&amp;DAY(B90),2)&amp;RIGHT("0"&amp;MONTH(B90),2)&amp;RIGHT(YEAR(B90),2)&amp;C90&amp;IF(E90="","","-"&amp;E90))</f>
        <v/>
      </c>
      <c r="G90" s="13"/>
      <c r="H90" s="13"/>
      <c r="I90" s="13"/>
      <c r="J90" s="13"/>
      <c r="K90" s="13"/>
      <c r="L90" s="13"/>
      <c r="M90" s="11" t="str">
        <f aca="false">IF(F90="","",COUNTIFS(ENSAYOS!$C$5:$C$3004,F90,ENSAYOS!$Q$5:$Q$3004,"&gt;0"))</f>
        <v/>
      </c>
      <c r="N90" s="15" t="str">
        <f aca="false">IF(N(M90)=0,"",_xlfn.MINIFS(ENSAYOS!$G$5:$G$3004,ENSAYOS!$C$5:$C$3004,F90,ENSAYOS!$Q$5:$Q$3004,"&gt;0"))</f>
        <v/>
      </c>
      <c r="O90" s="15" t="str">
        <f aca="false">IF(N(M90)=0,"",_xlfn.MAXIFS(ENSAYOS!$G$5:$G$3004,ENSAYOS!$C$5:$C$3004,F90,ENSAYOS!$Q$5:$Q$3004,"&gt;0"))</f>
        <v/>
      </c>
      <c r="P90" s="16" t="str">
        <f aca="false">IF(N(M90)=0,"",AVERAGEIFS(ENSAYOS!$Q$5:$Q$3004,ENSAYOS!$C$5:$C$3004,F90,ENSAYOS!$Q$5:$Q$3004,"&gt;0"))</f>
        <v/>
      </c>
      <c r="Q90" s="16" t="str">
        <f aca="false">IF(N(M90)=0,"",_xlfn.MINIFS(ENSAYOS!$Q$5:$Q$3004,ENSAYOS!$C$5:$C$3004,F90,ENSAYOS!$Q$5:$Q$3004,"&gt;0"))</f>
        <v/>
      </c>
      <c r="R90" s="16" t="str">
        <f aca="false">IF(N(M90)=0,"",_xlfn.MAXIFS(ENSAYOS!$Q$5:$Q$3004,ENSAYOS!$C$5:$C$3004,F90,ENSAYOS!$Q$5:$Q$3004,"&gt;0"))</f>
        <v/>
      </c>
      <c r="S90" s="16" t="str">
        <f aca="false">IF(N(M90)&lt;2,"",SQRT(MAX(0,(SUMIFS(ENSAYOS!$X$5:$X$3004,ENSAYOS!$C$5:$C$3004,F90,ENSAYOS!$Q$5:$Q$3004,"&gt;0")-M90*P90^2)/(M90-1))))</f>
        <v/>
      </c>
      <c r="T90" s="17" t="str">
        <f aca="false">IF(S90="","",S90/P90)</f>
        <v/>
      </c>
      <c r="U90" s="16" t="str">
        <f aca="false">IF(N(M90)=0,"",IF(N90&gt;=CONFIG!$B$27,"",AVERAGEIFS(ENSAYOS!$Q$5:$Q$3004,ENSAYOS!$C$5:$C$3004,F90,ENSAYOS!$Q$5:$Q$3004,"&gt;0",ENSAYOS!$G$5:$G$3004,N90)))</f>
        <v/>
      </c>
      <c r="V90" s="16" t="str">
        <f aca="false">IF(N(M90)=0,"",IF(COUNTIFS(ENSAYOS!$C$5:$C$3004,F90,ENSAYOS!$Q$5:$Q$3004,"&gt;0",ENSAYOS!$G$5:$G$3004,"&gt;="&amp;CONFIG!$B$27)=0,"",AVERAGEIFS(ENSAYOS!$Q$5:$Q$3004,ENSAYOS!$C$5:$C$3004,F90,ENSAYOS!$Q$5:$Q$3004,"&gt;0",ENSAYOS!$G$5:$G$3004,"&gt;="&amp;CONFIG!$B$27)))</f>
        <v/>
      </c>
      <c r="W90" s="18" t="str">
        <f aca="false">IF(AND(U90&lt;&gt;"",V90&lt;&gt;""),U90/V90,"")</f>
        <v/>
      </c>
      <c r="X90" s="18" t="str">
        <f aca="false">IF(U90="","",INDEX('CURVA EDAD'!$E$5:$E$32,MIN(28,MAX(1,N90))))</f>
        <v/>
      </c>
      <c r="Y90" s="16" t="str">
        <f aca="false">IF(V90&lt;&gt;"",V90,IF(U90="","",U90/X90))</f>
        <v/>
      </c>
      <c r="Z90" s="16" t="str">
        <f aca="false">IF(V90&lt;&gt;"",_xlfn.MINIFS(ENSAYOS!$Q$5:$Q$3004,ENSAYOS!$C$5:$C$3004,F90,ENSAYOS!$Q$5:$Q$3004,"&gt;0",ENSAYOS!$G$5:$G$3004,"&gt;="&amp;CONFIG!$B$27),IF(U90="","",_xlfn.MINIFS(ENSAYOS!$Q$5:$Q$3004,ENSAYOS!$C$5:$C$3004,F90,ENSAYOS!$Q$5:$Q$3004,"&gt;0",ENSAYOS!$G$5:$G$3004,N90)/X90))</f>
        <v/>
      </c>
      <c r="AA90" s="16" t="str">
        <f aca="false">IF(D90="","",IFERROR(1/(1/INDEX(CONFIG!$J$5:$J$14,MATCH(D90,CONFIG!$D$5:$D$14,0))),""))</f>
        <v/>
      </c>
      <c r="AB90" s="16" t="str">
        <f aca="false">IF(D90="","",IFERROR(1/(1/INDEX(CONFIG!$K$5:$K$14,MATCH(D90,CONFIG!$D$5:$D$14,0))),""))</f>
        <v/>
      </c>
      <c r="AC90" s="19" t="str">
        <f aca="false">IF(N(M90)=0,"",IF(AA90="","Sin spec",IF(AND(Y90&gt;=AA90,OR(AB90="",Z90&gt;=AB90)),"CUMPLE","NO CUMPLE")&amp;IF(V90=""," (est.)","")))</f>
        <v/>
      </c>
      <c r="AD90" s="20" t="str">
        <f aca="false">IF(F90="","",IF(COUNTIFS(ABSORCION!$C$5:$C$1004,F90,ABSORCION!$I$5:$I$1004,"&gt;0")=0,"",AVERAGEIFS(ABSORCION!$I$5:$I$1004,ABSORCION!$C$5:$C$1004,F90,ABSORCION!$I$5:$I$1004,"&gt;0")))</f>
        <v/>
      </c>
      <c r="AE90" s="20" t="str">
        <f aca="false">IF(F90="","",IF(COUNTIFS(ABSORCION!$C$5:$C$1004,F90,ABSORCION!$I$5:$I$1004,"&gt;0")=0,"",AVERAGEIFS(ABSORCION!$K$5:$K$1004,ABSORCION!$C$5:$C$1004,F90,ABSORCION!$I$5:$I$1004,"&gt;0")))</f>
        <v/>
      </c>
      <c r="AF90" s="20" t="str">
        <f aca="false">IF(AE90="","",IF(AE90&gt;=CONFIG!$E$21,CONFIG!$F$21,IF(AE90&gt;=CONFIG!$E$20,CONFIG!$F$20,CONFIG!$F$19)))</f>
        <v/>
      </c>
      <c r="AG90" s="21" t="str">
        <f aca="false">IF(F90="","",TRIM(IF(N(M90)=0,"Sin ensayos. ","")&amp;IF(AND(N(M90)&gt;0,N(M90)&lt;CONFIG!$B$26),"Menos de "&amp;CONFIG!$B$26&amp;" probetas. ","")&amp;IF(N(T90)&gt;CONFIG!$B$25,"CV alto. ","")&amp;IF(AND(N(AD90)&gt;0,N(AD90)&gt;N(AF90)),"Absorción alta. ","")))</f>
        <v/>
      </c>
      <c r="AH90" s="22" t="str">
        <f aca="false">IF(AND(N(M90)&gt;0,OR(CONTROL!$C$4="TODAS",C90=CONTROL!$C$4),D90=CONTROL!$C$5),MAX($AH$4:AH89)+1,"")</f>
        <v/>
      </c>
      <c r="AI90" s="22" t="str">
        <f aca="false">IF(AH90="","",P90^2)</f>
        <v/>
      </c>
    </row>
    <row r="91" customFormat="false" ht="15" hidden="false" customHeight="false" outlineLevel="0" collapsed="false">
      <c r="A91" s="11" t="str">
        <f aca="false">IF(B91="","",ROW()-4)</f>
        <v/>
      </c>
      <c r="B91" s="12"/>
      <c r="C91" s="13"/>
      <c r="D91" s="13"/>
      <c r="E91" s="13"/>
      <c r="F91" s="14" t="str">
        <f aca="false">IF(OR(B91="",C91="",D91=""),"",IFERROR(INDEX(CONFIG!$E$5:$E$14,MATCH(D91,CONFIG!$D$5:$D$14,0)),"?")&amp;RIGHT("0"&amp;DAY(B91),2)&amp;RIGHT("0"&amp;MONTH(B91),2)&amp;RIGHT(YEAR(B91),2)&amp;C91&amp;IF(E91="","","-"&amp;E91))</f>
        <v/>
      </c>
      <c r="G91" s="13"/>
      <c r="H91" s="13"/>
      <c r="I91" s="13"/>
      <c r="J91" s="13"/>
      <c r="K91" s="13"/>
      <c r="L91" s="13"/>
      <c r="M91" s="11" t="str">
        <f aca="false">IF(F91="","",COUNTIFS(ENSAYOS!$C$5:$C$3004,F91,ENSAYOS!$Q$5:$Q$3004,"&gt;0"))</f>
        <v/>
      </c>
      <c r="N91" s="15" t="str">
        <f aca="false">IF(N(M91)=0,"",_xlfn.MINIFS(ENSAYOS!$G$5:$G$3004,ENSAYOS!$C$5:$C$3004,F91,ENSAYOS!$Q$5:$Q$3004,"&gt;0"))</f>
        <v/>
      </c>
      <c r="O91" s="15" t="str">
        <f aca="false">IF(N(M91)=0,"",_xlfn.MAXIFS(ENSAYOS!$G$5:$G$3004,ENSAYOS!$C$5:$C$3004,F91,ENSAYOS!$Q$5:$Q$3004,"&gt;0"))</f>
        <v/>
      </c>
      <c r="P91" s="16" t="str">
        <f aca="false">IF(N(M91)=0,"",AVERAGEIFS(ENSAYOS!$Q$5:$Q$3004,ENSAYOS!$C$5:$C$3004,F91,ENSAYOS!$Q$5:$Q$3004,"&gt;0"))</f>
        <v/>
      </c>
      <c r="Q91" s="16" t="str">
        <f aca="false">IF(N(M91)=0,"",_xlfn.MINIFS(ENSAYOS!$Q$5:$Q$3004,ENSAYOS!$C$5:$C$3004,F91,ENSAYOS!$Q$5:$Q$3004,"&gt;0"))</f>
        <v/>
      </c>
      <c r="R91" s="16" t="str">
        <f aca="false">IF(N(M91)=0,"",_xlfn.MAXIFS(ENSAYOS!$Q$5:$Q$3004,ENSAYOS!$C$5:$C$3004,F91,ENSAYOS!$Q$5:$Q$3004,"&gt;0"))</f>
        <v/>
      </c>
      <c r="S91" s="16" t="str">
        <f aca="false">IF(N(M91)&lt;2,"",SQRT(MAX(0,(SUMIFS(ENSAYOS!$X$5:$X$3004,ENSAYOS!$C$5:$C$3004,F91,ENSAYOS!$Q$5:$Q$3004,"&gt;0")-M91*P91^2)/(M91-1))))</f>
        <v/>
      </c>
      <c r="T91" s="17" t="str">
        <f aca="false">IF(S91="","",S91/P91)</f>
        <v/>
      </c>
      <c r="U91" s="16" t="str">
        <f aca="false">IF(N(M91)=0,"",IF(N91&gt;=CONFIG!$B$27,"",AVERAGEIFS(ENSAYOS!$Q$5:$Q$3004,ENSAYOS!$C$5:$C$3004,F91,ENSAYOS!$Q$5:$Q$3004,"&gt;0",ENSAYOS!$G$5:$G$3004,N91)))</f>
        <v/>
      </c>
      <c r="V91" s="16" t="str">
        <f aca="false">IF(N(M91)=0,"",IF(COUNTIFS(ENSAYOS!$C$5:$C$3004,F91,ENSAYOS!$Q$5:$Q$3004,"&gt;0",ENSAYOS!$G$5:$G$3004,"&gt;="&amp;CONFIG!$B$27)=0,"",AVERAGEIFS(ENSAYOS!$Q$5:$Q$3004,ENSAYOS!$C$5:$C$3004,F91,ENSAYOS!$Q$5:$Q$3004,"&gt;0",ENSAYOS!$G$5:$G$3004,"&gt;="&amp;CONFIG!$B$27)))</f>
        <v/>
      </c>
      <c r="W91" s="18" t="str">
        <f aca="false">IF(AND(U91&lt;&gt;"",V91&lt;&gt;""),U91/V91,"")</f>
        <v/>
      </c>
      <c r="X91" s="18" t="str">
        <f aca="false">IF(U91="","",INDEX('CURVA EDAD'!$E$5:$E$32,MIN(28,MAX(1,N91))))</f>
        <v/>
      </c>
      <c r="Y91" s="16" t="str">
        <f aca="false">IF(V91&lt;&gt;"",V91,IF(U91="","",U91/X91))</f>
        <v/>
      </c>
      <c r="Z91" s="16" t="str">
        <f aca="false">IF(V91&lt;&gt;"",_xlfn.MINIFS(ENSAYOS!$Q$5:$Q$3004,ENSAYOS!$C$5:$C$3004,F91,ENSAYOS!$Q$5:$Q$3004,"&gt;0",ENSAYOS!$G$5:$G$3004,"&gt;="&amp;CONFIG!$B$27),IF(U91="","",_xlfn.MINIFS(ENSAYOS!$Q$5:$Q$3004,ENSAYOS!$C$5:$C$3004,F91,ENSAYOS!$Q$5:$Q$3004,"&gt;0",ENSAYOS!$G$5:$G$3004,N91)/X91))</f>
        <v/>
      </c>
      <c r="AA91" s="16" t="str">
        <f aca="false">IF(D91="","",IFERROR(1/(1/INDEX(CONFIG!$J$5:$J$14,MATCH(D91,CONFIG!$D$5:$D$14,0))),""))</f>
        <v/>
      </c>
      <c r="AB91" s="16" t="str">
        <f aca="false">IF(D91="","",IFERROR(1/(1/INDEX(CONFIG!$K$5:$K$14,MATCH(D91,CONFIG!$D$5:$D$14,0))),""))</f>
        <v/>
      </c>
      <c r="AC91" s="19" t="str">
        <f aca="false">IF(N(M91)=0,"",IF(AA91="","Sin spec",IF(AND(Y91&gt;=AA91,OR(AB91="",Z91&gt;=AB91)),"CUMPLE","NO CUMPLE")&amp;IF(V91=""," (est.)","")))</f>
        <v/>
      </c>
      <c r="AD91" s="20" t="str">
        <f aca="false">IF(F91="","",IF(COUNTIFS(ABSORCION!$C$5:$C$1004,F91,ABSORCION!$I$5:$I$1004,"&gt;0")=0,"",AVERAGEIFS(ABSORCION!$I$5:$I$1004,ABSORCION!$C$5:$C$1004,F91,ABSORCION!$I$5:$I$1004,"&gt;0")))</f>
        <v/>
      </c>
      <c r="AE91" s="20" t="str">
        <f aca="false">IF(F91="","",IF(COUNTIFS(ABSORCION!$C$5:$C$1004,F91,ABSORCION!$I$5:$I$1004,"&gt;0")=0,"",AVERAGEIFS(ABSORCION!$K$5:$K$1004,ABSORCION!$C$5:$C$1004,F91,ABSORCION!$I$5:$I$1004,"&gt;0")))</f>
        <v/>
      </c>
      <c r="AF91" s="20" t="str">
        <f aca="false">IF(AE91="","",IF(AE91&gt;=CONFIG!$E$21,CONFIG!$F$21,IF(AE91&gt;=CONFIG!$E$20,CONFIG!$F$20,CONFIG!$F$19)))</f>
        <v/>
      </c>
      <c r="AG91" s="21" t="str">
        <f aca="false">IF(F91="","",TRIM(IF(N(M91)=0,"Sin ensayos. ","")&amp;IF(AND(N(M91)&gt;0,N(M91)&lt;CONFIG!$B$26),"Menos de "&amp;CONFIG!$B$26&amp;" probetas. ","")&amp;IF(N(T91)&gt;CONFIG!$B$25,"CV alto. ","")&amp;IF(AND(N(AD91)&gt;0,N(AD91)&gt;N(AF91)),"Absorción alta. ","")))</f>
        <v/>
      </c>
      <c r="AH91" s="22" t="str">
        <f aca="false">IF(AND(N(M91)&gt;0,OR(CONTROL!$C$4="TODAS",C91=CONTROL!$C$4),D91=CONTROL!$C$5),MAX($AH$4:AH90)+1,"")</f>
        <v/>
      </c>
      <c r="AI91" s="22" t="str">
        <f aca="false">IF(AH91="","",P91^2)</f>
        <v/>
      </c>
    </row>
    <row r="92" customFormat="false" ht="15" hidden="false" customHeight="false" outlineLevel="0" collapsed="false">
      <c r="A92" s="11" t="str">
        <f aca="false">IF(B92="","",ROW()-4)</f>
        <v/>
      </c>
      <c r="B92" s="12"/>
      <c r="C92" s="13"/>
      <c r="D92" s="13"/>
      <c r="E92" s="13"/>
      <c r="F92" s="14" t="str">
        <f aca="false">IF(OR(B92="",C92="",D92=""),"",IFERROR(INDEX(CONFIG!$E$5:$E$14,MATCH(D92,CONFIG!$D$5:$D$14,0)),"?")&amp;RIGHT("0"&amp;DAY(B92),2)&amp;RIGHT("0"&amp;MONTH(B92),2)&amp;RIGHT(YEAR(B92),2)&amp;C92&amp;IF(E92="","","-"&amp;E92))</f>
        <v/>
      </c>
      <c r="G92" s="13"/>
      <c r="H92" s="13"/>
      <c r="I92" s="13"/>
      <c r="J92" s="13"/>
      <c r="K92" s="13"/>
      <c r="L92" s="13"/>
      <c r="M92" s="11" t="str">
        <f aca="false">IF(F92="","",COUNTIFS(ENSAYOS!$C$5:$C$3004,F92,ENSAYOS!$Q$5:$Q$3004,"&gt;0"))</f>
        <v/>
      </c>
      <c r="N92" s="15" t="str">
        <f aca="false">IF(N(M92)=0,"",_xlfn.MINIFS(ENSAYOS!$G$5:$G$3004,ENSAYOS!$C$5:$C$3004,F92,ENSAYOS!$Q$5:$Q$3004,"&gt;0"))</f>
        <v/>
      </c>
      <c r="O92" s="15" t="str">
        <f aca="false">IF(N(M92)=0,"",_xlfn.MAXIFS(ENSAYOS!$G$5:$G$3004,ENSAYOS!$C$5:$C$3004,F92,ENSAYOS!$Q$5:$Q$3004,"&gt;0"))</f>
        <v/>
      </c>
      <c r="P92" s="16" t="str">
        <f aca="false">IF(N(M92)=0,"",AVERAGEIFS(ENSAYOS!$Q$5:$Q$3004,ENSAYOS!$C$5:$C$3004,F92,ENSAYOS!$Q$5:$Q$3004,"&gt;0"))</f>
        <v/>
      </c>
      <c r="Q92" s="16" t="str">
        <f aca="false">IF(N(M92)=0,"",_xlfn.MINIFS(ENSAYOS!$Q$5:$Q$3004,ENSAYOS!$C$5:$C$3004,F92,ENSAYOS!$Q$5:$Q$3004,"&gt;0"))</f>
        <v/>
      </c>
      <c r="R92" s="16" t="str">
        <f aca="false">IF(N(M92)=0,"",_xlfn.MAXIFS(ENSAYOS!$Q$5:$Q$3004,ENSAYOS!$C$5:$C$3004,F92,ENSAYOS!$Q$5:$Q$3004,"&gt;0"))</f>
        <v/>
      </c>
      <c r="S92" s="16" t="str">
        <f aca="false">IF(N(M92)&lt;2,"",SQRT(MAX(0,(SUMIFS(ENSAYOS!$X$5:$X$3004,ENSAYOS!$C$5:$C$3004,F92,ENSAYOS!$Q$5:$Q$3004,"&gt;0")-M92*P92^2)/(M92-1))))</f>
        <v/>
      </c>
      <c r="T92" s="17" t="str">
        <f aca="false">IF(S92="","",S92/P92)</f>
        <v/>
      </c>
      <c r="U92" s="16" t="str">
        <f aca="false">IF(N(M92)=0,"",IF(N92&gt;=CONFIG!$B$27,"",AVERAGEIFS(ENSAYOS!$Q$5:$Q$3004,ENSAYOS!$C$5:$C$3004,F92,ENSAYOS!$Q$5:$Q$3004,"&gt;0",ENSAYOS!$G$5:$G$3004,N92)))</f>
        <v/>
      </c>
      <c r="V92" s="16" t="str">
        <f aca="false">IF(N(M92)=0,"",IF(COUNTIFS(ENSAYOS!$C$5:$C$3004,F92,ENSAYOS!$Q$5:$Q$3004,"&gt;0",ENSAYOS!$G$5:$G$3004,"&gt;="&amp;CONFIG!$B$27)=0,"",AVERAGEIFS(ENSAYOS!$Q$5:$Q$3004,ENSAYOS!$C$5:$C$3004,F92,ENSAYOS!$Q$5:$Q$3004,"&gt;0",ENSAYOS!$G$5:$G$3004,"&gt;="&amp;CONFIG!$B$27)))</f>
        <v/>
      </c>
      <c r="W92" s="18" t="str">
        <f aca="false">IF(AND(U92&lt;&gt;"",V92&lt;&gt;""),U92/V92,"")</f>
        <v/>
      </c>
      <c r="X92" s="18" t="str">
        <f aca="false">IF(U92="","",INDEX('CURVA EDAD'!$E$5:$E$32,MIN(28,MAX(1,N92))))</f>
        <v/>
      </c>
      <c r="Y92" s="16" t="str">
        <f aca="false">IF(V92&lt;&gt;"",V92,IF(U92="","",U92/X92))</f>
        <v/>
      </c>
      <c r="Z92" s="16" t="str">
        <f aca="false">IF(V92&lt;&gt;"",_xlfn.MINIFS(ENSAYOS!$Q$5:$Q$3004,ENSAYOS!$C$5:$C$3004,F92,ENSAYOS!$Q$5:$Q$3004,"&gt;0",ENSAYOS!$G$5:$G$3004,"&gt;="&amp;CONFIG!$B$27),IF(U92="","",_xlfn.MINIFS(ENSAYOS!$Q$5:$Q$3004,ENSAYOS!$C$5:$C$3004,F92,ENSAYOS!$Q$5:$Q$3004,"&gt;0",ENSAYOS!$G$5:$G$3004,N92)/X92))</f>
        <v/>
      </c>
      <c r="AA92" s="16" t="str">
        <f aca="false">IF(D92="","",IFERROR(1/(1/INDEX(CONFIG!$J$5:$J$14,MATCH(D92,CONFIG!$D$5:$D$14,0))),""))</f>
        <v/>
      </c>
      <c r="AB92" s="16" t="str">
        <f aca="false">IF(D92="","",IFERROR(1/(1/INDEX(CONFIG!$K$5:$K$14,MATCH(D92,CONFIG!$D$5:$D$14,0))),""))</f>
        <v/>
      </c>
      <c r="AC92" s="19" t="str">
        <f aca="false">IF(N(M92)=0,"",IF(AA92="","Sin spec",IF(AND(Y92&gt;=AA92,OR(AB92="",Z92&gt;=AB92)),"CUMPLE","NO CUMPLE")&amp;IF(V92=""," (est.)","")))</f>
        <v/>
      </c>
      <c r="AD92" s="20" t="str">
        <f aca="false">IF(F92="","",IF(COUNTIFS(ABSORCION!$C$5:$C$1004,F92,ABSORCION!$I$5:$I$1004,"&gt;0")=0,"",AVERAGEIFS(ABSORCION!$I$5:$I$1004,ABSORCION!$C$5:$C$1004,F92,ABSORCION!$I$5:$I$1004,"&gt;0")))</f>
        <v/>
      </c>
      <c r="AE92" s="20" t="str">
        <f aca="false">IF(F92="","",IF(COUNTIFS(ABSORCION!$C$5:$C$1004,F92,ABSORCION!$I$5:$I$1004,"&gt;0")=0,"",AVERAGEIFS(ABSORCION!$K$5:$K$1004,ABSORCION!$C$5:$C$1004,F92,ABSORCION!$I$5:$I$1004,"&gt;0")))</f>
        <v/>
      </c>
      <c r="AF92" s="20" t="str">
        <f aca="false">IF(AE92="","",IF(AE92&gt;=CONFIG!$E$21,CONFIG!$F$21,IF(AE92&gt;=CONFIG!$E$20,CONFIG!$F$20,CONFIG!$F$19)))</f>
        <v/>
      </c>
      <c r="AG92" s="21" t="str">
        <f aca="false">IF(F92="","",TRIM(IF(N(M92)=0,"Sin ensayos. ","")&amp;IF(AND(N(M92)&gt;0,N(M92)&lt;CONFIG!$B$26),"Menos de "&amp;CONFIG!$B$26&amp;" probetas. ","")&amp;IF(N(T92)&gt;CONFIG!$B$25,"CV alto. ","")&amp;IF(AND(N(AD92)&gt;0,N(AD92)&gt;N(AF92)),"Absorción alta. ","")))</f>
        <v/>
      </c>
      <c r="AH92" s="22" t="str">
        <f aca="false">IF(AND(N(M92)&gt;0,OR(CONTROL!$C$4="TODAS",C92=CONTROL!$C$4),D92=CONTROL!$C$5),MAX($AH$4:AH91)+1,"")</f>
        <v/>
      </c>
      <c r="AI92" s="22" t="str">
        <f aca="false">IF(AH92="","",P92^2)</f>
        <v/>
      </c>
    </row>
    <row r="93" customFormat="false" ht="15" hidden="false" customHeight="false" outlineLevel="0" collapsed="false">
      <c r="A93" s="11" t="str">
        <f aca="false">IF(B93="","",ROW()-4)</f>
        <v/>
      </c>
      <c r="B93" s="12"/>
      <c r="C93" s="13"/>
      <c r="D93" s="13"/>
      <c r="E93" s="13"/>
      <c r="F93" s="14" t="str">
        <f aca="false">IF(OR(B93="",C93="",D93=""),"",IFERROR(INDEX(CONFIG!$E$5:$E$14,MATCH(D93,CONFIG!$D$5:$D$14,0)),"?")&amp;RIGHT("0"&amp;DAY(B93),2)&amp;RIGHT("0"&amp;MONTH(B93),2)&amp;RIGHT(YEAR(B93),2)&amp;C93&amp;IF(E93="","","-"&amp;E93))</f>
        <v/>
      </c>
      <c r="G93" s="13"/>
      <c r="H93" s="13"/>
      <c r="I93" s="13"/>
      <c r="J93" s="13"/>
      <c r="K93" s="13"/>
      <c r="L93" s="13"/>
      <c r="M93" s="11" t="str">
        <f aca="false">IF(F93="","",COUNTIFS(ENSAYOS!$C$5:$C$3004,F93,ENSAYOS!$Q$5:$Q$3004,"&gt;0"))</f>
        <v/>
      </c>
      <c r="N93" s="15" t="str">
        <f aca="false">IF(N(M93)=0,"",_xlfn.MINIFS(ENSAYOS!$G$5:$G$3004,ENSAYOS!$C$5:$C$3004,F93,ENSAYOS!$Q$5:$Q$3004,"&gt;0"))</f>
        <v/>
      </c>
      <c r="O93" s="15" t="str">
        <f aca="false">IF(N(M93)=0,"",_xlfn.MAXIFS(ENSAYOS!$G$5:$G$3004,ENSAYOS!$C$5:$C$3004,F93,ENSAYOS!$Q$5:$Q$3004,"&gt;0"))</f>
        <v/>
      </c>
      <c r="P93" s="16" t="str">
        <f aca="false">IF(N(M93)=0,"",AVERAGEIFS(ENSAYOS!$Q$5:$Q$3004,ENSAYOS!$C$5:$C$3004,F93,ENSAYOS!$Q$5:$Q$3004,"&gt;0"))</f>
        <v/>
      </c>
      <c r="Q93" s="16" t="str">
        <f aca="false">IF(N(M93)=0,"",_xlfn.MINIFS(ENSAYOS!$Q$5:$Q$3004,ENSAYOS!$C$5:$C$3004,F93,ENSAYOS!$Q$5:$Q$3004,"&gt;0"))</f>
        <v/>
      </c>
      <c r="R93" s="16" t="str">
        <f aca="false">IF(N(M93)=0,"",_xlfn.MAXIFS(ENSAYOS!$Q$5:$Q$3004,ENSAYOS!$C$5:$C$3004,F93,ENSAYOS!$Q$5:$Q$3004,"&gt;0"))</f>
        <v/>
      </c>
      <c r="S93" s="16" t="str">
        <f aca="false">IF(N(M93)&lt;2,"",SQRT(MAX(0,(SUMIFS(ENSAYOS!$X$5:$X$3004,ENSAYOS!$C$5:$C$3004,F93,ENSAYOS!$Q$5:$Q$3004,"&gt;0")-M93*P93^2)/(M93-1))))</f>
        <v/>
      </c>
      <c r="T93" s="17" t="str">
        <f aca="false">IF(S93="","",S93/P93)</f>
        <v/>
      </c>
      <c r="U93" s="16" t="str">
        <f aca="false">IF(N(M93)=0,"",IF(N93&gt;=CONFIG!$B$27,"",AVERAGEIFS(ENSAYOS!$Q$5:$Q$3004,ENSAYOS!$C$5:$C$3004,F93,ENSAYOS!$Q$5:$Q$3004,"&gt;0",ENSAYOS!$G$5:$G$3004,N93)))</f>
        <v/>
      </c>
      <c r="V93" s="16" t="str">
        <f aca="false">IF(N(M93)=0,"",IF(COUNTIFS(ENSAYOS!$C$5:$C$3004,F93,ENSAYOS!$Q$5:$Q$3004,"&gt;0",ENSAYOS!$G$5:$G$3004,"&gt;="&amp;CONFIG!$B$27)=0,"",AVERAGEIFS(ENSAYOS!$Q$5:$Q$3004,ENSAYOS!$C$5:$C$3004,F93,ENSAYOS!$Q$5:$Q$3004,"&gt;0",ENSAYOS!$G$5:$G$3004,"&gt;="&amp;CONFIG!$B$27)))</f>
        <v/>
      </c>
      <c r="W93" s="18" t="str">
        <f aca="false">IF(AND(U93&lt;&gt;"",V93&lt;&gt;""),U93/V93,"")</f>
        <v/>
      </c>
      <c r="X93" s="18" t="str">
        <f aca="false">IF(U93="","",INDEX('CURVA EDAD'!$E$5:$E$32,MIN(28,MAX(1,N93))))</f>
        <v/>
      </c>
      <c r="Y93" s="16" t="str">
        <f aca="false">IF(V93&lt;&gt;"",V93,IF(U93="","",U93/X93))</f>
        <v/>
      </c>
      <c r="Z93" s="16" t="str">
        <f aca="false">IF(V93&lt;&gt;"",_xlfn.MINIFS(ENSAYOS!$Q$5:$Q$3004,ENSAYOS!$C$5:$C$3004,F93,ENSAYOS!$Q$5:$Q$3004,"&gt;0",ENSAYOS!$G$5:$G$3004,"&gt;="&amp;CONFIG!$B$27),IF(U93="","",_xlfn.MINIFS(ENSAYOS!$Q$5:$Q$3004,ENSAYOS!$C$5:$C$3004,F93,ENSAYOS!$Q$5:$Q$3004,"&gt;0",ENSAYOS!$G$5:$G$3004,N93)/X93))</f>
        <v/>
      </c>
      <c r="AA93" s="16" t="str">
        <f aca="false">IF(D93="","",IFERROR(1/(1/INDEX(CONFIG!$J$5:$J$14,MATCH(D93,CONFIG!$D$5:$D$14,0))),""))</f>
        <v/>
      </c>
      <c r="AB93" s="16" t="str">
        <f aca="false">IF(D93="","",IFERROR(1/(1/INDEX(CONFIG!$K$5:$K$14,MATCH(D93,CONFIG!$D$5:$D$14,0))),""))</f>
        <v/>
      </c>
      <c r="AC93" s="19" t="str">
        <f aca="false">IF(N(M93)=0,"",IF(AA93="","Sin spec",IF(AND(Y93&gt;=AA93,OR(AB93="",Z93&gt;=AB93)),"CUMPLE","NO CUMPLE")&amp;IF(V93=""," (est.)","")))</f>
        <v/>
      </c>
      <c r="AD93" s="20" t="str">
        <f aca="false">IF(F93="","",IF(COUNTIFS(ABSORCION!$C$5:$C$1004,F93,ABSORCION!$I$5:$I$1004,"&gt;0")=0,"",AVERAGEIFS(ABSORCION!$I$5:$I$1004,ABSORCION!$C$5:$C$1004,F93,ABSORCION!$I$5:$I$1004,"&gt;0")))</f>
        <v/>
      </c>
      <c r="AE93" s="20" t="str">
        <f aca="false">IF(F93="","",IF(COUNTIFS(ABSORCION!$C$5:$C$1004,F93,ABSORCION!$I$5:$I$1004,"&gt;0")=0,"",AVERAGEIFS(ABSORCION!$K$5:$K$1004,ABSORCION!$C$5:$C$1004,F93,ABSORCION!$I$5:$I$1004,"&gt;0")))</f>
        <v/>
      </c>
      <c r="AF93" s="20" t="str">
        <f aca="false">IF(AE93="","",IF(AE93&gt;=CONFIG!$E$21,CONFIG!$F$21,IF(AE93&gt;=CONFIG!$E$20,CONFIG!$F$20,CONFIG!$F$19)))</f>
        <v/>
      </c>
      <c r="AG93" s="21" t="str">
        <f aca="false">IF(F93="","",TRIM(IF(N(M93)=0,"Sin ensayos. ","")&amp;IF(AND(N(M93)&gt;0,N(M93)&lt;CONFIG!$B$26),"Menos de "&amp;CONFIG!$B$26&amp;" probetas. ","")&amp;IF(N(T93)&gt;CONFIG!$B$25,"CV alto. ","")&amp;IF(AND(N(AD93)&gt;0,N(AD93)&gt;N(AF93)),"Absorción alta. ","")))</f>
        <v/>
      </c>
      <c r="AH93" s="22" t="str">
        <f aca="false">IF(AND(N(M93)&gt;0,OR(CONTROL!$C$4="TODAS",C93=CONTROL!$C$4),D93=CONTROL!$C$5),MAX($AH$4:AH92)+1,"")</f>
        <v/>
      </c>
      <c r="AI93" s="22" t="str">
        <f aca="false">IF(AH93="","",P93^2)</f>
        <v/>
      </c>
    </row>
    <row r="94" customFormat="false" ht="15" hidden="false" customHeight="false" outlineLevel="0" collapsed="false">
      <c r="A94" s="11" t="str">
        <f aca="false">IF(B94="","",ROW()-4)</f>
        <v/>
      </c>
      <c r="B94" s="12"/>
      <c r="C94" s="13"/>
      <c r="D94" s="13"/>
      <c r="E94" s="13"/>
      <c r="F94" s="14" t="str">
        <f aca="false">IF(OR(B94="",C94="",D94=""),"",IFERROR(INDEX(CONFIG!$E$5:$E$14,MATCH(D94,CONFIG!$D$5:$D$14,0)),"?")&amp;RIGHT("0"&amp;DAY(B94),2)&amp;RIGHT("0"&amp;MONTH(B94),2)&amp;RIGHT(YEAR(B94),2)&amp;C94&amp;IF(E94="","","-"&amp;E94))</f>
        <v/>
      </c>
      <c r="G94" s="13"/>
      <c r="H94" s="13"/>
      <c r="I94" s="13"/>
      <c r="J94" s="13"/>
      <c r="K94" s="13"/>
      <c r="L94" s="13"/>
      <c r="M94" s="11" t="str">
        <f aca="false">IF(F94="","",COUNTIFS(ENSAYOS!$C$5:$C$3004,F94,ENSAYOS!$Q$5:$Q$3004,"&gt;0"))</f>
        <v/>
      </c>
      <c r="N94" s="15" t="str">
        <f aca="false">IF(N(M94)=0,"",_xlfn.MINIFS(ENSAYOS!$G$5:$G$3004,ENSAYOS!$C$5:$C$3004,F94,ENSAYOS!$Q$5:$Q$3004,"&gt;0"))</f>
        <v/>
      </c>
      <c r="O94" s="15" t="str">
        <f aca="false">IF(N(M94)=0,"",_xlfn.MAXIFS(ENSAYOS!$G$5:$G$3004,ENSAYOS!$C$5:$C$3004,F94,ENSAYOS!$Q$5:$Q$3004,"&gt;0"))</f>
        <v/>
      </c>
      <c r="P94" s="16" t="str">
        <f aca="false">IF(N(M94)=0,"",AVERAGEIFS(ENSAYOS!$Q$5:$Q$3004,ENSAYOS!$C$5:$C$3004,F94,ENSAYOS!$Q$5:$Q$3004,"&gt;0"))</f>
        <v/>
      </c>
      <c r="Q94" s="16" t="str">
        <f aca="false">IF(N(M94)=0,"",_xlfn.MINIFS(ENSAYOS!$Q$5:$Q$3004,ENSAYOS!$C$5:$C$3004,F94,ENSAYOS!$Q$5:$Q$3004,"&gt;0"))</f>
        <v/>
      </c>
      <c r="R94" s="16" t="str">
        <f aca="false">IF(N(M94)=0,"",_xlfn.MAXIFS(ENSAYOS!$Q$5:$Q$3004,ENSAYOS!$C$5:$C$3004,F94,ENSAYOS!$Q$5:$Q$3004,"&gt;0"))</f>
        <v/>
      </c>
      <c r="S94" s="16" t="str">
        <f aca="false">IF(N(M94)&lt;2,"",SQRT(MAX(0,(SUMIFS(ENSAYOS!$X$5:$X$3004,ENSAYOS!$C$5:$C$3004,F94,ENSAYOS!$Q$5:$Q$3004,"&gt;0")-M94*P94^2)/(M94-1))))</f>
        <v/>
      </c>
      <c r="T94" s="17" t="str">
        <f aca="false">IF(S94="","",S94/P94)</f>
        <v/>
      </c>
      <c r="U94" s="16" t="str">
        <f aca="false">IF(N(M94)=0,"",IF(N94&gt;=CONFIG!$B$27,"",AVERAGEIFS(ENSAYOS!$Q$5:$Q$3004,ENSAYOS!$C$5:$C$3004,F94,ENSAYOS!$Q$5:$Q$3004,"&gt;0",ENSAYOS!$G$5:$G$3004,N94)))</f>
        <v/>
      </c>
      <c r="V94" s="16" t="str">
        <f aca="false">IF(N(M94)=0,"",IF(COUNTIFS(ENSAYOS!$C$5:$C$3004,F94,ENSAYOS!$Q$5:$Q$3004,"&gt;0",ENSAYOS!$G$5:$G$3004,"&gt;="&amp;CONFIG!$B$27)=0,"",AVERAGEIFS(ENSAYOS!$Q$5:$Q$3004,ENSAYOS!$C$5:$C$3004,F94,ENSAYOS!$Q$5:$Q$3004,"&gt;0",ENSAYOS!$G$5:$G$3004,"&gt;="&amp;CONFIG!$B$27)))</f>
        <v/>
      </c>
      <c r="W94" s="18" t="str">
        <f aca="false">IF(AND(U94&lt;&gt;"",V94&lt;&gt;""),U94/V94,"")</f>
        <v/>
      </c>
      <c r="X94" s="18" t="str">
        <f aca="false">IF(U94="","",INDEX('CURVA EDAD'!$E$5:$E$32,MIN(28,MAX(1,N94))))</f>
        <v/>
      </c>
      <c r="Y94" s="16" t="str">
        <f aca="false">IF(V94&lt;&gt;"",V94,IF(U94="","",U94/X94))</f>
        <v/>
      </c>
      <c r="Z94" s="16" t="str">
        <f aca="false">IF(V94&lt;&gt;"",_xlfn.MINIFS(ENSAYOS!$Q$5:$Q$3004,ENSAYOS!$C$5:$C$3004,F94,ENSAYOS!$Q$5:$Q$3004,"&gt;0",ENSAYOS!$G$5:$G$3004,"&gt;="&amp;CONFIG!$B$27),IF(U94="","",_xlfn.MINIFS(ENSAYOS!$Q$5:$Q$3004,ENSAYOS!$C$5:$C$3004,F94,ENSAYOS!$Q$5:$Q$3004,"&gt;0",ENSAYOS!$G$5:$G$3004,N94)/X94))</f>
        <v/>
      </c>
      <c r="AA94" s="16" t="str">
        <f aca="false">IF(D94="","",IFERROR(1/(1/INDEX(CONFIG!$J$5:$J$14,MATCH(D94,CONFIG!$D$5:$D$14,0))),""))</f>
        <v/>
      </c>
      <c r="AB94" s="16" t="str">
        <f aca="false">IF(D94="","",IFERROR(1/(1/INDEX(CONFIG!$K$5:$K$14,MATCH(D94,CONFIG!$D$5:$D$14,0))),""))</f>
        <v/>
      </c>
      <c r="AC94" s="19" t="str">
        <f aca="false">IF(N(M94)=0,"",IF(AA94="","Sin spec",IF(AND(Y94&gt;=AA94,OR(AB94="",Z94&gt;=AB94)),"CUMPLE","NO CUMPLE")&amp;IF(V94=""," (est.)","")))</f>
        <v/>
      </c>
      <c r="AD94" s="20" t="str">
        <f aca="false">IF(F94="","",IF(COUNTIFS(ABSORCION!$C$5:$C$1004,F94,ABSORCION!$I$5:$I$1004,"&gt;0")=0,"",AVERAGEIFS(ABSORCION!$I$5:$I$1004,ABSORCION!$C$5:$C$1004,F94,ABSORCION!$I$5:$I$1004,"&gt;0")))</f>
        <v/>
      </c>
      <c r="AE94" s="20" t="str">
        <f aca="false">IF(F94="","",IF(COUNTIFS(ABSORCION!$C$5:$C$1004,F94,ABSORCION!$I$5:$I$1004,"&gt;0")=0,"",AVERAGEIFS(ABSORCION!$K$5:$K$1004,ABSORCION!$C$5:$C$1004,F94,ABSORCION!$I$5:$I$1004,"&gt;0")))</f>
        <v/>
      </c>
      <c r="AF94" s="20" t="str">
        <f aca="false">IF(AE94="","",IF(AE94&gt;=CONFIG!$E$21,CONFIG!$F$21,IF(AE94&gt;=CONFIG!$E$20,CONFIG!$F$20,CONFIG!$F$19)))</f>
        <v/>
      </c>
      <c r="AG94" s="21" t="str">
        <f aca="false">IF(F94="","",TRIM(IF(N(M94)=0,"Sin ensayos. ","")&amp;IF(AND(N(M94)&gt;0,N(M94)&lt;CONFIG!$B$26),"Menos de "&amp;CONFIG!$B$26&amp;" probetas. ","")&amp;IF(N(T94)&gt;CONFIG!$B$25,"CV alto. ","")&amp;IF(AND(N(AD94)&gt;0,N(AD94)&gt;N(AF94)),"Absorción alta. ","")))</f>
        <v/>
      </c>
      <c r="AH94" s="22" t="str">
        <f aca="false">IF(AND(N(M94)&gt;0,OR(CONTROL!$C$4="TODAS",C94=CONTROL!$C$4),D94=CONTROL!$C$5),MAX($AH$4:AH93)+1,"")</f>
        <v/>
      </c>
      <c r="AI94" s="22" t="str">
        <f aca="false">IF(AH94="","",P94^2)</f>
        <v/>
      </c>
    </row>
    <row r="95" customFormat="false" ht="15" hidden="false" customHeight="false" outlineLevel="0" collapsed="false">
      <c r="A95" s="11" t="str">
        <f aca="false">IF(B95="","",ROW()-4)</f>
        <v/>
      </c>
      <c r="B95" s="12"/>
      <c r="C95" s="13"/>
      <c r="D95" s="13"/>
      <c r="E95" s="13"/>
      <c r="F95" s="14" t="str">
        <f aca="false">IF(OR(B95="",C95="",D95=""),"",IFERROR(INDEX(CONFIG!$E$5:$E$14,MATCH(D95,CONFIG!$D$5:$D$14,0)),"?")&amp;RIGHT("0"&amp;DAY(B95),2)&amp;RIGHT("0"&amp;MONTH(B95),2)&amp;RIGHT(YEAR(B95),2)&amp;C95&amp;IF(E95="","","-"&amp;E95))</f>
        <v/>
      </c>
      <c r="G95" s="13"/>
      <c r="H95" s="13"/>
      <c r="I95" s="13"/>
      <c r="J95" s="13"/>
      <c r="K95" s="13"/>
      <c r="L95" s="13"/>
      <c r="M95" s="11" t="str">
        <f aca="false">IF(F95="","",COUNTIFS(ENSAYOS!$C$5:$C$3004,F95,ENSAYOS!$Q$5:$Q$3004,"&gt;0"))</f>
        <v/>
      </c>
      <c r="N95" s="15" t="str">
        <f aca="false">IF(N(M95)=0,"",_xlfn.MINIFS(ENSAYOS!$G$5:$G$3004,ENSAYOS!$C$5:$C$3004,F95,ENSAYOS!$Q$5:$Q$3004,"&gt;0"))</f>
        <v/>
      </c>
      <c r="O95" s="15" t="str">
        <f aca="false">IF(N(M95)=0,"",_xlfn.MAXIFS(ENSAYOS!$G$5:$G$3004,ENSAYOS!$C$5:$C$3004,F95,ENSAYOS!$Q$5:$Q$3004,"&gt;0"))</f>
        <v/>
      </c>
      <c r="P95" s="16" t="str">
        <f aca="false">IF(N(M95)=0,"",AVERAGEIFS(ENSAYOS!$Q$5:$Q$3004,ENSAYOS!$C$5:$C$3004,F95,ENSAYOS!$Q$5:$Q$3004,"&gt;0"))</f>
        <v/>
      </c>
      <c r="Q95" s="16" t="str">
        <f aca="false">IF(N(M95)=0,"",_xlfn.MINIFS(ENSAYOS!$Q$5:$Q$3004,ENSAYOS!$C$5:$C$3004,F95,ENSAYOS!$Q$5:$Q$3004,"&gt;0"))</f>
        <v/>
      </c>
      <c r="R95" s="16" t="str">
        <f aca="false">IF(N(M95)=0,"",_xlfn.MAXIFS(ENSAYOS!$Q$5:$Q$3004,ENSAYOS!$C$5:$C$3004,F95,ENSAYOS!$Q$5:$Q$3004,"&gt;0"))</f>
        <v/>
      </c>
      <c r="S95" s="16" t="str">
        <f aca="false">IF(N(M95)&lt;2,"",SQRT(MAX(0,(SUMIFS(ENSAYOS!$X$5:$X$3004,ENSAYOS!$C$5:$C$3004,F95,ENSAYOS!$Q$5:$Q$3004,"&gt;0")-M95*P95^2)/(M95-1))))</f>
        <v/>
      </c>
      <c r="T95" s="17" t="str">
        <f aca="false">IF(S95="","",S95/P95)</f>
        <v/>
      </c>
      <c r="U95" s="16" t="str">
        <f aca="false">IF(N(M95)=0,"",IF(N95&gt;=CONFIG!$B$27,"",AVERAGEIFS(ENSAYOS!$Q$5:$Q$3004,ENSAYOS!$C$5:$C$3004,F95,ENSAYOS!$Q$5:$Q$3004,"&gt;0",ENSAYOS!$G$5:$G$3004,N95)))</f>
        <v/>
      </c>
      <c r="V95" s="16" t="str">
        <f aca="false">IF(N(M95)=0,"",IF(COUNTIFS(ENSAYOS!$C$5:$C$3004,F95,ENSAYOS!$Q$5:$Q$3004,"&gt;0",ENSAYOS!$G$5:$G$3004,"&gt;="&amp;CONFIG!$B$27)=0,"",AVERAGEIFS(ENSAYOS!$Q$5:$Q$3004,ENSAYOS!$C$5:$C$3004,F95,ENSAYOS!$Q$5:$Q$3004,"&gt;0",ENSAYOS!$G$5:$G$3004,"&gt;="&amp;CONFIG!$B$27)))</f>
        <v/>
      </c>
      <c r="W95" s="18" t="str">
        <f aca="false">IF(AND(U95&lt;&gt;"",V95&lt;&gt;""),U95/V95,"")</f>
        <v/>
      </c>
      <c r="X95" s="18" t="str">
        <f aca="false">IF(U95="","",INDEX('CURVA EDAD'!$E$5:$E$32,MIN(28,MAX(1,N95))))</f>
        <v/>
      </c>
      <c r="Y95" s="16" t="str">
        <f aca="false">IF(V95&lt;&gt;"",V95,IF(U95="","",U95/X95))</f>
        <v/>
      </c>
      <c r="Z95" s="16" t="str">
        <f aca="false">IF(V95&lt;&gt;"",_xlfn.MINIFS(ENSAYOS!$Q$5:$Q$3004,ENSAYOS!$C$5:$C$3004,F95,ENSAYOS!$Q$5:$Q$3004,"&gt;0",ENSAYOS!$G$5:$G$3004,"&gt;="&amp;CONFIG!$B$27),IF(U95="","",_xlfn.MINIFS(ENSAYOS!$Q$5:$Q$3004,ENSAYOS!$C$5:$C$3004,F95,ENSAYOS!$Q$5:$Q$3004,"&gt;0",ENSAYOS!$G$5:$G$3004,N95)/X95))</f>
        <v/>
      </c>
      <c r="AA95" s="16" t="str">
        <f aca="false">IF(D95="","",IFERROR(1/(1/INDEX(CONFIG!$J$5:$J$14,MATCH(D95,CONFIG!$D$5:$D$14,0))),""))</f>
        <v/>
      </c>
      <c r="AB95" s="16" t="str">
        <f aca="false">IF(D95="","",IFERROR(1/(1/INDEX(CONFIG!$K$5:$K$14,MATCH(D95,CONFIG!$D$5:$D$14,0))),""))</f>
        <v/>
      </c>
      <c r="AC95" s="19" t="str">
        <f aca="false">IF(N(M95)=0,"",IF(AA95="","Sin spec",IF(AND(Y95&gt;=AA95,OR(AB95="",Z95&gt;=AB95)),"CUMPLE","NO CUMPLE")&amp;IF(V95=""," (est.)","")))</f>
        <v/>
      </c>
      <c r="AD95" s="20" t="str">
        <f aca="false">IF(F95="","",IF(COUNTIFS(ABSORCION!$C$5:$C$1004,F95,ABSORCION!$I$5:$I$1004,"&gt;0")=0,"",AVERAGEIFS(ABSORCION!$I$5:$I$1004,ABSORCION!$C$5:$C$1004,F95,ABSORCION!$I$5:$I$1004,"&gt;0")))</f>
        <v/>
      </c>
      <c r="AE95" s="20" t="str">
        <f aca="false">IF(F95="","",IF(COUNTIFS(ABSORCION!$C$5:$C$1004,F95,ABSORCION!$I$5:$I$1004,"&gt;0")=0,"",AVERAGEIFS(ABSORCION!$K$5:$K$1004,ABSORCION!$C$5:$C$1004,F95,ABSORCION!$I$5:$I$1004,"&gt;0")))</f>
        <v/>
      </c>
      <c r="AF95" s="20" t="str">
        <f aca="false">IF(AE95="","",IF(AE95&gt;=CONFIG!$E$21,CONFIG!$F$21,IF(AE95&gt;=CONFIG!$E$20,CONFIG!$F$20,CONFIG!$F$19)))</f>
        <v/>
      </c>
      <c r="AG95" s="21" t="str">
        <f aca="false">IF(F95="","",TRIM(IF(N(M95)=0,"Sin ensayos. ","")&amp;IF(AND(N(M95)&gt;0,N(M95)&lt;CONFIG!$B$26),"Menos de "&amp;CONFIG!$B$26&amp;" probetas. ","")&amp;IF(N(T95)&gt;CONFIG!$B$25,"CV alto. ","")&amp;IF(AND(N(AD95)&gt;0,N(AD95)&gt;N(AF95)),"Absorción alta. ","")))</f>
        <v/>
      </c>
      <c r="AH95" s="22" t="str">
        <f aca="false">IF(AND(N(M95)&gt;0,OR(CONTROL!$C$4="TODAS",C95=CONTROL!$C$4),D95=CONTROL!$C$5),MAX($AH$4:AH94)+1,"")</f>
        <v/>
      </c>
      <c r="AI95" s="22" t="str">
        <f aca="false">IF(AH95="","",P95^2)</f>
        <v/>
      </c>
    </row>
    <row r="96" customFormat="false" ht="15" hidden="false" customHeight="false" outlineLevel="0" collapsed="false">
      <c r="A96" s="11" t="str">
        <f aca="false">IF(B96="","",ROW()-4)</f>
        <v/>
      </c>
      <c r="B96" s="12"/>
      <c r="C96" s="13"/>
      <c r="D96" s="13"/>
      <c r="E96" s="13"/>
      <c r="F96" s="14" t="str">
        <f aca="false">IF(OR(B96="",C96="",D96=""),"",IFERROR(INDEX(CONFIG!$E$5:$E$14,MATCH(D96,CONFIG!$D$5:$D$14,0)),"?")&amp;RIGHT("0"&amp;DAY(B96),2)&amp;RIGHT("0"&amp;MONTH(B96),2)&amp;RIGHT(YEAR(B96),2)&amp;C96&amp;IF(E96="","","-"&amp;E96))</f>
        <v/>
      </c>
      <c r="G96" s="13"/>
      <c r="H96" s="13"/>
      <c r="I96" s="13"/>
      <c r="J96" s="13"/>
      <c r="K96" s="13"/>
      <c r="L96" s="13"/>
      <c r="M96" s="11" t="str">
        <f aca="false">IF(F96="","",COUNTIFS(ENSAYOS!$C$5:$C$3004,F96,ENSAYOS!$Q$5:$Q$3004,"&gt;0"))</f>
        <v/>
      </c>
      <c r="N96" s="15" t="str">
        <f aca="false">IF(N(M96)=0,"",_xlfn.MINIFS(ENSAYOS!$G$5:$G$3004,ENSAYOS!$C$5:$C$3004,F96,ENSAYOS!$Q$5:$Q$3004,"&gt;0"))</f>
        <v/>
      </c>
      <c r="O96" s="15" t="str">
        <f aca="false">IF(N(M96)=0,"",_xlfn.MAXIFS(ENSAYOS!$G$5:$G$3004,ENSAYOS!$C$5:$C$3004,F96,ENSAYOS!$Q$5:$Q$3004,"&gt;0"))</f>
        <v/>
      </c>
      <c r="P96" s="16" t="str">
        <f aca="false">IF(N(M96)=0,"",AVERAGEIFS(ENSAYOS!$Q$5:$Q$3004,ENSAYOS!$C$5:$C$3004,F96,ENSAYOS!$Q$5:$Q$3004,"&gt;0"))</f>
        <v/>
      </c>
      <c r="Q96" s="16" t="str">
        <f aca="false">IF(N(M96)=0,"",_xlfn.MINIFS(ENSAYOS!$Q$5:$Q$3004,ENSAYOS!$C$5:$C$3004,F96,ENSAYOS!$Q$5:$Q$3004,"&gt;0"))</f>
        <v/>
      </c>
      <c r="R96" s="16" t="str">
        <f aca="false">IF(N(M96)=0,"",_xlfn.MAXIFS(ENSAYOS!$Q$5:$Q$3004,ENSAYOS!$C$5:$C$3004,F96,ENSAYOS!$Q$5:$Q$3004,"&gt;0"))</f>
        <v/>
      </c>
      <c r="S96" s="16" t="str">
        <f aca="false">IF(N(M96)&lt;2,"",SQRT(MAX(0,(SUMIFS(ENSAYOS!$X$5:$X$3004,ENSAYOS!$C$5:$C$3004,F96,ENSAYOS!$Q$5:$Q$3004,"&gt;0")-M96*P96^2)/(M96-1))))</f>
        <v/>
      </c>
      <c r="T96" s="17" t="str">
        <f aca="false">IF(S96="","",S96/P96)</f>
        <v/>
      </c>
      <c r="U96" s="16" t="str">
        <f aca="false">IF(N(M96)=0,"",IF(N96&gt;=CONFIG!$B$27,"",AVERAGEIFS(ENSAYOS!$Q$5:$Q$3004,ENSAYOS!$C$5:$C$3004,F96,ENSAYOS!$Q$5:$Q$3004,"&gt;0",ENSAYOS!$G$5:$G$3004,N96)))</f>
        <v/>
      </c>
      <c r="V96" s="16" t="str">
        <f aca="false">IF(N(M96)=0,"",IF(COUNTIFS(ENSAYOS!$C$5:$C$3004,F96,ENSAYOS!$Q$5:$Q$3004,"&gt;0",ENSAYOS!$G$5:$G$3004,"&gt;="&amp;CONFIG!$B$27)=0,"",AVERAGEIFS(ENSAYOS!$Q$5:$Q$3004,ENSAYOS!$C$5:$C$3004,F96,ENSAYOS!$Q$5:$Q$3004,"&gt;0",ENSAYOS!$G$5:$G$3004,"&gt;="&amp;CONFIG!$B$27)))</f>
        <v/>
      </c>
      <c r="W96" s="18" t="str">
        <f aca="false">IF(AND(U96&lt;&gt;"",V96&lt;&gt;""),U96/V96,"")</f>
        <v/>
      </c>
      <c r="X96" s="18" t="str">
        <f aca="false">IF(U96="","",INDEX('CURVA EDAD'!$E$5:$E$32,MIN(28,MAX(1,N96))))</f>
        <v/>
      </c>
      <c r="Y96" s="16" t="str">
        <f aca="false">IF(V96&lt;&gt;"",V96,IF(U96="","",U96/X96))</f>
        <v/>
      </c>
      <c r="Z96" s="16" t="str">
        <f aca="false">IF(V96&lt;&gt;"",_xlfn.MINIFS(ENSAYOS!$Q$5:$Q$3004,ENSAYOS!$C$5:$C$3004,F96,ENSAYOS!$Q$5:$Q$3004,"&gt;0",ENSAYOS!$G$5:$G$3004,"&gt;="&amp;CONFIG!$B$27),IF(U96="","",_xlfn.MINIFS(ENSAYOS!$Q$5:$Q$3004,ENSAYOS!$C$5:$C$3004,F96,ENSAYOS!$Q$5:$Q$3004,"&gt;0",ENSAYOS!$G$5:$G$3004,N96)/X96))</f>
        <v/>
      </c>
      <c r="AA96" s="16" t="str">
        <f aca="false">IF(D96="","",IFERROR(1/(1/INDEX(CONFIG!$J$5:$J$14,MATCH(D96,CONFIG!$D$5:$D$14,0))),""))</f>
        <v/>
      </c>
      <c r="AB96" s="16" t="str">
        <f aca="false">IF(D96="","",IFERROR(1/(1/INDEX(CONFIG!$K$5:$K$14,MATCH(D96,CONFIG!$D$5:$D$14,0))),""))</f>
        <v/>
      </c>
      <c r="AC96" s="19" t="str">
        <f aca="false">IF(N(M96)=0,"",IF(AA96="","Sin spec",IF(AND(Y96&gt;=AA96,OR(AB96="",Z96&gt;=AB96)),"CUMPLE","NO CUMPLE")&amp;IF(V96=""," (est.)","")))</f>
        <v/>
      </c>
      <c r="AD96" s="20" t="str">
        <f aca="false">IF(F96="","",IF(COUNTIFS(ABSORCION!$C$5:$C$1004,F96,ABSORCION!$I$5:$I$1004,"&gt;0")=0,"",AVERAGEIFS(ABSORCION!$I$5:$I$1004,ABSORCION!$C$5:$C$1004,F96,ABSORCION!$I$5:$I$1004,"&gt;0")))</f>
        <v/>
      </c>
      <c r="AE96" s="20" t="str">
        <f aca="false">IF(F96="","",IF(COUNTIFS(ABSORCION!$C$5:$C$1004,F96,ABSORCION!$I$5:$I$1004,"&gt;0")=0,"",AVERAGEIFS(ABSORCION!$K$5:$K$1004,ABSORCION!$C$5:$C$1004,F96,ABSORCION!$I$5:$I$1004,"&gt;0")))</f>
        <v/>
      </c>
      <c r="AF96" s="20" t="str">
        <f aca="false">IF(AE96="","",IF(AE96&gt;=CONFIG!$E$21,CONFIG!$F$21,IF(AE96&gt;=CONFIG!$E$20,CONFIG!$F$20,CONFIG!$F$19)))</f>
        <v/>
      </c>
      <c r="AG96" s="21" t="str">
        <f aca="false">IF(F96="","",TRIM(IF(N(M96)=0,"Sin ensayos. ","")&amp;IF(AND(N(M96)&gt;0,N(M96)&lt;CONFIG!$B$26),"Menos de "&amp;CONFIG!$B$26&amp;" probetas. ","")&amp;IF(N(T96)&gt;CONFIG!$B$25,"CV alto. ","")&amp;IF(AND(N(AD96)&gt;0,N(AD96)&gt;N(AF96)),"Absorción alta. ","")))</f>
        <v/>
      </c>
      <c r="AH96" s="22" t="str">
        <f aca="false">IF(AND(N(M96)&gt;0,OR(CONTROL!$C$4="TODAS",C96=CONTROL!$C$4),D96=CONTROL!$C$5),MAX($AH$4:AH95)+1,"")</f>
        <v/>
      </c>
      <c r="AI96" s="22" t="str">
        <f aca="false">IF(AH96="","",P96^2)</f>
        <v/>
      </c>
    </row>
    <row r="97" customFormat="false" ht="15" hidden="false" customHeight="false" outlineLevel="0" collapsed="false">
      <c r="A97" s="11" t="str">
        <f aca="false">IF(B97="","",ROW()-4)</f>
        <v/>
      </c>
      <c r="B97" s="12"/>
      <c r="C97" s="13"/>
      <c r="D97" s="13"/>
      <c r="E97" s="13"/>
      <c r="F97" s="14" t="str">
        <f aca="false">IF(OR(B97="",C97="",D97=""),"",IFERROR(INDEX(CONFIG!$E$5:$E$14,MATCH(D97,CONFIG!$D$5:$D$14,0)),"?")&amp;RIGHT("0"&amp;DAY(B97),2)&amp;RIGHT("0"&amp;MONTH(B97),2)&amp;RIGHT(YEAR(B97),2)&amp;C97&amp;IF(E97="","","-"&amp;E97))</f>
        <v/>
      </c>
      <c r="G97" s="13"/>
      <c r="H97" s="13"/>
      <c r="I97" s="13"/>
      <c r="J97" s="13"/>
      <c r="K97" s="13"/>
      <c r="L97" s="13"/>
      <c r="M97" s="11" t="str">
        <f aca="false">IF(F97="","",COUNTIFS(ENSAYOS!$C$5:$C$3004,F97,ENSAYOS!$Q$5:$Q$3004,"&gt;0"))</f>
        <v/>
      </c>
      <c r="N97" s="15" t="str">
        <f aca="false">IF(N(M97)=0,"",_xlfn.MINIFS(ENSAYOS!$G$5:$G$3004,ENSAYOS!$C$5:$C$3004,F97,ENSAYOS!$Q$5:$Q$3004,"&gt;0"))</f>
        <v/>
      </c>
      <c r="O97" s="15" t="str">
        <f aca="false">IF(N(M97)=0,"",_xlfn.MAXIFS(ENSAYOS!$G$5:$G$3004,ENSAYOS!$C$5:$C$3004,F97,ENSAYOS!$Q$5:$Q$3004,"&gt;0"))</f>
        <v/>
      </c>
      <c r="P97" s="16" t="str">
        <f aca="false">IF(N(M97)=0,"",AVERAGEIFS(ENSAYOS!$Q$5:$Q$3004,ENSAYOS!$C$5:$C$3004,F97,ENSAYOS!$Q$5:$Q$3004,"&gt;0"))</f>
        <v/>
      </c>
      <c r="Q97" s="16" t="str">
        <f aca="false">IF(N(M97)=0,"",_xlfn.MINIFS(ENSAYOS!$Q$5:$Q$3004,ENSAYOS!$C$5:$C$3004,F97,ENSAYOS!$Q$5:$Q$3004,"&gt;0"))</f>
        <v/>
      </c>
      <c r="R97" s="16" t="str">
        <f aca="false">IF(N(M97)=0,"",_xlfn.MAXIFS(ENSAYOS!$Q$5:$Q$3004,ENSAYOS!$C$5:$C$3004,F97,ENSAYOS!$Q$5:$Q$3004,"&gt;0"))</f>
        <v/>
      </c>
      <c r="S97" s="16" t="str">
        <f aca="false">IF(N(M97)&lt;2,"",SQRT(MAX(0,(SUMIFS(ENSAYOS!$X$5:$X$3004,ENSAYOS!$C$5:$C$3004,F97,ENSAYOS!$Q$5:$Q$3004,"&gt;0")-M97*P97^2)/(M97-1))))</f>
        <v/>
      </c>
      <c r="T97" s="17" t="str">
        <f aca="false">IF(S97="","",S97/P97)</f>
        <v/>
      </c>
      <c r="U97" s="16" t="str">
        <f aca="false">IF(N(M97)=0,"",IF(N97&gt;=CONFIG!$B$27,"",AVERAGEIFS(ENSAYOS!$Q$5:$Q$3004,ENSAYOS!$C$5:$C$3004,F97,ENSAYOS!$Q$5:$Q$3004,"&gt;0",ENSAYOS!$G$5:$G$3004,N97)))</f>
        <v/>
      </c>
      <c r="V97" s="16" t="str">
        <f aca="false">IF(N(M97)=0,"",IF(COUNTIFS(ENSAYOS!$C$5:$C$3004,F97,ENSAYOS!$Q$5:$Q$3004,"&gt;0",ENSAYOS!$G$5:$G$3004,"&gt;="&amp;CONFIG!$B$27)=0,"",AVERAGEIFS(ENSAYOS!$Q$5:$Q$3004,ENSAYOS!$C$5:$C$3004,F97,ENSAYOS!$Q$5:$Q$3004,"&gt;0",ENSAYOS!$G$5:$G$3004,"&gt;="&amp;CONFIG!$B$27)))</f>
        <v/>
      </c>
      <c r="W97" s="18" t="str">
        <f aca="false">IF(AND(U97&lt;&gt;"",V97&lt;&gt;""),U97/V97,"")</f>
        <v/>
      </c>
      <c r="X97" s="18" t="str">
        <f aca="false">IF(U97="","",INDEX('CURVA EDAD'!$E$5:$E$32,MIN(28,MAX(1,N97))))</f>
        <v/>
      </c>
      <c r="Y97" s="16" t="str">
        <f aca="false">IF(V97&lt;&gt;"",V97,IF(U97="","",U97/X97))</f>
        <v/>
      </c>
      <c r="Z97" s="16" t="str">
        <f aca="false">IF(V97&lt;&gt;"",_xlfn.MINIFS(ENSAYOS!$Q$5:$Q$3004,ENSAYOS!$C$5:$C$3004,F97,ENSAYOS!$Q$5:$Q$3004,"&gt;0",ENSAYOS!$G$5:$G$3004,"&gt;="&amp;CONFIG!$B$27),IF(U97="","",_xlfn.MINIFS(ENSAYOS!$Q$5:$Q$3004,ENSAYOS!$C$5:$C$3004,F97,ENSAYOS!$Q$5:$Q$3004,"&gt;0",ENSAYOS!$G$5:$G$3004,N97)/X97))</f>
        <v/>
      </c>
      <c r="AA97" s="16" t="str">
        <f aca="false">IF(D97="","",IFERROR(1/(1/INDEX(CONFIG!$J$5:$J$14,MATCH(D97,CONFIG!$D$5:$D$14,0))),""))</f>
        <v/>
      </c>
      <c r="AB97" s="16" t="str">
        <f aca="false">IF(D97="","",IFERROR(1/(1/INDEX(CONFIG!$K$5:$K$14,MATCH(D97,CONFIG!$D$5:$D$14,0))),""))</f>
        <v/>
      </c>
      <c r="AC97" s="19" t="str">
        <f aca="false">IF(N(M97)=0,"",IF(AA97="","Sin spec",IF(AND(Y97&gt;=AA97,OR(AB97="",Z97&gt;=AB97)),"CUMPLE","NO CUMPLE")&amp;IF(V97=""," (est.)","")))</f>
        <v/>
      </c>
      <c r="AD97" s="20" t="str">
        <f aca="false">IF(F97="","",IF(COUNTIFS(ABSORCION!$C$5:$C$1004,F97,ABSORCION!$I$5:$I$1004,"&gt;0")=0,"",AVERAGEIFS(ABSORCION!$I$5:$I$1004,ABSORCION!$C$5:$C$1004,F97,ABSORCION!$I$5:$I$1004,"&gt;0")))</f>
        <v/>
      </c>
      <c r="AE97" s="20" t="str">
        <f aca="false">IF(F97="","",IF(COUNTIFS(ABSORCION!$C$5:$C$1004,F97,ABSORCION!$I$5:$I$1004,"&gt;0")=0,"",AVERAGEIFS(ABSORCION!$K$5:$K$1004,ABSORCION!$C$5:$C$1004,F97,ABSORCION!$I$5:$I$1004,"&gt;0")))</f>
        <v/>
      </c>
      <c r="AF97" s="20" t="str">
        <f aca="false">IF(AE97="","",IF(AE97&gt;=CONFIG!$E$21,CONFIG!$F$21,IF(AE97&gt;=CONFIG!$E$20,CONFIG!$F$20,CONFIG!$F$19)))</f>
        <v/>
      </c>
      <c r="AG97" s="21" t="str">
        <f aca="false">IF(F97="","",TRIM(IF(N(M97)=0,"Sin ensayos. ","")&amp;IF(AND(N(M97)&gt;0,N(M97)&lt;CONFIG!$B$26),"Menos de "&amp;CONFIG!$B$26&amp;" probetas. ","")&amp;IF(N(T97)&gt;CONFIG!$B$25,"CV alto. ","")&amp;IF(AND(N(AD97)&gt;0,N(AD97)&gt;N(AF97)),"Absorción alta. ","")))</f>
        <v/>
      </c>
      <c r="AH97" s="22" t="str">
        <f aca="false">IF(AND(N(M97)&gt;0,OR(CONTROL!$C$4="TODAS",C97=CONTROL!$C$4),D97=CONTROL!$C$5),MAX($AH$4:AH96)+1,"")</f>
        <v/>
      </c>
      <c r="AI97" s="22" t="str">
        <f aca="false">IF(AH97="","",P97^2)</f>
        <v/>
      </c>
    </row>
    <row r="98" customFormat="false" ht="15" hidden="false" customHeight="false" outlineLevel="0" collapsed="false">
      <c r="A98" s="11" t="str">
        <f aca="false">IF(B98="","",ROW()-4)</f>
        <v/>
      </c>
      <c r="B98" s="12"/>
      <c r="C98" s="13"/>
      <c r="D98" s="13"/>
      <c r="E98" s="13"/>
      <c r="F98" s="14" t="str">
        <f aca="false">IF(OR(B98="",C98="",D98=""),"",IFERROR(INDEX(CONFIG!$E$5:$E$14,MATCH(D98,CONFIG!$D$5:$D$14,0)),"?")&amp;RIGHT("0"&amp;DAY(B98),2)&amp;RIGHT("0"&amp;MONTH(B98),2)&amp;RIGHT(YEAR(B98),2)&amp;C98&amp;IF(E98="","","-"&amp;E98))</f>
        <v/>
      </c>
      <c r="G98" s="13"/>
      <c r="H98" s="13"/>
      <c r="I98" s="13"/>
      <c r="J98" s="13"/>
      <c r="K98" s="13"/>
      <c r="L98" s="13"/>
      <c r="M98" s="11" t="str">
        <f aca="false">IF(F98="","",COUNTIFS(ENSAYOS!$C$5:$C$3004,F98,ENSAYOS!$Q$5:$Q$3004,"&gt;0"))</f>
        <v/>
      </c>
      <c r="N98" s="15" t="str">
        <f aca="false">IF(N(M98)=0,"",_xlfn.MINIFS(ENSAYOS!$G$5:$G$3004,ENSAYOS!$C$5:$C$3004,F98,ENSAYOS!$Q$5:$Q$3004,"&gt;0"))</f>
        <v/>
      </c>
      <c r="O98" s="15" t="str">
        <f aca="false">IF(N(M98)=0,"",_xlfn.MAXIFS(ENSAYOS!$G$5:$G$3004,ENSAYOS!$C$5:$C$3004,F98,ENSAYOS!$Q$5:$Q$3004,"&gt;0"))</f>
        <v/>
      </c>
      <c r="P98" s="16" t="str">
        <f aca="false">IF(N(M98)=0,"",AVERAGEIFS(ENSAYOS!$Q$5:$Q$3004,ENSAYOS!$C$5:$C$3004,F98,ENSAYOS!$Q$5:$Q$3004,"&gt;0"))</f>
        <v/>
      </c>
      <c r="Q98" s="16" t="str">
        <f aca="false">IF(N(M98)=0,"",_xlfn.MINIFS(ENSAYOS!$Q$5:$Q$3004,ENSAYOS!$C$5:$C$3004,F98,ENSAYOS!$Q$5:$Q$3004,"&gt;0"))</f>
        <v/>
      </c>
      <c r="R98" s="16" t="str">
        <f aca="false">IF(N(M98)=0,"",_xlfn.MAXIFS(ENSAYOS!$Q$5:$Q$3004,ENSAYOS!$C$5:$C$3004,F98,ENSAYOS!$Q$5:$Q$3004,"&gt;0"))</f>
        <v/>
      </c>
      <c r="S98" s="16" t="str">
        <f aca="false">IF(N(M98)&lt;2,"",SQRT(MAX(0,(SUMIFS(ENSAYOS!$X$5:$X$3004,ENSAYOS!$C$5:$C$3004,F98,ENSAYOS!$Q$5:$Q$3004,"&gt;0")-M98*P98^2)/(M98-1))))</f>
        <v/>
      </c>
      <c r="T98" s="17" t="str">
        <f aca="false">IF(S98="","",S98/P98)</f>
        <v/>
      </c>
      <c r="U98" s="16" t="str">
        <f aca="false">IF(N(M98)=0,"",IF(N98&gt;=CONFIG!$B$27,"",AVERAGEIFS(ENSAYOS!$Q$5:$Q$3004,ENSAYOS!$C$5:$C$3004,F98,ENSAYOS!$Q$5:$Q$3004,"&gt;0",ENSAYOS!$G$5:$G$3004,N98)))</f>
        <v/>
      </c>
      <c r="V98" s="16" t="str">
        <f aca="false">IF(N(M98)=0,"",IF(COUNTIFS(ENSAYOS!$C$5:$C$3004,F98,ENSAYOS!$Q$5:$Q$3004,"&gt;0",ENSAYOS!$G$5:$G$3004,"&gt;="&amp;CONFIG!$B$27)=0,"",AVERAGEIFS(ENSAYOS!$Q$5:$Q$3004,ENSAYOS!$C$5:$C$3004,F98,ENSAYOS!$Q$5:$Q$3004,"&gt;0",ENSAYOS!$G$5:$G$3004,"&gt;="&amp;CONFIG!$B$27)))</f>
        <v/>
      </c>
      <c r="W98" s="18" t="str">
        <f aca="false">IF(AND(U98&lt;&gt;"",V98&lt;&gt;""),U98/V98,"")</f>
        <v/>
      </c>
      <c r="X98" s="18" t="str">
        <f aca="false">IF(U98="","",INDEX('CURVA EDAD'!$E$5:$E$32,MIN(28,MAX(1,N98))))</f>
        <v/>
      </c>
      <c r="Y98" s="16" t="str">
        <f aca="false">IF(V98&lt;&gt;"",V98,IF(U98="","",U98/X98))</f>
        <v/>
      </c>
      <c r="Z98" s="16" t="str">
        <f aca="false">IF(V98&lt;&gt;"",_xlfn.MINIFS(ENSAYOS!$Q$5:$Q$3004,ENSAYOS!$C$5:$C$3004,F98,ENSAYOS!$Q$5:$Q$3004,"&gt;0",ENSAYOS!$G$5:$G$3004,"&gt;="&amp;CONFIG!$B$27),IF(U98="","",_xlfn.MINIFS(ENSAYOS!$Q$5:$Q$3004,ENSAYOS!$C$5:$C$3004,F98,ENSAYOS!$Q$5:$Q$3004,"&gt;0",ENSAYOS!$G$5:$G$3004,N98)/X98))</f>
        <v/>
      </c>
      <c r="AA98" s="16" t="str">
        <f aca="false">IF(D98="","",IFERROR(1/(1/INDEX(CONFIG!$J$5:$J$14,MATCH(D98,CONFIG!$D$5:$D$14,0))),""))</f>
        <v/>
      </c>
      <c r="AB98" s="16" t="str">
        <f aca="false">IF(D98="","",IFERROR(1/(1/INDEX(CONFIG!$K$5:$K$14,MATCH(D98,CONFIG!$D$5:$D$14,0))),""))</f>
        <v/>
      </c>
      <c r="AC98" s="19" t="str">
        <f aca="false">IF(N(M98)=0,"",IF(AA98="","Sin spec",IF(AND(Y98&gt;=AA98,OR(AB98="",Z98&gt;=AB98)),"CUMPLE","NO CUMPLE")&amp;IF(V98=""," (est.)","")))</f>
        <v/>
      </c>
      <c r="AD98" s="20" t="str">
        <f aca="false">IF(F98="","",IF(COUNTIFS(ABSORCION!$C$5:$C$1004,F98,ABSORCION!$I$5:$I$1004,"&gt;0")=0,"",AVERAGEIFS(ABSORCION!$I$5:$I$1004,ABSORCION!$C$5:$C$1004,F98,ABSORCION!$I$5:$I$1004,"&gt;0")))</f>
        <v/>
      </c>
      <c r="AE98" s="20" t="str">
        <f aca="false">IF(F98="","",IF(COUNTIFS(ABSORCION!$C$5:$C$1004,F98,ABSORCION!$I$5:$I$1004,"&gt;0")=0,"",AVERAGEIFS(ABSORCION!$K$5:$K$1004,ABSORCION!$C$5:$C$1004,F98,ABSORCION!$I$5:$I$1004,"&gt;0")))</f>
        <v/>
      </c>
      <c r="AF98" s="20" t="str">
        <f aca="false">IF(AE98="","",IF(AE98&gt;=CONFIG!$E$21,CONFIG!$F$21,IF(AE98&gt;=CONFIG!$E$20,CONFIG!$F$20,CONFIG!$F$19)))</f>
        <v/>
      </c>
      <c r="AG98" s="21" t="str">
        <f aca="false">IF(F98="","",TRIM(IF(N(M98)=0,"Sin ensayos. ","")&amp;IF(AND(N(M98)&gt;0,N(M98)&lt;CONFIG!$B$26),"Menos de "&amp;CONFIG!$B$26&amp;" probetas. ","")&amp;IF(N(T98)&gt;CONFIG!$B$25,"CV alto. ","")&amp;IF(AND(N(AD98)&gt;0,N(AD98)&gt;N(AF98)),"Absorción alta. ","")))</f>
        <v/>
      </c>
      <c r="AH98" s="22" t="str">
        <f aca="false">IF(AND(N(M98)&gt;0,OR(CONTROL!$C$4="TODAS",C98=CONTROL!$C$4),D98=CONTROL!$C$5),MAX($AH$4:AH97)+1,"")</f>
        <v/>
      </c>
      <c r="AI98" s="22" t="str">
        <f aca="false">IF(AH98="","",P98^2)</f>
        <v/>
      </c>
    </row>
    <row r="99" customFormat="false" ht="15" hidden="false" customHeight="false" outlineLevel="0" collapsed="false">
      <c r="A99" s="11" t="str">
        <f aca="false">IF(B99="","",ROW()-4)</f>
        <v/>
      </c>
      <c r="B99" s="12"/>
      <c r="C99" s="13"/>
      <c r="D99" s="13"/>
      <c r="E99" s="13"/>
      <c r="F99" s="14" t="str">
        <f aca="false">IF(OR(B99="",C99="",D99=""),"",IFERROR(INDEX(CONFIG!$E$5:$E$14,MATCH(D99,CONFIG!$D$5:$D$14,0)),"?")&amp;RIGHT("0"&amp;DAY(B99),2)&amp;RIGHT("0"&amp;MONTH(B99),2)&amp;RIGHT(YEAR(B99),2)&amp;C99&amp;IF(E99="","","-"&amp;E99))</f>
        <v/>
      </c>
      <c r="G99" s="13"/>
      <c r="H99" s="13"/>
      <c r="I99" s="13"/>
      <c r="J99" s="13"/>
      <c r="K99" s="13"/>
      <c r="L99" s="13"/>
      <c r="M99" s="11" t="str">
        <f aca="false">IF(F99="","",COUNTIFS(ENSAYOS!$C$5:$C$3004,F99,ENSAYOS!$Q$5:$Q$3004,"&gt;0"))</f>
        <v/>
      </c>
      <c r="N99" s="15" t="str">
        <f aca="false">IF(N(M99)=0,"",_xlfn.MINIFS(ENSAYOS!$G$5:$G$3004,ENSAYOS!$C$5:$C$3004,F99,ENSAYOS!$Q$5:$Q$3004,"&gt;0"))</f>
        <v/>
      </c>
      <c r="O99" s="15" t="str">
        <f aca="false">IF(N(M99)=0,"",_xlfn.MAXIFS(ENSAYOS!$G$5:$G$3004,ENSAYOS!$C$5:$C$3004,F99,ENSAYOS!$Q$5:$Q$3004,"&gt;0"))</f>
        <v/>
      </c>
      <c r="P99" s="16" t="str">
        <f aca="false">IF(N(M99)=0,"",AVERAGEIFS(ENSAYOS!$Q$5:$Q$3004,ENSAYOS!$C$5:$C$3004,F99,ENSAYOS!$Q$5:$Q$3004,"&gt;0"))</f>
        <v/>
      </c>
      <c r="Q99" s="16" t="str">
        <f aca="false">IF(N(M99)=0,"",_xlfn.MINIFS(ENSAYOS!$Q$5:$Q$3004,ENSAYOS!$C$5:$C$3004,F99,ENSAYOS!$Q$5:$Q$3004,"&gt;0"))</f>
        <v/>
      </c>
      <c r="R99" s="16" t="str">
        <f aca="false">IF(N(M99)=0,"",_xlfn.MAXIFS(ENSAYOS!$Q$5:$Q$3004,ENSAYOS!$C$5:$C$3004,F99,ENSAYOS!$Q$5:$Q$3004,"&gt;0"))</f>
        <v/>
      </c>
      <c r="S99" s="16" t="str">
        <f aca="false">IF(N(M99)&lt;2,"",SQRT(MAX(0,(SUMIFS(ENSAYOS!$X$5:$X$3004,ENSAYOS!$C$5:$C$3004,F99,ENSAYOS!$Q$5:$Q$3004,"&gt;0")-M99*P99^2)/(M99-1))))</f>
        <v/>
      </c>
      <c r="T99" s="17" t="str">
        <f aca="false">IF(S99="","",S99/P99)</f>
        <v/>
      </c>
      <c r="U99" s="16" t="str">
        <f aca="false">IF(N(M99)=0,"",IF(N99&gt;=CONFIG!$B$27,"",AVERAGEIFS(ENSAYOS!$Q$5:$Q$3004,ENSAYOS!$C$5:$C$3004,F99,ENSAYOS!$Q$5:$Q$3004,"&gt;0",ENSAYOS!$G$5:$G$3004,N99)))</f>
        <v/>
      </c>
      <c r="V99" s="16" t="str">
        <f aca="false">IF(N(M99)=0,"",IF(COUNTIFS(ENSAYOS!$C$5:$C$3004,F99,ENSAYOS!$Q$5:$Q$3004,"&gt;0",ENSAYOS!$G$5:$G$3004,"&gt;="&amp;CONFIG!$B$27)=0,"",AVERAGEIFS(ENSAYOS!$Q$5:$Q$3004,ENSAYOS!$C$5:$C$3004,F99,ENSAYOS!$Q$5:$Q$3004,"&gt;0",ENSAYOS!$G$5:$G$3004,"&gt;="&amp;CONFIG!$B$27)))</f>
        <v/>
      </c>
      <c r="W99" s="18" t="str">
        <f aca="false">IF(AND(U99&lt;&gt;"",V99&lt;&gt;""),U99/V99,"")</f>
        <v/>
      </c>
      <c r="X99" s="18" t="str">
        <f aca="false">IF(U99="","",INDEX('CURVA EDAD'!$E$5:$E$32,MIN(28,MAX(1,N99))))</f>
        <v/>
      </c>
      <c r="Y99" s="16" t="str">
        <f aca="false">IF(V99&lt;&gt;"",V99,IF(U99="","",U99/X99))</f>
        <v/>
      </c>
      <c r="Z99" s="16" t="str">
        <f aca="false">IF(V99&lt;&gt;"",_xlfn.MINIFS(ENSAYOS!$Q$5:$Q$3004,ENSAYOS!$C$5:$C$3004,F99,ENSAYOS!$Q$5:$Q$3004,"&gt;0",ENSAYOS!$G$5:$G$3004,"&gt;="&amp;CONFIG!$B$27),IF(U99="","",_xlfn.MINIFS(ENSAYOS!$Q$5:$Q$3004,ENSAYOS!$C$5:$C$3004,F99,ENSAYOS!$Q$5:$Q$3004,"&gt;0",ENSAYOS!$G$5:$G$3004,N99)/X99))</f>
        <v/>
      </c>
      <c r="AA99" s="16" t="str">
        <f aca="false">IF(D99="","",IFERROR(1/(1/INDEX(CONFIG!$J$5:$J$14,MATCH(D99,CONFIG!$D$5:$D$14,0))),""))</f>
        <v/>
      </c>
      <c r="AB99" s="16" t="str">
        <f aca="false">IF(D99="","",IFERROR(1/(1/INDEX(CONFIG!$K$5:$K$14,MATCH(D99,CONFIG!$D$5:$D$14,0))),""))</f>
        <v/>
      </c>
      <c r="AC99" s="19" t="str">
        <f aca="false">IF(N(M99)=0,"",IF(AA99="","Sin spec",IF(AND(Y99&gt;=AA99,OR(AB99="",Z99&gt;=AB99)),"CUMPLE","NO CUMPLE")&amp;IF(V99=""," (est.)","")))</f>
        <v/>
      </c>
      <c r="AD99" s="20" t="str">
        <f aca="false">IF(F99="","",IF(COUNTIFS(ABSORCION!$C$5:$C$1004,F99,ABSORCION!$I$5:$I$1004,"&gt;0")=0,"",AVERAGEIFS(ABSORCION!$I$5:$I$1004,ABSORCION!$C$5:$C$1004,F99,ABSORCION!$I$5:$I$1004,"&gt;0")))</f>
        <v/>
      </c>
      <c r="AE99" s="20" t="str">
        <f aca="false">IF(F99="","",IF(COUNTIFS(ABSORCION!$C$5:$C$1004,F99,ABSORCION!$I$5:$I$1004,"&gt;0")=0,"",AVERAGEIFS(ABSORCION!$K$5:$K$1004,ABSORCION!$C$5:$C$1004,F99,ABSORCION!$I$5:$I$1004,"&gt;0")))</f>
        <v/>
      </c>
      <c r="AF99" s="20" t="str">
        <f aca="false">IF(AE99="","",IF(AE99&gt;=CONFIG!$E$21,CONFIG!$F$21,IF(AE99&gt;=CONFIG!$E$20,CONFIG!$F$20,CONFIG!$F$19)))</f>
        <v/>
      </c>
      <c r="AG99" s="21" t="str">
        <f aca="false">IF(F99="","",TRIM(IF(N(M99)=0,"Sin ensayos. ","")&amp;IF(AND(N(M99)&gt;0,N(M99)&lt;CONFIG!$B$26),"Menos de "&amp;CONFIG!$B$26&amp;" probetas. ","")&amp;IF(N(T99)&gt;CONFIG!$B$25,"CV alto. ","")&amp;IF(AND(N(AD99)&gt;0,N(AD99)&gt;N(AF99)),"Absorción alta. ","")))</f>
        <v/>
      </c>
      <c r="AH99" s="22" t="str">
        <f aca="false">IF(AND(N(M99)&gt;0,OR(CONTROL!$C$4="TODAS",C99=CONTROL!$C$4),D99=CONTROL!$C$5),MAX($AH$4:AH98)+1,"")</f>
        <v/>
      </c>
      <c r="AI99" s="22" t="str">
        <f aca="false">IF(AH99="","",P99^2)</f>
        <v/>
      </c>
    </row>
    <row r="100" customFormat="false" ht="15" hidden="false" customHeight="false" outlineLevel="0" collapsed="false">
      <c r="A100" s="11" t="str">
        <f aca="false">IF(B100="","",ROW()-4)</f>
        <v/>
      </c>
      <c r="B100" s="12"/>
      <c r="C100" s="13"/>
      <c r="D100" s="13"/>
      <c r="E100" s="13"/>
      <c r="F100" s="14" t="str">
        <f aca="false">IF(OR(B100="",C100="",D100=""),"",IFERROR(INDEX(CONFIG!$E$5:$E$14,MATCH(D100,CONFIG!$D$5:$D$14,0)),"?")&amp;RIGHT("0"&amp;DAY(B100),2)&amp;RIGHT("0"&amp;MONTH(B100),2)&amp;RIGHT(YEAR(B100),2)&amp;C100&amp;IF(E100="","","-"&amp;E100))</f>
        <v/>
      </c>
      <c r="G100" s="13"/>
      <c r="H100" s="13"/>
      <c r="I100" s="13"/>
      <c r="J100" s="13"/>
      <c r="K100" s="13"/>
      <c r="L100" s="13"/>
      <c r="M100" s="11" t="str">
        <f aca="false">IF(F100="","",COUNTIFS(ENSAYOS!$C$5:$C$3004,F100,ENSAYOS!$Q$5:$Q$3004,"&gt;0"))</f>
        <v/>
      </c>
      <c r="N100" s="15" t="str">
        <f aca="false">IF(N(M100)=0,"",_xlfn.MINIFS(ENSAYOS!$G$5:$G$3004,ENSAYOS!$C$5:$C$3004,F100,ENSAYOS!$Q$5:$Q$3004,"&gt;0"))</f>
        <v/>
      </c>
      <c r="O100" s="15" t="str">
        <f aca="false">IF(N(M100)=0,"",_xlfn.MAXIFS(ENSAYOS!$G$5:$G$3004,ENSAYOS!$C$5:$C$3004,F100,ENSAYOS!$Q$5:$Q$3004,"&gt;0"))</f>
        <v/>
      </c>
      <c r="P100" s="16" t="str">
        <f aca="false">IF(N(M100)=0,"",AVERAGEIFS(ENSAYOS!$Q$5:$Q$3004,ENSAYOS!$C$5:$C$3004,F100,ENSAYOS!$Q$5:$Q$3004,"&gt;0"))</f>
        <v/>
      </c>
      <c r="Q100" s="16" t="str">
        <f aca="false">IF(N(M100)=0,"",_xlfn.MINIFS(ENSAYOS!$Q$5:$Q$3004,ENSAYOS!$C$5:$C$3004,F100,ENSAYOS!$Q$5:$Q$3004,"&gt;0"))</f>
        <v/>
      </c>
      <c r="R100" s="16" t="str">
        <f aca="false">IF(N(M100)=0,"",_xlfn.MAXIFS(ENSAYOS!$Q$5:$Q$3004,ENSAYOS!$C$5:$C$3004,F100,ENSAYOS!$Q$5:$Q$3004,"&gt;0"))</f>
        <v/>
      </c>
      <c r="S100" s="16" t="str">
        <f aca="false">IF(N(M100)&lt;2,"",SQRT(MAX(0,(SUMIFS(ENSAYOS!$X$5:$X$3004,ENSAYOS!$C$5:$C$3004,F100,ENSAYOS!$Q$5:$Q$3004,"&gt;0")-M100*P100^2)/(M100-1))))</f>
        <v/>
      </c>
      <c r="T100" s="17" t="str">
        <f aca="false">IF(S100="","",S100/P100)</f>
        <v/>
      </c>
      <c r="U100" s="16" t="str">
        <f aca="false">IF(N(M100)=0,"",IF(N100&gt;=CONFIG!$B$27,"",AVERAGEIFS(ENSAYOS!$Q$5:$Q$3004,ENSAYOS!$C$5:$C$3004,F100,ENSAYOS!$Q$5:$Q$3004,"&gt;0",ENSAYOS!$G$5:$G$3004,N100)))</f>
        <v/>
      </c>
      <c r="V100" s="16" t="str">
        <f aca="false">IF(N(M100)=0,"",IF(COUNTIFS(ENSAYOS!$C$5:$C$3004,F100,ENSAYOS!$Q$5:$Q$3004,"&gt;0",ENSAYOS!$G$5:$G$3004,"&gt;="&amp;CONFIG!$B$27)=0,"",AVERAGEIFS(ENSAYOS!$Q$5:$Q$3004,ENSAYOS!$C$5:$C$3004,F100,ENSAYOS!$Q$5:$Q$3004,"&gt;0",ENSAYOS!$G$5:$G$3004,"&gt;="&amp;CONFIG!$B$27)))</f>
        <v/>
      </c>
      <c r="W100" s="18" t="str">
        <f aca="false">IF(AND(U100&lt;&gt;"",V100&lt;&gt;""),U100/V100,"")</f>
        <v/>
      </c>
      <c r="X100" s="18" t="str">
        <f aca="false">IF(U100="","",INDEX('CURVA EDAD'!$E$5:$E$32,MIN(28,MAX(1,N100))))</f>
        <v/>
      </c>
      <c r="Y100" s="16" t="str">
        <f aca="false">IF(V100&lt;&gt;"",V100,IF(U100="","",U100/X100))</f>
        <v/>
      </c>
      <c r="Z100" s="16" t="str">
        <f aca="false">IF(V100&lt;&gt;"",_xlfn.MINIFS(ENSAYOS!$Q$5:$Q$3004,ENSAYOS!$C$5:$C$3004,F100,ENSAYOS!$Q$5:$Q$3004,"&gt;0",ENSAYOS!$G$5:$G$3004,"&gt;="&amp;CONFIG!$B$27),IF(U100="","",_xlfn.MINIFS(ENSAYOS!$Q$5:$Q$3004,ENSAYOS!$C$5:$C$3004,F100,ENSAYOS!$Q$5:$Q$3004,"&gt;0",ENSAYOS!$G$5:$G$3004,N100)/X100))</f>
        <v/>
      </c>
      <c r="AA100" s="16" t="str">
        <f aca="false">IF(D100="","",IFERROR(1/(1/INDEX(CONFIG!$J$5:$J$14,MATCH(D100,CONFIG!$D$5:$D$14,0))),""))</f>
        <v/>
      </c>
      <c r="AB100" s="16" t="str">
        <f aca="false">IF(D100="","",IFERROR(1/(1/INDEX(CONFIG!$K$5:$K$14,MATCH(D100,CONFIG!$D$5:$D$14,0))),""))</f>
        <v/>
      </c>
      <c r="AC100" s="19" t="str">
        <f aca="false">IF(N(M100)=0,"",IF(AA100="","Sin spec",IF(AND(Y100&gt;=AA100,OR(AB100="",Z100&gt;=AB100)),"CUMPLE","NO CUMPLE")&amp;IF(V100=""," (est.)","")))</f>
        <v/>
      </c>
      <c r="AD100" s="20" t="str">
        <f aca="false">IF(F100="","",IF(COUNTIFS(ABSORCION!$C$5:$C$1004,F100,ABSORCION!$I$5:$I$1004,"&gt;0")=0,"",AVERAGEIFS(ABSORCION!$I$5:$I$1004,ABSORCION!$C$5:$C$1004,F100,ABSORCION!$I$5:$I$1004,"&gt;0")))</f>
        <v/>
      </c>
      <c r="AE100" s="20" t="str">
        <f aca="false">IF(F100="","",IF(COUNTIFS(ABSORCION!$C$5:$C$1004,F100,ABSORCION!$I$5:$I$1004,"&gt;0")=0,"",AVERAGEIFS(ABSORCION!$K$5:$K$1004,ABSORCION!$C$5:$C$1004,F100,ABSORCION!$I$5:$I$1004,"&gt;0")))</f>
        <v/>
      </c>
      <c r="AF100" s="20" t="str">
        <f aca="false">IF(AE100="","",IF(AE100&gt;=CONFIG!$E$21,CONFIG!$F$21,IF(AE100&gt;=CONFIG!$E$20,CONFIG!$F$20,CONFIG!$F$19)))</f>
        <v/>
      </c>
      <c r="AG100" s="21" t="str">
        <f aca="false">IF(F100="","",TRIM(IF(N(M100)=0,"Sin ensayos. ","")&amp;IF(AND(N(M100)&gt;0,N(M100)&lt;CONFIG!$B$26),"Menos de "&amp;CONFIG!$B$26&amp;" probetas. ","")&amp;IF(N(T100)&gt;CONFIG!$B$25,"CV alto. ","")&amp;IF(AND(N(AD100)&gt;0,N(AD100)&gt;N(AF100)),"Absorción alta. ","")))</f>
        <v/>
      </c>
      <c r="AH100" s="22" t="str">
        <f aca="false">IF(AND(N(M100)&gt;0,OR(CONTROL!$C$4="TODAS",C100=CONTROL!$C$4),D100=CONTROL!$C$5),MAX($AH$4:AH99)+1,"")</f>
        <v/>
      </c>
      <c r="AI100" s="22" t="str">
        <f aca="false">IF(AH100="","",P100^2)</f>
        <v/>
      </c>
    </row>
    <row r="101" customFormat="false" ht="15" hidden="false" customHeight="false" outlineLevel="0" collapsed="false">
      <c r="A101" s="11" t="str">
        <f aca="false">IF(B101="","",ROW()-4)</f>
        <v/>
      </c>
      <c r="B101" s="12"/>
      <c r="C101" s="13"/>
      <c r="D101" s="13"/>
      <c r="E101" s="13"/>
      <c r="F101" s="14" t="str">
        <f aca="false">IF(OR(B101="",C101="",D101=""),"",IFERROR(INDEX(CONFIG!$E$5:$E$14,MATCH(D101,CONFIG!$D$5:$D$14,0)),"?")&amp;RIGHT("0"&amp;DAY(B101),2)&amp;RIGHT("0"&amp;MONTH(B101),2)&amp;RIGHT(YEAR(B101),2)&amp;C101&amp;IF(E101="","","-"&amp;E101))</f>
        <v/>
      </c>
      <c r="G101" s="13"/>
      <c r="H101" s="13"/>
      <c r="I101" s="13"/>
      <c r="J101" s="13"/>
      <c r="K101" s="13"/>
      <c r="L101" s="13"/>
      <c r="M101" s="11" t="str">
        <f aca="false">IF(F101="","",COUNTIFS(ENSAYOS!$C$5:$C$3004,F101,ENSAYOS!$Q$5:$Q$3004,"&gt;0"))</f>
        <v/>
      </c>
      <c r="N101" s="15" t="str">
        <f aca="false">IF(N(M101)=0,"",_xlfn.MINIFS(ENSAYOS!$G$5:$G$3004,ENSAYOS!$C$5:$C$3004,F101,ENSAYOS!$Q$5:$Q$3004,"&gt;0"))</f>
        <v/>
      </c>
      <c r="O101" s="15" t="str">
        <f aca="false">IF(N(M101)=0,"",_xlfn.MAXIFS(ENSAYOS!$G$5:$G$3004,ENSAYOS!$C$5:$C$3004,F101,ENSAYOS!$Q$5:$Q$3004,"&gt;0"))</f>
        <v/>
      </c>
      <c r="P101" s="16" t="str">
        <f aca="false">IF(N(M101)=0,"",AVERAGEIFS(ENSAYOS!$Q$5:$Q$3004,ENSAYOS!$C$5:$C$3004,F101,ENSAYOS!$Q$5:$Q$3004,"&gt;0"))</f>
        <v/>
      </c>
      <c r="Q101" s="16" t="str">
        <f aca="false">IF(N(M101)=0,"",_xlfn.MINIFS(ENSAYOS!$Q$5:$Q$3004,ENSAYOS!$C$5:$C$3004,F101,ENSAYOS!$Q$5:$Q$3004,"&gt;0"))</f>
        <v/>
      </c>
      <c r="R101" s="16" t="str">
        <f aca="false">IF(N(M101)=0,"",_xlfn.MAXIFS(ENSAYOS!$Q$5:$Q$3004,ENSAYOS!$C$5:$C$3004,F101,ENSAYOS!$Q$5:$Q$3004,"&gt;0"))</f>
        <v/>
      </c>
      <c r="S101" s="16" t="str">
        <f aca="false">IF(N(M101)&lt;2,"",SQRT(MAX(0,(SUMIFS(ENSAYOS!$X$5:$X$3004,ENSAYOS!$C$5:$C$3004,F101,ENSAYOS!$Q$5:$Q$3004,"&gt;0")-M101*P101^2)/(M101-1))))</f>
        <v/>
      </c>
      <c r="T101" s="17" t="str">
        <f aca="false">IF(S101="","",S101/P101)</f>
        <v/>
      </c>
      <c r="U101" s="16" t="str">
        <f aca="false">IF(N(M101)=0,"",IF(N101&gt;=CONFIG!$B$27,"",AVERAGEIFS(ENSAYOS!$Q$5:$Q$3004,ENSAYOS!$C$5:$C$3004,F101,ENSAYOS!$Q$5:$Q$3004,"&gt;0",ENSAYOS!$G$5:$G$3004,N101)))</f>
        <v/>
      </c>
      <c r="V101" s="16" t="str">
        <f aca="false">IF(N(M101)=0,"",IF(COUNTIFS(ENSAYOS!$C$5:$C$3004,F101,ENSAYOS!$Q$5:$Q$3004,"&gt;0",ENSAYOS!$G$5:$G$3004,"&gt;="&amp;CONFIG!$B$27)=0,"",AVERAGEIFS(ENSAYOS!$Q$5:$Q$3004,ENSAYOS!$C$5:$C$3004,F101,ENSAYOS!$Q$5:$Q$3004,"&gt;0",ENSAYOS!$G$5:$G$3004,"&gt;="&amp;CONFIG!$B$27)))</f>
        <v/>
      </c>
      <c r="W101" s="18" t="str">
        <f aca="false">IF(AND(U101&lt;&gt;"",V101&lt;&gt;""),U101/V101,"")</f>
        <v/>
      </c>
      <c r="X101" s="18" t="str">
        <f aca="false">IF(U101="","",INDEX('CURVA EDAD'!$E$5:$E$32,MIN(28,MAX(1,N101))))</f>
        <v/>
      </c>
      <c r="Y101" s="16" t="str">
        <f aca="false">IF(V101&lt;&gt;"",V101,IF(U101="","",U101/X101))</f>
        <v/>
      </c>
      <c r="Z101" s="16" t="str">
        <f aca="false">IF(V101&lt;&gt;"",_xlfn.MINIFS(ENSAYOS!$Q$5:$Q$3004,ENSAYOS!$C$5:$C$3004,F101,ENSAYOS!$Q$5:$Q$3004,"&gt;0",ENSAYOS!$G$5:$G$3004,"&gt;="&amp;CONFIG!$B$27),IF(U101="","",_xlfn.MINIFS(ENSAYOS!$Q$5:$Q$3004,ENSAYOS!$C$5:$C$3004,F101,ENSAYOS!$Q$5:$Q$3004,"&gt;0",ENSAYOS!$G$5:$G$3004,N101)/X101))</f>
        <v/>
      </c>
      <c r="AA101" s="16" t="str">
        <f aca="false">IF(D101="","",IFERROR(1/(1/INDEX(CONFIG!$J$5:$J$14,MATCH(D101,CONFIG!$D$5:$D$14,0))),""))</f>
        <v/>
      </c>
      <c r="AB101" s="16" t="str">
        <f aca="false">IF(D101="","",IFERROR(1/(1/INDEX(CONFIG!$K$5:$K$14,MATCH(D101,CONFIG!$D$5:$D$14,0))),""))</f>
        <v/>
      </c>
      <c r="AC101" s="19" t="str">
        <f aca="false">IF(N(M101)=0,"",IF(AA101="","Sin spec",IF(AND(Y101&gt;=AA101,OR(AB101="",Z101&gt;=AB101)),"CUMPLE","NO CUMPLE")&amp;IF(V101=""," (est.)","")))</f>
        <v/>
      </c>
      <c r="AD101" s="20" t="str">
        <f aca="false">IF(F101="","",IF(COUNTIFS(ABSORCION!$C$5:$C$1004,F101,ABSORCION!$I$5:$I$1004,"&gt;0")=0,"",AVERAGEIFS(ABSORCION!$I$5:$I$1004,ABSORCION!$C$5:$C$1004,F101,ABSORCION!$I$5:$I$1004,"&gt;0")))</f>
        <v/>
      </c>
      <c r="AE101" s="20" t="str">
        <f aca="false">IF(F101="","",IF(COUNTIFS(ABSORCION!$C$5:$C$1004,F101,ABSORCION!$I$5:$I$1004,"&gt;0")=0,"",AVERAGEIFS(ABSORCION!$K$5:$K$1004,ABSORCION!$C$5:$C$1004,F101,ABSORCION!$I$5:$I$1004,"&gt;0")))</f>
        <v/>
      </c>
      <c r="AF101" s="20" t="str">
        <f aca="false">IF(AE101="","",IF(AE101&gt;=CONFIG!$E$21,CONFIG!$F$21,IF(AE101&gt;=CONFIG!$E$20,CONFIG!$F$20,CONFIG!$F$19)))</f>
        <v/>
      </c>
      <c r="AG101" s="21" t="str">
        <f aca="false">IF(F101="","",TRIM(IF(N(M101)=0,"Sin ensayos. ","")&amp;IF(AND(N(M101)&gt;0,N(M101)&lt;CONFIG!$B$26),"Menos de "&amp;CONFIG!$B$26&amp;" probetas. ","")&amp;IF(N(T101)&gt;CONFIG!$B$25,"CV alto. ","")&amp;IF(AND(N(AD101)&gt;0,N(AD101)&gt;N(AF101)),"Absorción alta. ","")))</f>
        <v/>
      </c>
      <c r="AH101" s="22" t="str">
        <f aca="false">IF(AND(N(M101)&gt;0,OR(CONTROL!$C$4="TODAS",C101=CONTROL!$C$4),D101=CONTROL!$C$5),MAX($AH$4:AH100)+1,"")</f>
        <v/>
      </c>
      <c r="AI101" s="22" t="str">
        <f aca="false">IF(AH101="","",P101^2)</f>
        <v/>
      </c>
    </row>
    <row r="102" customFormat="false" ht="15" hidden="false" customHeight="false" outlineLevel="0" collapsed="false">
      <c r="A102" s="11" t="str">
        <f aca="false">IF(B102="","",ROW()-4)</f>
        <v/>
      </c>
      <c r="B102" s="12"/>
      <c r="C102" s="13"/>
      <c r="D102" s="13"/>
      <c r="E102" s="13"/>
      <c r="F102" s="14" t="str">
        <f aca="false">IF(OR(B102="",C102="",D102=""),"",IFERROR(INDEX(CONFIG!$E$5:$E$14,MATCH(D102,CONFIG!$D$5:$D$14,0)),"?")&amp;RIGHT("0"&amp;DAY(B102),2)&amp;RIGHT("0"&amp;MONTH(B102),2)&amp;RIGHT(YEAR(B102),2)&amp;C102&amp;IF(E102="","","-"&amp;E102))</f>
        <v/>
      </c>
      <c r="G102" s="13"/>
      <c r="H102" s="13"/>
      <c r="I102" s="13"/>
      <c r="J102" s="13"/>
      <c r="K102" s="13"/>
      <c r="L102" s="13"/>
      <c r="M102" s="11" t="str">
        <f aca="false">IF(F102="","",COUNTIFS(ENSAYOS!$C$5:$C$3004,F102,ENSAYOS!$Q$5:$Q$3004,"&gt;0"))</f>
        <v/>
      </c>
      <c r="N102" s="15" t="str">
        <f aca="false">IF(N(M102)=0,"",_xlfn.MINIFS(ENSAYOS!$G$5:$G$3004,ENSAYOS!$C$5:$C$3004,F102,ENSAYOS!$Q$5:$Q$3004,"&gt;0"))</f>
        <v/>
      </c>
      <c r="O102" s="15" t="str">
        <f aca="false">IF(N(M102)=0,"",_xlfn.MAXIFS(ENSAYOS!$G$5:$G$3004,ENSAYOS!$C$5:$C$3004,F102,ENSAYOS!$Q$5:$Q$3004,"&gt;0"))</f>
        <v/>
      </c>
      <c r="P102" s="16" t="str">
        <f aca="false">IF(N(M102)=0,"",AVERAGEIFS(ENSAYOS!$Q$5:$Q$3004,ENSAYOS!$C$5:$C$3004,F102,ENSAYOS!$Q$5:$Q$3004,"&gt;0"))</f>
        <v/>
      </c>
      <c r="Q102" s="16" t="str">
        <f aca="false">IF(N(M102)=0,"",_xlfn.MINIFS(ENSAYOS!$Q$5:$Q$3004,ENSAYOS!$C$5:$C$3004,F102,ENSAYOS!$Q$5:$Q$3004,"&gt;0"))</f>
        <v/>
      </c>
      <c r="R102" s="16" t="str">
        <f aca="false">IF(N(M102)=0,"",_xlfn.MAXIFS(ENSAYOS!$Q$5:$Q$3004,ENSAYOS!$C$5:$C$3004,F102,ENSAYOS!$Q$5:$Q$3004,"&gt;0"))</f>
        <v/>
      </c>
      <c r="S102" s="16" t="str">
        <f aca="false">IF(N(M102)&lt;2,"",SQRT(MAX(0,(SUMIFS(ENSAYOS!$X$5:$X$3004,ENSAYOS!$C$5:$C$3004,F102,ENSAYOS!$Q$5:$Q$3004,"&gt;0")-M102*P102^2)/(M102-1))))</f>
        <v/>
      </c>
      <c r="T102" s="17" t="str">
        <f aca="false">IF(S102="","",S102/P102)</f>
        <v/>
      </c>
      <c r="U102" s="16" t="str">
        <f aca="false">IF(N(M102)=0,"",IF(N102&gt;=CONFIG!$B$27,"",AVERAGEIFS(ENSAYOS!$Q$5:$Q$3004,ENSAYOS!$C$5:$C$3004,F102,ENSAYOS!$Q$5:$Q$3004,"&gt;0",ENSAYOS!$G$5:$G$3004,N102)))</f>
        <v/>
      </c>
      <c r="V102" s="16" t="str">
        <f aca="false">IF(N(M102)=0,"",IF(COUNTIFS(ENSAYOS!$C$5:$C$3004,F102,ENSAYOS!$Q$5:$Q$3004,"&gt;0",ENSAYOS!$G$5:$G$3004,"&gt;="&amp;CONFIG!$B$27)=0,"",AVERAGEIFS(ENSAYOS!$Q$5:$Q$3004,ENSAYOS!$C$5:$C$3004,F102,ENSAYOS!$Q$5:$Q$3004,"&gt;0",ENSAYOS!$G$5:$G$3004,"&gt;="&amp;CONFIG!$B$27)))</f>
        <v/>
      </c>
      <c r="W102" s="18" t="str">
        <f aca="false">IF(AND(U102&lt;&gt;"",V102&lt;&gt;""),U102/V102,"")</f>
        <v/>
      </c>
      <c r="X102" s="18" t="str">
        <f aca="false">IF(U102="","",INDEX('CURVA EDAD'!$E$5:$E$32,MIN(28,MAX(1,N102))))</f>
        <v/>
      </c>
      <c r="Y102" s="16" t="str">
        <f aca="false">IF(V102&lt;&gt;"",V102,IF(U102="","",U102/X102))</f>
        <v/>
      </c>
      <c r="Z102" s="16" t="str">
        <f aca="false">IF(V102&lt;&gt;"",_xlfn.MINIFS(ENSAYOS!$Q$5:$Q$3004,ENSAYOS!$C$5:$C$3004,F102,ENSAYOS!$Q$5:$Q$3004,"&gt;0",ENSAYOS!$G$5:$G$3004,"&gt;="&amp;CONFIG!$B$27),IF(U102="","",_xlfn.MINIFS(ENSAYOS!$Q$5:$Q$3004,ENSAYOS!$C$5:$C$3004,F102,ENSAYOS!$Q$5:$Q$3004,"&gt;0",ENSAYOS!$G$5:$G$3004,N102)/X102))</f>
        <v/>
      </c>
      <c r="AA102" s="16" t="str">
        <f aca="false">IF(D102="","",IFERROR(1/(1/INDEX(CONFIG!$J$5:$J$14,MATCH(D102,CONFIG!$D$5:$D$14,0))),""))</f>
        <v/>
      </c>
      <c r="AB102" s="16" t="str">
        <f aca="false">IF(D102="","",IFERROR(1/(1/INDEX(CONFIG!$K$5:$K$14,MATCH(D102,CONFIG!$D$5:$D$14,0))),""))</f>
        <v/>
      </c>
      <c r="AC102" s="19" t="str">
        <f aca="false">IF(N(M102)=0,"",IF(AA102="","Sin spec",IF(AND(Y102&gt;=AA102,OR(AB102="",Z102&gt;=AB102)),"CUMPLE","NO CUMPLE")&amp;IF(V102=""," (est.)","")))</f>
        <v/>
      </c>
      <c r="AD102" s="20" t="str">
        <f aca="false">IF(F102="","",IF(COUNTIFS(ABSORCION!$C$5:$C$1004,F102,ABSORCION!$I$5:$I$1004,"&gt;0")=0,"",AVERAGEIFS(ABSORCION!$I$5:$I$1004,ABSORCION!$C$5:$C$1004,F102,ABSORCION!$I$5:$I$1004,"&gt;0")))</f>
        <v/>
      </c>
      <c r="AE102" s="20" t="str">
        <f aca="false">IF(F102="","",IF(COUNTIFS(ABSORCION!$C$5:$C$1004,F102,ABSORCION!$I$5:$I$1004,"&gt;0")=0,"",AVERAGEIFS(ABSORCION!$K$5:$K$1004,ABSORCION!$C$5:$C$1004,F102,ABSORCION!$I$5:$I$1004,"&gt;0")))</f>
        <v/>
      </c>
      <c r="AF102" s="20" t="str">
        <f aca="false">IF(AE102="","",IF(AE102&gt;=CONFIG!$E$21,CONFIG!$F$21,IF(AE102&gt;=CONFIG!$E$20,CONFIG!$F$20,CONFIG!$F$19)))</f>
        <v/>
      </c>
      <c r="AG102" s="21" t="str">
        <f aca="false">IF(F102="","",TRIM(IF(N(M102)=0,"Sin ensayos. ","")&amp;IF(AND(N(M102)&gt;0,N(M102)&lt;CONFIG!$B$26),"Menos de "&amp;CONFIG!$B$26&amp;" probetas. ","")&amp;IF(N(T102)&gt;CONFIG!$B$25,"CV alto. ","")&amp;IF(AND(N(AD102)&gt;0,N(AD102)&gt;N(AF102)),"Absorción alta. ","")))</f>
        <v/>
      </c>
      <c r="AH102" s="22" t="str">
        <f aca="false">IF(AND(N(M102)&gt;0,OR(CONTROL!$C$4="TODAS",C102=CONTROL!$C$4),D102=CONTROL!$C$5),MAX($AH$4:AH101)+1,"")</f>
        <v/>
      </c>
      <c r="AI102" s="22" t="str">
        <f aca="false">IF(AH102="","",P102^2)</f>
        <v/>
      </c>
    </row>
    <row r="103" customFormat="false" ht="15" hidden="false" customHeight="false" outlineLevel="0" collapsed="false">
      <c r="A103" s="11" t="str">
        <f aca="false">IF(B103="","",ROW()-4)</f>
        <v/>
      </c>
      <c r="B103" s="12"/>
      <c r="C103" s="13"/>
      <c r="D103" s="13"/>
      <c r="E103" s="13"/>
      <c r="F103" s="14" t="str">
        <f aca="false">IF(OR(B103="",C103="",D103=""),"",IFERROR(INDEX(CONFIG!$E$5:$E$14,MATCH(D103,CONFIG!$D$5:$D$14,0)),"?")&amp;RIGHT("0"&amp;DAY(B103),2)&amp;RIGHT("0"&amp;MONTH(B103),2)&amp;RIGHT(YEAR(B103),2)&amp;C103&amp;IF(E103="","","-"&amp;E103))</f>
        <v/>
      </c>
      <c r="G103" s="13"/>
      <c r="H103" s="13"/>
      <c r="I103" s="13"/>
      <c r="J103" s="13"/>
      <c r="K103" s="13"/>
      <c r="L103" s="13"/>
      <c r="M103" s="11" t="str">
        <f aca="false">IF(F103="","",COUNTIFS(ENSAYOS!$C$5:$C$3004,F103,ENSAYOS!$Q$5:$Q$3004,"&gt;0"))</f>
        <v/>
      </c>
      <c r="N103" s="15" t="str">
        <f aca="false">IF(N(M103)=0,"",_xlfn.MINIFS(ENSAYOS!$G$5:$G$3004,ENSAYOS!$C$5:$C$3004,F103,ENSAYOS!$Q$5:$Q$3004,"&gt;0"))</f>
        <v/>
      </c>
      <c r="O103" s="15" t="str">
        <f aca="false">IF(N(M103)=0,"",_xlfn.MAXIFS(ENSAYOS!$G$5:$G$3004,ENSAYOS!$C$5:$C$3004,F103,ENSAYOS!$Q$5:$Q$3004,"&gt;0"))</f>
        <v/>
      </c>
      <c r="P103" s="16" t="str">
        <f aca="false">IF(N(M103)=0,"",AVERAGEIFS(ENSAYOS!$Q$5:$Q$3004,ENSAYOS!$C$5:$C$3004,F103,ENSAYOS!$Q$5:$Q$3004,"&gt;0"))</f>
        <v/>
      </c>
      <c r="Q103" s="16" t="str">
        <f aca="false">IF(N(M103)=0,"",_xlfn.MINIFS(ENSAYOS!$Q$5:$Q$3004,ENSAYOS!$C$5:$C$3004,F103,ENSAYOS!$Q$5:$Q$3004,"&gt;0"))</f>
        <v/>
      </c>
      <c r="R103" s="16" t="str">
        <f aca="false">IF(N(M103)=0,"",_xlfn.MAXIFS(ENSAYOS!$Q$5:$Q$3004,ENSAYOS!$C$5:$C$3004,F103,ENSAYOS!$Q$5:$Q$3004,"&gt;0"))</f>
        <v/>
      </c>
      <c r="S103" s="16" t="str">
        <f aca="false">IF(N(M103)&lt;2,"",SQRT(MAX(0,(SUMIFS(ENSAYOS!$X$5:$X$3004,ENSAYOS!$C$5:$C$3004,F103,ENSAYOS!$Q$5:$Q$3004,"&gt;0")-M103*P103^2)/(M103-1))))</f>
        <v/>
      </c>
      <c r="T103" s="17" t="str">
        <f aca="false">IF(S103="","",S103/P103)</f>
        <v/>
      </c>
      <c r="U103" s="16" t="str">
        <f aca="false">IF(N(M103)=0,"",IF(N103&gt;=CONFIG!$B$27,"",AVERAGEIFS(ENSAYOS!$Q$5:$Q$3004,ENSAYOS!$C$5:$C$3004,F103,ENSAYOS!$Q$5:$Q$3004,"&gt;0",ENSAYOS!$G$5:$G$3004,N103)))</f>
        <v/>
      </c>
      <c r="V103" s="16" t="str">
        <f aca="false">IF(N(M103)=0,"",IF(COUNTIFS(ENSAYOS!$C$5:$C$3004,F103,ENSAYOS!$Q$5:$Q$3004,"&gt;0",ENSAYOS!$G$5:$G$3004,"&gt;="&amp;CONFIG!$B$27)=0,"",AVERAGEIFS(ENSAYOS!$Q$5:$Q$3004,ENSAYOS!$C$5:$C$3004,F103,ENSAYOS!$Q$5:$Q$3004,"&gt;0",ENSAYOS!$G$5:$G$3004,"&gt;="&amp;CONFIG!$B$27)))</f>
        <v/>
      </c>
      <c r="W103" s="18" t="str">
        <f aca="false">IF(AND(U103&lt;&gt;"",V103&lt;&gt;""),U103/V103,"")</f>
        <v/>
      </c>
      <c r="X103" s="18" t="str">
        <f aca="false">IF(U103="","",INDEX('CURVA EDAD'!$E$5:$E$32,MIN(28,MAX(1,N103))))</f>
        <v/>
      </c>
      <c r="Y103" s="16" t="str">
        <f aca="false">IF(V103&lt;&gt;"",V103,IF(U103="","",U103/X103))</f>
        <v/>
      </c>
      <c r="Z103" s="16" t="str">
        <f aca="false">IF(V103&lt;&gt;"",_xlfn.MINIFS(ENSAYOS!$Q$5:$Q$3004,ENSAYOS!$C$5:$C$3004,F103,ENSAYOS!$Q$5:$Q$3004,"&gt;0",ENSAYOS!$G$5:$G$3004,"&gt;="&amp;CONFIG!$B$27),IF(U103="","",_xlfn.MINIFS(ENSAYOS!$Q$5:$Q$3004,ENSAYOS!$C$5:$C$3004,F103,ENSAYOS!$Q$5:$Q$3004,"&gt;0",ENSAYOS!$G$5:$G$3004,N103)/X103))</f>
        <v/>
      </c>
      <c r="AA103" s="16" t="str">
        <f aca="false">IF(D103="","",IFERROR(1/(1/INDEX(CONFIG!$J$5:$J$14,MATCH(D103,CONFIG!$D$5:$D$14,0))),""))</f>
        <v/>
      </c>
      <c r="AB103" s="16" t="str">
        <f aca="false">IF(D103="","",IFERROR(1/(1/INDEX(CONFIG!$K$5:$K$14,MATCH(D103,CONFIG!$D$5:$D$14,0))),""))</f>
        <v/>
      </c>
      <c r="AC103" s="19" t="str">
        <f aca="false">IF(N(M103)=0,"",IF(AA103="","Sin spec",IF(AND(Y103&gt;=AA103,OR(AB103="",Z103&gt;=AB103)),"CUMPLE","NO CUMPLE")&amp;IF(V103=""," (est.)","")))</f>
        <v/>
      </c>
      <c r="AD103" s="20" t="str">
        <f aca="false">IF(F103="","",IF(COUNTIFS(ABSORCION!$C$5:$C$1004,F103,ABSORCION!$I$5:$I$1004,"&gt;0")=0,"",AVERAGEIFS(ABSORCION!$I$5:$I$1004,ABSORCION!$C$5:$C$1004,F103,ABSORCION!$I$5:$I$1004,"&gt;0")))</f>
        <v/>
      </c>
      <c r="AE103" s="20" t="str">
        <f aca="false">IF(F103="","",IF(COUNTIFS(ABSORCION!$C$5:$C$1004,F103,ABSORCION!$I$5:$I$1004,"&gt;0")=0,"",AVERAGEIFS(ABSORCION!$K$5:$K$1004,ABSORCION!$C$5:$C$1004,F103,ABSORCION!$I$5:$I$1004,"&gt;0")))</f>
        <v/>
      </c>
      <c r="AF103" s="20" t="str">
        <f aca="false">IF(AE103="","",IF(AE103&gt;=CONFIG!$E$21,CONFIG!$F$21,IF(AE103&gt;=CONFIG!$E$20,CONFIG!$F$20,CONFIG!$F$19)))</f>
        <v/>
      </c>
      <c r="AG103" s="21" t="str">
        <f aca="false">IF(F103="","",TRIM(IF(N(M103)=0,"Sin ensayos. ","")&amp;IF(AND(N(M103)&gt;0,N(M103)&lt;CONFIG!$B$26),"Menos de "&amp;CONFIG!$B$26&amp;" probetas. ","")&amp;IF(N(T103)&gt;CONFIG!$B$25,"CV alto. ","")&amp;IF(AND(N(AD103)&gt;0,N(AD103)&gt;N(AF103)),"Absorción alta. ","")))</f>
        <v/>
      </c>
      <c r="AH103" s="22" t="str">
        <f aca="false">IF(AND(N(M103)&gt;0,OR(CONTROL!$C$4="TODAS",C103=CONTROL!$C$4),D103=CONTROL!$C$5),MAX($AH$4:AH102)+1,"")</f>
        <v/>
      </c>
      <c r="AI103" s="22" t="str">
        <f aca="false">IF(AH103="","",P103^2)</f>
        <v/>
      </c>
    </row>
    <row r="104" customFormat="false" ht="15" hidden="false" customHeight="false" outlineLevel="0" collapsed="false">
      <c r="A104" s="11" t="str">
        <f aca="false">IF(B104="","",ROW()-4)</f>
        <v/>
      </c>
      <c r="B104" s="12"/>
      <c r="C104" s="13"/>
      <c r="D104" s="13"/>
      <c r="E104" s="13"/>
      <c r="F104" s="14" t="str">
        <f aca="false">IF(OR(B104="",C104="",D104=""),"",IFERROR(INDEX(CONFIG!$E$5:$E$14,MATCH(D104,CONFIG!$D$5:$D$14,0)),"?")&amp;RIGHT("0"&amp;DAY(B104),2)&amp;RIGHT("0"&amp;MONTH(B104),2)&amp;RIGHT(YEAR(B104),2)&amp;C104&amp;IF(E104="","","-"&amp;E104))</f>
        <v/>
      </c>
      <c r="G104" s="13"/>
      <c r="H104" s="13"/>
      <c r="I104" s="13"/>
      <c r="J104" s="13"/>
      <c r="K104" s="13"/>
      <c r="L104" s="13"/>
      <c r="M104" s="11" t="str">
        <f aca="false">IF(F104="","",COUNTIFS(ENSAYOS!$C$5:$C$3004,F104,ENSAYOS!$Q$5:$Q$3004,"&gt;0"))</f>
        <v/>
      </c>
      <c r="N104" s="15" t="str">
        <f aca="false">IF(N(M104)=0,"",_xlfn.MINIFS(ENSAYOS!$G$5:$G$3004,ENSAYOS!$C$5:$C$3004,F104,ENSAYOS!$Q$5:$Q$3004,"&gt;0"))</f>
        <v/>
      </c>
      <c r="O104" s="15" t="str">
        <f aca="false">IF(N(M104)=0,"",_xlfn.MAXIFS(ENSAYOS!$G$5:$G$3004,ENSAYOS!$C$5:$C$3004,F104,ENSAYOS!$Q$5:$Q$3004,"&gt;0"))</f>
        <v/>
      </c>
      <c r="P104" s="16" t="str">
        <f aca="false">IF(N(M104)=0,"",AVERAGEIFS(ENSAYOS!$Q$5:$Q$3004,ENSAYOS!$C$5:$C$3004,F104,ENSAYOS!$Q$5:$Q$3004,"&gt;0"))</f>
        <v/>
      </c>
      <c r="Q104" s="16" t="str">
        <f aca="false">IF(N(M104)=0,"",_xlfn.MINIFS(ENSAYOS!$Q$5:$Q$3004,ENSAYOS!$C$5:$C$3004,F104,ENSAYOS!$Q$5:$Q$3004,"&gt;0"))</f>
        <v/>
      </c>
      <c r="R104" s="16" t="str">
        <f aca="false">IF(N(M104)=0,"",_xlfn.MAXIFS(ENSAYOS!$Q$5:$Q$3004,ENSAYOS!$C$5:$C$3004,F104,ENSAYOS!$Q$5:$Q$3004,"&gt;0"))</f>
        <v/>
      </c>
      <c r="S104" s="16" t="str">
        <f aca="false">IF(N(M104)&lt;2,"",SQRT(MAX(0,(SUMIFS(ENSAYOS!$X$5:$X$3004,ENSAYOS!$C$5:$C$3004,F104,ENSAYOS!$Q$5:$Q$3004,"&gt;0")-M104*P104^2)/(M104-1))))</f>
        <v/>
      </c>
      <c r="T104" s="17" t="str">
        <f aca="false">IF(S104="","",S104/P104)</f>
        <v/>
      </c>
      <c r="U104" s="16" t="str">
        <f aca="false">IF(N(M104)=0,"",IF(N104&gt;=CONFIG!$B$27,"",AVERAGEIFS(ENSAYOS!$Q$5:$Q$3004,ENSAYOS!$C$5:$C$3004,F104,ENSAYOS!$Q$5:$Q$3004,"&gt;0",ENSAYOS!$G$5:$G$3004,N104)))</f>
        <v/>
      </c>
      <c r="V104" s="16" t="str">
        <f aca="false">IF(N(M104)=0,"",IF(COUNTIFS(ENSAYOS!$C$5:$C$3004,F104,ENSAYOS!$Q$5:$Q$3004,"&gt;0",ENSAYOS!$G$5:$G$3004,"&gt;="&amp;CONFIG!$B$27)=0,"",AVERAGEIFS(ENSAYOS!$Q$5:$Q$3004,ENSAYOS!$C$5:$C$3004,F104,ENSAYOS!$Q$5:$Q$3004,"&gt;0",ENSAYOS!$G$5:$G$3004,"&gt;="&amp;CONFIG!$B$27)))</f>
        <v/>
      </c>
      <c r="W104" s="18" t="str">
        <f aca="false">IF(AND(U104&lt;&gt;"",V104&lt;&gt;""),U104/V104,"")</f>
        <v/>
      </c>
      <c r="X104" s="18" t="str">
        <f aca="false">IF(U104="","",INDEX('CURVA EDAD'!$E$5:$E$32,MIN(28,MAX(1,N104))))</f>
        <v/>
      </c>
      <c r="Y104" s="16" t="str">
        <f aca="false">IF(V104&lt;&gt;"",V104,IF(U104="","",U104/X104))</f>
        <v/>
      </c>
      <c r="Z104" s="16" t="str">
        <f aca="false">IF(V104&lt;&gt;"",_xlfn.MINIFS(ENSAYOS!$Q$5:$Q$3004,ENSAYOS!$C$5:$C$3004,F104,ENSAYOS!$Q$5:$Q$3004,"&gt;0",ENSAYOS!$G$5:$G$3004,"&gt;="&amp;CONFIG!$B$27),IF(U104="","",_xlfn.MINIFS(ENSAYOS!$Q$5:$Q$3004,ENSAYOS!$C$5:$C$3004,F104,ENSAYOS!$Q$5:$Q$3004,"&gt;0",ENSAYOS!$G$5:$G$3004,N104)/X104))</f>
        <v/>
      </c>
      <c r="AA104" s="16" t="str">
        <f aca="false">IF(D104="","",IFERROR(1/(1/INDEX(CONFIG!$J$5:$J$14,MATCH(D104,CONFIG!$D$5:$D$14,0))),""))</f>
        <v/>
      </c>
      <c r="AB104" s="16" t="str">
        <f aca="false">IF(D104="","",IFERROR(1/(1/INDEX(CONFIG!$K$5:$K$14,MATCH(D104,CONFIG!$D$5:$D$14,0))),""))</f>
        <v/>
      </c>
      <c r="AC104" s="19" t="str">
        <f aca="false">IF(N(M104)=0,"",IF(AA104="","Sin spec",IF(AND(Y104&gt;=AA104,OR(AB104="",Z104&gt;=AB104)),"CUMPLE","NO CUMPLE")&amp;IF(V104=""," (est.)","")))</f>
        <v/>
      </c>
      <c r="AD104" s="20" t="str">
        <f aca="false">IF(F104="","",IF(COUNTIFS(ABSORCION!$C$5:$C$1004,F104,ABSORCION!$I$5:$I$1004,"&gt;0")=0,"",AVERAGEIFS(ABSORCION!$I$5:$I$1004,ABSORCION!$C$5:$C$1004,F104,ABSORCION!$I$5:$I$1004,"&gt;0")))</f>
        <v/>
      </c>
      <c r="AE104" s="20" t="str">
        <f aca="false">IF(F104="","",IF(COUNTIFS(ABSORCION!$C$5:$C$1004,F104,ABSORCION!$I$5:$I$1004,"&gt;0")=0,"",AVERAGEIFS(ABSORCION!$K$5:$K$1004,ABSORCION!$C$5:$C$1004,F104,ABSORCION!$I$5:$I$1004,"&gt;0")))</f>
        <v/>
      </c>
      <c r="AF104" s="20" t="str">
        <f aca="false">IF(AE104="","",IF(AE104&gt;=CONFIG!$E$21,CONFIG!$F$21,IF(AE104&gt;=CONFIG!$E$20,CONFIG!$F$20,CONFIG!$F$19)))</f>
        <v/>
      </c>
      <c r="AG104" s="21" t="str">
        <f aca="false">IF(F104="","",TRIM(IF(N(M104)=0,"Sin ensayos. ","")&amp;IF(AND(N(M104)&gt;0,N(M104)&lt;CONFIG!$B$26),"Menos de "&amp;CONFIG!$B$26&amp;" probetas. ","")&amp;IF(N(T104)&gt;CONFIG!$B$25,"CV alto. ","")&amp;IF(AND(N(AD104)&gt;0,N(AD104)&gt;N(AF104)),"Absorción alta. ","")))</f>
        <v/>
      </c>
      <c r="AH104" s="22" t="str">
        <f aca="false">IF(AND(N(M104)&gt;0,OR(CONTROL!$C$4="TODAS",C104=CONTROL!$C$4),D104=CONTROL!$C$5),MAX($AH$4:AH103)+1,"")</f>
        <v/>
      </c>
      <c r="AI104" s="22" t="str">
        <f aca="false">IF(AH104="","",P104^2)</f>
        <v/>
      </c>
    </row>
    <row r="105" customFormat="false" ht="15" hidden="false" customHeight="false" outlineLevel="0" collapsed="false">
      <c r="A105" s="11" t="str">
        <f aca="false">IF(B105="","",ROW()-4)</f>
        <v/>
      </c>
      <c r="B105" s="12"/>
      <c r="C105" s="13"/>
      <c r="D105" s="13"/>
      <c r="E105" s="13"/>
      <c r="F105" s="14" t="str">
        <f aca="false">IF(OR(B105="",C105="",D105=""),"",IFERROR(INDEX(CONFIG!$E$5:$E$14,MATCH(D105,CONFIG!$D$5:$D$14,0)),"?")&amp;RIGHT("0"&amp;DAY(B105),2)&amp;RIGHT("0"&amp;MONTH(B105),2)&amp;RIGHT(YEAR(B105),2)&amp;C105&amp;IF(E105="","","-"&amp;E105))</f>
        <v/>
      </c>
      <c r="G105" s="13"/>
      <c r="H105" s="13"/>
      <c r="I105" s="13"/>
      <c r="J105" s="13"/>
      <c r="K105" s="13"/>
      <c r="L105" s="13"/>
      <c r="M105" s="11" t="str">
        <f aca="false">IF(F105="","",COUNTIFS(ENSAYOS!$C$5:$C$3004,F105,ENSAYOS!$Q$5:$Q$3004,"&gt;0"))</f>
        <v/>
      </c>
      <c r="N105" s="15" t="str">
        <f aca="false">IF(N(M105)=0,"",_xlfn.MINIFS(ENSAYOS!$G$5:$G$3004,ENSAYOS!$C$5:$C$3004,F105,ENSAYOS!$Q$5:$Q$3004,"&gt;0"))</f>
        <v/>
      </c>
      <c r="O105" s="15" t="str">
        <f aca="false">IF(N(M105)=0,"",_xlfn.MAXIFS(ENSAYOS!$G$5:$G$3004,ENSAYOS!$C$5:$C$3004,F105,ENSAYOS!$Q$5:$Q$3004,"&gt;0"))</f>
        <v/>
      </c>
      <c r="P105" s="16" t="str">
        <f aca="false">IF(N(M105)=0,"",AVERAGEIFS(ENSAYOS!$Q$5:$Q$3004,ENSAYOS!$C$5:$C$3004,F105,ENSAYOS!$Q$5:$Q$3004,"&gt;0"))</f>
        <v/>
      </c>
      <c r="Q105" s="16" t="str">
        <f aca="false">IF(N(M105)=0,"",_xlfn.MINIFS(ENSAYOS!$Q$5:$Q$3004,ENSAYOS!$C$5:$C$3004,F105,ENSAYOS!$Q$5:$Q$3004,"&gt;0"))</f>
        <v/>
      </c>
      <c r="R105" s="16" t="str">
        <f aca="false">IF(N(M105)=0,"",_xlfn.MAXIFS(ENSAYOS!$Q$5:$Q$3004,ENSAYOS!$C$5:$C$3004,F105,ENSAYOS!$Q$5:$Q$3004,"&gt;0"))</f>
        <v/>
      </c>
      <c r="S105" s="16" t="str">
        <f aca="false">IF(N(M105)&lt;2,"",SQRT(MAX(0,(SUMIFS(ENSAYOS!$X$5:$X$3004,ENSAYOS!$C$5:$C$3004,F105,ENSAYOS!$Q$5:$Q$3004,"&gt;0")-M105*P105^2)/(M105-1))))</f>
        <v/>
      </c>
      <c r="T105" s="17" t="str">
        <f aca="false">IF(S105="","",S105/P105)</f>
        <v/>
      </c>
      <c r="U105" s="16" t="str">
        <f aca="false">IF(N(M105)=0,"",IF(N105&gt;=CONFIG!$B$27,"",AVERAGEIFS(ENSAYOS!$Q$5:$Q$3004,ENSAYOS!$C$5:$C$3004,F105,ENSAYOS!$Q$5:$Q$3004,"&gt;0",ENSAYOS!$G$5:$G$3004,N105)))</f>
        <v/>
      </c>
      <c r="V105" s="16" t="str">
        <f aca="false">IF(N(M105)=0,"",IF(COUNTIFS(ENSAYOS!$C$5:$C$3004,F105,ENSAYOS!$Q$5:$Q$3004,"&gt;0",ENSAYOS!$G$5:$G$3004,"&gt;="&amp;CONFIG!$B$27)=0,"",AVERAGEIFS(ENSAYOS!$Q$5:$Q$3004,ENSAYOS!$C$5:$C$3004,F105,ENSAYOS!$Q$5:$Q$3004,"&gt;0",ENSAYOS!$G$5:$G$3004,"&gt;="&amp;CONFIG!$B$27)))</f>
        <v/>
      </c>
      <c r="W105" s="18" t="str">
        <f aca="false">IF(AND(U105&lt;&gt;"",V105&lt;&gt;""),U105/V105,"")</f>
        <v/>
      </c>
      <c r="X105" s="18" t="str">
        <f aca="false">IF(U105="","",INDEX('CURVA EDAD'!$E$5:$E$32,MIN(28,MAX(1,N105))))</f>
        <v/>
      </c>
      <c r="Y105" s="16" t="str">
        <f aca="false">IF(V105&lt;&gt;"",V105,IF(U105="","",U105/X105))</f>
        <v/>
      </c>
      <c r="Z105" s="16" t="str">
        <f aca="false">IF(V105&lt;&gt;"",_xlfn.MINIFS(ENSAYOS!$Q$5:$Q$3004,ENSAYOS!$C$5:$C$3004,F105,ENSAYOS!$Q$5:$Q$3004,"&gt;0",ENSAYOS!$G$5:$G$3004,"&gt;="&amp;CONFIG!$B$27),IF(U105="","",_xlfn.MINIFS(ENSAYOS!$Q$5:$Q$3004,ENSAYOS!$C$5:$C$3004,F105,ENSAYOS!$Q$5:$Q$3004,"&gt;0",ENSAYOS!$G$5:$G$3004,N105)/X105))</f>
        <v/>
      </c>
      <c r="AA105" s="16" t="str">
        <f aca="false">IF(D105="","",IFERROR(1/(1/INDEX(CONFIG!$J$5:$J$14,MATCH(D105,CONFIG!$D$5:$D$14,0))),""))</f>
        <v/>
      </c>
      <c r="AB105" s="16" t="str">
        <f aca="false">IF(D105="","",IFERROR(1/(1/INDEX(CONFIG!$K$5:$K$14,MATCH(D105,CONFIG!$D$5:$D$14,0))),""))</f>
        <v/>
      </c>
      <c r="AC105" s="19" t="str">
        <f aca="false">IF(N(M105)=0,"",IF(AA105="","Sin spec",IF(AND(Y105&gt;=AA105,OR(AB105="",Z105&gt;=AB105)),"CUMPLE","NO CUMPLE")&amp;IF(V105=""," (est.)","")))</f>
        <v/>
      </c>
      <c r="AD105" s="20" t="str">
        <f aca="false">IF(F105="","",IF(COUNTIFS(ABSORCION!$C$5:$C$1004,F105,ABSORCION!$I$5:$I$1004,"&gt;0")=0,"",AVERAGEIFS(ABSORCION!$I$5:$I$1004,ABSORCION!$C$5:$C$1004,F105,ABSORCION!$I$5:$I$1004,"&gt;0")))</f>
        <v/>
      </c>
      <c r="AE105" s="20" t="str">
        <f aca="false">IF(F105="","",IF(COUNTIFS(ABSORCION!$C$5:$C$1004,F105,ABSORCION!$I$5:$I$1004,"&gt;0")=0,"",AVERAGEIFS(ABSORCION!$K$5:$K$1004,ABSORCION!$C$5:$C$1004,F105,ABSORCION!$I$5:$I$1004,"&gt;0")))</f>
        <v/>
      </c>
      <c r="AF105" s="20" t="str">
        <f aca="false">IF(AE105="","",IF(AE105&gt;=CONFIG!$E$21,CONFIG!$F$21,IF(AE105&gt;=CONFIG!$E$20,CONFIG!$F$20,CONFIG!$F$19)))</f>
        <v/>
      </c>
      <c r="AG105" s="21" t="str">
        <f aca="false">IF(F105="","",TRIM(IF(N(M105)=0,"Sin ensayos. ","")&amp;IF(AND(N(M105)&gt;0,N(M105)&lt;CONFIG!$B$26),"Menos de "&amp;CONFIG!$B$26&amp;" probetas. ","")&amp;IF(N(T105)&gt;CONFIG!$B$25,"CV alto. ","")&amp;IF(AND(N(AD105)&gt;0,N(AD105)&gt;N(AF105)),"Absorción alta. ","")))</f>
        <v/>
      </c>
      <c r="AH105" s="22" t="str">
        <f aca="false">IF(AND(N(M105)&gt;0,OR(CONTROL!$C$4="TODAS",C105=CONTROL!$C$4),D105=CONTROL!$C$5),MAX($AH$4:AH104)+1,"")</f>
        <v/>
      </c>
      <c r="AI105" s="22" t="str">
        <f aca="false">IF(AH105="","",P105^2)</f>
        <v/>
      </c>
    </row>
    <row r="106" customFormat="false" ht="15" hidden="false" customHeight="false" outlineLevel="0" collapsed="false">
      <c r="A106" s="11" t="str">
        <f aca="false">IF(B106="","",ROW()-4)</f>
        <v/>
      </c>
      <c r="B106" s="12"/>
      <c r="C106" s="13"/>
      <c r="D106" s="13"/>
      <c r="E106" s="13"/>
      <c r="F106" s="14" t="str">
        <f aca="false">IF(OR(B106="",C106="",D106=""),"",IFERROR(INDEX(CONFIG!$E$5:$E$14,MATCH(D106,CONFIG!$D$5:$D$14,0)),"?")&amp;RIGHT("0"&amp;DAY(B106),2)&amp;RIGHT("0"&amp;MONTH(B106),2)&amp;RIGHT(YEAR(B106),2)&amp;C106&amp;IF(E106="","","-"&amp;E106))</f>
        <v/>
      </c>
      <c r="G106" s="13"/>
      <c r="H106" s="13"/>
      <c r="I106" s="13"/>
      <c r="J106" s="13"/>
      <c r="K106" s="13"/>
      <c r="L106" s="13"/>
      <c r="M106" s="11" t="str">
        <f aca="false">IF(F106="","",COUNTIFS(ENSAYOS!$C$5:$C$3004,F106,ENSAYOS!$Q$5:$Q$3004,"&gt;0"))</f>
        <v/>
      </c>
      <c r="N106" s="15" t="str">
        <f aca="false">IF(N(M106)=0,"",_xlfn.MINIFS(ENSAYOS!$G$5:$G$3004,ENSAYOS!$C$5:$C$3004,F106,ENSAYOS!$Q$5:$Q$3004,"&gt;0"))</f>
        <v/>
      </c>
      <c r="O106" s="15" t="str">
        <f aca="false">IF(N(M106)=0,"",_xlfn.MAXIFS(ENSAYOS!$G$5:$G$3004,ENSAYOS!$C$5:$C$3004,F106,ENSAYOS!$Q$5:$Q$3004,"&gt;0"))</f>
        <v/>
      </c>
      <c r="P106" s="16" t="str">
        <f aca="false">IF(N(M106)=0,"",AVERAGEIFS(ENSAYOS!$Q$5:$Q$3004,ENSAYOS!$C$5:$C$3004,F106,ENSAYOS!$Q$5:$Q$3004,"&gt;0"))</f>
        <v/>
      </c>
      <c r="Q106" s="16" t="str">
        <f aca="false">IF(N(M106)=0,"",_xlfn.MINIFS(ENSAYOS!$Q$5:$Q$3004,ENSAYOS!$C$5:$C$3004,F106,ENSAYOS!$Q$5:$Q$3004,"&gt;0"))</f>
        <v/>
      </c>
      <c r="R106" s="16" t="str">
        <f aca="false">IF(N(M106)=0,"",_xlfn.MAXIFS(ENSAYOS!$Q$5:$Q$3004,ENSAYOS!$C$5:$C$3004,F106,ENSAYOS!$Q$5:$Q$3004,"&gt;0"))</f>
        <v/>
      </c>
      <c r="S106" s="16" t="str">
        <f aca="false">IF(N(M106)&lt;2,"",SQRT(MAX(0,(SUMIFS(ENSAYOS!$X$5:$X$3004,ENSAYOS!$C$5:$C$3004,F106,ENSAYOS!$Q$5:$Q$3004,"&gt;0")-M106*P106^2)/(M106-1))))</f>
        <v/>
      </c>
      <c r="T106" s="17" t="str">
        <f aca="false">IF(S106="","",S106/P106)</f>
        <v/>
      </c>
      <c r="U106" s="16" t="str">
        <f aca="false">IF(N(M106)=0,"",IF(N106&gt;=CONFIG!$B$27,"",AVERAGEIFS(ENSAYOS!$Q$5:$Q$3004,ENSAYOS!$C$5:$C$3004,F106,ENSAYOS!$Q$5:$Q$3004,"&gt;0",ENSAYOS!$G$5:$G$3004,N106)))</f>
        <v/>
      </c>
      <c r="V106" s="16" t="str">
        <f aca="false">IF(N(M106)=0,"",IF(COUNTIFS(ENSAYOS!$C$5:$C$3004,F106,ENSAYOS!$Q$5:$Q$3004,"&gt;0",ENSAYOS!$G$5:$G$3004,"&gt;="&amp;CONFIG!$B$27)=0,"",AVERAGEIFS(ENSAYOS!$Q$5:$Q$3004,ENSAYOS!$C$5:$C$3004,F106,ENSAYOS!$Q$5:$Q$3004,"&gt;0",ENSAYOS!$G$5:$G$3004,"&gt;="&amp;CONFIG!$B$27)))</f>
        <v/>
      </c>
      <c r="W106" s="18" t="str">
        <f aca="false">IF(AND(U106&lt;&gt;"",V106&lt;&gt;""),U106/V106,"")</f>
        <v/>
      </c>
      <c r="X106" s="18" t="str">
        <f aca="false">IF(U106="","",INDEX('CURVA EDAD'!$E$5:$E$32,MIN(28,MAX(1,N106))))</f>
        <v/>
      </c>
      <c r="Y106" s="16" t="str">
        <f aca="false">IF(V106&lt;&gt;"",V106,IF(U106="","",U106/X106))</f>
        <v/>
      </c>
      <c r="Z106" s="16" t="str">
        <f aca="false">IF(V106&lt;&gt;"",_xlfn.MINIFS(ENSAYOS!$Q$5:$Q$3004,ENSAYOS!$C$5:$C$3004,F106,ENSAYOS!$Q$5:$Q$3004,"&gt;0",ENSAYOS!$G$5:$G$3004,"&gt;="&amp;CONFIG!$B$27),IF(U106="","",_xlfn.MINIFS(ENSAYOS!$Q$5:$Q$3004,ENSAYOS!$C$5:$C$3004,F106,ENSAYOS!$Q$5:$Q$3004,"&gt;0",ENSAYOS!$G$5:$G$3004,N106)/X106))</f>
        <v/>
      </c>
      <c r="AA106" s="16" t="str">
        <f aca="false">IF(D106="","",IFERROR(1/(1/INDEX(CONFIG!$J$5:$J$14,MATCH(D106,CONFIG!$D$5:$D$14,0))),""))</f>
        <v/>
      </c>
      <c r="AB106" s="16" t="str">
        <f aca="false">IF(D106="","",IFERROR(1/(1/INDEX(CONFIG!$K$5:$K$14,MATCH(D106,CONFIG!$D$5:$D$14,0))),""))</f>
        <v/>
      </c>
      <c r="AC106" s="19" t="str">
        <f aca="false">IF(N(M106)=0,"",IF(AA106="","Sin spec",IF(AND(Y106&gt;=AA106,OR(AB106="",Z106&gt;=AB106)),"CUMPLE","NO CUMPLE")&amp;IF(V106=""," (est.)","")))</f>
        <v/>
      </c>
      <c r="AD106" s="20" t="str">
        <f aca="false">IF(F106="","",IF(COUNTIFS(ABSORCION!$C$5:$C$1004,F106,ABSORCION!$I$5:$I$1004,"&gt;0")=0,"",AVERAGEIFS(ABSORCION!$I$5:$I$1004,ABSORCION!$C$5:$C$1004,F106,ABSORCION!$I$5:$I$1004,"&gt;0")))</f>
        <v/>
      </c>
      <c r="AE106" s="20" t="str">
        <f aca="false">IF(F106="","",IF(COUNTIFS(ABSORCION!$C$5:$C$1004,F106,ABSORCION!$I$5:$I$1004,"&gt;0")=0,"",AVERAGEIFS(ABSORCION!$K$5:$K$1004,ABSORCION!$C$5:$C$1004,F106,ABSORCION!$I$5:$I$1004,"&gt;0")))</f>
        <v/>
      </c>
      <c r="AF106" s="20" t="str">
        <f aca="false">IF(AE106="","",IF(AE106&gt;=CONFIG!$E$21,CONFIG!$F$21,IF(AE106&gt;=CONFIG!$E$20,CONFIG!$F$20,CONFIG!$F$19)))</f>
        <v/>
      </c>
      <c r="AG106" s="21" t="str">
        <f aca="false">IF(F106="","",TRIM(IF(N(M106)=0,"Sin ensayos. ","")&amp;IF(AND(N(M106)&gt;0,N(M106)&lt;CONFIG!$B$26),"Menos de "&amp;CONFIG!$B$26&amp;" probetas. ","")&amp;IF(N(T106)&gt;CONFIG!$B$25,"CV alto. ","")&amp;IF(AND(N(AD106)&gt;0,N(AD106)&gt;N(AF106)),"Absorción alta. ","")))</f>
        <v/>
      </c>
      <c r="AH106" s="22" t="str">
        <f aca="false">IF(AND(N(M106)&gt;0,OR(CONTROL!$C$4="TODAS",C106=CONTROL!$C$4),D106=CONTROL!$C$5),MAX($AH$4:AH105)+1,"")</f>
        <v/>
      </c>
      <c r="AI106" s="22" t="str">
        <f aca="false">IF(AH106="","",P106^2)</f>
        <v/>
      </c>
    </row>
    <row r="107" customFormat="false" ht="15" hidden="false" customHeight="false" outlineLevel="0" collapsed="false">
      <c r="A107" s="11" t="str">
        <f aca="false">IF(B107="","",ROW()-4)</f>
        <v/>
      </c>
      <c r="B107" s="12"/>
      <c r="C107" s="13"/>
      <c r="D107" s="13"/>
      <c r="E107" s="13"/>
      <c r="F107" s="14" t="str">
        <f aca="false">IF(OR(B107="",C107="",D107=""),"",IFERROR(INDEX(CONFIG!$E$5:$E$14,MATCH(D107,CONFIG!$D$5:$D$14,0)),"?")&amp;RIGHT("0"&amp;DAY(B107),2)&amp;RIGHT("0"&amp;MONTH(B107),2)&amp;RIGHT(YEAR(B107),2)&amp;C107&amp;IF(E107="","","-"&amp;E107))</f>
        <v/>
      </c>
      <c r="G107" s="13"/>
      <c r="H107" s="13"/>
      <c r="I107" s="13"/>
      <c r="J107" s="13"/>
      <c r="K107" s="13"/>
      <c r="L107" s="13"/>
      <c r="M107" s="11" t="str">
        <f aca="false">IF(F107="","",COUNTIFS(ENSAYOS!$C$5:$C$3004,F107,ENSAYOS!$Q$5:$Q$3004,"&gt;0"))</f>
        <v/>
      </c>
      <c r="N107" s="15" t="str">
        <f aca="false">IF(N(M107)=0,"",_xlfn.MINIFS(ENSAYOS!$G$5:$G$3004,ENSAYOS!$C$5:$C$3004,F107,ENSAYOS!$Q$5:$Q$3004,"&gt;0"))</f>
        <v/>
      </c>
      <c r="O107" s="15" t="str">
        <f aca="false">IF(N(M107)=0,"",_xlfn.MAXIFS(ENSAYOS!$G$5:$G$3004,ENSAYOS!$C$5:$C$3004,F107,ENSAYOS!$Q$5:$Q$3004,"&gt;0"))</f>
        <v/>
      </c>
      <c r="P107" s="16" t="str">
        <f aca="false">IF(N(M107)=0,"",AVERAGEIFS(ENSAYOS!$Q$5:$Q$3004,ENSAYOS!$C$5:$C$3004,F107,ENSAYOS!$Q$5:$Q$3004,"&gt;0"))</f>
        <v/>
      </c>
      <c r="Q107" s="16" t="str">
        <f aca="false">IF(N(M107)=0,"",_xlfn.MINIFS(ENSAYOS!$Q$5:$Q$3004,ENSAYOS!$C$5:$C$3004,F107,ENSAYOS!$Q$5:$Q$3004,"&gt;0"))</f>
        <v/>
      </c>
      <c r="R107" s="16" t="str">
        <f aca="false">IF(N(M107)=0,"",_xlfn.MAXIFS(ENSAYOS!$Q$5:$Q$3004,ENSAYOS!$C$5:$C$3004,F107,ENSAYOS!$Q$5:$Q$3004,"&gt;0"))</f>
        <v/>
      </c>
      <c r="S107" s="16" t="str">
        <f aca="false">IF(N(M107)&lt;2,"",SQRT(MAX(0,(SUMIFS(ENSAYOS!$X$5:$X$3004,ENSAYOS!$C$5:$C$3004,F107,ENSAYOS!$Q$5:$Q$3004,"&gt;0")-M107*P107^2)/(M107-1))))</f>
        <v/>
      </c>
      <c r="T107" s="17" t="str">
        <f aca="false">IF(S107="","",S107/P107)</f>
        <v/>
      </c>
      <c r="U107" s="16" t="str">
        <f aca="false">IF(N(M107)=0,"",IF(N107&gt;=CONFIG!$B$27,"",AVERAGEIFS(ENSAYOS!$Q$5:$Q$3004,ENSAYOS!$C$5:$C$3004,F107,ENSAYOS!$Q$5:$Q$3004,"&gt;0",ENSAYOS!$G$5:$G$3004,N107)))</f>
        <v/>
      </c>
      <c r="V107" s="16" t="str">
        <f aca="false">IF(N(M107)=0,"",IF(COUNTIFS(ENSAYOS!$C$5:$C$3004,F107,ENSAYOS!$Q$5:$Q$3004,"&gt;0",ENSAYOS!$G$5:$G$3004,"&gt;="&amp;CONFIG!$B$27)=0,"",AVERAGEIFS(ENSAYOS!$Q$5:$Q$3004,ENSAYOS!$C$5:$C$3004,F107,ENSAYOS!$Q$5:$Q$3004,"&gt;0",ENSAYOS!$G$5:$G$3004,"&gt;="&amp;CONFIG!$B$27)))</f>
        <v/>
      </c>
      <c r="W107" s="18" t="str">
        <f aca="false">IF(AND(U107&lt;&gt;"",V107&lt;&gt;""),U107/V107,"")</f>
        <v/>
      </c>
      <c r="X107" s="18" t="str">
        <f aca="false">IF(U107="","",INDEX('CURVA EDAD'!$E$5:$E$32,MIN(28,MAX(1,N107))))</f>
        <v/>
      </c>
      <c r="Y107" s="16" t="str">
        <f aca="false">IF(V107&lt;&gt;"",V107,IF(U107="","",U107/X107))</f>
        <v/>
      </c>
      <c r="Z107" s="16" t="str">
        <f aca="false">IF(V107&lt;&gt;"",_xlfn.MINIFS(ENSAYOS!$Q$5:$Q$3004,ENSAYOS!$C$5:$C$3004,F107,ENSAYOS!$Q$5:$Q$3004,"&gt;0",ENSAYOS!$G$5:$G$3004,"&gt;="&amp;CONFIG!$B$27),IF(U107="","",_xlfn.MINIFS(ENSAYOS!$Q$5:$Q$3004,ENSAYOS!$C$5:$C$3004,F107,ENSAYOS!$Q$5:$Q$3004,"&gt;0",ENSAYOS!$G$5:$G$3004,N107)/X107))</f>
        <v/>
      </c>
      <c r="AA107" s="16" t="str">
        <f aca="false">IF(D107="","",IFERROR(1/(1/INDEX(CONFIG!$J$5:$J$14,MATCH(D107,CONFIG!$D$5:$D$14,0))),""))</f>
        <v/>
      </c>
      <c r="AB107" s="16" t="str">
        <f aca="false">IF(D107="","",IFERROR(1/(1/INDEX(CONFIG!$K$5:$K$14,MATCH(D107,CONFIG!$D$5:$D$14,0))),""))</f>
        <v/>
      </c>
      <c r="AC107" s="19" t="str">
        <f aca="false">IF(N(M107)=0,"",IF(AA107="","Sin spec",IF(AND(Y107&gt;=AA107,OR(AB107="",Z107&gt;=AB107)),"CUMPLE","NO CUMPLE")&amp;IF(V107=""," (est.)","")))</f>
        <v/>
      </c>
      <c r="AD107" s="20" t="str">
        <f aca="false">IF(F107="","",IF(COUNTIFS(ABSORCION!$C$5:$C$1004,F107,ABSORCION!$I$5:$I$1004,"&gt;0")=0,"",AVERAGEIFS(ABSORCION!$I$5:$I$1004,ABSORCION!$C$5:$C$1004,F107,ABSORCION!$I$5:$I$1004,"&gt;0")))</f>
        <v/>
      </c>
      <c r="AE107" s="20" t="str">
        <f aca="false">IF(F107="","",IF(COUNTIFS(ABSORCION!$C$5:$C$1004,F107,ABSORCION!$I$5:$I$1004,"&gt;0")=0,"",AVERAGEIFS(ABSORCION!$K$5:$K$1004,ABSORCION!$C$5:$C$1004,F107,ABSORCION!$I$5:$I$1004,"&gt;0")))</f>
        <v/>
      </c>
      <c r="AF107" s="20" t="str">
        <f aca="false">IF(AE107="","",IF(AE107&gt;=CONFIG!$E$21,CONFIG!$F$21,IF(AE107&gt;=CONFIG!$E$20,CONFIG!$F$20,CONFIG!$F$19)))</f>
        <v/>
      </c>
      <c r="AG107" s="21" t="str">
        <f aca="false">IF(F107="","",TRIM(IF(N(M107)=0,"Sin ensayos. ","")&amp;IF(AND(N(M107)&gt;0,N(M107)&lt;CONFIG!$B$26),"Menos de "&amp;CONFIG!$B$26&amp;" probetas. ","")&amp;IF(N(T107)&gt;CONFIG!$B$25,"CV alto. ","")&amp;IF(AND(N(AD107)&gt;0,N(AD107)&gt;N(AF107)),"Absorción alta. ","")))</f>
        <v/>
      </c>
      <c r="AH107" s="22" t="str">
        <f aca="false">IF(AND(N(M107)&gt;0,OR(CONTROL!$C$4="TODAS",C107=CONTROL!$C$4),D107=CONTROL!$C$5),MAX($AH$4:AH106)+1,"")</f>
        <v/>
      </c>
      <c r="AI107" s="22" t="str">
        <f aca="false">IF(AH107="","",P107^2)</f>
        <v/>
      </c>
    </row>
    <row r="108" customFormat="false" ht="15" hidden="false" customHeight="false" outlineLevel="0" collapsed="false">
      <c r="A108" s="11" t="str">
        <f aca="false">IF(B108="","",ROW()-4)</f>
        <v/>
      </c>
      <c r="B108" s="12"/>
      <c r="C108" s="13"/>
      <c r="D108" s="13"/>
      <c r="E108" s="13"/>
      <c r="F108" s="14" t="str">
        <f aca="false">IF(OR(B108="",C108="",D108=""),"",IFERROR(INDEX(CONFIG!$E$5:$E$14,MATCH(D108,CONFIG!$D$5:$D$14,0)),"?")&amp;RIGHT("0"&amp;DAY(B108),2)&amp;RIGHT("0"&amp;MONTH(B108),2)&amp;RIGHT(YEAR(B108),2)&amp;C108&amp;IF(E108="","","-"&amp;E108))</f>
        <v/>
      </c>
      <c r="G108" s="13"/>
      <c r="H108" s="13"/>
      <c r="I108" s="13"/>
      <c r="J108" s="13"/>
      <c r="K108" s="13"/>
      <c r="L108" s="13"/>
      <c r="M108" s="11" t="str">
        <f aca="false">IF(F108="","",COUNTIFS(ENSAYOS!$C$5:$C$3004,F108,ENSAYOS!$Q$5:$Q$3004,"&gt;0"))</f>
        <v/>
      </c>
      <c r="N108" s="15" t="str">
        <f aca="false">IF(N(M108)=0,"",_xlfn.MINIFS(ENSAYOS!$G$5:$G$3004,ENSAYOS!$C$5:$C$3004,F108,ENSAYOS!$Q$5:$Q$3004,"&gt;0"))</f>
        <v/>
      </c>
      <c r="O108" s="15" t="str">
        <f aca="false">IF(N(M108)=0,"",_xlfn.MAXIFS(ENSAYOS!$G$5:$G$3004,ENSAYOS!$C$5:$C$3004,F108,ENSAYOS!$Q$5:$Q$3004,"&gt;0"))</f>
        <v/>
      </c>
      <c r="P108" s="16" t="str">
        <f aca="false">IF(N(M108)=0,"",AVERAGEIFS(ENSAYOS!$Q$5:$Q$3004,ENSAYOS!$C$5:$C$3004,F108,ENSAYOS!$Q$5:$Q$3004,"&gt;0"))</f>
        <v/>
      </c>
      <c r="Q108" s="16" t="str">
        <f aca="false">IF(N(M108)=0,"",_xlfn.MINIFS(ENSAYOS!$Q$5:$Q$3004,ENSAYOS!$C$5:$C$3004,F108,ENSAYOS!$Q$5:$Q$3004,"&gt;0"))</f>
        <v/>
      </c>
      <c r="R108" s="16" t="str">
        <f aca="false">IF(N(M108)=0,"",_xlfn.MAXIFS(ENSAYOS!$Q$5:$Q$3004,ENSAYOS!$C$5:$C$3004,F108,ENSAYOS!$Q$5:$Q$3004,"&gt;0"))</f>
        <v/>
      </c>
      <c r="S108" s="16" t="str">
        <f aca="false">IF(N(M108)&lt;2,"",SQRT(MAX(0,(SUMIFS(ENSAYOS!$X$5:$X$3004,ENSAYOS!$C$5:$C$3004,F108,ENSAYOS!$Q$5:$Q$3004,"&gt;0")-M108*P108^2)/(M108-1))))</f>
        <v/>
      </c>
      <c r="T108" s="17" t="str">
        <f aca="false">IF(S108="","",S108/P108)</f>
        <v/>
      </c>
      <c r="U108" s="16" t="str">
        <f aca="false">IF(N(M108)=0,"",IF(N108&gt;=CONFIG!$B$27,"",AVERAGEIFS(ENSAYOS!$Q$5:$Q$3004,ENSAYOS!$C$5:$C$3004,F108,ENSAYOS!$Q$5:$Q$3004,"&gt;0",ENSAYOS!$G$5:$G$3004,N108)))</f>
        <v/>
      </c>
      <c r="V108" s="16" t="str">
        <f aca="false">IF(N(M108)=0,"",IF(COUNTIFS(ENSAYOS!$C$5:$C$3004,F108,ENSAYOS!$Q$5:$Q$3004,"&gt;0",ENSAYOS!$G$5:$G$3004,"&gt;="&amp;CONFIG!$B$27)=0,"",AVERAGEIFS(ENSAYOS!$Q$5:$Q$3004,ENSAYOS!$C$5:$C$3004,F108,ENSAYOS!$Q$5:$Q$3004,"&gt;0",ENSAYOS!$G$5:$G$3004,"&gt;="&amp;CONFIG!$B$27)))</f>
        <v/>
      </c>
      <c r="W108" s="18" t="str">
        <f aca="false">IF(AND(U108&lt;&gt;"",V108&lt;&gt;""),U108/V108,"")</f>
        <v/>
      </c>
      <c r="X108" s="18" t="str">
        <f aca="false">IF(U108="","",INDEX('CURVA EDAD'!$E$5:$E$32,MIN(28,MAX(1,N108))))</f>
        <v/>
      </c>
      <c r="Y108" s="16" t="str">
        <f aca="false">IF(V108&lt;&gt;"",V108,IF(U108="","",U108/X108))</f>
        <v/>
      </c>
      <c r="Z108" s="16" t="str">
        <f aca="false">IF(V108&lt;&gt;"",_xlfn.MINIFS(ENSAYOS!$Q$5:$Q$3004,ENSAYOS!$C$5:$C$3004,F108,ENSAYOS!$Q$5:$Q$3004,"&gt;0",ENSAYOS!$G$5:$G$3004,"&gt;="&amp;CONFIG!$B$27),IF(U108="","",_xlfn.MINIFS(ENSAYOS!$Q$5:$Q$3004,ENSAYOS!$C$5:$C$3004,F108,ENSAYOS!$Q$5:$Q$3004,"&gt;0",ENSAYOS!$G$5:$G$3004,N108)/X108))</f>
        <v/>
      </c>
      <c r="AA108" s="16" t="str">
        <f aca="false">IF(D108="","",IFERROR(1/(1/INDEX(CONFIG!$J$5:$J$14,MATCH(D108,CONFIG!$D$5:$D$14,0))),""))</f>
        <v/>
      </c>
      <c r="AB108" s="16" t="str">
        <f aca="false">IF(D108="","",IFERROR(1/(1/INDEX(CONFIG!$K$5:$K$14,MATCH(D108,CONFIG!$D$5:$D$14,0))),""))</f>
        <v/>
      </c>
      <c r="AC108" s="19" t="str">
        <f aca="false">IF(N(M108)=0,"",IF(AA108="","Sin spec",IF(AND(Y108&gt;=AA108,OR(AB108="",Z108&gt;=AB108)),"CUMPLE","NO CUMPLE")&amp;IF(V108=""," (est.)","")))</f>
        <v/>
      </c>
      <c r="AD108" s="20" t="str">
        <f aca="false">IF(F108="","",IF(COUNTIFS(ABSORCION!$C$5:$C$1004,F108,ABSORCION!$I$5:$I$1004,"&gt;0")=0,"",AVERAGEIFS(ABSORCION!$I$5:$I$1004,ABSORCION!$C$5:$C$1004,F108,ABSORCION!$I$5:$I$1004,"&gt;0")))</f>
        <v/>
      </c>
      <c r="AE108" s="20" t="str">
        <f aca="false">IF(F108="","",IF(COUNTIFS(ABSORCION!$C$5:$C$1004,F108,ABSORCION!$I$5:$I$1004,"&gt;0")=0,"",AVERAGEIFS(ABSORCION!$K$5:$K$1004,ABSORCION!$C$5:$C$1004,F108,ABSORCION!$I$5:$I$1004,"&gt;0")))</f>
        <v/>
      </c>
      <c r="AF108" s="20" t="str">
        <f aca="false">IF(AE108="","",IF(AE108&gt;=CONFIG!$E$21,CONFIG!$F$21,IF(AE108&gt;=CONFIG!$E$20,CONFIG!$F$20,CONFIG!$F$19)))</f>
        <v/>
      </c>
      <c r="AG108" s="21" t="str">
        <f aca="false">IF(F108="","",TRIM(IF(N(M108)=0,"Sin ensayos. ","")&amp;IF(AND(N(M108)&gt;0,N(M108)&lt;CONFIG!$B$26),"Menos de "&amp;CONFIG!$B$26&amp;" probetas. ","")&amp;IF(N(T108)&gt;CONFIG!$B$25,"CV alto. ","")&amp;IF(AND(N(AD108)&gt;0,N(AD108)&gt;N(AF108)),"Absorción alta. ","")))</f>
        <v/>
      </c>
      <c r="AH108" s="22" t="str">
        <f aca="false">IF(AND(N(M108)&gt;0,OR(CONTROL!$C$4="TODAS",C108=CONTROL!$C$4),D108=CONTROL!$C$5),MAX($AH$4:AH107)+1,"")</f>
        <v/>
      </c>
      <c r="AI108" s="22" t="str">
        <f aca="false">IF(AH108="","",P108^2)</f>
        <v/>
      </c>
    </row>
    <row r="109" customFormat="false" ht="15" hidden="false" customHeight="false" outlineLevel="0" collapsed="false">
      <c r="A109" s="11" t="str">
        <f aca="false">IF(B109="","",ROW()-4)</f>
        <v/>
      </c>
      <c r="B109" s="12"/>
      <c r="C109" s="13"/>
      <c r="D109" s="13"/>
      <c r="E109" s="13"/>
      <c r="F109" s="14" t="str">
        <f aca="false">IF(OR(B109="",C109="",D109=""),"",IFERROR(INDEX(CONFIG!$E$5:$E$14,MATCH(D109,CONFIG!$D$5:$D$14,0)),"?")&amp;RIGHT("0"&amp;DAY(B109),2)&amp;RIGHT("0"&amp;MONTH(B109),2)&amp;RIGHT(YEAR(B109),2)&amp;C109&amp;IF(E109="","","-"&amp;E109))</f>
        <v/>
      </c>
      <c r="G109" s="13"/>
      <c r="H109" s="13"/>
      <c r="I109" s="13"/>
      <c r="J109" s="13"/>
      <c r="K109" s="13"/>
      <c r="L109" s="13"/>
      <c r="M109" s="11" t="str">
        <f aca="false">IF(F109="","",COUNTIFS(ENSAYOS!$C$5:$C$3004,F109,ENSAYOS!$Q$5:$Q$3004,"&gt;0"))</f>
        <v/>
      </c>
      <c r="N109" s="15" t="str">
        <f aca="false">IF(N(M109)=0,"",_xlfn.MINIFS(ENSAYOS!$G$5:$G$3004,ENSAYOS!$C$5:$C$3004,F109,ENSAYOS!$Q$5:$Q$3004,"&gt;0"))</f>
        <v/>
      </c>
      <c r="O109" s="15" t="str">
        <f aca="false">IF(N(M109)=0,"",_xlfn.MAXIFS(ENSAYOS!$G$5:$G$3004,ENSAYOS!$C$5:$C$3004,F109,ENSAYOS!$Q$5:$Q$3004,"&gt;0"))</f>
        <v/>
      </c>
      <c r="P109" s="16" t="str">
        <f aca="false">IF(N(M109)=0,"",AVERAGEIFS(ENSAYOS!$Q$5:$Q$3004,ENSAYOS!$C$5:$C$3004,F109,ENSAYOS!$Q$5:$Q$3004,"&gt;0"))</f>
        <v/>
      </c>
      <c r="Q109" s="16" t="str">
        <f aca="false">IF(N(M109)=0,"",_xlfn.MINIFS(ENSAYOS!$Q$5:$Q$3004,ENSAYOS!$C$5:$C$3004,F109,ENSAYOS!$Q$5:$Q$3004,"&gt;0"))</f>
        <v/>
      </c>
      <c r="R109" s="16" t="str">
        <f aca="false">IF(N(M109)=0,"",_xlfn.MAXIFS(ENSAYOS!$Q$5:$Q$3004,ENSAYOS!$C$5:$C$3004,F109,ENSAYOS!$Q$5:$Q$3004,"&gt;0"))</f>
        <v/>
      </c>
      <c r="S109" s="16" t="str">
        <f aca="false">IF(N(M109)&lt;2,"",SQRT(MAX(0,(SUMIFS(ENSAYOS!$X$5:$X$3004,ENSAYOS!$C$5:$C$3004,F109,ENSAYOS!$Q$5:$Q$3004,"&gt;0")-M109*P109^2)/(M109-1))))</f>
        <v/>
      </c>
      <c r="T109" s="17" t="str">
        <f aca="false">IF(S109="","",S109/P109)</f>
        <v/>
      </c>
      <c r="U109" s="16" t="str">
        <f aca="false">IF(N(M109)=0,"",IF(N109&gt;=CONFIG!$B$27,"",AVERAGEIFS(ENSAYOS!$Q$5:$Q$3004,ENSAYOS!$C$5:$C$3004,F109,ENSAYOS!$Q$5:$Q$3004,"&gt;0",ENSAYOS!$G$5:$G$3004,N109)))</f>
        <v/>
      </c>
      <c r="V109" s="16" t="str">
        <f aca="false">IF(N(M109)=0,"",IF(COUNTIFS(ENSAYOS!$C$5:$C$3004,F109,ENSAYOS!$Q$5:$Q$3004,"&gt;0",ENSAYOS!$G$5:$G$3004,"&gt;="&amp;CONFIG!$B$27)=0,"",AVERAGEIFS(ENSAYOS!$Q$5:$Q$3004,ENSAYOS!$C$5:$C$3004,F109,ENSAYOS!$Q$5:$Q$3004,"&gt;0",ENSAYOS!$G$5:$G$3004,"&gt;="&amp;CONFIG!$B$27)))</f>
        <v/>
      </c>
      <c r="W109" s="18" t="str">
        <f aca="false">IF(AND(U109&lt;&gt;"",V109&lt;&gt;""),U109/V109,"")</f>
        <v/>
      </c>
      <c r="X109" s="18" t="str">
        <f aca="false">IF(U109="","",INDEX('CURVA EDAD'!$E$5:$E$32,MIN(28,MAX(1,N109))))</f>
        <v/>
      </c>
      <c r="Y109" s="16" t="str">
        <f aca="false">IF(V109&lt;&gt;"",V109,IF(U109="","",U109/X109))</f>
        <v/>
      </c>
      <c r="Z109" s="16" t="str">
        <f aca="false">IF(V109&lt;&gt;"",_xlfn.MINIFS(ENSAYOS!$Q$5:$Q$3004,ENSAYOS!$C$5:$C$3004,F109,ENSAYOS!$Q$5:$Q$3004,"&gt;0",ENSAYOS!$G$5:$G$3004,"&gt;="&amp;CONFIG!$B$27),IF(U109="","",_xlfn.MINIFS(ENSAYOS!$Q$5:$Q$3004,ENSAYOS!$C$5:$C$3004,F109,ENSAYOS!$Q$5:$Q$3004,"&gt;0",ENSAYOS!$G$5:$G$3004,N109)/X109))</f>
        <v/>
      </c>
      <c r="AA109" s="16" t="str">
        <f aca="false">IF(D109="","",IFERROR(1/(1/INDEX(CONFIG!$J$5:$J$14,MATCH(D109,CONFIG!$D$5:$D$14,0))),""))</f>
        <v/>
      </c>
      <c r="AB109" s="16" t="str">
        <f aca="false">IF(D109="","",IFERROR(1/(1/INDEX(CONFIG!$K$5:$K$14,MATCH(D109,CONFIG!$D$5:$D$14,0))),""))</f>
        <v/>
      </c>
      <c r="AC109" s="19" t="str">
        <f aca="false">IF(N(M109)=0,"",IF(AA109="","Sin spec",IF(AND(Y109&gt;=AA109,OR(AB109="",Z109&gt;=AB109)),"CUMPLE","NO CUMPLE")&amp;IF(V109=""," (est.)","")))</f>
        <v/>
      </c>
      <c r="AD109" s="20" t="str">
        <f aca="false">IF(F109="","",IF(COUNTIFS(ABSORCION!$C$5:$C$1004,F109,ABSORCION!$I$5:$I$1004,"&gt;0")=0,"",AVERAGEIFS(ABSORCION!$I$5:$I$1004,ABSORCION!$C$5:$C$1004,F109,ABSORCION!$I$5:$I$1004,"&gt;0")))</f>
        <v/>
      </c>
      <c r="AE109" s="20" t="str">
        <f aca="false">IF(F109="","",IF(COUNTIFS(ABSORCION!$C$5:$C$1004,F109,ABSORCION!$I$5:$I$1004,"&gt;0")=0,"",AVERAGEIFS(ABSORCION!$K$5:$K$1004,ABSORCION!$C$5:$C$1004,F109,ABSORCION!$I$5:$I$1004,"&gt;0")))</f>
        <v/>
      </c>
      <c r="AF109" s="20" t="str">
        <f aca="false">IF(AE109="","",IF(AE109&gt;=CONFIG!$E$21,CONFIG!$F$21,IF(AE109&gt;=CONFIG!$E$20,CONFIG!$F$20,CONFIG!$F$19)))</f>
        <v/>
      </c>
      <c r="AG109" s="21" t="str">
        <f aca="false">IF(F109="","",TRIM(IF(N(M109)=0,"Sin ensayos. ","")&amp;IF(AND(N(M109)&gt;0,N(M109)&lt;CONFIG!$B$26),"Menos de "&amp;CONFIG!$B$26&amp;" probetas. ","")&amp;IF(N(T109)&gt;CONFIG!$B$25,"CV alto. ","")&amp;IF(AND(N(AD109)&gt;0,N(AD109)&gt;N(AF109)),"Absorción alta. ","")))</f>
        <v/>
      </c>
      <c r="AH109" s="22" t="str">
        <f aca="false">IF(AND(N(M109)&gt;0,OR(CONTROL!$C$4="TODAS",C109=CONTROL!$C$4),D109=CONTROL!$C$5),MAX($AH$4:AH108)+1,"")</f>
        <v/>
      </c>
      <c r="AI109" s="22" t="str">
        <f aca="false">IF(AH109="","",P109^2)</f>
        <v/>
      </c>
    </row>
    <row r="110" customFormat="false" ht="15" hidden="false" customHeight="false" outlineLevel="0" collapsed="false">
      <c r="A110" s="11" t="str">
        <f aca="false">IF(B110="","",ROW()-4)</f>
        <v/>
      </c>
      <c r="B110" s="12"/>
      <c r="C110" s="13"/>
      <c r="D110" s="13"/>
      <c r="E110" s="13"/>
      <c r="F110" s="14" t="str">
        <f aca="false">IF(OR(B110="",C110="",D110=""),"",IFERROR(INDEX(CONFIG!$E$5:$E$14,MATCH(D110,CONFIG!$D$5:$D$14,0)),"?")&amp;RIGHT("0"&amp;DAY(B110),2)&amp;RIGHT("0"&amp;MONTH(B110),2)&amp;RIGHT(YEAR(B110),2)&amp;C110&amp;IF(E110="","","-"&amp;E110))</f>
        <v/>
      </c>
      <c r="G110" s="13"/>
      <c r="H110" s="13"/>
      <c r="I110" s="13"/>
      <c r="J110" s="13"/>
      <c r="K110" s="13"/>
      <c r="L110" s="13"/>
      <c r="M110" s="11" t="str">
        <f aca="false">IF(F110="","",COUNTIFS(ENSAYOS!$C$5:$C$3004,F110,ENSAYOS!$Q$5:$Q$3004,"&gt;0"))</f>
        <v/>
      </c>
      <c r="N110" s="15" t="str">
        <f aca="false">IF(N(M110)=0,"",_xlfn.MINIFS(ENSAYOS!$G$5:$G$3004,ENSAYOS!$C$5:$C$3004,F110,ENSAYOS!$Q$5:$Q$3004,"&gt;0"))</f>
        <v/>
      </c>
      <c r="O110" s="15" t="str">
        <f aca="false">IF(N(M110)=0,"",_xlfn.MAXIFS(ENSAYOS!$G$5:$G$3004,ENSAYOS!$C$5:$C$3004,F110,ENSAYOS!$Q$5:$Q$3004,"&gt;0"))</f>
        <v/>
      </c>
      <c r="P110" s="16" t="str">
        <f aca="false">IF(N(M110)=0,"",AVERAGEIFS(ENSAYOS!$Q$5:$Q$3004,ENSAYOS!$C$5:$C$3004,F110,ENSAYOS!$Q$5:$Q$3004,"&gt;0"))</f>
        <v/>
      </c>
      <c r="Q110" s="16" t="str">
        <f aca="false">IF(N(M110)=0,"",_xlfn.MINIFS(ENSAYOS!$Q$5:$Q$3004,ENSAYOS!$C$5:$C$3004,F110,ENSAYOS!$Q$5:$Q$3004,"&gt;0"))</f>
        <v/>
      </c>
      <c r="R110" s="16" t="str">
        <f aca="false">IF(N(M110)=0,"",_xlfn.MAXIFS(ENSAYOS!$Q$5:$Q$3004,ENSAYOS!$C$5:$C$3004,F110,ENSAYOS!$Q$5:$Q$3004,"&gt;0"))</f>
        <v/>
      </c>
      <c r="S110" s="16" t="str">
        <f aca="false">IF(N(M110)&lt;2,"",SQRT(MAX(0,(SUMIFS(ENSAYOS!$X$5:$X$3004,ENSAYOS!$C$5:$C$3004,F110,ENSAYOS!$Q$5:$Q$3004,"&gt;0")-M110*P110^2)/(M110-1))))</f>
        <v/>
      </c>
      <c r="T110" s="17" t="str">
        <f aca="false">IF(S110="","",S110/P110)</f>
        <v/>
      </c>
      <c r="U110" s="16" t="str">
        <f aca="false">IF(N(M110)=0,"",IF(N110&gt;=CONFIG!$B$27,"",AVERAGEIFS(ENSAYOS!$Q$5:$Q$3004,ENSAYOS!$C$5:$C$3004,F110,ENSAYOS!$Q$5:$Q$3004,"&gt;0",ENSAYOS!$G$5:$G$3004,N110)))</f>
        <v/>
      </c>
      <c r="V110" s="16" t="str">
        <f aca="false">IF(N(M110)=0,"",IF(COUNTIFS(ENSAYOS!$C$5:$C$3004,F110,ENSAYOS!$Q$5:$Q$3004,"&gt;0",ENSAYOS!$G$5:$G$3004,"&gt;="&amp;CONFIG!$B$27)=0,"",AVERAGEIFS(ENSAYOS!$Q$5:$Q$3004,ENSAYOS!$C$5:$C$3004,F110,ENSAYOS!$Q$5:$Q$3004,"&gt;0",ENSAYOS!$G$5:$G$3004,"&gt;="&amp;CONFIG!$B$27)))</f>
        <v/>
      </c>
      <c r="W110" s="18" t="str">
        <f aca="false">IF(AND(U110&lt;&gt;"",V110&lt;&gt;""),U110/V110,"")</f>
        <v/>
      </c>
      <c r="X110" s="18" t="str">
        <f aca="false">IF(U110="","",INDEX('CURVA EDAD'!$E$5:$E$32,MIN(28,MAX(1,N110))))</f>
        <v/>
      </c>
      <c r="Y110" s="16" t="str">
        <f aca="false">IF(V110&lt;&gt;"",V110,IF(U110="","",U110/X110))</f>
        <v/>
      </c>
      <c r="Z110" s="16" t="str">
        <f aca="false">IF(V110&lt;&gt;"",_xlfn.MINIFS(ENSAYOS!$Q$5:$Q$3004,ENSAYOS!$C$5:$C$3004,F110,ENSAYOS!$Q$5:$Q$3004,"&gt;0",ENSAYOS!$G$5:$G$3004,"&gt;="&amp;CONFIG!$B$27),IF(U110="","",_xlfn.MINIFS(ENSAYOS!$Q$5:$Q$3004,ENSAYOS!$C$5:$C$3004,F110,ENSAYOS!$Q$5:$Q$3004,"&gt;0",ENSAYOS!$G$5:$G$3004,N110)/X110))</f>
        <v/>
      </c>
      <c r="AA110" s="16" t="str">
        <f aca="false">IF(D110="","",IFERROR(1/(1/INDEX(CONFIG!$J$5:$J$14,MATCH(D110,CONFIG!$D$5:$D$14,0))),""))</f>
        <v/>
      </c>
      <c r="AB110" s="16" t="str">
        <f aca="false">IF(D110="","",IFERROR(1/(1/INDEX(CONFIG!$K$5:$K$14,MATCH(D110,CONFIG!$D$5:$D$14,0))),""))</f>
        <v/>
      </c>
      <c r="AC110" s="19" t="str">
        <f aca="false">IF(N(M110)=0,"",IF(AA110="","Sin spec",IF(AND(Y110&gt;=AA110,OR(AB110="",Z110&gt;=AB110)),"CUMPLE","NO CUMPLE")&amp;IF(V110=""," (est.)","")))</f>
        <v/>
      </c>
      <c r="AD110" s="20" t="str">
        <f aca="false">IF(F110="","",IF(COUNTIFS(ABSORCION!$C$5:$C$1004,F110,ABSORCION!$I$5:$I$1004,"&gt;0")=0,"",AVERAGEIFS(ABSORCION!$I$5:$I$1004,ABSORCION!$C$5:$C$1004,F110,ABSORCION!$I$5:$I$1004,"&gt;0")))</f>
        <v/>
      </c>
      <c r="AE110" s="20" t="str">
        <f aca="false">IF(F110="","",IF(COUNTIFS(ABSORCION!$C$5:$C$1004,F110,ABSORCION!$I$5:$I$1004,"&gt;0")=0,"",AVERAGEIFS(ABSORCION!$K$5:$K$1004,ABSORCION!$C$5:$C$1004,F110,ABSORCION!$I$5:$I$1004,"&gt;0")))</f>
        <v/>
      </c>
      <c r="AF110" s="20" t="str">
        <f aca="false">IF(AE110="","",IF(AE110&gt;=CONFIG!$E$21,CONFIG!$F$21,IF(AE110&gt;=CONFIG!$E$20,CONFIG!$F$20,CONFIG!$F$19)))</f>
        <v/>
      </c>
      <c r="AG110" s="21" t="str">
        <f aca="false">IF(F110="","",TRIM(IF(N(M110)=0,"Sin ensayos. ","")&amp;IF(AND(N(M110)&gt;0,N(M110)&lt;CONFIG!$B$26),"Menos de "&amp;CONFIG!$B$26&amp;" probetas. ","")&amp;IF(N(T110)&gt;CONFIG!$B$25,"CV alto. ","")&amp;IF(AND(N(AD110)&gt;0,N(AD110)&gt;N(AF110)),"Absorción alta. ","")))</f>
        <v/>
      </c>
      <c r="AH110" s="22" t="str">
        <f aca="false">IF(AND(N(M110)&gt;0,OR(CONTROL!$C$4="TODAS",C110=CONTROL!$C$4),D110=CONTROL!$C$5),MAX($AH$4:AH109)+1,"")</f>
        <v/>
      </c>
      <c r="AI110" s="22" t="str">
        <f aca="false">IF(AH110="","",P110^2)</f>
        <v/>
      </c>
    </row>
    <row r="111" customFormat="false" ht="15" hidden="false" customHeight="false" outlineLevel="0" collapsed="false">
      <c r="A111" s="11" t="str">
        <f aca="false">IF(B111="","",ROW()-4)</f>
        <v/>
      </c>
      <c r="B111" s="12"/>
      <c r="C111" s="13"/>
      <c r="D111" s="13"/>
      <c r="E111" s="13"/>
      <c r="F111" s="14" t="str">
        <f aca="false">IF(OR(B111="",C111="",D111=""),"",IFERROR(INDEX(CONFIG!$E$5:$E$14,MATCH(D111,CONFIG!$D$5:$D$14,0)),"?")&amp;RIGHT("0"&amp;DAY(B111),2)&amp;RIGHT("0"&amp;MONTH(B111),2)&amp;RIGHT(YEAR(B111),2)&amp;C111&amp;IF(E111="","","-"&amp;E111))</f>
        <v/>
      </c>
      <c r="G111" s="13"/>
      <c r="H111" s="13"/>
      <c r="I111" s="13"/>
      <c r="J111" s="13"/>
      <c r="K111" s="13"/>
      <c r="L111" s="13"/>
      <c r="M111" s="11" t="str">
        <f aca="false">IF(F111="","",COUNTIFS(ENSAYOS!$C$5:$C$3004,F111,ENSAYOS!$Q$5:$Q$3004,"&gt;0"))</f>
        <v/>
      </c>
      <c r="N111" s="15" t="str">
        <f aca="false">IF(N(M111)=0,"",_xlfn.MINIFS(ENSAYOS!$G$5:$G$3004,ENSAYOS!$C$5:$C$3004,F111,ENSAYOS!$Q$5:$Q$3004,"&gt;0"))</f>
        <v/>
      </c>
      <c r="O111" s="15" t="str">
        <f aca="false">IF(N(M111)=0,"",_xlfn.MAXIFS(ENSAYOS!$G$5:$G$3004,ENSAYOS!$C$5:$C$3004,F111,ENSAYOS!$Q$5:$Q$3004,"&gt;0"))</f>
        <v/>
      </c>
      <c r="P111" s="16" t="str">
        <f aca="false">IF(N(M111)=0,"",AVERAGEIFS(ENSAYOS!$Q$5:$Q$3004,ENSAYOS!$C$5:$C$3004,F111,ENSAYOS!$Q$5:$Q$3004,"&gt;0"))</f>
        <v/>
      </c>
      <c r="Q111" s="16" t="str">
        <f aca="false">IF(N(M111)=0,"",_xlfn.MINIFS(ENSAYOS!$Q$5:$Q$3004,ENSAYOS!$C$5:$C$3004,F111,ENSAYOS!$Q$5:$Q$3004,"&gt;0"))</f>
        <v/>
      </c>
      <c r="R111" s="16" t="str">
        <f aca="false">IF(N(M111)=0,"",_xlfn.MAXIFS(ENSAYOS!$Q$5:$Q$3004,ENSAYOS!$C$5:$C$3004,F111,ENSAYOS!$Q$5:$Q$3004,"&gt;0"))</f>
        <v/>
      </c>
      <c r="S111" s="16" t="str">
        <f aca="false">IF(N(M111)&lt;2,"",SQRT(MAX(0,(SUMIFS(ENSAYOS!$X$5:$X$3004,ENSAYOS!$C$5:$C$3004,F111,ENSAYOS!$Q$5:$Q$3004,"&gt;0")-M111*P111^2)/(M111-1))))</f>
        <v/>
      </c>
      <c r="T111" s="17" t="str">
        <f aca="false">IF(S111="","",S111/P111)</f>
        <v/>
      </c>
      <c r="U111" s="16" t="str">
        <f aca="false">IF(N(M111)=0,"",IF(N111&gt;=CONFIG!$B$27,"",AVERAGEIFS(ENSAYOS!$Q$5:$Q$3004,ENSAYOS!$C$5:$C$3004,F111,ENSAYOS!$Q$5:$Q$3004,"&gt;0",ENSAYOS!$G$5:$G$3004,N111)))</f>
        <v/>
      </c>
      <c r="V111" s="16" t="str">
        <f aca="false">IF(N(M111)=0,"",IF(COUNTIFS(ENSAYOS!$C$5:$C$3004,F111,ENSAYOS!$Q$5:$Q$3004,"&gt;0",ENSAYOS!$G$5:$G$3004,"&gt;="&amp;CONFIG!$B$27)=0,"",AVERAGEIFS(ENSAYOS!$Q$5:$Q$3004,ENSAYOS!$C$5:$C$3004,F111,ENSAYOS!$Q$5:$Q$3004,"&gt;0",ENSAYOS!$G$5:$G$3004,"&gt;="&amp;CONFIG!$B$27)))</f>
        <v/>
      </c>
      <c r="W111" s="18" t="str">
        <f aca="false">IF(AND(U111&lt;&gt;"",V111&lt;&gt;""),U111/V111,"")</f>
        <v/>
      </c>
      <c r="X111" s="18" t="str">
        <f aca="false">IF(U111="","",INDEX('CURVA EDAD'!$E$5:$E$32,MIN(28,MAX(1,N111))))</f>
        <v/>
      </c>
      <c r="Y111" s="16" t="str">
        <f aca="false">IF(V111&lt;&gt;"",V111,IF(U111="","",U111/X111))</f>
        <v/>
      </c>
      <c r="Z111" s="16" t="str">
        <f aca="false">IF(V111&lt;&gt;"",_xlfn.MINIFS(ENSAYOS!$Q$5:$Q$3004,ENSAYOS!$C$5:$C$3004,F111,ENSAYOS!$Q$5:$Q$3004,"&gt;0",ENSAYOS!$G$5:$G$3004,"&gt;="&amp;CONFIG!$B$27),IF(U111="","",_xlfn.MINIFS(ENSAYOS!$Q$5:$Q$3004,ENSAYOS!$C$5:$C$3004,F111,ENSAYOS!$Q$5:$Q$3004,"&gt;0",ENSAYOS!$G$5:$G$3004,N111)/X111))</f>
        <v/>
      </c>
      <c r="AA111" s="16" t="str">
        <f aca="false">IF(D111="","",IFERROR(1/(1/INDEX(CONFIG!$J$5:$J$14,MATCH(D111,CONFIG!$D$5:$D$14,0))),""))</f>
        <v/>
      </c>
      <c r="AB111" s="16" t="str">
        <f aca="false">IF(D111="","",IFERROR(1/(1/INDEX(CONFIG!$K$5:$K$14,MATCH(D111,CONFIG!$D$5:$D$14,0))),""))</f>
        <v/>
      </c>
      <c r="AC111" s="19" t="str">
        <f aca="false">IF(N(M111)=0,"",IF(AA111="","Sin spec",IF(AND(Y111&gt;=AA111,OR(AB111="",Z111&gt;=AB111)),"CUMPLE","NO CUMPLE")&amp;IF(V111=""," (est.)","")))</f>
        <v/>
      </c>
      <c r="AD111" s="20" t="str">
        <f aca="false">IF(F111="","",IF(COUNTIFS(ABSORCION!$C$5:$C$1004,F111,ABSORCION!$I$5:$I$1004,"&gt;0")=0,"",AVERAGEIFS(ABSORCION!$I$5:$I$1004,ABSORCION!$C$5:$C$1004,F111,ABSORCION!$I$5:$I$1004,"&gt;0")))</f>
        <v/>
      </c>
      <c r="AE111" s="20" t="str">
        <f aca="false">IF(F111="","",IF(COUNTIFS(ABSORCION!$C$5:$C$1004,F111,ABSORCION!$I$5:$I$1004,"&gt;0")=0,"",AVERAGEIFS(ABSORCION!$K$5:$K$1004,ABSORCION!$C$5:$C$1004,F111,ABSORCION!$I$5:$I$1004,"&gt;0")))</f>
        <v/>
      </c>
      <c r="AF111" s="20" t="str">
        <f aca="false">IF(AE111="","",IF(AE111&gt;=CONFIG!$E$21,CONFIG!$F$21,IF(AE111&gt;=CONFIG!$E$20,CONFIG!$F$20,CONFIG!$F$19)))</f>
        <v/>
      </c>
      <c r="AG111" s="21" t="str">
        <f aca="false">IF(F111="","",TRIM(IF(N(M111)=0,"Sin ensayos. ","")&amp;IF(AND(N(M111)&gt;0,N(M111)&lt;CONFIG!$B$26),"Menos de "&amp;CONFIG!$B$26&amp;" probetas. ","")&amp;IF(N(T111)&gt;CONFIG!$B$25,"CV alto. ","")&amp;IF(AND(N(AD111)&gt;0,N(AD111)&gt;N(AF111)),"Absorción alta. ","")))</f>
        <v/>
      </c>
      <c r="AH111" s="22" t="str">
        <f aca="false">IF(AND(N(M111)&gt;0,OR(CONTROL!$C$4="TODAS",C111=CONTROL!$C$4),D111=CONTROL!$C$5),MAX($AH$4:AH110)+1,"")</f>
        <v/>
      </c>
      <c r="AI111" s="22" t="str">
        <f aca="false">IF(AH111="","",P111^2)</f>
        <v/>
      </c>
    </row>
    <row r="112" customFormat="false" ht="15" hidden="false" customHeight="false" outlineLevel="0" collapsed="false">
      <c r="A112" s="11" t="str">
        <f aca="false">IF(B112="","",ROW()-4)</f>
        <v/>
      </c>
      <c r="B112" s="12"/>
      <c r="C112" s="13"/>
      <c r="D112" s="13"/>
      <c r="E112" s="13"/>
      <c r="F112" s="14" t="str">
        <f aca="false">IF(OR(B112="",C112="",D112=""),"",IFERROR(INDEX(CONFIG!$E$5:$E$14,MATCH(D112,CONFIG!$D$5:$D$14,0)),"?")&amp;RIGHT("0"&amp;DAY(B112),2)&amp;RIGHT("0"&amp;MONTH(B112),2)&amp;RIGHT(YEAR(B112),2)&amp;C112&amp;IF(E112="","","-"&amp;E112))</f>
        <v/>
      </c>
      <c r="G112" s="13"/>
      <c r="H112" s="13"/>
      <c r="I112" s="13"/>
      <c r="J112" s="13"/>
      <c r="K112" s="13"/>
      <c r="L112" s="13"/>
      <c r="M112" s="11" t="str">
        <f aca="false">IF(F112="","",COUNTIFS(ENSAYOS!$C$5:$C$3004,F112,ENSAYOS!$Q$5:$Q$3004,"&gt;0"))</f>
        <v/>
      </c>
      <c r="N112" s="15" t="str">
        <f aca="false">IF(N(M112)=0,"",_xlfn.MINIFS(ENSAYOS!$G$5:$G$3004,ENSAYOS!$C$5:$C$3004,F112,ENSAYOS!$Q$5:$Q$3004,"&gt;0"))</f>
        <v/>
      </c>
      <c r="O112" s="15" t="str">
        <f aca="false">IF(N(M112)=0,"",_xlfn.MAXIFS(ENSAYOS!$G$5:$G$3004,ENSAYOS!$C$5:$C$3004,F112,ENSAYOS!$Q$5:$Q$3004,"&gt;0"))</f>
        <v/>
      </c>
      <c r="P112" s="16" t="str">
        <f aca="false">IF(N(M112)=0,"",AVERAGEIFS(ENSAYOS!$Q$5:$Q$3004,ENSAYOS!$C$5:$C$3004,F112,ENSAYOS!$Q$5:$Q$3004,"&gt;0"))</f>
        <v/>
      </c>
      <c r="Q112" s="16" t="str">
        <f aca="false">IF(N(M112)=0,"",_xlfn.MINIFS(ENSAYOS!$Q$5:$Q$3004,ENSAYOS!$C$5:$C$3004,F112,ENSAYOS!$Q$5:$Q$3004,"&gt;0"))</f>
        <v/>
      </c>
      <c r="R112" s="16" t="str">
        <f aca="false">IF(N(M112)=0,"",_xlfn.MAXIFS(ENSAYOS!$Q$5:$Q$3004,ENSAYOS!$C$5:$C$3004,F112,ENSAYOS!$Q$5:$Q$3004,"&gt;0"))</f>
        <v/>
      </c>
      <c r="S112" s="16" t="str">
        <f aca="false">IF(N(M112)&lt;2,"",SQRT(MAX(0,(SUMIFS(ENSAYOS!$X$5:$X$3004,ENSAYOS!$C$5:$C$3004,F112,ENSAYOS!$Q$5:$Q$3004,"&gt;0")-M112*P112^2)/(M112-1))))</f>
        <v/>
      </c>
      <c r="T112" s="17" t="str">
        <f aca="false">IF(S112="","",S112/P112)</f>
        <v/>
      </c>
      <c r="U112" s="16" t="str">
        <f aca="false">IF(N(M112)=0,"",IF(N112&gt;=CONFIG!$B$27,"",AVERAGEIFS(ENSAYOS!$Q$5:$Q$3004,ENSAYOS!$C$5:$C$3004,F112,ENSAYOS!$Q$5:$Q$3004,"&gt;0",ENSAYOS!$G$5:$G$3004,N112)))</f>
        <v/>
      </c>
      <c r="V112" s="16" t="str">
        <f aca="false">IF(N(M112)=0,"",IF(COUNTIFS(ENSAYOS!$C$5:$C$3004,F112,ENSAYOS!$Q$5:$Q$3004,"&gt;0",ENSAYOS!$G$5:$G$3004,"&gt;="&amp;CONFIG!$B$27)=0,"",AVERAGEIFS(ENSAYOS!$Q$5:$Q$3004,ENSAYOS!$C$5:$C$3004,F112,ENSAYOS!$Q$5:$Q$3004,"&gt;0",ENSAYOS!$G$5:$G$3004,"&gt;="&amp;CONFIG!$B$27)))</f>
        <v/>
      </c>
      <c r="W112" s="18" t="str">
        <f aca="false">IF(AND(U112&lt;&gt;"",V112&lt;&gt;""),U112/V112,"")</f>
        <v/>
      </c>
      <c r="X112" s="18" t="str">
        <f aca="false">IF(U112="","",INDEX('CURVA EDAD'!$E$5:$E$32,MIN(28,MAX(1,N112))))</f>
        <v/>
      </c>
      <c r="Y112" s="16" t="str">
        <f aca="false">IF(V112&lt;&gt;"",V112,IF(U112="","",U112/X112))</f>
        <v/>
      </c>
      <c r="Z112" s="16" t="str">
        <f aca="false">IF(V112&lt;&gt;"",_xlfn.MINIFS(ENSAYOS!$Q$5:$Q$3004,ENSAYOS!$C$5:$C$3004,F112,ENSAYOS!$Q$5:$Q$3004,"&gt;0",ENSAYOS!$G$5:$G$3004,"&gt;="&amp;CONFIG!$B$27),IF(U112="","",_xlfn.MINIFS(ENSAYOS!$Q$5:$Q$3004,ENSAYOS!$C$5:$C$3004,F112,ENSAYOS!$Q$5:$Q$3004,"&gt;0",ENSAYOS!$G$5:$G$3004,N112)/X112))</f>
        <v/>
      </c>
      <c r="AA112" s="16" t="str">
        <f aca="false">IF(D112="","",IFERROR(1/(1/INDEX(CONFIG!$J$5:$J$14,MATCH(D112,CONFIG!$D$5:$D$14,0))),""))</f>
        <v/>
      </c>
      <c r="AB112" s="16" t="str">
        <f aca="false">IF(D112="","",IFERROR(1/(1/INDEX(CONFIG!$K$5:$K$14,MATCH(D112,CONFIG!$D$5:$D$14,0))),""))</f>
        <v/>
      </c>
      <c r="AC112" s="19" t="str">
        <f aca="false">IF(N(M112)=0,"",IF(AA112="","Sin spec",IF(AND(Y112&gt;=AA112,OR(AB112="",Z112&gt;=AB112)),"CUMPLE","NO CUMPLE")&amp;IF(V112=""," (est.)","")))</f>
        <v/>
      </c>
      <c r="AD112" s="20" t="str">
        <f aca="false">IF(F112="","",IF(COUNTIFS(ABSORCION!$C$5:$C$1004,F112,ABSORCION!$I$5:$I$1004,"&gt;0")=0,"",AVERAGEIFS(ABSORCION!$I$5:$I$1004,ABSORCION!$C$5:$C$1004,F112,ABSORCION!$I$5:$I$1004,"&gt;0")))</f>
        <v/>
      </c>
      <c r="AE112" s="20" t="str">
        <f aca="false">IF(F112="","",IF(COUNTIFS(ABSORCION!$C$5:$C$1004,F112,ABSORCION!$I$5:$I$1004,"&gt;0")=0,"",AVERAGEIFS(ABSORCION!$K$5:$K$1004,ABSORCION!$C$5:$C$1004,F112,ABSORCION!$I$5:$I$1004,"&gt;0")))</f>
        <v/>
      </c>
      <c r="AF112" s="20" t="str">
        <f aca="false">IF(AE112="","",IF(AE112&gt;=CONFIG!$E$21,CONFIG!$F$21,IF(AE112&gt;=CONFIG!$E$20,CONFIG!$F$20,CONFIG!$F$19)))</f>
        <v/>
      </c>
      <c r="AG112" s="21" t="str">
        <f aca="false">IF(F112="","",TRIM(IF(N(M112)=0,"Sin ensayos. ","")&amp;IF(AND(N(M112)&gt;0,N(M112)&lt;CONFIG!$B$26),"Menos de "&amp;CONFIG!$B$26&amp;" probetas. ","")&amp;IF(N(T112)&gt;CONFIG!$B$25,"CV alto. ","")&amp;IF(AND(N(AD112)&gt;0,N(AD112)&gt;N(AF112)),"Absorción alta. ","")))</f>
        <v/>
      </c>
      <c r="AH112" s="22" t="str">
        <f aca="false">IF(AND(N(M112)&gt;0,OR(CONTROL!$C$4="TODAS",C112=CONTROL!$C$4),D112=CONTROL!$C$5),MAX($AH$4:AH111)+1,"")</f>
        <v/>
      </c>
      <c r="AI112" s="22" t="str">
        <f aca="false">IF(AH112="","",P112^2)</f>
        <v/>
      </c>
    </row>
    <row r="113" customFormat="false" ht="15" hidden="false" customHeight="false" outlineLevel="0" collapsed="false">
      <c r="A113" s="11" t="str">
        <f aca="false">IF(B113="","",ROW()-4)</f>
        <v/>
      </c>
      <c r="B113" s="12"/>
      <c r="C113" s="13"/>
      <c r="D113" s="13"/>
      <c r="E113" s="13"/>
      <c r="F113" s="14" t="str">
        <f aca="false">IF(OR(B113="",C113="",D113=""),"",IFERROR(INDEX(CONFIG!$E$5:$E$14,MATCH(D113,CONFIG!$D$5:$D$14,0)),"?")&amp;RIGHT("0"&amp;DAY(B113),2)&amp;RIGHT("0"&amp;MONTH(B113),2)&amp;RIGHT(YEAR(B113),2)&amp;C113&amp;IF(E113="","","-"&amp;E113))</f>
        <v/>
      </c>
      <c r="G113" s="13"/>
      <c r="H113" s="13"/>
      <c r="I113" s="13"/>
      <c r="J113" s="13"/>
      <c r="K113" s="13"/>
      <c r="L113" s="13"/>
      <c r="M113" s="11" t="str">
        <f aca="false">IF(F113="","",COUNTIFS(ENSAYOS!$C$5:$C$3004,F113,ENSAYOS!$Q$5:$Q$3004,"&gt;0"))</f>
        <v/>
      </c>
      <c r="N113" s="15" t="str">
        <f aca="false">IF(N(M113)=0,"",_xlfn.MINIFS(ENSAYOS!$G$5:$G$3004,ENSAYOS!$C$5:$C$3004,F113,ENSAYOS!$Q$5:$Q$3004,"&gt;0"))</f>
        <v/>
      </c>
      <c r="O113" s="15" t="str">
        <f aca="false">IF(N(M113)=0,"",_xlfn.MAXIFS(ENSAYOS!$G$5:$G$3004,ENSAYOS!$C$5:$C$3004,F113,ENSAYOS!$Q$5:$Q$3004,"&gt;0"))</f>
        <v/>
      </c>
      <c r="P113" s="16" t="str">
        <f aca="false">IF(N(M113)=0,"",AVERAGEIFS(ENSAYOS!$Q$5:$Q$3004,ENSAYOS!$C$5:$C$3004,F113,ENSAYOS!$Q$5:$Q$3004,"&gt;0"))</f>
        <v/>
      </c>
      <c r="Q113" s="16" t="str">
        <f aca="false">IF(N(M113)=0,"",_xlfn.MINIFS(ENSAYOS!$Q$5:$Q$3004,ENSAYOS!$C$5:$C$3004,F113,ENSAYOS!$Q$5:$Q$3004,"&gt;0"))</f>
        <v/>
      </c>
      <c r="R113" s="16" t="str">
        <f aca="false">IF(N(M113)=0,"",_xlfn.MAXIFS(ENSAYOS!$Q$5:$Q$3004,ENSAYOS!$C$5:$C$3004,F113,ENSAYOS!$Q$5:$Q$3004,"&gt;0"))</f>
        <v/>
      </c>
      <c r="S113" s="16" t="str">
        <f aca="false">IF(N(M113)&lt;2,"",SQRT(MAX(0,(SUMIFS(ENSAYOS!$X$5:$X$3004,ENSAYOS!$C$5:$C$3004,F113,ENSAYOS!$Q$5:$Q$3004,"&gt;0")-M113*P113^2)/(M113-1))))</f>
        <v/>
      </c>
      <c r="T113" s="17" t="str">
        <f aca="false">IF(S113="","",S113/P113)</f>
        <v/>
      </c>
      <c r="U113" s="16" t="str">
        <f aca="false">IF(N(M113)=0,"",IF(N113&gt;=CONFIG!$B$27,"",AVERAGEIFS(ENSAYOS!$Q$5:$Q$3004,ENSAYOS!$C$5:$C$3004,F113,ENSAYOS!$Q$5:$Q$3004,"&gt;0",ENSAYOS!$G$5:$G$3004,N113)))</f>
        <v/>
      </c>
      <c r="V113" s="16" t="str">
        <f aca="false">IF(N(M113)=0,"",IF(COUNTIFS(ENSAYOS!$C$5:$C$3004,F113,ENSAYOS!$Q$5:$Q$3004,"&gt;0",ENSAYOS!$G$5:$G$3004,"&gt;="&amp;CONFIG!$B$27)=0,"",AVERAGEIFS(ENSAYOS!$Q$5:$Q$3004,ENSAYOS!$C$5:$C$3004,F113,ENSAYOS!$Q$5:$Q$3004,"&gt;0",ENSAYOS!$G$5:$G$3004,"&gt;="&amp;CONFIG!$B$27)))</f>
        <v/>
      </c>
      <c r="W113" s="18" t="str">
        <f aca="false">IF(AND(U113&lt;&gt;"",V113&lt;&gt;""),U113/V113,"")</f>
        <v/>
      </c>
      <c r="X113" s="18" t="str">
        <f aca="false">IF(U113="","",INDEX('CURVA EDAD'!$E$5:$E$32,MIN(28,MAX(1,N113))))</f>
        <v/>
      </c>
      <c r="Y113" s="16" t="str">
        <f aca="false">IF(V113&lt;&gt;"",V113,IF(U113="","",U113/X113))</f>
        <v/>
      </c>
      <c r="Z113" s="16" t="str">
        <f aca="false">IF(V113&lt;&gt;"",_xlfn.MINIFS(ENSAYOS!$Q$5:$Q$3004,ENSAYOS!$C$5:$C$3004,F113,ENSAYOS!$Q$5:$Q$3004,"&gt;0",ENSAYOS!$G$5:$G$3004,"&gt;="&amp;CONFIG!$B$27),IF(U113="","",_xlfn.MINIFS(ENSAYOS!$Q$5:$Q$3004,ENSAYOS!$C$5:$C$3004,F113,ENSAYOS!$Q$5:$Q$3004,"&gt;0",ENSAYOS!$G$5:$G$3004,N113)/X113))</f>
        <v/>
      </c>
      <c r="AA113" s="16" t="str">
        <f aca="false">IF(D113="","",IFERROR(1/(1/INDEX(CONFIG!$J$5:$J$14,MATCH(D113,CONFIG!$D$5:$D$14,0))),""))</f>
        <v/>
      </c>
      <c r="AB113" s="16" t="str">
        <f aca="false">IF(D113="","",IFERROR(1/(1/INDEX(CONFIG!$K$5:$K$14,MATCH(D113,CONFIG!$D$5:$D$14,0))),""))</f>
        <v/>
      </c>
      <c r="AC113" s="19" t="str">
        <f aca="false">IF(N(M113)=0,"",IF(AA113="","Sin spec",IF(AND(Y113&gt;=AA113,OR(AB113="",Z113&gt;=AB113)),"CUMPLE","NO CUMPLE")&amp;IF(V113=""," (est.)","")))</f>
        <v/>
      </c>
      <c r="AD113" s="20" t="str">
        <f aca="false">IF(F113="","",IF(COUNTIFS(ABSORCION!$C$5:$C$1004,F113,ABSORCION!$I$5:$I$1004,"&gt;0")=0,"",AVERAGEIFS(ABSORCION!$I$5:$I$1004,ABSORCION!$C$5:$C$1004,F113,ABSORCION!$I$5:$I$1004,"&gt;0")))</f>
        <v/>
      </c>
      <c r="AE113" s="20" t="str">
        <f aca="false">IF(F113="","",IF(COUNTIFS(ABSORCION!$C$5:$C$1004,F113,ABSORCION!$I$5:$I$1004,"&gt;0")=0,"",AVERAGEIFS(ABSORCION!$K$5:$K$1004,ABSORCION!$C$5:$C$1004,F113,ABSORCION!$I$5:$I$1004,"&gt;0")))</f>
        <v/>
      </c>
      <c r="AF113" s="20" t="str">
        <f aca="false">IF(AE113="","",IF(AE113&gt;=CONFIG!$E$21,CONFIG!$F$21,IF(AE113&gt;=CONFIG!$E$20,CONFIG!$F$20,CONFIG!$F$19)))</f>
        <v/>
      </c>
      <c r="AG113" s="21" t="str">
        <f aca="false">IF(F113="","",TRIM(IF(N(M113)=0,"Sin ensayos. ","")&amp;IF(AND(N(M113)&gt;0,N(M113)&lt;CONFIG!$B$26),"Menos de "&amp;CONFIG!$B$26&amp;" probetas. ","")&amp;IF(N(T113)&gt;CONFIG!$B$25,"CV alto. ","")&amp;IF(AND(N(AD113)&gt;0,N(AD113)&gt;N(AF113)),"Absorción alta. ","")))</f>
        <v/>
      </c>
      <c r="AH113" s="22" t="str">
        <f aca="false">IF(AND(N(M113)&gt;0,OR(CONTROL!$C$4="TODAS",C113=CONTROL!$C$4),D113=CONTROL!$C$5),MAX($AH$4:AH112)+1,"")</f>
        <v/>
      </c>
      <c r="AI113" s="22" t="str">
        <f aca="false">IF(AH113="","",P113^2)</f>
        <v/>
      </c>
    </row>
    <row r="114" customFormat="false" ht="15" hidden="false" customHeight="false" outlineLevel="0" collapsed="false">
      <c r="A114" s="11" t="str">
        <f aca="false">IF(B114="","",ROW()-4)</f>
        <v/>
      </c>
      <c r="B114" s="12"/>
      <c r="C114" s="13"/>
      <c r="D114" s="13"/>
      <c r="E114" s="13"/>
      <c r="F114" s="14" t="str">
        <f aca="false">IF(OR(B114="",C114="",D114=""),"",IFERROR(INDEX(CONFIG!$E$5:$E$14,MATCH(D114,CONFIG!$D$5:$D$14,0)),"?")&amp;RIGHT("0"&amp;DAY(B114),2)&amp;RIGHT("0"&amp;MONTH(B114),2)&amp;RIGHT(YEAR(B114),2)&amp;C114&amp;IF(E114="","","-"&amp;E114))</f>
        <v/>
      </c>
      <c r="G114" s="13"/>
      <c r="H114" s="13"/>
      <c r="I114" s="13"/>
      <c r="J114" s="13"/>
      <c r="K114" s="13"/>
      <c r="L114" s="13"/>
      <c r="M114" s="11" t="str">
        <f aca="false">IF(F114="","",COUNTIFS(ENSAYOS!$C$5:$C$3004,F114,ENSAYOS!$Q$5:$Q$3004,"&gt;0"))</f>
        <v/>
      </c>
      <c r="N114" s="15" t="str">
        <f aca="false">IF(N(M114)=0,"",_xlfn.MINIFS(ENSAYOS!$G$5:$G$3004,ENSAYOS!$C$5:$C$3004,F114,ENSAYOS!$Q$5:$Q$3004,"&gt;0"))</f>
        <v/>
      </c>
      <c r="O114" s="15" t="str">
        <f aca="false">IF(N(M114)=0,"",_xlfn.MAXIFS(ENSAYOS!$G$5:$G$3004,ENSAYOS!$C$5:$C$3004,F114,ENSAYOS!$Q$5:$Q$3004,"&gt;0"))</f>
        <v/>
      </c>
      <c r="P114" s="16" t="str">
        <f aca="false">IF(N(M114)=0,"",AVERAGEIFS(ENSAYOS!$Q$5:$Q$3004,ENSAYOS!$C$5:$C$3004,F114,ENSAYOS!$Q$5:$Q$3004,"&gt;0"))</f>
        <v/>
      </c>
      <c r="Q114" s="16" t="str">
        <f aca="false">IF(N(M114)=0,"",_xlfn.MINIFS(ENSAYOS!$Q$5:$Q$3004,ENSAYOS!$C$5:$C$3004,F114,ENSAYOS!$Q$5:$Q$3004,"&gt;0"))</f>
        <v/>
      </c>
      <c r="R114" s="16" t="str">
        <f aca="false">IF(N(M114)=0,"",_xlfn.MAXIFS(ENSAYOS!$Q$5:$Q$3004,ENSAYOS!$C$5:$C$3004,F114,ENSAYOS!$Q$5:$Q$3004,"&gt;0"))</f>
        <v/>
      </c>
      <c r="S114" s="16" t="str">
        <f aca="false">IF(N(M114)&lt;2,"",SQRT(MAX(0,(SUMIFS(ENSAYOS!$X$5:$X$3004,ENSAYOS!$C$5:$C$3004,F114,ENSAYOS!$Q$5:$Q$3004,"&gt;0")-M114*P114^2)/(M114-1))))</f>
        <v/>
      </c>
      <c r="T114" s="17" t="str">
        <f aca="false">IF(S114="","",S114/P114)</f>
        <v/>
      </c>
      <c r="U114" s="16" t="str">
        <f aca="false">IF(N(M114)=0,"",IF(N114&gt;=CONFIG!$B$27,"",AVERAGEIFS(ENSAYOS!$Q$5:$Q$3004,ENSAYOS!$C$5:$C$3004,F114,ENSAYOS!$Q$5:$Q$3004,"&gt;0",ENSAYOS!$G$5:$G$3004,N114)))</f>
        <v/>
      </c>
      <c r="V114" s="16" t="str">
        <f aca="false">IF(N(M114)=0,"",IF(COUNTIFS(ENSAYOS!$C$5:$C$3004,F114,ENSAYOS!$Q$5:$Q$3004,"&gt;0",ENSAYOS!$G$5:$G$3004,"&gt;="&amp;CONFIG!$B$27)=0,"",AVERAGEIFS(ENSAYOS!$Q$5:$Q$3004,ENSAYOS!$C$5:$C$3004,F114,ENSAYOS!$Q$5:$Q$3004,"&gt;0",ENSAYOS!$G$5:$G$3004,"&gt;="&amp;CONFIG!$B$27)))</f>
        <v/>
      </c>
      <c r="W114" s="18" t="str">
        <f aca="false">IF(AND(U114&lt;&gt;"",V114&lt;&gt;""),U114/V114,"")</f>
        <v/>
      </c>
      <c r="X114" s="18" t="str">
        <f aca="false">IF(U114="","",INDEX('CURVA EDAD'!$E$5:$E$32,MIN(28,MAX(1,N114))))</f>
        <v/>
      </c>
      <c r="Y114" s="16" t="str">
        <f aca="false">IF(V114&lt;&gt;"",V114,IF(U114="","",U114/X114))</f>
        <v/>
      </c>
      <c r="Z114" s="16" t="str">
        <f aca="false">IF(V114&lt;&gt;"",_xlfn.MINIFS(ENSAYOS!$Q$5:$Q$3004,ENSAYOS!$C$5:$C$3004,F114,ENSAYOS!$Q$5:$Q$3004,"&gt;0",ENSAYOS!$G$5:$G$3004,"&gt;="&amp;CONFIG!$B$27),IF(U114="","",_xlfn.MINIFS(ENSAYOS!$Q$5:$Q$3004,ENSAYOS!$C$5:$C$3004,F114,ENSAYOS!$Q$5:$Q$3004,"&gt;0",ENSAYOS!$G$5:$G$3004,N114)/X114))</f>
        <v/>
      </c>
      <c r="AA114" s="16" t="str">
        <f aca="false">IF(D114="","",IFERROR(1/(1/INDEX(CONFIG!$J$5:$J$14,MATCH(D114,CONFIG!$D$5:$D$14,0))),""))</f>
        <v/>
      </c>
      <c r="AB114" s="16" t="str">
        <f aca="false">IF(D114="","",IFERROR(1/(1/INDEX(CONFIG!$K$5:$K$14,MATCH(D114,CONFIG!$D$5:$D$14,0))),""))</f>
        <v/>
      </c>
      <c r="AC114" s="19" t="str">
        <f aca="false">IF(N(M114)=0,"",IF(AA114="","Sin spec",IF(AND(Y114&gt;=AA114,OR(AB114="",Z114&gt;=AB114)),"CUMPLE","NO CUMPLE")&amp;IF(V114=""," (est.)","")))</f>
        <v/>
      </c>
      <c r="AD114" s="20" t="str">
        <f aca="false">IF(F114="","",IF(COUNTIFS(ABSORCION!$C$5:$C$1004,F114,ABSORCION!$I$5:$I$1004,"&gt;0")=0,"",AVERAGEIFS(ABSORCION!$I$5:$I$1004,ABSORCION!$C$5:$C$1004,F114,ABSORCION!$I$5:$I$1004,"&gt;0")))</f>
        <v/>
      </c>
      <c r="AE114" s="20" t="str">
        <f aca="false">IF(F114="","",IF(COUNTIFS(ABSORCION!$C$5:$C$1004,F114,ABSORCION!$I$5:$I$1004,"&gt;0")=0,"",AVERAGEIFS(ABSORCION!$K$5:$K$1004,ABSORCION!$C$5:$C$1004,F114,ABSORCION!$I$5:$I$1004,"&gt;0")))</f>
        <v/>
      </c>
      <c r="AF114" s="20" t="str">
        <f aca="false">IF(AE114="","",IF(AE114&gt;=CONFIG!$E$21,CONFIG!$F$21,IF(AE114&gt;=CONFIG!$E$20,CONFIG!$F$20,CONFIG!$F$19)))</f>
        <v/>
      </c>
      <c r="AG114" s="21" t="str">
        <f aca="false">IF(F114="","",TRIM(IF(N(M114)=0,"Sin ensayos. ","")&amp;IF(AND(N(M114)&gt;0,N(M114)&lt;CONFIG!$B$26),"Menos de "&amp;CONFIG!$B$26&amp;" probetas. ","")&amp;IF(N(T114)&gt;CONFIG!$B$25,"CV alto. ","")&amp;IF(AND(N(AD114)&gt;0,N(AD114)&gt;N(AF114)),"Absorción alta. ","")))</f>
        <v/>
      </c>
      <c r="AH114" s="22" t="str">
        <f aca="false">IF(AND(N(M114)&gt;0,OR(CONTROL!$C$4="TODAS",C114=CONTROL!$C$4),D114=CONTROL!$C$5),MAX($AH$4:AH113)+1,"")</f>
        <v/>
      </c>
      <c r="AI114" s="22" t="str">
        <f aca="false">IF(AH114="","",P114^2)</f>
        <v/>
      </c>
    </row>
    <row r="115" customFormat="false" ht="15" hidden="false" customHeight="false" outlineLevel="0" collapsed="false">
      <c r="A115" s="11" t="str">
        <f aca="false">IF(B115="","",ROW()-4)</f>
        <v/>
      </c>
      <c r="B115" s="12"/>
      <c r="C115" s="13"/>
      <c r="D115" s="13"/>
      <c r="E115" s="13"/>
      <c r="F115" s="14" t="str">
        <f aca="false">IF(OR(B115="",C115="",D115=""),"",IFERROR(INDEX(CONFIG!$E$5:$E$14,MATCH(D115,CONFIG!$D$5:$D$14,0)),"?")&amp;RIGHT("0"&amp;DAY(B115),2)&amp;RIGHT("0"&amp;MONTH(B115),2)&amp;RIGHT(YEAR(B115),2)&amp;C115&amp;IF(E115="","","-"&amp;E115))</f>
        <v/>
      </c>
      <c r="G115" s="13"/>
      <c r="H115" s="13"/>
      <c r="I115" s="13"/>
      <c r="J115" s="13"/>
      <c r="K115" s="13"/>
      <c r="L115" s="13"/>
      <c r="M115" s="11" t="str">
        <f aca="false">IF(F115="","",COUNTIFS(ENSAYOS!$C$5:$C$3004,F115,ENSAYOS!$Q$5:$Q$3004,"&gt;0"))</f>
        <v/>
      </c>
      <c r="N115" s="15" t="str">
        <f aca="false">IF(N(M115)=0,"",_xlfn.MINIFS(ENSAYOS!$G$5:$G$3004,ENSAYOS!$C$5:$C$3004,F115,ENSAYOS!$Q$5:$Q$3004,"&gt;0"))</f>
        <v/>
      </c>
      <c r="O115" s="15" t="str">
        <f aca="false">IF(N(M115)=0,"",_xlfn.MAXIFS(ENSAYOS!$G$5:$G$3004,ENSAYOS!$C$5:$C$3004,F115,ENSAYOS!$Q$5:$Q$3004,"&gt;0"))</f>
        <v/>
      </c>
      <c r="P115" s="16" t="str">
        <f aca="false">IF(N(M115)=0,"",AVERAGEIFS(ENSAYOS!$Q$5:$Q$3004,ENSAYOS!$C$5:$C$3004,F115,ENSAYOS!$Q$5:$Q$3004,"&gt;0"))</f>
        <v/>
      </c>
      <c r="Q115" s="16" t="str">
        <f aca="false">IF(N(M115)=0,"",_xlfn.MINIFS(ENSAYOS!$Q$5:$Q$3004,ENSAYOS!$C$5:$C$3004,F115,ENSAYOS!$Q$5:$Q$3004,"&gt;0"))</f>
        <v/>
      </c>
      <c r="R115" s="16" t="str">
        <f aca="false">IF(N(M115)=0,"",_xlfn.MAXIFS(ENSAYOS!$Q$5:$Q$3004,ENSAYOS!$C$5:$C$3004,F115,ENSAYOS!$Q$5:$Q$3004,"&gt;0"))</f>
        <v/>
      </c>
      <c r="S115" s="16" t="str">
        <f aca="false">IF(N(M115)&lt;2,"",SQRT(MAX(0,(SUMIFS(ENSAYOS!$X$5:$X$3004,ENSAYOS!$C$5:$C$3004,F115,ENSAYOS!$Q$5:$Q$3004,"&gt;0")-M115*P115^2)/(M115-1))))</f>
        <v/>
      </c>
      <c r="T115" s="17" t="str">
        <f aca="false">IF(S115="","",S115/P115)</f>
        <v/>
      </c>
      <c r="U115" s="16" t="str">
        <f aca="false">IF(N(M115)=0,"",IF(N115&gt;=CONFIG!$B$27,"",AVERAGEIFS(ENSAYOS!$Q$5:$Q$3004,ENSAYOS!$C$5:$C$3004,F115,ENSAYOS!$Q$5:$Q$3004,"&gt;0",ENSAYOS!$G$5:$G$3004,N115)))</f>
        <v/>
      </c>
      <c r="V115" s="16" t="str">
        <f aca="false">IF(N(M115)=0,"",IF(COUNTIFS(ENSAYOS!$C$5:$C$3004,F115,ENSAYOS!$Q$5:$Q$3004,"&gt;0",ENSAYOS!$G$5:$G$3004,"&gt;="&amp;CONFIG!$B$27)=0,"",AVERAGEIFS(ENSAYOS!$Q$5:$Q$3004,ENSAYOS!$C$5:$C$3004,F115,ENSAYOS!$Q$5:$Q$3004,"&gt;0",ENSAYOS!$G$5:$G$3004,"&gt;="&amp;CONFIG!$B$27)))</f>
        <v/>
      </c>
      <c r="W115" s="18" t="str">
        <f aca="false">IF(AND(U115&lt;&gt;"",V115&lt;&gt;""),U115/V115,"")</f>
        <v/>
      </c>
      <c r="X115" s="18" t="str">
        <f aca="false">IF(U115="","",INDEX('CURVA EDAD'!$E$5:$E$32,MIN(28,MAX(1,N115))))</f>
        <v/>
      </c>
      <c r="Y115" s="16" t="str">
        <f aca="false">IF(V115&lt;&gt;"",V115,IF(U115="","",U115/X115))</f>
        <v/>
      </c>
      <c r="Z115" s="16" t="str">
        <f aca="false">IF(V115&lt;&gt;"",_xlfn.MINIFS(ENSAYOS!$Q$5:$Q$3004,ENSAYOS!$C$5:$C$3004,F115,ENSAYOS!$Q$5:$Q$3004,"&gt;0",ENSAYOS!$G$5:$G$3004,"&gt;="&amp;CONFIG!$B$27),IF(U115="","",_xlfn.MINIFS(ENSAYOS!$Q$5:$Q$3004,ENSAYOS!$C$5:$C$3004,F115,ENSAYOS!$Q$5:$Q$3004,"&gt;0",ENSAYOS!$G$5:$G$3004,N115)/X115))</f>
        <v/>
      </c>
      <c r="AA115" s="16" t="str">
        <f aca="false">IF(D115="","",IFERROR(1/(1/INDEX(CONFIG!$J$5:$J$14,MATCH(D115,CONFIG!$D$5:$D$14,0))),""))</f>
        <v/>
      </c>
      <c r="AB115" s="16" t="str">
        <f aca="false">IF(D115="","",IFERROR(1/(1/INDEX(CONFIG!$K$5:$K$14,MATCH(D115,CONFIG!$D$5:$D$14,0))),""))</f>
        <v/>
      </c>
      <c r="AC115" s="19" t="str">
        <f aca="false">IF(N(M115)=0,"",IF(AA115="","Sin spec",IF(AND(Y115&gt;=AA115,OR(AB115="",Z115&gt;=AB115)),"CUMPLE","NO CUMPLE")&amp;IF(V115=""," (est.)","")))</f>
        <v/>
      </c>
      <c r="AD115" s="20" t="str">
        <f aca="false">IF(F115="","",IF(COUNTIFS(ABSORCION!$C$5:$C$1004,F115,ABSORCION!$I$5:$I$1004,"&gt;0")=0,"",AVERAGEIFS(ABSORCION!$I$5:$I$1004,ABSORCION!$C$5:$C$1004,F115,ABSORCION!$I$5:$I$1004,"&gt;0")))</f>
        <v/>
      </c>
      <c r="AE115" s="20" t="str">
        <f aca="false">IF(F115="","",IF(COUNTIFS(ABSORCION!$C$5:$C$1004,F115,ABSORCION!$I$5:$I$1004,"&gt;0")=0,"",AVERAGEIFS(ABSORCION!$K$5:$K$1004,ABSORCION!$C$5:$C$1004,F115,ABSORCION!$I$5:$I$1004,"&gt;0")))</f>
        <v/>
      </c>
      <c r="AF115" s="20" t="str">
        <f aca="false">IF(AE115="","",IF(AE115&gt;=CONFIG!$E$21,CONFIG!$F$21,IF(AE115&gt;=CONFIG!$E$20,CONFIG!$F$20,CONFIG!$F$19)))</f>
        <v/>
      </c>
      <c r="AG115" s="21" t="str">
        <f aca="false">IF(F115="","",TRIM(IF(N(M115)=0,"Sin ensayos. ","")&amp;IF(AND(N(M115)&gt;0,N(M115)&lt;CONFIG!$B$26),"Menos de "&amp;CONFIG!$B$26&amp;" probetas. ","")&amp;IF(N(T115)&gt;CONFIG!$B$25,"CV alto. ","")&amp;IF(AND(N(AD115)&gt;0,N(AD115)&gt;N(AF115)),"Absorción alta. ","")))</f>
        <v/>
      </c>
      <c r="AH115" s="22" t="str">
        <f aca="false">IF(AND(N(M115)&gt;0,OR(CONTROL!$C$4="TODAS",C115=CONTROL!$C$4),D115=CONTROL!$C$5),MAX($AH$4:AH114)+1,"")</f>
        <v/>
      </c>
      <c r="AI115" s="22" t="str">
        <f aca="false">IF(AH115="","",P115^2)</f>
        <v/>
      </c>
    </row>
    <row r="116" customFormat="false" ht="15" hidden="false" customHeight="false" outlineLevel="0" collapsed="false">
      <c r="A116" s="11" t="str">
        <f aca="false">IF(B116="","",ROW()-4)</f>
        <v/>
      </c>
      <c r="B116" s="12"/>
      <c r="C116" s="13"/>
      <c r="D116" s="13"/>
      <c r="E116" s="13"/>
      <c r="F116" s="14" t="str">
        <f aca="false">IF(OR(B116="",C116="",D116=""),"",IFERROR(INDEX(CONFIG!$E$5:$E$14,MATCH(D116,CONFIG!$D$5:$D$14,0)),"?")&amp;RIGHT("0"&amp;DAY(B116),2)&amp;RIGHT("0"&amp;MONTH(B116),2)&amp;RIGHT(YEAR(B116),2)&amp;C116&amp;IF(E116="","","-"&amp;E116))</f>
        <v/>
      </c>
      <c r="G116" s="13"/>
      <c r="H116" s="13"/>
      <c r="I116" s="13"/>
      <c r="J116" s="13"/>
      <c r="K116" s="13"/>
      <c r="L116" s="13"/>
      <c r="M116" s="11" t="str">
        <f aca="false">IF(F116="","",COUNTIFS(ENSAYOS!$C$5:$C$3004,F116,ENSAYOS!$Q$5:$Q$3004,"&gt;0"))</f>
        <v/>
      </c>
      <c r="N116" s="15" t="str">
        <f aca="false">IF(N(M116)=0,"",_xlfn.MINIFS(ENSAYOS!$G$5:$G$3004,ENSAYOS!$C$5:$C$3004,F116,ENSAYOS!$Q$5:$Q$3004,"&gt;0"))</f>
        <v/>
      </c>
      <c r="O116" s="15" t="str">
        <f aca="false">IF(N(M116)=0,"",_xlfn.MAXIFS(ENSAYOS!$G$5:$G$3004,ENSAYOS!$C$5:$C$3004,F116,ENSAYOS!$Q$5:$Q$3004,"&gt;0"))</f>
        <v/>
      </c>
      <c r="P116" s="16" t="str">
        <f aca="false">IF(N(M116)=0,"",AVERAGEIFS(ENSAYOS!$Q$5:$Q$3004,ENSAYOS!$C$5:$C$3004,F116,ENSAYOS!$Q$5:$Q$3004,"&gt;0"))</f>
        <v/>
      </c>
      <c r="Q116" s="16" t="str">
        <f aca="false">IF(N(M116)=0,"",_xlfn.MINIFS(ENSAYOS!$Q$5:$Q$3004,ENSAYOS!$C$5:$C$3004,F116,ENSAYOS!$Q$5:$Q$3004,"&gt;0"))</f>
        <v/>
      </c>
      <c r="R116" s="16" t="str">
        <f aca="false">IF(N(M116)=0,"",_xlfn.MAXIFS(ENSAYOS!$Q$5:$Q$3004,ENSAYOS!$C$5:$C$3004,F116,ENSAYOS!$Q$5:$Q$3004,"&gt;0"))</f>
        <v/>
      </c>
      <c r="S116" s="16" t="str">
        <f aca="false">IF(N(M116)&lt;2,"",SQRT(MAX(0,(SUMIFS(ENSAYOS!$X$5:$X$3004,ENSAYOS!$C$5:$C$3004,F116,ENSAYOS!$Q$5:$Q$3004,"&gt;0")-M116*P116^2)/(M116-1))))</f>
        <v/>
      </c>
      <c r="T116" s="17" t="str">
        <f aca="false">IF(S116="","",S116/P116)</f>
        <v/>
      </c>
      <c r="U116" s="16" t="str">
        <f aca="false">IF(N(M116)=0,"",IF(N116&gt;=CONFIG!$B$27,"",AVERAGEIFS(ENSAYOS!$Q$5:$Q$3004,ENSAYOS!$C$5:$C$3004,F116,ENSAYOS!$Q$5:$Q$3004,"&gt;0",ENSAYOS!$G$5:$G$3004,N116)))</f>
        <v/>
      </c>
      <c r="V116" s="16" t="str">
        <f aca="false">IF(N(M116)=0,"",IF(COUNTIFS(ENSAYOS!$C$5:$C$3004,F116,ENSAYOS!$Q$5:$Q$3004,"&gt;0",ENSAYOS!$G$5:$G$3004,"&gt;="&amp;CONFIG!$B$27)=0,"",AVERAGEIFS(ENSAYOS!$Q$5:$Q$3004,ENSAYOS!$C$5:$C$3004,F116,ENSAYOS!$Q$5:$Q$3004,"&gt;0",ENSAYOS!$G$5:$G$3004,"&gt;="&amp;CONFIG!$B$27)))</f>
        <v/>
      </c>
      <c r="W116" s="18" t="str">
        <f aca="false">IF(AND(U116&lt;&gt;"",V116&lt;&gt;""),U116/V116,"")</f>
        <v/>
      </c>
      <c r="X116" s="18" t="str">
        <f aca="false">IF(U116="","",INDEX('CURVA EDAD'!$E$5:$E$32,MIN(28,MAX(1,N116))))</f>
        <v/>
      </c>
      <c r="Y116" s="16" t="str">
        <f aca="false">IF(V116&lt;&gt;"",V116,IF(U116="","",U116/X116))</f>
        <v/>
      </c>
      <c r="Z116" s="16" t="str">
        <f aca="false">IF(V116&lt;&gt;"",_xlfn.MINIFS(ENSAYOS!$Q$5:$Q$3004,ENSAYOS!$C$5:$C$3004,F116,ENSAYOS!$Q$5:$Q$3004,"&gt;0",ENSAYOS!$G$5:$G$3004,"&gt;="&amp;CONFIG!$B$27),IF(U116="","",_xlfn.MINIFS(ENSAYOS!$Q$5:$Q$3004,ENSAYOS!$C$5:$C$3004,F116,ENSAYOS!$Q$5:$Q$3004,"&gt;0",ENSAYOS!$G$5:$G$3004,N116)/X116))</f>
        <v/>
      </c>
      <c r="AA116" s="16" t="str">
        <f aca="false">IF(D116="","",IFERROR(1/(1/INDEX(CONFIG!$J$5:$J$14,MATCH(D116,CONFIG!$D$5:$D$14,0))),""))</f>
        <v/>
      </c>
      <c r="AB116" s="16" t="str">
        <f aca="false">IF(D116="","",IFERROR(1/(1/INDEX(CONFIG!$K$5:$K$14,MATCH(D116,CONFIG!$D$5:$D$14,0))),""))</f>
        <v/>
      </c>
      <c r="AC116" s="19" t="str">
        <f aca="false">IF(N(M116)=0,"",IF(AA116="","Sin spec",IF(AND(Y116&gt;=AA116,OR(AB116="",Z116&gt;=AB116)),"CUMPLE","NO CUMPLE")&amp;IF(V116=""," (est.)","")))</f>
        <v/>
      </c>
      <c r="AD116" s="20" t="str">
        <f aca="false">IF(F116="","",IF(COUNTIFS(ABSORCION!$C$5:$C$1004,F116,ABSORCION!$I$5:$I$1004,"&gt;0")=0,"",AVERAGEIFS(ABSORCION!$I$5:$I$1004,ABSORCION!$C$5:$C$1004,F116,ABSORCION!$I$5:$I$1004,"&gt;0")))</f>
        <v/>
      </c>
      <c r="AE116" s="20" t="str">
        <f aca="false">IF(F116="","",IF(COUNTIFS(ABSORCION!$C$5:$C$1004,F116,ABSORCION!$I$5:$I$1004,"&gt;0")=0,"",AVERAGEIFS(ABSORCION!$K$5:$K$1004,ABSORCION!$C$5:$C$1004,F116,ABSORCION!$I$5:$I$1004,"&gt;0")))</f>
        <v/>
      </c>
      <c r="AF116" s="20" t="str">
        <f aca="false">IF(AE116="","",IF(AE116&gt;=CONFIG!$E$21,CONFIG!$F$21,IF(AE116&gt;=CONFIG!$E$20,CONFIG!$F$20,CONFIG!$F$19)))</f>
        <v/>
      </c>
      <c r="AG116" s="21" t="str">
        <f aca="false">IF(F116="","",TRIM(IF(N(M116)=0,"Sin ensayos. ","")&amp;IF(AND(N(M116)&gt;0,N(M116)&lt;CONFIG!$B$26),"Menos de "&amp;CONFIG!$B$26&amp;" probetas. ","")&amp;IF(N(T116)&gt;CONFIG!$B$25,"CV alto. ","")&amp;IF(AND(N(AD116)&gt;0,N(AD116)&gt;N(AF116)),"Absorción alta. ","")))</f>
        <v/>
      </c>
      <c r="AH116" s="22" t="str">
        <f aca="false">IF(AND(N(M116)&gt;0,OR(CONTROL!$C$4="TODAS",C116=CONTROL!$C$4),D116=CONTROL!$C$5),MAX($AH$4:AH115)+1,"")</f>
        <v/>
      </c>
      <c r="AI116" s="22" t="str">
        <f aca="false">IF(AH116="","",P116^2)</f>
        <v/>
      </c>
    </row>
    <row r="117" customFormat="false" ht="15" hidden="false" customHeight="false" outlineLevel="0" collapsed="false">
      <c r="A117" s="11" t="str">
        <f aca="false">IF(B117="","",ROW()-4)</f>
        <v/>
      </c>
      <c r="B117" s="12"/>
      <c r="C117" s="13"/>
      <c r="D117" s="13"/>
      <c r="E117" s="13"/>
      <c r="F117" s="14" t="str">
        <f aca="false">IF(OR(B117="",C117="",D117=""),"",IFERROR(INDEX(CONFIG!$E$5:$E$14,MATCH(D117,CONFIG!$D$5:$D$14,0)),"?")&amp;RIGHT("0"&amp;DAY(B117),2)&amp;RIGHT("0"&amp;MONTH(B117),2)&amp;RIGHT(YEAR(B117),2)&amp;C117&amp;IF(E117="","","-"&amp;E117))</f>
        <v/>
      </c>
      <c r="G117" s="13"/>
      <c r="H117" s="13"/>
      <c r="I117" s="13"/>
      <c r="J117" s="13"/>
      <c r="K117" s="13"/>
      <c r="L117" s="13"/>
      <c r="M117" s="11" t="str">
        <f aca="false">IF(F117="","",COUNTIFS(ENSAYOS!$C$5:$C$3004,F117,ENSAYOS!$Q$5:$Q$3004,"&gt;0"))</f>
        <v/>
      </c>
      <c r="N117" s="15" t="str">
        <f aca="false">IF(N(M117)=0,"",_xlfn.MINIFS(ENSAYOS!$G$5:$G$3004,ENSAYOS!$C$5:$C$3004,F117,ENSAYOS!$Q$5:$Q$3004,"&gt;0"))</f>
        <v/>
      </c>
      <c r="O117" s="15" t="str">
        <f aca="false">IF(N(M117)=0,"",_xlfn.MAXIFS(ENSAYOS!$G$5:$G$3004,ENSAYOS!$C$5:$C$3004,F117,ENSAYOS!$Q$5:$Q$3004,"&gt;0"))</f>
        <v/>
      </c>
      <c r="P117" s="16" t="str">
        <f aca="false">IF(N(M117)=0,"",AVERAGEIFS(ENSAYOS!$Q$5:$Q$3004,ENSAYOS!$C$5:$C$3004,F117,ENSAYOS!$Q$5:$Q$3004,"&gt;0"))</f>
        <v/>
      </c>
      <c r="Q117" s="16" t="str">
        <f aca="false">IF(N(M117)=0,"",_xlfn.MINIFS(ENSAYOS!$Q$5:$Q$3004,ENSAYOS!$C$5:$C$3004,F117,ENSAYOS!$Q$5:$Q$3004,"&gt;0"))</f>
        <v/>
      </c>
      <c r="R117" s="16" t="str">
        <f aca="false">IF(N(M117)=0,"",_xlfn.MAXIFS(ENSAYOS!$Q$5:$Q$3004,ENSAYOS!$C$5:$C$3004,F117,ENSAYOS!$Q$5:$Q$3004,"&gt;0"))</f>
        <v/>
      </c>
      <c r="S117" s="16" t="str">
        <f aca="false">IF(N(M117)&lt;2,"",SQRT(MAX(0,(SUMIFS(ENSAYOS!$X$5:$X$3004,ENSAYOS!$C$5:$C$3004,F117,ENSAYOS!$Q$5:$Q$3004,"&gt;0")-M117*P117^2)/(M117-1))))</f>
        <v/>
      </c>
      <c r="T117" s="17" t="str">
        <f aca="false">IF(S117="","",S117/P117)</f>
        <v/>
      </c>
      <c r="U117" s="16" t="str">
        <f aca="false">IF(N(M117)=0,"",IF(N117&gt;=CONFIG!$B$27,"",AVERAGEIFS(ENSAYOS!$Q$5:$Q$3004,ENSAYOS!$C$5:$C$3004,F117,ENSAYOS!$Q$5:$Q$3004,"&gt;0",ENSAYOS!$G$5:$G$3004,N117)))</f>
        <v/>
      </c>
      <c r="V117" s="16" t="str">
        <f aca="false">IF(N(M117)=0,"",IF(COUNTIFS(ENSAYOS!$C$5:$C$3004,F117,ENSAYOS!$Q$5:$Q$3004,"&gt;0",ENSAYOS!$G$5:$G$3004,"&gt;="&amp;CONFIG!$B$27)=0,"",AVERAGEIFS(ENSAYOS!$Q$5:$Q$3004,ENSAYOS!$C$5:$C$3004,F117,ENSAYOS!$Q$5:$Q$3004,"&gt;0",ENSAYOS!$G$5:$G$3004,"&gt;="&amp;CONFIG!$B$27)))</f>
        <v/>
      </c>
      <c r="W117" s="18" t="str">
        <f aca="false">IF(AND(U117&lt;&gt;"",V117&lt;&gt;""),U117/V117,"")</f>
        <v/>
      </c>
      <c r="X117" s="18" t="str">
        <f aca="false">IF(U117="","",INDEX('CURVA EDAD'!$E$5:$E$32,MIN(28,MAX(1,N117))))</f>
        <v/>
      </c>
      <c r="Y117" s="16" t="str">
        <f aca="false">IF(V117&lt;&gt;"",V117,IF(U117="","",U117/X117))</f>
        <v/>
      </c>
      <c r="Z117" s="16" t="str">
        <f aca="false">IF(V117&lt;&gt;"",_xlfn.MINIFS(ENSAYOS!$Q$5:$Q$3004,ENSAYOS!$C$5:$C$3004,F117,ENSAYOS!$Q$5:$Q$3004,"&gt;0",ENSAYOS!$G$5:$G$3004,"&gt;="&amp;CONFIG!$B$27),IF(U117="","",_xlfn.MINIFS(ENSAYOS!$Q$5:$Q$3004,ENSAYOS!$C$5:$C$3004,F117,ENSAYOS!$Q$5:$Q$3004,"&gt;0",ENSAYOS!$G$5:$G$3004,N117)/X117))</f>
        <v/>
      </c>
      <c r="AA117" s="16" t="str">
        <f aca="false">IF(D117="","",IFERROR(1/(1/INDEX(CONFIG!$J$5:$J$14,MATCH(D117,CONFIG!$D$5:$D$14,0))),""))</f>
        <v/>
      </c>
      <c r="AB117" s="16" t="str">
        <f aca="false">IF(D117="","",IFERROR(1/(1/INDEX(CONFIG!$K$5:$K$14,MATCH(D117,CONFIG!$D$5:$D$14,0))),""))</f>
        <v/>
      </c>
      <c r="AC117" s="19" t="str">
        <f aca="false">IF(N(M117)=0,"",IF(AA117="","Sin spec",IF(AND(Y117&gt;=AA117,OR(AB117="",Z117&gt;=AB117)),"CUMPLE","NO CUMPLE")&amp;IF(V117=""," (est.)","")))</f>
        <v/>
      </c>
      <c r="AD117" s="20" t="str">
        <f aca="false">IF(F117="","",IF(COUNTIFS(ABSORCION!$C$5:$C$1004,F117,ABSORCION!$I$5:$I$1004,"&gt;0")=0,"",AVERAGEIFS(ABSORCION!$I$5:$I$1004,ABSORCION!$C$5:$C$1004,F117,ABSORCION!$I$5:$I$1004,"&gt;0")))</f>
        <v/>
      </c>
      <c r="AE117" s="20" t="str">
        <f aca="false">IF(F117="","",IF(COUNTIFS(ABSORCION!$C$5:$C$1004,F117,ABSORCION!$I$5:$I$1004,"&gt;0")=0,"",AVERAGEIFS(ABSORCION!$K$5:$K$1004,ABSORCION!$C$5:$C$1004,F117,ABSORCION!$I$5:$I$1004,"&gt;0")))</f>
        <v/>
      </c>
      <c r="AF117" s="20" t="str">
        <f aca="false">IF(AE117="","",IF(AE117&gt;=CONFIG!$E$21,CONFIG!$F$21,IF(AE117&gt;=CONFIG!$E$20,CONFIG!$F$20,CONFIG!$F$19)))</f>
        <v/>
      </c>
      <c r="AG117" s="21" t="str">
        <f aca="false">IF(F117="","",TRIM(IF(N(M117)=0,"Sin ensayos. ","")&amp;IF(AND(N(M117)&gt;0,N(M117)&lt;CONFIG!$B$26),"Menos de "&amp;CONFIG!$B$26&amp;" probetas. ","")&amp;IF(N(T117)&gt;CONFIG!$B$25,"CV alto. ","")&amp;IF(AND(N(AD117)&gt;0,N(AD117)&gt;N(AF117)),"Absorción alta. ","")))</f>
        <v/>
      </c>
      <c r="AH117" s="22" t="str">
        <f aca="false">IF(AND(N(M117)&gt;0,OR(CONTROL!$C$4="TODAS",C117=CONTROL!$C$4),D117=CONTROL!$C$5),MAX($AH$4:AH116)+1,"")</f>
        <v/>
      </c>
      <c r="AI117" s="22" t="str">
        <f aca="false">IF(AH117="","",P117^2)</f>
        <v/>
      </c>
    </row>
    <row r="118" customFormat="false" ht="15" hidden="false" customHeight="false" outlineLevel="0" collapsed="false">
      <c r="A118" s="11" t="str">
        <f aca="false">IF(B118="","",ROW()-4)</f>
        <v/>
      </c>
      <c r="B118" s="12"/>
      <c r="C118" s="13"/>
      <c r="D118" s="13"/>
      <c r="E118" s="13"/>
      <c r="F118" s="14" t="str">
        <f aca="false">IF(OR(B118="",C118="",D118=""),"",IFERROR(INDEX(CONFIG!$E$5:$E$14,MATCH(D118,CONFIG!$D$5:$D$14,0)),"?")&amp;RIGHT("0"&amp;DAY(B118),2)&amp;RIGHT("0"&amp;MONTH(B118),2)&amp;RIGHT(YEAR(B118),2)&amp;C118&amp;IF(E118="","","-"&amp;E118))</f>
        <v/>
      </c>
      <c r="G118" s="13"/>
      <c r="H118" s="13"/>
      <c r="I118" s="13"/>
      <c r="J118" s="13"/>
      <c r="K118" s="13"/>
      <c r="L118" s="13"/>
      <c r="M118" s="11" t="str">
        <f aca="false">IF(F118="","",COUNTIFS(ENSAYOS!$C$5:$C$3004,F118,ENSAYOS!$Q$5:$Q$3004,"&gt;0"))</f>
        <v/>
      </c>
      <c r="N118" s="15" t="str">
        <f aca="false">IF(N(M118)=0,"",_xlfn.MINIFS(ENSAYOS!$G$5:$G$3004,ENSAYOS!$C$5:$C$3004,F118,ENSAYOS!$Q$5:$Q$3004,"&gt;0"))</f>
        <v/>
      </c>
      <c r="O118" s="15" t="str">
        <f aca="false">IF(N(M118)=0,"",_xlfn.MAXIFS(ENSAYOS!$G$5:$G$3004,ENSAYOS!$C$5:$C$3004,F118,ENSAYOS!$Q$5:$Q$3004,"&gt;0"))</f>
        <v/>
      </c>
      <c r="P118" s="16" t="str">
        <f aca="false">IF(N(M118)=0,"",AVERAGEIFS(ENSAYOS!$Q$5:$Q$3004,ENSAYOS!$C$5:$C$3004,F118,ENSAYOS!$Q$5:$Q$3004,"&gt;0"))</f>
        <v/>
      </c>
      <c r="Q118" s="16" t="str">
        <f aca="false">IF(N(M118)=0,"",_xlfn.MINIFS(ENSAYOS!$Q$5:$Q$3004,ENSAYOS!$C$5:$C$3004,F118,ENSAYOS!$Q$5:$Q$3004,"&gt;0"))</f>
        <v/>
      </c>
      <c r="R118" s="16" t="str">
        <f aca="false">IF(N(M118)=0,"",_xlfn.MAXIFS(ENSAYOS!$Q$5:$Q$3004,ENSAYOS!$C$5:$C$3004,F118,ENSAYOS!$Q$5:$Q$3004,"&gt;0"))</f>
        <v/>
      </c>
      <c r="S118" s="16" t="str">
        <f aca="false">IF(N(M118)&lt;2,"",SQRT(MAX(0,(SUMIFS(ENSAYOS!$X$5:$X$3004,ENSAYOS!$C$5:$C$3004,F118,ENSAYOS!$Q$5:$Q$3004,"&gt;0")-M118*P118^2)/(M118-1))))</f>
        <v/>
      </c>
      <c r="T118" s="17" t="str">
        <f aca="false">IF(S118="","",S118/P118)</f>
        <v/>
      </c>
      <c r="U118" s="16" t="str">
        <f aca="false">IF(N(M118)=0,"",IF(N118&gt;=CONFIG!$B$27,"",AVERAGEIFS(ENSAYOS!$Q$5:$Q$3004,ENSAYOS!$C$5:$C$3004,F118,ENSAYOS!$Q$5:$Q$3004,"&gt;0",ENSAYOS!$G$5:$G$3004,N118)))</f>
        <v/>
      </c>
      <c r="V118" s="16" t="str">
        <f aca="false">IF(N(M118)=0,"",IF(COUNTIFS(ENSAYOS!$C$5:$C$3004,F118,ENSAYOS!$Q$5:$Q$3004,"&gt;0",ENSAYOS!$G$5:$G$3004,"&gt;="&amp;CONFIG!$B$27)=0,"",AVERAGEIFS(ENSAYOS!$Q$5:$Q$3004,ENSAYOS!$C$5:$C$3004,F118,ENSAYOS!$Q$5:$Q$3004,"&gt;0",ENSAYOS!$G$5:$G$3004,"&gt;="&amp;CONFIG!$B$27)))</f>
        <v/>
      </c>
      <c r="W118" s="18" t="str">
        <f aca="false">IF(AND(U118&lt;&gt;"",V118&lt;&gt;""),U118/V118,"")</f>
        <v/>
      </c>
      <c r="X118" s="18" t="str">
        <f aca="false">IF(U118="","",INDEX('CURVA EDAD'!$E$5:$E$32,MIN(28,MAX(1,N118))))</f>
        <v/>
      </c>
      <c r="Y118" s="16" t="str">
        <f aca="false">IF(V118&lt;&gt;"",V118,IF(U118="","",U118/X118))</f>
        <v/>
      </c>
      <c r="Z118" s="16" t="str">
        <f aca="false">IF(V118&lt;&gt;"",_xlfn.MINIFS(ENSAYOS!$Q$5:$Q$3004,ENSAYOS!$C$5:$C$3004,F118,ENSAYOS!$Q$5:$Q$3004,"&gt;0",ENSAYOS!$G$5:$G$3004,"&gt;="&amp;CONFIG!$B$27),IF(U118="","",_xlfn.MINIFS(ENSAYOS!$Q$5:$Q$3004,ENSAYOS!$C$5:$C$3004,F118,ENSAYOS!$Q$5:$Q$3004,"&gt;0",ENSAYOS!$G$5:$G$3004,N118)/X118))</f>
        <v/>
      </c>
      <c r="AA118" s="16" t="str">
        <f aca="false">IF(D118="","",IFERROR(1/(1/INDEX(CONFIG!$J$5:$J$14,MATCH(D118,CONFIG!$D$5:$D$14,0))),""))</f>
        <v/>
      </c>
      <c r="AB118" s="16" t="str">
        <f aca="false">IF(D118="","",IFERROR(1/(1/INDEX(CONFIG!$K$5:$K$14,MATCH(D118,CONFIG!$D$5:$D$14,0))),""))</f>
        <v/>
      </c>
      <c r="AC118" s="19" t="str">
        <f aca="false">IF(N(M118)=0,"",IF(AA118="","Sin spec",IF(AND(Y118&gt;=AA118,OR(AB118="",Z118&gt;=AB118)),"CUMPLE","NO CUMPLE")&amp;IF(V118=""," (est.)","")))</f>
        <v/>
      </c>
      <c r="AD118" s="20" t="str">
        <f aca="false">IF(F118="","",IF(COUNTIFS(ABSORCION!$C$5:$C$1004,F118,ABSORCION!$I$5:$I$1004,"&gt;0")=0,"",AVERAGEIFS(ABSORCION!$I$5:$I$1004,ABSORCION!$C$5:$C$1004,F118,ABSORCION!$I$5:$I$1004,"&gt;0")))</f>
        <v/>
      </c>
      <c r="AE118" s="20" t="str">
        <f aca="false">IF(F118="","",IF(COUNTIFS(ABSORCION!$C$5:$C$1004,F118,ABSORCION!$I$5:$I$1004,"&gt;0")=0,"",AVERAGEIFS(ABSORCION!$K$5:$K$1004,ABSORCION!$C$5:$C$1004,F118,ABSORCION!$I$5:$I$1004,"&gt;0")))</f>
        <v/>
      </c>
      <c r="AF118" s="20" t="str">
        <f aca="false">IF(AE118="","",IF(AE118&gt;=CONFIG!$E$21,CONFIG!$F$21,IF(AE118&gt;=CONFIG!$E$20,CONFIG!$F$20,CONFIG!$F$19)))</f>
        <v/>
      </c>
      <c r="AG118" s="21" t="str">
        <f aca="false">IF(F118="","",TRIM(IF(N(M118)=0,"Sin ensayos. ","")&amp;IF(AND(N(M118)&gt;0,N(M118)&lt;CONFIG!$B$26),"Menos de "&amp;CONFIG!$B$26&amp;" probetas. ","")&amp;IF(N(T118)&gt;CONFIG!$B$25,"CV alto. ","")&amp;IF(AND(N(AD118)&gt;0,N(AD118)&gt;N(AF118)),"Absorción alta. ","")))</f>
        <v/>
      </c>
      <c r="AH118" s="22" t="str">
        <f aca="false">IF(AND(N(M118)&gt;0,OR(CONTROL!$C$4="TODAS",C118=CONTROL!$C$4),D118=CONTROL!$C$5),MAX($AH$4:AH117)+1,"")</f>
        <v/>
      </c>
      <c r="AI118" s="22" t="str">
        <f aca="false">IF(AH118="","",P118^2)</f>
        <v/>
      </c>
    </row>
    <row r="119" customFormat="false" ht="15" hidden="false" customHeight="false" outlineLevel="0" collapsed="false">
      <c r="A119" s="11" t="str">
        <f aca="false">IF(B119="","",ROW()-4)</f>
        <v/>
      </c>
      <c r="B119" s="12"/>
      <c r="C119" s="13"/>
      <c r="D119" s="13"/>
      <c r="E119" s="13"/>
      <c r="F119" s="14" t="str">
        <f aca="false">IF(OR(B119="",C119="",D119=""),"",IFERROR(INDEX(CONFIG!$E$5:$E$14,MATCH(D119,CONFIG!$D$5:$D$14,0)),"?")&amp;RIGHT("0"&amp;DAY(B119),2)&amp;RIGHT("0"&amp;MONTH(B119),2)&amp;RIGHT(YEAR(B119),2)&amp;C119&amp;IF(E119="","","-"&amp;E119))</f>
        <v/>
      </c>
      <c r="G119" s="13"/>
      <c r="H119" s="13"/>
      <c r="I119" s="13"/>
      <c r="J119" s="13"/>
      <c r="K119" s="13"/>
      <c r="L119" s="13"/>
      <c r="M119" s="11" t="str">
        <f aca="false">IF(F119="","",COUNTIFS(ENSAYOS!$C$5:$C$3004,F119,ENSAYOS!$Q$5:$Q$3004,"&gt;0"))</f>
        <v/>
      </c>
      <c r="N119" s="15" t="str">
        <f aca="false">IF(N(M119)=0,"",_xlfn.MINIFS(ENSAYOS!$G$5:$G$3004,ENSAYOS!$C$5:$C$3004,F119,ENSAYOS!$Q$5:$Q$3004,"&gt;0"))</f>
        <v/>
      </c>
      <c r="O119" s="15" t="str">
        <f aca="false">IF(N(M119)=0,"",_xlfn.MAXIFS(ENSAYOS!$G$5:$G$3004,ENSAYOS!$C$5:$C$3004,F119,ENSAYOS!$Q$5:$Q$3004,"&gt;0"))</f>
        <v/>
      </c>
      <c r="P119" s="16" t="str">
        <f aca="false">IF(N(M119)=0,"",AVERAGEIFS(ENSAYOS!$Q$5:$Q$3004,ENSAYOS!$C$5:$C$3004,F119,ENSAYOS!$Q$5:$Q$3004,"&gt;0"))</f>
        <v/>
      </c>
      <c r="Q119" s="16" t="str">
        <f aca="false">IF(N(M119)=0,"",_xlfn.MINIFS(ENSAYOS!$Q$5:$Q$3004,ENSAYOS!$C$5:$C$3004,F119,ENSAYOS!$Q$5:$Q$3004,"&gt;0"))</f>
        <v/>
      </c>
      <c r="R119" s="16" t="str">
        <f aca="false">IF(N(M119)=0,"",_xlfn.MAXIFS(ENSAYOS!$Q$5:$Q$3004,ENSAYOS!$C$5:$C$3004,F119,ENSAYOS!$Q$5:$Q$3004,"&gt;0"))</f>
        <v/>
      </c>
      <c r="S119" s="16" t="str">
        <f aca="false">IF(N(M119)&lt;2,"",SQRT(MAX(0,(SUMIFS(ENSAYOS!$X$5:$X$3004,ENSAYOS!$C$5:$C$3004,F119,ENSAYOS!$Q$5:$Q$3004,"&gt;0")-M119*P119^2)/(M119-1))))</f>
        <v/>
      </c>
      <c r="T119" s="17" t="str">
        <f aca="false">IF(S119="","",S119/P119)</f>
        <v/>
      </c>
      <c r="U119" s="16" t="str">
        <f aca="false">IF(N(M119)=0,"",IF(N119&gt;=CONFIG!$B$27,"",AVERAGEIFS(ENSAYOS!$Q$5:$Q$3004,ENSAYOS!$C$5:$C$3004,F119,ENSAYOS!$Q$5:$Q$3004,"&gt;0",ENSAYOS!$G$5:$G$3004,N119)))</f>
        <v/>
      </c>
      <c r="V119" s="16" t="str">
        <f aca="false">IF(N(M119)=0,"",IF(COUNTIFS(ENSAYOS!$C$5:$C$3004,F119,ENSAYOS!$Q$5:$Q$3004,"&gt;0",ENSAYOS!$G$5:$G$3004,"&gt;="&amp;CONFIG!$B$27)=0,"",AVERAGEIFS(ENSAYOS!$Q$5:$Q$3004,ENSAYOS!$C$5:$C$3004,F119,ENSAYOS!$Q$5:$Q$3004,"&gt;0",ENSAYOS!$G$5:$G$3004,"&gt;="&amp;CONFIG!$B$27)))</f>
        <v/>
      </c>
      <c r="W119" s="18" t="str">
        <f aca="false">IF(AND(U119&lt;&gt;"",V119&lt;&gt;""),U119/V119,"")</f>
        <v/>
      </c>
      <c r="X119" s="18" t="str">
        <f aca="false">IF(U119="","",INDEX('CURVA EDAD'!$E$5:$E$32,MIN(28,MAX(1,N119))))</f>
        <v/>
      </c>
      <c r="Y119" s="16" t="str">
        <f aca="false">IF(V119&lt;&gt;"",V119,IF(U119="","",U119/X119))</f>
        <v/>
      </c>
      <c r="Z119" s="16" t="str">
        <f aca="false">IF(V119&lt;&gt;"",_xlfn.MINIFS(ENSAYOS!$Q$5:$Q$3004,ENSAYOS!$C$5:$C$3004,F119,ENSAYOS!$Q$5:$Q$3004,"&gt;0",ENSAYOS!$G$5:$G$3004,"&gt;="&amp;CONFIG!$B$27),IF(U119="","",_xlfn.MINIFS(ENSAYOS!$Q$5:$Q$3004,ENSAYOS!$C$5:$C$3004,F119,ENSAYOS!$Q$5:$Q$3004,"&gt;0",ENSAYOS!$G$5:$G$3004,N119)/X119))</f>
        <v/>
      </c>
      <c r="AA119" s="16" t="str">
        <f aca="false">IF(D119="","",IFERROR(1/(1/INDEX(CONFIG!$J$5:$J$14,MATCH(D119,CONFIG!$D$5:$D$14,0))),""))</f>
        <v/>
      </c>
      <c r="AB119" s="16" t="str">
        <f aca="false">IF(D119="","",IFERROR(1/(1/INDEX(CONFIG!$K$5:$K$14,MATCH(D119,CONFIG!$D$5:$D$14,0))),""))</f>
        <v/>
      </c>
      <c r="AC119" s="19" t="str">
        <f aca="false">IF(N(M119)=0,"",IF(AA119="","Sin spec",IF(AND(Y119&gt;=AA119,OR(AB119="",Z119&gt;=AB119)),"CUMPLE","NO CUMPLE")&amp;IF(V119=""," (est.)","")))</f>
        <v/>
      </c>
      <c r="AD119" s="20" t="str">
        <f aca="false">IF(F119="","",IF(COUNTIFS(ABSORCION!$C$5:$C$1004,F119,ABSORCION!$I$5:$I$1004,"&gt;0")=0,"",AVERAGEIFS(ABSORCION!$I$5:$I$1004,ABSORCION!$C$5:$C$1004,F119,ABSORCION!$I$5:$I$1004,"&gt;0")))</f>
        <v/>
      </c>
      <c r="AE119" s="20" t="str">
        <f aca="false">IF(F119="","",IF(COUNTIFS(ABSORCION!$C$5:$C$1004,F119,ABSORCION!$I$5:$I$1004,"&gt;0")=0,"",AVERAGEIFS(ABSORCION!$K$5:$K$1004,ABSORCION!$C$5:$C$1004,F119,ABSORCION!$I$5:$I$1004,"&gt;0")))</f>
        <v/>
      </c>
      <c r="AF119" s="20" t="str">
        <f aca="false">IF(AE119="","",IF(AE119&gt;=CONFIG!$E$21,CONFIG!$F$21,IF(AE119&gt;=CONFIG!$E$20,CONFIG!$F$20,CONFIG!$F$19)))</f>
        <v/>
      </c>
      <c r="AG119" s="21" t="str">
        <f aca="false">IF(F119="","",TRIM(IF(N(M119)=0,"Sin ensayos. ","")&amp;IF(AND(N(M119)&gt;0,N(M119)&lt;CONFIG!$B$26),"Menos de "&amp;CONFIG!$B$26&amp;" probetas. ","")&amp;IF(N(T119)&gt;CONFIG!$B$25,"CV alto. ","")&amp;IF(AND(N(AD119)&gt;0,N(AD119)&gt;N(AF119)),"Absorción alta. ","")))</f>
        <v/>
      </c>
      <c r="AH119" s="22" t="str">
        <f aca="false">IF(AND(N(M119)&gt;0,OR(CONTROL!$C$4="TODAS",C119=CONTROL!$C$4),D119=CONTROL!$C$5),MAX($AH$4:AH118)+1,"")</f>
        <v/>
      </c>
      <c r="AI119" s="22" t="str">
        <f aca="false">IF(AH119="","",P119^2)</f>
        <v/>
      </c>
    </row>
    <row r="120" customFormat="false" ht="15" hidden="false" customHeight="false" outlineLevel="0" collapsed="false">
      <c r="A120" s="11" t="str">
        <f aca="false">IF(B120="","",ROW()-4)</f>
        <v/>
      </c>
      <c r="B120" s="12"/>
      <c r="C120" s="13"/>
      <c r="D120" s="13"/>
      <c r="E120" s="13"/>
      <c r="F120" s="14" t="str">
        <f aca="false">IF(OR(B120="",C120="",D120=""),"",IFERROR(INDEX(CONFIG!$E$5:$E$14,MATCH(D120,CONFIG!$D$5:$D$14,0)),"?")&amp;RIGHT("0"&amp;DAY(B120),2)&amp;RIGHT("0"&amp;MONTH(B120),2)&amp;RIGHT(YEAR(B120),2)&amp;C120&amp;IF(E120="","","-"&amp;E120))</f>
        <v/>
      </c>
      <c r="G120" s="13"/>
      <c r="H120" s="13"/>
      <c r="I120" s="13"/>
      <c r="J120" s="13"/>
      <c r="K120" s="13"/>
      <c r="L120" s="13"/>
      <c r="M120" s="11" t="str">
        <f aca="false">IF(F120="","",COUNTIFS(ENSAYOS!$C$5:$C$3004,F120,ENSAYOS!$Q$5:$Q$3004,"&gt;0"))</f>
        <v/>
      </c>
      <c r="N120" s="15" t="str">
        <f aca="false">IF(N(M120)=0,"",_xlfn.MINIFS(ENSAYOS!$G$5:$G$3004,ENSAYOS!$C$5:$C$3004,F120,ENSAYOS!$Q$5:$Q$3004,"&gt;0"))</f>
        <v/>
      </c>
      <c r="O120" s="15" t="str">
        <f aca="false">IF(N(M120)=0,"",_xlfn.MAXIFS(ENSAYOS!$G$5:$G$3004,ENSAYOS!$C$5:$C$3004,F120,ENSAYOS!$Q$5:$Q$3004,"&gt;0"))</f>
        <v/>
      </c>
      <c r="P120" s="16" t="str">
        <f aca="false">IF(N(M120)=0,"",AVERAGEIFS(ENSAYOS!$Q$5:$Q$3004,ENSAYOS!$C$5:$C$3004,F120,ENSAYOS!$Q$5:$Q$3004,"&gt;0"))</f>
        <v/>
      </c>
      <c r="Q120" s="16" t="str">
        <f aca="false">IF(N(M120)=0,"",_xlfn.MINIFS(ENSAYOS!$Q$5:$Q$3004,ENSAYOS!$C$5:$C$3004,F120,ENSAYOS!$Q$5:$Q$3004,"&gt;0"))</f>
        <v/>
      </c>
      <c r="R120" s="16" t="str">
        <f aca="false">IF(N(M120)=0,"",_xlfn.MAXIFS(ENSAYOS!$Q$5:$Q$3004,ENSAYOS!$C$5:$C$3004,F120,ENSAYOS!$Q$5:$Q$3004,"&gt;0"))</f>
        <v/>
      </c>
      <c r="S120" s="16" t="str">
        <f aca="false">IF(N(M120)&lt;2,"",SQRT(MAX(0,(SUMIFS(ENSAYOS!$X$5:$X$3004,ENSAYOS!$C$5:$C$3004,F120,ENSAYOS!$Q$5:$Q$3004,"&gt;0")-M120*P120^2)/(M120-1))))</f>
        <v/>
      </c>
      <c r="T120" s="17" t="str">
        <f aca="false">IF(S120="","",S120/P120)</f>
        <v/>
      </c>
      <c r="U120" s="16" t="str">
        <f aca="false">IF(N(M120)=0,"",IF(N120&gt;=CONFIG!$B$27,"",AVERAGEIFS(ENSAYOS!$Q$5:$Q$3004,ENSAYOS!$C$5:$C$3004,F120,ENSAYOS!$Q$5:$Q$3004,"&gt;0",ENSAYOS!$G$5:$G$3004,N120)))</f>
        <v/>
      </c>
      <c r="V120" s="16" t="str">
        <f aca="false">IF(N(M120)=0,"",IF(COUNTIFS(ENSAYOS!$C$5:$C$3004,F120,ENSAYOS!$Q$5:$Q$3004,"&gt;0",ENSAYOS!$G$5:$G$3004,"&gt;="&amp;CONFIG!$B$27)=0,"",AVERAGEIFS(ENSAYOS!$Q$5:$Q$3004,ENSAYOS!$C$5:$C$3004,F120,ENSAYOS!$Q$5:$Q$3004,"&gt;0",ENSAYOS!$G$5:$G$3004,"&gt;="&amp;CONFIG!$B$27)))</f>
        <v/>
      </c>
      <c r="W120" s="18" t="str">
        <f aca="false">IF(AND(U120&lt;&gt;"",V120&lt;&gt;""),U120/V120,"")</f>
        <v/>
      </c>
      <c r="X120" s="18" t="str">
        <f aca="false">IF(U120="","",INDEX('CURVA EDAD'!$E$5:$E$32,MIN(28,MAX(1,N120))))</f>
        <v/>
      </c>
      <c r="Y120" s="16" t="str">
        <f aca="false">IF(V120&lt;&gt;"",V120,IF(U120="","",U120/X120))</f>
        <v/>
      </c>
      <c r="Z120" s="16" t="str">
        <f aca="false">IF(V120&lt;&gt;"",_xlfn.MINIFS(ENSAYOS!$Q$5:$Q$3004,ENSAYOS!$C$5:$C$3004,F120,ENSAYOS!$Q$5:$Q$3004,"&gt;0",ENSAYOS!$G$5:$G$3004,"&gt;="&amp;CONFIG!$B$27),IF(U120="","",_xlfn.MINIFS(ENSAYOS!$Q$5:$Q$3004,ENSAYOS!$C$5:$C$3004,F120,ENSAYOS!$Q$5:$Q$3004,"&gt;0",ENSAYOS!$G$5:$G$3004,N120)/X120))</f>
        <v/>
      </c>
      <c r="AA120" s="16" t="str">
        <f aca="false">IF(D120="","",IFERROR(1/(1/INDEX(CONFIG!$J$5:$J$14,MATCH(D120,CONFIG!$D$5:$D$14,0))),""))</f>
        <v/>
      </c>
      <c r="AB120" s="16" t="str">
        <f aca="false">IF(D120="","",IFERROR(1/(1/INDEX(CONFIG!$K$5:$K$14,MATCH(D120,CONFIG!$D$5:$D$14,0))),""))</f>
        <v/>
      </c>
      <c r="AC120" s="19" t="str">
        <f aca="false">IF(N(M120)=0,"",IF(AA120="","Sin spec",IF(AND(Y120&gt;=AA120,OR(AB120="",Z120&gt;=AB120)),"CUMPLE","NO CUMPLE")&amp;IF(V120=""," (est.)","")))</f>
        <v/>
      </c>
      <c r="AD120" s="20" t="str">
        <f aca="false">IF(F120="","",IF(COUNTIFS(ABSORCION!$C$5:$C$1004,F120,ABSORCION!$I$5:$I$1004,"&gt;0")=0,"",AVERAGEIFS(ABSORCION!$I$5:$I$1004,ABSORCION!$C$5:$C$1004,F120,ABSORCION!$I$5:$I$1004,"&gt;0")))</f>
        <v/>
      </c>
      <c r="AE120" s="20" t="str">
        <f aca="false">IF(F120="","",IF(COUNTIFS(ABSORCION!$C$5:$C$1004,F120,ABSORCION!$I$5:$I$1004,"&gt;0")=0,"",AVERAGEIFS(ABSORCION!$K$5:$K$1004,ABSORCION!$C$5:$C$1004,F120,ABSORCION!$I$5:$I$1004,"&gt;0")))</f>
        <v/>
      </c>
      <c r="AF120" s="20" t="str">
        <f aca="false">IF(AE120="","",IF(AE120&gt;=CONFIG!$E$21,CONFIG!$F$21,IF(AE120&gt;=CONFIG!$E$20,CONFIG!$F$20,CONFIG!$F$19)))</f>
        <v/>
      </c>
      <c r="AG120" s="21" t="str">
        <f aca="false">IF(F120="","",TRIM(IF(N(M120)=0,"Sin ensayos. ","")&amp;IF(AND(N(M120)&gt;0,N(M120)&lt;CONFIG!$B$26),"Menos de "&amp;CONFIG!$B$26&amp;" probetas. ","")&amp;IF(N(T120)&gt;CONFIG!$B$25,"CV alto. ","")&amp;IF(AND(N(AD120)&gt;0,N(AD120)&gt;N(AF120)),"Absorción alta. ","")))</f>
        <v/>
      </c>
      <c r="AH120" s="22" t="str">
        <f aca="false">IF(AND(N(M120)&gt;0,OR(CONTROL!$C$4="TODAS",C120=CONTROL!$C$4),D120=CONTROL!$C$5),MAX($AH$4:AH119)+1,"")</f>
        <v/>
      </c>
      <c r="AI120" s="22" t="str">
        <f aca="false">IF(AH120="","",P120^2)</f>
        <v/>
      </c>
    </row>
    <row r="121" customFormat="false" ht="15" hidden="false" customHeight="false" outlineLevel="0" collapsed="false">
      <c r="A121" s="11" t="str">
        <f aca="false">IF(B121="","",ROW()-4)</f>
        <v/>
      </c>
      <c r="B121" s="12"/>
      <c r="C121" s="13"/>
      <c r="D121" s="13"/>
      <c r="E121" s="13"/>
      <c r="F121" s="14" t="str">
        <f aca="false">IF(OR(B121="",C121="",D121=""),"",IFERROR(INDEX(CONFIG!$E$5:$E$14,MATCH(D121,CONFIG!$D$5:$D$14,0)),"?")&amp;RIGHT("0"&amp;DAY(B121),2)&amp;RIGHT("0"&amp;MONTH(B121),2)&amp;RIGHT(YEAR(B121),2)&amp;C121&amp;IF(E121="","","-"&amp;E121))</f>
        <v/>
      </c>
      <c r="G121" s="13"/>
      <c r="H121" s="13"/>
      <c r="I121" s="13"/>
      <c r="J121" s="13"/>
      <c r="K121" s="13"/>
      <c r="L121" s="13"/>
      <c r="M121" s="11" t="str">
        <f aca="false">IF(F121="","",COUNTIFS(ENSAYOS!$C$5:$C$3004,F121,ENSAYOS!$Q$5:$Q$3004,"&gt;0"))</f>
        <v/>
      </c>
      <c r="N121" s="15" t="str">
        <f aca="false">IF(N(M121)=0,"",_xlfn.MINIFS(ENSAYOS!$G$5:$G$3004,ENSAYOS!$C$5:$C$3004,F121,ENSAYOS!$Q$5:$Q$3004,"&gt;0"))</f>
        <v/>
      </c>
      <c r="O121" s="15" t="str">
        <f aca="false">IF(N(M121)=0,"",_xlfn.MAXIFS(ENSAYOS!$G$5:$G$3004,ENSAYOS!$C$5:$C$3004,F121,ENSAYOS!$Q$5:$Q$3004,"&gt;0"))</f>
        <v/>
      </c>
      <c r="P121" s="16" t="str">
        <f aca="false">IF(N(M121)=0,"",AVERAGEIFS(ENSAYOS!$Q$5:$Q$3004,ENSAYOS!$C$5:$C$3004,F121,ENSAYOS!$Q$5:$Q$3004,"&gt;0"))</f>
        <v/>
      </c>
      <c r="Q121" s="16" t="str">
        <f aca="false">IF(N(M121)=0,"",_xlfn.MINIFS(ENSAYOS!$Q$5:$Q$3004,ENSAYOS!$C$5:$C$3004,F121,ENSAYOS!$Q$5:$Q$3004,"&gt;0"))</f>
        <v/>
      </c>
      <c r="R121" s="16" t="str">
        <f aca="false">IF(N(M121)=0,"",_xlfn.MAXIFS(ENSAYOS!$Q$5:$Q$3004,ENSAYOS!$C$5:$C$3004,F121,ENSAYOS!$Q$5:$Q$3004,"&gt;0"))</f>
        <v/>
      </c>
      <c r="S121" s="16" t="str">
        <f aca="false">IF(N(M121)&lt;2,"",SQRT(MAX(0,(SUMIFS(ENSAYOS!$X$5:$X$3004,ENSAYOS!$C$5:$C$3004,F121,ENSAYOS!$Q$5:$Q$3004,"&gt;0")-M121*P121^2)/(M121-1))))</f>
        <v/>
      </c>
      <c r="T121" s="17" t="str">
        <f aca="false">IF(S121="","",S121/P121)</f>
        <v/>
      </c>
      <c r="U121" s="16" t="str">
        <f aca="false">IF(N(M121)=0,"",IF(N121&gt;=CONFIG!$B$27,"",AVERAGEIFS(ENSAYOS!$Q$5:$Q$3004,ENSAYOS!$C$5:$C$3004,F121,ENSAYOS!$Q$5:$Q$3004,"&gt;0",ENSAYOS!$G$5:$G$3004,N121)))</f>
        <v/>
      </c>
      <c r="V121" s="16" t="str">
        <f aca="false">IF(N(M121)=0,"",IF(COUNTIFS(ENSAYOS!$C$5:$C$3004,F121,ENSAYOS!$Q$5:$Q$3004,"&gt;0",ENSAYOS!$G$5:$G$3004,"&gt;="&amp;CONFIG!$B$27)=0,"",AVERAGEIFS(ENSAYOS!$Q$5:$Q$3004,ENSAYOS!$C$5:$C$3004,F121,ENSAYOS!$Q$5:$Q$3004,"&gt;0",ENSAYOS!$G$5:$G$3004,"&gt;="&amp;CONFIG!$B$27)))</f>
        <v/>
      </c>
      <c r="W121" s="18" t="str">
        <f aca="false">IF(AND(U121&lt;&gt;"",V121&lt;&gt;""),U121/V121,"")</f>
        <v/>
      </c>
      <c r="X121" s="18" t="str">
        <f aca="false">IF(U121="","",INDEX('CURVA EDAD'!$E$5:$E$32,MIN(28,MAX(1,N121))))</f>
        <v/>
      </c>
      <c r="Y121" s="16" t="str">
        <f aca="false">IF(V121&lt;&gt;"",V121,IF(U121="","",U121/X121))</f>
        <v/>
      </c>
      <c r="Z121" s="16" t="str">
        <f aca="false">IF(V121&lt;&gt;"",_xlfn.MINIFS(ENSAYOS!$Q$5:$Q$3004,ENSAYOS!$C$5:$C$3004,F121,ENSAYOS!$Q$5:$Q$3004,"&gt;0",ENSAYOS!$G$5:$G$3004,"&gt;="&amp;CONFIG!$B$27),IF(U121="","",_xlfn.MINIFS(ENSAYOS!$Q$5:$Q$3004,ENSAYOS!$C$5:$C$3004,F121,ENSAYOS!$Q$5:$Q$3004,"&gt;0",ENSAYOS!$G$5:$G$3004,N121)/X121))</f>
        <v/>
      </c>
      <c r="AA121" s="16" t="str">
        <f aca="false">IF(D121="","",IFERROR(1/(1/INDEX(CONFIG!$J$5:$J$14,MATCH(D121,CONFIG!$D$5:$D$14,0))),""))</f>
        <v/>
      </c>
      <c r="AB121" s="16" t="str">
        <f aca="false">IF(D121="","",IFERROR(1/(1/INDEX(CONFIG!$K$5:$K$14,MATCH(D121,CONFIG!$D$5:$D$14,0))),""))</f>
        <v/>
      </c>
      <c r="AC121" s="19" t="str">
        <f aca="false">IF(N(M121)=0,"",IF(AA121="","Sin spec",IF(AND(Y121&gt;=AA121,OR(AB121="",Z121&gt;=AB121)),"CUMPLE","NO CUMPLE")&amp;IF(V121=""," (est.)","")))</f>
        <v/>
      </c>
      <c r="AD121" s="20" t="str">
        <f aca="false">IF(F121="","",IF(COUNTIFS(ABSORCION!$C$5:$C$1004,F121,ABSORCION!$I$5:$I$1004,"&gt;0")=0,"",AVERAGEIFS(ABSORCION!$I$5:$I$1004,ABSORCION!$C$5:$C$1004,F121,ABSORCION!$I$5:$I$1004,"&gt;0")))</f>
        <v/>
      </c>
      <c r="AE121" s="20" t="str">
        <f aca="false">IF(F121="","",IF(COUNTIFS(ABSORCION!$C$5:$C$1004,F121,ABSORCION!$I$5:$I$1004,"&gt;0")=0,"",AVERAGEIFS(ABSORCION!$K$5:$K$1004,ABSORCION!$C$5:$C$1004,F121,ABSORCION!$I$5:$I$1004,"&gt;0")))</f>
        <v/>
      </c>
      <c r="AF121" s="20" t="str">
        <f aca="false">IF(AE121="","",IF(AE121&gt;=CONFIG!$E$21,CONFIG!$F$21,IF(AE121&gt;=CONFIG!$E$20,CONFIG!$F$20,CONFIG!$F$19)))</f>
        <v/>
      </c>
      <c r="AG121" s="21" t="str">
        <f aca="false">IF(F121="","",TRIM(IF(N(M121)=0,"Sin ensayos. ","")&amp;IF(AND(N(M121)&gt;0,N(M121)&lt;CONFIG!$B$26),"Menos de "&amp;CONFIG!$B$26&amp;" probetas. ","")&amp;IF(N(T121)&gt;CONFIG!$B$25,"CV alto. ","")&amp;IF(AND(N(AD121)&gt;0,N(AD121)&gt;N(AF121)),"Absorción alta. ","")))</f>
        <v/>
      </c>
      <c r="AH121" s="22" t="str">
        <f aca="false">IF(AND(N(M121)&gt;0,OR(CONTROL!$C$4="TODAS",C121=CONTROL!$C$4),D121=CONTROL!$C$5),MAX($AH$4:AH120)+1,"")</f>
        <v/>
      </c>
      <c r="AI121" s="22" t="str">
        <f aca="false">IF(AH121="","",P121^2)</f>
        <v/>
      </c>
    </row>
    <row r="122" customFormat="false" ht="15" hidden="false" customHeight="false" outlineLevel="0" collapsed="false">
      <c r="A122" s="11" t="str">
        <f aca="false">IF(B122="","",ROW()-4)</f>
        <v/>
      </c>
      <c r="B122" s="12"/>
      <c r="C122" s="13"/>
      <c r="D122" s="13"/>
      <c r="E122" s="13"/>
      <c r="F122" s="14" t="str">
        <f aca="false">IF(OR(B122="",C122="",D122=""),"",IFERROR(INDEX(CONFIG!$E$5:$E$14,MATCH(D122,CONFIG!$D$5:$D$14,0)),"?")&amp;RIGHT("0"&amp;DAY(B122),2)&amp;RIGHT("0"&amp;MONTH(B122),2)&amp;RIGHT(YEAR(B122),2)&amp;C122&amp;IF(E122="","","-"&amp;E122))</f>
        <v/>
      </c>
      <c r="G122" s="13"/>
      <c r="H122" s="13"/>
      <c r="I122" s="13"/>
      <c r="J122" s="13"/>
      <c r="K122" s="13"/>
      <c r="L122" s="13"/>
      <c r="M122" s="11" t="str">
        <f aca="false">IF(F122="","",COUNTIFS(ENSAYOS!$C$5:$C$3004,F122,ENSAYOS!$Q$5:$Q$3004,"&gt;0"))</f>
        <v/>
      </c>
      <c r="N122" s="15" t="str">
        <f aca="false">IF(N(M122)=0,"",_xlfn.MINIFS(ENSAYOS!$G$5:$G$3004,ENSAYOS!$C$5:$C$3004,F122,ENSAYOS!$Q$5:$Q$3004,"&gt;0"))</f>
        <v/>
      </c>
      <c r="O122" s="15" t="str">
        <f aca="false">IF(N(M122)=0,"",_xlfn.MAXIFS(ENSAYOS!$G$5:$G$3004,ENSAYOS!$C$5:$C$3004,F122,ENSAYOS!$Q$5:$Q$3004,"&gt;0"))</f>
        <v/>
      </c>
      <c r="P122" s="16" t="str">
        <f aca="false">IF(N(M122)=0,"",AVERAGEIFS(ENSAYOS!$Q$5:$Q$3004,ENSAYOS!$C$5:$C$3004,F122,ENSAYOS!$Q$5:$Q$3004,"&gt;0"))</f>
        <v/>
      </c>
      <c r="Q122" s="16" t="str">
        <f aca="false">IF(N(M122)=0,"",_xlfn.MINIFS(ENSAYOS!$Q$5:$Q$3004,ENSAYOS!$C$5:$C$3004,F122,ENSAYOS!$Q$5:$Q$3004,"&gt;0"))</f>
        <v/>
      </c>
      <c r="R122" s="16" t="str">
        <f aca="false">IF(N(M122)=0,"",_xlfn.MAXIFS(ENSAYOS!$Q$5:$Q$3004,ENSAYOS!$C$5:$C$3004,F122,ENSAYOS!$Q$5:$Q$3004,"&gt;0"))</f>
        <v/>
      </c>
      <c r="S122" s="16" t="str">
        <f aca="false">IF(N(M122)&lt;2,"",SQRT(MAX(0,(SUMIFS(ENSAYOS!$X$5:$X$3004,ENSAYOS!$C$5:$C$3004,F122,ENSAYOS!$Q$5:$Q$3004,"&gt;0")-M122*P122^2)/(M122-1))))</f>
        <v/>
      </c>
      <c r="T122" s="17" t="str">
        <f aca="false">IF(S122="","",S122/P122)</f>
        <v/>
      </c>
      <c r="U122" s="16" t="str">
        <f aca="false">IF(N(M122)=0,"",IF(N122&gt;=CONFIG!$B$27,"",AVERAGEIFS(ENSAYOS!$Q$5:$Q$3004,ENSAYOS!$C$5:$C$3004,F122,ENSAYOS!$Q$5:$Q$3004,"&gt;0",ENSAYOS!$G$5:$G$3004,N122)))</f>
        <v/>
      </c>
      <c r="V122" s="16" t="str">
        <f aca="false">IF(N(M122)=0,"",IF(COUNTIFS(ENSAYOS!$C$5:$C$3004,F122,ENSAYOS!$Q$5:$Q$3004,"&gt;0",ENSAYOS!$G$5:$G$3004,"&gt;="&amp;CONFIG!$B$27)=0,"",AVERAGEIFS(ENSAYOS!$Q$5:$Q$3004,ENSAYOS!$C$5:$C$3004,F122,ENSAYOS!$Q$5:$Q$3004,"&gt;0",ENSAYOS!$G$5:$G$3004,"&gt;="&amp;CONFIG!$B$27)))</f>
        <v/>
      </c>
      <c r="W122" s="18" t="str">
        <f aca="false">IF(AND(U122&lt;&gt;"",V122&lt;&gt;""),U122/V122,"")</f>
        <v/>
      </c>
      <c r="X122" s="18" t="str">
        <f aca="false">IF(U122="","",INDEX('CURVA EDAD'!$E$5:$E$32,MIN(28,MAX(1,N122))))</f>
        <v/>
      </c>
      <c r="Y122" s="16" t="str">
        <f aca="false">IF(V122&lt;&gt;"",V122,IF(U122="","",U122/X122))</f>
        <v/>
      </c>
      <c r="Z122" s="16" t="str">
        <f aca="false">IF(V122&lt;&gt;"",_xlfn.MINIFS(ENSAYOS!$Q$5:$Q$3004,ENSAYOS!$C$5:$C$3004,F122,ENSAYOS!$Q$5:$Q$3004,"&gt;0",ENSAYOS!$G$5:$G$3004,"&gt;="&amp;CONFIG!$B$27),IF(U122="","",_xlfn.MINIFS(ENSAYOS!$Q$5:$Q$3004,ENSAYOS!$C$5:$C$3004,F122,ENSAYOS!$Q$5:$Q$3004,"&gt;0",ENSAYOS!$G$5:$G$3004,N122)/X122))</f>
        <v/>
      </c>
      <c r="AA122" s="16" t="str">
        <f aca="false">IF(D122="","",IFERROR(1/(1/INDEX(CONFIG!$J$5:$J$14,MATCH(D122,CONFIG!$D$5:$D$14,0))),""))</f>
        <v/>
      </c>
      <c r="AB122" s="16" t="str">
        <f aca="false">IF(D122="","",IFERROR(1/(1/INDEX(CONFIG!$K$5:$K$14,MATCH(D122,CONFIG!$D$5:$D$14,0))),""))</f>
        <v/>
      </c>
      <c r="AC122" s="19" t="str">
        <f aca="false">IF(N(M122)=0,"",IF(AA122="","Sin spec",IF(AND(Y122&gt;=AA122,OR(AB122="",Z122&gt;=AB122)),"CUMPLE","NO CUMPLE")&amp;IF(V122=""," (est.)","")))</f>
        <v/>
      </c>
      <c r="AD122" s="20" t="str">
        <f aca="false">IF(F122="","",IF(COUNTIFS(ABSORCION!$C$5:$C$1004,F122,ABSORCION!$I$5:$I$1004,"&gt;0")=0,"",AVERAGEIFS(ABSORCION!$I$5:$I$1004,ABSORCION!$C$5:$C$1004,F122,ABSORCION!$I$5:$I$1004,"&gt;0")))</f>
        <v/>
      </c>
      <c r="AE122" s="20" t="str">
        <f aca="false">IF(F122="","",IF(COUNTIFS(ABSORCION!$C$5:$C$1004,F122,ABSORCION!$I$5:$I$1004,"&gt;0")=0,"",AVERAGEIFS(ABSORCION!$K$5:$K$1004,ABSORCION!$C$5:$C$1004,F122,ABSORCION!$I$5:$I$1004,"&gt;0")))</f>
        <v/>
      </c>
      <c r="AF122" s="20" t="str">
        <f aca="false">IF(AE122="","",IF(AE122&gt;=CONFIG!$E$21,CONFIG!$F$21,IF(AE122&gt;=CONFIG!$E$20,CONFIG!$F$20,CONFIG!$F$19)))</f>
        <v/>
      </c>
      <c r="AG122" s="21" t="str">
        <f aca="false">IF(F122="","",TRIM(IF(N(M122)=0,"Sin ensayos. ","")&amp;IF(AND(N(M122)&gt;0,N(M122)&lt;CONFIG!$B$26),"Menos de "&amp;CONFIG!$B$26&amp;" probetas. ","")&amp;IF(N(T122)&gt;CONFIG!$B$25,"CV alto. ","")&amp;IF(AND(N(AD122)&gt;0,N(AD122)&gt;N(AF122)),"Absorción alta. ","")))</f>
        <v/>
      </c>
      <c r="AH122" s="22" t="str">
        <f aca="false">IF(AND(N(M122)&gt;0,OR(CONTROL!$C$4="TODAS",C122=CONTROL!$C$4),D122=CONTROL!$C$5),MAX($AH$4:AH121)+1,"")</f>
        <v/>
      </c>
      <c r="AI122" s="22" t="str">
        <f aca="false">IF(AH122="","",P122^2)</f>
        <v/>
      </c>
    </row>
    <row r="123" customFormat="false" ht="15" hidden="false" customHeight="false" outlineLevel="0" collapsed="false">
      <c r="A123" s="11" t="str">
        <f aca="false">IF(B123="","",ROW()-4)</f>
        <v/>
      </c>
      <c r="B123" s="12"/>
      <c r="C123" s="13"/>
      <c r="D123" s="13"/>
      <c r="E123" s="13"/>
      <c r="F123" s="14" t="str">
        <f aca="false">IF(OR(B123="",C123="",D123=""),"",IFERROR(INDEX(CONFIG!$E$5:$E$14,MATCH(D123,CONFIG!$D$5:$D$14,0)),"?")&amp;RIGHT("0"&amp;DAY(B123),2)&amp;RIGHT("0"&amp;MONTH(B123),2)&amp;RIGHT(YEAR(B123),2)&amp;C123&amp;IF(E123="","","-"&amp;E123))</f>
        <v/>
      </c>
      <c r="G123" s="13"/>
      <c r="H123" s="13"/>
      <c r="I123" s="13"/>
      <c r="J123" s="13"/>
      <c r="K123" s="13"/>
      <c r="L123" s="13"/>
      <c r="M123" s="11" t="str">
        <f aca="false">IF(F123="","",COUNTIFS(ENSAYOS!$C$5:$C$3004,F123,ENSAYOS!$Q$5:$Q$3004,"&gt;0"))</f>
        <v/>
      </c>
      <c r="N123" s="15" t="str">
        <f aca="false">IF(N(M123)=0,"",_xlfn.MINIFS(ENSAYOS!$G$5:$G$3004,ENSAYOS!$C$5:$C$3004,F123,ENSAYOS!$Q$5:$Q$3004,"&gt;0"))</f>
        <v/>
      </c>
      <c r="O123" s="15" t="str">
        <f aca="false">IF(N(M123)=0,"",_xlfn.MAXIFS(ENSAYOS!$G$5:$G$3004,ENSAYOS!$C$5:$C$3004,F123,ENSAYOS!$Q$5:$Q$3004,"&gt;0"))</f>
        <v/>
      </c>
      <c r="P123" s="16" t="str">
        <f aca="false">IF(N(M123)=0,"",AVERAGEIFS(ENSAYOS!$Q$5:$Q$3004,ENSAYOS!$C$5:$C$3004,F123,ENSAYOS!$Q$5:$Q$3004,"&gt;0"))</f>
        <v/>
      </c>
      <c r="Q123" s="16" t="str">
        <f aca="false">IF(N(M123)=0,"",_xlfn.MINIFS(ENSAYOS!$Q$5:$Q$3004,ENSAYOS!$C$5:$C$3004,F123,ENSAYOS!$Q$5:$Q$3004,"&gt;0"))</f>
        <v/>
      </c>
      <c r="R123" s="16" t="str">
        <f aca="false">IF(N(M123)=0,"",_xlfn.MAXIFS(ENSAYOS!$Q$5:$Q$3004,ENSAYOS!$C$5:$C$3004,F123,ENSAYOS!$Q$5:$Q$3004,"&gt;0"))</f>
        <v/>
      </c>
      <c r="S123" s="16" t="str">
        <f aca="false">IF(N(M123)&lt;2,"",SQRT(MAX(0,(SUMIFS(ENSAYOS!$X$5:$X$3004,ENSAYOS!$C$5:$C$3004,F123,ENSAYOS!$Q$5:$Q$3004,"&gt;0")-M123*P123^2)/(M123-1))))</f>
        <v/>
      </c>
      <c r="T123" s="17" t="str">
        <f aca="false">IF(S123="","",S123/P123)</f>
        <v/>
      </c>
      <c r="U123" s="16" t="str">
        <f aca="false">IF(N(M123)=0,"",IF(N123&gt;=CONFIG!$B$27,"",AVERAGEIFS(ENSAYOS!$Q$5:$Q$3004,ENSAYOS!$C$5:$C$3004,F123,ENSAYOS!$Q$5:$Q$3004,"&gt;0",ENSAYOS!$G$5:$G$3004,N123)))</f>
        <v/>
      </c>
      <c r="V123" s="16" t="str">
        <f aca="false">IF(N(M123)=0,"",IF(COUNTIFS(ENSAYOS!$C$5:$C$3004,F123,ENSAYOS!$Q$5:$Q$3004,"&gt;0",ENSAYOS!$G$5:$G$3004,"&gt;="&amp;CONFIG!$B$27)=0,"",AVERAGEIFS(ENSAYOS!$Q$5:$Q$3004,ENSAYOS!$C$5:$C$3004,F123,ENSAYOS!$Q$5:$Q$3004,"&gt;0",ENSAYOS!$G$5:$G$3004,"&gt;="&amp;CONFIG!$B$27)))</f>
        <v/>
      </c>
      <c r="W123" s="18" t="str">
        <f aca="false">IF(AND(U123&lt;&gt;"",V123&lt;&gt;""),U123/V123,"")</f>
        <v/>
      </c>
      <c r="X123" s="18" t="str">
        <f aca="false">IF(U123="","",INDEX('CURVA EDAD'!$E$5:$E$32,MIN(28,MAX(1,N123))))</f>
        <v/>
      </c>
      <c r="Y123" s="16" t="str">
        <f aca="false">IF(V123&lt;&gt;"",V123,IF(U123="","",U123/X123))</f>
        <v/>
      </c>
      <c r="Z123" s="16" t="str">
        <f aca="false">IF(V123&lt;&gt;"",_xlfn.MINIFS(ENSAYOS!$Q$5:$Q$3004,ENSAYOS!$C$5:$C$3004,F123,ENSAYOS!$Q$5:$Q$3004,"&gt;0",ENSAYOS!$G$5:$G$3004,"&gt;="&amp;CONFIG!$B$27),IF(U123="","",_xlfn.MINIFS(ENSAYOS!$Q$5:$Q$3004,ENSAYOS!$C$5:$C$3004,F123,ENSAYOS!$Q$5:$Q$3004,"&gt;0",ENSAYOS!$G$5:$G$3004,N123)/X123))</f>
        <v/>
      </c>
      <c r="AA123" s="16" t="str">
        <f aca="false">IF(D123="","",IFERROR(1/(1/INDEX(CONFIG!$J$5:$J$14,MATCH(D123,CONFIG!$D$5:$D$14,0))),""))</f>
        <v/>
      </c>
      <c r="AB123" s="16" t="str">
        <f aca="false">IF(D123="","",IFERROR(1/(1/INDEX(CONFIG!$K$5:$K$14,MATCH(D123,CONFIG!$D$5:$D$14,0))),""))</f>
        <v/>
      </c>
      <c r="AC123" s="19" t="str">
        <f aca="false">IF(N(M123)=0,"",IF(AA123="","Sin spec",IF(AND(Y123&gt;=AA123,OR(AB123="",Z123&gt;=AB123)),"CUMPLE","NO CUMPLE")&amp;IF(V123=""," (est.)","")))</f>
        <v/>
      </c>
      <c r="AD123" s="20" t="str">
        <f aca="false">IF(F123="","",IF(COUNTIFS(ABSORCION!$C$5:$C$1004,F123,ABSORCION!$I$5:$I$1004,"&gt;0")=0,"",AVERAGEIFS(ABSORCION!$I$5:$I$1004,ABSORCION!$C$5:$C$1004,F123,ABSORCION!$I$5:$I$1004,"&gt;0")))</f>
        <v/>
      </c>
      <c r="AE123" s="20" t="str">
        <f aca="false">IF(F123="","",IF(COUNTIFS(ABSORCION!$C$5:$C$1004,F123,ABSORCION!$I$5:$I$1004,"&gt;0")=0,"",AVERAGEIFS(ABSORCION!$K$5:$K$1004,ABSORCION!$C$5:$C$1004,F123,ABSORCION!$I$5:$I$1004,"&gt;0")))</f>
        <v/>
      </c>
      <c r="AF123" s="20" t="str">
        <f aca="false">IF(AE123="","",IF(AE123&gt;=CONFIG!$E$21,CONFIG!$F$21,IF(AE123&gt;=CONFIG!$E$20,CONFIG!$F$20,CONFIG!$F$19)))</f>
        <v/>
      </c>
      <c r="AG123" s="21" t="str">
        <f aca="false">IF(F123="","",TRIM(IF(N(M123)=0,"Sin ensayos. ","")&amp;IF(AND(N(M123)&gt;0,N(M123)&lt;CONFIG!$B$26),"Menos de "&amp;CONFIG!$B$26&amp;" probetas. ","")&amp;IF(N(T123)&gt;CONFIG!$B$25,"CV alto. ","")&amp;IF(AND(N(AD123)&gt;0,N(AD123)&gt;N(AF123)),"Absorción alta. ","")))</f>
        <v/>
      </c>
      <c r="AH123" s="22" t="str">
        <f aca="false">IF(AND(N(M123)&gt;0,OR(CONTROL!$C$4="TODAS",C123=CONTROL!$C$4),D123=CONTROL!$C$5),MAX($AH$4:AH122)+1,"")</f>
        <v/>
      </c>
      <c r="AI123" s="22" t="str">
        <f aca="false">IF(AH123="","",P123^2)</f>
        <v/>
      </c>
    </row>
    <row r="124" customFormat="false" ht="15" hidden="false" customHeight="false" outlineLevel="0" collapsed="false">
      <c r="A124" s="11" t="str">
        <f aca="false">IF(B124="","",ROW()-4)</f>
        <v/>
      </c>
      <c r="B124" s="12"/>
      <c r="C124" s="13"/>
      <c r="D124" s="13"/>
      <c r="E124" s="13"/>
      <c r="F124" s="14" t="str">
        <f aca="false">IF(OR(B124="",C124="",D124=""),"",IFERROR(INDEX(CONFIG!$E$5:$E$14,MATCH(D124,CONFIG!$D$5:$D$14,0)),"?")&amp;RIGHT("0"&amp;DAY(B124),2)&amp;RIGHT("0"&amp;MONTH(B124),2)&amp;RIGHT(YEAR(B124),2)&amp;C124&amp;IF(E124="","","-"&amp;E124))</f>
        <v/>
      </c>
      <c r="G124" s="13"/>
      <c r="H124" s="13"/>
      <c r="I124" s="13"/>
      <c r="J124" s="13"/>
      <c r="K124" s="13"/>
      <c r="L124" s="13"/>
      <c r="M124" s="11" t="str">
        <f aca="false">IF(F124="","",COUNTIFS(ENSAYOS!$C$5:$C$3004,F124,ENSAYOS!$Q$5:$Q$3004,"&gt;0"))</f>
        <v/>
      </c>
      <c r="N124" s="15" t="str">
        <f aca="false">IF(N(M124)=0,"",_xlfn.MINIFS(ENSAYOS!$G$5:$G$3004,ENSAYOS!$C$5:$C$3004,F124,ENSAYOS!$Q$5:$Q$3004,"&gt;0"))</f>
        <v/>
      </c>
      <c r="O124" s="15" t="str">
        <f aca="false">IF(N(M124)=0,"",_xlfn.MAXIFS(ENSAYOS!$G$5:$G$3004,ENSAYOS!$C$5:$C$3004,F124,ENSAYOS!$Q$5:$Q$3004,"&gt;0"))</f>
        <v/>
      </c>
      <c r="P124" s="16" t="str">
        <f aca="false">IF(N(M124)=0,"",AVERAGEIFS(ENSAYOS!$Q$5:$Q$3004,ENSAYOS!$C$5:$C$3004,F124,ENSAYOS!$Q$5:$Q$3004,"&gt;0"))</f>
        <v/>
      </c>
      <c r="Q124" s="16" t="str">
        <f aca="false">IF(N(M124)=0,"",_xlfn.MINIFS(ENSAYOS!$Q$5:$Q$3004,ENSAYOS!$C$5:$C$3004,F124,ENSAYOS!$Q$5:$Q$3004,"&gt;0"))</f>
        <v/>
      </c>
      <c r="R124" s="16" t="str">
        <f aca="false">IF(N(M124)=0,"",_xlfn.MAXIFS(ENSAYOS!$Q$5:$Q$3004,ENSAYOS!$C$5:$C$3004,F124,ENSAYOS!$Q$5:$Q$3004,"&gt;0"))</f>
        <v/>
      </c>
      <c r="S124" s="16" t="str">
        <f aca="false">IF(N(M124)&lt;2,"",SQRT(MAX(0,(SUMIFS(ENSAYOS!$X$5:$X$3004,ENSAYOS!$C$5:$C$3004,F124,ENSAYOS!$Q$5:$Q$3004,"&gt;0")-M124*P124^2)/(M124-1))))</f>
        <v/>
      </c>
      <c r="T124" s="17" t="str">
        <f aca="false">IF(S124="","",S124/P124)</f>
        <v/>
      </c>
      <c r="U124" s="16" t="str">
        <f aca="false">IF(N(M124)=0,"",IF(N124&gt;=CONFIG!$B$27,"",AVERAGEIFS(ENSAYOS!$Q$5:$Q$3004,ENSAYOS!$C$5:$C$3004,F124,ENSAYOS!$Q$5:$Q$3004,"&gt;0",ENSAYOS!$G$5:$G$3004,N124)))</f>
        <v/>
      </c>
      <c r="V124" s="16" t="str">
        <f aca="false">IF(N(M124)=0,"",IF(COUNTIFS(ENSAYOS!$C$5:$C$3004,F124,ENSAYOS!$Q$5:$Q$3004,"&gt;0",ENSAYOS!$G$5:$G$3004,"&gt;="&amp;CONFIG!$B$27)=0,"",AVERAGEIFS(ENSAYOS!$Q$5:$Q$3004,ENSAYOS!$C$5:$C$3004,F124,ENSAYOS!$Q$5:$Q$3004,"&gt;0",ENSAYOS!$G$5:$G$3004,"&gt;="&amp;CONFIG!$B$27)))</f>
        <v/>
      </c>
      <c r="W124" s="18" t="str">
        <f aca="false">IF(AND(U124&lt;&gt;"",V124&lt;&gt;""),U124/V124,"")</f>
        <v/>
      </c>
      <c r="X124" s="18" t="str">
        <f aca="false">IF(U124="","",INDEX('CURVA EDAD'!$E$5:$E$32,MIN(28,MAX(1,N124))))</f>
        <v/>
      </c>
      <c r="Y124" s="16" t="str">
        <f aca="false">IF(V124&lt;&gt;"",V124,IF(U124="","",U124/X124))</f>
        <v/>
      </c>
      <c r="Z124" s="16" t="str">
        <f aca="false">IF(V124&lt;&gt;"",_xlfn.MINIFS(ENSAYOS!$Q$5:$Q$3004,ENSAYOS!$C$5:$C$3004,F124,ENSAYOS!$Q$5:$Q$3004,"&gt;0",ENSAYOS!$G$5:$G$3004,"&gt;="&amp;CONFIG!$B$27),IF(U124="","",_xlfn.MINIFS(ENSAYOS!$Q$5:$Q$3004,ENSAYOS!$C$5:$C$3004,F124,ENSAYOS!$Q$5:$Q$3004,"&gt;0",ENSAYOS!$G$5:$G$3004,N124)/X124))</f>
        <v/>
      </c>
      <c r="AA124" s="16" t="str">
        <f aca="false">IF(D124="","",IFERROR(1/(1/INDEX(CONFIG!$J$5:$J$14,MATCH(D124,CONFIG!$D$5:$D$14,0))),""))</f>
        <v/>
      </c>
      <c r="AB124" s="16" t="str">
        <f aca="false">IF(D124="","",IFERROR(1/(1/INDEX(CONFIG!$K$5:$K$14,MATCH(D124,CONFIG!$D$5:$D$14,0))),""))</f>
        <v/>
      </c>
      <c r="AC124" s="19" t="str">
        <f aca="false">IF(N(M124)=0,"",IF(AA124="","Sin spec",IF(AND(Y124&gt;=AA124,OR(AB124="",Z124&gt;=AB124)),"CUMPLE","NO CUMPLE")&amp;IF(V124=""," (est.)","")))</f>
        <v/>
      </c>
      <c r="AD124" s="20" t="str">
        <f aca="false">IF(F124="","",IF(COUNTIFS(ABSORCION!$C$5:$C$1004,F124,ABSORCION!$I$5:$I$1004,"&gt;0")=0,"",AVERAGEIFS(ABSORCION!$I$5:$I$1004,ABSORCION!$C$5:$C$1004,F124,ABSORCION!$I$5:$I$1004,"&gt;0")))</f>
        <v/>
      </c>
      <c r="AE124" s="20" t="str">
        <f aca="false">IF(F124="","",IF(COUNTIFS(ABSORCION!$C$5:$C$1004,F124,ABSORCION!$I$5:$I$1004,"&gt;0")=0,"",AVERAGEIFS(ABSORCION!$K$5:$K$1004,ABSORCION!$C$5:$C$1004,F124,ABSORCION!$I$5:$I$1004,"&gt;0")))</f>
        <v/>
      </c>
      <c r="AF124" s="20" t="str">
        <f aca="false">IF(AE124="","",IF(AE124&gt;=CONFIG!$E$21,CONFIG!$F$21,IF(AE124&gt;=CONFIG!$E$20,CONFIG!$F$20,CONFIG!$F$19)))</f>
        <v/>
      </c>
      <c r="AG124" s="21" t="str">
        <f aca="false">IF(F124="","",TRIM(IF(N(M124)=0,"Sin ensayos. ","")&amp;IF(AND(N(M124)&gt;0,N(M124)&lt;CONFIG!$B$26),"Menos de "&amp;CONFIG!$B$26&amp;" probetas. ","")&amp;IF(N(T124)&gt;CONFIG!$B$25,"CV alto. ","")&amp;IF(AND(N(AD124)&gt;0,N(AD124)&gt;N(AF124)),"Absorción alta. ","")))</f>
        <v/>
      </c>
      <c r="AH124" s="22" t="str">
        <f aca="false">IF(AND(N(M124)&gt;0,OR(CONTROL!$C$4="TODAS",C124=CONTROL!$C$4),D124=CONTROL!$C$5),MAX($AH$4:AH123)+1,"")</f>
        <v/>
      </c>
      <c r="AI124" s="22" t="str">
        <f aca="false">IF(AH124="","",P124^2)</f>
        <v/>
      </c>
    </row>
    <row r="125" customFormat="false" ht="15" hidden="false" customHeight="false" outlineLevel="0" collapsed="false">
      <c r="A125" s="11" t="str">
        <f aca="false">IF(B125="","",ROW()-4)</f>
        <v/>
      </c>
      <c r="B125" s="12"/>
      <c r="C125" s="13"/>
      <c r="D125" s="13"/>
      <c r="E125" s="13"/>
      <c r="F125" s="14" t="str">
        <f aca="false">IF(OR(B125="",C125="",D125=""),"",IFERROR(INDEX(CONFIG!$E$5:$E$14,MATCH(D125,CONFIG!$D$5:$D$14,0)),"?")&amp;RIGHT("0"&amp;DAY(B125),2)&amp;RIGHT("0"&amp;MONTH(B125),2)&amp;RIGHT(YEAR(B125),2)&amp;C125&amp;IF(E125="","","-"&amp;E125))</f>
        <v/>
      </c>
      <c r="G125" s="13"/>
      <c r="H125" s="13"/>
      <c r="I125" s="13"/>
      <c r="J125" s="13"/>
      <c r="K125" s="13"/>
      <c r="L125" s="13"/>
      <c r="M125" s="11" t="str">
        <f aca="false">IF(F125="","",COUNTIFS(ENSAYOS!$C$5:$C$3004,F125,ENSAYOS!$Q$5:$Q$3004,"&gt;0"))</f>
        <v/>
      </c>
      <c r="N125" s="15" t="str">
        <f aca="false">IF(N(M125)=0,"",_xlfn.MINIFS(ENSAYOS!$G$5:$G$3004,ENSAYOS!$C$5:$C$3004,F125,ENSAYOS!$Q$5:$Q$3004,"&gt;0"))</f>
        <v/>
      </c>
      <c r="O125" s="15" t="str">
        <f aca="false">IF(N(M125)=0,"",_xlfn.MAXIFS(ENSAYOS!$G$5:$G$3004,ENSAYOS!$C$5:$C$3004,F125,ENSAYOS!$Q$5:$Q$3004,"&gt;0"))</f>
        <v/>
      </c>
      <c r="P125" s="16" t="str">
        <f aca="false">IF(N(M125)=0,"",AVERAGEIFS(ENSAYOS!$Q$5:$Q$3004,ENSAYOS!$C$5:$C$3004,F125,ENSAYOS!$Q$5:$Q$3004,"&gt;0"))</f>
        <v/>
      </c>
      <c r="Q125" s="16" t="str">
        <f aca="false">IF(N(M125)=0,"",_xlfn.MINIFS(ENSAYOS!$Q$5:$Q$3004,ENSAYOS!$C$5:$C$3004,F125,ENSAYOS!$Q$5:$Q$3004,"&gt;0"))</f>
        <v/>
      </c>
      <c r="R125" s="16" t="str">
        <f aca="false">IF(N(M125)=0,"",_xlfn.MAXIFS(ENSAYOS!$Q$5:$Q$3004,ENSAYOS!$C$5:$C$3004,F125,ENSAYOS!$Q$5:$Q$3004,"&gt;0"))</f>
        <v/>
      </c>
      <c r="S125" s="16" t="str">
        <f aca="false">IF(N(M125)&lt;2,"",SQRT(MAX(0,(SUMIFS(ENSAYOS!$X$5:$X$3004,ENSAYOS!$C$5:$C$3004,F125,ENSAYOS!$Q$5:$Q$3004,"&gt;0")-M125*P125^2)/(M125-1))))</f>
        <v/>
      </c>
      <c r="T125" s="17" t="str">
        <f aca="false">IF(S125="","",S125/P125)</f>
        <v/>
      </c>
      <c r="U125" s="16" t="str">
        <f aca="false">IF(N(M125)=0,"",IF(N125&gt;=CONFIG!$B$27,"",AVERAGEIFS(ENSAYOS!$Q$5:$Q$3004,ENSAYOS!$C$5:$C$3004,F125,ENSAYOS!$Q$5:$Q$3004,"&gt;0",ENSAYOS!$G$5:$G$3004,N125)))</f>
        <v/>
      </c>
      <c r="V125" s="16" t="str">
        <f aca="false">IF(N(M125)=0,"",IF(COUNTIFS(ENSAYOS!$C$5:$C$3004,F125,ENSAYOS!$Q$5:$Q$3004,"&gt;0",ENSAYOS!$G$5:$G$3004,"&gt;="&amp;CONFIG!$B$27)=0,"",AVERAGEIFS(ENSAYOS!$Q$5:$Q$3004,ENSAYOS!$C$5:$C$3004,F125,ENSAYOS!$Q$5:$Q$3004,"&gt;0",ENSAYOS!$G$5:$G$3004,"&gt;="&amp;CONFIG!$B$27)))</f>
        <v/>
      </c>
      <c r="W125" s="18" t="str">
        <f aca="false">IF(AND(U125&lt;&gt;"",V125&lt;&gt;""),U125/V125,"")</f>
        <v/>
      </c>
      <c r="X125" s="18" t="str">
        <f aca="false">IF(U125="","",INDEX('CURVA EDAD'!$E$5:$E$32,MIN(28,MAX(1,N125))))</f>
        <v/>
      </c>
      <c r="Y125" s="16" t="str">
        <f aca="false">IF(V125&lt;&gt;"",V125,IF(U125="","",U125/X125))</f>
        <v/>
      </c>
      <c r="Z125" s="16" t="str">
        <f aca="false">IF(V125&lt;&gt;"",_xlfn.MINIFS(ENSAYOS!$Q$5:$Q$3004,ENSAYOS!$C$5:$C$3004,F125,ENSAYOS!$Q$5:$Q$3004,"&gt;0",ENSAYOS!$G$5:$G$3004,"&gt;="&amp;CONFIG!$B$27),IF(U125="","",_xlfn.MINIFS(ENSAYOS!$Q$5:$Q$3004,ENSAYOS!$C$5:$C$3004,F125,ENSAYOS!$Q$5:$Q$3004,"&gt;0",ENSAYOS!$G$5:$G$3004,N125)/X125))</f>
        <v/>
      </c>
      <c r="AA125" s="16" t="str">
        <f aca="false">IF(D125="","",IFERROR(1/(1/INDEX(CONFIG!$J$5:$J$14,MATCH(D125,CONFIG!$D$5:$D$14,0))),""))</f>
        <v/>
      </c>
      <c r="AB125" s="16" t="str">
        <f aca="false">IF(D125="","",IFERROR(1/(1/INDEX(CONFIG!$K$5:$K$14,MATCH(D125,CONFIG!$D$5:$D$14,0))),""))</f>
        <v/>
      </c>
      <c r="AC125" s="19" t="str">
        <f aca="false">IF(N(M125)=0,"",IF(AA125="","Sin spec",IF(AND(Y125&gt;=AA125,OR(AB125="",Z125&gt;=AB125)),"CUMPLE","NO CUMPLE")&amp;IF(V125=""," (est.)","")))</f>
        <v/>
      </c>
      <c r="AD125" s="20" t="str">
        <f aca="false">IF(F125="","",IF(COUNTIFS(ABSORCION!$C$5:$C$1004,F125,ABSORCION!$I$5:$I$1004,"&gt;0")=0,"",AVERAGEIFS(ABSORCION!$I$5:$I$1004,ABSORCION!$C$5:$C$1004,F125,ABSORCION!$I$5:$I$1004,"&gt;0")))</f>
        <v/>
      </c>
      <c r="AE125" s="20" t="str">
        <f aca="false">IF(F125="","",IF(COUNTIFS(ABSORCION!$C$5:$C$1004,F125,ABSORCION!$I$5:$I$1004,"&gt;0")=0,"",AVERAGEIFS(ABSORCION!$K$5:$K$1004,ABSORCION!$C$5:$C$1004,F125,ABSORCION!$I$5:$I$1004,"&gt;0")))</f>
        <v/>
      </c>
      <c r="AF125" s="20" t="str">
        <f aca="false">IF(AE125="","",IF(AE125&gt;=CONFIG!$E$21,CONFIG!$F$21,IF(AE125&gt;=CONFIG!$E$20,CONFIG!$F$20,CONFIG!$F$19)))</f>
        <v/>
      </c>
      <c r="AG125" s="21" t="str">
        <f aca="false">IF(F125="","",TRIM(IF(N(M125)=0,"Sin ensayos. ","")&amp;IF(AND(N(M125)&gt;0,N(M125)&lt;CONFIG!$B$26),"Menos de "&amp;CONFIG!$B$26&amp;" probetas. ","")&amp;IF(N(T125)&gt;CONFIG!$B$25,"CV alto. ","")&amp;IF(AND(N(AD125)&gt;0,N(AD125)&gt;N(AF125)),"Absorción alta. ","")))</f>
        <v/>
      </c>
      <c r="AH125" s="22" t="str">
        <f aca="false">IF(AND(N(M125)&gt;0,OR(CONTROL!$C$4="TODAS",C125=CONTROL!$C$4),D125=CONTROL!$C$5),MAX($AH$4:AH124)+1,"")</f>
        <v/>
      </c>
      <c r="AI125" s="22" t="str">
        <f aca="false">IF(AH125="","",P125^2)</f>
        <v/>
      </c>
    </row>
    <row r="126" customFormat="false" ht="15" hidden="false" customHeight="false" outlineLevel="0" collapsed="false">
      <c r="A126" s="11" t="str">
        <f aca="false">IF(B126="","",ROW()-4)</f>
        <v/>
      </c>
      <c r="B126" s="12"/>
      <c r="C126" s="13"/>
      <c r="D126" s="13"/>
      <c r="E126" s="13"/>
      <c r="F126" s="14" t="str">
        <f aca="false">IF(OR(B126="",C126="",D126=""),"",IFERROR(INDEX(CONFIG!$E$5:$E$14,MATCH(D126,CONFIG!$D$5:$D$14,0)),"?")&amp;RIGHT("0"&amp;DAY(B126),2)&amp;RIGHT("0"&amp;MONTH(B126),2)&amp;RIGHT(YEAR(B126),2)&amp;C126&amp;IF(E126="","","-"&amp;E126))</f>
        <v/>
      </c>
      <c r="G126" s="13"/>
      <c r="H126" s="13"/>
      <c r="I126" s="13"/>
      <c r="J126" s="13"/>
      <c r="K126" s="13"/>
      <c r="L126" s="13"/>
      <c r="M126" s="11" t="str">
        <f aca="false">IF(F126="","",COUNTIFS(ENSAYOS!$C$5:$C$3004,F126,ENSAYOS!$Q$5:$Q$3004,"&gt;0"))</f>
        <v/>
      </c>
      <c r="N126" s="15" t="str">
        <f aca="false">IF(N(M126)=0,"",_xlfn.MINIFS(ENSAYOS!$G$5:$G$3004,ENSAYOS!$C$5:$C$3004,F126,ENSAYOS!$Q$5:$Q$3004,"&gt;0"))</f>
        <v/>
      </c>
      <c r="O126" s="15" t="str">
        <f aca="false">IF(N(M126)=0,"",_xlfn.MAXIFS(ENSAYOS!$G$5:$G$3004,ENSAYOS!$C$5:$C$3004,F126,ENSAYOS!$Q$5:$Q$3004,"&gt;0"))</f>
        <v/>
      </c>
      <c r="P126" s="16" t="str">
        <f aca="false">IF(N(M126)=0,"",AVERAGEIFS(ENSAYOS!$Q$5:$Q$3004,ENSAYOS!$C$5:$C$3004,F126,ENSAYOS!$Q$5:$Q$3004,"&gt;0"))</f>
        <v/>
      </c>
      <c r="Q126" s="16" t="str">
        <f aca="false">IF(N(M126)=0,"",_xlfn.MINIFS(ENSAYOS!$Q$5:$Q$3004,ENSAYOS!$C$5:$C$3004,F126,ENSAYOS!$Q$5:$Q$3004,"&gt;0"))</f>
        <v/>
      </c>
      <c r="R126" s="16" t="str">
        <f aca="false">IF(N(M126)=0,"",_xlfn.MAXIFS(ENSAYOS!$Q$5:$Q$3004,ENSAYOS!$C$5:$C$3004,F126,ENSAYOS!$Q$5:$Q$3004,"&gt;0"))</f>
        <v/>
      </c>
      <c r="S126" s="16" t="str">
        <f aca="false">IF(N(M126)&lt;2,"",SQRT(MAX(0,(SUMIFS(ENSAYOS!$X$5:$X$3004,ENSAYOS!$C$5:$C$3004,F126,ENSAYOS!$Q$5:$Q$3004,"&gt;0")-M126*P126^2)/(M126-1))))</f>
        <v/>
      </c>
      <c r="T126" s="17" t="str">
        <f aca="false">IF(S126="","",S126/P126)</f>
        <v/>
      </c>
      <c r="U126" s="16" t="str">
        <f aca="false">IF(N(M126)=0,"",IF(N126&gt;=CONFIG!$B$27,"",AVERAGEIFS(ENSAYOS!$Q$5:$Q$3004,ENSAYOS!$C$5:$C$3004,F126,ENSAYOS!$Q$5:$Q$3004,"&gt;0",ENSAYOS!$G$5:$G$3004,N126)))</f>
        <v/>
      </c>
      <c r="V126" s="16" t="str">
        <f aca="false">IF(N(M126)=0,"",IF(COUNTIFS(ENSAYOS!$C$5:$C$3004,F126,ENSAYOS!$Q$5:$Q$3004,"&gt;0",ENSAYOS!$G$5:$G$3004,"&gt;="&amp;CONFIG!$B$27)=0,"",AVERAGEIFS(ENSAYOS!$Q$5:$Q$3004,ENSAYOS!$C$5:$C$3004,F126,ENSAYOS!$Q$5:$Q$3004,"&gt;0",ENSAYOS!$G$5:$G$3004,"&gt;="&amp;CONFIG!$B$27)))</f>
        <v/>
      </c>
      <c r="W126" s="18" t="str">
        <f aca="false">IF(AND(U126&lt;&gt;"",V126&lt;&gt;""),U126/V126,"")</f>
        <v/>
      </c>
      <c r="X126" s="18" t="str">
        <f aca="false">IF(U126="","",INDEX('CURVA EDAD'!$E$5:$E$32,MIN(28,MAX(1,N126))))</f>
        <v/>
      </c>
      <c r="Y126" s="16" t="str">
        <f aca="false">IF(V126&lt;&gt;"",V126,IF(U126="","",U126/X126))</f>
        <v/>
      </c>
      <c r="Z126" s="16" t="str">
        <f aca="false">IF(V126&lt;&gt;"",_xlfn.MINIFS(ENSAYOS!$Q$5:$Q$3004,ENSAYOS!$C$5:$C$3004,F126,ENSAYOS!$Q$5:$Q$3004,"&gt;0",ENSAYOS!$G$5:$G$3004,"&gt;="&amp;CONFIG!$B$27),IF(U126="","",_xlfn.MINIFS(ENSAYOS!$Q$5:$Q$3004,ENSAYOS!$C$5:$C$3004,F126,ENSAYOS!$Q$5:$Q$3004,"&gt;0",ENSAYOS!$G$5:$G$3004,N126)/X126))</f>
        <v/>
      </c>
      <c r="AA126" s="16" t="str">
        <f aca="false">IF(D126="","",IFERROR(1/(1/INDEX(CONFIG!$J$5:$J$14,MATCH(D126,CONFIG!$D$5:$D$14,0))),""))</f>
        <v/>
      </c>
      <c r="AB126" s="16" t="str">
        <f aca="false">IF(D126="","",IFERROR(1/(1/INDEX(CONFIG!$K$5:$K$14,MATCH(D126,CONFIG!$D$5:$D$14,0))),""))</f>
        <v/>
      </c>
      <c r="AC126" s="19" t="str">
        <f aca="false">IF(N(M126)=0,"",IF(AA126="","Sin spec",IF(AND(Y126&gt;=AA126,OR(AB126="",Z126&gt;=AB126)),"CUMPLE","NO CUMPLE")&amp;IF(V126=""," (est.)","")))</f>
        <v/>
      </c>
      <c r="AD126" s="20" t="str">
        <f aca="false">IF(F126="","",IF(COUNTIFS(ABSORCION!$C$5:$C$1004,F126,ABSORCION!$I$5:$I$1004,"&gt;0")=0,"",AVERAGEIFS(ABSORCION!$I$5:$I$1004,ABSORCION!$C$5:$C$1004,F126,ABSORCION!$I$5:$I$1004,"&gt;0")))</f>
        <v/>
      </c>
      <c r="AE126" s="20" t="str">
        <f aca="false">IF(F126="","",IF(COUNTIFS(ABSORCION!$C$5:$C$1004,F126,ABSORCION!$I$5:$I$1004,"&gt;0")=0,"",AVERAGEIFS(ABSORCION!$K$5:$K$1004,ABSORCION!$C$5:$C$1004,F126,ABSORCION!$I$5:$I$1004,"&gt;0")))</f>
        <v/>
      </c>
      <c r="AF126" s="20" t="str">
        <f aca="false">IF(AE126="","",IF(AE126&gt;=CONFIG!$E$21,CONFIG!$F$21,IF(AE126&gt;=CONFIG!$E$20,CONFIG!$F$20,CONFIG!$F$19)))</f>
        <v/>
      </c>
      <c r="AG126" s="21" t="str">
        <f aca="false">IF(F126="","",TRIM(IF(N(M126)=0,"Sin ensayos. ","")&amp;IF(AND(N(M126)&gt;0,N(M126)&lt;CONFIG!$B$26),"Menos de "&amp;CONFIG!$B$26&amp;" probetas. ","")&amp;IF(N(T126)&gt;CONFIG!$B$25,"CV alto. ","")&amp;IF(AND(N(AD126)&gt;0,N(AD126)&gt;N(AF126)),"Absorción alta. ","")))</f>
        <v/>
      </c>
      <c r="AH126" s="22" t="str">
        <f aca="false">IF(AND(N(M126)&gt;0,OR(CONTROL!$C$4="TODAS",C126=CONTROL!$C$4),D126=CONTROL!$C$5),MAX($AH$4:AH125)+1,"")</f>
        <v/>
      </c>
      <c r="AI126" s="22" t="str">
        <f aca="false">IF(AH126="","",P126^2)</f>
        <v/>
      </c>
    </row>
    <row r="127" customFormat="false" ht="15" hidden="false" customHeight="false" outlineLevel="0" collapsed="false">
      <c r="A127" s="11" t="str">
        <f aca="false">IF(B127="","",ROW()-4)</f>
        <v/>
      </c>
      <c r="B127" s="12"/>
      <c r="C127" s="13"/>
      <c r="D127" s="13"/>
      <c r="E127" s="13"/>
      <c r="F127" s="14" t="str">
        <f aca="false">IF(OR(B127="",C127="",D127=""),"",IFERROR(INDEX(CONFIG!$E$5:$E$14,MATCH(D127,CONFIG!$D$5:$D$14,0)),"?")&amp;RIGHT("0"&amp;DAY(B127),2)&amp;RIGHT("0"&amp;MONTH(B127),2)&amp;RIGHT(YEAR(B127),2)&amp;C127&amp;IF(E127="","","-"&amp;E127))</f>
        <v/>
      </c>
      <c r="G127" s="13"/>
      <c r="H127" s="13"/>
      <c r="I127" s="13"/>
      <c r="J127" s="13"/>
      <c r="K127" s="13"/>
      <c r="L127" s="13"/>
      <c r="M127" s="11" t="str">
        <f aca="false">IF(F127="","",COUNTIFS(ENSAYOS!$C$5:$C$3004,F127,ENSAYOS!$Q$5:$Q$3004,"&gt;0"))</f>
        <v/>
      </c>
      <c r="N127" s="15" t="str">
        <f aca="false">IF(N(M127)=0,"",_xlfn.MINIFS(ENSAYOS!$G$5:$G$3004,ENSAYOS!$C$5:$C$3004,F127,ENSAYOS!$Q$5:$Q$3004,"&gt;0"))</f>
        <v/>
      </c>
      <c r="O127" s="15" t="str">
        <f aca="false">IF(N(M127)=0,"",_xlfn.MAXIFS(ENSAYOS!$G$5:$G$3004,ENSAYOS!$C$5:$C$3004,F127,ENSAYOS!$Q$5:$Q$3004,"&gt;0"))</f>
        <v/>
      </c>
      <c r="P127" s="16" t="str">
        <f aca="false">IF(N(M127)=0,"",AVERAGEIFS(ENSAYOS!$Q$5:$Q$3004,ENSAYOS!$C$5:$C$3004,F127,ENSAYOS!$Q$5:$Q$3004,"&gt;0"))</f>
        <v/>
      </c>
      <c r="Q127" s="16" t="str">
        <f aca="false">IF(N(M127)=0,"",_xlfn.MINIFS(ENSAYOS!$Q$5:$Q$3004,ENSAYOS!$C$5:$C$3004,F127,ENSAYOS!$Q$5:$Q$3004,"&gt;0"))</f>
        <v/>
      </c>
      <c r="R127" s="16" t="str">
        <f aca="false">IF(N(M127)=0,"",_xlfn.MAXIFS(ENSAYOS!$Q$5:$Q$3004,ENSAYOS!$C$5:$C$3004,F127,ENSAYOS!$Q$5:$Q$3004,"&gt;0"))</f>
        <v/>
      </c>
      <c r="S127" s="16" t="str">
        <f aca="false">IF(N(M127)&lt;2,"",SQRT(MAX(0,(SUMIFS(ENSAYOS!$X$5:$X$3004,ENSAYOS!$C$5:$C$3004,F127,ENSAYOS!$Q$5:$Q$3004,"&gt;0")-M127*P127^2)/(M127-1))))</f>
        <v/>
      </c>
      <c r="T127" s="17" t="str">
        <f aca="false">IF(S127="","",S127/P127)</f>
        <v/>
      </c>
      <c r="U127" s="16" t="str">
        <f aca="false">IF(N(M127)=0,"",IF(N127&gt;=CONFIG!$B$27,"",AVERAGEIFS(ENSAYOS!$Q$5:$Q$3004,ENSAYOS!$C$5:$C$3004,F127,ENSAYOS!$Q$5:$Q$3004,"&gt;0",ENSAYOS!$G$5:$G$3004,N127)))</f>
        <v/>
      </c>
      <c r="V127" s="16" t="str">
        <f aca="false">IF(N(M127)=0,"",IF(COUNTIFS(ENSAYOS!$C$5:$C$3004,F127,ENSAYOS!$Q$5:$Q$3004,"&gt;0",ENSAYOS!$G$5:$G$3004,"&gt;="&amp;CONFIG!$B$27)=0,"",AVERAGEIFS(ENSAYOS!$Q$5:$Q$3004,ENSAYOS!$C$5:$C$3004,F127,ENSAYOS!$Q$5:$Q$3004,"&gt;0",ENSAYOS!$G$5:$G$3004,"&gt;="&amp;CONFIG!$B$27)))</f>
        <v/>
      </c>
      <c r="W127" s="18" t="str">
        <f aca="false">IF(AND(U127&lt;&gt;"",V127&lt;&gt;""),U127/V127,"")</f>
        <v/>
      </c>
      <c r="X127" s="18" t="str">
        <f aca="false">IF(U127="","",INDEX('CURVA EDAD'!$E$5:$E$32,MIN(28,MAX(1,N127))))</f>
        <v/>
      </c>
      <c r="Y127" s="16" t="str">
        <f aca="false">IF(V127&lt;&gt;"",V127,IF(U127="","",U127/X127))</f>
        <v/>
      </c>
      <c r="Z127" s="16" t="str">
        <f aca="false">IF(V127&lt;&gt;"",_xlfn.MINIFS(ENSAYOS!$Q$5:$Q$3004,ENSAYOS!$C$5:$C$3004,F127,ENSAYOS!$Q$5:$Q$3004,"&gt;0",ENSAYOS!$G$5:$G$3004,"&gt;="&amp;CONFIG!$B$27),IF(U127="","",_xlfn.MINIFS(ENSAYOS!$Q$5:$Q$3004,ENSAYOS!$C$5:$C$3004,F127,ENSAYOS!$Q$5:$Q$3004,"&gt;0",ENSAYOS!$G$5:$G$3004,N127)/X127))</f>
        <v/>
      </c>
      <c r="AA127" s="16" t="str">
        <f aca="false">IF(D127="","",IFERROR(1/(1/INDEX(CONFIG!$J$5:$J$14,MATCH(D127,CONFIG!$D$5:$D$14,0))),""))</f>
        <v/>
      </c>
      <c r="AB127" s="16" t="str">
        <f aca="false">IF(D127="","",IFERROR(1/(1/INDEX(CONFIG!$K$5:$K$14,MATCH(D127,CONFIG!$D$5:$D$14,0))),""))</f>
        <v/>
      </c>
      <c r="AC127" s="19" t="str">
        <f aca="false">IF(N(M127)=0,"",IF(AA127="","Sin spec",IF(AND(Y127&gt;=AA127,OR(AB127="",Z127&gt;=AB127)),"CUMPLE","NO CUMPLE")&amp;IF(V127=""," (est.)","")))</f>
        <v/>
      </c>
      <c r="AD127" s="20" t="str">
        <f aca="false">IF(F127="","",IF(COUNTIFS(ABSORCION!$C$5:$C$1004,F127,ABSORCION!$I$5:$I$1004,"&gt;0")=0,"",AVERAGEIFS(ABSORCION!$I$5:$I$1004,ABSORCION!$C$5:$C$1004,F127,ABSORCION!$I$5:$I$1004,"&gt;0")))</f>
        <v/>
      </c>
      <c r="AE127" s="20" t="str">
        <f aca="false">IF(F127="","",IF(COUNTIFS(ABSORCION!$C$5:$C$1004,F127,ABSORCION!$I$5:$I$1004,"&gt;0")=0,"",AVERAGEIFS(ABSORCION!$K$5:$K$1004,ABSORCION!$C$5:$C$1004,F127,ABSORCION!$I$5:$I$1004,"&gt;0")))</f>
        <v/>
      </c>
      <c r="AF127" s="20" t="str">
        <f aca="false">IF(AE127="","",IF(AE127&gt;=CONFIG!$E$21,CONFIG!$F$21,IF(AE127&gt;=CONFIG!$E$20,CONFIG!$F$20,CONFIG!$F$19)))</f>
        <v/>
      </c>
      <c r="AG127" s="21" t="str">
        <f aca="false">IF(F127="","",TRIM(IF(N(M127)=0,"Sin ensayos. ","")&amp;IF(AND(N(M127)&gt;0,N(M127)&lt;CONFIG!$B$26),"Menos de "&amp;CONFIG!$B$26&amp;" probetas. ","")&amp;IF(N(T127)&gt;CONFIG!$B$25,"CV alto. ","")&amp;IF(AND(N(AD127)&gt;0,N(AD127)&gt;N(AF127)),"Absorción alta. ","")))</f>
        <v/>
      </c>
      <c r="AH127" s="22" t="str">
        <f aca="false">IF(AND(N(M127)&gt;0,OR(CONTROL!$C$4="TODAS",C127=CONTROL!$C$4),D127=CONTROL!$C$5),MAX($AH$4:AH126)+1,"")</f>
        <v/>
      </c>
      <c r="AI127" s="22" t="str">
        <f aca="false">IF(AH127="","",P127^2)</f>
        <v/>
      </c>
    </row>
    <row r="128" customFormat="false" ht="15" hidden="false" customHeight="false" outlineLevel="0" collapsed="false">
      <c r="A128" s="11" t="str">
        <f aca="false">IF(B128="","",ROW()-4)</f>
        <v/>
      </c>
      <c r="B128" s="12"/>
      <c r="C128" s="13"/>
      <c r="D128" s="13"/>
      <c r="E128" s="13"/>
      <c r="F128" s="14" t="str">
        <f aca="false">IF(OR(B128="",C128="",D128=""),"",IFERROR(INDEX(CONFIG!$E$5:$E$14,MATCH(D128,CONFIG!$D$5:$D$14,0)),"?")&amp;RIGHT("0"&amp;DAY(B128),2)&amp;RIGHT("0"&amp;MONTH(B128),2)&amp;RIGHT(YEAR(B128),2)&amp;C128&amp;IF(E128="","","-"&amp;E128))</f>
        <v/>
      </c>
      <c r="G128" s="13"/>
      <c r="H128" s="13"/>
      <c r="I128" s="13"/>
      <c r="J128" s="13"/>
      <c r="K128" s="13"/>
      <c r="L128" s="13"/>
      <c r="M128" s="11" t="str">
        <f aca="false">IF(F128="","",COUNTIFS(ENSAYOS!$C$5:$C$3004,F128,ENSAYOS!$Q$5:$Q$3004,"&gt;0"))</f>
        <v/>
      </c>
      <c r="N128" s="15" t="str">
        <f aca="false">IF(N(M128)=0,"",_xlfn.MINIFS(ENSAYOS!$G$5:$G$3004,ENSAYOS!$C$5:$C$3004,F128,ENSAYOS!$Q$5:$Q$3004,"&gt;0"))</f>
        <v/>
      </c>
      <c r="O128" s="15" t="str">
        <f aca="false">IF(N(M128)=0,"",_xlfn.MAXIFS(ENSAYOS!$G$5:$G$3004,ENSAYOS!$C$5:$C$3004,F128,ENSAYOS!$Q$5:$Q$3004,"&gt;0"))</f>
        <v/>
      </c>
      <c r="P128" s="16" t="str">
        <f aca="false">IF(N(M128)=0,"",AVERAGEIFS(ENSAYOS!$Q$5:$Q$3004,ENSAYOS!$C$5:$C$3004,F128,ENSAYOS!$Q$5:$Q$3004,"&gt;0"))</f>
        <v/>
      </c>
      <c r="Q128" s="16" t="str">
        <f aca="false">IF(N(M128)=0,"",_xlfn.MINIFS(ENSAYOS!$Q$5:$Q$3004,ENSAYOS!$C$5:$C$3004,F128,ENSAYOS!$Q$5:$Q$3004,"&gt;0"))</f>
        <v/>
      </c>
      <c r="R128" s="16" t="str">
        <f aca="false">IF(N(M128)=0,"",_xlfn.MAXIFS(ENSAYOS!$Q$5:$Q$3004,ENSAYOS!$C$5:$C$3004,F128,ENSAYOS!$Q$5:$Q$3004,"&gt;0"))</f>
        <v/>
      </c>
      <c r="S128" s="16" t="str">
        <f aca="false">IF(N(M128)&lt;2,"",SQRT(MAX(0,(SUMIFS(ENSAYOS!$X$5:$X$3004,ENSAYOS!$C$5:$C$3004,F128,ENSAYOS!$Q$5:$Q$3004,"&gt;0")-M128*P128^2)/(M128-1))))</f>
        <v/>
      </c>
      <c r="T128" s="17" t="str">
        <f aca="false">IF(S128="","",S128/P128)</f>
        <v/>
      </c>
      <c r="U128" s="16" t="str">
        <f aca="false">IF(N(M128)=0,"",IF(N128&gt;=CONFIG!$B$27,"",AVERAGEIFS(ENSAYOS!$Q$5:$Q$3004,ENSAYOS!$C$5:$C$3004,F128,ENSAYOS!$Q$5:$Q$3004,"&gt;0",ENSAYOS!$G$5:$G$3004,N128)))</f>
        <v/>
      </c>
      <c r="V128" s="16" t="str">
        <f aca="false">IF(N(M128)=0,"",IF(COUNTIFS(ENSAYOS!$C$5:$C$3004,F128,ENSAYOS!$Q$5:$Q$3004,"&gt;0",ENSAYOS!$G$5:$G$3004,"&gt;="&amp;CONFIG!$B$27)=0,"",AVERAGEIFS(ENSAYOS!$Q$5:$Q$3004,ENSAYOS!$C$5:$C$3004,F128,ENSAYOS!$Q$5:$Q$3004,"&gt;0",ENSAYOS!$G$5:$G$3004,"&gt;="&amp;CONFIG!$B$27)))</f>
        <v/>
      </c>
      <c r="W128" s="18" t="str">
        <f aca="false">IF(AND(U128&lt;&gt;"",V128&lt;&gt;""),U128/V128,"")</f>
        <v/>
      </c>
      <c r="X128" s="18" t="str">
        <f aca="false">IF(U128="","",INDEX('CURVA EDAD'!$E$5:$E$32,MIN(28,MAX(1,N128))))</f>
        <v/>
      </c>
      <c r="Y128" s="16" t="str">
        <f aca="false">IF(V128&lt;&gt;"",V128,IF(U128="","",U128/X128))</f>
        <v/>
      </c>
      <c r="Z128" s="16" t="str">
        <f aca="false">IF(V128&lt;&gt;"",_xlfn.MINIFS(ENSAYOS!$Q$5:$Q$3004,ENSAYOS!$C$5:$C$3004,F128,ENSAYOS!$Q$5:$Q$3004,"&gt;0",ENSAYOS!$G$5:$G$3004,"&gt;="&amp;CONFIG!$B$27),IF(U128="","",_xlfn.MINIFS(ENSAYOS!$Q$5:$Q$3004,ENSAYOS!$C$5:$C$3004,F128,ENSAYOS!$Q$5:$Q$3004,"&gt;0",ENSAYOS!$G$5:$G$3004,N128)/X128))</f>
        <v/>
      </c>
      <c r="AA128" s="16" t="str">
        <f aca="false">IF(D128="","",IFERROR(1/(1/INDEX(CONFIG!$J$5:$J$14,MATCH(D128,CONFIG!$D$5:$D$14,0))),""))</f>
        <v/>
      </c>
      <c r="AB128" s="16" t="str">
        <f aca="false">IF(D128="","",IFERROR(1/(1/INDEX(CONFIG!$K$5:$K$14,MATCH(D128,CONFIG!$D$5:$D$14,0))),""))</f>
        <v/>
      </c>
      <c r="AC128" s="19" t="str">
        <f aca="false">IF(N(M128)=0,"",IF(AA128="","Sin spec",IF(AND(Y128&gt;=AA128,OR(AB128="",Z128&gt;=AB128)),"CUMPLE","NO CUMPLE")&amp;IF(V128=""," (est.)","")))</f>
        <v/>
      </c>
      <c r="AD128" s="20" t="str">
        <f aca="false">IF(F128="","",IF(COUNTIFS(ABSORCION!$C$5:$C$1004,F128,ABSORCION!$I$5:$I$1004,"&gt;0")=0,"",AVERAGEIFS(ABSORCION!$I$5:$I$1004,ABSORCION!$C$5:$C$1004,F128,ABSORCION!$I$5:$I$1004,"&gt;0")))</f>
        <v/>
      </c>
      <c r="AE128" s="20" t="str">
        <f aca="false">IF(F128="","",IF(COUNTIFS(ABSORCION!$C$5:$C$1004,F128,ABSORCION!$I$5:$I$1004,"&gt;0")=0,"",AVERAGEIFS(ABSORCION!$K$5:$K$1004,ABSORCION!$C$5:$C$1004,F128,ABSORCION!$I$5:$I$1004,"&gt;0")))</f>
        <v/>
      </c>
      <c r="AF128" s="20" t="str">
        <f aca="false">IF(AE128="","",IF(AE128&gt;=CONFIG!$E$21,CONFIG!$F$21,IF(AE128&gt;=CONFIG!$E$20,CONFIG!$F$20,CONFIG!$F$19)))</f>
        <v/>
      </c>
      <c r="AG128" s="21" t="str">
        <f aca="false">IF(F128="","",TRIM(IF(N(M128)=0,"Sin ensayos. ","")&amp;IF(AND(N(M128)&gt;0,N(M128)&lt;CONFIG!$B$26),"Menos de "&amp;CONFIG!$B$26&amp;" probetas. ","")&amp;IF(N(T128)&gt;CONFIG!$B$25,"CV alto. ","")&amp;IF(AND(N(AD128)&gt;0,N(AD128)&gt;N(AF128)),"Absorción alta. ","")))</f>
        <v/>
      </c>
      <c r="AH128" s="22" t="str">
        <f aca="false">IF(AND(N(M128)&gt;0,OR(CONTROL!$C$4="TODAS",C128=CONTROL!$C$4),D128=CONTROL!$C$5),MAX($AH$4:AH127)+1,"")</f>
        <v/>
      </c>
      <c r="AI128" s="22" t="str">
        <f aca="false">IF(AH128="","",P128^2)</f>
        <v/>
      </c>
    </row>
    <row r="129" customFormat="false" ht="15" hidden="false" customHeight="false" outlineLevel="0" collapsed="false">
      <c r="A129" s="11" t="str">
        <f aca="false">IF(B129="","",ROW()-4)</f>
        <v/>
      </c>
      <c r="B129" s="12"/>
      <c r="C129" s="13"/>
      <c r="D129" s="13"/>
      <c r="E129" s="13"/>
      <c r="F129" s="14" t="str">
        <f aca="false">IF(OR(B129="",C129="",D129=""),"",IFERROR(INDEX(CONFIG!$E$5:$E$14,MATCH(D129,CONFIG!$D$5:$D$14,0)),"?")&amp;RIGHT("0"&amp;DAY(B129),2)&amp;RIGHT("0"&amp;MONTH(B129),2)&amp;RIGHT(YEAR(B129),2)&amp;C129&amp;IF(E129="","","-"&amp;E129))</f>
        <v/>
      </c>
      <c r="G129" s="13"/>
      <c r="H129" s="13"/>
      <c r="I129" s="13"/>
      <c r="J129" s="13"/>
      <c r="K129" s="13"/>
      <c r="L129" s="13"/>
      <c r="M129" s="11" t="str">
        <f aca="false">IF(F129="","",COUNTIFS(ENSAYOS!$C$5:$C$3004,F129,ENSAYOS!$Q$5:$Q$3004,"&gt;0"))</f>
        <v/>
      </c>
      <c r="N129" s="15" t="str">
        <f aca="false">IF(N(M129)=0,"",_xlfn.MINIFS(ENSAYOS!$G$5:$G$3004,ENSAYOS!$C$5:$C$3004,F129,ENSAYOS!$Q$5:$Q$3004,"&gt;0"))</f>
        <v/>
      </c>
      <c r="O129" s="15" t="str">
        <f aca="false">IF(N(M129)=0,"",_xlfn.MAXIFS(ENSAYOS!$G$5:$G$3004,ENSAYOS!$C$5:$C$3004,F129,ENSAYOS!$Q$5:$Q$3004,"&gt;0"))</f>
        <v/>
      </c>
      <c r="P129" s="16" t="str">
        <f aca="false">IF(N(M129)=0,"",AVERAGEIFS(ENSAYOS!$Q$5:$Q$3004,ENSAYOS!$C$5:$C$3004,F129,ENSAYOS!$Q$5:$Q$3004,"&gt;0"))</f>
        <v/>
      </c>
      <c r="Q129" s="16" t="str">
        <f aca="false">IF(N(M129)=0,"",_xlfn.MINIFS(ENSAYOS!$Q$5:$Q$3004,ENSAYOS!$C$5:$C$3004,F129,ENSAYOS!$Q$5:$Q$3004,"&gt;0"))</f>
        <v/>
      </c>
      <c r="R129" s="16" t="str">
        <f aca="false">IF(N(M129)=0,"",_xlfn.MAXIFS(ENSAYOS!$Q$5:$Q$3004,ENSAYOS!$C$5:$C$3004,F129,ENSAYOS!$Q$5:$Q$3004,"&gt;0"))</f>
        <v/>
      </c>
      <c r="S129" s="16" t="str">
        <f aca="false">IF(N(M129)&lt;2,"",SQRT(MAX(0,(SUMIFS(ENSAYOS!$X$5:$X$3004,ENSAYOS!$C$5:$C$3004,F129,ENSAYOS!$Q$5:$Q$3004,"&gt;0")-M129*P129^2)/(M129-1))))</f>
        <v/>
      </c>
      <c r="T129" s="17" t="str">
        <f aca="false">IF(S129="","",S129/P129)</f>
        <v/>
      </c>
      <c r="U129" s="16" t="str">
        <f aca="false">IF(N(M129)=0,"",IF(N129&gt;=CONFIG!$B$27,"",AVERAGEIFS(ENSAYOS!$Q$5:$Q$3004,ENSAYOS!$C$5:$C$3004,F129,ENSAYOS!$Q$5:$Q$3004,"&gt;0",ENSAYOS!$G$5:$G$3004,N129)))</f>
        <v/>
      </c>
      <c r="V129" s="16" t="str">
        <f aca="false">IF(N(M129)=0,"",IF(COUNTIFS(ENSAYOS!$C$5:$C$3004,F129,ENSAYOS!$Q$5:$Q$3004,"&gt;0",ENSAYOS!$G$5:$G$3004,"&gt;="&amp;CONFIG!$B$27)=0,"",AVERAGEIFS(ENSAYOS!$Q$5:$Q$3004,ENSAYOS!$C$5:$C$3004,F129,ENSAYOS!$Q$5:$Q$3004,"&gt;0",ENSAYOS!$G$5:$G$3004,"&gt;="&amp;CONFIG!$B$27)))</f>
        <v/>
      </c>
      <c r="W129" s="18" t="str">
        <f aca="false">IF(AND(U129&lt;&gt;"",V129&lt;&gt;""),U129/V129,"")</f>
        <v/>
      </c>
      <c r="X129" s="18" t="str">
        <f aca="false">IF(U129="","",INDEX('CURVA EDAD'!$E$5:$E$32,MIN(28,MAX(1,N129))))</f>
        <v/>
      </c>
      <c r="Y129" s="16" t="str">
        <f aca="false">IF(V129&lt;&gt;"",V129,IF(U129="","",U129/X129))</f>
        <v/>
      </c>
      <c r="Z129" s="16" t="str">
        <f aca="false">IF(V129&lt;&gt;"",_xlfn.MINIFS(ENSAYOS!$Q$5:$Q$3004,ENSAYOS!$C$5:$C$3004,F129,ENSAYOS!$Q$5:$Q$3004,"&gt;0",ENSAYOS!$G$5:$G$3004,"&gt;="&amp;CONFIG!$B$27),IF(U129="","",_xlfn.MINIFS(ENSAYOS!$Q$5:$Q$3004,ENSAYOS!$C$5:$C$3004,F129,ENSAYOS!$Q$5:$Q$3004,"&gt;0",ENSAYOS!$G$5:$G$3004,N129)/X129))</f>
        <v/>
      </c>
      <c r="AA129" s="16" t="str">
        <f aca="false">IF(D129="","",IFERROR(1/(1/INDEX(CONFIG!$J$5:$J$14,MATCH(D129,CONFIG!$D$5:$D$14,0))),""))</f>
        <v/>
      </c>
      <c r="AB129" s="16" t="str">
        <f aca="false">IF(D129="","",IFERROR(1/(1/INDEX(CONFIG!$K$5:$K$14,MATCH(D129,CONFIG!$D$5:$D$14,0))),""))</f>
        <v/>
      </c>
      <c r="AC129" s="19" t="str">
        <f aca="false">IF(N(M129)=0,"",IF(AA129="","Sin spec",IF(AND(Y129&gt;=AA129,OR(AB129="",Z129&gt;=AB129)),"CUMPLE","NO CUMPLE")&amp;IF(V129=""," (est.)","")))</f>
        <v/>
      </c>
      <c r="AD129" s="20" t="str">
        <f aca="false">IF(F129="","",IF(COUNTIFS(ABSORCION!$C$5:$C$1004,F129,ABSORCION!$I$5:$I$1004,"&gt;0")=0,"",AVERAGEIFS(ABSORCION!$I$5:$I$1004,ABSORCION!$C$5:$C$1004,F129,ABSORCION!$I$5:$I$1004,"&gt;0")))</f>
        <v/>
      </c>
      <c r="AE129" s="20" t="str">
        <f aca="false">IF(F129="","",IF(COUNTIFS(ABSORCION!$C$5:$C$1004,F129,ABSORCION!$I$5:$I$1004,"&gt;0")=0,"",AVERAGEIFS(ABSORCION!$K$5:$K$1004,ABSORCION!$C$5:$C$1004,F129,ABSORCION!$I$5:$I$1004,"&gt;0")))</f>
        <v/>
      </c>
      <c r="AF129" s="20" t="str">
        <f aca="false">IF(AE129="","",IF(AE129&gt;=CONFIG!$E$21,CONFIG!$F$21,IF(AE129&gt;=CONFIG!$E$20,CONFIG!$F$20,CONFIG!$F$19)))</f>
        <v/>
      </c>
      <c r="AG129" s="21" t="str">
        <f aca="false">IF(F129="","",TRIM(IF(N(M129)=0,"Sin ensayos. ","")&amp;IF(AND(N(M129)&gt;0,N(M129)&lt;CONFIG!$B$26),"Menos de "&amp;CONFIG!$B$26&amp;" probetas. ","")&amp;IF(N(T129)&gt;CONFIG!$B$25,"CV alto. ","")&amp;IF(AND(N(AD129)&gt;0,N(AD129)&gt;N(AF129)),"Absorción alta. ","")))</f>
        <v/>
      </c>
      <c r="AH129" s="22" t="str">
        <f aca="false">IF(AND(N(M129)&gt;0,OR(CONTROL!$C$4="TODAS",C129=CONTROL!$C$4),D129=CONTROL!$C$5),MAX($AH$4:AH128)+1,"")</f>
        <v/>
      </c>
      <c r="AI129" s="22" t="str">
        <f aca="false">IF(AH129="","",P129^2)</f>
        <v/>
      </c>
    </row>
    <row r="130" customFormat="false" ht="15" hidden="false" customHeight="false" outlineLevel="0" collapsed="false">
      <c r="A130" s="11" t="str">
        <f aca="false">IF(B130="","",ROW()-4)</f>
        <v/>
      </c>
      <c r="B130" s="12"/>
      <c r="C130" s="13"/>
      <c r="D130" s="13"/>
      <c r="E130" s="13"/>
      <c r="F130" s="14" t="str">
        <f aca="false">IF(OR(B130="",C130="",D130=""),"",IFERROR(INDEX(CONFIG!$E$5:$E$14,MATCH(D130,CONFIG!$D$5:$D$14,0)),"?")&amp;RIGHT("0"&amp;DAY(B130),2)&amp;RIGHT("0"&amp;MONTH(B130),2)&amp;RIGHT(YEAR(B130),2)&amp;C130&amp;IF(E130="","","-"&amp;E130))</f>
        <v/>
      </c>
      <c r="G130" s="13"/>
      <c r="H130" s="13"/>
      <c r="I130" s="13"/>
      <c r="J130" s="13"/>
      <c r="K130" s="13"/>
      <c r="L130" s="13"/>
      <c r="M130" s="11" t="str">
        <f aca="false">IF(F130="","",COUNTIFS(ENSAYOS!$C$5:$C$3004,F130,ENSAYOS!$Q$5:$Q$3004,"&gt;0"))</f>
        <v/>
      </c>
      <c r="N130" s="15" t="str">
        <f aca="false">IF(N(M130)=0,"",_xlfn.MINIFS(ENSAYOS!$G$5:$G$3004,ENSAYOS!$C$5:$C$3004,F130,ENSAYOS!$Q$5:$Q$3004,"&gt;0"))</f>
        <v/>
      </c>
      <c r="O130" s="15" t="str">
        <f aca="false">IF(N(M130)=0,"",_xlfn.MAXIFS(ENSAYOS!$G$5:$G$3004,ENSAYOS!$C$5:$C$3004,F130,ENSAYOS!$Q$5:$Q$3004,"&gt;0"))</f>
        <v/>
      </c>
      <c r="P130" s="16" t="str">
        <f aca="false">IF(N(M130)=0,"",AVERAGEIFS(ENSAYOS!$Q$5:$Q$3004,ENSAYOS!$C$5:$C$3004,F130,ENSAYOS!$Q$5:$Q$3004,"&gt;0"))</f>
        <v/>
      </c>
      <c r="Q130" s="16" t="str">
        <f aca="false">IF(N(M130)=0,"",_xlfn.MINIFS(ENSAYOS!$Q$5:$Q$3004,ENSAYOS!$C$5:$C$3004,F130,ENSAYOS!$Q$5:$Q$3004,"&gt;0"))</f>
        <v/>
      </c>
      <c r="R130" s="16" t="str">
        <f aca="false">IF(N(M130)=0,"",_xlfn.MAXIFS(ENSAYOS!$Q$5:$Q$3004,ENSAYOS!$C$5:$C$3004,F130,ENSAYOS!$Q$5:$Q$3004,"&gt;0"))</f>
        <v/>
      </c>
      <c r="S130" s="16" t="str">
        <f aca="false">IF(N(M130)&lt;2,"",SQRT(MAX(0,(SUMIFS(ENSAYOS!$X$5:$X$3004,ENSAYOS!$C$5:$C$3004,F130,ENSAYOS!$Q$5:$Q$3004,"&gt;0")-M130*P130^2)/(M130-1))))</f>
        <v/>
      </c>
      <c r="T130" s="17" t="str">
        <f aca="false">IF(S130="","",S130/P130)</f>
        <v/>
      </c>
      <c r="U130" s="16" t="str">
        <f aca="false">IF(N(M130)=0,"",IF(N130&gt;=CONFIG!$B$27,"",AVERAGEIFS(ENSAYOS!$Q$5:$Q$3004,ENSAYOS!$C$5:$C$3004,F130,ENSAYOS!$Q$5:$Q$3004,"&gt;0",ENSAYOS!$G$5:$G$3004,N130)))</f>
        <v/>
      </c>
      <c r="V130" s="16" t="str">
        <f aca="false">IF(N(M130)=0,"",IF(COUNTIFS(ENSAYOS!$C$5:$C$3004,F130,ENSAYOS!$Q$5:$Q$3004,"&gt;0",ENSAYOS!$G$5:$G$3004,"&gt;="&amp;CONFIG!$B$27)=0,"",AVERAGEIFS(ENSAYOS!$Q$5:$Q$3004,ENSAYOS!$C$5:$C$3004,F130,ENSAYOS!$Q$5:$Q$3004,"&gt;0",ENSAYOS!$G$5:$G$3004,"&gt;="&amp;CONFIG!$B$27)))</f>
        <v/>
      </c>
      <c r="W130" s="18" t="str">
        <f aca="false">IF(AND(U130&lt;&gt;"",V130&lt;&gt;""),U130/V130,"")</f>
        <v/>
      </c>
      <c r="X130" s="18" t="str">
        <f aca="false">IF(U130="","",INDEX('CURVA EDAD'!$E$5:$E$32,MIN(28,MAX(1,N130))))</f>
        <v/>
      </c>
      <c r="Y130" s="16" t="str">
        <f aca="false">IF(V130&lt;&gt;"",V130,IF(U130="","",U130/X130))</f>
        <v/>
      </c>
      <c r="Z130" s="16" t="str">
        <f aca="false">IF(V130&lt;&gt;"",_xlfn.MINIFS(ENSAYOS!$Q$5:$Q$3004,ENSAYOS!$C$5:$C$3004,F130,ENSAYOS!$Q$5:$Q$3004,"&gt;0",ENSAYOS!$G$5:$G$3004,"&gt;="&amp;CONFIG!$B$27),IF(U130="","",_xlfn.MINIFS(ENSAYOS!$Q$5:$Q$3004,ENSAYOS!$C$5:$C$3004,F130,ENSAYOS!$Q$5:$Q$3004,"&gt;0",ENSAYOS!$G$5:$G$3004,N130)/X130))</f>
        <v/>
      </c>
      <c r="AA130" s="16" t="str">
        <f aca="false">IF(D130="","",IFERROR(1/(1/INDEX(CONFIG!$J$5:$J$14,MATCH(D130,CONFIG!$D$5:$D$14,0))),""))</f>
        <v/>
      </c>
      <c r="AB130" s="16" t="str">
        <f aca="false">IF(D130="","",IFERROR(1/(1/INDEX(CONFIG!$K$5:$K$14,MATCH(D130,CONFIG!$D$5:$D$14,0))),""))</f>
        <v/>
      </c>
      <c r="AC130" s="19" t="str">
        <f aca="false">IF(N(M130)=0,"",IF(AA130="","Sin spec",IF(AND(Y130&gt;=AA130,OR(AB130="",Z130&gt;=AB130)),"CUMPLE","NO CUMPLE")&amp;IF(V130=""," (est.)","")))</f>
        <v/>
      </c>
      <c r="AD130" s="20" t="str">
        <f aca="false">IF(F130="","",IF(COUNTIFS(ABSORCION!$C$5:$C$1004,F130,ABSORCION!$I$5:$I$1004,"&gt;0")=0,"",AVERAGEIFS(ABSORCION!$I$5:$I$1004,ABSORCION!$C$5:$C$1004,F130,ABSORCION!$I$5:$I$1004,"&gt;0")))</f>
        <v/>
      </c>
      <c r="AE130" s="20" t="str">
        <f aca="false">IF(F130="","",IF(COUNTIFS(ABSORCION!$C$5:$C$1004,F130,ABSORCION!$I$5:$I$1004,"&gt;0")=0,"",AVERAGEIFS(ABSORCION!$K$5:$K$1004,ABSORCION!$C$5:$C$1004,F130,ABSORCION!$I$5:$I$1004,"&gt;0")))</f>
        <v/>
      </c>
      <c r="AF130" s="20" t="str">
        <f aca="false">IF(AE130="","",IF(AE130&gt;=CONFIG!$E$21,CONFIG!$F$21,IF(AE130&gt;=CONFIG!$E$20,CONFIG!$F$20,CONFIG!$F$19)))</f>
        <v/>
      </c>
      <c r="AG130" s="21" t="str">
        <f aca="false">IF(F130="","",TRIM(IF(N(M130)=0,"Sin ensayos. ","")&amp;IF(AND(N(M130)&gt;0,N(M130)&lt;CONFIG!$B$26),"Menos de "&amp;CONFIG!$B$26&amp;" probetas. ","")&amp;IF(N(T130)&gt;CONFIG!$B$25,"CV alto. ","")&amp;IF(AND(N(AD130)&gt;0,N(AD130)&gt;N(AF130)),"Absorción alta. ","")))</f>
        <v/>
      </c>
      <c r="AH130" s="22" t="str">
        <f aca="false">IF(AND(N(M130)&gt;0,OR(CONTROL!$C$4="TODAS",C130=CONTROL!$C$4),D130=CONTROL!$C$5),MAX($AH$4:AH129)+1,"")</f>
        <v/>
      </c>
      <c r="AI130" s="22" t="str">
        <f aca="false">IF(AH130="","",P130^2)</f>
        <v/>
      </c>
    </row>
    <row r="131" customFormat="false" ht="15" hidden="false" customHeight="false" outlineLevel="0" collapsed="false">
      <c r="A131" s="11" t="str">
        <f aca="false">IF(B131="","",ROW()-4)</f>
        <v/>
      </c>
      <c r="B131" s="12"/>
      <c r="C131" s="13"/>
      <c r="D131" s="13"/>
      <c r="E131" s="13"/>
      <c r="F131" s="14" t="str">
        <f aca="false">IF(OR(B131="",C131="",D131=""),"",IFERROR(INDEX(CONFIG!$E$5:$E$14,MATCH(D131,CONFIG!$D$5:$D$14,0)),"?")&amp;RIGHT("0"&amp;DAY(B131),2)&amp;RIGHT("0"&amp;MONTH(B131),2)&amp;RIGHT(YEAR(B131),2)&amp;C131&amp;IF(E131="","","-"&amp;E131))</f>
        <v/>
      </c>
      <c r="G131" s="13"/>
      <c r="H131" s="13"/>
      <c r="I131" s="13"/>
      <c r="J131" s="13"/>
      <c r="K131" s="13"/>
      <c r="L131" s="13"/>
      <c r="M131" s="11" t="str">
        <f aca="false">IF(F131="","",COUNTIFS(ENSAYOS!$C$5:$C$3004,F131,ENSAYOS!$Q$5:$Q$3004,"&gt;0"))</f>
        <v/>
      </c>
      <c r="N131" s="15" t="str">
        <f aca="false">IF(N(M131)=0,"",_xlfn.MINIFS(ENSAYOS!$G$5:$G$3004,ENSAYOS!$C$5:$C$3004,F131,ENSAYOS!$Q$5:$Q$3004,"&gt;0"))</f>
        <v/>
      </c>
      <c r="O131" s="15" t="str">
        <f aca="false">IF(N(M131)=0,"",_xlfn.MAXIFS(ENSAYOS!$G$5:$G$3004,ENSAYOS!$C$5:$C$3004,F131,ENSAYOS!$Q$5:$Q$3004,"&gt;0"))</f>
        <v/>
      </c>
      <c r="P131" s="16" t="str">
        <f aca="false">IF(N(M131)=0,"",AVERAGEIFS(ENSAYOS!$Q$5:$Q$3004,ENSAYOS!$C$5:$C$3004,F131,ENSAYOS!$Q$5:$Q$3004,"&gt;0"))</f>
        <v/>
      </c>
      <c r="Q131" s="16" t="str">
        <f aca="false">IF(N(M131)=0,"",_xlfn.MINIFS(ENSAYOS!$Q$5:$Q$3004,ENSAYOS!$C$5:$C$3004,F131,ENSAYOS!$Q$5:$Q$3004,"&gt;0"))</f>
        <v/>
      </c>
      <c r="R131" s="16" t="str">
        <f aca="false">IF(N(M131)=0,"",_xlfn.MAXIFS(ENSAYOS!$Q$5:$Q$3004,ENSAYOS!$C$5:$C$3004,F131,ENSAYOS!$Q$5:$Q$3004,"&gt;0"))</f>
        <v/>
      </c>
      <c r="S131" s="16" t="str">
        <f aca="false">IF(N(M131)&lt;2,"",SQRT(MAX(0,(SUMIFS(ENSAYOS!$X$5:$X$3004,ENSAYOS!$C$5:$C$3004,F131,ENSAYOS!$Q$5:$Q$3004,"&gt;0")-M131*P131^2)/(M131-1))))</f>
        <v/>
      </c>
      <c r="T131" s="17" t="str">
        <f aca="false">IF(S131="","",S131/P131)</f>
        <v/>
      </c>
      <c r="U131" s="16" t="str">
        <f aca="false">IF(N(M131)=0,"",IF(N131&gt;=CONFIG!$B$27,"",AVERAGEIFS(ENSAYOS!$Q$5:$Q$3004,ENSAYOS!$C$5:$C$3004,F131,ENSAYOS!$Q$5:$Q$3004,"&gt;0",ENSAYOS!$G$5:$G$3004,N131)))</f>
        <v/>
      </c>
      <c r="V131" s="16" t="str">
        <f aca="false">IF(N(M131)=0,"",IF(COUNTIFS(ENSAYOS!$C$5:$C$3004,F131,ENSAYOS!$Q$5:$Q$3004,"&gt;0",ENSAYOS!$G$5:$G$3004,"&gt;="&amp;CONFIG!$B$27)=0,"",AVERAGEIFS(ENSAYOS!$Q$5:$Q$3004,ENSAYOS!$C$5:$C$3004,F131,ENSAYOS!$Q$5:$Q$3004,"&gt;0",ENSAYOS!$G$5:$G$3004,"&gt;="&amp;CONFIG!$B$27)))</f>
        <v/>
      </c>
      <c r="W131" s="18" t="str">
        <f aca="false">IF(AND(U131&lt;&gt;"",V131&lt;&gt;""),U131/V131,"")</f>
        <v/>
      </c>
      <c r="X131" s="18" t="str">
        <f aca="false">IF(U131="","",INDEX('CURVA EDAD'!$E$5:$E$32,MIN(28,MAX(1,N131))))</f>
        <v/>
      </c>
      <c r="Y131" s="16" t="str">
        <f aca="false">IF(V131&lt;&gt;"",V131,IF(U131="","",U131/X131))</f>
        <v/>
      </c>
      <c r="Z131" s="16" t="str">
        <f aca="false">IF(V131&lt;&gt;"",_xlfn.MINIFS(ENSAYOS!$Q$5:$Q$3004,ENSAYOS!$C$5:$C$3004,F131,ENSAYOS!$Q$5:$Q$3004,"&gt;0",ENSAYOS!$G$5:$G$3004,"&gt;="&amp;CONFIG!$B$27),IF(U131="","",_xlfn.MINIFS(ENSAYOS!$Q$5:$Q$3004,ENSAYOS!$C$5:$C$3004,F131,ENSAYOS!$Q$5:$Q$3004,"&gt;0",ENSAYOS!$G$5:$G$3004,N131)/X131))</f>
        <v/>
      </c>
      <c r="AA131" s="16" t="str">
        <f aca="false">IF(D131="","",IFERROR(1/(1/INDEX(CONFIG!$J$5:$J$14,MATCH(D131,CONFIG!$D$5:$D$14,0))),""))</f>
        <v/>
      </c>
      <c r="AB131" s="16" t="str">
        <f aca="false">IF(D131="","",IFERROR(1/(1/INDEX(CONFIG!$K$5:$K$14,MATCH(D131,CONFIG!$D$5:$D$14,0))),""))</f>
        <v/>
      </c>
      <c r="AC131" s="19" t="str">
        <f aca="false">IF(N(M131)=0,"",IF(AA131="","Sin spec",IF(AND(Y131&gt;=AA131,OR(AB131="",Z131&gt;=AB131)),"CUMPLE","NO CUMPLE")&amp;IF(V131=""," (est.)","")))</f>
        <v/>
      </c>
      <c r="AD131" s="20" t="str">
        <f aca="false">IF(F131="","",IF(COUNTIFS(ABSORCION!$C$5:$C$1004,F131,ABSORCION!$I$5:$I$1004,"&gt;0")=0,"",AVERAGEIFS(ABSORCION!$I$5:$I$1004,ABSORCION!$C$5:$C$1004,F131,ABSORCION!$I$5:$I$1004,"&gt;0")))</f>
        <v/>
      </c>
      <c r="AE131" s="20" t="str">
        <f aca="false">IF(F131="","",IF(COUNTIFS(ABSORCION!$C$5:$C$1004,F131,ABSORCION!$I$5:$I$1004,"&gt;0")=0,"",AVERAGEIFS(ABSORCION!$K$5:$K$1004,ABSORCION!$C$5:$C$1004,F131,ABSORCION!$I$5:$I$1004,"&gt;0")))</f>
        <v/>
      </c>
      <c r="AF131" s="20" t="str">
        <f aca="false">IF(AE131="","",IF(AE131&gt;=CONFIG!$E$21,CONFIG!$F$21,IF(AE131&gt;=CONFIG!$E$20,CONFIG!$F$20,CONFIG!$F$19)))</f>
        <v/>
      </c>
      <c r="AG131" s="21" t="str">
        <f aca="false">IF(F131="","",TRIM(IF(N(M131)=0,"Sin ensayos. ","")&amp;IF(AND(N(M131)&gt;0,N(M131)&lt;CONFIG!$B$26),"Menos de "&amp;CONFIG!$B$26&amp;" probetas. ","")&amp;IF(N(T131)&gt;CONFIG!$B$25,"CV alto. ","")&amp;IF(AND(N(AD131)&gt;0,N(AD131)&gt;N(AF131)),"Absorción alta. ","")))</f>
        <v/>
      </c>
      <c r="AH131" s="22" t="str">
        <f aca="false">IF(AND(N(M131)&gt;0,OR(CONTROL!$C$4="TODAS",C131=CONTROL!$C$4),D131=CONTROL!$C$5),MAX($AH$4:AH130)+1,"")</f>
        <v/>
      </c>
      <c r="AI131" s="22" t="str">
        <f aca="false">IF(AH131="","",P131^2)</f>
        <v/>
      </c>
    </row>
    <row r="132" customFormat="false" ht="15" hidden="false" customHeight="false" outlineLevel="0" collapsed="false">
      <c r="A132" s="11" t="str">
        <f aca="false">IF(B132="","",ROW()-4)</f>
        <v/>
      </c>
      <c r="B132" s="12"/>
      <c r="C132" s="13"/>
      <c r="D132" s="13"/>
      <c r="E132" s="13"/>
      <c r="F132" s="14" t="str">
        <f aca="false">IF(OR(B132="",C132="",D132=""),"",IFERROR(INDEX(CONFIG!$E$5:$E$14,MATCH(D132,CONFIG!$D$5:$D$14,0)),"?")&amp;RIGHT("0"&amp;DAY(B132),2)&amp;RIGHT("0"&amp;MONTH(B132),2)&amp;RIGHT(YEAR(B132),2)&amp;C132&amp;IF(E132="","","-"&amp;E132))</f>
        <v/>
      </c>
      <c r="G132" s="13"/>
      <c r="H132" s="13"/>
      <c r="I132" s="13"/>
      <c r="J132" s="13"/>
      <c r="K132" s="13"/>
      <c r="L132" s="13"/>
      <c r="M132" s="11" t="str">
        <f aca="false">IF(F132="","",COUNTIFS(ENSAYOS!$C$5:$C$3004,F132,ENSAYOS!$Q$5:$Q$3004,"&gt;0"))</f>
        <v/>
      </c>
      <c r="N132" s="15" t="str">
        <f aca="false">IF(N(M132)=0,"",_xlfn.MINIFS(ENSAYOS!$G$5:$G$3004,ENSAYOS!$C$5:$C$3004,F132,ENSAYOS!$Q$5:$Q$3004,"&gt;0"))</f>
        <v/>
      </c>
      <c r="O132" s="15" t="str">
        <f aca="false">IF(N(M132)=0,"",_xlfn.MAXIFS(ENSAYOS!$G$5:$G$3004,ENSAYOS!$C$5:$C$3004,F132,ENSAYOS!$Q$5:$Q$3004,"&gt;0"))</f>
        <v/>
      </c>
      <c r="P132" s="16" t="str">
        <f aca="false">IF(N(M132)=0,"",AVERAGEIFS(ENSAYOS!$Q$5:$Q$3004,ENSAYOS!$C$5:$C$3004,F132,ENSAYOS!$Q$5:$Q$3004,"&gt;0"))</f>
        <v/>
      </c>
      <c r="Q132" s="16" t="str">
        <f aca="false">IF(N(M132)=0,"",_xlfn.MINIFS(ENSAYOS!$Q$5:$Q$3004,ENSAYOS!$C$5:$C$3004,F132,ENSAYOS!$Q$5:$Q$3004,"&gt;0"))</f>
        <v/>
      </c>
      <c r="R132" s="16" t="str">
        <f aca="false">IF(N(M132)=0,"",_xlfn.MAXIFS(ENSAYOS!$Q$5:$Q$3004,ENSAYOS!$C$5:$C$3004,F132,ENSAYOS!$Q$5:$Q$3004,"&gt;0"))</f>
        <v/>
      </c>
      <c r="S132" s="16" t="str">
        <f aca="false">IF(N(M132)&lt;2,"",SQRT(MAX(0,(SUMIFS(ENSAYOS!$X$5:$X$3004,ENSAYOS!$C$5:$C$3004,F132,ENSAYOS!$Q$5:$Q$3004,"&gt;0")-M132*P132^2)/(M132-1))))</f>
        <v/>
      </c>
      <c r="T132" s="17" t="str">
        <f aca="false">IF(S132="","",S132/P132)</f>
        <v/>
      </c>
      <c r="U132" s="16" t="str">
        <f aca="false">IF(N(M132)=0,"",IF(N132&gt;=CONFIG!$B$27,"",AVERAGEIFS(ENSAYOS!$Q$5:$Q$3004,ENSAYOS!$C$5:$C$3004,F132,ENSAYOS!$Q$5:$Q$3004,"&gt;0",ENSAYOS!$G$5:$G$3004,N132)))</f>
        <v/>
      </c>
      <c r="V132" s="16" t="str">
        <f aca="false">IF(N(M132)=0,"",IF(COUNTIFS(ENSAYOS!$C$5:$C$3004,F132,ENSAYOS!$Q$5:$Q$3004,"&gt;0",ENSAYOS!$G$5:$G$3004,"&gt;="&amp;CONFIG!$B$27)=0,"",AVERAGEIFS(ENSAYOS!$Q$5:$Q$3004,ENSAYOS!$C$5:$C$3004,F132,ENSAYOS!$Q$5:$Q$3004,"&gt;0",ENSAYOS!$G$5:$G$3004,"&gt;="&amp;CONFIG!$B$27)))</f>
        <v/>
      </c>
      <c r="W132" s="18" t="str">
        <f aca="false">IF(AND(U132&lt;&gt;"",V132&lt;&gt;""),U132/V132,"")</f>
        <v/>
      </c>
      <c r="X132" s="18" t="str">
        <f aca="false">IF(U132="","",INDEX('CURVA EDAD'!$E$5:$E$32,MIN(28,MAX(1,N132))))</f>
        <v/>
      </c>
      <c r="Y132" s="16" t="str">
        <f aca="false">IF(V132&lt;&gt;"",V132,IF(U132="","",U132/X132))</f>
        <v/>
      </c>
      <c r="Z132" s="16" t="str">
        <f aca="false">IF(V132&lt;&gt;"",_xlfn.MINIFS(ENSAYOS!$Q$5:$Q$3004,ENSAYOS!$C$5:$C$3004,F132,ENSAYOS!$Q$5:$Q$3004,"&gt;0",ENSAYOS!$G$5:$G$3004,"&gt;="&amp;CONFIG!$B$27),IF(U132="","",_xlfn.MINIFS(ENSAYOS!$Q$5:$Q$3004,ENSAYOS!$C$5:$C$3004,F132,ENSAYOS!$Q$5:$Q$3004,"&gt;0",ENSAYOS!$G$5:$G$3004,N132)/X132))</f>
        <v/>
      </c>
      <c r="AA132" s="16" t="str">
        <f aca="false">IF(D132="","",IFERROR(1/(1/INDEX(CONFIG!$J$5:$J$14,MATCH(D132,CONFIG!$D$5:$D$14,0))),""))</f>
        <v/>
      </c>
      <c r="AB132" s="16" t="str">
        <f aca="false">IF(D132="","",IFERROR(1/(1/INDEX(CONFIG!$K$5:$K$14,MATCH(D132,CONFIG!$D$5:$D$14,0))),""))</f>
        <v/>
      </c>
      <c r="AC132" s="19" t="str">
        <f aca="false">IF(N(M132)=0,"",IF(AA132="","Sin spec",IF(AND(Y132&gt;=AA132,OR(AB132="",Z132&gt;=AB132)),"CUMPLE","NO CUMPLE")&amp;IF(V132=""," (est.)","")))</f>
        <v/>
      </c>
      <c r="AD132" s="20" t="str">
        <f aca="false">IF(F132="","",IF(COUNTIFS(ABSORCION!$C$5:$C$1004,F132,ABSORCION!$I$5:$I$1004,"&gt;0")=0,"",AVERAGEIFS(ABSORCION!$I$5:$I$1004,ABSORCION!$C$5:$C$1004,F132,ABSORCION!$I$5:$I$1004,"&gt;0")))</f>
        <v/>
      </c>
      <c r="AE132" s="20" t="str">
        <f aca="false">IF(F132="","",IF(COUNTIFS(ABSORCION!$C$5:$C$1004,F132,ABSORCION!$I$5:$I$1004,"&gt;0")=0,"",AVERAGEIFS(ABSORCION!$K$5:$K$1004,ABSORCION!$C$5:$C$1004,F132,ABSORCION!$I$5:$I$1004,"&gt;0")))</f>
        <v/>
      </c>
      <c r="AF132" s="20" t="str">
        <f aca="false">IF(AE132="","",IF(AE132&gt;=CONFIG!$E$21,CONFIG!$F$21,IF(AE132&gt;=CONFIG!$E$20,CONFIG!$F$20,CONFIG!$F$19)))</f>
        <v/>
      </c>
      <c r="AG132" s="21" t="str">
        <f aca="false">IF(F132="","",TRIM(IF(N(M132)=0,"Sin ensayos. ","")&amp;IF(AND(N(M132)&gt;0,N(M132)&lt;CONFIG!$B$26),"Menos de "&amp;CONFIG!$B$26&amp;" probetas. ","")&amp;IF(N(T132)&gt;CONFIG!$B$25,"CV alto. ","")&amp;IF(AND(N(AD132)&gt;0,N(AD132)&gt;N(AF132)),"Absorción alta. ","")))</f>
        <v/>
      </c>
      <c r="AH132" s="22" t="str">
        <f aca="false">IF(AND(N(M132)&gt;0,OR(CONTROL!$C$4="TODAS",C132=CONTROL!$C$4),D132=CONTROL!$C$5),MAX($AH$4:AH131)+1,"")</f>
        <v/>
      </c>
      <c r="AI132" s="22" t="str">
        <f aca="false">IF(AH132="","",P132^2)</f>
        <v/>
      </c>
    </row>
    <row r="133" customFormat="false" ht="15" hidden="false" customHeight="false" outlineLevel="0" collapsed="false">
      <c r="A133" s="11" t="str">
        <f aca="false">IF(B133="","",ROW()-4)</f>
        <v/>
      </c>
      <c r="B133" s="12"/>
      <c r="C133" s="13"/>
      <c r="D133" s="13"/>
      <c r="E133" s="13"/>
      <c r="F133" s="14" t="str">
        <f aca="false">IF(OR(B133="",C133="",D133=""),"",IFERROR(INDEX(CONFIG!$E$5:$E$14,MATCH(D133,CONFIG!$D$5:$D$14,0)),"?")&amp;RIGHT("0"&amp;DAY(B133),2)&amp;RIGHT("0"&amp;MONTH(B133),2)&amp;RIGHT(YEAR(B133),2)&amp;C133&amp;IF(E133="","","-"&amp;E133))</f>
        <v/>
      </c>
      <c r="G133" s="13"/>
      <c r="H133" s="13"/>
      <c r="I133" s="13"/>
      <c r="J133" s="13"/>
      <c r="K133" s="13"/>
      <c r="L133" s="13"/>
      <c r="M133" s="11" t="str">
        <f aca="false">IF(F133="","",COUNTIFS(ENSAYOS!$C$5:$C$3004,F133,ENSAYOS!$Q$5:$Q$3004,"&gt;0"))</f>
        <v/>
      </c>
      <c r="N133" s="15" t="str">
        <f aca="false">IF(N(M133)=0,"",_xlfn.MINIFS(ENSAYOS!$G$5:$G$3004,ENSAYOS!$C$5:$C$3004,F133,ENSAYOS!$Q$5:$Q$3004,"&gt;0"))</f>
        <v/>
      </c>
      <c r="O133" s="15" t="str">
        <f aca="false">IF(N(M133)=0,"",_xlfn.MAXIFS(ENSAYOS!$G$5:$G$3004,ENSAYOS!$C$5:$C$3004,F133,ENSAYOS!$Q$5:$Q$3004,"&gt;0"))</f>
        <v/>
      </c>
      <c r="P133" s="16" t="str">
        <f aca="false">IF(N(M133)=0,"",AVERAGEIFS(ENSAYOS!$Q$5:$Q$3004,ENSAYOS!$C$5:$C$3004,F133,ENSAYOS!$Q$5:$Q$3004,"&gt;0"))</f>
        <v/>
      </c>
      <c r="Q133" s="16" t="str">
        <f aca="false">IF(N(M133)=0,"",_xlfn.MINIFS(ENSAYOS!$Q$5:$Q$3004,ENSAYOS!$C$5:$C$3004,F133,ENSAYOS!$Q$5:$Q$3004,"&gt;0"))</f>
        <v/>
      </c>
      <c r="R133" s="16" t="str">
        <f aca="false">IF(N(M133)=0,"",_xlfn.MAXIFS(ENSAYOS!$Q$5:$Q$3004,ENSAYOS!$C$5:$C$3004,F133,ENSAYOS!$Q$5:$Q$3004,"&gt;0"))</f>
        <v/>
      </c>
      <c r="S133" s="16" t="str">
        <f aca="false">IF(N(M133)&lt;2,"",SQRT(MAX(0,(SUMIFS(ENSAYOS!$X$5:$X$3004,ENSAYOS!$C$5:$C$3004,F133,ENSAYOS!$Q$5:$Q$3004,"&gt;0")-M133*P133^2)/(M133-1))))</f>
        <v/>
      </c>
      <c r="T133" s="17" t="str">
        <f aca="false">IF(S133="","",S133/P133)</f>
        <v/>
      </c>
      <c r="U133" s="16" t="str">
        <f aca="false">IF(N(M133)=0,"",IF(N133&gt;=CONFIG!$B$27,"",AVERAGEIFS(ENSAYOS!$Q$5:$Q$3004,ENSAYOS!$C$5:$C$3004,F133,ENSAYOS!$Q$5:$Q$3004,"&gt;0",ENSAYOS!$G$5:$G$3004,N133)))</f>
        <v/>
      </c>
      <c r="V133" s="16" t="str">
        <f aca="false">IF(N(M133)=0,"",IF(COUNTIFS(ENSAYOS!$C$5:$C$3004,F133,ENSAYOS!$Q$5:$Q$3004,"&gt;0",ENSAYOS!$G$5:$G$3004,"&gt;="&amp;CONFIG!$B$27)=0,"",AVERAGEIFS(ENSAYOS!$Q$5:$Q$3004,ENSAYOS!$C$5:$C$3004,F133,ENSAYOS!$Q$5:$Q$3004,"&gt;0",ENSAYOS!$G$5:$G$3004,"&gt;="&amp;CONFIG!$B$27)))</f>
        <v/>
      </c>
      <c r="W133" s="18" t="str">
        <f aca="false">IF(AND(U133&lt;&gt;"",V133&lt;&gt;""),U133/V133,"")</f>
        <v/>
      </c>
      <c r="X133" s="18" t="str">
        <f aca="false">IF(U133="","",INDEX('CURVA EDAD'!$E$5:$E$32,MIN(28,MAX(1,N133))))</f>
        <v/>
      </c>
      <c r="Y133" s="16" t="str">
        <f aca="false">IF(V133&lt;&gt;"",V133,IF(U133="","",U133/X133))</f>
        <v/>
      </c>
      <c r="Z133" s="16" t="str">
        <f aca="false">IF(V133&lt;&gt;"",_xlfn.MINIFS(ENSAYOS!$Q$5:$Q$3004,ENSAYOS!$C$5:$C$3004,F133,ENSAYOS!$Q$5:$Q$3004,"&gt;0",ENSAYOS!$G$5:$G$3004,"&gt;="&amp;CONFIG!$B$27),IF(U133="","",_xlfn.MINIFS(ENSAYOS!$Q$5:$Q$3004,ENSAYOS!$C$5:$C$3004,F133,ENSAYOS!$Q$5:$Q$3004,"&gt;0",ENSAYOS!$G$5:$G$3004,N133)/X133))</f>
        <v/>
      </c>
      <c r="AA133" s="16" t="str">
        <f aca="false">IF(D133="","",IFERROR(1/(1/INDEX(CONFIG!$J$5:$J$14,MATCH(D133,CONFIG!$D$5:$D$14,0))),""))</f>
        <v/>
      </c>
      <c r="AB133" s="16" t="str">
        <f aca="false">IF(D133="","",IFERROR(1/(1/INDEX(CONFIG!$K$5:$K$14,MATCH(D133,CONFIG!$D$5:$D$14,0))),""))</f>
        <v/>
      </c>
      <c r="AC133" s="19" t="str">
        <f aca="false">IF(N(M133)=0,"",IF(AA133="","Sin spec",IF(AND(Y133&gt;=AA133,OR(AB133="",Z133&gt;=AB133)),"CUMPLE","NO CUMPLE")&amp;IF(V133=""," (est.)","")))</f>
        <v/>
      </c>
      <c r="AD133" s="20" t="str">
        <f aca="false">IF(F133="","",IF(COUNTIFS(ABSORCION!$C$5:$C$1004,F133,ABSORCION!$I$5:$I$1004,"&gt;0")=0,"",AVERAGEIFS(ABSORCION!$I$5:$I$1004,ABSORCION!$C$5:$C$1004,F133,ABSORCION!$I$5:$I$1004,"&gt;0")))</f>
        <v/>
      </c>
      <c r="AE133" s="20" t="str">
        <f aca="false">IF(F133="","",IF(COUNTIFS(ABSORCION!$C$5:$C$1004,F133,ABSORCION!$I$5:$I$1004,"&gt;0")=0,"",AVERAGEIFS(ABSORCION!$K$5:$K$1004,ABSORCION!$C$5:$C$1004,F133,ABSORCION!$I$5:$I$1004,"&gt;0")))</f>
        <v/>
      </c>
      <c r="AF133" s="20" t="str">
        <f aca="false">IF(AE133="","",IF(AE133&gt;=CONFIG!$E$21,CONFIG!$F$21,IF(AE133&gt;=CONFIG!$E$20,CONFIG!$F$20,CONFIG!$F$19)))</f>
        <v/>
      </c>
      <c r="AG133" s="21" t="str">
        <f aca="false">IF(F133="","",TRIM(IF(N(M133)=0,"Sin ensayos. ","")&amp;IF(AND(N(M133)&gt;0,N(M133)&lt;CONFIG!$B$26),"Menos de "&amp;CONFIG!$B$26&amp;" probetas. ","")&amp;IF(N(T133)&gt;CONFIG!$B$25,"CV alto. ","")&amp;IF(AND(N(AD133)&gt;0,N(AD133)&gt;N(AF133)),"Absorción alta. ","")))</f>
        <v/>
      </c>
      <c r="AH133" s="22" t="str">
        <f aca="false">IF(AND(N(M133)&gt;0,OR(CONTROL!$C$4="TODAS",C133=CONTROL!$C$4),D133=CONTROL!$C$5),MAX($AH$4:AH132)+1,"")</f>
        <v/>
      </c>
      <c r="AI133" s="22" t="str">
        <f aca="false">IF(AH133="","",P133^2)</f>
        <v/>
      </c>
    </row>
    <row r="134" customFormat="false" ht="15" hidden="false" customHeight="false" outlineLevel="0" collapsed="false">
      <c r="A134" s="11" t="str">
        <f aca="false">IF(B134="","",ROW()-4)</f>
        <v/>
      </c>
      <c r="B134" s="12"/>
      <c r="C134" s="13"/>
      <c r="D134" s="13"/>
      <c r="E134" s="13"/>
      <c r="F134" s="14" t="str">
        <f aca="false">IF(OR(B134="",C134="",D134=""),"",IFERROR(INDEX(CONFIG!$E$5:$E$14,MATCH(D134,CONFIG!$D$5:$D$14,0)),"?")&amp;RIGHT("0"&amp;DAY(B134),2)&amp;RIGHT("0"&amp;MONTH(B134),2)&amp;RIGHT(YEAR(B134),2)&amp;C134&amp;IF(E134="","","-"&amp;E134))</f>
        <v/>
      </c>
      <c r="G134" s="13"/>
      <c r="H134" s="13"/>
      <c r="I134" s="13"/>
      <c r="J134" s="13"/>
      <c r="K134" s="13"/>
      <c r="L134" s="13"/>
      <c r="M134" s="11" t="str">
        <f aca="false">IF(F134="","",COUNTIFS(ENSAYOS!$C$5:$C$3004,F134,ENSAYOS!$Q$5:$Q$3004,"&gt;0"))</f>
        <v/>
      </c>
      <c r="N134" s="15" t="str">
        <f aca="false">IF(N(M134)=0,"",_xlfn.MINIFS(ENSAYOS!$G$5:$G$3004,ENSAYOS!$C$5:$C$3004,F134,ENSAYOS!$Q$5:$Q$3004,"&gt;0"))</f>
        <v/>
      </c>
      <c r="O134" s="15" t="str">
        <f aca="false">IF(N(M134)=0,"",_xlfn.MAXIFS(ENSAYOS!$G$5:$G$3004,ENSAYOS!$C$5:$C$3004,F134,ENSAYOS!$Q$5:$Q$3004,"&gt;0"))</f>
        <v/>
      </c>
      <c r="P134" s="16" t="str">
        <f aca="false">IF(N(M134)=0,"",AVERAGEIFS(ENSAYOS!$Q$5:$Q$3004,ENSAYOS!$C$5:$C$3004,F134,ENSAYOS!$Q$5:$Q$3004,"&gt;0"))</f>
        <v/>
      </c>
      <c r="Q134" s="16" t="str">
        <f aca="false">IF(N(M134)=0,"",_xlfn.MINIFS(ENSAYOS!$Q$5:$Q$3004,ENSAYOS!$C$5:$C$3004,F134,ENSAYOS!$Q$5:$Q$3004,"&gt;0"))</f>
        <v/>
      </c>
      <c r="R134" s="16" t="str">
        <f aca="false">IF(N(M134)=0,"",_xlfn.MAXIFS(ENSAYOS!$Q$5:$Q$3004,ENSAYOS!$C$5:$C$3004,F134,ENSAYOS!$Q$5:$Q$3004,"&gt;0"))</f>
        <v/>
      </c>
      <c r="S134" s="16" t="str">
        <f aca="false">IF(N(M134)&lt;2,"",SQRT(MAX(0,(SUMIFS(ENSAYOS!$X$5:$X$3004,ENSAYOS!$C$5:$C$3004,F134,ENSAYOS!$Q$5:$Q$3004,"&gt;0")-M134*P134^2)/(M134-1))))</f>
        <v/>
      </c>
      <c r="T134" s="17" t="str">
        <f aca="false">IF(S134="","",S134/P134)</f>
        <v/>
      </c>
      <c r="U134" s="16" t="str">
        <f aca="false">IF(N(M134)=0,"",IF(N134&gt;=CONFIG!$B$27,"",AVERAGEIFS(ENSAYOS!$Q$5:$Q$3004,ENSAYOS!$C$5:$C$3004,F134,ENSAYOS!$Q$5:$Q$3004,"&gt;0",ENSAYOS!$G$5:$G$3004,N134)))</f>
        <v/>
      </c>
      <c r="V134" s="16" t="str">
        <f aca="false">IF(N(M134)=0,"",IF(COUNTIFS(ENSAYOS!$C$5:$C$3004,F134,ENSAYOS!$Q$5:$Q$3004,"&gt;0",ENSAYOS!$G$5:$G$3004,"&gt;="&amp;CONFIG!$B$27)=0,"",AVERAGEIFS(ENSAYOS!$Q$5:$Q$3004,ENSAYOS!$C$5:$C$3004,F134,ENSAYOS!$Q$5:$Q$3004,"&gt;0",ENSAYOS!$G$5:$G$3004,"&gt;="&amp;CONFIG!$B$27)))</f>
        <v/>
      </c>
      <c r="W134" s="18" t="str">
        <f aca="false">IF(AND(U134&lt;&gt;"",V134&lt;&gt;""),U134/V134,"")</f>
        <v/>
      </c>
      <c r="X134" s="18" t="str">
        <f aca="false">IF(U134="","",INDEX('CURVA EDAD'!$E$5:$E$32,MIN(28,MAX(1,N134))))</f>
        <v/>
      </c>
      <c r="Y134" s="16" t="str">
        <f aca="false">IF(V134&lt;&gt;"",V134,IF(U134="","",U134/X134))</f>
        <v/>
      </c>
      <c r="Z134" s="16" t="str">
        <f aca="false">IF(V134&lt;&gt;"",_xlfn.MINIFS(ENSAYOS!$Q$5:$Q$3004,ENSAYOS!$C$5:$C$3004,F134,ENSAYOS!$Q$5:$Q$3004,"&gt;0",ENSAYOS!$G$5:$G$3004,"&gt;="&amp;CONFIG!$B$27),IF(U134="","",_xlfn.MINIFS(ENSAYOS!$Q$5:$Q$3004,ENSAYOS!$C$5:$C$3004,F134,ENSAYOS!$Q$5:$Q$3004,"&gt;0",ENSAYOS!$G$5:$G$3004,N134)/X134))</f>
        <v/>
      </c>
      <c r="AA134" s="16" t="str">
        <f aca="false">IF(D134="","",IFERROR(1/(1/INDEX(CONFIG!$J$5:$J$14,MATCH(D134,CONFIG!$D$5:$D$14,0))),""))</f>
        <v/>
      </c>
      <c r="AB134" s="16" t="str">
        <f aca="false">IF(D134="","",IFERROR(1/(1/INDEX(CONFIG!$K$5:$K$14,MATCH(D134,CONFIG!$D$5:$D$14,0))),""))</f>
        <v/>
      </c>
      <c r="AC134" s="19" t="str">
        <f aca="false">IF(N(M134)=0,"",IF(AA134="","Sin spec",IF(AND(Y134&gt;=AA134,OR(AB134="",Z134&gt;=AB134)),"CUMPLE","NO CUMPLE")&amp;IF(V134=""," (est.)","")))</f>
        <v/>
      </c>
      <c r="AD134" s="20" t="str">
        <f aca="false">IF(F134="","",IF(COUNTIFS(ABSORCION!$C$5:$C$1004,F134,ABSORCION!$I$5:$I$1004,"&gt;0")=0,"",AVERAGEIFS(ABSORCION!$I$5:$I$1004,ABSORCION!$C$5:$C$1004,F134,ABSORCION!$I$5:$I$1004,"&gt;0")))</f>
        <v/>
      </c>
      <c r="AE134" s="20" t="str">
        <f aca="false">IF(F134="","",IF(COUNTIFS(ABSORCION!$C$5:$C$1004,F134,ABSORCION!$I$5:$I$1004,"&gt;0")=0,"",AVERAGEIFS(ABSORCION!$K$5:$K$1004,ABSORCION!$C$5:$C$1004,F134,ABSORCION!$I$5:$I$1004,"&gt;0")))</f>
        <v/>
      </c>
      <c r="AF134" s="20" t="str">
        <f aca="false">IF(AE134="","",IF(AE134&gt;=CONFIG!$E$21,CONFIG!$F$21,IF(AE134&gt;=CONFIG!$E$20,CONFIG!$F$20,CONFIG!$F$19)))</f>
        <v/>
      </c>
      <c r="AG134" s="21" t="str">
        <f aca="false">IF(F134="","",TRIM(IF(N(M134)=0,"Sin ensayos. ","")&amp;IF(AND(N(M134)&gt;0,N(M134)&lt;CONFIG!$B$26),"Menos de "&amp;CONFIG!$B$26&amp;" probetas. ","")&amp;IF(N(T134)&gt;CONFIG!$B$25,"CV alto. ","")&amp;IF(AND(N(AD134)&gt;0,N(AD134)&gt;N(AF134)),"Absorción alta. ","")))</f>
        <v/>
      </c>
      <c r="AH134" s="22" t="str">
        <f aca="false">IF(AND(N(M134)&gt;0,OR(CONTROL!$C$4="TODAS",C134=CONTROL!$C$4),D134=CONTROL!$C$5),MAX($AH$4:AH133)+1,"")</f>
        <v/>
      </c>
      <c r="AI134" s="22" t="str">
        <f aca="false">IF(AH134="","",P134^2)</f>
        <v/>
      </c>
    </row>
    <row r="135" customFormat="false" ht="15" hidden="false" customHeight="false" outlineLevel="0" collapsed="false">
      <c r="A135" s="11" t="str">
        <f aca="false">IF(B135="","",ROW()-4)</f>
        <v/>
      </c>
      <c r="B135" s="12"/>
      <c r="C135" s="13"/>
      <c r="D135" s="13"/>
      <c r="E135" s="13"/>
      <c r="F135" s="14" t="str">
        <f aca="false">IF(OR(B135="",C135="",D135=""),"",IFERROR(INDEX(CONFIG!$E$5:$E$14,MATCH(D135,CONFIG!$D$5:$D$14,0)),"?")&amp;RIGHT("0"&amp;DAY(B135),2)&amp;RIGHT("0"&amp;MONTH(B135),2)&amp;RIGHT(YEAR(B135),2)&amp;C135&amp;IF(E135="","","-"&amp;E135))</f>
        <v/>
      </c>
      <c r="G135" s="13"/>
      <c r="H135" s="13"/>
      <c r="I135" s="13"/>
      <c r="J135" s="13"/>
      <c r="K135" s="13"/>
      <c r="L135" s="13"/>
      <c r="M135" s="11" t="str">
        <f aca="false">IF(F135="","",COUNTIFS(ENSAYOS!$C$5:$C$3004,F135,ENSAYOS!$Q$5:$Q$3004,"&gt;0"))</f>
        <v/>
      </c>
      <c r="N135" s="15" t="str">
        <f aca="false">IF(N(M135)=0,"",_xlfn.MINIFS(ENSAYOS!$G$5:$G$3004,ENSAYOS!$C$5:$C$3004,F135,ENSAYOS!$Q$5:$Q$3004,"&gt;0"))</f>
        <v/>
      </c>
      <c r="O135" s="15" t="str">
        <f aca="false">IF(N(M135)=0,"",_xlfn.MAXIFS(ENSAYOS!$G$5:$G$3004,ENSAYOS!$C$5:$C$3004,F135,ENSAYOS!$Q$5:$Q$3004,"&gt;0"))</f>
        <v/>
      </c>
      <c r="P135" s="16" t="str">
        <f aca="false">IF(N(M135)=0,"",AVERAGEIFS(ENSAYOS!$Q$5:$Q$3004,ENSAYOS!$C$5:$C$3004,F135,ENSAYOS!$Q$5:$Q$3004,"&gt;0"))</f>
        <v/>
      </c>
      <c r="Q135" s="16" t="str">
        <f aca="false">IF(N(M135)=0,"",_xlfn.MINIFS(ENSAYOS!$Q$5:$Q$3004,ENSAYOS!$C$5:$C$3004,F135,ENSAYOS!$Q$5:$Q$3004,"&gt;0"))</f>
        <v/>
      </c>
      <c r="R135" s="16" t="str">
        <f aca="false">IF(N(M135)=0,"",_xlfn.MAXIFS(ENSAYOS!$Q$5:$Q$3004,ENSAYOS!$C$5:$C$3004,F135,ENSAYOS!$Q$5:$Q$3004,"&gt;0"))</f>
        <v/>
      </c>
      <c r="S135" s="16" t="str">
        <f aca="false">IF(N(M135)&lt;2,"",SQRT(MAX(0,(SUMIFS(ENSAYOS!$X$5:$X$3004,ENSAYOS!$C$5:$C$3004,F135,ENSAYOS!$Q$5:$Q$3004,"&gt;0")-M135*P135^2)/(M135-1))))</f>
        <v/>
      </c>
      <c r="T135" s="17" t="str">
        <f aca="false">IF(S135="","",S135/P135)</f>
        <v/>
      </c>
      <c r="U135" s="16" t="str">
        <f aca="false">IF(N(M135)=0,"",IF(N135&gt;=CONFIG!$B$27,"",AVERAGEIFS(ENSAYOS!$Q$5:$Q$3004,ENSAYOS!$C$5:$C$3004,F135,ENSAYOS!$Q$5:$Q$3004,"&gt;0",ENSAYOS!$G$5:$G$3004,N135)))</f>
        <v/>
      </c>
      <c r="V135" s="16" t="str">
        <f aca="false">IF(N(M135)=0,"",IF(COUNTIFS(ENSAYOS!$C$5:$C$3004,F135,ENSAYOS!$Q$5:$Q$3004,"&gt;0",ENSAYOS!$G$5:$G$3004,"&gt;="&amp;CONFIG!$B$27)=0,"",AVERAGEIFS(ENSAYOS!$Q$5:$Q$3004,ENSAYOS!$C$5:$C$3004,F135,ENSAYOS!$Q$5:$Q$3004,"&gt;0",ENSAYOS!$G$5:$G$3004,"&gt;="&amp;CONFIG!$B$27)))</f>
        <v/>
      </c>
      <c r="W135" s="18" t="str">
        <f aca="false">IF(AND(U135&lt;&gt;"",V135&lt;&gt;""),U135/V135,"")</f>
        <v/>
      </c>
      <c r="X135" s="18" t="str">
        <f aca="false">IF(U135="","",INDEX('CURVA EDAD'!$E$5:$E$32,MIN(28,MAX(1,N135))))</f>
        <v/>
      </c>
      <c r="Y135" s="16" t="str">
        <f aca="false">IF(V135&lt;&gt;"",V135,IF(U135="","",U135/X135))</f>
        <v/>
      </c>
      <c r="Z135" s="16" t="str">
        <f aca="false">IF(V135&lt;&gt;"",_xlfn.MINIFS(ENSAYOS!$Q$5:$Q$3004,ENSAYOS!$C$5:$C$3004,F135,ENSAYOS!$Q$5:$Q$3004,"&gt;0",ENSAYOS!$G$5:$G$3004,"&gt;="&amp;CONFIG!$B$27),IF(U135="","",_xlfn.MINIFS(ENSAYOS!$Q$5:$Q$3004,ENSAYOS!$C$5:$C$3004,F135,ENSAYOS!$Q$5:$Q$3004,"&gt;0",ENSAYOS!$G$5:$G$3004,N135)/X135))</f>
        <v/>
      </c>
      <c r="AA135" s="16" t="str">
        <f aca="false">IF(D135="","",IFERROR(1/(1/INDEX(CONFIG!$J$5:$J$14,MATCH(D135,CONFIG!$D$5:$D$14,0))),""))</f>
        <v/>
      </c>
      <c r="AB135" s="16" t="str">
        <f aca="false">IF(D135="","",IFERROR(1/(1/INDEX(CONFIG!$K$5:$K$14,MATCH(D135,CONFIG!$D$5:$D$14,0))),""))</f>
        <v/>
      </c>
      <c r="AC135" s="19" t="str">
        <f aca="false">IF(N(M135)=0,"",IF(AA135="","Sin spec",IF(AND(Y135&gt;=AA135,OR(AB135="",Z135&gt;=AB135)),"CUMPLE","NO CUMPLE")&amp;IF(V135=""," (est.)","")))</f>
        <v/>
      </c>
      <c r="AD135" s="20" t="str">
        <f aca="false">IF(F135="","",IF(COUNTIFS(ABSORCION!$C$5:$C$1004,F135,ABSORCION!$I$5:$I$1004,"&gt;0")=0,"",AVERAGEIFS(ABSORCION!$I$5:$I$1004,ABSORCION!$C$5:$C$1004,F135,ABSORCION!$I$5:$I$1004,"&gt;0")))</f>
        <v/>
      </c>
      <c r="AE135" s="20" t="str">
        <f aca="false">IF(F135="","",IF(COUNTIFS(ABSORCION!$C$5:$C$1004,F135,ABSORCION!$I$5:$I$1004,"&gt;0")=0,"",AVERAGEIFS(ABSORCION!$K$5:$K$1004,ABSORCION!$C$5:$C$1004,F135,ABSORCION!$I$5:$I$1004,"&gt;0")))</f>
        <v/>
      </c>
      <c r="AF135" s="20" t="str">
        <f aca="false">IF(AE135="","",IF(AE135&gt;=CONFIG!$E$21,CONFIG!$F$21,IF(AE135&gt;=CONFIG!$E$20,CONFIG!$F$20,CONFIG!$F$19)))</f>
        <v/>
      </c>
      <c r="AG135" s="21" t="str">
        <f aca="false">IF(F135="","",TRIM(IF(N(M135)=0,"Sin ensayos. ","")&amp;IF(AND(N(M135)&gt;0,N(M135)&lt;CONFIG!$B$26),"Menos de "&amp;CONFIG!$B$26&amp;" probetas. ","")&amp;IF(N(T135)&gt;CONFIG!$B$25,"CV alto. ","")&amp;IF(AND(N(AD135)&gt;0,N(AD135)&gt;N(AF135)),"Absorción alta. ","")))</f>
        <v/>
      </c>
      <c r="AH135" s="22" t="str">
        <f aca="false">IF(AND(N(M135)&gt;0,OR(CONTROL!$C$4="TODAS",C135=CONTROL!$C$4),D135=CONTROL!$C$5),MAX($AH$4:AH134)+1,"")</f>
        <v/>
      </c>
      <c r="AI135" s="22" t="str">
        <f aca="false">IF(AH135="","",P135^2)</f>
        <v/>
      </c>
    </row>
    <row r="136" customFormat="false" ht="15" hidden="false" customHeight="false" outlineLevel="0" collapsed="false">
      <c r="A136" s="11" t="str">
        <f aca="false">IF(B136="","",ROW()-4)</f>
        <v/>
      </c>
      <c r="B136" s="12"/>
      <c r="C136" s="13"/>
      <c r="D136" s="13"/>
      <c r="E136" s="13"/>
      <c r="F136" s="14" t="str">
        <f aca="false">IF(OR(B136="",C136="",D136=""),"",IFERROR(INDEX(CONFIG!$E$5:$E$14,MATCH(D136,CONFIG!$D$5:$D$14,0)),"?")&amp;RIGHT("0"&amp;DAY(B136),2)&amp;RIGHT("0"&amp;MONTH(B136),2)&amp;RIGHT(YEAR(B136),2)&amp;C136&amp;IF(E136="","","-"&amp;E136))</f>
        <v/>
      </c>
      <c r="G136" s="13"/>
      <c r="H136" s="13"/>
      <c r="I136" s="13"/>
      <c r="J136" s="13"/>
      <c r="K136" s="13"/>
      <c r="L136" s="13"/>
      <c r="M136" s="11" t="str">
        <f aca="false">IF(F136="","",COUNTIFS(ENSAYOS!$C$5:$C$3004,F136,ENSAYOS!$Q$5:$Q$3004,"&gt;0"))</f>
        <v/>
      </c>
      <c r="N136" s="15" t="str">
        <f aca="false">IF(N(M136)=0,"",_xlfn.MINIFS(ENSAYOS!$G$5:$G$3004,ENSAYOS!$C$5:$C$3004,F136,ENSAYOS!$Q$5:$Q$3004,"&gt;0"))</f>
        <v/>
      </c>
      <c r="O136" s="15" t="str">
        <f aca="false">IF(N(M136)=0,"",_xlfn.MAXIFS(ENSAYOS!$G$5:$G$3004,ENSAYOS!$C$5:$C$3004,F136,ENSAYOS!$Q$5:$Q$3004,"&gt;0"))</f>
        <v/>
      </c>
      <c r="P136" s="16" t="str">
        <f aca="false">IF(N(M136)=0,"",AVERAGEIFS(ENSAYOS!$Q$5:$Q$3004,ENSAYOS!$C$5:$C$3004,F136,ENSAYOS!$Q$5:$Q$3004,"&gt;0"))</f>
        <v/>
      </c>
      <c r="Q136" s="16" t="str">
        <f aca="false">IF(N(M136)=0,"",_xlfn.MINIFS(ENSAYOS!$Q$5:$Q$3004,ENSAYOS!$C$5:$C$3004,F136,ENSAYOS!$Q$5:$Q$3004,"&gt;0"))</f>
        <v/>
      </c>
      <c r="R136" s="16" t="str">
        <f aca="false">IF(N(M136)=0,"",_xlfn.MAXIFS(ENSAYOS!$Q$5:$Q$3004,ENSAYOS!$C$5:$C$3004,F136,ENSAYOS!$Q$5:$Q$3004,"&gt;0"))</f>
        <v/>
      </c>
      <c r="S136" s="16" t="str">
        <f aca="false">IF(N(M136)&lt;2,"",SQRT(MAX(0,(SUMIFS(ENSAYOS!$X$5:$X$3004,ENSAYOS!$C$5:$C$3004,F136,ENSAYOS!$Q$5:$Q$3004,"&gt;0")-M136*P136^2)/(M136-1))))</f>
        <v/>
      </c>
      <c r="T136" s="17" t="str">
        <f aca="false">IF(S136="","",S136/P136)</f>
        <v/>
      </c>
      <c r="U136" s="16" t="str">
        <f aca="false">IF(N(M136)=0,"",IF(N136&gt;=CONFIG!$B$27,"",AVERAGEIFS(ENSAYOS!$Q$5:$Q$3004,ENSAYOS!$C$5:$C$3004,F136,ENSAYOS!$Q$5:$Q$3004,"&gt;0",ENSAYOS!$G$5:$G$3004,N136)))</f>
        <v/>
      </c>
      <c r="V136" s="16" t="str">
        <f aca="false">IF(N(M136)=0,"",IF(COUNTIFS(ENSAYOS!$C$5:$C$3004,F136,ENSAYOS!$Q$5:$Q$3004,"&gt;0",ENSAYOS!$G$5:$G$3004,"&gt;="&amp;CONFIG!$B$27)=0,"",AVERAGEIFS(ENSAYOS!$Q$5:$Q$3004,ENSAYOS!$C$5:$C$3004,F136,ENSAYOS!$Q$5:$Q$3004,"&gt;0",ENSAYOS!$G$5:$G$3004,"&gt;="&amp;CONFIG!$B$27)))</f>
        <v/>
      </c>
      <c r="W136" s="18" t="str">
        <f aca="false">IF(AND(U136&lt;&gt;"",V136&lt;&gt;""),U136/V136,"")</f>
        <v/>
      </c>
      <c r="X136" s="18" t="str">
        <f aca="false">IF(U136="","",INDEX('CURVA EDAD'!$E$5:$E$32,MIN(28,MAX(1,N136))))</f>
        <v/>
      </c>
      <c r="Y136" s="16" t="str">
        <f aca="false">IF(V136&lt;&gt;"",V136,IF(U136="","",U136/X136))</f>
        <v/>
      </c>
      <c r="Z136" s="16" t="str">
        <f aca="false">IF(V136&lt;&gt;"",_xlfn.MINIFS(ENSAYOS!$Q$5:$Q$3004,ENSAYOS!$C$5:$C$3004,F136,ENSAYOS!$Q$5:$Q$3004,"&gt;0",ENSAYOS!$G$5:$G$3004,"&gt;="&amp;CONFIG!$B$27),IF(U136="","",_xlfn.MINIFS(ENSAYOS!$Q$5:$Q$3004,ENSAYOS!$C$5:$C$3004,F136,ENSAYOS!$Q$5:$Q$3004,"&gt;0",ENSAYOS!$G$5:$G$3004,N136)/X136))</f>
        <v/>
      </c>
      <c r="AA136" s="16" t="str">
        <f aca="false">IF(D136="","",IFERROR(1/(1/INDEX(CONFIG!$J$5:$J$14,MATCH(D136,CONFIG!$D$5:$D$14,0))),""))</f>
        <v/>
      </c>
      <c r="AB136" s="16" t="str">
        <f aca="false">IF(D136="","",IFERROR(1/(1/INDEX(CONFIG!$K$5:$K$14,MATCH(D136,CONFIG!$D$5:$D$14,0))),""))</f>
        <v/>
      </c>
      <c r="AC136" s="19" t="str">
        <f aca="false">IF(N(M136)=0,"",IF(AA136="","Sin spec",IF(AND(Y136&gt;=AA136,OR(AB136="",Z136&gt;=AB136)),"CUMPLE","NO CUMPLE")&amp;IF(V136=""," (est.)","")))</f>
        <v/>
      </c>
      <c r="AD136" s="20" t="str">
        <f aca="false">IF(F136="","",IF(COUNTIFS(ABSORCION!$C$5:$C$1004,F136,ABSORCION!$I$5:$I$1004,"&gt;0")=0,"",AVERAGEIFS(ABSORCION!$I$5:$I$1004,ABSORCION!$C$5:$C$1004,F136,ABSORCION!$I$5:$I$1004,"&gt;0")))</f>
        <v/>
      </c>
      <c r="AE136" s="20" t="str">
        <f aca="false">IF(F136="","",IF(COUNTIFS(ABSORCION!$C$5:$C$1004,F136,ABSORCION!$I$5:$I$1004,"&gt;0")=0,"",AVERAGEIFS(ABSORCION!$K$5:$K$1004,ABSORCION!$C$5:$C$1004,F136,ABSORCION!$I$5:$I$1004,"&gt;0")))</f>
        <v/>
      </c>
      <c r="AF136" s="20" t="str">
        <f aca="false">IF(AE136="","",IF(AE136&gt;=CONFIG!$E$21,CONFIG!$F$21,IF(AE136&gt;=CONFIG!$E$20,CONFIG!$F$20,CONFIG!$F$19)))</f>
        <v/>
      </c>
      <c r="AG136" s="21" t="str">
        <f aca="false">IF(F136="","",TRIM(IF(N(M136)=0,"Sin ensayos. ","")&amp;IF(AND(N(M136)&gt;0,N(M136)&lt;CONFIG!$B$26),"Menos de "&amp;CONFIG!$B$26&amp;" probetas. ","")&amp;IF(N(T136)&gt;CONFIG!$B$25,"CV alto. ","")&amp;IF(AND(N(AD136)&gt;0,N(AD136)&gt;N(AF136)),"Absorción alta. ","")))</f>
        <v/>
      </c>
      <c r="AH136" s="22" t="str">
        <f aca="false">IF(AND(N(M136)&gt;0,OR(CONTROL!$C$4="TODAS",C136=CONTROL!$C$4),D136=CONTROL!$C$5),MAX($AH$4:AH135)+1,"")</f>
        <v/>
      </c>
      <c r="AI136" s="22" t="str">
        <f aca="false">IF(AH136="","",P136^2)</f>
        <v/>
      </c>
    </row>
    <row r="137" customFormat="false" ht="15" hidden="false" customHeight="false" outlineLevel="0" collapsed="false">
      <c r="A137" s="11" t="str">
        <f aca="false">IF(B137="","",ROW()-4)</f>
        <v/>
      </c>
      <c r="B137" s="12"/>
      <c r="C137" s="13"/>
      <c r="D137" s="13"/>
      <c r="E137" s="13"/>
      <c r="F137" s="14" t="str">
        <f aca="false">IF(OR(B137="",C137="",D137=""),"",IFERROR(INDEX(CONFIG!$E$5:$E$14,MATCH(D137,CONFIG!$D$5:$D$14,0)),"?")&amp;RIGHT("0"&amp;DAY(B137),2)&amp;RIGHT("0"&amp;MONTH(B137),2)&amp;RIGHT(YEAR(B137),2)&amp;C137&amp;IF(E137="","","-"&amp;E137))</f>
        <v/>
      </c>
      <c r="G137" s="13"/>
      <c r="H137" s="13"/>
      <c r="I137" s="13"/>
      <c r="J137" s="13"/>
      <c r="K137" s="13"/>
      <c r="L137" s="13"/>
      <c r="M137" s="11" t="str">
        <f aca="false">IF(F137="","",COUNTIFS(ENSAYOS!$C$5:$C$3004,F137,ENSAYOS!$Q$5:$Q$3004,"&gt;0"))</f>
        <v/>
      </c>
      <c r="N137" s="15" t="str">
        <f aca="false">IF(N(M137)=0,"",_xlfn.MINIFS(ENSAYOS!$G$5:$G$3004,ENSAYOS!$C$5:$C$3004,F137,ENSAYOS!$Q$5:$Q$3004,"&gt;0"))</f>
        <v/>
      </c>
      <c r="O137" s="15" t="str">
        <f aca="false">IF(N(M137)=0,"",_xlfn.MAXIFS(ENSAYOS!$G$5:$G$3004,ENSAYOS!$C$5:$C$3004,F137,ENSAYOS!$Q$5:$Q$3004,"&gt;0"))</f>
        <v/>
      </c>
      <c r="P137" s="16" t="str">
        <f aca="false">IF(N(M137)=0,"",AVERAGEIFS(ENSAYOS!$Q$5:$Q$3004,ENSAYOS!$C$5:$C$3004,F137,ENSAYOS!$Q$5:$Q$3004,"&gt;0"))</f>
        <v/>
      </c>
      <c r="Q137" s="16" t="str">
        <f aca="false">IF(N(M137)=0,"",_xlfn.MINIFS(ENSAYOS!$Q$5:$Q$3004,ENSAYOS!$C$5:$C$3004,F137,ENSAYOS!$Q$5:$Q$3004,"&gt;0"))</f>
        <v/>
      </c>
      <c r="R137" s="16" t="str">
        <f aca="false">IF(N(M137)=0,"",_xlfn.MAXIFS(ENSAYOS!$Q$5:$Q$3004,ENSAYOS!$C$5:$C$3004,F137,ENSAYOS!$Q$5:$Q$3004,"&gt;0"))</f>
        <v/>
      </c>
      <c r="S137" s="16" t="str">
        <f aca="false">IF(N(M137)&lt;2,"",SQRT(MAX(0,(SUMIFS(ENSAYOS!$X$5:$X$3004,ENSAYOS!$C$5:$C$3004,F137,ENSAYOS!$Q$5:$Q$3004,"&gt;0")-M137*P137^2)/(M137-1))))</f>
        <v/>
      </c>
      <c r="T137" s="17" t="str">
        <f aca="false">IF(S137="","",S137/P137)</f>
        <v/>
      </c>
      <c r="U137" s="16" t="str">
        <f aca="false">IF(N(M137)=0,"",IF(N137&gt;=CONFIG!$B$27,"",AVERAGEIFS(ENSAYOS!$Q$5:$Q$3004,ENSAYOS!$C$5:$C$3004,F137,ENSAYOS!$Q$5:$Q$3004,"&gt;0",ENSAYOS!$G$5:$G$3004,N137)))</f>
        <v/>
      </c>
      <c r="V137" s="16" t="str">
        <f aca="false">IF(N(M137)=0,"",IF(COUNTIFS(ENSAYOS!$C$5:$C$3004,F137,ENSAYOS!$Q$5:$Q$3004,"&gt;0",ENSAYOS!$G$5:$G$3004,"&gt;="&amp;CONFIG!$B$27)=0,"",AVERAGEIFS(ENSAYOS!$Q$5:$Q$3004,ENSAYOS!$C$5:$C$3004,F137,ENSAYOS!$Q$5:$Q$3004,"&gt;0",ENSAYOS!$G$5:$G$3004,"&gt;="&amp;CONFIG!$B$27)))</f>
        <v/>
      </c>
      <c r="W137" s="18" t="str">
        <f aca="false">IF(AND(U137&lt;&gt;"",V137&lt;&gt;""),U137/V137,"")</f>
        <v/>
      </c>
      <c r="X137" s="18" t="str">
        <f aca="false">IF(U137="","",INDEX('CURVA EDAD'!$E$5:$E$32,MIN(28,MAX(1,N137))))</f>
        <v/>
      </c>
      <c r="Y137" s="16" t="str">
        <f aca="false">IF(V137&lt;&gt;"",V137,IF(U137="","",U137/X137))</f>
        <v/>
      </c>
      <c r="Z137" s="16" t="str">
        <f aca="false">IF(V137&lt;&gt;"",_xlfn.MINIFS(ENSAYOS!$Q$5:$Q$3004,ENSAYOS!$C$5:$C$3004,F137,ENSAYOS!$Q$5:$Q$3004,"&gt;0",ENSAYOS!$G$5:$G$3004,"&gt;="&amp;CONFIG!$B$27),IF(U137="","",_xlfn.MINIFS(ENSAYOS!$Q$5:$Q$3004,ENSAYOS!$C$5:$C$3004,F137,ENSAYOS!$Q$5:$Q$3004,"&gt;0",ENSAYOS!$G$5:$G$3004,N137)/X137))</f>
        <v/>
      </c>
      <c r="AA137" s="16" t="str">
        <f aca="false">IF(D137="","",IFERROR(1/(1/INDEX(CONFIG!$J$5:$J$14,MATCH(D137,CONFIG!$D$5:$D$14,0))),""))</f>
        <v/>
      </c>
      <c r="AB137" s="16" t="str">
        <f aca="false">IF(D137="","",IFERROR(1/(1/INDEX(CONFIG!$K$5:$K$14,MATCH(D137,CONFIG!$D$5:$D$14,0))),""))</f>
        <v/>
      </c>
      <c r="AC137" s="19" t="str">
        <f aca="false">IF(N(M137)=0,"",IF(AA137="","Sin spec",IF(AND(Y137&gt;=AA137,OR(AB137="",Z137&gt;=AB137)),"CUMPLE","NO CUMPLE")&amp;IF(V137=""," (est.)","")))</f>
        <v/>
      </c>
      <c r="AD137" s="20" t="str">
        <f aca="false">IF(F137="","",IF(COUNTIFS(ABSORCION!$C$5:$C$1004,F137,ABSORCION!$I$5:$I$1004,"&gt;0")=0,"",AVERAGEIFS(ABSORCION!$I$5:$I$1004,ABSORCION!$C$5:$C$1004,F137,ABSORCION!$I$5:$I$1004,"&gt;0")))</f>
        <v/>
      </c>
      <c r="AE137" s="20" t="str">
        <f aca="false">IF(F137="","",IF(COUNTIFS(ABSORCION!$C$5:$C$1004,F137,ABSORCION!$I$5:$I$1004,"&gt;0")=0,"",AVERAGEIFS(ABSORCION!$K$5:$K$1004,ABSORCION!$C$5:$C$1004,F137,ABSORCION!$I$5:$I$1004,"&gt;0")))</f>
        <v/>
      </c>
      <c r="AF137" s="20" t="str">
        <f aca="false">IF(AE137="","",IF(AE137&gt;=CONFIG!$E$21,CONFIG!$F$21,IF(AE137&gt;=CONFIG!$E$20,CONFIG!$F$20,CONFIG!$F$19)))</f>
        <v/>
      </c>
      <c r="AG137" s="21" t="str">
        <f aca="false">IF(F137="","",TRIM(IF(N(M137)=0,"Sin ensayos. ","")&amp;IF(AND(N(M137)&gt;0,N(M137)&lt;CONFIG!$B$26),"Menos de "&amp;CONFIG!$B$26&amp;" probetas. ","")&amp;IF(N(T137)&gt;CONFIG!$B$25,"CV alto. ","")&amp;IF(AND(N(AD137)&gt;0,N(AD137)&gt;N(AF137)),"Absorción alta. ","")))</f>
        <v/>
      </c>
      <c r="AH137" s="22" t="str">
        <f aca="false">IF(AND(N(M137)&gt;0,OR(CONTROL!$C$4="TODAS",C137=CONTROL!$C$4),D137=CONTROL!$C$5),MAX($AH$4:AH136)+1,"")</f>
        <v/>
      </c>
      <c r="AI137" s="22" t="str">
        <f aca="false">IF(AH137="","",P137^2)</f>
        <v/>
      </c>
    </row>
    <row r="138" customFormat="false" ht="15" hidden="false" customHeight="false" outlineLevel="0" collapsed="false">
      <c r="A138" s="11" t="str">
        <f aca="false">IF(B138="","",ROW()-4)</f>
        <v/>
      </c>
      <c r="B138" s="12"/>
      <c r="C138" s="13"/>
      <c r="D138" s="13"/>
      <c r="E138" s="13"/>
      <c r="F138" s="14" t="str">
        <f aca="false">IF(OR(B138="",C138="",D138=""),"",IFERROR(INDEX(CONFIG!$E$5:$E$14,MATCH(D138,CONFIG!$D$5:$D$14,0)),"?")&amp;RIGHT("0"&amp;DAY(B138),2)&amp;RIGHT("0"&amp;MONTH(B138),2)&amp;RIGHT(YEAR(B138),2)&amp;C138&amp;IF(E138="","","-"&amp;E138))</f>
        <v/>
      </c>
      <c r="G138" s="13"/>
      <c r="H138" s="13"/>
      <c r="I138" s="13"/>
      <c r="J138" s="13"/>
      <c r="K138" s="13"/>
      <c r="L138" s="13"/>
      <c r="M138" s="11" t="str">
        <f aca="false">IF(F138="","",COUNTIFS(ENSAYOS!$C$5:$C$3004,F138,ENSAYOS!$Q$5:$Q$3004,"&gt;0"))</f>
        <v/>
      </c>
      <c r="N138" s="15" t="str">
        <f aca="false">IF(N(M138)=0,"",_xlfn.MINIFS(ENSAYOS!$G$5:$G$3004,ENSAYOS!$C$5:$C$3004,F138,ENSAYOS!$Q$5:$Q$3004,"&gt;0"))</f>
        <v/>
      </c>
      <c r="O138" s="15" t="str">
        <f aca="false">IF(N(M138)=0,"",_xlfn.MAXIFS(ENSAYOS!$G$5:$G$3004,ENSAYOS!$C$5:$C$3004,F138,ENSAYOS!$Q$5:$Q$3004,"&gt;0"))</f>
        <v/>
      </c>
      <c r="P138" s="16" t="str">
        <f aca="false">IF(N(M138)=0,"",AVERAGEIFS(ENSAYOS!$Q$5:$Q$3004,ENSAYOS!$C$5:$C$3004,F138,ENSAYOS!$Q$5:$Q$3004,"&gt;0"))</f>
        <v/>
      </c>
      <c r="Q138" s="16" t="str">
        <f aca="false">IF(N(M138)=0,"",_xlfn.MINIFS(ENSAYOS!$Q$5:$Q$3004,ENSAYOS!$C$5:$C$3004,F138,ENSAYOS!$Q$5:$Q$3004,"&gt;0"))</f>
        <v/>
      </c>
      <c r="R138" s="16" t="str">
        <f aca="false">IF(N(M138)=0,"",_xlfn.MAXIFS(ENSAYOS!$Q$5:$Q$3004,ENSAYOS!$C$5:$C$3004,F138,ENSAYOS!$Q$5:$Q$3004,"&gt;0"))</f>
        <v/>
      </c>
      <c r="S138" s="16" t="str">
        <f aca="false">IF(N(M138)&lt;2,"",SQRT(MAX(0,(SUMIFS(ENSAYOS!$X$5:$X$3004,ENSAYOS!$C$5:$C$3004,F138,ENSAYOS!$Q$5:$Q$3004,"&gt;0")-M138*P138^2)/(M138-1))))</f>
        <v/>
      </c>
      <c r="T138" s="17" t="str">
        <f aca="false">IF(S138="","",S138/P138)</f>
        <v/>
      </c>
      <c r="U138" s="16" t="str">
        <f aca="false">IF(N(M138)=0,"",IF(N138&gt;=CONFIG!$B$27,"",AVERAGEIFS(ENSAYOS!$Q$5:$Q$3004,ENSAYOS!$C$5:$C$3004,F138,ENSAYOS!$Q$5:$Q$3004,"&gt;0",ENSAYOS!$G$5:$G$3004,N138)))</f>
        <v/>
      </c>
      <c r="V138" s="16" t="str">
        <f aca="false">IF(N(M138)=0,"",IF(COUNTIFS(ENSAYOS!$C$5:$C$3004,F138,ENSAYOS!$Q$5:$Q$3004,"&gt;0",ENSAYOS!$G$5:$G$3004,"&gt;="&amp;CONFIG!$B$27)=0,"",AVERAGEIFS(ENSAYOS!$Q$5:$Q$3004,ENSAYOS!$C$5:$C$3004,F138,ENSAYOS!$Q$5:$Q$3004,"&gt;0",ENSAYOS!$G$5:$G$3004,"&gt;="&amp;CONFIG!$B$27)))</f>
        <v/>
      </c>
      <c r="W138" s="18" t="str">
        <f aca="false">IF(AND(U138&lt;&gt;"",V138&lt;&gt;""),U138/V138,"")</f>
        <v/>
      </c>
      <c r="X138" s="18" t="str">
        <f aca="false">IF(U138="","",INDEX('CURVA EDAD'!$E$5:$E$32,MIN(28,MAX(1,N138))))</f>
        <v/>
      </c>
      <c r="Y138" s="16" t="str">
        <f aca="false">IF(V138&lt;&gt;"",V138,IF(U138="","",U138/X138))</f>
        <v/>
      </c>
      <c r="Z138" s="16" t="str">
        <f aca="false">IF(V138&lt;&gt;"",_xlfn.MINIFS(ENSAYOS!$Q$5:$Q$3004,ENSAYOS!$C$5:$C$3004,F138,ENSAYOS!$Q$5:$Q$3004,"&gt;0",ENSAYOS!$G$5:$G$3004,"&gt;="&amp;CONFIG!$B$27),IF(U138="","",_xlfn.MINIFS(ENSAYOS!$Q$5:$Q$3004,ENSAYOS!$C$5:$C$3004,F138,ENSAYOS!$Q$5:$Q$3004,"&gt;0",ENSAYOS!$G$5:$G$3004,N138)/X138))</f>
        <v/>
      </c>
      <c r="AA138" s="16" t="str">
        <f aca="false">IF(D138="","",IFERROR(1/(1/INDEX(CONFIG!$J$5:$J$14,MATCH(D138,CONFIG!$D$5:$D$14,0))),""))</f>
        <v/>
      </c>
      <c r="AB138" s="16" t="str">
        <f aca="false">IF(D138="","",IFERROR(1/(1/INDEX(CONFIG!$K$5:$K$14,MATCH(D138,CONFIG!$D$5:$D$14,0))),""))</f>
        <v/>
      </c>
      <c r="AC138" s="19" t="str">
        <f aca="false">IF(N(M138)=0,"",IF(AA138="","Sin spec",IF(AND(Y138&gt;=AA138,OR(AB138="",Z138&gt;=AB138)),"CUMPLE","NO CUMPLE")&amp;IF(V138=""," (est.)","")))</f>
        <v/>
      </c>
      <c r="AD138" s="20" t="str">
        <f aca="false">IF(F138="","",IF(COUNTIFS(ABSORCION!$C$5:$C$1004,F138,ABSORCION!$I$5:$I$1004,"&gt;0")=0,"",AVERAGEIFS(ABSORCION!$I$5:$I$1004,ABSORCION!$C$5:$C$1004,F138,ABSORCION!$I$5:$I$1004,"&gt;0")))</f>
        <v/>
      </c>
      <c r="AE138" s="20" t="str">
        <f aca="false">IF(F138="","",IF(COUNTIFS(ABSORCION!$C$5:$C$1004,F138,ABSORCION!$I$5:$I$1004,"&gt;0")=0,"",AVERAGEIFS(ABSORCION!$K$5:$K$1004,ABSORCION!$C$5:$C$1004,F138,ABSORCION!$I$5:$I$1004,"&gt;0")))</f>
        <v/>
      </c>
      <c r="AF138" s="20" t="str">
        <f aca="false">IF(AE138="","",IF(AE138&gt;=CONFIG!$E$21,CONFIG!$F$21,IF(AE138&gt;=CONFIG!$E$20,CONFIG!$F$20,CONFIG!$F$19)))</f>
        <v/>
      </c>
      <c r="AG138" s="21" t="str">
        <f aca="false">IF(F138="","",TRIM(IF(N(M138)=0,"Sin ensayos. ","")&amp;IF(AND(N(M138)&gt;0,N(M138)&lt;CONFIG!$B$26),"Menos de "&amp;CONFIG!$B$26&amp;" probetas. ","")&amp;IF(N(T138)&gt;CONFIG!$B$25,"CV alto. ","")&amp;IF(AND(N(AD138)&gt;0,N(AD138)&gt;N(AF138)),"Absorción alta. ","")))</f>
        <v/>
      </c>
      <c r="AH138" s="22" t="str">
        <f aca="false">IF(AND(N(M138)&gt;0,OR(CONTROL!$C$4="TODAS",C138=CONTROL!$C$4),D138=CONTROL!$C$5),MAX($AH$4:AH137)+1,"")</f>
        <v/>
      </c>
      <c r="AI138" s="22" t="str">
        <f aca="false">IF(AH138="","",P138^2)</f>
        <v/>
      </c>
    </row>
    <row r="139" customFormat="false" ht="15" hidden="false" customHeight="false" outlineLevel="0" collapsed="false">
      <c r="A139" s="11" t="str">
        <f aca="false">IF(B139="","",ROW()-4)</f>
        <v/>
      </c>
      <c r="B139" s="12"/>
      <c r="C139" s="13"/>
      <c r="D139" s="13"/>
      <c r="E139" s="13"/>
      <c r="F139" s="14" t="str">
        <f aca="false">IF(OR(B139="",C139="",D139=""),"",IFERROR(INDEX(CONFIG!$E$5:$E$14,MATCH(D139,CONFIG!$D$5:$D$14,0)),"?")&amp;RIGHT("0"&amp;DAY(B139),2)&amp;RIGHT("0"&amp;MONTH(B139),2)&amp;RIGHT(YEAR(B139),2)&amp;C139&amp;IF(E139="","","-"&amp;E139))</f>
        <v/>
      </c>
      <c r="G139" s="13"/>
      <c r="H139" s="13"/>
      <c r="I139" s="13"/>
      <c r="J139" s="13"/>
      <c r="K139" s="13"/>
      <c r="L139" s="13"/>
      <c r="M139" s="11" t="str">
        <f aca="false">IF(F139="","",COUNTIFS(ENSAYOS!$C$5:$C$3004,F139,ENSAYOS!$Q$5:$Q$3004,"&gt;0"))</f>
        <v/>
      </c>
      <c r="N139" s="15" t="str">
        <f aca="false">IF(N(M139)=0,"",_xlfn.MINIFS(ENSAYOS!$G$5:$G$3004,ENSAYOS!$C$5:$C$3004,F139,ENSAYOS!$Q$5:$Q$3004,"&gt;0"))</f>
        <v/>
      </c>
      <c r="O139" s="15" t="str">
        <f aca="false">IF(N(M139)=0,"",_xlfn.MAXIFS(ENSAYOS!$G$5:$G$3004,ENSAYOS!$C$5:$C$3004,F139,ENSAYOS!$Q$5:$Q$3004,"&gt;0"))</f>
        <v/>
      </c>
      <c r="P139" s="16" t="str">
        <f aca="false">IF(N(M139)=0,"",AVERAGEIFS(ENSAYOS!$Q$5:$Q$3004,ENSAYOS!$C$5:$C$3004,F139,ENSAYOS!$Q$5:$Q$3004,"&gt;0"))</f>
        <v/>
      </c>
      <c r="Q139" s="16" t="str">
        <f aca="false">IF(N(M139)=0,"",_xlfn.MINIFS(ENSAYOS!$Q$5:$Q$3004,ENSAYOS!$C$5:$C$3004,F139,ENSAYOS!$Q$5:$Q$3004,"&gt;0"))</f>
        <v/>
      </c>
      <c r="R139" s="16" t="str">
        <f aca="false">IF(N(M139)=0,"",_xlfn.MAXIFS(ENSAYOS!$Q$5:$Q$3004,ENSAYOS!$C$5:$C$3004,F139,ENSAYOS!$Q$5:$Q$3004,"&gt;0"))</f>
        <v/>
      </c>
      <c r="S139" s="16" t="str">
        <f aca="false">IF(N(M139)&lt;2,"",SQRT(MAX(0,(SUMIFS(ENSAYOS!$X$5:$X$3004,ENSAYOS!$C$5:$C$3004,F139,ENSAYOS!$Q$5:$Q$3004,"&gt;0")-M139*P139^2)/(M139-1))))</f>
        <v/>
      </c>
      <c r="T139" s="17" t="str">
        <f aca="false">IF(S139="","",S139/P139)</f>
        <v/>
      </c>
      <c r="U139" s="16" t="str">
        <f aca="false">IF(N(M139)=0,"",IF(N139&gt;=CONFIG!$B$27,"",AVERAGEIFS(ENSAYOS!$Q$5:$Q$3004,ENSAYOS!$C$5:$C$3004,F139,ENSAYOS!$Q$5:$Q$3004,"&gt;0",ENSAYOS!$G$5:$G$3004,N139)))</f>
        <v/>
      </c>
      <c r="V139" s="16" t="str">
        <f aca="false">IF(N(M139)=0,"",IF(COUNTIFS(ENSAYOS!$C$5:$C$3004,F139,ENSAYOS!$Q$5:$Q$3004,"&gt;0",ENSAYOS!$G$5:$G$3004,"&gt;="&amp;CONFIG!$B$27)=0,"",AVERAGEIFS(ENSAYOS!$Q$5:$Q$3004,ENSAYOS!$C$5:$C$3004,F139,ENSAYOS!$Q$5:$Q$3004,"&gt;0",ENSAYOS!$G$5:$G$3004,"&gt;="&amp;CONFIG!$B$27)))</f>
        <v/>
      </c>
      <c r="W139" s="18" t="str">
        <f aca="false">IF(AND(U139&lt;&gt;"",V139&lt;&gt;""),U139/V139,"")</f>
        <v/>
      </c>
      <c r="X139" s="18" t="str">
        <f aca="false">IF(U139="","",INDEX('CURVA EDAD'!$E$5:$E$32,MIN(28,MAX(1,N139))))</f>
        <v/>
      </c>
      <c r="Y139" s="16" t="str">
        <f aca="false">IF(V139&lt;&gt;"",V139,IF(U139="","",U139/X139))</f>
        <v/>
      </c>
      <c r="Z139" s="16" t="str">
        <f aca="false">IF(V139&lt;&gt;"",_xlfn.MINIFS(ENSAYOS!$Q$5:$Q$3004,ENSAYOS!$C$5:$C$3004,F139,ENSAYOS!$Q$5:$Q$3004,"&gt;0",ENSAYOS!$G$5:$G$3004,"&gt;="&amp;CONFIG!$B$27),IF(U139="","",_xlfn.MINIFS(ENSAYOS!$Q$5:$Q$3004,ENSAYOS!$C$5:$C$3004,F139,ENSAYOS!$Q$5:$Q$3004,"&gt;0",ENSAYOS!$G$5:$G$3004,N139)/X139))</f>
        <v/>
      </c>
      <c r="AA139" s="16" t="str">
        <f aca="false">IF(D139="","",IFERROR(1/(1/INDEX(CONFIG!$J$5:$J$14,MATCH(D139,CONFIG!$D$5:$D$14,0))),""))</f>
        <v/>
      </c>
      <c r="AB139" s="16" t="str">
        <f aca="false">IF(D139="","",IFERROR(1/(1/INDEX(CONFIG!$K$5:$K$14,MATCH(D139,CONFIG!$D$5:$D$14,0))),""))</f>
        <v/>
      </c>
      <c r="AC139" s="19" t="str">
        <f aca="false">IF(N(M139)=0,"",IF(AA139="","Sin spec",IF(AND(Y139&gt;=AA139,OR(AB139="",Z139&gt;=AB139)),"CUMPLE","NO CUMPLE")&amp;IF(V139=""," (est.)","")))</f>
        <v/>
      </c>
      <c r="AD139" s="20" t="str">
        <f aca="false">IF(F139="","",IF(COUNTIFS(ABSORCION!$C$5:$C$1004,F139,ABSORCION!$I$5:$I$1004,"&gt;0")=0,"",AVERAGEIFS(ABSORCION!$I$5:$I$1004,ABSORCION!$C$5:$C$1004,F139,ABSORCION!$I$5:$I$1004,"&gt;0")))</f>
        <v/>
      </c>
      <c r="AE139" s="20" t="str">
        <f aca="false">IF(F139="","",IF(COUNTIFS(ABSORCION!$C$5:$C$1004,F139,ABSORCION!$I$5:$I$1004,"&gt;0")=0,"",AVERAGEIFS(ABSORCION!$K$5:$K$1004,ABSORCION!$C$5:$C$1004,F139,ABSORCION!$I$5:$I$1004,"&gt;0")))</f>
        <v/>
      </c>
      <c r="AF139" s="20" t="str">
        <f aca="false">IF(AE139="","",IF(AE139&gt;=CONFIG!$E$21,CONFIG!$F$21,IF(AE139&gt;=CONFIG!$E$20,CONFIG!$F$20,CONFIG!$F$19)))</f>
        <v/>
      </c>
      <c r="AG139" s="21" t="str">
        <f aca="false">IF(F139="","",TRIM(IF(N(M139)=0,"Sin ensayos. ","")&amp;IF(AND(N(M139)&gt;0,N(M139)&lt;CONFIG!$B$26),"Menos de "&amp;CONFIG!$B$26&amp;" probetas. ","")&amp;IF(N(T139)&gt;CONFIG!$B$25,"CV alto. ","")&amp;IF(AND(N(AD139)&gt;0,N(AD139)&gt;N(AF139)),"Absorción alta. ","")))</f>
        <v/>
      </c>
      <c r="AH139" s="22" t="str">
        <f aca="false">IF(AND(N(M139)&gt;0,OR(CONTROL!$C$4="TODAS",C139=CONTROL!$C$4),D139=CONTROL!$C$5),MAX($AH$4:AH138)+1,"")</f>
        <v/>
      </c>
      <c r="AI139" s="22" t="str">
        <f aca="false">IF(AH139="","",P139^2)</f>
        <v/>
      </c>
    </row>
    <row r="140" customFormat="false" ht="15" hidden="false" customHeight="false" outlineLevel="0" collapsed="false">
      <c r="A140" s="11" t="str">
        <f aca="false">IF(B140="","",ROW()-4)</f>
        <v/>
      </c>
      <c r="B140" s="12"/>
      <c r="C140" s="13"/>
      <c r="D140" s="13"/>
      <c r="E140" s="13"/>
      <c r="F140" s="14" t="str">
        <f aca="false">IF(OR(B140="",C140="",D140=""),"",IFERROR(INDEX(CONFIG!$E$5:$E$14,MATCH(D140,CONFIG!$D$5:$D$14,0)),"?")&amp;RIGHT("0"&amp;DAY(B140),2)&amp;RIGHT("0"&amp;MONTH(B140),2)&amp;RIGHT(YEAR(B140),2)&amp;C140&amp;IF(E140="","","-"&amp;E140))</f>
        <v/>
      </c>
      <c r="G140" s="13"/>
      <c r="H140" s="13"/>
      <c r="I140" s="13"/>
      <c r="J140" s="13"/>
      <c r="K140" s="13"/>
      <c r="L140" s="13"/>
      <c r="M140" s="11" t="str">
        <f aca="false">IF(F140="","",COUNTIFS(ENSAYOS!$C$5:$C$3004,F140,ENSAYOS!$Q$5:$Q$3004,"&gt;0"))</f>
        <v/>
      </c>
      <c r="N140" s="15" t="str">
        <f aca="false">IF(N(M140)=0,"",_xlfn.MINIFS(ENSAYOS!$G$5:$G$3004,ENSAYOS!$C$5:$C$3004,F140,ENSAYOS!$Q$5:$Q$3004,"&gt;0"))</f>
        <v/>
      </c>
      <c r="O140" s="15" t="str">
        <f aca="false">IF(N(M140)=0,"",_xlfn.MAXIFS(ENSAYOS!$G$5:$G$3004,ENSAYOS!$C$5:$C$3004,F140,ENSAYOS!$Q$5:$Q$3004,"&gt;0"))</f>
        <v/>
      </c>
      <c r="P140" s="16" t="str">
        <f aca="false">IF(N(M140)=0,"",AVERAGEIFS(ENSAYOS!$Q$5:$Q$3004,ENSAYOS!$C$5:$C$3004,F140,ENSAYOS!$Q$5:$Q$3004,"&gt;0"))</f>
        <v/>
      </c>
      <c r="Q140" s="16" t="str">
        <f aca="false">IF(N(M140)=0,"",_xlfn.MINIFS(ENSAYOS!$Q$5:$Q$3004,ENSAYOS!$C$5:$C$3004,F140,ENSAYOS!$Q$5:$Q$3004,"&gt;0"))</f>
        <v/>
      </c>
      <c r="R140" s="16" t="str">
        <f aca="false">IF(N(M140)=0,"",_xlfn.MAXIFS(ENSAYOS!$Q$5:$Q$3004,ENSAYOS!$C$5:$C$3004,F140,ENSAYOS!$Q$5:$Q$3004,"&gt;0"))</f>
        <v/>
      </c>
      <c r="S140" s="16" t="str">
        <f aca="false">IF(N(M140)&lt;2,"",SQRT(MAX(0,(SUMIFS(ENSAYOS!$X$5:$X$3004,ENSAYOS!$C$5:$C$3004,F140,ENSAYOS!$Q$5:$Q$3004,"&gt;0")-M140*P140^2)/(M140-1))))</f>
        <v/>
      </c>
      <c r="T140" s="17" t="str">
        <f aca="false">IF(S140="","",S140/P140)</f>
        <v/>
      </c>
      <c r="U140" s="16" t="str">
        <f aca="false">IF(N(M140)=0,"",IF(N140&gt;=CONFIG!$B$27,"",AVERAGEIFS(ENSAYOS!$Q$5:$Q$3004,ENSAYOS!$C$5:$C$3004,F140,ENSAYOS!$Q$5:$Q$3004,"&gt;0",ENSAYOS!$G$5:$G$3004,N140)))</f>
        <v/>
      </c>
      <c r="V140" s="16" t="str">
        <f aca="false">IF(N(M140)=0,"",IF(COUNTIFS(ENSAYOS!$C$5:$C$3004,F140,ENSAYOS!$Q$5:$Q$3004,"&gt;0",ENSAYOS!$G$5:$G$3004,"&gt;="&amp;CONFIG!$B$27)=0,"",AVERAGEIFS(ENSAYOS!$Q$5:$Q$3004,ENSAYOS!$C$5:$C$3004,F140,ENSAYOS!$Q$5:$Q$3004,"&gt;0",ENSAYOS!$G$5:$G$3004,"&gt;="&amp;CONFIG!$B$27)))</f>
        <v/>
      </c>
      <c r="W140" s="18" t="str">
        <f aca="false">IF(AND(U140&lt;&gt;"",V140&lt;&gt;""),U140/V140,"")</f>
        <v/>
      </c>
      <c r="X140" s="18" t="str">
        <f aca="false">IF(U140="","",INDEX('CURVA EDAD'!$E$5:$E$32,MIN(28,MAX(1,N140))))</f>
        <v/>
      </c>
      <c r="Y140" s="16" t="str">
        <f aca="false">IF(V140&lt;&gt;"",V140,IF(U140="","",U140/X140))</f>
        <v/>
      </c>
      <c r="Z140" s="16" t="str">
        <f aca="false">IF(V140&lt;&gt;"",_xlfn.MINIFS(ENSAYOS!$Q$5:$Q$3004,ENSAYOS!$C$5:$C$3004,F140,ENSAYOS!$Q$5:$Q$3004,"&gt;0",ENSAYOS!$G$5:$G$3004,"&gt;="&amp;CONFIG!$B$27),IF(U140="","",_xlfn.MINIFS(ENSAYOS!$Q$5:$Q$3004,ENSAYOS!$C$5:$C$3004,F140,ENSAYOS!$Q$5:$Q$3004,"&gt;0",ENSAYOS!$G$5:$G$3004,N140)/X140))</f>
        <v/>
      </c>
      <c r="AA140" s="16" t="str">
        <f aca="false">IF(D140="","",IFERROR(1/(1/INDEX(CONFIG!$J$5:$J$14,MATCH(D140,CONFIG!$D$5:$D$14,0))),""))</f>
        <v/>
      </c>
      <c r="AB140" s="16" t="str">
        <f aca="false">IF(D140="","",IFERROR(1/(1/INDEX(CONFIG!$K$5:$K$14,MATCH(D140,CONFIG!$D$5:$D$14,0))),""))</f>
        <v/>
      </c>
      <c r="AC140" s="19" t="str">
        <f aca="false">IF(N(M140)=0,"",IF(AA140="","Sin spec",IF(AND(Y140&gt;=AA140,OR(AB140="",Z140&gt;=AB140)),"CUMPLE","NO CUMPLE")&amp;IF(V140=""," (est.)","")))</f>
        <v/>
      </c>
      <c r="AD140" s="20" t="str">
        <f aca="false">IF(F140="","",IF(COUNTIFS(ABSORCION!$C$5:$C$1004,F140,ABSORCION!$I$5:$I$1004,"&gt;0")=0,"",AVERAGEIFS(ABSORCION!$I$5:$I$1004,ABSORCION!$C$5:$C$1004,F140,ABSORCION!$I$5:$I$1004,"&gt;0")))</f>
        <v/>
      </c>
      <c r="AE140" s="20" t="str">
        <f aca="false">IF(F140="","",IF(COUNTIFS(ABSORCION!$C$5:$C$1004,F140,ABSORCION!$I$5:$I$1004,"&gt;0")=0,"",AVERAGEIFS(ABSORCION!$K$5:$K$1004,ABSORCION!$C$5:$C$1004,F140,ABSORCION!$I$5:$I$1004,"&gt;0")))</f>
        <v/>
      </c>
      <c r="AF140" s="20" t="str">
        <f aca="false">IF(AE140="","",IF(AE140&gt;=CONFIG!$E$21,CONFIG!$F$21,IF(AE140&gt;=CONFIG!$E$20,CONFIG!$F$20,CONFIG!$F$19)))</f>
        <v/>
      </c>
      <c r="AG140" s="21" t="str">
        <f aca="false">IF(F140="","",TRIM(IF(N(M140)=0,"Sin ensayos. ","")&amp;IF(AND(N(M140)&gt;0,N(M140)&lt;CONFIG!$B$26),"Menos de "&amp;CONFIG!$B$26&amp;" probetas. ","")&amp;IF(N(T140)&gt;CONFIG!$B$25,"CV alto. ","")&amp;IF(AND(N(AD140)&gt;0,N(AD140)&gt;N(AF140)),"Absorción alta. ","")))</f>
        <v/>
      </c>
      <c r="AH140" s="22" t="str">
        <f aca="false">IF(AND(N(M140)&gt;0,OR(CONTROL!$C$4="TODAS",C140=CONTROL!$C$4),D140=CONTROL!$C$5),MAX($AH$4:AH139)+1,"")</f>
        <v/>
      </c>
      <c r="AI140" s="22" t="str">
        <f aca="false">IF(AH140="","",P140^2)</f>
        <v/>
      </c>
    </row>
    <row r="141" customFormat="false" ht="15" hidden="false" customHeight="false" outlineLevel="0" collapsed="false">
      <c r="A141" s="11" t="str">
        <f aca="false">IF(B141="","",ROW()-4)</f>
        <v/>
      </c>
      <c r="B141" s="12"/>
      <c r="C141" s="13"/>
      <c r="D141" s="13"/>
      <c r="E141" s="13"/>
      <c r="F141" s="14" t="str">
        <f aca="false">IF(OR(B141="",C141="",D141=""),"",IFERROR(INDEX(CONFIG!$E$5:$E$14,MATCH(D141,CONFIG!$D$5:$D$14,0)),"?")&amp;RIGHT("0"&amp;DAY(B141),2)&amp;RIGHT("0"&amp;MONTH(B141),2)&amp;RIGHT(YEAR(B141),2)&amp;C141&amp;IF(E141="","","-"&amp;E141))</f>
        <v/>
      </c>
      <c r="G141" s="13"/>
      <c r="H141" s="13"/>
      <c r="I141" s="13"/>
      <c r="J141" s="13"/>
      <c r="K141" s="13"/>
      <c r="L141" s="13"/>
      <c r="M141" s="11" t="str">
        <f aca="false">IF(F141="","",COUNTIFS(ENSAYOS!$C$5:$C$3004,F141,ENSAYOS!$Q$5:$Q$3004,"&gt;0"))</f>
        <v/>
      </c>
      <c r="N141" s="15" t="str">
        <f aca="false">IF(N(M141)=0,"",_xlfn.MINIFS(ENSAYOS!$G$5:$G$3004,ENSAYOS!$C$5:$C$3004,F141,ENSAYOS!$Q$5:$Q$3004,"&gt;0"))</f>
        <v/>
      </c>
      <c r="O141" s="15" t="str">
        <f aca="false">IF(N(M141)=0,"",_xlfn.MAXIFS(ENSAYOS!$G$5:$G$3004,ENSAYOS!$C$5:$C$3004,F141,ENSAYOS!$Q$5:$Q$3004,"&gt;0"))</f>
        <v/>
      </c>
      <c r="P141" s="16" t="str">
        <f aca="false">IF(N(M141)=0,"",AVERAGEIFS(ENSAYOS!$Q$5:$Q$3004,ENSAYOS!$C$5:$C$3004,F141,ENSAYOS!$Q$5:$Q$3004,"&gt;0"))</f>
        <v/>
      </c>
      <c r="Q141" s="16" t="str">
        <f aca="false">IF(N(M141)=0,"",_xlfn.MINIFS(ENSAYOS!$Q$5:$Q$3004,ENSAYOS!$C$5:$C$3004,F141,ENSAYOS!$Q$5:$Q$3004,"&gt;0"))</f>
        <v/>
      </c>
      <c r="R141" s="16" t="str">
        <f aca="false">IF(N(M141)=0,"",_xlfn.MAXIFS(ENSAYOS!$Q$5:$Q$3004,ENSAYOS!$C$5:$C$3004,F141,ENSAYOS!$Q$5:$Q$3004,"&gt;0"))</f>
        <v/>
      </c>
      <c r="S141" s="16" t="str">
        <f aca="false">IF(N(M141)&lt;2,"",SQRT(MAX(0,(SUMIFS(ENSAYOS!$X$5:$X$3004,ENSAYOS!$C$5:$C$3004,F141,ENSAYOS!$Q$5:$Q$3004,"&gt;0")-M141*P141^2)/(M141-1))))</f>
        <v/>
      </c>
      <c r="T141" s="17" t="str">
        <f aca="false">IF(S141="","",S141/P141)</f>
        <v/>
      </c>
      <c r="U141" s="16" t="str">
        <f aca="false">IF(N(M141)=0,"",IF(N141&gt;=CONFIG!$B$27,"",AVERAGEIFS(ENSAYOS!$Q$5:$Q$3004,ENSAYOS!$C$5:$C$3004,F141,ENSAYOS!$Q$5:$Q$3004,"&gt;0",ENSAYOS!$G$5:$G$3004,N141)))</f>
        <v/>
      </c>
      <c r="V141" s="16" t="str">
        <f aca="false">IF(N(M141)=0,"",IF(COUNTIFS(ENSAYOS!$C$5:$C$3004,F141,ENSAYOS!$Q$5:$Q$3004,"&gt;0",ENSAYOS!$G$5:$G$3004,"&gt;="&amp;CONFIG!$B$27)=0,"",AVERAGEIFS(ENSAYOS!$Q$5:$Q$3004,ENSAYOS!$C$5:$C$3004,F141,ENSAYOS!$Q$5:$Q$3004,"&gt;0",ENSAYOS!$G$5:$G$3004,"&gt;="&amp;CONFIG!$B$27)))</f>
        <v/>
      </c>
      <c r="W141" s="18" t="str">
        <f aca="false">IF(AND(U141&lt;&gt;"",V141&lt;&gt;""),U141/V141,"")</f>
        <v/>
      </c>
      <c r="X141" s="18" t="str">
        <f aca="false">IF(U141="","",INDEX('CURVA EDAD'!$E$5:$E$32,MIN(28,MAX(1,N141))))</f>
        <v/>
      </c>
      <c r="Y141" s="16" t="str">
        <f aca="false">IF(V141&lt;&gt;"",V141,IF(U141="","",U141/X141))</f>
        <v/>
      </c>
      <c r="Z141" s="16" t="str">
        <f aca="false">IF(V141&lt;&gt;"",_xlfn.MINIFS(ENSAYOS!$Q$5:$Q$3004,ENSAYOS!$C$5:$C$3004,F141,ENSAYOS!$Q$5:$Q$3004,"&gt;0",ENSAYOS!$G$5:$G$3004,"&gt;="&amp;CONFIG!$B$27),IF(U141="","",_xlfn.MINIFS(ENSAYOS!$Q$5:$Q$3004,ENSAYOS!$C$5:$C$3004,F141,ENSAYOS!$Q$5:$Q$3004,"&gt;0",ENSAYOS!$G$5:$G$3004,N141)/X141))</f>
        <v/>
      </c>
      <c r="AA141" s="16" t="str">
        <f aca="false">IF(D141="","",IFERROR(1/(1/INDEX(CONFIG!$J$5:$J$14,MATCH(D141,CONFIG!$D$5:$D$14,0))),""))</f>
        <v/>
      </c>
      <c r="AB141" s="16" t="str">
        <f aca="false">IF(D141="","",IFERROR(1/(1/INDEX(CONFIG!$K$5:$K$14,MATCH(D141,CONFIG!$D$5:$D$14,0))),""))</f>
        <v/>
      </c>
      <c r="AC141" s="19" t="str">
        <f aca="false">IF(N(M141)=0,"",IF(AA141="","Sin spec",IF(AND(Y141&gt;=AA141,OR(AB141="",Z141&gt;=AB141)),"CUMPLE","NO CUMPLE")&amp;IF(V141=""," (est.)","")))</f>
        <v/>
      </c>
      <c r="AD141" s="20" t="str">
        <f aca="false">IF(F141="","",IF(COUNTIFS(ABSORCION!$C$5:$C$1004,F141,ABSORCION!$I$5:$I$1004,"&gt;0")=0,"",AVERAGEIFS(ABSORCION!$I$5:$I$1004,ABSORCION!$C$5:$C$1004,F141,ABSORCION!$I$5:$I$1004,"&gt;0")))</f>
        <v/>
      </c>
      <c r="AE141" s="20" t="str">
        <f aca="false">IF(F141="","",IF(COUNTIFS(ABSORCION!$C$5:$C$1004,F141,ABSORCION!$I$5:$I$1004,"&gt;0")=0,"",AVERAGEIFS(ABSORCION!$K$5:$K$1004,ABSORCION!$C$5:$C$1004,F141,ABSORCION!$I$5:$I$1004,"&gt;0")))</f>
        <v/>
      </c>
      <c r="AF141" s="20" t="str">
        <f aca="false">IF(AE141="","",IF(AE141&gt;=CONFIG!$E$21,CONFIG!$F$21,IF(AE141&gt;=CONFIG!$E$20,CONFIG!$F$20,CONFIG!$F$19)))</f>
        <v/>
      </c>
      <c r="AG141" s="21" t="str">
        <f aca="false">IF(F141="","",TRIM(IF(N(M141)=0,"Sin ensayos. ","")&amp;IF(AND(N(M141)&gt;0,N(M141)&lt;CONFIG!$B$26),"Menos de "&amp;CONFIG!$B$26&amp;" probetas. ","")&amp;IF(N(T141)&gt;CONFIG!$B$25,"CV alto. ","")&amp;IF(AND(N(AD141)&gt;0,N(AD141)&gt;N(AF141)),"Absorción alta. ","")))</f>
        <v/>
      </c>
      <c r="AH141" s="22" t="str">
        <f aca="false">IF(AND(N(M141)&gt;0,OR(CONTROL!$C$4="TODAS",C141=CONTROL!$C$4),D141=CONTROL!$C$5),MAX($AH$4:AH140)+1,"")</f>
        <v/>
      </c>
      <c r="AI141" s="22" t="str">
        <f aca="false">IF(AH141="","",P141^2)</f>
        <v/>
      </c>
    </row>
    <row r="142" customFormat="false" ht="15" hidden="false" customHeight="false" outlineLevel="0" collapsed="false">
      <c r="A142" s="11" t="str">
        <f aca="false">IF(B142="","",ROW()-4)</f>
        <v/>
      </c>
      <c r="B142" s="12"/>
      <c r="C142" s="13"/>
      <c r="D142" s="13"/>
      <c r="E142" s="13"/>
      <c r="F142" s="14" t="str">
        <f aca="false">IF(OR(B142="",C142="",D142=""),"",IFERROR(INDEX(CONFIG!$E$5:$E$14,MATCH(D142,CONFIG!$D$5:$D$14,0)),"?")&amp;RIGHT("0"&amp;DAY(B142),2)&amp;RIGHT("0"&amp;MONTH(B142),2)&amp;RIGHT(YEAR(B142),2)&amp;C142&amp;IF(E142="","","-"&amp;E142))</f>
        <v/>
      </c>
      <c r="G142" s="13"/>
      <c r="H142" s="13"/>
      <c r="I142" s="13"/>
      <c r="J142" s="13"/>
      <c r="K142" s="13"/>
      <c r="L142" s="13"/>
      <c r="M142" s="11" t="str">
        <f aca="false">IF(F142="","",COUNTIFS(ENSAYOS!$C$5:$C$3004,F142,ENSAYOS!$Q$5:$Q$3004,"&gt;0"))</f>
        <v/>
      </c>
      <c r="N142" s="15" t="str">
        <f aca="false">IF(N(M142)=0,"",_xlfn.MINIFS(ENSAYOS!$G$5:$G$3004,ENSAYOS!$C$5:$C$3004,F142,ENSAYOS!$Q$5:$Q$3004,"&gt;0"))</f>
        <v/>
      </c>
      <c r="O142" s="15" t="str">
        <f aca="false">IF(N(M142)=0,"",_xlfn.MAXIFS(ENSAYOS!$G$5:$G$3004,ENSAYOS!$C$5:$C$3004,F142,ENSAYOS!$Q$5:$Q$3004,"&gt;0"))</f>
        <v/>
      </c>
      <c r="P142" s="16" t="str">
        <f aca="false">IF(N(M142)=0,"",AVERAGEIFS(ENSAYOS!$Q$5:$Q$3004,ENSAYOS!$C$5:$C$3004,F142,ENSAYOS!$Q$5:$Q$3004,"&gt;0"))</f>
        <v/>
      </c>
      <c r="Q142" s="16" t="str">
        <f aca="false">IF(N(M142)=0,"",_xlfn.MINIFS(ENSAYOS!$Q$5:$Q$3004,ENSAYOS!$C$5:$C$3004,F142,ENSAYOS!$Q$5:$Q$3004,"&gt;0"))</f>
        <v/>
      </c>
      <c r="R142" s="16" t="str">
        <f aca="false">IF(N(M142)=0,"",_xlfn.MAXIFS(ENSAYOS!$Q$5:$Q$3004,ENSAYOS!$C$5:$C$3004,F142,ENSAYOS!$Q$5:$Q$3004,"&gt;0"))</f>
        <v/>
      </c>
      <c r="S142" s="16" t="str">
        <f aca="false">IF(N(M142)&lt;2,"",SQRT(MAX(0,(SUMIFS(ENSAYOS!$X$5:$X$3004,ENSAYOS!$C$5:$C$3004,F142,ENSAYOS!$Q$5:$Q$3004,"&gt;0")-M142*P142^2)/(M142-1))))</f>
        <v/>
      </c>
      <c r="T142" s="17" t="str">
        <f aca="false">IF(S142="","",S142/P142)</f>
        <v/>
      </c>
      <c r="U142" s="16" t="str">
        <f aca="false">IF(N(M142)=0,"",IF(N142&gt;=CONFIG!$B$27,"",AVERAGEIFS(ENSAYOS!$Q$5:$Q$3004,ENSAYOS!$C$5:$C$3004,F142,ENSAYOS!$Q$5:$Q$3004,"&gt;0",ENSAYOS!$G$5:$G$3004,N142)))</f>
        <v/>
      </c>
      <c r="V142" s="16" t="str">
        <f aca="false">IF(N(M142)=0,"",IF(COUNTIFS(ENSAYOS!$C$5:$C$3004,F142,ENSAYOS!$Q$5:$Q$3004,"&gt;0",ENSAYOS!$G$5:$G$3004,"&gt;="&amp;CONFIG!$B$27)=0,"",AVERAGEIFS(ENSAYOS!$Q$5:$Q$3004,ENSAYOS!$C$5:$C$3004,F142,ENSAYOS!$Q$5:$Q$3004,"&gt;0",ENSAYOS!$G$5:$G$3004,"&gt;="&amp;CONFIG!$B$27)))</f>
        <v/>
      </c>
      <c r="W142" s="18" t="str">
        <f aca="false">IF(AND(U142&lt;&gt;"",V142&lt;&gt;""),U142/V142,"")</f>
        <v/>
      </c>
      <c r="X142" s="18" t="str">
        <f aca="false">IF(U142="","",INDEX('CURVA EDAD'!$E$5:$E$32,MIN(28,MAX(1,N142))))</f>
        <v/>
      </c>
      <c r="Y142" s="16" t="str">
        <f aca="false">IF(V142&lt;&gt;"",V142,IF(U142="","",U142/X142))</f>
        <v/>
      </c>
      <c r="Z142" s="16" t="str">
        <f aca="false">IF(V142&lt;&gt;"",_xlfn.MINIFS(ENSAYOS!$Q$5:$Q$3004,ENSAYOS!$C$5:$C$3004,F142,ENSAYOS!$Q$5:$Q$3004,"&gt;0",ENSAYOS!$G$5:$G$3004,"&gt;="&amp;CONFIG!$B$27),IF(U142="","",_xlfn.MINIFS(ENSAYOS!$Q$5:$Q$3004,ENSAYOS!$C$5:$C$3004,F142,ENSAYOS!$Q$5:$Q$3004,"&gt;0",ENSAYOS!$G$5:$G$3004,N142)/X142))</f>
        <v/>
      </c>
      <c r="AA142" s="16" t="str">
        <f aca="false">IF(D142="","",IFERROR(1/(1/INDEX(CONFIG!$J$5:$J$14,MATCH(D142,CONFIG!$D$5:$D$14,0))),""))</f>
        <v/>
      </c>
      <c r="AB142" s="16" t="str">
        <f aca="false">IF(D142="","",IFERROR(1/(1/INDEX(CONFIG!$K$5:$K$14,MATCH(D142,CONFIG!$D$5:$D$14,0))),""))</f>
        <v/>
      </c>
      <c r="AC142" s="19" t="str">
        <f aca="false">IF(N(M142)=0,"",IF(AA142="","Sin spec",IF(AND(Y142&gt;=AA142,OR(AB142="",Z142&gt;=AB142)),"CUMPLE","NO CUMPLE")&amp;IF(V142=""," (est.)","")))</f>
        <v/>
      </c>
      <c r="AD142" s="20" t="str">
        <f aca="false">IF(F142="","",IF(COUNTIFS(ABSORCION!$C$5:$C$1004,F142,ABSORCION!$I$5:$I$1004,"&gt;0")=0,"",AVERAGEIFS(ABSORCION!$I$5:$I$1004,ABSORCION!$C$5:$C$1004,F142,ABSORCION!$I$5:$I$1004,"&gt;0")))</f>
        <v/>
      </c>
      <c r="AE142" s="20" t="str">
        <f aca="false">IF(F142="","",IF(COUNTIFS(ABSORCION!$C$5:$C$1004,F142,ABSORCION!$I$5:$I$1004,"&gt;0")=0,"",AVERAGEIFS(ABSORCION!$K$5:$K$1004,ABSORCION!$C$5:$C$1004,F142,ABSORCION!$I$5:$I$1004,"&gt;0")))</f>
        <v/>
      </c>
      <c r="AF142" s="20" t="str">
        <f aca="false">IF(AE142="","",IF(AE142&gt;=CONFIG!$E$21,CONFIG!$F$21,IF(AE142&gt;=CONFIG!$E$20,CONFIG!$F$20,CONFIG!$F$19)))</f>
        <v/>
      </c>
      <c r="AG142" s="21" t="str">
        <f aca="false">IF(F142="","",TRIM(IF(N(M142)=0,"Sin ensayos. ","")&amp;IF(AND(N(M142)&gt;0,N(M142)&lt;CONFIG!$B$26),"Menos de "&amp;CONFIG!$B$26&amp;" probetas. ","")&amp;IF(N(T142)&gt;CONFIG!$B$25,"CV alto. ","")&amp;IF(AND(N(AD142)&gt;0,N(AD142)&gt;N(AF142)),"Absorción alta. ","")))</f>
        <v/>
      </c>
      <c r="AH142" s="22" t="str">
        <f aca="false">IF(AND(N(M142)&gt;0,OR(CONTROL!$C$4="TODAS",C142=CONTROL!$C$4),D142=CONTROL!$C$5),MAX($AH$4:AH141)+1,"")</f>
        <v/>
      </c>
      <c r="AI142" s="22" t="str">
        <f aca="false">IF(AH142="","",P142^2)</f>
        <v/>
      </c>
    </row>
    <row r="143" customFormat="false" ht="15" hidden="false" customHeight="false" outlineLevel="0" collapsed="false">
      <c r="A143" s="11" t="str">
        <f aca="false">IF(B143="","",ROW()-4)</f>
        <v/>
      </c>
      <c r="B143" s="12"/>
      <c r="C143" s="13"/>
      <c r="D143" s="13"/>
      <c r="E143" s="13"/>
      <c r="F143" s="14" t="str">
        <f aca="false">IF(OR(B143="",C143="",D143=""),"",IFERROR(INDEX(CONFIG!$E$5:$E$14,MATCH(D143,CONFIG!$D$5:$D$14,0)),"?")&amp;RIGHT("0"&amp;DAY(B143),2)&amp;RIGHT("0"&amp;MONTH(B143),2)&amp;RIGHT(YEAR(B143),2)&amp;C143&amp;IF(E143="","","-"&amp;E143))</f>
        <v/>
      </c>
      <c r="G143" s="13"/>
      <c r="H143" s="13"/>
      <c r="I143" s="13"/>
      <c r="J143" s="13"/>
      <c r="K143" s="13"/>
      <c r="L143" s="13"/>
      <c r="M143" s="11" t="str">
        <f aca="false">IF(F143="","",COUNTIFS(ENSAYOS!$C$5:$C$3004,F143,ENSAYOS!$Q$5:$Q$3004,"&gt;0"))</f>
        <v/>
      </c>
      <c r="N143" s="15" t="str">
        <f aca="false">IF(N(M143)=0,"",_xlfn.MINIFS(ENSAYOS!$G$5:$G$3004,ENSAYOS!$C$5:$C$3004,F143,ENSAYOS!$Q$5:$Q$3004,"&gt;0"))</f>
        <v/>
      </c>
      <c r="O143" s="15" t="str">
        <f aca="false">IF(N(M143)=0,"",_xlfn.MAXIFS(ENSAYOS!$G$5:$G$3004,ENSAYOS!$C$5:$C$3004,F143,ENSAYOS!$Q$5:$Q$3004,"&gt;0"))</f>
        <v/>
      </c>
      <c r="P143" s="16" t="str">
        <f aca="false">IF(N(M143)=0,"",AVERAGEIFS(ENSAYOS!$Q$5:$Q$3004,ENSAYOS!$C$5:$C$3004,F143,ENSAYOS!$Q$5:$Q$3004,"&gt;0"))</f>
        <v/>
      </c>
      <c r="Q143" s="16" t="str">
        <f aca="false">IF(N(M143)=0,"",_xlfn.MINIFS(ENSAYOS!$Q$5:$Q$3004,ENSAYOS!$C$5:$C$3004,F143,ENSAYOS!$Q$5:$Q$3004,"&gt;0"))</f>
        <v/>
      </c>
      <c r="R143" s="16" t="str">
        <f aca="false">IF(N(M143)=0,"",_xlfn.MAXIFS(ENSAYOS!$Q$5:$Q$3004,ENSAYOS!$C$5:$C$3004,F143,ENSAYOS!$Q$5:$Q$3004,"&gt;0"))</f>
        <v/>
      </c>
      <c r="S143" s="16" t="str">
        <f aca="false">IF(N(M143)&lt;2,"",SQRT(MAX(0,(SUMIFS(ENSAYOS!$X$5:$X$3004,ENSAYOS!$C$5:$C$3004,F143,ENSAYOS!$Q$5:$Q$3004,"&gt;0")-M143*P143^2)/(M143-1))))</f>
        <v/>
      </c>
      <c r="T143" s="17" t="str">
        <f aca="false">IF(S143="","",S143/P143)</f>
        <v/>
      </c>
      <c r="U143" s="16" t="str">
        <f aca="false">IF(N(M143)=0,"",IF(N143&gt;=CONFIG!$B$27,"",AVERAGEIFS(ENSAYOS!$Q$5:$Q$3004,ENSAYOS!$C$5:$C$3004,F143,ENSAYOS!$Q$5:$Q$3004,"&gt;0",ENSAYOS!$G$5:$G$3004,N143)))</f>
        <v/>
      </c>
      <c r="V143" s="16" t="str">
        <f aca="false">IF(N(M143)=0,"",IF(COUNTIFS(ENSAYOS!$C$5:$C$3004,F143,ENSAYOS!$Q$5:$Q$3004,"&gt;0",ENSAYOS!$G$5:$G$3004,"&gt;="&amp;CONFIG!$B$27)=0,"",AVERAGEIFS(ENSAYOS!$Q$5:$Q$3004,ENSAYOS!$C$5:$C$3004,F143,ENSAYOS!$Q$5:$Q$3004,"&gt;0",ENSAYOS!$G$5:$G$3004,"&gt;="&amp;CONFIG!$B$27)))</f>
        <v/>
      </c>
      <c r="W143" s="18" t="str">
        <f aca="false">IF(AND(U143&lt;&gt;"",V143&lt;&gt;""),U143/V143,"")</f>
        <v/>
      </c>
      <c r="X143" s="18" t="str">
        <f aca="false">IF(U143="","",INDEX('CURVA EDAD'!$E$5:$E$32,MIN(28,MAX(1,N143))))</f>
        <v/>
      </c>
      <c r="Y143" s="16" t="str">
        <f aca="false">IF(V143&lt;&gt;"",V143,IF(U143="","",U143/X143))</f>
        <v/>
      </c>
      <c r="Z143" s="16" t="str">
        <f aca="false">IF(V143&lt;&gt;"",_xlfn.MINIFS(ENSAYOS!$Q$5:$Q$3004,ENSAYOS!$C$5:$C$3004,F143,ENSAYOS!$Q$5:$Q$3004,"&gt;0",ENSAYOS!$G$5:$G$3004,"&gt;="&amp;CONFIG!$B$27),IF(U143="","",_xlfn.MINIFS(ENSAYOS!$Q$5:$Q$3004,ENSAYOS!$C$5:$C$3004,F143,ENSAYOS!$Q$5:$Q$3004,"&gt;0",ENSAYOS!$G$5:$G$3004,N143)/X143))</f>
        <v/>
      </c>
      <c r="AA143" s="16" t="str">
        <f aca="false">IF(D143="","",IFERROR(1/(1/INDEX(CONFIG!$J$5:$J$14,MATCH(D143,CONFIG!$D$5:$D$14,0))),""))</f>
        <v/>
      </c>
      <c r="AB143" s="16" t="str">
        <f aca="false">IF(D143="","",IFERROR(1/(1/INDEX(CONFIG!$K$5:$K$14,MATCH(D143,CONFIG!$D$5:$D$14,0))),""))</f>
        <v/>
      </c>
      <c r="AC143" s="19" t="str">
        <f aca="false">IF(N(M143)=0,"",IF(AA143="","Sin spec",IF(AND(Y143&gt;=AA143,OR(AB143="",Z143&gt;=AB143)),"CUMPLE","NO CUMPLE")&amp;IF(V143=""," (est.)","")))</f>
        <v/>
      </c>
      <c r="AD143" s="20" t="str">
        <f aca="false">IF(F143="","",IF(COUNTIFS(ABSORCION!$C$5:$C$1004,F143,ABSORCION!$I$5:$I$1004,"&gt;0")=0,"",AVERAGEIFS(ABSORCION!$I$5:$I$1004,ABSORCION!$C$5:$C$1004,F143,ABSORCION!$I$5:$I$1004,"&gt;0")))</f>
        <v/>
      </c>
      <c r="AE143" s="20" t="str">
        <f aca="false">IF(F143="","",IF(COUNTIFS(ABSORCION!$C$5:$C$1004,F143,ABSORCION!$I$5:$I$1004,"&gt;0")=0,"",AVERAGEIFS(ABSORCION!$K$5:$K$1004,ABSORCION!$C$5:$C$1004,F143,ABSORCION!$I$5:$I$1004,"&gt;0")))</f>
        <v/>
      </c>
      <c r="AF143" s="20" t="str">
        <f aca="false">IF(AE143="","",IF(AE143&gt;=CONFIG!$E$21,CONFIG!$F$21,IF(AE143&gt;=CONFIG!$E$20,CONFIG!$F$20,CONFIG!$F$19)))</f>
        <v/>
      </c>
      <c r="AG143" s="21" t="str">
        <f aca="false">IF(F143="","",TRIM(IF(N(M143)=0,"Sin ensayos. ","")&amp;IF(AND(N(M143)&gt;0,N(M143)&lt;CONFIG!$B$26),"Menos de "&amp;CONFIG!$B$26&amp;" probetas. ","")&amp;IF(N(T143)&gt;CONFIG!$B$25,"CV alto. ","")&amp;IF(AND(N(AD143)&gt;0,N(AD143)&gt;N(AF143)),"Absorción alta. ","")))</f>
        <v/>
      </c>
      <c r="AH143" s="22" t="str">
        <f aca="false">IF(AND(N(M143)&gt;0,OR(CONTROL!$C$4="TODAS",C143=CONTROL!$C$4),D143=CONTROL!$C$5),MAX($AH$4:AH142)+1,"")</f>
        <v/>
      </c>
      <c r="AI143" s="22" t="str">
        <f aca="false">IF(AH143="","",P143^2)</f>
        <v/>
      </c>
    </row>
    <row r="144" customFormat="false" ht="15" hidden="false" customHeight="false" outlineLevel="0" collapsed="false">
      <c r="A144" s="11" t="str">
        <f aca="false">IF(B144="","",ROW()-4)</f>
        <v/>
      </c>
      <c r="B144" s="12"/>
      <c r="C144" s="13"/>
      <c r="D144" s="13"/>
      <c r="E144" s="13"/>
      <c r="F144" s="14" t="str">
        <f aca="false">IF(OR(B144="",C144="",D144=""),"",IFERROR(INDEX(CONFIG!$E$5:$E$14,MATCH(D144,CONFIG!$D$5:$D$14,0)),"?")&amp;RIGHT("0"&amp;DAY(B144),2)&amp;RIGHT("0"&amp;MONTH(B144),2)&amp;RIGHT(YEAR(B144),2)&amp;C144&amp;IF(E144="","","-"&amp;E144))</f>
        <v/>
      </c>
      <c r="G144" s="13"/>
      <c r="H144" s="13"/>
      <c r="I144" s="13"/>
      <c r="J144" s="13"/>
      <c r="K144" s="13"/>
      <c r="L144" s="13"/>
      <c r="M144" s="11" t="str">
        <f aca="false">IF(F144="","",COUNTIFS(ENSAYOS!$C$5:$C$3004,F144,ENSAYOS!$Q$5:$Q$3004,"&gt;0"))</f>
        <v/>
      </c>
      <c r="N144" s="15" t="str">
        <f aca="false">IF(N(M144)=0,"",_xlfn.MINIFS(ENSAYOS!$G$5:$G$3004,ENSAYOS!$C$5:$C$3004,F144,ENSAYOS!$Q$5:$Q$3004,"&gt;0"))</f>
        <v/>
      </c>
      <c r="O144" s="15" t="str">
        <f aca="false">IF(N(M144)=0,"",_xlfn.MAXIFS(ENSAYOS!$G$5:$G$3004,ENSAYOS!$C$5:$C$3004,F144,ENSAYOS!$Q$5:$Q$3004,"&gt;0"))</f>
        <v/>
      </c>
      <c r="P144" s="16" t="str">
        <f aca="false">IF(N(M144)=0,"",AVERAGEIFS(ENSAYOS!$Q$5:$Q$3004,ENSAYOS!$C$5:$C$3004,F144,ENSAYOS!$Q$5:$Q$3004,"&gt;0"))</f>
        <v/>
      </c>
      <c r="Q144" s="16" t="str">
        <f aca="false">IF(N(M144)=0,"",_xlfn.MINIFS(ENSAYOS!$Q$5:$Q$3004,ENSAYOS!$C$5:$C$3004,F144,ENSAYOS!$Q$5:$Q$3004,"&gt;0"))</f>
        <v/>
      </c>
      <c r="R144" s="16" t="str">
        <f aca="false">IF(N(M144)=0,"",_xlfn.MAXIFS(ENSAYOS!$Q$5:$Q$3004,ENSAYOS!$C$5:$C$3004,F144,ENSAYOS!$Q$5:$Q$3004,"&gt;0"))</f>
        <v/>
      </c>
      <c r="S144" s="16" t="str">
        <f aca="false">IF(N(M144)&lt;2,"",SQRT(MAX(0,(SUMIFS(ENSAYOS!$X$5:$X$3004,ENSAYOS!$C$5:$C$3004,F144,ENSAYOS!$Q$5:$Q$3004,"&gt;0")-M144*P144^2)/(M144-1))))</f>
        <v/>
      </c>
      <c r="T144" s="17" t="str">
        <f aca="false">IF(S144="","",S144/P144)</f>
        <v/>
      </c>
      <c r="U144" s="16" t="str">
        <f aca="false">IF(N(M144)=0,"",IF(N144&gt;=CONFIG!$B$27,"",AVERAGEIFS(ENSAYOS!$Q$5:$Q$3004,ENSAYOS!$C$5:$C$3004,F144,ENSAYOS!$Q$5:$Q$3004,"&gt;0",ENSAYOS!$G$5:$G$3004,N144)))</f>
        <v/>
      </c>
      <c r="V144" s="16" t="str">
        <f aca="false">IF(N(M144)=0,"",IF(COUNTIFS(ENSAYOS!$C$5:$C$3004,F144,ENSAYOS!$Q$5:$Q$3004,"&gt;0",ENSAYOS!$G$5:$G$3004,"&gt;="&amp;CONFIG!$B$27)=0,"",AVERAGEIFS(ENSAYOS!$Q$5:$Q$3004,ENSAYOS!$C$5:$C$3004,F144,ENSAYOS!$Q$5:$Q$3004,"&gt;0",ENSAYOS!$G$5:$G$3004,"&gt;="&amp;CONFIG!$B$27)))</f>
        <v/>
      </c>
      <c r="W144" s="18" t="str">
        <f aca="false">IF(AND(U144&lt;&gt;"",V144&lt;&gt;""),U144/V144,"")</f>
        <v/>
      </c>
      <c r="X144" s="18" t="str">
        <f aca="false">IF(U144="","",INDEX('CURVA EDAD'!$E$5:$E$32,MIN(28,MAX(1,N144))))</f>
        <v/>
      </c>
      <c r="Y144" s="16" t="str">
        <f aca="false">IF(V144&lt;&gt;"",V144,IF(U144="","",U144/X144))</f>
        <v/>
      </c>
      <c r="Z144" s="16" t="str">
        <f aca="false">IF(V144&lt;&gt;"",_xlfn.MINIFS(ENSAYOS!$Q$5:$Q$3004,ENSAYOS!$C$5:$C$3004,F144,ENSAYOS!$Q$5:$Q$3004,"&gt;0",ENSAYOS!$G$5:$G$3004,"&gt;="&amp;CONFIG!$B$27),IF(U144="","",_xlfn.MINIFS(ENSAYOS!$Q$5:$Q$3004,ENSAYOS!$C$5:$C$3004,F144,ENSAYOS!$Q$5:$Q$3004,"&gt;0",ENSAYOS!$G$5:$G$3004,N144)/X144))</f>
        <v/>
      </c>
      <c r="AA144" s="16" t="str">
        <f aca="false">IF(D144="","",IFERROR(1/(1/INDEX(CONFIG!$J$5:$J$14,MATCH(D144,CONFIG!$D$5:$D$14,0))),""))</f>
        <v/>
      </c>
      <c r="AB144" s="16" t="str">
        <f aca="false">IF(D144="","",IFERROR(1/(1/INDEX(CONFIG!$K$5:$K$14,MATCH(D144,CONFIG!$D$5:$D$14,0))),""))</f>
        <v/>
      </c>
      <c r="AC144" s="19" t="str">
        <f aca="false">IF(N(M144)=0,"",IF(AA144="","Sin spec",IF(AND(Y144&gt;=AA144,OR(AB144="",Z144&gt;=AB144)),"CUMPLE","NO CUMPLE")&amp;IF(V144=""," (est.)","")))</f>
        <v/>
      </c>
      <c r="AD144" s="20" t="str">
        <f aca="false">IF(F144="","",IF(COUNTIFS(ABSORCION!$C$5:$C$1004,F144,ABSORCION!$I$5:$I$1004,"&gt;0")=0,"",AVERAGEIFS(ABSORCION!$I$5:$I$1004,ABSORCION!$C$5:$C$1004,F144,ABSORCION!$I$5:$I$1004,"&gt;0")))</f>
        <v/>
      </c>
      <c r="AE144" s="20" t="str">
        <f aca="false">IF(F144="","",IF(COUNTIFS(ABSORCION!$C$5:$C$1004,F144,ABSORCION!$I$5:$I$1004,"&gt;0")=0,"",AVERAGEIFS(ABSORCION!$K$5:$K$1004,ABSORCION!$C$5:$C$1004,F144,ABSORCION!$I$5:$I$1004,"&gt;0")))</f>
        <v/>
      </c>
      <c r="AF144" s="20" t="str">
        <f aca="false">IF(AE144="","",IF(AE144&gt;=CONFIG!$E$21,CONFIG!$F$21,IF(AE144&gt;=CONFIG!$E$20,CONFIG!$F$20,CONFIG!$F$19)))</f>
        <v/>
      </c>
      <c r="AG144" s="21" t="str">
        <f aca="false">IF(F144="","",TRIM(IF(N(M144)=0,"Sin ensayos. ","")&amp;IF(AND(N(M144)&gt;0,N(M144)&lt;CONFIG!$B$26),"Menos de "&amp;CONFIG!$B$26&amp;" probetas. ","")&amp;IF(N(T144)&gt;CONFIG!$B$25,"CV alto. ","")&amp;IF(AND(N(AD144)&gt;0,N(AD144)&gt;N(AF144)),"Absorción alta. ","")))</f>
        <v/>
      </c>
      <c r="AH144" s="22" t="str">
        <f aca="false">IF(AND(N(M144)&gt;0,OR(CONTROL!$C$4="TODAS",C144=CONTROL!$C$4),D144=CONTROL!$C$5),MAX($AH$4:AH143)+1,"")</f>
        <v/>
      </c>
      <c r="AI144" s="22" t="str">
        <f aca="false">IF(AH144="","",P144^2)</f>
        <v/>
      </c>
    </row>
    <row r="145" customFormat="false" ht="15" hidden="false" customHeight="false" outlineLevel="0" collapsed="false">
      <c r="A145" s="11" t="str">
        <f aca="false">IF(B145="","",ROW()-4)</f>
        <v/>
      </c>
      <c r="B145" s="12"/>
      <c r="C145" s="13"/>
      <c r="D145" s="13"/>
      <c r="E145" s="13"/>
      <c r="F145" s="14" t="str">
        <f aca="false">IF(OR(B145="",C145="",D145=""),"",IFERROR(INDEX(CONFIG!$E$5:$E$14,MATCH(D145,CONFIG!$D$5:$D$14,0)),"?")&amp;RIGHT("0"&amp;DAY(B145),2)&amp;RIGHT("0"&amp;MONTH(B145),2)&amp;RIGHT(YEAR(B145),2)&amp;C145&amp;IF(E145="","","-"&amp;E145))</f>
        <v/>
      </c>
      <c r="G145" s="13"/>
      <c r="H145" s="13"/>
      <c r="I145" s="13"/>
      <c r="J145" s="13"/>
      <c r="K145" s="13"/>
      <c r="L145" s="13"/>
      <c r="M145" s="11" t="str">
        <f aca="false">IF(F145="","",COUNTIFS(ENSAYOS!$C$5:$C$3004,F145,ENSAYOS!$Q$5:$Q$3004,"&gt;0"))</f>
        <v/>
      </c>
      <c r="N145" s="15" t="str">
        <f aca="false">IF(N(M145)=0,"",_xlfn.MINIFS(ENSAYOS!$G$5:$G$3004,ENSAYOS!$C$5:$C$3004,F145,ENSAYOS!$Q$5:$Q$3004,"&gt;0"))</f>
        <v/>
      </c>
      <c r="O145" s="15" t="str">
        <f aca="false">IF(N(M145)=0,"",_xlfn.MAXIFS(ENSAYOS!$G$5:$G$3004,ENSAYOS!$C$5:$C$3004,F145,ENSAYOS!$Q$5:$Q$3004,"&gt;0"))</f>
        <v/>
      </c>
      <c r="P145" s="16" t="str">
        <f aca="false">IF(N(M145)=0,"",AVERAGEIFS(ENSAYOS!$Q$5:$Q$3004,ENSAYOS!$C$5:$C$3004,F145,ENSAYOS!$Q$5:$Q$3004,"&gt;0"))</f>
        <v/>
      </c>
      <c r="Q145" s="16" t="str">
        <f aca="false">IF(N(M145)=0,"",_xlfn.MINIFS(ENSAYOS!$Q$5:$Q$3004,ENSAYOS!$C$5:$C$3004,F145,ENSAYOS!$Q$5:$Q$3004,"&gt;0"))</f>
        <v/>
      </c>
      <c r="R145" s="16" t="str">
        <f aca="false">IF(N(M145)=0,"",_xlfn.MAXIFS(ENSAYOS!$Q$5:$Q$3004,ENSAYOS!$C$5:$C$3004,F145,ENSAYOS!$Q$5:$Q$3004,"&gt;0"))</f>
        <v/>
      </c>
      <c r="S145" s="16" t="str">
        <f aca="false">IF(N(M145)&lt;2,"",SQRT(MAX(0,(SUMIFS(ENSAYOS!$X$5:$X$3004,ENSAYOS!$C$5:$C$3004,F145,ENSAYOS!$Q$5:$Q$3004,"&gt;0")-M145*P145^2)/(M145-1))))</f>
        <v/>
      </c>
      <c r="T145" s="17" t="str">
        <f aca="false">IF(S145="","",S145/P145)</f>
        <v/>
      </c>
      <c r="U145" s="16" t="str">
        <f aca="false">IF(N(M145)=0,"",IF(N145&gt;=CONFIG!$B$27,"",AVERAGEIFS(ENSAYOS!$Q$5:$Q$3004,ENSAYOS!$C$5:$C$3004,F145,ENSAYOS!$Q$5:$Q$3004,"&gt;0",ENSAYOS!$G$5:$G$3004,N145)))</f>
        <v/>
      </c>
      <c r="V145" s="16" t="str">
        <f aca="false">IF(N(M145)=0,"",IF(COUNTIFS(ENSAYOS!$C$5:$C$3004,F145,ENSAYOS!$Q$5:$Q$3004,"&gt;0",ENSAYOS!$G$5:$G$3004,"&gt;="&amp;CONFIG!$B$27)=0,"",AVERAGEIFS(ENSAYOS!$Q$5:$Q$3004,ENSAYOS!$C$5:$C$3004,F145,ENSAYOS!$Q$5:$Q$3004,"&gt;0",ENSAYOS!$G$5:$G$3004,"&gt;="&amp;CONFIG!$B$27)))</f>
        <v/>
      </c>
      <c r="W145" s="18" t="str">
        <f aca="false">IF(AND(U145&lt;&gt;"",V145&lt;&gt;""),U145/V145,"")</f>
        <v/>
      </c>
      <c r="X145" s="18" t="str">
        <f aca="false">IF(U145="","",INDEX('CURVA EDAD'!$E$5:$E$32,MIN(28,MAX(1,N145))))</f>
        <v/>
      </c>
      <c r="Y145" s="16" t="str">
        <f aca="false">IF(V145&lt;&gt;"",V145,IF(U145="","",U145/X145))</f>
        <v/>
      </c>
      <c r="Z145" s="16" t="str">
        <f aca="false">IF(V145&lt;&gt;"",_xlfn.MINIFS(ENSAYOS!$Q$5:$Q$3004,ENSAYOS!$C$5:$C$3004,F145,ENSAYOS!$Q$5:$Q$3004,"&gt;0",ENSAYOS!$G$5:$G$3004,"&gt;="&amp;CONFIG!$B$27),IF(U145="","",_xlfn.MINIFS(ENSAYOS!$Q$5:$Q$3004,ENSAYOS!$C$5:$C$3004,F145,ENSAYOS!$Q$5:$Q$3004,"&gt;0",ENSAYOS!$G$5:$G$3004,N145)/X145))</f>
        <v/>
      </c>
      <c r="AA145" s="16" t="str">
        <f aca="false">IF(D145="","",IFERROR(1/(1/INDEX(CONFIG!$J$5:$J$14,MATCH(D145,CONFIG!$D$5:$D$14,0))),""))</f>
        <v/>
      </c>
      <c r="AB145" s="16" t="str">
        <f aca="false">IF(D145="","",IFERROR(1/(1/INDEX(CONFIG!$K$5:$K$14,MATCH(D145,CONFIG!$D$5:$D$14,0))),""))</f>
        <v/>
      </c>
      <c r="AC145" s="19" t="str">
        <f aca="false">IF(N(M145)=0,"",IF(AA145="","Sin spec",IF(AND(Y145&gt;=AA145,OR(AB145="",Z145&gt;=AB145)),"CUMPLE","NO CUMPLE")&amp;IF(V145=""," (est.)","")))</f>
        <v/>
      </c>
      <c r="AD145" s="20" t="str">
        <f aca="false">IF(F145="","",IF(COUNTIFS(ABSORCION!$C$5:$C$1004,F145,ABSORCION!$I$5:$I$1004,"&gt;0")=0,"",AVERAGEIFS(ABSORCION!$I$5:$I$1004,ABSORCION!$C$5:$C$1004,F145,ABSORCION!$I$5:$I$1004,"&gt;0")))</f>
        <v/>
      </c>
      <c r="AE145" s="20" t="str">
        <f aca="false">IF(F145="","",IF(COUNTIFS(ABSORCION!$C$5:$C$1004,F145,ABSORCION!$I$5:$I$1004,"&gt;0")=0,"",AVERAGEIFS(ABSORCION!$K$5:$K$1004,ABSORCION!$C$5:$C$1004,F145,ABSORCION!$I$5:$I$1004,"&gt;0")))</f>
        <v/>
      </c>
      <c r="AF145" s="20" t="str">
        <f aca="false">IF(AE145="","",IF(AE145&gt;=CONFIG!$E$21,CONFIG!$F$21,IF(AE145&gt;=CONFIG!$E$20,CONFIG!$F$20,CONFIG!$F$19)))</f>
        <v/>
      </c>
      <c r="AG145" s="21" t="str">
        <f aca="false">IF(F145="","",TRIM(IF(N(M145)=0,"Sin ensayos. ","")&amp;IF(AND(N(M145)&gt;0,N(M145)&lt;CONFIG!$B$26),"Menos de "&amp;CONFIG!$B$26&amp;" probetas. ","")&amp;IF(N(T145)&gt;CONFIG!$B$25,"CV alto. ","")&amp;IF(AND(N(AD145)&gt;0,N(AD145)&gt;N(AF145)),"Absorción alta. ","")))</f>
        <v/>
      </c>
      <c r="AH145" s="22" t="str">
        <f aca="false">IF(AND(N(M145)&gt;0,OR(CONTROL!$C$4="TODAS",C145=CONTROL!$C$4),D145=CONTROL!$C$5),MAX($AH$4:AH144)+1,"")</f>
        <v/>
      </c>
      <c r="AI145" s="22" t="str">
        <f aca="false">IF(AH145="","",P145^2)</f>
        <v/>
      </c>
    </row>
    <row r="146" customFormat="false" ht="15" hidden="false" customHeight="false" outlineLevel="0" collapsed="false">
      <c r="A146" s="11" t="str">
        <f aca="false">IF(B146="","",ROW()-4)</f>
        <v/>
      </c>
      <c r="B146" s="12"/>
      <c r="C146" s="13"/>
      <c r="D146" s="13"/>
      <c r="E146" s="13"/>
      <c r="F146" s="14" t="str">
        <f aca="false">IF(OR(B146="",C146="",D146=""),"",IFERROR(INDEX(CONFIG!$E$5:$E$14,MATCH(D146,CONFIG!$D$5:$D$14,0)),"?")&amp;RIGHT("0"&amp;DAY(B146),2)&amp;RIGHT("0"&amp;MONTH(B146),2)&amp;RIGHT(YEAR(B146),2)&amp;C146&amp;IF(E146="","","-"&amp;E146))</f>
        <v/>
      </c>
      <c r="G146" s="13"/>
      <c r="H146" s="13"/>
      <c r="I146" s="13"/>
      <c r="J146" s="13"/>
      <c r="K146" s="13"/>
      <c r="L146" s="13"/>
      <c r="M146" s="11" t="str">
        <f aca="false">IF(F146="","",COUNTIFS(ENSAYOS!$C$5:$C$3004,F146,ENSAYOS!$Q$5:$Q$3004,"&gt;0"))</f>
        <v/>
      </c>
      <c r="N146" s="15" t="str">
        <f aca="false">IF(N(M146)=0,"",_xlfn.MINIFS(ENSAYOS!$G$5:$G$3004,ENSAYOS!$C$5:$C$3004,F146,ENSAYOS!$Q$5:$Q$3004,"&gt;0"))</f>
        <v/>
      </c>
      <c r="O146" s="15" t="str">
        <f aca="false">IF(N(M146)=0,"",_xlfn.MAXIFS(ENSAYOS!$G$5:$G$3004,ENSAYOS!$C$5:$C$3004,F146,ENSAYOS!$Q$5:$Q$3004,"&gt;0"))</f>
        <v/>
      </c>
      <c r="P146" s="16" t="str">
        <f aca="false">IF(N(M146)=0,"",AVERAGEIFS(ENSAYOS!$Q$5:$Q$3004,ENSAYOS!$C$5:$C$3004,F146,ENSAYOS!$Q$5:$Q$3004,"&gt;0"))</f>
        <v/>
      </c>
      <c r="Q146" s="16" t="str">
        <f aca="false">IF(N(M146)=0,"",_xlfn.MINIFS(ENSAYOS!$Q$5:$Q$3004,ENSAYOS!$C$5:$C$3004,F146,ENSAYOS!$Q$5:$Q$3004,"&gt;0"))</f>
        <v/>
      </c>
      <c r="R146" s="16" t="str">
        <f aca="false">IF(N(M146)=0,"",_xlfn.MAXIFS(ENSAYOS!$Q$5:$Q$3004,ENSAYOS!$C$5:$C$3004,F146,ENSAYOS!$Q$5:$Q$3004,"&gt;0"))</f>
        <v/>
      </c>
      <c r="S146" s="16" t="str">
        <f aca="false">IF(N(M146)&lt;2,"",SQRT(MAX(0,(SUMIFS(ENSAYOS!$X$5:$X$3004,ENSAYOS!$C$5:$C$3004,F146,ENSAYOS!$Q$5:$Q$3004,"&gt;0")-M146*P146^2)/(M146-1))))</f>
        <v/>
      </c>
      <c r="T146" s="17" t="str">
        <f aca="false">IF(S146="","",S146/P146)</f>
        <v/>
      </c>
      <c r="U146" s="16" t="str">
        <f aca="false">IF(N(M146)=0,"",IF(N146&gt;=CONFIG!$B$27,"",AVERAGEIFS(ENSAYOS!$Q$5:$Q$3004,ENSAYOS!$C$5:$C$3004,F146,ENSAYOS!$Q$5:$Q$3004,"&gt;0",ENSAYOS!$G$5:$G$3004,N146)))</f>
        <v/>
      </c>
      <c r="V146" s="16" t="str">
        <f aca="false">IF(N(M146)=0,"",IF(COUNTIFS(ENSAYOS!$C$5:$C$3004,F146,ENSAYOS!$Q$5:$Q$3004,"&gt;0",ENSAYOS!$G$5:$G$3004,"&gt;="&amp;CONFIG!$B$27)=0,"",AVERAGEIFS(ENSAYOS!$Q$5:$Q$3004,ENSAYOS!$C$5:$C$3004,F146,ENSAYOS!$Q$5:$Q$3004,"&gt;0",ENSAYOS!$G$5:$G$3004,"&gt;="&amp;CONFIG!$B$27)))</f>
        <v/>
      </c>
      <c r="W146" s="18" t="str">
        <f aca="false">IF(AND(U146&lt;&gt;"",V146&lt;&gt;""),U146/V146,"")</f>
        <v/>
      </c>
      <c r="X146" s="18" t="str">
        <f aca="false">IF(U146="","",INDEX('CURVA EDAD'!$E$5:$E$32,MIN(28,MAX(1,N146))))</f>
        <v/>
      </c>
      <c r="Y146" s="16" t="str">
        <f aca="false">IF(V146&lt;&gt;"",V146,IF(U146="","",U146/X146))</f>
        <v/>
      </c>
      <c r="Z146" s="16" t="str">
        <f aca="false">IF(V146&lt;&gt;"",_xlfn.MINIFS(ENSAYOS!$Q$5:$Q$3004,ENSAYOS!$C$5:$C$3004,F146,ENSAYOS!$Q$5:$Q$3004,"&gt;0",ENSAYOS!$G$5:$G$3004,"&gt;="&amp;CONFIG!$B$27),IF(U146="","",_xlfn.MINIFS(ENSAYOS!$Q$5:$Q$3004,ENSAYOS!$C$5:$C$3004,F146,ENSAYOS!$Q$5:$Q$3004,"&gt;0",ENSAYOS!$G$5:$G$3004,N146)/X146))</f>
        <v/>
      </c>
      <c r="AA146" s="16" t="str">
        <f aca="false">IF(D146="","",IFERROR(1/(1/INDEX(CONFIG!$J$5:$J$14,MATCH(D146,CONFIG!$D$5:$D$14,0))),""))</f>
        <v/>
      </c>
      <c r="AB146" s="16" t="str">
        <f aca="false">IF(D146="","",IFERROR(1/(1/INDEX(CONFIG!$K$5:$K$14,MATCH(D146,CONFIG!$D$5:$D$14,0))),""))</f>
        <v/>
      </c>
      <c r="AC146" s="19" t="str">
        <f aca="false">IF(N(M146)=0,"",IF(AA146="","Sin spec",IF(AND(Y146&gt;=AA146,OR(AB146="",Z146&gt;=AB146)),"CUMPLE","NO CUMPLE")&amp;IF(V146=""," (est.)","")))</f>
        <v/>
      </c>
      <c r="AD146" s="20" t="str">
        <f aca="false">IF(F146="","",IF(COUNTIFS(ABSORCION!$C$5:$C$1004,F146,ABSORCION!$I$5:$I$1004,"&gt;0")=0,"",AVERAGEIFS(ABSORCION!$I$5:$I$1004,ABSORCION!$C$5:$C$1004,F146,ABSORCION!$I$5:$I$1004,"&gt;0")))</f>
        <v/>
      </c>
      <c r="AE146" s="20" t="str">
        <f aca="false">IF(F146="","",IF(COUNTIFS(ABSORCION!$C$5:$C$1004,F146,ABSORCION!$I$5:$I$1004,"&gt;0")=0,"",AVERAGEIFS(ABSORCION!$K$5:$K$1004,ABSORCION!$C$5:$C$1004,F146,ABSORCION!$I$5:$I$1004,"&gt;0")))</f>
        <v/>
      </c>
      <c r="AF146" s="20" t="str">
        <f aca="false">IF(AE146="","",IF(AE146&gt;=CONFIG!$E$21,CONFIG!$F$21,IF(AE146&gt;=CONFIG!$E$20,CONFIG!$F$20,CONFIG!$F$19)))</f>
        <v/>
      </c>
      <c r="AG146" s="21" t="str">
        <f aca="false">IF(F146="","",TRIM(IF(N(M146)=0,"Sin ensayos. ","")&amp;IF(AND(N(M146)&gt;0,N(M146)&lt;CONFIG!$B$26),"Menos de "&amp;CONFIG!$B$26&amp;" probetas. ","")&amp;IF(N(T146)&gt;CONFIG!$B$25,"CV alto. ","")&amp;IF(AND(N(AD146)&gt;0,N(AD146)&gt;N(AF146)),"Absorción alta. ","")))</f>
        <v/>
      </c>
      <c r="AH146" s="22" t="str">
        <f aca="false">IF(AND(N(M146)&gt;0,OR(CONTROL!$C$4="TODAS",C146=CONTROL!$C$4),D146=CONTROL!$C$5),MAX($AH$4:AH145)+1,"")</f>
        <v/>
      </c>
      <c r="AI146" s="22" t="str">
        <f aca="false">IF(AH146="","",P146^2)</f>
        <v/>
      </c>
    </row>
    <row r="147" customFormat="false" ht="15" hidden="false" customHeight="false" outlineLevel="0" collapsed="false">
      <c r="A147" s="11" t="str">
        <f aca="false">IF(B147="","",ROW()-4)</f>
        <v/>
      </c>
      <c r="B147" s="12"/>
      <c r="C147" s="13"/>
      <c r="D147" s="13"/>
      <c r="E147" s="13"/>
      <c r="F147" s="14" t="str">
        <f aca="false">IF(OR(B147="",C147="",D147=""),"",IFERROR(INDEX(CONFIG!$E$5:$E$14,MATCH(D147,CONFIG!$D$5:$D$14,0)),"?")&amp;RIGHT("0"&amp;DAY(B147),2)&amp;RIGHT("0"&amp;MONTH(B147),2)&amp;RIGHT(YEAR(B147),2)&amp;C147&amp;IF(E147="","","-"&amp;E147))</f>
        <v/>
      </c>
      <c r="G147" s="13"/>
      <c r="H147" s="13"/>
      <c r="I147" s="13"/>
      <c r="J147" s="13"/>
      <c r="K147" s="13"/>
      <c r="L147" s="13"/>
      <c r="M147" s="11" t="str">
        <f aca="false">IF(F147="","",COUNTIFS(ENSAYOS!$C$5:$C$3004,F147,ENSAYOS!$Q$5:$Q$3004,"&gt;0"))</f>
        <v/>
      </c>
      <c r="N147" s="15" t="str">
        <f aca="false">IF(N(M147)=0,"",_xlfn.MINIFS(ENSAYOS!$G$5:$G$3004,ENSAYOS!$C$5:$C$3004,F147,ENSAYOS!$Q$5:$Q$3004,"&gt;0"))</f>
        <v/>
      </c>
      <c r="O147" s="15" t="str">
        <f aca="false">IF(N(M147)=0,"",_xlfn.MAXIFS(ENSAYOS!$G$5:$G$3004,ENSAYOS!$C$5:$C$3004,F147,ENSAYOS!$Q$5:$Q$3004,"&gt;0"))</f>
        <v/>
      </c>
      <c r="P147" s="16" t="str">
        <f aca="false">IF(N(M147)=0,"",AVERAGEIFS(ENSAYOS!$Q$5:$Q$3004,ENSAYOS!$C$5:$C$3004,F147,ENSAYOS!$Q$5:$Q$3004,"&gt;0"))</f>
        <v/>
      </c>
      <c r="Q147" s="16" t="str">
        <f aca="false">IF(N(M147)=0,"",_xlfn.MINIFS(ENSAYOS!$Q$5:$Q$3004,ENSAYOS!$C$5:$C$3004,F147,ENSAYOS!$Q$5:$Q$3004,"&gt;0"))</f>
        <v/>
      </c>
      <c r="R147" s="16" t="str">
        <f aca="false">IF(N(M147)=0,"",_xlfn.MAXIFS(ENSAYOS!$Q$5:$Q$3004,ENSAYOS!$C$5:$C$3004,F147,ENSAYOS!$Q$5:$Q$3004,"&gt;0"))</f>
        <v/>
      </c>
      <c r="S147" s="16" t="str">
        <f aca="false">IF(N(M147)&lt;2,"",SQRT(MAX(0,(SUMIFS(ENSAYOS!$X$5:$X$3004,ENSAYOS!$C$5:$C$3004,F147,ENSAYOS!$Q$5:$Q$3004,"&gt;0")-M147*P147^2)/(M147-1))))</f>
        <v/>
      </c>
      <c r="T147" s="17" t="str">
        <f aca="false">IF(S147="","",S147/P147)</f>
        <v/>
      </c>
      <c r="U147" s="16" t="str">
        <f aca="false">IF(N(M147)=0,"",IF(N147&gt;=CONFIG!$B$27,"",AVERAGEIFS(ENSAYOS!$Q$5:$Q$3004,ENSAYOS!$C$5:$C$3004,F147,ENSAYOS!$Q$5:$Q$3004,"&gt;0",ENSAYOS!$G$5:$G$3004,N147)))</f>
        <v/>
      </c>
      <c r="V147" s="16" t="str">
        <f aca="false">IF(N(M147)=0,"",IF(COUNTIFS(ENSAYOS!$C$5:$C$3004,F147,ENSAYOS!$Q$5:$Q$3004,"&gt;0",ENSAYOS!$G$5:$G$3004,"&gt;="&amp;CONFIG!$B$27)=0,"",AVERAGEIFS(ENSAYOS!$Q$5:$Q$3004,ENSAYOS!$C$5:$C$3004,F147,ENSAYOS!$Q$5:$Q$3004,"&gt;0",ENSAYOS!$G$5:$G$3004,"&gt;="&amp;CONFIG!$B$27)))</f>
        <v/>
      </c>
      <c r="W147" s="18" t="str">
        <f aca="false">IF(AND(U147&lt;&gt;"",V147&lt;&gt;""),U147/V147,"")</f>
        <v/>
      </c>
      <c r="X147" s="18" t="str">
        <f aca="false">IF(U147="","",INDEX('CURVA EDAD'!$E$5:$E$32,MIN(28,MAX(1,N147))))</f>
        <v/>
      </c>
      <c r="Y147" s="16" t="str">
        <f aca="false">IF(V147&lt;&gt;"",V147,IF(U147="","",U147/X147))</f>
        <v/>
      </c>
      <c r="Z147" s="16" t="str">
        <f aca="false">IF(V147&lt;&gt;"",_xlfn.MINIFS(ENSAYOS!$Q$5:$Q$3004,ENSAYOS!$C$5:$C$3004,F147,ENSAYOS!$Q$5:$Q$3004,"&gt;0",ENSAYOS!$G$5:$G$3004,"&gt;="&amp;CONFIG!$B$27),IF(U147="","",_xlfn.MINIFS(ENSAYOS!$Q$5:$Q$3004,ENSAYOS!$C$5:$C$3004,F147,ENSAYOS!$Q$5:$Q$3004,"&gt;0",ENSAYOS!$G$5:$G$3004,N147)/X147))</f>
        <v/>
      </c>
      <c r="AA147" s="16" t="str">
        <f aca="false">IF(D147="","",IFERROR(1/(1/INDEX(CONFIG!$J$5:$J$14,MATCH(D147,CONFIG!$D$5:$D$14,0))),""))</f>
        <v/>
      </c>
      <c r="AB147" s="16" t="str">
        <f aca="false">IF(D147="","",IFERROR(1/(1/INDEX(CONFIG!$K$5:$K$14,MATCH(D147,CONFIG!$D$5:$D$14,0))),""))</f>
        <v/>
      </c>
      <c r="AC147" s="19" t="str">
        <f aca="false">IF(N(M147)=0,"",IF(AA147="","Sin spec",IF(AND(Y147&gt;=AA147,OR(AB147="",Z147&gt;=AB147)),"CUMPLE","NO CUMPLE")&amp;IF(V147=""," (est.)","")))</f>
        <v/>
      </c>
      <c r="AD147" s="20" t="str">
        <f aca="false">IF(F147="","",IF(COUNTIFS(ABSORCION!$C$5:$C$1004,F147,ABSORCION!$I$5:$I$1004,"&gt;0")=0,"",AVERAGEIFS(ABSORCION!$I$5:$I$1004,ABSORCION!$C$5:$C$1004,F147,ABSORCION!$I$5:$I$1004,"&gt;0")))</f>
        <v/>
      </c>
      <c r="AE147" s="20" t="str">
        <f aca="false">IF(F147="","",IF(COUNTIFS(ABSORCION!$C$5:$C$1004,F147,ABSORCION!$I$5:$I$1004,"&gt;0")=0,"",AVERAGEIFS(ABSORCION!$K$5:$K$1004,ABSORCION!$C$5:$C$1004,F147,ABSORCION!$I$5:$I$1004,"&gt;0")))</f>
        <v/>
      </c>
      <c r="AF147" s="20" t="str">
        <f aca="false">IF(AE147="","",IF(AE147&gt;=CONFIG!$E$21,CONFIG!$F$21,IF(AE147&gt;=CONFIG!$E$20,CONFIG!$F$20,CONFIG!$F$19)))</f>
        <v/>
      </c>
      <c r="AG147" s="21" t="str">
        <f aca="false">IF(F147="","",TRIM(IF(N(M147)=0,"Sin ensayos. ","")&amp;IF(AND(N(M147)&gt;0,N(M147)&lt;CONFIG!$B$26),"Menos de "&amp;CONFIG!$B$26&amp;" probetas. ","")&amp;IF(N(T147)&gt;CONFIG!$B$25,"CV alto. ","")&amp;IF(AND(N(AD147)&gt;0,N(AD147)&gt;N(AF147)),"Absorción alta. ","")))</f>
        <v/>
      </c>
      <c r="AH147" s="22" t="str">
        <f aca="false">IF(AND(N(M147)&gt;0,OR(CONTROL!$C$4="TODAS",C147=CONTROL!$C$4),D147=CONTROL!$C$5),MAX($AH$4:AH146)+1,"")</f>
        <v/>
      </c>
      <c r="AI147" s="22" t="str">
        <f aca="false">IF(AH147="","",P147^2)</f>
        <v/>
      </c>
    </row>
    <row r="148" customFormat="false" ht="15" hidden="false" customHeight="false" outlineLevel="0" collapsed="false">
      <c r="A148" s="11" t="str">
        <f aca="false">IF(B148="","",ROW()-4)</f>
        <v/>
      </c>
      <c r="B148" s="12"/>
      <c r="C148" s="13"/>
      <c r="D148" s="13"/>
      <c r="E148" s="13"/>
      <c r="F148" s="14" t="str">
        <f aca="false">IF(OR(B148="",C148="",D148=""),"",IFERROR(INDEX(CONFIG!$E$5:$E$14,MATCH(D148,CONFIG!$D$5:$D$14,0)),"?")&amp;RIGHT("0"&amp;DAY(B148),2)&amp;RIGHT("0"&amp;MONTH(B148),2)&amp;RIGHT(YEAR(B148),2)&amp;C148&amp;IF(E148="","","-"&amp;E148))</f>
        <v/>
      </c>
      <c r="G148" s="13"/>
      <c r="H148" s="13"/>
      <c r="I148" s="13"/>
      <c r="J148" s="13"/>
      <c r="K148" s="13"/>
      <c r="L148" s="13"/>
      <c r="M148" s="11" t="str">
        <f aca="false">IF(F148="","",COUNTIFS(ENSAYOS!$C$5:$C$3004,F148,ENSAYOS!$Q$5:$Q$3004,"&gt;0"))</f>
        <v/>
      </c>
      <c r="N148" s="15" t="str">
        <f aca="false">IF(N(M148)=0,"",_xlfn.MINIFS(ENSAYOS!$G$5:$G$3004,ENSAYOS!$C$5:$C$3004,F148,ENSAYOS!$Q$5:$Q$3004,"&gt;0"))</f>
        <v/>
      </c>
      <c r="O148" s="15" t="str">
        <f aca="false">IF(N(M148)=0,"",_xlfn.MAXIFS(ENSAYOS!$G$5:$G$3004,ENSAYOS!$C$5:$C$3004,F148,ENSAYOS!$Q$5:$Q$3004,"&gt;0"))</f>
        <v/>
      </c>
      <c r="P148" s="16" t="str">
        <f aca="false">IF(N(M148)=0,"",AVERAGEIFS(ENSAYOS!$Q$5:$Q$3004,ENSAYOS!$C$5:$C$3004,F148,ENSAYOS!$Q$5:$Q$3004,"&gt;0"))</f>
        <v/>
      </c>
      <c r="Q148" s="16" t="str">
        <f aca="false">IF(N(M148)=0,"",_xlfn.MINIFS(ENSAYOS!$Q$5:$Q$3004,ENSAYOS!$C$5:$C$3004,F148,ENSAYOS!$Q$5:$Q$3004,"&gt;0"))</f>
        <v/>
      </c>
      <c r="R148" s="16" t="str">
        <f aca="false">IF(N(M148)=0,"",_xlfn.MAXIFS(ENSAYOS!$Q$5:$Q$3004,ENSAYOS!$C$5:$C$3004,F148,ENSAYOS!$Q$5:$Q$3004,"&gt;0"))</f>
        <v/>
      </c>
      <c r="S148" s="16" t="str">
        <f aca="false">IF(N(M148)&lt;2,"",SQRT(MAX(0,(SUMIFS(ENSAYOS!$X$5:$X$3004,ENSAYOS!$C$5:$C$3004,F148,ENSAYOS!$Q$5:$Q$3004,"&gt;0")-M148*P148^2)/(M148-1))))</f>
        <v/>
      </c>
      <c r="T148" s="17" t="str">
        <f aca="false">IF(S148="","",S148/P148)</f>
        <v/>
      </c>
      <c r="U148" s="16" t="str">
        <f aca="false">IF(N(M148)=0,"",IF(N148&gt;=CONFIG!$B$27,"",AVERAGEIFS(ENSAYOS!$Q$5:$Q$3004,ENSAYOS!$C$5:$C$3004,F148,ENSAYOS!$Q$5:$Q$3004,"&gt;0",ENSAYOS!$G$5:$G$3004,N148)))</f>
        <v/>
      </c>
      <c r="V148" s="16" t="str">
        <f aca="false">IF(N(M148)=0,"",IF(COUNTIFS(ENSAYOS!$C$5:$C$3004,F148,ENSAYOS!$Q$5:$Q$3004,"&gt;0",ENSAYOS!$G$5:$G$3004,"&gt;="&amp;CONFIG!$B$27)=0,"",AVERAGEIFS(ENSAYOS!$Q$5:$Q$3004,ENSAYOS!$C$5:$C$3004,F148,ENSAYOS!$Q$5:$Q$3004,"&gt;0",ENSAYOS!$G$5:$G$3004,"&gt;="&amp;CONFIG!$B$27)))</f>
        <v/>
      </c>
      <c r="W148" s="18" t="str">
        <f aca="false">IF(AND(U148&lt;&gt;"",V148&lt;&gt;""),U148/V148,"")</f>
        <v/>
      </c>
      <c r="X148" s="18" t="str">
        <f aca="false">IF(U148="","",INDEX('CURVA EDAD'!$E$5:$E$32,MIN(28,MAX(1,N148))))</f>
        <v/>
      </c>
      <c r="Y148" s="16" t="str">
        <f aca="false">IF(V148&lt;&gt;"",V148,IF(U148="","",U148/X148))</f>
        <v/>
      </c>
      <c r="Z148" s="16" t="str">
        <f aca="false">IF(V148&lt;&gt;"",_xlfn.MINIFS(ENSAYOS!$Q$5:$Q$3004,ENSAYOS!$C$5:$C$3004,F148,ENSAYOS!$Q$5:$Q$3004,"&gt;0",ENSAYOS!$G$5:$G$3004,"&gt;="&amp;CONFIG!$B$27),IF(U148="","",_xlfn.MINIFS(ENSAYOS!$Q$5:$Q$3004,ENSAYOS!$C$5:$C$3004,F148,ENSAYOS!$Q$5:$Q$3004,"&gt;0",ENSAYOS!$G$5:$G$3004,N148)/X148))</f>
        <v/>
      </c>
      <c r="AA148" s="16" t="str">
        <f aca="false">IF(D148="","",IFERROR(1/(1/INDEX(CONFIG!$J$5:$J$14,MATCH(D148,CONFIG!$D$5:$D$14,0))),""))</f>
        <v/>
      </c>
      <c r="AB148" s="16" t="str">
        <f aca="false">IF(D148="","",IFERROR(1/(1/INDEX(CONFIG!$K$5:$K$14,MATCH(D148,CONFIG!$D$5:$D$14,0))),""))</f>
        <v/>
      </c>
      <c r="AC148" s="19" t="str">
        <f aca="false">IF(N(M148)=0,"",IF(AA148="","Sin spec",IF(AND(Y148&gt;=AA148,OR(AB148="",Z148&gt;=AB148)),"CUMPLE","NO CUMPLE")&amp;IF(V148=""," (est.)","")))</f>
        <v/>
      </c>
      <c r="AD148" s="20" t="str">
        <f aca="false">IF(F148="","",IF(COUNTIFS(ABSORCION!$C$5:$C$1004,F148,ABSORCION!$I$5:$I$1004,"&gt;0")=0,"",AVERAGEIFS(ABSORCION!$I$5:$I$1004,ABSORCION!$C$5:$C$1004,F148,ABSORCION!$I$5:$I$1004,"&gt;0")))</f>
        <v/>
      </c>
      <c r="AE148" s="20" t="str">
        <f aca="false">IF(F148="","",IF(COUNTIFS(ABSORCION!$C$5:$C$1004,F148,ABSORCION!$I$5:$I$1004,"&gt;0")=0,"",AVERAGEIFS(ABSORCION!$K$5:$K$1004,ABSORCION!$C$5:$C$1004,F148,ABSORCION!$I$5:$I$1004,"&gt;0")))</f>
        <v/>
      </c>
      <c r="AF148" s="20" t="str">
        <f aca="false">IF(AE148="","",IF(AE148&gt;=CONFIG!$E$21,CONFIG!$F$21,IF(AE148&gt;=CONFIG!$E$20,CONFIG!$F$20,CONFIG!$F$19)))</f>
        <v/>
      </c>
      <c r="AG148" s="21" t="str">
        <f aca="false">IF(F148="","",TRIM(IF(N(M148)=0,"Sin ensayos. ","")&amp;IF(AND(N(M148)&gt;0,N(M148)&lt;CONFIG!$B$26),"Menos de "&amp;CONFIG!$B$26&amp;" probetas. ","")&amp;IF(N(T148)&gt;CONFIG!$B$25,"CV alto. ","")&amp;IF(AND(N(AD148)&gt;0,N(AD148)&gt;N(AF148)),"Absorción alta. ","")))</f>
        <v/>
      </c>
      <c r="AH148" s="22" t="str">
        <f aca="false">IF(AND(N(M148)&gt;0,OR(CONTROL!$C$4="TODAS",C148=CONTROL!$C$4),D148=CONTROL!$C$5),MAX($AH$4:AH147)+1,"")</f>
        <v/>
      </c>
      <c r="AI148" s="22" t="str">
        <f aca="false">IF(AH148="","",P148^2)</f>
        <v/>
      </c>
    </row>
    <row r="149" customFormat="false" ht="15" hidden="false" customHeight="false" outlineLevel="0" collapsed="false">
      <c r="A149" s="11" t="str">
        <f aca="false">IF(B149="","",ROW()-4)</f>
        <v/>
      </c>
      <c r="B149" s="12"/>
      <c r="C149" s="13"/>
      <c r="D149" s="13"/>
      <c r="E149" s="13"/>
      <c r="F149" s="14" t="str">
        <f aca="false">IF(OR(B149="",C149="",D149=""),"",IFERROR(INDEX(CONFIG!$E$5:$E$14,MATCH(D149,CONFIG!$D$5:$D$14,0)),"?")&amp;RIGHT("0"&amp;DAY(B149),2)&amp;RIGHT("0"&amp;MONTH(B149),2)&amp;RIGHT(YEAR(B149),2)&amp;C149&amp;IF(E149="","","-"&amp;E149))</f>
        <v/>
      </c>
      <c r="G149" s="13"/>
      <c r="H149" s="13"/>
      <c r="I149" s="13"/>
      <c r="J149" s="13"/>
      <c r="K149" s="13"/>
      <c r="L149" s="13"/>
      <c r="M149" s="11" t="str">
        <f aca="false">IF(F149="","",COUNTIFS(ENSAYOS!$C$5:$C$3004,F149,ENSAYOS!$Q$5:$Q$3004,"&gt;0"))</f>
        <v/>
      </c>
      <c r="N149" s="15" t="str">
        <f aca="false">IF(N(M149)=0,"",_xlfn.MINIFS(ENSAYOS!$G$5:$G$3004,ENSAYOS!$C$5:$C$3004,F149,ENSAYOS!$Q$5:$Q$3004,"&gt;0"))</f>
        <v/>
      </c>
      <c r="O149" s="15" t="str">
        <f aca="false">IF(N(M149)=0,"",_xlfn.MAXIFS(ENSAYOS!$G$5:$G$3004,ENSAYOS!$C$5:$C$3004,F149,ENSAYOS!$Q$5:$Q$3004,"&gt;0"))</f>
        <v/>
      </c>
      <c r="P149" s="16" t="str">
        <f aca="false">IF(N(M149)=0,"",AVERAGEIFS(ENSAYOS!$Q$5:$Q$3004,ENSAYOS!$C$5:$C$3004,F149,ENSAYOS!$Q$5:$Q$3004,"&gt;0"))</f>
        <v/>
      </c>
      <c r="Q149" s="16" t="str">
        <f aca="false">IF(N(M149)=0,"",_xlfn.MINIFS(ENSAYOS!$Q$5:$Q$3004,ENSAYOS!$C$5:$C$3004,F149,ENSAYOS!$Q$5:$Q$3004,"&gt;0"))</f>
        <v/>
      </c>
      <c r="R149" s="16" t="str">
        <f aca="false">IF(N(M149)=0,"",_xlfn.MAXIFS(ENSAYOS!$Q$5:$Q$3004,ENSAYOS!$C$5:$C$3004,F149,ENSAYOS!$Q$5:$Q$3004,"&gt;0"))</f>
        <v/>
      </c>
      <c r="S149" s="16" t="str">
        <f aca="false">IF(N(M149)&lt;2,"",SQRT(MAX(0,(SUMIFS(ENSAYOS!$X$5:$X$3004,ENSAYOS!$C$5:$C$3004,F149,ENSAYOS!$Q$5:$Q$3004,"&gt;0")-M149*P149^2)/(M149-1))))</f>
        <v/>
      </c>
      <c r="T149" s="17" t="str">
        <f aca="false">IF(S149="","",S149/P149)</f>
        <v/>
      </c>
      <c r="U149" s="16" t="str">
        <f aca="false">IF(N(M149)=0,"",IF(N149&gt;=CONFIG!$B$27,"",AVERAGEIFS(ENSAYOS!$Q$5:$Q$3004,ENSAYOS!$C$5:$C$3004,F149,ENSAYOS!$Q$5:$Q$3004,"&gt;0",ENSAYOS!$G$5:$G$3004,N149)))</f>
        <v/>
      </c>
      <c r="V149" s="16" t="str">
        <f aca="false">IF(N(M149)=0,"",IF(COUNTIFS(ENSAYOS!$C$5:$C$3004,F149,ENSAYOS!$Q$5:$Q$3004,"&gt;0",ENSAYOS!$G$5:$G$3004,"&gt;="&amp;CONFIG!$B$27)=0,"",AVERAGEIFS(ENSAYOS!$Q$5:$Q$3004,ENSAYOS!$C$5:$C$3004,F149,ENSAYOS!$Q$5:$Q$3004,"&gt;0",ENSAYOS!$G$5:$G$3004,"&gt;="&amp;CONFIG!$B$27)))</f>
        <v/>
      </c>
      <c r="W149" s="18" t="str">
        <f aca="false">IF(AND(U149&lt;&gt;"",V149&lt;&gt;""),U149/V149,"")</f>
        <v/>
      </c>
      <c r="X149" s="18" t="str">
        <f aca="false">IF(U149="","",INDEX('CURVA EDAD'!$E$5:$E$32,MIN(28,MAX(1,N149))))</f>
        <v/>
      </c>
      <c r="Y149" s="16" t="str">
        <f aca="false">IF(V149&lt;&gt;"",V149,IF(U149="","",U149/X149))</f>
        <v/>
      </c>
      <c r="Z149" s="16" t="str">
        <f aca="false">IF(V149&lt;&gt;"",_xlfn.MINIFS(ENSAYOS!$Q$5:$Q$3004,ENSAYOS!$C$5:$C$3004,F149,ENSAYOS!$Q$5:$Q$3004,"&gt;0",ENSAYOS!$G$5:$G$3004,"&gt;="&amp;CONFIG!$B$27),IF(U149="","",_xlfn.MINIFS(ENSAYOS!$Q$5:$Q$3004,ENSAYOS!$C$5:$C$3004,F149,ENSAYOS!$Q$5:$Q$3004,"&gt;0",ENSAYOS!$G$5:$G$3004,N149)/X149))</f>
        <v/>
      </c>
      <c r="AA149" s="16" t="str">
        <f aca="false">IF(D149="","",IFERROR(1/(1/INDEX(CONFIG!$J$5:$J$14,MATCH(D149,CONFIG!$D$5:$D$14,0))),""))</f>
        <v/>
      </c>
      <c r="AB149" s="16" t="str">
        <f aca="false">IF(D149="","",IFERROR(1/(1/INDEX(CONFIG!$K$5:$K$14,MATCH(D149,CONFIG!$D$5:$D$14,0))),""))</f>
        <v/>
      </c>
      <c r="AC149" s="19" t="str">
        <f aca="false">IF(N(M149)=0,"",IF(AA149="","Sin spec",IF(AND(Y149&gt;=AA149,OR(AB149="",Z149&gt;=AB149)),"CUMPLE","NO CUMPLE")&amp;IF(V149=""," (est.)","")))</f>
        <v/>
      </c>
      <c r="AD149" s="20" t="str">
        <f aca="false">IF(F149="","",IF(COUNTIFS(ABSORCION!$C$5:$C$1004,F149,ABSORCION!$I$5:$I$1004,"&gt;0")=0,"",AVERAGEIFS(ABSORCION!$I$5:$I$1004,ABSORCION!$C$5:$C$1004,F149,ABSORCION!$I$5:$I$1004,"&gt;0")))</f>
        <v/>
      </c>
      <c r="AE149" s="20" t="str">
        <f aca="false">IF(F149="","",IF(COUNTIFS(ABSORCION!$C$5:$C$1004,F149,ABSORCION!$I$5:$I$1004,"&gt;0")=0,"",AVERAGEIFS(ABSORCION!$K$5:$K$1004,ABSORCION!$C$5:$C$1004,F149,ABSORCION!$I$5:$I$1004,"&gt;0")))</f>
        <v/>
      </c>
      <c r="AF149" s="20" t="str">
        <f aca="false">IF(AE149="","",IF(AE149&gt;=CONFIG!$E$21,CONFIG!$F$21,IF(AE149&gt;=CONFIG!$E$20,CONFIG!$F$20,CONFIG!$F$19)))</f>
        <v/>
      </c>
      <c r="AG149" s="21" t="str">
        <f aca="false">IF(F149="","",TRIM(IF(N(M149)=0,"Sin ensayos. ","")&amp;IF(AND(N(M149)&gt;0,N(M149)&lt;CONFIG!$B$26),"Menos de "&amp;CONFIG!$B$26&amp;" probetas. ","")&amp;IF(N(T149)&gt;CONFIG!$B$25,"CV alto. ","")&amp;IF(AND(N(AD149)&gt;0,N(AD149)&gt;N(AF149)),"Absorción alta. ","")))</f>
        <v/>
      </c>
      <c r="AH149" s="22" t="str">
        <f aca="false">IF(AND(N(M149)&gt;0,OR(CONTROL!$C$4="TODAS",C149=CONTROL!$C$4),D149=CONTROL!$C$5),MAX($AH$4:AH148)+1,"")</f>
        <v/>
      </c>
      <c r="AI149" s="22" t="str">
        <f aca="false">IF(AH149="","",P149^2)</f>
        <v/>
      </c>
    </row>
    <row r="150" customFormat="false" ht="15" hidden="false" customHeight="false" outlineLevel="0" collapsed="false">
      <c r="A150" s="11" t="str">
        <f aca="false">IF(B150="","",ROW()-4)</f>
        <v/>
      </c>
      <c r="B150" s="12"/>
      <c r="C150" s="13"/>
      <c r="D150" s="13"/>
      <c r="E150" s="13"/>
      <c r="F150" s="14" t="str">
        <f aca="false">IF(OR(B150="",C150="",D150=""),"",IFERROR(INDEX(CONFIG!$E$5:$E$14,MATCH(D150,CONFIG!$D$5:$D$14,0)),"?")&amp;RIGHT("0"&amp;DAY(B150),2)&amp;RIGHT("0"&amp;MONTH(B150),2)&amp;RIGHT(YEAR(B150),2)&amp;C150&amp;IF(E150="","","-"&amp;E150))</f>
        <v/>
      </c>
      <c r="G150" s="13"/>
      <c r="H150" s="13"/>
      <c r="I150" s="13"/>
      <c r="J150" s="13"/>
      <c r="K150" s="13"/>
      <c r="L150" s="13"/>
      <c r="M150" s="11" t="str">
        <f aca="false">IF(F150="","",COUNTIFS(ENSAYOS!$C$5:$C$3004,F150,ENSAYOS!$Q$5:$Q$3004,"&gt;0"))</f>
        <v/>
      </c>
      <c r="N150" s="15" t="str">
        <f aca="false">IF(N(M150)=0,"",_xlfn.MINIFS(ENSAYOS!$G$5:$G$3004,ENSAYOS!$C$5:$C$3004,F150,ENSAYOS!$Q$5:$Q$3004,"&gt;0"))</f>
        <v/>
      </c>
      <c r="O150" s="15" t="str">
        <f aca="false">IF(N(M150)=0,"",_xlfn.MAXIFS(ENSAYOS!$G$5:$G$3004,ENSAYOS!$C$5:$C$3004,F150,ENSAYOS!$Q$5:$Q$3004,"&gt;0"))</f>
        <v/>
      </c>
      <c r="P150" s="16" t="str">
        <f aca="false">IF(N(M150)=0,"",AVERAGEIFS(ENSAYOS!$Q$5:$Q$3004,ENSAYOS!$C$5:$C$3004,F150,ENSAYOS!$Q$5:$Q$3004,"&gt;0"))</f>
        <v/>
      </c>
      <c r="Q150" s="16" t="str">
        <f aca="false">IF(N(M150)=0,"",_xlfn.MINIFS(ENSAYOS!$Q$5:$Q$3004,ENSAYOS!$C$5:$C$3004,F150,ENSAYOS!$Q$5:$Q$3004,"&gt;0"))</f>
        <v/>
      </c>
      <c r="R150" s="16" t="str">
        <f aca="false">IF(N(M150)=0,"",_xlfn.MAXIFS(ENSAYOS!$Q$5:$Q$3004,ENSAYOS!$C$5:$C$3004,F150,ENSAYOS!$Q$5:$Q$3004,"&gt;0"))</f>
        <v/>
      </c>
      <c r="S150" s="16" t="str">
        <f aca="false">IF(N(M150)&lt;2,"",SQRT(MAX(0,(SUMIFS(ENSAYOS!$X$5:$X$3004,ENSAYOS!$C$5:$C$3004,F150,ENSAYOS!$Q$5:$Q$3004,"&gt;0")-M150*P150^2)/(M150-1))))</f>
        <v/>
      </c>
      <c r="T150" s="17" t="str">
        <f aca="false">IF(S150="","",S150/P150)</f>
        <v/>
      </c>
      <c r="U150" s="16" t="str">
        <f aca="false">IF(N(M150)=0,"",IF(N150&gt;=CONFIG!$B$27,"",AVERAGEIFS(ENSAYOS!$Q$5:$Q$3004,ENSAYOS!$C$5:$C$3004,F150,ENSAYOS!$Q$5:$Q$3004,"&gt;0",ENSAYOS!$G$5:$G$3004,N150)))</f>
        <v/>
      </c>
      <c r="V150" s="16" t="str">
        <f aca="false">IF(N(M150)=0,"",IF(COUNTIFS(ENSAYOS!$C$5:$C$3004,F150,ENSAYOS!$Q$5:$Q$3004,"&gt;0",ENSAYOS!$G$5:$G$3004,"&gt;="&amp;CONFIG!$B$27)=0,"",AVERAGEIFS(ENSAYOS!$Q$5:$Q$3004,ENSAYOS!$C$5:$C$3004,F150,ENSAYOS!$Q$5:$Q$3004,"&gt;0",ENSAYOS!$G$5:$G$3004,"&gt;="&amp;CONFIG!$B$27)))</f>
        <v/>
      </c>
      <c r="W150" s="18" t="str">
        <f aca="false">IF(AND(U150&lt;&gt;"",V150&lt;&gt;""),U150/V150,"")</f>
        <v/>
      </c>
      <c r="X150" s="18" t="str">
        <f aca="false">IF(U150="","",INDEX('CURVA EDAD'!$E$5:$E$32,MIN(28,MAX(1,N150))))</f>
        <v/>
      </c>
      <c r="Y150" s="16" t="str">
        <f aca="false">IF(V150&lt;&gt;"",V150,IF(U150="","",U150/X150))</f>
        <v/>
      </c>
      <c r="Z150" s="16" t="str">
        <f aca="false">IF(V150&lt;&gt;"",_xlfn.MINIFS(ENSAYOS!$Q$5:$Q$3004,ENSAYOS!$C$5:$C$3004,F150,ENSAYOS!$Q$5:$Q$3004,"&gt;0",ENSAYOS!$G$5:$G$3004,"&gt;="&amp;CONFIG!$B$27),IF(U150="","",_xlfn.MINIFS(ENSAYOS!$Q$5:$Q$3004,ENSAYOS!$C$5:$C$3004,F150,ENSAYOS!$Q$5:$Q$3004,"&gt;0",ENSAYOS!$G$5:$G$3004,N150)/X150))</f>
        <v/>
      </c>
      <c r="AA150" s="16" t="str">
        <f aca="false">IF(D150="","",IFERROR(1/(1/INDEX(CONFIG!$J$5:$J$14,MATCH(D150,CONFIG!$D$5:$D$14,0))),""))</f>
        <v/>
      </c>
      <c r="AB150" s="16" t="str">
        <f aca="false">IF(D150="","",IFERROR(1/(1/INDEX(CONFIG!$K$5:$K$14,MATCH(D150,CONFIG!$D$5:$D$14,0))),""))</f>
        <v/>
      </c>
      <c r="AC150" s="19" t="str">
        <f aca="false">IF(N(M150)=0,"",IF(AA150="","Sin spec",IF(AND(Y150&gt;=AA150,OR(AB150="",Z150&gt;=AB150)),"CUMPLE","NO CUMPLE")&amp;IF(V150=""," (est.)","")))</f>
        <v/>
      </c>
      <c r="AD150" s="20" t="str">
        <f aca="false">IF(F150="","",IF(COUNTIFS(ABSORCION!$C$5:$C$1004,F150,ABSORCION!$I$5:$I$1004,"&gt;0")=0,"",AVERAGEIFS(ABSORCION!$I$5:$I$1004,ABSORCION!$C$5:$C$1004,F150,ABSORCION!$I$5:$I$1004,"&gt;0")))</f>
        <v/>
      </c>
      <c r="AE150" s="20" t="str">
        <f aca="false">IF(F150="","",IF(COUNTIFS(ABSORCION!$C$5:$C$1004,F150,ABSORCION!$I$5:$I$1004,"&gt;0")=0,"",AVERAGEIFS(ABSORCION!$K$5:$K$1004,ABSORCION!$C$5:$C$1004,F150,ABSORCION!$I$5:$I$1004,"&gt;0")))</f>
        <v/>
      </c>
      <c r="AF150" s="20" t="str">
        <f aca="false">IF(AE150="","",IF(AE150&gt;=CONFIG!$E$21,CONFIG!$F$21,IF(AE150&gt;=CONFIG!$E$20,CONFIG!$F$20,CONFIG!$F$19)))</f>
        <v/>
      </c>
      <c r="AG150" s="21" t="str">
        <f aca="false">IF(F150="","",TRIM(IF(N(M150)=0,"Sin ensayos. ","")&amp;IF(AND(N(M150)&gt;0,N(M150)&lt;CONFIG!$B$26),"Menos de "&amp;CONFIG!$B$26&amp;" probetas. ","")&amp;IF(N(T150)&gt;CONFIG!$B$25,"CV alto. ","")&amp;IF(AND(N(AD150)&gt;0,N(AD150)&gt;N(AF150)),"Absorción alta. ","")))</f>
        <v/>
      </c>
      <c r="AH150" s="22" t="str">
        <f aca="false">IF(AND(N(M150)&gt;0,OR(CONTROL!$C$4="TODAS",C150=CONTROL!$C$4),D150=CONTROL!$C$5),MAX($AH$4:AH149)+1,"")</f>
        <v/>
      </c>
      <c r="AI150" s="22" t="str">
        <f aca="false">IF(AH150="","",P150^2)</f>
        <v/>
      </c>
    </row>
    <row r="151" customFormat="false" ht="15" hidden="false" customHeight="false" outlineLevel="0" collapsed="false">
      <c r="A151" s="11" t="str">
        <f aca="false">IF(B151="","",ROW()-4)</f>
        <v/>
      </c>
      <c r="B151" s="12"/>
      <c r="C151" s="13"/>
      <c r="D151" s="13"/>
      <c r="E151" s="13"/>
      <c r="F151" s="14" t="str">
        <f aca="false">IF(OR(B151="",C151="",D151=""),"",IFERROR(INDEX(CONFIG!$E$5:$E$14,MATCH(D151,CONFIG!$D$5:$D$14,0)),"?")&amp;RIGHT("0"&amp;DAY(B151),2)&amp;RIGHT("0"&amp;MONTH(B151),2)&amp;RIGHT(YEAR(B151),2)&amp;C151&amp;IF(E151="","","-"&amp;E151))</f>
        <v/>
      </c>
      <c r="G151" s="13"/>
      <c r="H151" s="13"/>
      <c r="I151" s="13"/>
      <c r="J151" s="13"/>
      <c r="K151" s="13"/>
      <c r="L151" s="13"/>
      <c r="M151" s="11" t="str">
        <f aca="false">IF(F151="","",COUNTIFS(ENSAYOS!$C$5:$C$3004,F151,ENSAYOS!$Q$5:$Q$3004,"&gt;0"))</f>
        <v/>
      </c>
      <c r="N151" s="15" t="str">
        <f aca="false">IF(N(M151)=0,"",_xlfn.MINIFS(ENSAYOS!$G$5:$G$3004,ENSAYOS!$C$5:$C$3004,F151,ENSAYOS!$Q$5:$Q$3004,"&gt;0"))</f>
        <v/>
      </c>
      <c r="O151" s="15" t="str">
        <f aca="false">IF(N(M151)=0,"",_xlfn.MAXIFS(ENSAYOS!$G$5:$G$3004,ENSAYOS!$C$5:$C$3004,F151,ENSAYOS!$Q$5:$Q$3004,"&gt;0"))</f>
        <v/>
      </c>
      <c r="P151" s="16" t="str">
        <f aca="false">IF(N(M151)=0,"",AVERAGEIFS(ENSAYOS!$Q$5:$Q$3004,ENSAYOS!$C$5:$C$3004,F151,ENSAYOS!$Q$5:$Q$3004,"&gt;0"))</f>
        <v/>
      </c>
      <c r="Q151" s="16" t="str">
        <f aca="false">IF(N(M151)=0,"",_xlfn.MINIFS(ENSAYOS!$Q$5:$Q$3004,ENSAYOS!$C$5:$C$3004,F151,ENSAYOS!$Q$5:$Q$3004,"&gt;0"))</f>
        <v/>
      </c>
      <c r="R151" s="16" t="str">
        <f aca="false">IF(N(M151)=0,"",_xlfn.MAXIFS(ENSAYOS!$Q$5:$Q$3004,ENSAYOS!$C$5:$C$3004,F151,ENSAYOS!$Q$5:$Q$3004,"&gt;0"))</f>
        <v/>
      </c>
      <c r="S151" s="16" t="str">
        <f aca="false">IF(N(M151)&lt;2,"",SQRT(MAX(0,(SUMIFS(ENSAYOS!$X$5:$X$3004,ENSAYOS!$C$5:$C$3004,F151,ENSAYOS!$Q$5:$Q$3004,"&gt;0")-M151*P151^2)/(M151-1))))</f>
        <v/>
      </c>
      <c r="T151" s="17" t="str">
        <f aca="false">IF(S151="","",S151/P151)</f>
        <v/>
      </c>
      <c r="U151" s="16" t="str">
        <f aca="false">IF(N(M151)=0,"",IF(N151&gt;=CONFIG!$B$27,"",AVERAGEIFS(ENSAYOS!$Q$5:$Q$3004,ENSAYOS!$C$5:$C$3004,F151,ENSAYOS!$Q$5:$Q$3004,"&gt;0",ENSAYOS!$G$5:$G$3004,N151)))</f>
        <v/>
      </c>
      <c r="V151" s="16" t="str">
        <f aca="false">IF(N(M151)=0,"",IF(COUNTIFS(ENSAYOS!$C$5:$C$3004,F151,ENSAYOS!$Q$5:$Q$3004,"&gt;0",ENSAYOS!$G$5:$G$3004,"&gt;="&amp;CONFIG!$B$27)=0,"",AVERAGEIFS(ENSAYOS!$Q$5:$Q$3004,ENSAYOS!$C$5:$C$3004,F151,ENSAYOS!$Q$5:$Q$3004,"&gt;0",ENSAYOS!$G$5:$G$3004,"&gt;="&amp;CONFIG!$B$27)))</f>
        <v/>
      </c>
      <c r="W151" s="18" t="str">
        <f aca="false">IF(AND(U151&lt;&gt;"",V151&lt;&gt;""),U151/V151,"")</f>
        <v/>
      </c>
      <c r="X151" s="18" t="str">
        <f aca="false">IF(U151="","",INDEX('CURVA EDAD'!$E$5:$E$32,MIN(28,MAX(1,N151))))</f>
        <v/>
      </c>
      <c r="Y151" s="16" t="str">
        <f aca="false">IF(V151&lt;&gt;"",V151,IF(U151="","",U151/X151))</f>
        <v/>
      </c>
      <c r="Z151" s="16" t="str">
        <f aca="false">IF(V151&lt;&gt;"",_xlfn.MINIFS(ENSAYOS!$Q$5:$Q$3004,ENSAYOS!$C$5:$C$3004,F151,ENSAYOS!$Q$5:$Q$3004,"&gt;0",ENSAYOS!$G$5:$G$3004,"&gt;="&amp;CONFIG!$B$27),IF(U151="","",_xlfn.MINIFS(ENSAYOS!$Q$5:$Q$3004,ENSAYOS!$C$5:$C$3004,F151,ENSAYOS!$Q$5:$Q$3004,"&gt;0",ENSAYOS!$G$5:$G$3004,N151)/X151))</f>
        <v/>
      </c>
      <c r="AA151" s="16" t="str">
        <f aca="false">IF(D151="","",IFERROR(1/(1/INDEX(CONFIG!$J$5:$J$14,MATCH(D151,CONFIG!$D$5:$D$14,0))),""))</f>
        <v/>
      </c>
      <c r="AB151" s="16" t="str">
        <f aca="false">IF(D151="","",IFERROR(1/(1/INDEX(CONFIG!$K$5:$K$14,MATCH(D151,CONFIG!$D$5:$D$14,0))),""))</f>
        <v/>
      </c>
      <c r="AC151" s="19" t="str">
        <f aca="false">IF(N(M151)=0,"",IF(AA151="","Sin spec",IF(AND(Y151&gt;=AA151,OR(AB151="",Z151&gt;=AB151)),"CUMPLE","NO CUMPLE")&amp;IF(V151=""," (est.)","")))</f>
        <v/>
      </c>
      <c r="AD151" s="20" t="str">
        <f aca="false">IF(F151="","",IF(COUNTIFS(ABSORCION!$C$5:$C$1004,F151,ABSORCION!$I$5:$I$1004,"&gt;0")=0,"",AVERAGEIFS(ABSORCION!$I$5:$I$1004,ABSORCION!$C$5:$C$1004,F151,ABSORCION!$I$5:$I$1004,"&gt;0")))</f>
        <v/>
      </c>
      <c r="AE151" s="20" t="str">
        <f aca="false">IF(F151="","",IF(COUNTIFS(ABSORCION!$C$5:$C$1004,F151,ABSORCION!$I$5:$I$1004,"&gt;0")=0,"",AVERAGEIFS(ABSORCION!$K$5:$K$1004,ABSORCION!$C$5:$C$1004,F151,ABSORCION!$I$5:$I$1004,"&gt;0")))</f>
        <v/>
      </c>
      <c r="AF151" s="20" t="str">
        <f aca="false">IF(AE151="","",IF(AE151&gt;=CONFIG!$E$21,CONFIG!$F$21,IF(AE151&gt;=CONFIG!$E$20,CONFIG!$F$20,CONFIG!$F$19)))</f>
        <v/>
      </c>
      <c r="AG151" s="21" t="str">
        <f aca="false">IF(F151="","",TRIM(IF(N(M151)=0,"Sin ensayos. ","")&amp;IF(AND(N(M151)&gt;0,N(M151)&lt;CONFIG!$B$26),"Menos de "&amp;CONFIG!$B$26&amp;" probetas. ","")&amp;IF(N(T151)&gt;CONFIG!$B$25,"CV alto. ","")&amp;IF(AND(N(AD151)&gt;0,N(AD151)&gt;N(AF151)),"Absorción alta. ","")))</f>
        <v/>
      </c>
      <c r="AH151" s="22" t="str">
        <f aca="false">IF(AND(N(M151)&gt;0,OR(CONTROL!$C$4="TODAS",C151=CONTROL!$C$4),D151=CONTROL!$C$5),MAX($AH$4:AH150)+1,"")</f>
        <v/>
      </c>
      <c r="AI151" s="22" t="str">
        <f aca="false">IF(AH151="","",P151^2)</f>
        <v/>
      </c>
    </row>
    <row r="152" customFormat="false" ht="15" hidden="false" customHeight="false" outlineLevel="0" collapsed="false">
      <c r="A152" s="11" t="str">
        <f aca="false">IF(B152="","",ROW()-4)</f>
        <v/>
      </c>
      <c r="B152" s="12"/>
      <c r="C152" s="13"/>
      <c r="D152" s="13"/>
      <c r="E152" s="13"/>
      <c r="F152" s="14" t="str">
        <f aca="false">IF(OR(B152="",C152="",D152=""),"",IFERROR(INDEX(CONFIG!$E$5:$E$14,MATCH(D152,CONFIG!$D$5:$D$14,0)),"?")&amp;RIGHT("0"&amp;DAY(B152),2)&amp;RIGHT("0"&amp;MONTH(B152),2)&amp;RIGHT(YEAR(B152),2)&amp;C152&amp;IF(E152="","","-"&amp;E152))</f>
        <v/>
      </c>
      <c r="G152" s="13"/>
      <c r="H152" s="13"/>
      <c r="I152" s="13"/>
      <c r="J152" s="13"/>
      <c r="K152" s="13"/>
      <c r="L152" s="13"/>
      <c r="M152" s="11" t="str">
        <f aca="false">IF(F152="","",COUNTIFS(ENSAYOS!$C$5:$C$3004,F152,ENSAYOS!$Q$5:$Q$3004,"&gt;0"))</f>
        <v/>
      </c>
      <c r="N152" s="15" t="str">
        <f aca="false">IF(N(M152)=0,"",_xlfn.MINIFS(ENSAYOS!$G$5:$G$3004,ENSAYOS!$C$5:$C$3004,F152,ENSAYOS!$Q$5:$Q$3004,"&gt;0"))</f>
        <v/>
      </c>
      <c r="O152" s="15" t="str">
        <f aca="false">IF(N(M152)=0,"",_xlfn.MAXIFS(ENSAYOS!$G$5:$G$3004,ENSAYOS!$C$5:$C$3004,F152,ENSAYOS!$Q$5:$Q$3004,"&gt;0"))</f>
        <v/>
      </c>
      <c r="P152" s="16" t="str">
        <f aca="false">IF(N(M152)=0,"",AVERAGEIFS(ENSAYOS!$Q$5:$Q$3004,ENSAYOS!$C$5:$C$3004,F152,ENSAYOS!$Q$5:$Q$3004,"&gt;0"))</f>
        <v/>
      </c>
      <c r="Q152" s="16" t="str">
        <f aca="false">IF(N(M152)=0,"",_xlfn.MINIFS(ENSAYOS!$Q$5:$Q$3004,ENSAYOS!$C$5:$C$3004,F152,ENSAYOS!$Q$5:$Q$3004,"&gt;0"))</f>
        <v/>
      </c>
      <c r="R152" s="16" t="str">
        <f aca="false">IF(N(M152)=0,"",_xlfn.MAXIFS(ENSAYOS!$Q$5:$Q$3004,ENSAYOS!$C$5:$C$3004,F152,ENSAYOS!$Q$5:$Q$3004,"&gt;0"))</f>
        <v/>
      </c>
      <c r="S152" s="16" t="str">
        <f aca="false">IF(N(M152)&lt;2,"",SQRT(MAX(0,(SUMIFS(ENSAYOS!$X$5:$X$3004,ENSAYOS!$C$5:$C$3004,F152,ENSAYOS!$Q$5:$Q$3004,"&gt;0")-M152*P152^2)/(M152-1))))</f>
        <v/>
      </c>
      <c r="T152" s="17" t="str">
        <f aca="false">IF(S152="","",S152/P152)</f>
        <v/>
      </c>
      <c r="U152" s="16" t="str">
        <f aca="false">IF(N(M152)=0,"",IF(N152&gt;=CONFIG!$B$27,"",AVERAGEIFS(ENSAYOS!$Q$5:$Q$3004,ENSAYOS!$C$5:$C$3004,F152,ENSAYOS!$Q$5:$Q$3004,"&gt;0",ENSAYOS!$G$5:$G$3004,N152)))</f>
        <v/>
      </c>
      <c r="V152" s="16" t="str">
        <f aca="false">IF(N(M152)=0,"",IF(COUNTIFS(ENSAYOS!$C$5:$C$3004,F152,ENSAYOS!$Q$5:$Q$3004,"&gt;0",ENSAYOS!$G$5:$G$3004,"&gt;="&amp;CONFIG!$B$27)=0,"",AVERAGEIFS(ENSAYOS!$Q$5:$Q$3004,ENSAYOS!$C$5:$C$3004,F152,ENSAYOS!$Q$5:$Q$3004,"&gt;0",ENSAYOS!$G$5:$G$3004,"&gt;="&amp;CONFIG!$B$27)))</f>
        <v/>
      </c>
      <c r="W152" s="18" t="str">
        <f aca="false">IF(AND(U152&lt;&gt;"",V152&lt;&gt;""),U152/V152,"")</f>
        <v/>
      </c>
      <c r="X152" s="18" t="str">
        <f aca="false">IF(U152="","",INDEX('CURVA EDAD'!$E$5:$E$32,MIN(28,MAX(1,N152))))</f>
        <v/>
      </c>
      <c r="Y152" s="16" t="str">
        <f aca="false">IF(V152&lt;&gt;"",V152,IF(U152="","",U152/X152))</f>
        <v/>
      </c>
      <c r="Z152" s="16" t="str">
        <f aca="false">IF(V152&lt;&gt;"",_xlfn.MINIFS(ENSAYOS!$Q$5:$Q$3004,ENSAYOS!$C$5:$C$3004,F152,ENSAYOS!$Q$5:$Q$3004,"&gt;0",ENSAYOS!$G$5:$G$3004,"&gt;="&amp;CONFIG!$B$27),IF(U152="","",_xlfn.MINIFS(ENSAYOS!$Q$5:$Q$3004,ENSAYOS!$C$5:$C$3004,F152,ENSAYOS!$Q$5:$Q$3004,"&gt;0",ENSAYOS!$G$5:$G$3004,N152)/X152))</f>
        <v/>
      </c>
      <c r="AA152" s="16" t="str">
        <f aca="false">IF(D152="","",IFERROR(1/(1/INDEX(CONFIG!$J$5:$J$14,MATCH(D152,CONFIG!$D$5:$D$14,0))),""))</f>
        <v/>
      </c>
      <c r="AB152" s="16" t="str">
        <f aca="false">IF(D152="","",IFERROR(1/(1/INDEX(CONFIG!$K$5:$K$14,MATCH(D152,CONFIG!$D$5:$D$14,0))),""))</f>
        <v/>
      </c>
      <c r="AC152" s="19" t="str">
        <f aca="false">IF(N(M152)=0,"",IF(AA152="","Sin spec",IF(AND(Y152&gt;=AA152,OR(AB152="",Z152&gt;=AB152)),"CUMPLE","NO CUMPLE")&amp;IF(V152=""," (est.)","")))</f>
        <v/>
      </c>
      <c r="AD152" s="20" t="str">
        <f aca="false">IF(F152="","",IF(COUNTIFS(ABSORCION!$C$5:$C$1004,F152,ABSORCION!$I$5:$I$1004,"&gt;0")=0,"",AVERAGEIFS(ABSORCION!$I$5:$I$1004,ABSORCION!$C$5:$C$1004,F152,ABSORCION!$I$5:$I$1004,"&gt;0")))</f>
        <v/>
      </c>
      <c r="AE152" s="20" t="str">
        <f aca="false">IF(F152="","",IF(COUNTIFS(ABSORCION!$C$5:$C$1004,F152,ABSORCION!$I$5:$I$1004,"&gt;0")=0,"",AVERAGEIFS(ABSORCION!$K$5:$K$1004,ABSORCION!$C$5:$C$1004,F152,ABSORCION!$I$5:$I$1004,"&gt;0")))</f>
        <v/>
      </c>
      <c r="AF152" s="20" t="str">
        <f aca="false">IF(AE152="","",IF(AE152&gt;=CONFIG!$E$21,CONFIG!$F$21,IF(AE152&gt;=CONFIG!$E$20,CONFIG!$F$20,CONFIG!$F$19)))</f>
        <v/>
      </c>
      <c r="AG152" s="21" t="str">
        <f aca="false">IF(F152="","",TRIM(IF(N(M152)=0,"Sin ensayos. ","")&amp;IF(AND(N(M152)&gt;0,N(M152)&lt;CONFIG!$B$26),"Menos de "&amp;CONFIG!$B$26&amp;" probetas. ","")&amp;IF(N(T152)&gt;CONFIG!$B$25,"CV alto. ","")&amp;IF(AND(N(AD152)&gt;0,N(AD152)&gt;N(AF152)),"Absorción alta. ","")))</f>
        <v/>
      </c>
      <c r="AH152" s="22" t="str">
        <f aca="false">IF(AND(N(M152)&gt;0,OR(CONTROL!$C$4="TODAS",C152=CONTROL!$C$4),D152=CONTROL!$C$5),MAX($AH$4:AH151)+1,"")</f>
        <v/>
      </c>
      <c r="AI152" s="22" t="str">
        <f aca="false">IF(AH152="","",P152^2)</f>
        <v/>
      </c>
    </row>
    <row r="153" customFormat="false" ht="15" hidden="false" customHeight="false" outlineLevel="0" collapsed="false">
      <c r="A153" s="11" t="str">
        <f aca="false">IF(B153="","",ROW()-4)</f>
        <v/>
      </c>
      <c r="B153" s="12"/>
      <c r="C153" s="13"/>
      <c r="D153" s="13"/>
      <c r="E153" s="13"/>
      <c r="F153" s="14" t="str">
        <f aca="false">IF(OR(B153="",C153="",D153=""),"",IFERROR(INDEX(CONFIG!$E$5:$E$14,MATCH(D153,CONFIG!$D$5:$D$14,0)),"?")&amp;RIGHT("0"&amp;DAY(B153),2)&amp;RIGHT("0"&amp;MONTH(B153),2)&amp;RIGHT(YEAR(B153),2)&amp;C153&amp;IF(E153="","","-"&amp;E153))</f>
        <v/>
      </c>
      <c r="G153" s="13"/>
      <c r="H153" s="13"/>
      <c r="I153" s="13"/>
      <c r="J153" s="13"/>
      <c r="K153" s="13"/>
      <c r="L153" s="13"/>
      <c r="M153" s="11" t="str">
        <f aca="false">IF(F153="","",COUNTIFS(ENSAYOS!$C$5:$C$3004,F153,ENSAYOS!$Q$5:$Q$3004,"&gt;0"))</f>
        <v/>
      </c>
      <c r="N153" s="15" t="str">
        <f aca="false">IF(N(M153)=0,"",_xlfn.MINIFS(ENSAYOS!$G$5:$G$3004,ENSAYOS!$C$5:$C$3004,F153,ENSAYOS!$Q$5:$Q$3004,"&gt;0"))</f>
        <v/>
      </c>
      <c r="O153" s="15" t="str">
        <f aca="false">IF(N(M153)=0,"",_xlfn.MAXIFS(ENSAYOS!$G$5:$G$3004,ENSAYOS!$C$5:$C$3004,F153,ENSAYOS!$Q$5:$Q$3004,"&gt;0"))</f>
        <v/>
      </c>
      <c r="P153" s="16" t="str">
        <f aca="false">IF(N(M153)=0,"",AVERAGEIFS(ENSAYOS!$Q$5:$Q$3004,ENSAYOS!$C$5:$C$3004,F153,ENSAYOS!$Q$5:$Q$3004,"&gt;0"))</f>
        <v/>
      </c>
      <c r="Q153" s="16" t="str">
        <f aca="false">IF(N(M153)=0,"",_xlfn.MINIFS(ENSAYOS!$Q$5:$Q$3004,ENSAYOS!$C$5:$C$3004,F153,ENSAYOS!$Q$5:$Q$3004,"&gt;0"))</f>
        <v/>
      </c>
      <c r="R153" s="16" t="str">
        <f aca="false">IF(N(M153)=0,"",_xlfn.MAXIFS(ENSAYOS!$Q$5:$Q$3004,ENSAYOS!$C$5:$C$3004,F153,ENSAYOS!$Q$5:$Q$3004,"&gt;0"))</f>
        <v/>
      </c>
      <c r="S153" s="16" t="str">
        <f aca="false">IF(N(M153)&lt;2,"",SQRT(MAX(0,(SUMIFS(ENSAYOS!$X$5:$X$3004,ENSAYOS!$C$5:$C$3004,F153,ENSAYOS!$Q$5:$Q$3004,"&gt;0")-M153*P153^2)/(M153-1))))</f>
        <v/>
      </c>
      <c r="T153" s="17" t="str">
        <f aca="false">IF(S153="","",S153/P153)</f>
        <v/>
      </c>
      <c r="U153" s="16" t="str">
        <f aca="false">IF(N(M153)=0,"",IF(N153&gt;=CONFIG!$B$27,"",AVERAGEIFS(ENSAYOS!$Q$5:$Q$3004,ENSAYOS!$C$5:$C$3004,F153,ENSAYOS!$Q$5:$Q$3004,"&gt;0",ENSAYOS!$G$5:$G$3004,N153)))</f>
        <v/>
      </c>
      <c r="V153" s="16" t="str">
        <f aca="false">IF(N(M153)=0,"",IF(COUNTIFS(ENSAYOS!$C$5:$C$3004,F153,ENSAYOS!$Q$5:$Q$3004,"&gt;0",ENSAYOS!$G$5:$G$3004,"&gt;="&amp;CONFIG!$B$27)=0,"",AVERAGEIFS(ENSAYOS!$Q$5:$Q$3004,ENSAYOS!$C$5:$C$3004,F153,ENSAYOS!$Q$5:$Q$3004,"&gt;0",ENSAYOS!$G$5:$G$3004,"&gt;="&amp;CONFIG!$B$27)))</f>
        <v/>
      </c>
      <c r="W153" s="18" t="str">
        <f aca="false">IF(AND(U153&lt;&gt;"",V153&lt;&gt;""),U153/V153,"")</f>
        <v/>
      </c>
      <c r="X153" s="18" t="str">
        <f aca="false">IF(U153="","",INDEX('CURVA EDAD'!$E$5:$E$32,MIN(28,MAX(1,N153))))</f>
        <v/>
      </c>
      <c r="Y153" s="16" t="str">
        <f aca="false">IF(V153&lt;&gt;"",V153,IF(U153="","",U153/X153))</f>
        <v/>
      </c>
      <c r="Z153" s="16" t="str">
        <f aca="false">IF(V153&lt;&gt;"",_xlfn.MINIFS(ENSAYOS!$Q$5:$Q$3004,ENSAYOS!$C$5:$C$3004,F153,ENSAYOS!$Q$5:$Q$3004,"&gt;0",ENSAYOS!$G$5:$G$3004,"&gt;="&amp;CONFIG!$B$27),IF(U153="","",_xlfn.MINIFS(ENSAYOS!$Q$5:$Q$3004,ENSAYOS!$C$5:$C$3004,F153,ENSAYOS!$Q$5:$Q$3004,"&gt;0",ENSAYOS!$G$5:$G$3004,N153)/X153))</f>
        <v/>
      </c>
      <c r="AA153" s="16" t="str">
        <f aca="false">IF(D153="","",IFERROR(1/(1/INDEX(CONFIG!$J$5:$J$14,MATCH(D153,CONFIG!$D$5:$D$14,0))),""))</f>
        <v/>
      </c>
      <c r="AB153" s="16" t="str">
        <f aca="false">IF(D153="","",IFERROR(1/(1/INDEX(CONFIG!$K$5:$K$14,MATCH(D153,CONFIG!$D$5:$D$14,0))),""))</f>
        <v/>
      </c>
      <c r="AC153" s="19" t="str">
        <f aca="false">IF(N(M153)=0,"",IF(AA153="","Sin spec",IF(AND(Y153&gt;=AA153,OR(AB153="",Z153&gt;=AB153)),"CUMPLE","NO CUMPLE")&amp;IF(V153=""," (est.)","")))</f>
        <v/>
      </c>
      <c r="AD153" s="20" t="str">
        <f aca="false">IF(F153="","",IF(COUNTIFS(ABSORCION!$C$5:$C$1004,F153,ABSORCION!$I$5:$I$1004,"&gt;0")=0,"",AVERAGEIFS(ABSORCION!$I$5:$I$1004,ABSORCION!$C$5:$C$1004,F153,ABSORCION!$I$5:$I$1004,"&gt;0")))</f>
        <v/>
      </c>
      <c r="AE153" s="20" t="str">
        <f aca="false">IF(F153="","",IF(COUNTIFS(ABSORCION!$C$5:$C$1004,F153,ABSORCION!$I$5:$I$1004,"&gt;0")=0,"",AVERAGEIFS(ABSORCION!$K$5:$K$1004,ABSORCION!$C$5:$C$1004,F153,ABSORCION!$I$5:$I$1004,"&gt;0")))</f>
        <v/>
      </c>
      <c r="AF153" s="20" t="str">
        <f aca="false">IF(AE153="","",IF(AE153&gt;=CONFIG!$E$21,CONFIG!$F$21,IF(AE153&gt;=CONFIG!$E$20,CONFIG!$F$20,CONFIG!$F$19)))</f>
        <v/>
      </c>
      <c r="AG153" s="21" t="str">
        <f aca="false">IF(F153="","",TRIM(IF(N(M153)=0,"Sin ensayos. ","")&amp;IF(AND(N(M153)&gt;0,N(M153)&lt;CONFIG!$B$26),"Menos de "&amp;CONFIG!$B$26&amp;" probetas. ","")&amp;IF(N(T153)&gt;CONFIG!$B$25,"CV alto. ","")&amp;IF(AND(N(AD153)&gt;0,N(AD153)&gt;N(AF153)),"Absorción alta. ","")))</f>
        <v/>
      </c>
      <c r="AH153" s="22" t="str">
        <f aca="false">IF(AND(N(M153)&gt;0,OR(CONTROL!$C$4="TODAS",C153=CONTROL!$C$4),D153=CONTROL!$C$5),MAX($AH$4:AH152)+1,"")</f>
        <v/>
      </c>
      <c r="AI153" s="22" t="str">
        <f aca="false">IF(AH153="","",P153^2)</f>
        <v/>
      </c>
    </row>
    <row r="154" customFormat="false" ht="15" hidden="false" customHeight="false" outlineLevel="0" collapsed="false">
      <c r="A154" s="11" t="str">
        <f aca="false">IF(B154="","",ROW()-4)</f>
        <v/>
      </c>
      <c r="B154" s="12"/>
      <c r="C154" s="13"/>
      <c r="D154" s="13"/>
      <c r="E154" s="13"/>
      <c r="F154" s="14" t="str">
        <f aca="false">IF(OR(B154="",C154="",D154=""),"",IFERROR(INDEX(CONFIG!$E$5:$E$14,MATCH(D154,CONFIG!$D$5:$D$14,0)),"?")&amp;RIGHT("0"&amp;DAY(B154),2)&amp;RIGHT("0"&amp;MONTH(B154),2)&amp;RIGHT(YEAR(B154),2)&amp;C154&amp;IF(E154="","","-"&amp;E154))</f>
        <v/>
      </c>
      <c r="G154" s="13"/>
      <c r="H154" s="13"/>
      <c r="I154" s="13"/>
      <c r="J154" s="13"/>
      <c r="K154" s="13"/>
      <c r="L154" s="13"/>
      <c r="M154" s="11" t="str">
        <f aca="false">IF(F154="","",COUNTIFS(ENSAYOS!$C$5:$C$3004,F154,ENSAYOS!$Q$5:$Q$3004,"&gt;0"))</f>
        <v/>
      </c>
      <c r="N154" s="15" t="str">
        <f aca="false">IF(N(M154)=0,"",_xlfn.MINIFS(ENSAYOS!$G$5:$G$3004,ENSAYOS!$C$5:$C$3004,F154,ENSAYOS!$Q$5:$Q$3004,"&gt;0"))</f>
        <v/>
      </c>
      <c r="O154" s="15" t="str">
        <f aca="false">IF(N(M154)=0,"",_xlfn.MAXIFS(ENSAYOS!$G$5:$G$3004,ENSAYOS!$C$5:$C$3004,F154,ENSAYOS!$Q$5:$Q$3004,"&gt;0"))</f>
        <v/>
      </c>
      <c r="P154" s="16" t="str">
        <f aca="false">IF(N(M154)=0,"",AVERAGEIFS(ENSAYOS!$Q$5:$Q$3004,ENSAYOS!$C$5:$C$3004,F154,ENSAYOS!$Q$5:$Q$3004,"&gt;0"))</f>
        <v/>
      </c>
      <c r="Q154" s="16" t="str">
        <f aca="false">IF(N(M154)=0,"",_xlfn.MINIFS(ENSAYOS!$Q$5:$Q$3004,ENSAYOS!$C$5:$C$3004,F154,ENSAYOS!$Q$5:$Q$3004,"&gt;0"))</f>
        <v/>
      </c>
      <c r="R154" s="16" t="str">
        <f aca="false">IF(N(M154)=0,"",_xlfn.MAXIFS(ENSAYOS!$Q$5:$Q$3004,ENSAYOS!$C$5:$C$3004,F154,ENSAYOS!$Q$5:$Q$3004,"&gt;0"))</f>
        <v/>
      </c>
      <c r="S154" s="16" t="str">
        <f aca="false">IF(N(M154)&lt;2,"",SQRT(MAX(0,(SUMIFS(ENSAYOS!$X$5:$X$3004,ENSAYOS!$C$5:$C$3004,F154,ENSAYOS!$Q$5:$Q$3004,"&gt;0")-M154*P154^2)/(M154-1))))</f>
        <v/>
      </c>
      <c r="T154" s="17" t="str">
        <f aca="false">IF(S154="","",S154/P154)</f>
        <v/>
      </c>
      <c r="U154" s="16" t="str">
        <f aca="false">IF(N(M154)=0,"",IF(N154&gt;=CONFIG!$B$27,"",AVERAGEIFS(ENSAYOS!$Q$5:$Q$3004,ENSAYOS!$C$5:$C$3004,F154,ENSAYOS!$Q$5:$Q$3004,"&gt;0",ENSAYOS!$G$5:$G$3004,N154)))</f>
        <v/>
      </c>
      <c r="V154" s="16" t="str">
        <f aca="false">IF(N(M154)=0,"",IF(COUNTIFS(ENSAYOS!$C$5:$C$3004,F154,ENSAYOS!$Q$5:$Q$3004,"&gt;0",ENSAYOS!$G$5:$G$3004,"&gt;="&amp;CONFIG!$B$27)=0,"",AVERAGEIFS(ENSAYOS!$Q$5:$Q$3004,ENSAYOS!$C$5:$C$3004,F154,ENSAYOS!$Q$5:$Q$3004,"&gt;0",ENSAYOS!$G$5:$G$3004,"&gt;="&amp;CONFIG!$B$27)))</f>
        <v/>
      </c>
      <c r="W154" s="18" t="str">
        <f aca="false">IF(AND(U154&lt;&gt;"",V154&lt;&gt;""),U154/V154,"")</f>
        <v/>
      </c>
      <c r="X154" s="18" t="str">
        <f aca="false">IF(U154="","",INDEX('CURVA EDAD'!$E$5:$E$32,MIN(28,MAX(1,N154))))</f>
        <v/>
      </c>
      <c r="Y154" s="16" t="str">
        <f aca="false">IF(V154&lt;&gt;"",V154,IF(U154="","",U154/X154))</f>
        <v/>
      </c>
      <c r="Z154" s="16" t="str">
        <f aca="false">IF(V154&lt;&gt;"",_xlfn.MINIFS(ENSAYOS!$Q$5:$Q$3004,ENSAYOS!$C$5:$C$3004,F154,ENSAYOS!$Q$5:$Q$3004,"&gt;0",ENSAYOS!$G$5:$G$3004,"&gt;="&amp;CONFIG!$B$27),IF(U154="","",_xlfn.MINIFS(ENSAYOS!$Q$5:$Q$3004,ENSAYOS!$C$5:$C$3004,F154,ENSAYOS!$Q$5:$Q$3004,"&gt;0",ENSAYOS!$G$5:$G$3004,N154)/X154))</f>
        <v/>
      </c>
      <c r="AA154" s="16" t="str">
        <f aca="false">IF(D154="","",IFERROR(1/(1/INDEX(CONFIG!$J$5:$J$14,MATCH(D154,CONFIG!$D$5:$D$14,0))),""))</f>
        <v/>
      </c>
      <c r="AB154" s="16" t="str">
        <f aca="false">IF(D154="","",IFERROR(1/(1/INDEX(CONFIG!$K$5:$K$14,MATCH(D154,CONFIG!$D$5:$D$14,0))),""))</f>
        <v/>
      </c>
      <c r="AC154" s="19" t="str">
        <f aca="false">IF(N(M154)=0,"",IF(AA154="","Sin spec",IF(AND(Y154&gt;=AA154,OR(AB154="",Z154&gt;=AB154)),"CUMPLE","NO CUMPLE")&amp;IF(V154=""," (est.)","")))</f>
        <v/>
      </c>
      <c r="AD154" s="20" t="str">
        <f aca="false">IF(F154="","",IF(COUNTIFS(ABSORCION!$C$5:$C$1004,F154,ABSORCION!$I$5:$I$1004,"&gt;0")=0,"",AVERAGEIFS(ABSORCION!$I$5:$I$1004,ABSORCION!$C$5:$C$1004,F154,ABSORCION!$I$5:$I$1004,"&gt;0")))</f>
        <v/>
      </c>
      <c r="AE154" s="20" t="str">
        <f aca="false">IF(F154="","",IF(COUNTIFS(ABSORCION!$C$5:$C$1004,F154,ABSORCION!$I$5:$I$1004,"&gt;0")=0,"",AVERAGEIFS(ABSORCION!$K$5:$K$1004,ABSORCION!$C$5:$C$1004,F154,ABSORCION!$I$5:$I$1004,"&gt;0")))</f>
        <v/>
      </c>
      <c r="AF154" s="20" t="str">
        <f aca="false">IF(AE154="","",IF(AE154&gt;=CONFIG!$E$21,CONFIG!$F$21,IF(AE154&gt;=CONFIG!$E$20,CONFIG!$F$20,CONFIG!$F$19)))</f>
        <v/>
      </c>
      <c r="AG154" s="21" t="str">
        <f aca="false">IF(F154="","",TRIM(IF(N(M154)=0,"Sin ensayos. ","")&amp;IF(AND(N(M154)&gt;0,N(M154)&lt;CONFIG!$B$26),"Menos de "&amp;CONFIG!$B$26&amp;" probetas. ","")&amp;IF(N(T154)&gt;CONFIG!$B$25,"CV alto. ","")&amp;IF(AND(N(AD154)&gt;0,N(AD154)&gt;N(AF154)),"Absorción alta. ","")))</f>
        <v/>
      </c>
      <c r="AH154" s="22" t="str">
        <f aca="false">IF(AND(N(M154)&gt;0,OR(CONTROL!$C$4="TODAS",C154=CONTROL!$C$4),D154=CONTROL!$C$5),MAX($AH$4:AH153)+1,"")</f>
        <v/>
      </c>
      <c r="AI154" s="22" t="str">
        <f aca="false">IF(AH154="","",P154^2)</f>
        <v/>
      </c>
    </row>
    <row r="155" customFormat="false" ht="15" hidden="false" customHeight="false" outlineLevel="0" collapsed="false">
      <c r="A155" s="11" t="str">
        <f aca="false">IF(B155="","",ROW()-4)</f>
        <v/>
      </c>
      <c r="B155" s="12"/>
      <c r="C155" s="13"/>
      <c r="D155" s="13"/>
      <c r="E155" s="13"/>
      <c r="F155" s="14" t="str">
        <f aca="false">IF(OR(B155="",C155="",D155=""),"",IFERROR(INDEX(CONFIG!$E$5:$E$14,MATCH(D155,CONFIG!$D$5:$D$14,0)),"?")&amp;RIGHT("0"&amp;DAY(B155),2)&amp;RIGHT("0"&amp;MONTH(B155),2)&amp;RIGHT(YEAR(B155),2)&amp;C155&amp;IF(E155="","","-"&amp;E155))</f>
        <v/>
      </c>
      <c r="G155" s="13"/>
      <c r="H155" s="13"/>
      <c r="I155" s="13"/>
      <c r="J155" s="13"/>
      <c r="K155" s="13"/>
      <c r="L155" s="13"/>
      <c r="M155" s="11" t="str">
        <f aca="false">IF(F155="","",COUNTIFS(ENSAYOS!$C$5:$C$3004,F155,ENSAYOS!$Q$5:$Q$3004,"&gt;0"))</f>
        <v/>
      </c>
      <c r="N155" s="15" t="str">
        <f aca="false">IF(N(M155)=0,"",_xlfn.MINIFS(ENSAYOS!$G$5:$G$3004,ENSAYOS!$C$5:$C$3004,F155,ENSAYOS!$Q$5:$Q$3004,"&gt;0"))</f>
        <v/>
      </c>
      <c r="O155" s="15" t="str">
        <f aca="false">IF(N(M155)=0,"",_xlfn.MAXIFS(ENSAYOS!$G$5:$G$3004,ENSAYOS!$C$5:$C$3004,F155,ENSAYOS!$Q$5:$Q$3004,"&gt;0"))</f>
        <v/>
      </c>
      <c r="P155" s="16" t="str">
        <f aca="false">IF(N(M155)=0,"",AVERAGEIFS(ENSAYOS!$Q$5:$Q$3004,ENSAYOS!$C$5:$C$3004,F155,ENSAYOS!$Q$5:$Q$3004,"&gt;0"))</f>
        <v/>
      </c>
      <c r="Q155" s="16" t="str">
        <f aca="false">IF(N(M155)=0,"",_xlfn.MINIFS(ENSAYOS!$Q$5:$Q$3004,ENSAYOS!$C$5:$C$3004,F155,ENSAYOS!$Q$5:$Q$3004,"&gt;0"))</f>
        <v/>
      </c>
      <c r="R155" s="16" t="str">
        <f aca="false">IF(N(M155)=0,"",_xlfn.MAXIFS(ENSAYOS!$Q$5:$Q$3004,ENSAYOS!$C$5:$C$3004,F155,ENSAYOS!$Q$5:$Q$3004,"&gt;0"))</f>
        <v/>
      </c>
      <c r="S155" s="16" t="str">
        <f aca="false">IF(N(M155)&lt;2,"",SQRT(MAX(0,(SUMIFS(ENSAYOS!$X$5:$X$3004,ENSAYOS!$C$5:$C$3004,F155,ENSAYOS!$Q$5:$Q$3004,"&gt;0")-M155*P155^2)/(M155-1))))</f>
        <v/>
      </c>
      <c r="T155" s="17" t="str">
        <f aca="false">IF(S155="","",S155/P155)</f>
        <v/>
      </c>
      <c r="U155" s="16" t="str">
        <f aca="false">IF(N(M155)=0,"",IF(N155&gt;=CONFIG!$B$27,"",AVERAGEIFS(ENSAYOS!$Q$5:$Q$3004,ENSAYOS!$C$5:$C$3004,F155,ENSAYOS!$Q$5:$Q$3004,"&gt;0",ENSAYOS!$G$5:$G$3004,N155)))</f>
        <v/>
      </c>
      <c r="V155" s="16" t="str">
        <f aca="false">IF(N(M155)=0,"",IF(COUNTIFS(ENSAYOS!$C$5:$C$3004,F155,ENSAYOS!$Q$5:$Q$3004,"&gt;0",ENSAYOS!$G$5:$G$3004,"&gt;="&amp;CONFIG!$B$27)=0,"",AVERAGEIFS(ENSAYOS!$Q$5:$Q$3004,ENSAYOS!$C$5:$C$3004,F155,ENSAYOS!$Q$5:$Q$3004,"&gt;0",ENSAYOS!$G$5:$G$3004,"&gt;="&amp;CONFIG!$B$27)))</f>
        <v/>
      </c>
      <c r="W155" s="18" t="str">
        <f aca="false">IF(AND(U155&lt;&gt;"",V155&lt;&gt;""),U155/V155,"")</f>
        <v/>
      </c>
      <c r="X155" s="18" t="str">
        <f aca="false">IF(U155="","",INDEX('CURVA EDAD'!$E$5:$E$32,MIN(28,MAX(1,N155))))</f>
        <v/>
      </c>
      <c r="Y155" s="16" t="str">
        <f aca="false">IF(V155&lt;&gt;"",V155,IF(U155="","",U155/X155))</f>
        <v/>
      </c>
      <c r="Z155" s="16" t="str">
        <f aca="false">IF(V155&lt;&gt;"",_xlfn.MINIFS(ENSAYOS!$Q$5:$Q$3004,ENSAYOS!$C$5:$C$3004,F155,ENSAYOS!$Q$5:$Q$3004,"&gt;0",ENSAYOS!$G$5:$G$3004,"&gt;="&amp;CONFIG!$B$27),IF(U155="","",_xlfn.MINIFS(ENSAYOS!$Q$5:$Q$3004,ENSAYOS!$C$5:$C$3004,F155,ENSAYOS!$Q$5:$Q$3004,"&gt;0",ENSAYOS!$G$5:$G$3004,N155)/X155))</f>
        <v/>
      </c>
      <c r="AA155" s="16" t="str">
        <f aca="false">IF(D155="","",IFERROR(1/(1/INDEX(CONFIG!$J$5:$J$14,MATCH(D155,CONFIG!$D$5:$D$14,0))),""))</f>
        <v/>
      </c>
      <c r="AB155" s="16" t="str">
        <f aca="false">IF(D155="","",IFERROR(1/(1/INDEX(CONFIG!$K$5:$K$14,MATCH(D155,CONFIG!$D$5:$D$14,0))),""))</f>
        <v/>
      </c>
      <c r="AC155" s="19" t="str">
        <f aca="false">IF(N(M155)=0,"",IF(AA155="","Sin spec",IF(AND(Y155&gt;=AA155,OR(AB155="",Z155&gt;=AB155)),"CUMPLE","NO CUMPLE")&amp;IF(V155=""," (est.)","")))</f>
        <v/>
      </c>
      <c r="AD155" s="20" t="str">
        <f aca="false">IF(F155="","",IF(COUNTIFS(ABSORCION!$C$5:$C$1004,F155,ABSORCION!$I$5:$I$1004,"&gt;0")=0,"",AVERAGEIFS(ABSORCION!$I$5:$I$1004,ABSORCION!$C$5:$C$1004,F155,ABSORCION!$I$5:$I$1004,"&gt;0")))</f>
        <v/>
      </c>
      <c r="AE155" s="20" t="str">
        <f aca="false">IF(F155="","",IF(COUNTIFS(ABSORCION!$C$5:$C$1004,F155,ABSORCION!$I$5:$I$1004,"&gt;0")=0,"",AVERAGEIFS(ABSORCION!$K$5:$K$1004,ABSORCION!$C$5:$C$1004,F155,ABSORCION!$I$5:$I$1004,"&gt;0")))</f>
        <v/>
      </c>
      <c r="AF155" s="20" t="str">
        <f aca="false">IF(AE155="","",IF(AE155&gt;=CONFIG!$E$21,CONFIG!$F$21,IF(AE155&gt;=CONFIG!$E$20,CONFIG!$F$20,CONFIG!$F$19)))</f>
        <v/>
      </c>
      <c r="AG155" s="21" t="str">
        <f aca="false">IF(F155="","",TRIM(IF(N(M155)=0,"Sin ensayos. ","")&amp;IF(AND(N(M155)&gt;0,N(M155)&lt;CONFIG!$B$26),"Menos de "&amp;CONFIG!$B$26&amp;" probetas. ","")&amp;IF(N(T155)&gt;CONFIG!$B$25,"CV alto. ","")&amp;IF(AND(N(AD155)&gt;0,N(AD155)&gt;N(AF155)),"Absorción alta. ","")))</f>
        <v/>
      </c>
      <c r="AH155" s="22" t="str">
        <f aca="false">IF(AND(N(M155)&gt;0,OR(CONTROL!$C$4="TODAS",C155=CONTROL!$C$4),D155=CONTROL!$C$5),MAX($AH$4:AH154)+1,"")</f>
        <v/>
      </c>
      <c r="AI155" s="22" t="str">
        <f aca="false">IF(AH155="","",P155^2)</f>
        <v/>
      </c>
    </row>
    <row r="156" customFormat="false" ht="15" hidden="false" customHeight="false" outlineLevel="0" collapsed="false">
      <c r="A156" s="11" t="str">
        <f aca="false">IF(B156="","",ROW()-4)</f>
        <v/>
      </c>
      <c r="B156" s="12"/>
      <c r="C156" s="13"/>
      <c r="D156" s="13"/>
      <c r="E156" s="13"/>
      <c r="F156" s="14" t="str">
        <f aca="false">IF(OR(B156="",C156="",D156=""),"",IFERROR(INDEX(CONFIG!$E$5:$E$14,MATCH(D156,CONFIG!$D$5:$D$14,0)),"?")&amp;RIGHT("0"&amp;DAY(B156),2)&amp;RIGHT("0"&amp;MONTH(B156),2)&amp;RIGHT(YEAR(B156),2)&amp;C156&amp;IF(E156="","","-"&amp;E156))</f>
        <v/>
      </c>
      <c r="G156" s="13"/>
      <c r="H156" s="13"/>
      <c r="I156" s="13"/>
      <c r="J156" s="13"/>
      <c r="K156" s="13"/>
      <c r="L156" s="13"/>
      <c r="M156" s="11" t="str">
        <f aca="false">IF(F156="","",COUNTIFS(ENSAYOS!$C$5:$C$3004,F156,ENSAYOS!$Q$5:$Q$3004,"&gt;0"))</f>
        <v/>
      </c>
      <c r="N156" s="15" t="str">
        <f aca="false">IF(N(M156)=0,"",_xlfn.MINIFS(ENSAYOS!$G$5:$G$3004,ENSAYOS!$C$5:$C$3004,F156,ENSAYOS!$Q$5:$Q$3004,"&gt;0"))</f>
        <v/>
      </c>
      <c r="O156" s="15" t="str">
        <f aca="false">IF(N(M156)=0,"",_xlfn.MAXIFS(ENSAYOS!$G$5:$G$3004,ENSAYOS!$C$5:$C$3004,F156,ENSAYOS!$Q$5:$Q$3004,"&gt;0"))</f>
        <v/>
      </c>
      <c r="P156" s="16" t="str">
        <f aca="false">IF(N(M156)=0,"",AVERAGEIFS(ENSAYOS!$Q$5:$Q$3004,ENSAYOS!$C$5:$C$3004,F156,ENSAYOS!$Q$5:$Q$3004,"&gt;0"))</f>
        <v/>
      </c>
      <c r="Q156" s="16" t="str">
        <f aca="false">IF(N(M156)=0,"",_xlfn.MINIFS(ENSAYOS!$Q$5:$Q$3004,ENSAYOS!$C$5:$C$3004,F156,ENSAYOS!$Q$5:$Q$3004,"&gt;0"))</f>
        <v/>
      </c>
      <c r="R156" s="16" t="str">
        <f aca="false">IF(N(M156)=0,"",_xlfn.MAXIFS(ENSAYOS!$Q$5:$Q$3004,ENSAYOS!$C$5:$C$3004,F156,ENSAYOS!$Q$5:$Q$3004,"&gt;0"))</f>
        <v/>
      </c>
      <c r="S156" s="16" t="str">
        <f aca="false">IF(N(M156)&lt;2,"",SQRT(MAX(0,(SUMIFS(ENSAYOS!$X$5:$X$3004,ENSAYOS!$C$5:$C$3004,F156,ENSAYOS!$Q$5:$Q$3004,"&gt;0")-M156*P156^2)/(M156-1))))</f>
        <v/>
      </c>
      <c r="T156" s="17" t="str">
        <f aca="false">IF(S156="","",S156/P156)</f>
        <v/>
      </c>
      <c r="U156" s="16" t="str">
        <f aca="false">IF(N(M156)=0,"",IF(N156&gt;=CONFIG!$B$27,"",AVERAGEIFS(ENSAYOS!$Q$5:$Q$3004,ENSAYOS!$C$5:$C$3004,F156,ENSAYOS!$Q$5:$Q$3004,"&gt;0",ENSAYOS!$G$5:$G$3004,N156)))</f>
        <v/>
      </c>
      <c r="V156" s="16" t="str">
        <f aca="false">IF(N(M156)=0,"",IF(COUNTIFS(ENSAYOS!$C$5:$C$3004,F156,ENSAYOS!$Q$5:$Q$3004,"&gt;0",ENSAYOS!$G$5:$G$3004,"&gt;="&amp;CONFIG!$B$27)=0,"",AVERAGEIFS(ENSAYOS!$Q$5:$Q$3004,ENSAYOS!$C$5:$C$3004,F156,ENSAYOS!$Q$5:$Q$3004,"&gt;0",ENSAYOS!$G$5:$G$3004,"&gt;="&amp;CONFIG!$B$27)))</f>
        <v/>
      </c>
      <c r="W156" s="18" t="str">
        <f aca="false">IF(AND(U156&lt;&gt;"",V156&lt;&gt;""),U156/V156,"")</f>
        <v/>
      </c>
      <c r="X156" s="18" t="str">
        <f aca="false">IF(U156="","",INDEX('CURVA EDAD'!$E$5:$E$32,MIN(28,MAX(1,N156))))</f>
        <v/>
      </c>
      <c r="Y156" s="16" t="str">
        <f aca="false">IF(V156&lt;&gt;"",V156,IF(U156="","",U156/X156))</f>
        <v/>
      </c>
      <c r="Z156" s="16" t="str">
        <f aca="false">IF(V156&lt;&gt;"",_xlfn.MINIFS(ENSAYOS!$Q$5:$Q$3004,ENSAYOS!$C$5:$C$3004,F156,ENSAYOS!$Q$5:$Q$3004,"&gt;0",ENSAYOS!$G$5:$G$3004,"&gt;="&amp;CONFIG!$B$27),IF(U156="","",_xlfn.MINIFS(ENSAYOS!$Q$5:$Q$3004,ENSAYOS!$C$5:$C$3004,F156,ENSAYOS!$Q$5:$Q$3004,"&gt;0",ENSAYOS!$G$5:$G$3004,N156)/X156))</f>
        <v/>
      </c>
      <c r="AA156" s="16" t="str">
        <f aca="false">IF(D156="","",IFERROR(1/(1/INDEX(CONFIG!$J$5:$J$14,MATCH(D156,CONFIG!$D$5:$D$14,0))),""))</f>
        <v/>
      </c>
      <c r="AB156" s="16" t="str">
        <f aca="false">IF(D156="","",IFERROR(1/(1/INDEX(CONFIG!$K$5:$K$14,MATCH(D156,CONFIG!$D$5:$D$14,0))),""))</f>
        <v/>
      </c>
      <c r="AC156" s="19" t="str">
        <f aca="false">IF(N(M156)=0,"",IF(AA156="","Sin spec",IF(AND(Y156&gt;=AA156,OR(AB156="",Z156&gt;=AB156)),"CUMPLE","NO CUMPLE")&amp;IF(V156=""," (est.)","")))</f>
        <v/>
      </c>
      <c r="AD156" s="20" t="str">
        <f aca="false">IF(F156="","",IF(COUNTIFS(ABSORCION!$C$5:$C$1004,F156,ABSORCION!$I$5:$I$1004,"&gt;0")=0,"",AVERAGEIFS(ABSORCION!$I$5:$I$1004,ABSORCION!$C$5:$C$1004,F156,ABSORCION!$I$5:$I$1004,"&gt;0")))</f>
        <v/>
      </c>
      <c r="AE156" s="20" t="str">
        <f aca="false">IF(F156="","",IF(COUNTIFS(ABSORCION!$C$5:$C$1004,F156,ABSORCION!$I$5:$I$1004,"&gt;0")=0,"",AVERAGEIFS(ABSORCION!$K$5:$K$1004,ABSORCION!$C$5:$C$1004,F156,ABSORCION!$I$5:$I$1004,"&gt;0")))</f>
        <v/>
      </c>
      <c r="AF156" s="20" t="str">
        <f aca="false">IF(AE156="","",IF(AE156&gt;=CONFIG!$E$21,CONFIG!$F$21,IF(AE156&gt;=CONFIG!$E$20,CONFIG!$F$20,CONFIG!$F$19)))</f>
        <v/>
      </c>
      <c r="AG156" s="21" t="str">
        <f aca="false">IF(F156="","",TRIM(IF(N(M156)=0,"Sin ensayos. ","")&amp;IF(AND(N(M156)&gt;0,N(M156)&lt;CONFIG!$B$26),"Menos de "&amp;CONFIG!$B$26&amp;" probetas. ","")&amp;IF(N(T156)&gt;CONFIG!$B$25,"CV alto. ","")&amp;IF(AND(N(AD156)&gt;0,N(AD156)&gt;N(AF156)),"Absorción alta. ","")))</f>
        <v/>
      </c>
      <c r="AH156" s="22" t="str">
        <f aca="false">IF(AND(N(M156)&gt;0,OR(CONTROL!$C$4="TODAS",C156=CONTROL!$C$4),D156=CONTROL!$C$5),MAX($AH$4:AH155)+1,"")</f>
        <v/>
      </c>
      <c r="AI156" s="22" t="str">
        <f aca="false">IF(AH156="","",P156^2)</f>
        <v/>
      </c>
    </row>
    <row r="157" customFormat="false" ht="15" hidden="false" customHeight="false" outlineLevel="0" collapsed="false">
      <c r="A157" s="11" t="str">
        <f aca="false">IF(B157="","",ROW()-4)</f>
        <v/>
      </c>
      <c r="B157" s="12"/>
      <c r="C157" s="13"/>
      <c r="D157" s="13"/>
      <c r="E157" s="13"/>
      <c r="F157" s="14" t="str">
        <f aca="false">IF(OR(B157="",C157="",D157=""),"",IFERROR(INDEX(CONFIG!$E$5:$E$14,MATCH(D157,CONFIG!$D$5:$D$14,0)),"?")&amp;RIGHT("0"&amp;DAY(B157),2)&amp;RIGHT("0"&amp;MONTH(B157),2)&amp;RIGHT(YEAR(B157),2)&amp;C157&amp;IF(E157="","","-"&amp;E157))</f>
        <v/>
      </c>
      <c r="G157" s="13"/>
      <c r="H157" s="13"/>
      <c r="I157" s="13"/>
      <c r="J157" s="13"/>
      <c r="K157" s="13"/>
      <c r="L157" s="13"/>
      <c r="M157" s="11" t="str">
        <f aca="false">IF(F157="","",COUNTIFS(ENSAYOS!$C$5:$C$3004,F157,ENSAYOS!$Q$5:$Q$3004,"&gt;0"))</f>
        <v/>
      </c>
      <c r="N157" s="15" t="str">
        <f aca="false">IF(N(M157)=0,"",_xlfn.MINIFS(ENSAYOS!$G$5:$G$3004,ENSAYOS!$C$5:$C$3004,F157,ENSAYOS!$Q$5:$Q$3004,"&gt;0"))</f>
        <v/>
      </c>
      <c r="O157" s="15" t="str">
        <f aca="false">IF(N(M157)=0,"",_xlfn.MAXIFS(ENSAYOS!$G$5:$G$3004,ENSAYOS!$C$5:$C$3004,F157,ENSAYOS!$Q$5:$Q$3004,"&gt;0"))</f>
        <v/>
      </c>
      <c r="P157" s="16" t="str">
        <f aca="false">IF(N(M157)=0,"",AVERAGEIFS(ENSAYOS!$Q$5:$Q$3004,ENSAYOS!$C$5:$C$3004,F157,ENSAYOS!$Q$5:$Q$3004,"&gt;0"))</f>
        <v/>
      </c>
      <c r="Q157" s="16" t="str">
        <f aca="false">IF(N(M157)=0,"",_xlfn.MINIFS(ENSAYOS!$Q$5:$Q$3004,ENSAYOS!$C$5:$C$3004,F157,ENSAYOS!$Q$5:$Q$3004,"&gt;0"))</f>
        <v/>
      </c>
      <c r="R157" s="16" t="str">
        <f aca="false">IF(N(M157)=0,"",_xlfn.MAXIFS(ENSAYOS!$Q$5:$Q$3004,ENSAYOS!$C$5:$C$3004,F157,ENSAYOS!$Q$5:$Q$3004,"&gt;0"))</f>
        <v/>
      </c>
      <c r="S157" s="16" t="str">
        <f aca="false">IF(N(M157)&lt;2,"",SQRT(MAX(0,(SUMIFS(ENSAYOS!$X$5:$X$3004,ENSAYOS!$C$5:$C$3004,F157,ENSAYOS!$Q$5:$Q$3004,"&gt;0")-M157*P157^2)/(M157-1))))</f>
        <v/>
      </c>
      <c r="T157" s="17" t="str">
        <f aca="false">IF(S157="","",S157/P157)</f>
        <v/>
      </c>
      <c r="U157" s="16" t="str">
        <f aca="false">IF(N(M157)=0,"",IF(N157&gt;=CONFIG!$B$27,"",AVERAGEIFS(ENSAYOS!$Q$5:$Q$3004,ENSAYOS!$C$5:$C$3004,F157,ENSAYOS!$Q$5:$Q$3004,"&gt;0",ENSAYOS!$G$5:$G$3004,N157)))</f>
        <v/>
      </c>
      <c r="V157" s="16" t="str">
        <f aca="false">IF(N(M157)=0,"",IF(COUNTIFS(ENSAYOS!$C$5:$C$3004,F157,ENSAYOS!$Q$5:$Q$3004,"&gt;0",ENSAYOS!$G$5:$G$3004,"&gt;="&amp;CONFIG!$B$27)=0,"",AVERAGEIFS(ENSAYOS!$Q$5:$Q$3004,ENSAYOS!$C$5:$C$3004,F157,ENSAYOS!$Q$5:$Q$3004,"&gt;0",ENSAYOS!$G$5:$G$3004,"&gt;="&amp;CONFIG!$B$27)))</f>
        <v/>
      </c>
      <c r="W157" s="18" t="str">
        <f aca="false">IF(AND(U157&lt;&gt;"",V157&lt;&gt;""),U157/V157,"")</f>
        <v/>
      </c>
      <c r="X157" s="18" t="str">
        <f aca="false">IF(U157="","",INDEX('CURVA EDAD'!$E$5:$E$32,MIN(28,MAX(1,N157))))</f>
        <v/>
      </c>
      <c r="Y157" s="16" t="str">
        <f aca="false">IF(V157&lt;&gt;"",V157,IF(U157="","",U157/X157))</f>
        <v/>
      </c>
      <c r="Z157" s="16" t="str">
        <f aca="false">IF(V157&lt;&gt;"",_xlfn.MINIFS(ENSAYOS!$Q$5:$Q$3004,ENSAYOS!$C$5:$C$3004,F157,ENSAYOS!$Q$5:$Q$3004,"&gt;0",ENSAYOS!$G$5:$G$3004,"&gt;="&amp;CONFIG!$B$27),IF(U157="","",_xlfn.MINIFS(ENSAYOS!$Q$5:$Q$3004,ENSAYOS!$C$5:$C$3004,F157,ENSAYOS!$Q$5:$Q$3004,"&gt;0",ENSAYOS!$G$5:$G$3004,N157)/X157))</f>
        <v/>
      </c>
      <c r="AA157" s="16" t="str">
        <f aca="false">IF(D157="","",IFERROR(1/(1/INDEX(CONFIG!$J$5:$J$14,MATCH(D157,CONFIG!$D$5:$D$14,0))),""))</f>
        <v/>
      </c>
      <c r="AB157" s="16" t="str">
        <f aca="false">IF(D157="","",IFERROR(1/(1/INDEX(CONFIG!$K$5:$K$14,MATCH(D157,CONFIG!$D$5:$D$14,0))),""))</f>
        <v/>
      </c>
      <c r="AC157" s="19" t="str">
        <f aca="false">IF(N(M157)=0,"",IF(AA157="","Sin spec",IF(AND(Y157&gt;=AA157,OR(AB157="",Z157&gt;=AB157)),"CUMPLE","NO CUMPLE")&amp;IF(V157=""," (est.)","")))</f>
        <v/>
      </c>
      <c r="AD157" s="20" t="str">
        <f aca="false">IF(F157="","",IF(COUNTIFS(ABSORCION!$C$5:$C$1004,F157,ABSORCION!$I$5:$I$1004,"&gt;0")=0,"",AVERAGEIFS(ABSORCION!$I$5:$I$1004,ABSORCION!$C$5:$C$1004,F157,ABSORCION!$I$5:$I$1004,"&gt;0")))</f>
        <v/>
      </c>
      <c r="AE157" s="20" t="str">
        <f aca="false">IF(F157="","",IF(COUNTIFS(ABSORCION!$C$5:$C$1004,F157,ABSORCION!$I$5:$I$1004,"&gt;0")=0,"",AVERAGEIFS(ABSORCION!$K$5:$K$1004,ABSORCION!$C$5:$C$1004,F157,ABSORCION!$I$5:$I$1004,"&gt;0")))</f>
        <v/>
      </c>
      <c r="AF157" s="20" t="str">
        <f aca="false">IF(AE157="","",IF(AE157&gt;=CONFIG!$E$21,CONFIG!$F$21,IF(AE157&gt;=CONFIG!$E$20,CONFIG!$F$20,CONFIG!$F$19)))</f>
        <v/>
      </c>
      <c r="AG157" s="21" t="str">
        <f aca="false">IF(F157="","",TRIM(IF(N(M157)=0,"Sin ensayos. ","")&amp;IF(AND(N(M157)&gt;0,N(M157)&lt;CONFIG!$B$26),"Menos de "&amp;CONFIG!$B$26&amp;" probetas. ","")&amp;IF(N(T157)&gt;CONFIG!$B$25,"CV alto. ","")&amp;IF(AND(N(AD157)&gt;0,N(AD157)&gt;N(AF157)),"Absorción alta. ","")))</f>
        <v/>
      </c>
      <c r="AH157" s="22" t="str">
        <f aca="false">IF(AND(N(M157)&gt;0,OR(CONTROL!$C$4="TODAS",C157=CONTROL!$C$4),D157=CONTROL!$C$5),MAX($AH$4:AH156)+1,"")</f>
        <v/>
      </c>
      <c r="AI157" s="22" t="str">
        <f aca="false">IF(AH157="","",P157^2)</f>
        <v/>
      </c>
    </row>
    <row r="158" customFormat="false" ht="15" hidden="false" customHeight="false" outlineLevel="0" collapsed="false">
      <c r="A158" s="11" t="str">
        <f aca="false">IF(B158="","",ROW()-4)</f>
        <v/>
      </c>
      <c r="B158" s="12"/>
      <c r="C158" s="13"/>
      <c r="D158" s="13"/>
      <c r="E158" s="13"/>
      <c r="F158" s="14" t="str">
        <f aca="false">IF(OR(B158="",C158="",D158=""),"",IFERROR(INDEX(CONFIG!$E$5:$E$14,MATCH(D158,CONFIG!$D$5:$D$14,0)),"?")&amp;RIGHT("0"&amp;DAY(B158),2)&amp;RIGHT("0"&amp;MONTH(B158),2)&amp;RIGHT(YEAR(B158),2)&amp;C158&amp;IF(E158="","","-"&amp;E158))</f>
        <v/>
      </c>
      <c r="G158" s="13"/>
      <c r="H158" s="13"/>
      <c r="I158" s="13"/>
      <c r="J158" s="13"/>
      <c r="K158" s="13"/>
      <c r="L158" s="13"/>
      <c r="M158" s="11" t="str">
        <f aca="false">IF(F158="","",COUNTIFS(ENSAYOS!$C$5:$C$3004,F158,ENSAYOS!$Q$5:$Q$3004,"&gt;0"))</f>
        <v/>
      </c>
      <c r="N158" s="15" t="str">
        <f aca="false">IF(N(M158)=0,"",_xlfn.MINIFS(ENSAYOS!$G$5:$G$3004,ENSAYOS!$C$5:$C$3004,F158,ENSAYOS!$Q$5:$Q$3004,"&gt;0"))</f>
        <v/>
      </c>
      <c r="O158" s="15" t="str">
        <f aca="false">IF(N(M158)=0,"",_xlfn.MAXIFS(ENSAYOS!$G$5:$G$3004,ENSAYOS!$C$5:$C$3004,F158,ENSAYOS!$Q$5:$Q$3004,"&gt;0"))</f>
        <v/>
      </c>
      <c r="P158" s="16" t="str">
        <f aca="false">IF(N(M158)=0,"",AVERAGEIFS(ENSAYOS!$Q$5:$Q$3004,ENSAYOS!$C$5:$C$3004,F158,ENSAYOS!$Q$5:$Q$3004,"&gt;0"))</f>
        <v/>
      </c>
      <c r="Q158" s="16" t="str">
        <f aca="false">IF(N(M158)=0,"",_xlfn.MINIFS(ENSAYOS!$Q$5:$Q$3004,ENSAYOS!$C$5:$C$3004,F158,ENSAYOS!$Q$5:$Q$3004,"&gt;0"))</f>
        <v/>
      </c>
      <c r="R158" s="16" t="str">
        <f aca="false">IF(N(M158)=0,"",_xlfn.MAXIFS(ENSAYOS!$Q$5:$Q$3004,ENSAYOS!$C$5:$C$3004,F158,ENSAYOS!$Q$5:$Q$3004,"&gt;0"))</f>
        <v/>
      </c>
      <c r="S158" s="16" t="str">
        <f aca="false">IF(N(M158)&lt;2,"",SQRT(MAX(0,(SUMIFS(ENSAYOS!$X$5:$X$3004,ENSAYOS!$C$5:$C$3004,F158,ENSAYOS!$Q$5:$Q$3004,"&gt;0")-M158*P158^2)/(M158-1))))</f>
        <v/>
      </c>
      <c r="T158" s="17" t="str">
        <f aca="false">IF(S158="","",S158/P158)</f>
        <v/>
      </c>
      <c r="U158" s="16" t="str">
        <f aca="false">IF(N(M158)=0,"",IF(N158&gt;=CONFIG!$B$27,"",AVERAGEIFS(ENSAYOS!$Q$5:$Q$3004,ENSAYOS!$C$5:$C$3004,F158,ENSAYOS!$Q$5:$Q$3004,"&gt;0",ENSAYOS!$G$5:$G$3004,N158)))</f>
        <v/>
      </c>
      <c r="V158" s="16" t="str">
        <f aca="false">IF(N(M158)=0,"",IF(COUNTIFS(ENSAYOS!$C$5:$C$3004,F158,ENSAYOS!$Q$5:$Q$3004,"&gt;0",ENSAYOS!$G$5:$G$3004,"&gt;="&amp;CONFIG!$B$27)=0,"",AVERAGEIFS(ENSAYOS!$Q$5:$Q$3004,ENSAYOS!$C$5:$C$3004,F158,ENSAYOS!$Q$5:$Q$3004,"&gt;0",ENSAYOS!$G$5:$G$3004,"&gt;="&amp;CONFIG!$B$27)))</f>
        <v/>
      </c>
      <c r="W158" s="18" t="str">
        <f aca="false">IF(AND(U158&lt;&gt;"",V158&lt;&gt;""),U158/V158,"")</f>
        <v/>
      </c>
      <c r="X158" s="18" t="str">
        <f aca="false">IF(U158="","",INDEX('CURVA EDAD'!$E$5:$E$32,MIN(28,MAX(1,N158))))</f>
        <v/>
      </c>
      <c r="Y158" s="16" t="str">
        <f aca="false">IF(V158&lt;&gt;"",V158,IF(U158="","",U158/X158))</f>
        <v/>
      </c>
      <c r="Z158" s="16" t="str">
        <f aca="false">IF(V158&lt;&gt;"",_xlfn.MINIFS(ENSAYOS!$Q$5:$Q$3004,ENSAYOS!$C$5:$C$3004,F158,ENSAYOS!$Q$5:$Q$3004,"&gt;0",ENSAYOS!$G$5:$G$3004,"&gt;="&amp;CONFIG!$B$27),IF(U158="","",_xlfn.MINIFS(ENSAYOS!$Q$5:$Q$3004,ENSAYOS!$C$5:$C$3004,F158,ENSAYOS!$Q$5:$Q$3004,"&gt;0",ENSAYOS!$G$5:$G$3004,N158)/X158))</f>
        <v/>
      </c>
      <c r="AA158" s="16" t="str">
        <f aca="false">IF(D158="","",IFERROR(1/(1/INDEX(CONFIG!$J$5:$J$14,MATCH(D158,CONFIG!$D$5:$D$14,0))),""))</f>
        <v/>
      </c>
      <c r="AB158" s="16" t="str">
        <f aca="false">IF(D158="","",IFERROR(1/(1/INDEX(CONFIG!$K$5:$K$14,MATCH(D158,CONFIG!$D$5:$D$14,0))),""))</f>
        <v/>
      </c>
      <c r="AC158" s="19" t="str">
        <f aca="false">IF(N(M158)=0,"",IF(AA158="","Sin spec",IF(AND(Y158&gt;=AA158,OR(AB158="",Z158&gt;=AB158)),"CUMPLE","NO CUMPLE")&amp;IF(V158=""," (est.)","")))</f>
        <v/>
      </c>
      <c r="AD158" s="20" t="str">
        <f aca="false">IF(F158="","",IF(COUNTIFS(ABSORCION!$C$5:$C$1004,F158,ABSORCION!$I$5:$I$1004,"&gt;0")=0,"",AVERAGEIFS(ABSORCION!$I$5:$I$1004,ABSORCION!$C$5:$C$1004,F158,ABSORCION!$I$5:$I$1004,"&gt;0")))</f>
        <v/>
      </c>
      <c r="AE158" s="20" t="str">
        <f aca="false">IF(F158="","",IF(COUNTIFS(ABSORCION!$C$5:$C$1004,F158,ABSORCION!$I$5:$I$1004,"&gt;0")=0,"",AVERAGEIFS(ABSORCION!$K$5:$K$1004,ABSORCION!$C$5:$C$1004,F158,ABSORCION!$I$5:$I$1004,"&gt;0")))</f>
        <v/>
      </c>
      <c r="AF158" s="20" t="str">
        <f aca="false">IF(AE158="","",IF(AE158&gt;=CONFIG!$E$21,CONFIG!$F$21,IF(AE158&gt;=CONFIG!$E$20,CONFIG!$F$20,CONFIG!$F$19)))</f>
        <v/>
      </c>
      <c r="AG158" s="21" t="str">
        <f aca="false">IF(F158="","",TRIM(IF(N(M158)=0,"Sin ensayos. ","")&amp;IF(AND(N(M158)&gt;0,N(M158)&lt;CONFIG!$B$26),"Menos de "&amp;CONFIG!$B$26&amp;" probetas. ","")&amp;IF(N(T158)&gt;CONFIG!$B$25,"CV alto. ","")&amp;IF(AND(N(AD158)&gt;0,N(AD158)&gt;N(AF158)),"Absorción alta. ","")))</f>
        <v/>
      </c>
      <c r="AH158" s="22" t="str">
        <f aca="false">IF(AND(N(M158)&gt;0,OR(CONTROL!$C$4="TODAS",C158=CONTROL!$C$4),D158=CONTROL!$C$5),MAX($AH$4:AH157)+1,"")</f>
        <v/>
      </c>
      <c r="AI158" s="22" t="str">
        <f aca="false">IF(AH158="","",P158^2)</f>
        <v/>
      </c>
    </row>
    <row r="159" customFormat="false" ht="15" hidden="false" customHeight="false" outlineLevel="0" collapsed="false">
      <c r="A159" s="11" t="str">
        <f aca="false">IF(B159="","",ROW()-4)</f>
        <v/>
      </c>
      <c r="B159" s="12"/>
      <c r="C159" s="13"/>
      <c r="D159" s="13"/>
      <c r="E159" s="13"/>
      <c r="F159" s="14" t="str">
        <f aca="false">IF(OR(B159="",C159="",D159=""),"",IFERROR(INDEX(CONFIG!$E$5:$E$14,MATCH(D159,CONFIG!$D$5:$D$14,0)),"?")&amp;RIGHT("0"&amp;DAY(B159),2)&amp;RIGHT("0"&amp;MONTH(B159),2)&amp;RIGHT(YEAR(B159),2)&amp;C159&amp;IF(E159="","","-"&amp;E159))</f>
        <v/>
      </c>
      <c r="G159" s="13"/>
      <c r="H159" s="13"/>
      <c r="I159" s="13"/>
      <c r="J159" s="13"/>
      <c r="K159" s="13"/>
      <c r="L159" s="13"/>
      <c r="M159" s="11" t="str">
        <f aca="false">IF(F159="","",COUNTIFS(ENSAYOS!$C$5:$C$3004,F159,ENSAYOS!$Q$5:$Q$3004,"&gt;0"))</f>
        <v/>
      </c>
      <c r="N159" s="15" t="str">
        <f aca="false">IF(N(M159)=0,"",_xlfn.MINIFS(ENSAYOS!$G$5:$G$3004,ENSAYOS!$C$5:$C$3004,F159,ENSAYOS!$Q$5:$Q$3004,"&gt;0"))</f>
        <v/>
      </c>
      <c r="O159" s="15" t="str">
        <f aca="false">IF(N(M159)=0,"",_xlfn.MAXIFS(ENSAYOS!$G$5:$G$3004,ENSAYOS!$C$5:$C$3004,F159,ENSAYOS!$Q$5:$Q$3004,"&gt;0"))</f>
        <v/>
      </c>
      <c r="P159" s="16" t="str">
        <f aca="false">IF(N(M159)=0,"",AVERAGEIFS(ENSAYOS!$Q$5:$Q$3004,ENSAYOS!$C$5:$C$3004,F159,ENSAYOS!$Q$5:$Q$3004,"&gt;0"))</f>
        <v/>
      </c>
      <c r="Q159" s="16" t="str">
        <f aca="false">IF(N(M159)=0,"",_xlfn.MINIFS(ENSAYOS!$Q$5:$Q$3004,ENSAYOS!$C$5:$C$3004,F159,ENSAYOS!$Q$5:$Q$3004,"&gt;0"))</f>
        <v/>
      </c>
      <c r="R159" s="16" t="str">
        <f aca="false">IF(N(M159)=0,"",_xlfn.MAXIFS(ENSAYOS!$Q$5:$Q$3004,ENSAYOS!$C$5:$C$3004,F159,ENSAYOS!$Q$5:$Q$3004,"&gt;0"))</f>
        <v/>
      </c>
      <c r="S159" s="16" t="str">
        <f aca="false">IF(N(M159)&lt;2,"",SQRT(MAX(0,(SUMIFS(ENSAYOS!$X$5:$X$3004,ENSAYOS!$C$5:$C$3004,F159,ENSAYOS!$Q$5:$Q$3004,"&gt;0")-M159*P159^2)/(M159-1))))</f>
        <v/>
      </c>
      <c r="T159" s="17" t="str">
        <f aca="false">IF(S159="","",S159/P159)</f>
        <v/>
      </c>
      <c r="U159" s="16" t="str">
        <f aca="false">IF(N(M159)=0,"",IF(N159&gt;=CONFIG!$B$27,"",AVERAGEIFS(ENSAYOS!$Q$5:$Q$3004,ENSAYOS!$C$5:$C$3004,F159,ENSAYOS!$Q$5:$Q$3004,"&gt;0",ENSAYOS!$G$5:$G$3004,N159)))</f>
        <v/>
      </c>
      <c r="V159" s="16" t="str">
        <f aca="false">IF(N(M159)=0,"",IF(COUNTIFS(ENSAYOS!$C$5:$C$3004,F159,ENSAYOS!$Q$5:$Q$3004,"&gt;0",ENSAYOS!$G$5:$G$3004,"&gt;="&amp;CONFIG!$B$27)=0,"",AVERAGEIFS(ENSAYOS!$Q$5:$Q$3004,ENSAYOS!$C$5:$C$3004,F159,ENSAYOS!$Q$5:$Q$3004,"&gt;0",ENSAYOS!$G$5:$G$3004,"&gt;="&amp;CONFIG!$B$27)))</f>
        <v/>
      </c>
      <c r="W159" s="18" t="str">
        <f aca="false">IF(AND(U159&lt;&gt;"",V159&lt;&gt;""),U159/V159,"")</f>
        <v/>
      </c>
      <c r="X159" s="18" t="str">
        <f aca="false">IF(U159="","",INDEX('CURVA EDAD'!$E$5:$E$32,MIN(28,MAX(1,N159))))</f>
        <v/>
      </c>
      <c r="Y159" s="16" t="str">
        <f aca="false">IF(V159&lt;&gt;"",V159,IF(U159="","",U159/X159))</f>
        <v/>
      </c>
      <c r="Z159" s="16" t="str">
        <f aca="false">IF(V159&lt;&gt;"",_xlfn.MINIFS(ENSAYOS!$Q$5:$Q$3004,ENSAYOS!$C$5:$C$3004,F159,ENSAYOS!$Q$5:$Q$3004,"&gt;0",ENSAYOS!$G$5:$G$3004,"&gt;="&amp;CONFIG!$B$27),IF(U159="","",_xlfn.MINIFS(ENSAYOS!$Q$5:$Q$3004,ENSAYOS!$C$5:$C$3004,F159,ENSAYOS!$Q$5:$Q$3004,"&gt;0",ENSAYOS!$G$5:$G$3004,N159)/X159))</f>
        <v/>
      </c>
      <c r="AA159" s="16" t="str">
        <f aca="false">IF(D159="","",IFERROR(1/(1/INDEX(CONFIG!$J$5:$J$14,MATCH(D159,CONFIG!$D$5:$D$14,0))),""))</f>
        <v/>
      </c>
      <c r="AB159" s="16" t="str">
        <f aca="false">IF(D159="","",IFERROR(1/(1/INDEX(CONFIG!$K$5:$K$14,MATCH(D159,CONFIG!$D$5:$D$14,0))),""))</f>
        <v/>
      </c>
      <c r="AC159" s="19" t="str">
        <f aca="false">IF(N(M159)=0,"",IF(AA159="","Sin spec",IF(AND(Y159&gt;=AA159,OR(AB159="",Z159&gt;=AB159)),"CUMPLE","NO CUMPLE")&amp;IF(V159=""," (est.)","")))</f>
        <v/>
      </c>
      <c r="AD159" s="20" t="str">
        <f aca="false">IF(F159="","",IF(COUNTIFS(ABSORCION!$C$5:$C$1004,F159,ABSORCION!$I$5:$I$1004,"&gt;0")=0,"",AVERAGEIFS(ABSORCION!$I$5:$I$1004,ABSORCION!$C$5:$C$1004,F159,ABSORCION!$I$5:$I$1004,"&gt;0")))</f>
        <v/>
      </c>
      <c r="AE159" s="20" t="str">
        <f aca="false">IF(F159="","",IF(COUNTIFS(ABSORCION!$C$5:$C$1004,F159,ABSORCION!$I$5:$I$1004,"&gt;0")=0,"",AVERAGEIFS(ABSORCION!$K$5:$K$1004,ABSORCION!$C$5:$C$1004,F159,ABSORCION!$I$5:$I$1004,"&gt;0")))</f>
        <v/>
      </c>
      <c r="AF159" s="20" t="str">
        <f aca="false">IF(AE159="","",IF(AE159&gt;=CONFIG!$E$21,CONFIG!$F$21,IF(AE159&gt;=CONFIG!$E$20,CONFIG!$F$20,CONFIG!$F$19)))</f>
        <v/>
      </c>
      <c r="AG159" s="21" t="str">
        <f aca="false">IF(F159="","",TRIM(IF(N(M159)=0,"Sin ensayos. ","")&amp;IF(AND(N(M159)&gt;0,N(M159)&lt;CONFIG!$B$26),"Menos de "&amp;CONFIG!$B$26&amp;" probetas. ","")&amp;IF(N(T159)&gt;CONFIG!$B$25,"CV alto. ","")&amp;IF(AND(N(AD159)&gt;0,N(AD159)&gt;N(AF159)),"Absorción alta. ","")))</f>
        <v/>
      </c>
      <c r="AH159" s="22" t="str">
        <f aca="false">IF(AND(N(M159)&gt;0,OR(CONTROL!$C$4="TODAS",C159=CONTROL!$C$4),D159=CONTROL!$C$5),MAX($AH$4:AH158)+1,"")</f>
        <v/>
      </c>
      <c r="AI159" s="22" t="str">
        <f aca="false">IF(AH159="","",P159^2)</f>
        <v/>
      </c>
    </row>
    <row r="160" customFormat="false" ht="15" hidden="false" customHeight="false" outlineLevel="0" collapsed="false">
      <c r="A160" s="11" t="str">
        <f aca="false">IF(B160="","",ROW()-4)</f>
        <v/>
      </c>
      <c r="B160" s="12"/>
      <c r="C160" s="13"/>
      <c r="D160" s="13"/>
      <c r="E160" s="13"/>
      <c r="F160" s="14" t="str">
        <f aca="false">IF(OR(B160="",C160="",D160=""),"",IFERROR(INDEX(CONFIG!$E$5:$E$14,MATCH(D160,CONFIG!$D$5:$D$14,0)),"?")&amp;RIGHT("0"&amp;DAY(B160),2)&amp;RIGHT("0"&amp;MONTH(B160),2)&amp;RIGHT(YEAR(B160),2)&amp;C160&amp;IF(E160="","","-"&amp;E160))</f>
        <v/>
      </c>
      <c r="G160" s="13"/>
      <c r="H160" s="13"/>
      <c r="I160" s="13"/>
      <c r="J160" s="13"/>
      <c r="K160" s="13"/>
      <c r="L160" s="13"/>
      <c r="M160" s="11" t="str">
        <f aca="false">IF(F160="","",COUNTIFS(ENSAYOS!$C$5:$C$3004,F160,ENSAYOS!$Q$5:$Q$3004,"&gt;0"))</f>
        <v/>
      </c>
      <c r="N160" s="15" t="str">
        <f aca="false">IF(N(M160)=0,"",_xlfn.MINIFS(ENSAYOS!$G$5:$G$3004,ENSAYOS!$C$5:$C$3004,F160,ENSAYOS!$Q$5:$Q$3004,"&gt;0"))</f>
        <v/>
      </c>
      <c r="O160" s="15" t="str">
        <f aca="false">IF(N(M160)=0,"",_xlfn.MAXIFS(ENSAYOS!$G$5:$G$3004,ENSAYOS!$C$5:$C$3004,F160,ENSAYOS!$Q$5:$Q$3004,"&gt;0"))</f>
        <v/>
      </c>
      <c r="P160" s="16" t="str">
        <f aca="false">IF(N(M160)=0,"",AVERAGEIFS(ENSAYOS!$Q$5:$Q$3004,ENSAYOS!$C$5:$C$3004,F160,ENSAYOS!$Q$5:$Q$3004,"&gt;0"))</f>
        <v/>
      </c>
      <c r="Q160" s="16" t="str">
        <f aca="false">IF(N(M160)=0,"",_xlfn.MINIFS(ENSAYOS!$Q$5:$Q$3004,ENSAYOS!$C$5:$C$3004,F160,ENSAYOS!$Q$5:$Q$3004,"&gt;0"))</f>
        <v/>
      </c>
      <c r="R160" s="16" t="str">
        <f aca="false">IF(N(M160)=0,"",_xlfn.MAXIFS(ENSAYOS!$Q$5:$Q$3004,ENSAYOS!$C$5:$C$3004,F160,ENSAYOS!$Q$5:$Q$3004,"&gt;0"))</f>
        <v/>
      </c>
      <c r="S160" s="16" t="str">
        <f aca="false">IF(N(M160)&lt;2,"",SQRT(MAX(0,(SUMIFS(ENSAYOS!$X$5:$X$3004,ENSAYOS!$C$5:$C$3004,F160,ENSAYOS!$Q$5:$Q$3004,"&gt;0")-M160*P160^2)/(M160-1))))</f>
        <v/>
      </c>
      <c r="T160" s="17" t="str">
        <f aca="false">IF(S160="","",S160/P160)</f>
        <v/>
      </c>
      <c r="U160" s="16" t="str">
        <f aca="false">IF(N(M160)=0,"",IF(N160&gt;=CONFIG!$B$27,"",AVERAGEIFS(ENSAYOS!$Q$5:$Q$3004,ENSAYOS!$C$5:$C$3004,F160,ENSAYOS!$Q$5:$Q$3004,"&gt;0",ENSAYOS!$G$5:$G$3004,N160)))</f>
        <v/>
      </c>
      <c r="V160" s="16" t="str">
        <f aca="false">IF(N(M160)=0,"",IF(COUNTIFS(ENSAYOS!$C$5:$C$3004,F160,ENSAYOS!$Q$5:$Q$3004,"&gt;0",ENSAYOS!$G$5:$G$3004,"&gt;="&amp;CONFIG!$B$27)=0,"",AVERAGEIFS(ENSAYOS!$Q$5:$Q$3004,ENSAYOS!$C$5:$C$3004,F160,ENSAYOS!$Q$5:$Q$3004,"&gt;0",ENSAYOS!$G$5:$G$3004,"&gt;="&amp;CONFIG!$B$27)))</f>
        <v/>
      </c>
      <c r="W160" s="18" t="str">
        <f aca="false">IF(AND(U160&lt;&gt;"",V160&lt;&gt;""),U160/V160,"")</f>
        <v/>
      </c>
      <c r="X160" s="18" t="str">
        <f aca="false">IF(U160="","",INDEX('CURVA EDAD'!$E$5:$E$32,MIN(28,MAX(1,N160))))</f>
        <v/>
      </c>
      <c r="Y160" s="16" t="str">
        <f aca="false">IF(V160&lt;&gt;"",V160,IF(U160="","",U160/X160))</f>
        <v/>
      </c>
      <c r="Z160" s="16" t="str">
        <f aca="false">IF(V160&lt;&gt;"",_xlfn.MINIFS(ENSAYOS!$Q$5:$Q$3004,ENSAYOS!$C$5:$C$3004,F160,ENSAYOS!$Q$5:$Q$3004,"&gt;0",ENSAYOS!$G$5:$G$3004,"&gt;="&amp;CONFIG!$B$27),IF(U160="","",_xlfn.MINIFS(ENSAYOS!$Q$5:$Q$3004,ENSAYOS!$C$5:$C$3004,F160,ENSAYOS!$Q$5:$Q$3004,"&gt;0",ENSAYOS!$G$5:$G$3004,N160)/X160))</f>
        <v/>
      </c>
      <c r="AA160" s="16" t="str">
        <f aca="false">IF(D160="","",IFERROR(1/(1/INDEX(CONFIG!$J$5:$J$14,MATCH(D160,CONFIG!$D$5:$D$14,0))),""))</f>
        <v/>
      </c>
      <c r="AB160" s="16" t="str">
        <f aca="false">IF(D160="","",IFERROR(1/(1/INDEX(CONFIG!$K$5:$K$14,MATCH(D160,CONFIG!$D$5:$D$14,0))),""))</f>
        <v/>
      </c>
      <c r="AC160" s="19" t="str">
        <f aca="false">IF(N(M160)=0,"",IF(AA160="","Sin spec",IF(AND(Y160&gt;=AA160,OR(AB160="",Z160&gt;=AB160)),"CUMPLE","NO CUMPLE")&amp;IF(V160=""," (est.)","")))</f>
        <v/>
      </c>
      <c r="AD160" s="20" t="str">
        <f aca="false">IF(F160="","",IF(COUNTIFS(ABSORCION!$C$5:$C$1004,F160,ABSORCION!$I$5:$I$1004,"&gt;0")=0,"",AVERAGEIFS(ABSORCION!$I$5:$I$1004,ABSORCION!$C$5:$C$1004,F160,ABSORCION!$I$5:$I$1004,"&gt;0")))</f>
        <v/>
      </c>
      <c r="AE160" s="20" t="str">
        <f aca="false">IF(F160="","",IF(COUNTIFS(ABSORCION!$C$5:$C$1004,F160,ABSORCION!$I$5:$I$1004,"&gt;0")=0,"",AVERAGEIFS(ABSORCION!$K$5:$K$1004,ABSORCION!$C$5:$C$1004,F160,ABSORCION!$I$5:$I$1004,"&gt;0")))</f>
        <v/>
      </c>
      <c r="AF160" s="20" t="str">
        <f aca="false">IF(AE160="","",IF(AE160&gt;=CONFIG!$E$21,CONFIG!$F$21,IF(AE160&gt;=CONFIG!$E$20,CONFIG!$F$20,CONFIG!$F$19)))</f>
        <v/>
      </c>
      <c r="AG160" s="21" t="str">
        <f aca="false">IF(F160="","",TRIM(IF(N(M160)=0,"Sin ensayos. ","")&amp;IF(AND(N(M160)&gt;0,N(M160)&lt;CONFIG!$B$26),"Menos de "&amp;CONFIG!$B$26&amp;" probetas. ","")&amp;IF(N(T160)&gt;CONFIG!$B$25,"CV alto. ","")&amp;IF(AND(N(AD160)&gt;0,N(AD160)&gt;N(AF160)),"Absorción alta. ","")))</f>
        <v/>
      </c>
      <c r="AH160" s="22" t="str">
        <f aca="false">IF(AND(N(M160)&gt;0,OR(CONTROL!$C$4="TODAS",C160=CONTROL!$C$4),D160=CONTROL!$C$5),MAX($AH$4:AH159)+1,"")</f>
        <v/>
      </c>
      <c r="AI160" s="22" t="str">
        <f aca="false">IF(AH160="","",P160^2)</f>
        <v/>
      </c>
    </row>
    <row r="161" customFormat="false" ht="15" hidden="false" customHeight="false" outlineLevel="0" collapsed="false">
      <c r="A161" s="11" t="str">
        <f aca="false">IF(B161="","",ROW()-4)</f>
        <v/>
      </c>
      <c r="B161" s="12"/>
      <c r="C161" s="13"/>
      <c r="D161" s="13"/>
      <c r="E161" s="13"/>
      <c r="F161" s="14" t="str">
        <f aca="false">IF(OR(B161="",C161="",D161=""),"",IFERROR(INDEX(CONFIG!$E$5:$E$14,MATCH(D161,CONFIG!$D$5:$D$14,0)),"?")&amp;RIGHT("0"&amp;DAY(B161),2)&amp;RIGHT("0"&amp;MONTH(B161),2)&amp;RIGHT(YEAR(B161),2)&amp;C161&amp;IF(E161="","","-"&amp;E161))</f>
        <v/>
      </c>
      <c r="G161" s="13"/>
      <c r="H161" s="13"/>
      <c r="I161" s="13"/>
      <c r="J161" s="13"/>
      <c r="K161" s="13"/>
      <c r="L161" s="13"/>
      <c r="M161" s="11" t="str">
        <f aca="false">IF(F161="","",COUNTIFS(ENSAYOS!$C$5:$C$3004,F161,ENSAYOS!$Q$5:$Q$3004,"&gt;0"))</f>
        <v/>
      </c>
      <c r="N161" s="15" t="str">
        <f aca="false">IF(N(M161)=0,"",_xlfn.MINIFS(ENSAYOS!$G$5:$G$3004,ENSAYOS!$C$5:$C$3004,F161,ENSAYOS!$Q$5:$Q$3004,"&gt;0"))</f>
        <v/>
      </c>
      <c r="O161" s="15" t="str">
        <f aca="false">IF(N(M161)=0,"",_xlfn.MAXIFS(ENSAYOS!$G$5:$G$3004,ENSAYOS!$C$5:$C$3004,F161,ENSAYOS!$Q$5:$Q$3004,"&gt;0"))</f>
        <v/>
      </c>
      <c r="P161" s="16" t="str">
        <f aca="false">IF(N(M161)=0,"",AVERAGEIFS(ENSAYOS!$Q$5:$Q$3004,ENSAYOS!$C$5:$C$3004,F161,ENSAYOS!$Q$5:$Q$3004,"&gt;0"))</f>
        <v/>
      </c>
      <c r="Q161" s="16" t="str">
        <f aca="false">IF(N(M161)=0,"",_xlfn.MINIFS(ENSAYOS!$Q$5:$Q$3004,ENSAYOS!$C$5:$C$3004,F161,ENSAYOS!$Q$5:$Q$3004,"&gt;0"))</f>
        <v/>
      </c>
      <c r="R161" s="16" t="str">
        <f aca="false">IF(N(M161)=0,"",_xlfn.MAXIFS(ENSAYOS!$Q$5:$Q$3004,ENSAYOS!$C$5:$C$3004,F161,ENSAYOS!$Q$5:$Q$3004,"&gt;0"))</f>
        <v/>
      </c>
      <c r="S161" s="16" t="str">
        <f aca="false">IF(N(M161)&lt;2,"",SQRT(MAX(0,(SUMIFS(ENSAYOS!$X$5:$X$3004,ENSAYOS!$C$5:$C$3004,F161,ENSAYOS!$Q$5:$Q$3004,"&gt;0")-M161*P161^2)/(M161-1))))</f>
        <v/>
      </c>
      <c r="T161" s="17" t="str">
        <f aca="false">IF(S161="","",S161/P161)</f>
        <v/>
      </c>
      <c r="U161" s="16" t="str">
        <f aca="false">IF(N(M161)=0,"",IF(N161&gt;=CONFIG!$B$27,"",AVERAGEIFS(ENSAYOS!$Q$5:$Q$3004,ENSAYOS!$C$5:$C$3004,F161,ENSAYOS!$Q$5:$Q$3004,"&gt;0",ENSAYOS!$G$5:$G$3004,N161)))</f>
        <v/>
      </c>
      <c r="V161" s="16" t="str">
        <f aca="false">IF(N(M161)=0,"",IF(COUNTIFS(ENSAYOS!$C$5:$C$3004,F161,ENSAYOS!$Q$5:$Q$3004,"&gt;0",ENSAYOS!$G$5:$G$3004,"&gt;="&amp;CONFIG!$B$27)=0,"",AVERAGEIFS(ENSAYOS!$Q$5:$Q$3004,ENSAYOS!$C$5:$C$3004,F161,ENSAYOS!$Q$5:$Q$3004,"&gt;0",ENSAYOS!$G$5:$G$3004,"&gt;="&amp;CONFIG!$B$27)))</f>
        <v/>
      </c>
      <c r="W161" s="18" t="str">
        <f aca="false">IF(AND(U161&lt;&gt;"",V161&lt;&gt;""),U161/V161,"")</f>
        <v/>
      </c>
      <c r="X161" s="18" t="str">
        <f aca="false">IF(U161="","",INDEX('CURVA EDAD'!$E$5:$E$32,MIN(28,MAX(1,N161))))</f>
        <v/>
      </c>
      <c r="Y161" s="16" t="str">
        <f aca="false">IF(V161&lt;&gt;"",V161,IF(U161="","",U161/X161))</f>
        <v/>
      </c>
      <c r="Z161" s="16" t="str">
        <f aca="false">IF(V161&lt;&gt;"",_xlfn.MINIFS(ENSAYOS!$Q$5:$Q$3004,ENSAYOS!$C$5:$C$3004,F161,ENSAYOS!$Q$5:$Q$3004,"&gt;0",ENSAYOS!$G$5:$G$3004,"&gt;="&amp;CONFIG!$B$27),IF(U161="","",_xlfn.MINIFS(ENSAYOS!$Q$5:$Q$3004,ENSAYOS!$C$5:$C$3004,F161,ENSAYOS!$Q$5:$Q$3004,"&gt;0",ENSAYOS!$G$5:$G$3004,N161)/X161))</f>
        <v/>
      </c>
      <c r="AA161" s="16" t="str">
        <f aca="false">IF(D161="","",IFERROR(1/(1/INDEX(CONFIG!$J$5:$J$14,MATCH(D161,CONFIG!$D$5:$D$14,0))),""))</f>
        <v/>
      </c>
      <c r="AB161" s="16" t="str">
        <f aca="false">IF(D161="","",IFERROR(1/(1/INDEX(CONFIG!$K$5:$K$14,MATCH(D161,CONFIG!$D$5:$D$14,0))),""))</f>
        <v/>
      </c>
      <c r="AC161" s="19" t="str">
        <f aca="false">IF(N(M161)=0,"",IF(AA161="","Sin spec",IF(AND(Y161&gt;=AA161,OR(AB161="",Z161&gt;=AB161)),"CUMPLE","NO CUMPLE")&amp;IF(V161=""," (est.)","")))</f>
        <v/>
      </c>
      <c r="AD161" s="20" t="str">
        <f aca="false">IF(F161="","",IF(COUNTIFS(ABSORCION!$C$5:$C$1004,F161,ABSORCION!$I$5:$I$1004,"&gt;0")=0,"",AVERAGEIFS(ABSORCION!$I$5:$I$1004,ABSORCION!$C$5:$C$1004,F161,ABSORCION!$I$5:$I$1004,"&gt;0")))</f>
        <v/>
      </c>
      <c r="AE161" s="20" t="str">
        <f aca="false">IF(F161="","",IF(COUNTIFS(ABSORCION!$C$5:$C$1004,F161,ABSORCION!$I$5:$I$1004,"&gt;0")=0,"",AVERAGEIFS(ABSORCION!$K$5:$K$1004,ABSORCION!$C$5:$C$1004,F161,ABSORCION!$I$5:$I$1004,"&gt;0")))</f>
        <v/>
      </c>
      <c r="AF161" s="20" t="str">
        <f aca="false">IF(AE161="","",IF(AE161&gt;=CONFIG!$E$21,CONFIG!$F$21,IF(AE161&gt;=CONFIG!$E$20,CONFIG!$F$20,CONFIG!$F$19)))</f>
        <v/>
      </c>
      <c r="AG161" s="21" t="str">
        <f aca="false">IF(F161="","",TRIM(IF(N(M161)=0,"Sin ensayos. ","")&amp;IF(AND(N(M161)&gt;0,N(M161)&lt;CONFIG!$B$26),"Menos de "&amp;CONFIG!$B$26&amp;" probetas. ","")&amp;IF(N(T161)&gt;CONFIG!$B$25,"CV alto. ","")&amp;IF(AND(N(AD161)&gt;0,N(AD161)&gt;N(AF161)),"Absorción alta. ","")))</f>
        <v/>
      </c>
      <c r="AH161" s="22" t="str">
        <f aca="false">IF(AND(N(M161)&gt;0,OR(CONTROL!$C$4="TODAS",C161=CONTROL!$C$4),D161=CONTROL!$C$5),MAX($AH$4:AH160)+1,"")</f>
        <v/>
      </c>
      <c r="AI161" s="22" t="str">
        <f aca="false">IF(AH161="","",P161^2)</f>
        <v/>
      </c>
    </row>
    <row r="162" customFormat="false" ht="15" hidden="false" customHeight="false" outlineLevel="0" collapsed="false">
      <c r="A162" s="11" t="str">
        <f aca="false">IF(B162="","",ROW()-4)</f>
        <v/>
      </c>
      <c r="B162" s="12"/>
      <c r="C162" s="13"/>
      <c r="D162" s="13"/>
      <c r="E162" s="13"/>
      <c r="F162" s="14" t="str">
        <f aca="false">IF(OR(B162="",C162="",D162=""),"",IFERROR(INDEX(CONFIG!$E$5:$E$14,MATCH(D162,CONFIG!$D$5:$D$14,0)),"?")&amp;RIGHT("0"&amp;DAY(B162),2)&amp;RIGHT("0"&amp;MONTH(B162),2)&amp;RIGHT(YEAR(B162),2)&amp;C162&amp;IF(E162="","","-"&amp;E162))</f>
        <v/>
      </c>
      <c r="G162" s="13"/>
      <c r="H162" s="13"/>
      <c r="I162" s="13"/>
      <c r="J162" s="13"/>
      <c r="K162" s="13"/>
      <c r="L162" s="13"/>
      <c r="M162" s="11" t="str">
        <f aca="false">IF(F162="","",COUNTIFS(ENSAYOS!$C$5:$C$3004,F162,ENSAYOS!$Q$5:$Q$3004,"&gt;0"))</f>
        <v/>
      </c>
      <c r="N162" s="15" t="str">
        <f aca="false">IF(N(M162)=0,"",_xlfn.MINIFS(ENSAYOS!$G$5:$G$3004,ENSAYOS!$C$5:$C$3004,F162,ENSAYOS!$Q$5:$Q$3004,"&gt;0"))</f>
        <v/>
      </c>
      <c r="O162" s="15" t="str">
        <f aca="false">IF(N(M162)=0,"",_xlfn.MAXIFS(ENSAYOS!$G$5:$G$3004,ENSAYOS!$C$5:$C$3004,F162,ENSAYOS!$Q$5:$Q$3004,"&gt;0"))</f>
        <v/>
      </c>
      <c r="P162" s="16" t="str">
        <f aca="false">IF(N(M162)=0,"",AVERAGEIFS(ENSAYOS!$Q$5:$Q$3004,ENSAYOS!$C$5:$C$3004,F162,ENSAYOS!$Q$5:$Q$3004,"&gt;0"))</f>
        <v/>
      </c>
      <c r="Q162" s="16" t="str">
        <f aca="false">IF(N(M162)=0,"",_xlfn.MINIFS(ENSAYOS!$Q$5:$Q$3004,ENSAYOS!$C$5:$C$3004,F162,ENSAYOS!$Q$5:$Q$3004,"&gt;0"))</f>
        <v/>
      </c>
      <c r="R162" s="16" t="str">
        <f aca="false">IF(N(M162)=0,"",_xlfn.MAXIFS(ENSAYOS!$Q$5:$Q$3004,ENSAYOS!$C$5:$C$3004,F162,ENSAYOS!$Q$5:$Q$3004,"&gt;0"))</f>
        <v/>
      </c>
      <c r="S162" s="16" t="str">
        <f aca="false">IF(N(M162)&lt;2,"",SQRT(MAX(0,(SUMIFS(ENSAYOS!$X$5:$X$3004,ENSAYOS!$C$5:$C$3004,F162,ENSAYOS!$Q$5:$Q$3004,"&gt;0")-M162*P162^2)/(M162-1))))</f>
        <v/>
      </c>
      <c r="T162" s="17" t="str">
        <f aca="false">IF(S162="","",S162/P162)</f>
        <v/>
      </c>
      <c r="U162" s="16" t="str">
        <f aca="false">IF(N(M162)=0,"",IF(N162&gt;=CONFIG!$B$27,"",AVERAGEIFS(ENSAYOS!$Q$5:$Q$3004,ENSAYOS!$C$5:$C$3004,F162,ENSAYOS!$Q$5:$Q$3004,"&gt;0",ENSAYOS!$G$5:$G$3004,N162)))</f>
        <v/>
      </c>
      <c r="V162" s="16" t="str">
        <f aca="false">IF(N(M162)=0,"",IF(COUNTIFS(ENSAYOS!$C$5:$C$3004,F162,ENSAYOS!$Q$5:$Q$3004,"&gt;0",ENSAYOS!$G$5:$G$3004,"&gt;="&amp;CONFIG!$B$27)=0,"",AVERAGEIFS(ENSAYOS!$Q$5:$Q$3004,ENSAYOS!$C$5:$C$3004,F162,ENSAYOS!$Q$5:$Q$3004,"&gt;0",ENSAYOS!$G$5:$G$3004,"&gt;="&amp;CONFIG!$B$27)))</f>
        <v/>
      </c>
      <c r="W162" s="18" t="str">
        <f aca="false">IF(AND(U162&lt;&gt;"",V162&lt;&gt;""),U162/V162,"")</f>
        <v/>
      </c>
      <c r="X162" s="18" t="str">
        <f aca="false">IF(U162="","",INDEX('CURVA EDAD'!$E$5:$E$32,MIN(28,MAX(1,N162))))</f>
        <v/>
      </c>
      <c r="Y162" s="16" t="str">
        <f aca="false">IF(V162&lt;&gt;"",V162,IF(U162="","",U162/X162))</f>
        <v/>
      </c>
      <c r="Z162" s="16" t="str">
        <f aca="false">IF(V162&lt;&gt;"",_xlfn.MINIFS(ENSAYOS!$Q$5:$Q$3004,ENSAYOS!$C$5:$C$3004,F162,ENSAYOS!$Q$5:$Q$3004,"&gt;0",ENSAYOS!$G$5:$G$3004,"&gt;="&amp;CONFIG!$B$27),IF(U162="","",_xlfn.MINIFS(ENSAYOS!$Q$5:$Q$3004,ENSAYOS!$C$5:$C$3004,F162,ENSAYOS!$Q$5:$Q$3004,"&gt;0",ENSAYOS!$G$5:$G$3004,N162)/X162))</f>
        <v/>
      </c>
      <c r="AA162" s="16" t="str">
        <f aca="false">IF(D162="","",IFERROR(1/(1/INDEX(CONFIG!$J$5:$J$14,MATCH(D162,CONFIG!$D$5:$D$14,0))),""))</f>
        <v/>
      </c>
      <c r="AB162" s="16" t="str">
        <f aca="false">IF(D162="","",IFERROR(1/(1/INDEX(CONFIG!$K$5:$K$14,MATCH(D162,CONFIG!$D$5:$D$14,0))),""))</f>
        <v/>
      </c>
      <c r="AC162" s="19" t="str">
        <f aca="false">IF(N(M162)=0,"",IF(AA162="","Sin spec",IF(AND(Y162&gt;=AA162,OR(AB162="",Z162&gt;=AB162)),"CUMPLE","NO CUMPLE")&amp;IF(V162=""," (est.)","")))</f>
        <v/>
      </c>
      <c r="AD162" s="20" t="str">
        <f aca="false">IF(F162="","",IF(COUNTIFS(ABSORCION!$C$5:$C$1004,F162,ABSORCION!$I$5:$I$1004,"&gt;0")=0,"",AVERAGEIFS(ABSORCION!$I$5:$I$1004,ABSORCION!$C$5:$C$1004,F162,ABSORCION!$I$5:$I$1004,"&gt;0")))</f>
        <v/>
      </c>
      <c r="AE162" s="20" t="str">
        <f aca="false">IF(F162="","",IF(COUNTIFS(ABSORCION!$C$5:$C$1004,F162,ABSORCION!$I$5:$I$1004,"&gt;0")=0,"",AVERAGEIFS(ABSORCION!$K$5:$K$1004,ABSORCION!$C$5:$C$1004,F162,ABSORCION!$I$5:$I$1004,"&gt;0")))</f>
        <v/>
      </c>
      <c r="AF162" s="20" t="str">
        <f aca="false">IF(AE162="","",IF(AE162&gt;=CONFIG!$E$21,CONFIG!$F$21,IF(AE162&gt;=CONFIG!$E$20,CONFIG!$F$20,CONFIG!$F$19)))</f>
        <v/>
      </c>
      <c r="AG162" s="21" t="str">
        <f aca="false">IF(F162="","",TRIM(IF(N(M162)=0,"Sin ensayos. ","")&amp;IF(AND(N(M162)&gt;0,N(M162)&lt;CONFIG!$B$26),"Menos de "&amp;CONFIG!$B$26&amp;" probetas. ","")&amp;IF(N(T162)&gt;CONFIG!$B$25,"CV alto. ","")&amp;IF(AND(N(AD162)&gt;0,N(AD162)&gt;N(AF162)),"Absorción alta. ","")))</f>
        <v/>
      </c>
      <c r="AH162" s="22" t="str">
        <f aca="false">IF(AND(N(M162)&gt;0,OR(CONTROL!$C$4="TODAS",C162=CONTROL!$C$4),D162=CONTROL!$C$5),MAX($AH$4:AH161)+1,"")</f>
        <v/>
      </c>
      <c r="AI162" s="22" t="str">
        <f aca="false">IF(AH162="","",P162^2)</f>
        <v/>
      </c>
    </row>
    <row r="163" customFormat="false" ht="15" hidden="false" customHeight="false" outlineLevel="0" collapsed="false">
      <c r="A163" s="11" t="str">
        <f aca="false">IF(B163="","",ROW()-4)</f>
        <v/>
      </c>
      <c r="B163" s="12"/>
      <c r="C163" s="13"/>
      <c r="D163" s="13"/>
      <c r="E163" s="13"/>
      <c r="F163" s="14" t="str">
        <f aca="false">IF(OR(B163="",C163="",D163=""),"",IFERROR(INDEX(CONFIG!$E$5:$E$14,MATCH(D163,CONFIG!$D$5:$D$14,0)),"?")&amp;RIGHT("0"&amp;DAY(B163),2)&amp;RIGHT("0"&amp;MONTH(B163),2)&amp;RIGHT(YEAR(B163),2)&amp;C163&amp;IF(E163="","","-"&amp;E163))</f>
        <v/>
      </c>
      <c r="G163" s="13"/>
      <c r="H163" s="13"/>
      <c r="I163" s="13"/>
      <c r="J163" s="13"/>
      <c r="K163" s="13"/>
      <c r="L163" s="13"/>
      <c r="M163" s="11" t="str">
        <f aca="false">IF(F163="","",COUNTIFS(ENSAYOS!$C$5:$C$3004,F163,ENSAYOS!$Q$5:$Q$3004,"&gt;0"))</f>
        <v/>
      </c>
      <c r="N163" s="15" t="str">
        <f aca="false">IF(N(M163)=0,"",_xlfn.MINIFS(ENSAYOS!$G$5:$G$3004,ENSAYOS!$C$5:$C$3004,F163,ENSAYOS!$Q$5:$Q$3004,"&gt;0"))</f>
        <v/>
      </c>
      <c r="O163" s="15" t="str">
        <f aca="false">IF(N(M163)=0,"",_xlfn.MAXIFS(ENSAYOS!$G$5:$G$3004,ENSAYOS!$C$5:$C$3004,F163,ENSAYOS!$Q$5:$Q$3004,"&gt;0"))</f>
        <v/>
      </c>
      <c r="P163" s="16" t="str">
        <f aca="false">IF(N(M163)=0,"",AVERAGEIFS(ENSAYOS!$Q$5:$Q$3004,ENSAYOS!$C$5:$C$3004,F163,ENSAYOS!$Q$5:$Q$3004,"&gt;0"))</f>
        <v/>
      </c>
      <c r="Q163" s="16" t="str">
        <f aca="false">IF(N(M163)=0,"",_xlfn.MINIFS(ENSAYOS!$Q$5:$Q$3004,ENSAYOS!$C$5:$C$3004,F163,ENSAYOS!$Q$5:$Q$3004,"&gt;0"))</f>
        <v/>
      </c>
      <c r="R163" s="16" t="str">
        <f aca="false">IF(N(M163)=0,"",_xlfn.MAXIFS(ENSAYOS!$Q$5:$Q$3004,ENSAYOS!$C$5:$C$3004,F163,ENSAYOS!$Q$5:$Q$3004,"&gt;0"))</f>
        <v/>
      </c>
      <c r="S163" s="16" t="str">
        <f aca="false">IF(N(M163)&lt;2,"",SQRT(MAX(0,(SUMIFS(ENSAYOS!$X$5:$X$3004,ENSAYOS!$C$5:$C$3004,F163,ENSAYOS!$Q$5:$Q$3004,"&gt;0")-M163*P163^2)/(M163-1))))</f>
        <v/>
      </c>
      <c r="T163" s="17" t="str">
        <f aca="false">IF(S163="","",S163/P163)</f>
        <v/>
      </c>
      <c r="U163" s="16" t="str">
        <f aca="false">IF(N(M163)=0,"",IF(N163&gt;=CONFIG!$B$27,"",AVERAGEIFS(ENSAYOS!$Q$5:$Q$3004,ENSAYOS!$C$5:$C$3004,F163,ENSAYOS!$Q$5:$Q$3004,"&gt;0",ENSAYOS!$G$5:$G$3004,N163)))</f>
        <v/>
      </c>
      <c r="V163" s="16" t="str">
        <f aca="false">IF(N(M163)=0,"",IF(COUNTIFS(ENSAYOS!$C$5:$C$3004,F163,ENSAYOS!$Q$5:$Q$3004,"&gt;0",ENSAYOS!$G$5:$G$3004,"&gt;="&amp;CONFIG!$B$27)=0,"",AVERAGEIFS(ENSAYOS!$Q$5:$Q$3004,ENSAYOS!$C$5:$C$3004,F163,ENSAYOS!$Q$5:$Q$3004,"&gt;0",ENSAYOS!$G$5:$G$3004,"&gt;="&amp;CONFIG!$B$27)))</f>
        <v/>
      </c>
      <c r="W163" s="18" t="str">
        <f aca="false">IF(AND(U163&lt;&gt;"",V163&lt;&gt;""),U163/V163,"")</f>
        <v/>
      </c>
      <c r="X163" s="18" t="str">
        <f aca="false">IF(U163="","",INDEX('CURVA EDAD'!$E$5:$E$32,MIN(28,MAX(1,N163))))</f>
        <v/>
      </c>
      <c r="Y163" s="16" t="str">
        <f aca="false">IF(V163&lt;&gt;"",V163,IF(U163="","",U163/X163))</f>
        <v/>
      </c>
      <c r="Z163" s="16" t="str">
        <f aca="false">IF(V163&lt;&gt;"",_xlfn.MINIFS(ENSAYOS!$Q$5:$Q$3004,ENSAYOS!$C$5:$C$3004,F163,ENSAYOS!$Q$5:$Q$3004,"&gt;0",ENSAYOS!$G$5:$G$3004,"&gt;="&amp;CONFIG!$B$27),IF(U163="","",_xlfn.MINIFS(ENSAYOS!$Q$5:$Q$3004,ENSAYOS!$C$5:$C$3004,F163,ENSAYOS!$Q$5:$Q$3004,"&gt;0",ENSAYOS!$G$5:$G$3004,N163)/X163))</f>
        <v/>
      </c>
      <c r="AA163" s="16" t="str">
        <f aca="false">IF(D163="","",IFERROR(1/(1/INDEX(CONFIG!$J$5:$J$14,MATCH(D163,CONFIG!$D$5:$D$14,0))),""))</f>
        <v/>
      </c>
      <c r="AB163" s="16" t="str">
        <f aca="false">IF(D163="","",IFERROR(1/(1/INDEX(CONFIG!$K$5:$K$14,MATCH(D163,CONFIG!$D$5:$D$14,0))),""))</f>
        <v/>
      </c>
      <c r="AC163" s="19" t="str">
        <f aca="false">IF(N(M163)=0,"",IF(AA163="","Sin spec",IF(AND(Y163&gt;=AA163,OR(AB163="",Z163&gt;=AB163)),"CUMPLE","NO CUMPLE")&amp;IF(V163=""," (est.)","")))</f>
        <v/>
      </c>
      <c r="AD163" s="20" t="str">
        <f aca="false">IF(F163="","",IF(COUNTIFS(ABSORCION!$C$5:$C$1004,F163,ABSORCION!$I$5:$I$1004,"&gt;0")=0,"",AVERAGEIFS(ABSORCION!$I$5:$I$1004,ABSORCION!$C$5:$C$1004,F163,ABSORCION!$I$5:$I$1004,"&gt;0")))</f>
        <v/>
      </c>
      <c r="AE163" s="20" t="str">
        <f aca="false">IF(F163="","",IF(COUNTIFS(ABSORCION!$C$5:$C$1004,F163,ABSORCION!$I$5:$I$1004,"&gt;0")=0,"",AVERAGEIFS(ABSORCION!$K$5:$K$1004,ABSORCION!$C$5:$C$1004,F163,ABSORCION!$I$5:$I$1004,"&gt;0")))</f>
        <v/>
      </c>
      <c r="AF163" s="20" t="str">
        <f aca="false">IF(AE163="","",IF(AE163&gt;=CONFIG!$E$21,CONFIG!$F$21,IF(AE163&gt;=CONFIG!$E$20,CONFIG!$F$20,CONFIG!$F$19)))</f>
        <v/>
      </c>
      <c r="AG163" s="21" t="str">
        <f aca="false">IF(F163="","",TRIM(IF(N(M163)=0,"Sin ensayos. ","")&amp;IF(AND(N(M163)&gt;0,N(M163)&lt;CONFIG!$B$26),"Menos de "&amp;CONFIG!$B$26&amp;" probetas. ","")&amp;IF(N(T163)&gt;CONFIG!$B$25,"CV alto. ","")&amp;IF(AND(N(AD163)&gt;0,N(AD163)&gt;N(AF163)),"Absorción alta. ","")))</f>
        <v/>
      </c>
      <c r="AH163" s="22" t="str">
        <f aca="false">IF(AND(N(M163)&gt;0,OR(CONTROL!$C$4="TODAS",C163=CONTROL!$C$4),D163=CONTROL!$C$5),MAX($AH$4:AH162)+1,"")</f>
        <v/>
      </c>
      <c r="AI163" s="22" t="str">
        <f aca="false">IF(AH163="","",P163^2)</f>
        <v/>
      </c>
    </row>
    <row r="164" customFormat="false" ht="15" hidden="false" customHeight="false" outlineLevel="0" collapsed="false">
      <c r="A164" s="11" t="str">
        <f aca="false">IF(B164="","",ROW()-4)</f>
        <v/>
      </c>
      <c r="B164" s="12"/>
      <c r="C164" s="13"/>
      <c r="D164" s="13"/>
      <c r="E164" s="13"/>
      <c r="F164" s="14" t="str">
        <f aca="false">IF(OR(B164="",C164="",D164=""),"",IFERROR(INDEX(CONFIG!$E$5:$E$14,MATCH(D164,CONFIG!$D$5:$D$14,0)),"?")&amp;RIGHT("0"&amp;DAY(B164),2)&amp;RIGHT("0"&amp;MONTH(B164),2)&amp;RIGHT(YEAR(B164),2)&amp;C164&amp;IF(E164="","","-"&amp;E164))</f>
        <v/>
      </c>
      <c r="G164" s="13"/>
      <c r="H164" s="13"/>
      <c r="I164" s="13"/>
      <c r="J164" s="13"/>
      <c r="K164" s="13"/>
      <c r="L164" s="13"/>
      <c r="M164" s="11" t="str">
        <f aca="false">IF(F164="","",COUNTIFS(ENSAYOS!$C$5:$C$3004,F164,ENSAYOS!$Q$5:$Q$3004,"&gt;0"))</f>
        <v/>
      </c>
      <c r="N164" s="15" t="str">
        <f aca="false">IF(N(M164)=0,"",_xlfn.MINIFS(ENSAYOS!$G$5:$G$3004,ENSAYOS!$C$5:$C$3004,F164,ENSAYOS!$Q$5:$Q$3004,"&gt;0"))</f>
        <v/>
      </c>
      <c r="O164" s="15" t="str">
        <f aca="false">IF(N(M164)=0,"",_xlfn.MAXIFS(ENSAYOS!$G$5:$G$3004,ENSAYOS!$C$5:$C$3004,F164,ENSAYOS!$Q$5:$Q$3004,"&gt;0"))</f>
        <v/>
      </c>
      <c r="P164" s="16" t="str">
        <f aca="false">IF(N(M164)=0,"",AVERAGEIFS(ENSAYOS!$Q$5:$Q$3004,ENSAYOS!$C$5:$C$3004,F164,ENSAYOS!$Q$5:$Q$3004,"&gt;0"))</f>
        <v/>
      </c>
      <c r="Q164" s="16" t="str">
        <f aca="false">IF(N(M164)=0,"",_xlfn.MINIFS(ENSAYOS!$Q$5:$Q$3004,ENSAYOS!$C$5:$C$3004,F164,ENSAYOS!$Q$5:$Q$3004,"&gt;0"))</f>
        <v/>
      </c>
      <c r="R164" s="16" t="str">
        <f aca="false">IF(N(M164)=0,"",_xlfn.MAXIFS(ENSAYOS!$Q$5:$Q$3004,ENSAYOS!$C$5:$C$3004,F164,ENSAYOS!$Q$5:$Q$3004,"&gt;0"))</f>
        <v/>
      </c>
      <c r="S164" s="16" t="str">
        <f aca="false">IF(N(M164)&lt;2,"",SQRT(MAX(0,(SUMIFS(ENSAYOS!$X$5:$X$3004,ENSAYOS!$C$5:$C$3004,F164,ENSAYOS!$Q$5:$Q$3004,"&gt;0")-M164*P164^2)/(M164-1))))</f>
        <v/>
      </c>
      <c r="T164" s="17" t="str">
        <f aca="false">IF(S164="","",S164/P164)</f>
        <v/>
      </c>
      <c r="U164" s="16" t="str">
        <f aca="false">IF(N(M164)=0,"",IF(N164&gt;=CONFIG!$B$27,"",AVERAGEIFS(ENSAYOS!$Q$5:$Q$3004,ENSAYOS!$C$5:$C$3004,F164,ENSAYOS!$Q$5:$Q$3004,"&gt;0",ENSAYOS!$G$5:$G$3004,N164)))</f>
        <v/>
      </c>
      <c r="V164" s="16" t="str">
        <f aca="false">IF(N(M164)=0,"",IF(COUNTIFS(ENSAYOS!$C$5:$C$3004,F164,ENSAYOS!$Q$5:$Q$3004,"&gt;0",ENSAYOS!$G$5:$G$3004,"&gt;="&amp;CONFIG!$B$27)=0,"",AVERAGEIFS(ENSAYOS!$Q$5:$Q$3004,ENSAYOS!$C$5:$C$3004,F164,ENSAYOS!$Q$5:$Q$3004,"&gt;0",ENSAYOS!$G$5:$G$3004,"&gt;="&amp;CONFIG!$B$27)))</f>
        <v/>
      </c>
      <c r="W164" s="18" t="str">
        <f aca="false">IF(AND(U164&lt;&gt;"",V164&lt;&gt;""),U164/V164,"")</f>
        <v/>
      </c>
      <c r="X164" s="18" t="str">
        <f aca="false">IF(U164="","",INDEX('CURVA EDAD'!$E$5:$E$32,MIN(28,MAX(1,N164))))</f>
        <v/>
      </c>
      <c r="Y164" s="16" t="str">
        <f aca="false">IF(V164&lt;&gt;"",V164,IF(U164="","",U164/X164))</f>
        <v/>
      </c>
      <c r="Z164" s="16" t="str">
        <f aca="false">IF(V164&lt;&gt;"",_xlfn.MINIFS(ENSAYOS!$Q$5:$Q$3004,ENSAYOS!$C$5:$C$3004,F164,ENSAYOS!$Q$5:$Q$3004,"&gt;0",ENSAYOS!$G$5:$G$3004,"&gt;="&amp;CONFIG!$B$27),IF(U164="","",_xlfn.MINIFS(ENSAYOS!$Q$5:$Q$3004,ENSAYOS!$C$5:$C$3004,F164,ENSAYOS!$Q$5:$Q$3004,"&gt;0",ENSAYOS!$G$5:$G$3004,N164)/X164))</f>
        <v/>
      </c>
      <c r="AA164" s="16" t="str">
        <f aca="false">IF(D164="","",IFERROR(1/(1/INDEX(CONFIG!$J$5:$J$14,MATCH(D164,CONFIG!$D$5:$D$14,0))),""))</f>
        <v/>
      </c>
      <c r="AB164" s="16" t="str">
        <f aca="false">IF(D164="","",IFERROR(1/(1/INDEX(CONFIG!$K$5:$K$14,MATCH(D164,CONFIG!$D$5:$D$14,0))),""))</f>
        <v/>
      </c>
      <c r="AC164" s="19" t="str">
        <f aca="false">IF(N(M164)=0,"",IF(AA164="","Sin spec",IF(AND(Y164&gt;=AA164,OR(AB164="",Z164&gt;=AB164)),"CUMPLE","NO CUMPLE")&amp;IF(V164=""," (est.)","")))</f>
        <v/>
      </c>
      <c r="AD164" s="20" t="str">
        <f aca="false">IF(F164="","",IF(COUNTIFS(ABSORCION!$C$5:$C$1004,F164,ABSORCION!$I$5:$I$1004,"&gt;0")=0,"",AVERAGEIFS(ABSORCION!$I$5:$I$1004,ABSORCION!$C$5:$C$1004,F164,ABSORCION!$I$5:$I$1004,"&gt;0")))</f>
        <v/>
      </c>
      <c r="AE164" s="20" t="str">
        <f aca="false">IF(F164="","",IF(COUNTIFS(ABSORCION!$C$5:$C$1004,F164,ABSORCION!$I$5:$I$1004,"&gt;0")=0,"",AVERAGEIFS(ABSORCION!$K$5:$K$1004,ABSORCION!$C$5:$C$1004,F164,ABSORCION!$I$5:$I$1004,"&gt;0")))</f>
        <v/>
      </c>
      <c r="AF164" s="20" t="str">
        <f aca="false">IF(AE164="","",IF(AE164&gt;=CONFIG!$E$21,CONFIG!$F$21,IF(AE164&gt;=CONFIG!$E$20,CONFIG!$F$20,CONFIG!$F$19)))</f>
        <v/>
      </c>
      <c r="AG164" s="21" t="str">
        <f aca="false">IF(F164="","",TRIM(IF(N(M164)=0,"Sin ensayos. ","")&amp;IF(AND(N(M164)&gt;0,N(M164)&lt;CONFIG!$B$26),"Menos de "&amp;CONFIG!$B$26&amp;" probetas. ","")&amp;IF(N(T164)&gt;CONFIG!$B$25,"CV alto. ","")&amp;IF(AND(N(AD164)&gt;0,N(AD164)&gt;N(AF164)),"Absorción alta. ","")))</f>
        <v/>
      </c>
      <c r="AH164" s="22" t="str">
        <f aca="false">IF(AND(N(M164)&gt;0,OR(CONTROL!$C$4="TODAS",C164=CONTROL!$C$4),D164=CONTROL!$C$5),MAX($AH$4:AH163)+1,"")</f>
        <v/>
      </c>
      <c r="AI164" s="22" t="str">
        <f aca="false">IF(AH164="","",P164^2)</f>
        <v/>
      </c>
    </row>
    <row r="165" customFormat="false" ht="15" hidden="false" customHeight="false" outlineLevel="0" collapsed="false">
      <c r="A165" s="11" t="str">
        <f aca="false">IF(B165="","",ROW()-4)</f>
        <v/>
      </c>
      <c r="B165" s="12"/>
      <c r="C165" s="13"/>
      <c r="D165" s="13"/>
      <c r="E165" s="13"/>
      <c r="F165" s="14" t="str">
        <f aca="false">IF(OR(B165="",C165="",D165=""),"",IFERROR(INDEX(CONFIG!$E$5:$E$14,MATCH(D165,CONFIG!$D$5:$D$14,0)),"?")&amp;RIGHT("0"&amp;DAY(B165),2)&amp;RIGHT("0"&amp;MONTH(B165),2)&amp;RIGHT(YEAR(B165),2)&amp;C165&amp;IF(E165="","","-"&amp;E165))</f>
        <v/>
      </c>
      <c r="G165" s="13"/>
      <c r="H165" s="13"/>
      <c r="I165" s="13"/>
      <c r="J165" s="13"/>
      <c r="K165" s="13"/>
      <c r="L165" s="13"/>
      <c r="M165" s="11" t="str">
        <f aca="false">IF(F165="","",COUNTIFS(ENSAYOS!$C$5:$C$3004,F165,ENSAYOS!$Q$5:$Q$3004,"&gt;0"))</f>
        <v/>
      </c>
      <c r="N165" s="15" t="str">
        <f aca="false">IF(N(M165)=0,"",_xlfn.MINIFS(ENSAYOS!$G$5:$G$3004,ENSAYOS!$C$5:$C$3004,F165,ENSAYOS!$Q$5:$Q$3004,"&gt;0"))</f>
        <v/>
      </c>
      <c r="O165" s="15" t="str">
        <f aca="false">IF(N(M165)=0,"",_xlfn.MAXIFS(ENSAYOS!$G$5:$G$3004,ENSAYOS!$C$5:$C$3004,F165,ENSAYOS!$Q$5:$Q$3004,"&gt;0"))</f>
        <v/>
      </c>
      <c r="P165" s="16" t="str">
        <f aca="false">IF(N(M165)=0,"",AVERAGEIFS(ENSAYOS!$Q$5:$Q$3004,ENSAYOS!$C$5:$C$3004,F165,ENSAYOS!$Q$5:$Q$3004,"&gt;0"))</f>
        <v/>
      </c>
      <c r="Q165" s="16" t="str">
        <f aca="false">IF(N(M165)=0,"",_xlfn.MINIFS(ENSAYOS!$Q$5:$Q$3004,ENSAYOS!$C$5:$C$3004,F165,ENSAYOS!$Q$5:$Q$3004,"&gt;0"))</f>
        <v/>
      </c>
      <c r="R165" s="16" t="str">
        <f aca="false">IF(N(M165)=0,"",_xlfn.MAXIFS(ENSAYOS!$Q$5:$Q$3004,ENSAYOS!$C$5:$C$3004,F165,ENSAYOS!$Q$5:$Q$3004,"&gt;0"))</f>
        <v/>
      </c>
      <c r="S165" s="16" t="str">
        <f aca="false">IF(N(M165)&lt;2,"",SQRT(MAX(0,(SUMIFS(ENSAYOS!$X$5:$X$3004,ENSAYOS!$C$5:$C$3004,F165,ENSAYOS!$Q$5:$Q$3004,"&gt;0")-M165*P165^2)/(M165-1))))</f>
        <v/>
      </c>
      <c r="T165" s="17" t="str">
        <f aca="false">IF(S165="","",S165/P165)</f>
        <v/>
      </c>
      <c r="U165" s="16" t="str">
        <f aca="false">IF(N(M165)=0,"",IF(N165&gt;=CONFIG!$B$27,"",AVERAGEIFS(ENSAYOS!$Q$5:$Q$3004,ENSAYOS!$C$5:$C$3004,F165,ENSAYOS!$Q$5:$Q$3004,"&gt;0",ENSAYOS!$G$5:$G$3004,N165)))</f>
        <v/>
      </c>
      <c r="V165" s="16" t="str">
        <f aca="false">IF(N(M165)=0,"",IF(COUNTIFS(ENSAYOS!$C$5:$C$3004,F165,ENSAYOS!$Q$5:$Q$3004,"&gt;0",ENSAYOS!$G$5:$G$3004,"&gt;="&amp;CONFIG!$B$27)=0,"",AVERAGEIFS(ENSAYOS!$Q$5:$Q$3004,ENSAYOS!$C$5:$C$3004,F165,ENSAYOS!$Q$5:$Q$3004,"&gt;0",ENSAYOS!$G$5:$G$3004,"&gt;="&amp;CONFIG!$B$27)))</f>
        <v/>
      </c>
      <c r="W165" s="18" t="str">
        <f aca="false">IF(AND(U165&lt;&gt;"",V165&lt;&gt;""),U165/V165,"")</f>
        <v/>
      </c>
      <c r="X165" s="18" t="str">
        <f aca="false">IF(U165="","",INDEX('CURVA EDAD'!$E$5:$E$32,MIN(28,MAX(1,N165))))</f>
        <v/>
      </c>
      <c r="Y165" s="16" t="str">
        <f aca="false">IF(V165&lt;&gt;"",V165,IF(U165="","",U165/X165))</f>
        <v/>
      </c>
      <c r="Z165" s="16" t="str">
        <f aca="false">IF(V165&lt;&gt;"",_xlfn.MINIFS(ENSAYOS!$Q$5:$Q$3004,ENSAYOS!$C$5:$C$3004,F165,ENSAYOS!$Q$5:$Q$3004,"&gt;0",ENSAYOS!$G$5:$G$3004,"&gt;="&amp;CONFIG!$B$27),IF(U165="","",_xlfn.MINIFS(ENSAYOS!$Q$5:$Q$3004,ENSAYOS!$C$5:$C$3004,F165,ENSAYOS!$Q$5:$Q$3004,"&gt;0",ENSAYOS!$G$5:$G$3004,N165)/X165))</f>
        <v/>
      </c>
      <c r="AA165" s="16" t="str">
        <f aca="false">IF(D165="","",IFERROR(1/(1/INDEX(CONFIG!$J$5:$J$14,MATCH(D165,CONFIG!$D$5:$D$14,0))),""))</f>
        <v/>
      </c>
      <c r="AB165" s="16" t="str">
        <f aca="false">IF(D165="","",IFERROR(1/(1/INDEX(CONFIG!$K$5:$K$14,MATCH(D165,CONFIG!$D$5:$D$14,0))),""))</f>
        <v/>
      </c>
      <c r="AC165" s="19" t="str">
        <f aca="false">IF(N(M165)=0,"",IF(AA165="","Sin spec",IF(AND(Y165&gt;=AA165,OR(AB165="",Z165&gt;=AB165)),"CUMPLE","NO CUMPLE")&amp;IF(V165=""," (est.)","")))</f>
        <v/>
      </c>
      <c r="AD165" s="20" t="str">
        <f aca="false">IF(F165="","",IF(COUNTIFS(ABSORCION!$C$5:$C$1004,F165,ABSORCION!$I$5:$I$1004,"&gt;0")=0,"",AVERAGEIFS(ABSORCION!$I$5:$I$1004,ABSORCION!$C$5:$C$1004,F165,ABSORCION!$I$5:$I$1004,"&gt;0")))</f>
        <v/>
      </c>
      <c r="AE165" s="20" t="str">
        <f aca="false">IF(F165="","",IF(COUNTIFS(ABSORCION!$C$5:$C$1004,F165,ABSORCION!$I$5:$I$1004,"&gt;0")=0,"",AVERAGEIFS(ABSORCION!$K$5:$K$1004,ABSORCION!$C$5:$C$1004,F165,ABSORCION!$I$5:$I$1004,"&gt;0")))</f>
        <v/>
      </c>
      <c r="AF165" s="20" t="str">
        <f aca="false">IF(AE165="","",IF(AE165&gt;=CONFIG!$E$21,CONFIG!$F$21,IF(AE165&gt;=CONFIG!$E$20,CONFIG!$F$20,CONFIG!$F$19)))</f>
        <v/>
      </c>
      <c r="AG165" s="21" t="str">
        <f aca="false">IF(F165="","",TRIM(IF(N(M165)=0,"Sin ensayos. ","")&amp;IF(AND(N(M165)&gt;0,N(M165)&lt;CONFIG!$B$26),"Menos de "&amp;CONFIG!$B$26&amp;" probetas. ","")&amp;IF(N(T165)&gt;CONFIG!$B$25,"CV alto. ","")&amp;IF(AND(N(AD165)&gt;0,N(AD165)&gt;N(AF165)),"Absorción alta. ","")))</f>
        <v/>
      </c>
      <c r="AH165" s="22" t="str">
        <f aca="false">IF(AND(N(M165)&gt;0,OR(CONTROL!$C$4="TODAS",C165=CONTROL!$C$4),D165=CONTROL!$C$5),MAX($AH$4:AH164)+1,"")</f>
        <v/>
      </c>
      <c r="AI165" s="22" t="str">
        <f aca="false">IF(AH165="","",P165^2)</f>
        <v/>
      </c>
    </row>
    <row r="166" customFormat="false" ht="15" hidden="false" customHeight="false" outlineLevel="0" collapsed="false">
      <c r="A166" s="11" t="str">
        <f aca="false">IF(B166="","",ROW()-4)</f>
        <v/>
      </c>
      <c r="B166" s="12"/>
      <c r="C166" s="13"/>
      <c r="D166" s="13"/>
      <c r="E166" s="13"/>
      <c r="F166" s="14" t="str">
        <f aca="false">IF(OR(B166="",C166="",D166=""),"",IFERROR(INDEX(CONFIG!$E$5:$E$14,MATCH(D166,CONFIG!$D$5:$D$14,0)),"?")&amp;RIGHT("0"&amp;DAY(B166),2)&amp;RIGHT("0"&amp;MONTH(B166),2)&amp;RIGHT(YEAR(B166),2)&amp;C166&amp;IF(E166="","","-"&amp;E166))</f>
        <v/>
      </c>
      <c r="G166" s="13"/>
      <c r="H166" s="13"/>
      <c r="I166" s="13"/>
      <c r="J166" s="13"/>
      <c r="K166" s="13"/>
      <c r="L166" s="13"/>
      <c r="M166" s="11" t="str">
        <f aca="false">IF(F166="","",COUNTIFS(ENSAYOS!$C$5:$C$3004,F166,ENSAYOS!$Q$5:$Q$3004,"&gt;0"))</f>
        <v/>
      </c>
      <c r="N166" s="15" t="str">
        <f aca="false">IF(N(M166)=0,"",_xlfn.MINIFS(ENSAYOS!$G$5:$G$3004,ENSAYOS!$C$5:$C$3004,F166,ENSAYOS!$Q$5:$Q$3004,"&gt;0"))</f>
        <v/>
      </c>
      <c r="O166" s="15" t="str">
        <f aca="false">IF(N(M166)=0,"",_xlfn.MAXIFS(ENSAYOS!$G$5:$G$3004,ENSAYOS!$C$5:$C$3004,F166,ENSAYOS!$Q$5:$Q$3004,"&gt;0"))</f>
        <v/>
      </c>
      <c r="P166" s="16" t="str">
        <f aca="false">IF(N(M166)=0,"",AVERAGEIFS(ENSAYOS!$Q$5:$Q$3004,ENSAYOS!$C$5:$C$3004,F166,ENSAYOS!$Q$5:$Q$3004,"&gt;0"))</f>
        <v/>
      </c>
      <c r="Q166" s="16" t="str">
        <f aca="false">IF(N(M166)=0,"",_xlfn.MINIFS(ENSAYOS!$Q$5:$Q$3004,ENSAYOS!$C$5:$C$3004,F166,ENSAYOS!$Q$5:$Q$3004,"&gt;0"))</f>
        <v/>
      </c>
      <c r="R166" s="16" t="str">
        <f aca="false">IF(N(M166)=0,"",_xlfn.MAXIFS(ENSAYOS!$Q$5:$Q$3004,ENSAYOS!$C$5:$C$3004,F166,ENSAYOS!$Q$5:$Q$3004,"&gt;0"))</f>
        <v/>
      </c>
      <c r="S166" s="16" t="str">
        <f aca="false">IF(N(M166)&lt;2,"",SQRT(MAX(0,(SUMIFS(ENSAYOS!$X$5:$X$3004,ENSAYOS!$C$5:$C$3004,F166,ENSAYOS!$Q$5:$Q$3004,"&gt;0")-M166*P166^2)/(M166-1))))</f>
        <v/>
      </c>
      <c r="T166" s="17" t="str">
        <f aca="false">IF(S166="","",S166/P166)</f>
        <v/>
      </c>
      <c r="U166" s="16" t="str">
        <f aca="false">IF(N(M166)=0,"",IF(N166&gt;=CONFIG!$B$27,"",AVERAGEIFS(ENSAYOS!$Q$5:$Q$3004,ENSAYOS!$C$5:$C$3004,F166,ENSAYOS!$Q$5:$Q$3004,"&gt;0",ENSAYOS!$G$5:$G$3004,N166)))</f>
        <v/>
      </c>
      <c r="V166" s="16" t="str">
        <f aca="false">IF(N(M166)=0,"",IF(COUNTIFS(ENSAYOS!$C$5:$C$3004,F166,ENSAYOS!$Q$5:$Q$3004,"&gt;0",ENSAYOS!$G$5:$G$3004,"&gt;="&amp;CONFIG!$B$27)=0,"",AVERAGEIFS(ENSAYOS!$Q$5:$Q$3004,ENSAYOS!$C$5:$C$3004,F166,ENSAYOS!$Q$5:$Q$3004,"&gt;0",ENSAYOS!$G$5:$G$3004,"&gt;="&amp;CONFIG!$B$27)))</f>
        <v/>
      </c>
      <c r="W166" s="18" t="str">
        <f aca="false">IF(AND(U166&lt;&gt;"",V166&lt;&gt;""),U166/V166,"")</f>
        <v/>
      </c>
      <c r="X166" s="18" t="str">
        <f aca="false">IF(U166="","",INDEX('CURVA EDAD'!$E$5:$E$32,MIN(28,MAX(1,N166))))</f>
        <v/>
      </c>
      <c r="Y166" s="16" t="str">
        <f aca="false">IF(V166&lt;&gt;"",V166,IF(U166="","",U166/X166))</f>
        <v/>
      </c>
      <c r="Z166" s="16" t="str">
        <f aca="false">IF(V166&lt;&gt;"",_xlfn.MINIFS(ENSAYOS!$Q$5:$Q$3004,ENSAYOS!$C$5:$C$3004,F166,ENSAYOS!$Q$5:$Q$3004,"&gt;0",ENSAYOS!$G$5:$G$3004,"&gt;="&amp;CONFIG!$B$27),IF(U166="","",_xlfn.MINIFS(ENSAYOS!$Q$5:$Q$3004,ENSAYOS!$C$5:$C$3004,F166,ENSAYOS!$Q$5:$Q$3004,"&gt;0",ENSAYOS!$G$5:$G$3004,N166)/X166))</f>
        <v/>
      </c>
      <c r="AA166" s="16" t="str">
        <f aca="false">IF(D166="","",IFERROR(1/(1/INDEX(CONFIG!$J$5:$J$14,MATCH(D166,CONFIG!$D$5:$D$14,0))),""))</f>
        <v/>
      </c>
      <c r="AB166" s="16" t="str">
        <f aca="false">IF(D166="","",IFERROR(1/(1/INDEX(CONFIG!$K$5:$K$14,MATCH(D166,CONFIG!$D$5:$D$14,0))),""))</f>
        <v/>
      </c>
      <c r="AC166" s="19" t="str">
        <f aca="false">IF(N(M166)=0,"",IF(AA166="","Sin spec",IF(AND(Y166&gt;=AA166,OR(AB166="",Z166&gt;=AB166)),"CUMPLE","NO CUMPLE")&amp;IF(V166=""," (est.)","")))</f>
        <v/>
      </c>
      <c r="AD166" s="20" t="str">
        <f aca="false">IF(F166="","",IF(COUNTIFS(ABSORCION!$C$5:$C$1004,F166,ABSORCION!$I$5:$I$1004,"&gt;0")=0,"",AVERAGEIFS(ABSORCION!$I$5:$I$1004,ABSORCION!$C$5:$C$1004,F166,ABSORCION!$I$5:$I$1004,"&gt;0")))</f>
        <v/>
      </c>
      <c r="AE166" s="20" t="str">
        <f aca="false">IF(F166="","",IF(COUNTIFS(ABSORCION!$C$5:$C$1004,F166,ABSORCION!$I$5:$I$1004,"&gt;0")=0,"",AVERAGEIFS(ABSORCION!$K$5:$K$1004,ABSORCION!$C$5:$C$1004,F166,ABSORCION!$I$5:$I$1004,"&gt;0")))</f>
        <v/>
      </c>
      <c r="AF166" s="20" t="str">
        <f aca="false">IF(AE166="","",IF(AE166&gt;=CONFIG!$E$21,CONFIG!$F$21,IF(AE166&gt;=CONFIG!$E$20,CONFIG!$F$20,CONFIG!$F$19)))</f>
        <v/>
      </c>
      <c r="AG166" s="21" t="str">
        <f aca="false">IF(F166="","",TRIM(IF(N(M166)=0,"Sin ensayos. ","")&amp;IF(AND(N(M166)&gt;0,N(M166)&lt;CONFIG!$B$26),"Menos de "&amp;CONFIG!$B$26&amp;" probetas. ","")&amp;IF(N(T166)&gt;CONFIG!$B$25,"CV alto. ","")&amp;IF(AND(N(AD166)&gt;0,N(AD166)&gt;N(AF166)),"Absorción alta. ","")))</f>
        <v/>
      </c>
      <c r="AH166" s="22" t="str">
        <f aca="false">IF(AND(N(M166)&gt;0,OR(CONTROL!$C$4="TODAS",C166=CONTROL!$C$4),D166=CONTROL!$C$5),MAX($AH$4:AH165)+1,"")</f>
        <v/>
      </c>
      <c r="AI166" s="22" t="str">
        <f aca="false">IF(AH166="","",P166^2)</f>
        <v/>
      </c>
    </row>
    <row r="167" customFormat="false" ht="15" hidden="false" customHeight="false" outlineLevel="0" collapsed="false">
      <c r="A167" s="11" t="str">
        <f aca="false">IF(B167="","",ROW()-4)</f>
        <v/>
      </c>
      <c r="B167" s="12"/>
      <c r="C167" s="13"/>
      <c r="D167" s="13"/>
      <c r="E167" s="13"/>
      <c r="F167" s="14" t="str">
        <f aca="false">IF(OR(B167="",C167="",D167=""),"",IFERROR(INDEX(CONFIG!$E$5:$E$14,MATCH(D167,CONFIG!$D$5:$D$14,0)),"?")&amp;RIGHT("0"&amp;DAY(B167),2)&amp;RIGHT("0"&amp;MONTH(B167),2)&amp;RIGHT(YEAR(B167),2)&amp;C167&amp;IF(E167="","","-"&amp;E167))</f>
        <v/>
      </c>
      <c r="G167" s="13"/>
      <c r="H167" s="13"/>
      <c r="I167" s="13"/>
      <c r="J167" s="13"/>
      <c r="K167" s="13"/>
      <c r="L167" s="13"/>
      <c r="M167" s="11" t="str">
        <f aca="false">IF(F167="","",COUNTIFS(ENSAYOS!$C$5:$C$3004,F167,ENSAYOS!$Q$5:$Q$3004,"&gt;0"))</f>
        <v/>
      </c>
      <c r="N167" s="15" t="str">
        <f aca="false">IF(N(M167)=0,"",_xlfn.MINIFS(ENSAYOS!$G$5:$G$3004,ENSAYOS!$C$5:$C$3004,F167,ENSAYOS!$Q$5:$Q$3004,"&gt;0"))</f>
        <v/>
      </c>
      <c r="O167" s="15" t="str">
        <f aca="false">IF(N(M167)=0,"",_xlfn.MAXIFS(ENSAYOS!$G$5:$G$3004,ENSAYOS!$C$5:$C$3004,F167,ENSAYOS!$Q$5:$Q$3004,"&gt;0"))</f>
        <v/>
      </c>
      <c r="P167" s="16" t="str">
        <f aca="false">IF(N(M167)=0,"",AVERAGEIFS(ENSAYOS!$Q$5:$Q$3004,ENSAYOS!$C$5:$C$3004,F167,ENSAYOS!$Q$5:$Q$3004,"&gt;0"))</f>
        <v/>
      </c>
      <c r="Q167" s="16" t="str">
        <f aca="false">IF(N(M167)=0,"",_xlfn.MINIFS(ENSAYOS!$Q$5:$Q$3004,ENSAYOS!$C$5:$C$3004,F167,ENSAYOS!$Q$5:$Q$3004,"&gt;0"))</f>
        <v/>
      </c>
      <c r="R167" s="16" t="str">
        <f aca="false">IF(N(M167)=0,"",_xlfn.MAXIFS(ENSAYOS!$Q$5:$Q$3004,ENSAYOS!$C$5:$C$3004,F167,ENSAYOS!$Q$5:$Q$3004,"&gt;0"))</f>
        <v/>
      </c>
      <c r="S167" s="16" t="str">
        <f aca="false">IF(N(M167)&lt;2,"",SQRT(MAX(0,(SUMIFS(ENSAYOS!$X$5:$X$3004,ENSAYOS!$C$5:$C$3004,F167,ENSAYOS!$Q$5:$Q$3004,"&gt;0")-M167*P167^2)/(M167-1))))</f>
        <v/>
      </c>
      <c r="T167" s="17" t="str">
        <f aca="false">IF(S167="","",S167/P167)</f>
        <v/>
      </c>
      <c r="U167" s="16" t="str">
        <f aca="false">IF(N(M167)=0,"",IF(N167&gt;=CONFIG!$B$27,"",AVERAGEIFS(ENSAYOS!$Q$5:$Q$3004,ENSAYOS!$C$5:$C$3004,F167,ENSAYOS!$Q$5:$Q$3004,"&gt;0",ENSAYOS!$G$5:$G$3004,N167)))</f>
        <v/>
      </c>
      <c r="V167" s="16" t="str">
        <f aca="false">IF(N(M167)=0,"",IF(COUNTIFS(ENSAYOS!$C$5:$C$3004,F167,ENSAYOS!$Q$5:$Q$3004,"&gt;0",ENSAYOS!$G$5:$G$3004,"&gt;="&amp;CONFIG!$B$27)=0,"",AVERAGEIFS(ENSAYOS!$Q$5:$Q$3004,ENSAYOS!$C$5:$C$3004,F167,ENSAYOS!$Q$5:$Q$3004,"&gt;0",ENSAYOS!$G$5:$G$3004,"&gt;="&amp;CONFIG!$B$27)))</f>
        <v/>
      </c>
      <c r="W167" s="18" t="str">
        <f aca="false">IF(AND(U167&lt;&gt;"",V167&lt;&gt;""),U167/V167,"")</f>
        <v/>
      </c>
      <c r="X167" s="18" t="str">
        <f aca="false">IF(U167="","",INDEX('CURVA EDAD'!$E$5:$E$32,MIN(28,MAX(1,N167))))</f>
        <v/>
      </c>
      <c r="Y167" s="16" t="str">
        <f aca="false">IF(V167&lt;&gt;"",V167,IF(U167="","",U167/X167))</f>
        <v/>
      </c>
      <c r="Z167" s="16" t="str">
        <f aca="false">IF(V167&lt;&gt;"",_xlfn.MINIFS(ENSAYOS!$Q$5:$Q$3004,ENSAYOS!$C$5:$C$3004,F167,ENSAYOS!$Q$5:$Q$3004,"&gt;0",ENSAYOS!$G$5:$G$3004,"&gt;="&amp;CONFIG!$B$27),IF(U167="","",_xlfn.MINIFS(ENSAYOS!$Q$5:$Q$3004,ENSAYOS!$C$5:$C$3004,F167,ENSAYOS!$Q$5:$Q$3004,"&gt;0",ENSAYOS!$G$5:$G$3004,N167)/X167))</f>
        <v/>
      </c>
      <c r="AA167" s="16" t="str">
        <f aca="false">IF(D167="","",IFERROR(1/(1/INDEX(CONFIG!$J$5:$J$14,MATCH(D167,CONFIG!$D$5:$D$14,0))),""))</f>
        <v/>
      </c>
      <c r="AB167" s="16" t="str">
        <f aca="false">IF(D167="","",IFERROR(1/(1/INDEX(CONFIG!$K$5:$K$14,MATCH(D167,CONFIG!$D$5:$D$14,0))),""))</f>
        <v/>
      </c>
      <c r="AC167" s="19" t="str">
        <f aca="false">IF(N(M167)=0,"",IF(AA167="","Sin spec",IF(AND(Y167&gt;=AA167,OR(AB167="",Z167&gt;=AB167)),"CUMPLE","NO CUMPLE")&amp;IF(V167=""," (est.)","")))</f>
        <v/>
      </c>
      <c r="AD167" s="20" t="str">
        <f aca="false">IF(F167="","",IF(COUNTIFS(ABSORCION!$C$5:$C$1004,F167,ABSORCION!$I$5:$I$1004,"&gt;0")=0,"",AVERAGEIFS(ABSORCION!$I$5:$I$1004,ABSORCION!$C$5:$C$1004,F167,ABSORCION!$I$5:$I$1004,"&gt;0")))</f>
        <v/>
      </c>
      <c r="AE167" s="20" t="str">
        <f aca="false">IF(F167="","",IF(COUNTIFS(ABSORCION!$C$5:$C$1004,F167,ABSORCION!$I$5:$I$1004,"&gt;0")=0,"",AVERAGEIFS(ABSORCION!$K$5:$K$1004,ABSORCION!$C$5:$C$1004,F167,ABSORCION!$I$5:$I$1004,"&gt;0")))</f>
        <v/>
      </c>
      <c r="AF167" s="20" t="str">
        <f aca="false">IF(AE167="","",IF(AE167&gt;=CONFIG!$E$21,CONFIG!$F$21,IF(AE167&gt;=CONFIG!$E$20,CONFIG!$F$20,CONFIG!$F$19)))</f>
        <v/>
      </c>
      <c r="AG167" s="21" t="str">
        <f aca="false">IF(F167="","",TRIM(IF(N(M167)=0,"Sin ensayos. ","")&amp;IF(AND(N(M167)&gt;0,N(M167)&lt;CONFIG!$B$26),"Menos de "&amp;CONFIG!$B$26&amp;" probetas. ","")&amp;IF(N(T167)&gt;CONFIG!$B$25,"CV alto. ","")&amp;IF(AND(N(AD167)&gt;0,N(AD167)&gt;N(AF167)),"Absorción alta. ","")))</f>
        <v/>
      </c>
      <c r="AH167" s="22" t="str">
        <f aca="false">IF(AND(N(M167)&gt;0,OR(CONTROL!$C$4="TODAS",C167=CONTROL!$C$4),D167=CONTROL!$C$5),MAX($AH$4:AH166)+1,"")</f>
        <v/>
      </c>
      <c r="AI167" s="22" t="str">
        <f aca="false">IF(AH167="","",P167^2)</f>
        <v/>
      </c>
    </row>
    <row r="168" customFormat="false" ht="15" hidden="false" customHeight="false" outlineLevel="0" collapsed="false">
      <c r="A168" s="11" t="str">
        <f aca="false">IF(B168="","",ROW()-4)</f>
        <v/>
      </c>
      <c r="B168" s="12"/>
      <c r="C168" s="13"/>
      <c r="D168" s="13"/>
      <c r="E168" s="13"/>
      <c r="F168" s="14" t="str">
        <f aca="false">IF(OR(B168="",C168="",D168=""),"",IFERROR(INDEX(CONFIG!$E$5:$E$14,MATCH(D168,CONFIG!$D$5:$D$14,0)),"?")&amp;RIGHT("0"&amp;DAY(B168),2)&amp;RIGHT("0"&amp;MONTH(B168),2)&amp;RIGHT(YEAR(B168),2)&amp;C168&amp;IF(E168="","","-"&amp;E168))</f>
        <v/>
      </c>
      <c r="G168" s="13"/>
      <c r="H168" s="13"/>
      <c r="I168" s="13"/>
      <c r="J168" s="13"/>
      <c r="K168" s="13"/>
      <c r="L168" s="13"/>
      <c r="M168" s="11" t="str">
        <f aca="false">IF(F168="","",COUNTIFS(ENSAYOS!$C$5:$C$3004,F168,ENSAYOS!$Q$5:$Q$3004,"&gt;0"))</f>
        <v/>
      </c>
      <c r="N168" s="15" t="str">
        <f aca="false">IF(N(M168)=0,"",_xlfn.MINIFS(ENSAYOS!$G$5:$G$3004,ENSAYOS!$C$5:$C$3004,F168,ENSAYOS!$Q$5:$Q$3004,"&gt;0"))</f>
        <v/>
      </c>
      <c r="O168" s="15" t="str">
        <f aca="false">IF(N(M168)=0,"",_xlfn.MAXIFS(ENSAYOS!$G$5:$G$3004,ENSAYOS!$C$5:$C$3004,F168,ENSAYOS!$Q$5:$Q$3004,"&gt;0"))</f>
        <v/>
      </c>
      <c r="P168" s="16" t="str">
        <f aca="false">IF(N(M168)=0,"",AVERAGEIFS(ENSAYOS!$Q$5:$Q$3004,ENSAYOS!$C$5:$C$3004,F168,ENSAYOS!$Q$5:$Q$3004,"&gt;0"))</f>
        <v/>
      </c>
      <c r="Q168" s="16" t="str">
        <f aca="false">IF(N(M168)=0,"",_xlfn.MINIFS(ENSAYOS!$Q$5:$Q$3004,ENSAYOS!$C$5:$C$3004,F168,ENSAYOS!$Q$5:$Q$3004,"&gt;0"))</f>
        <v/>
      </c>
      <c r="R168" s="16" t="str">
        <f aca="false">IF(N(M168)=0,"",_xlfn.MAXIFS(ENSAYOS!$Q$5:$Q$3004,ENSAYOS!$C$5:$C$3004,F168,ENSAYOS!$Q$5:$Q$3004,"&gt;0"))</f>
        <v/>
      </c>
      <c r="S168" s="16" t="str">
        <f aca="false">IF(N(M168)&lt;2,"",SQRT(MAX(0,(SUMIFS(ENSAYOS!$X$5:$X$3004,ENSAYOS!$C$5:$C$3004,F168,ENSAYOS!$Q$5:$Q$3004,"&gt;0")-M168*P168^2)/(M168-1))))</f>
        <v/>
      </c>
      <c r="T168" s="17" t="str">
        <f aca="false">IF(S168="","",S168/P168)</f>
        <v/>
      </c>
      <c r="U168" s="16" t="str">
        <f aca="false">IF(N(M168)=0,"",IF(N168&gt;=CONFIG!$B$27,"",AVERAGEIFS(ENSAYOS!$Q$5:$Q$3004,ENSAYOS!$C$5:$C$3004,F168,ENSAYOS!$Q$5:$Q$3004,"&gt;0",ENSAYOS!$G$5:$G$3004,N168)))</f>
        <v/>
      </c>
      <c r="V168" s="16" t="str">
        <f aca="false">IF(N(M168)=0,"",IF(COUNTIFS(ENSAYOS!$C$5:$C$3004,F168,ENSAYOS!$Q$5:$Q$3004,"&gt;0",ENSAYOS!$G$5:$G$3004,"&gt;="&amp;CONFIG!$B$27)=0,"",AVERAGEIFS(ENSAYOS!$Q$5:$Q$3004,ENSAYOS!$C$5:$C$3004,F168,ENSAYOS!$Q$5:$Q$3004,"&gt;0",ENSAYOS!$G$5:$G$3004,"&gt;="&amp;CONFIG!$B$27)))</f>
        <v/>
      </c>
      <c r="W168" s="18" t="str">
        <f aca="false">IF(AND(U168&lt;&gt;"",V168&lt;&gt;""),U168/V168,"")</f>
        <v/>
      </c>
      <c r="X168" s="18" t="str">
        <f aca="false">IF(U168="","",INDEX('CURVA EDAD'!$E$5:$E$32,MIN(28,MAX(1,N168))))</f>
        <v/>
      </c>
      <c r="Y168" s="16" t="str">
        <f aca="false">IF(V168&lt;&gt;"",V168,IF(U168="","",U168/X168))</f>
        <v/>
      </c>
      <c r="Z168" s="16" t="str">
        <f aca="false">IF(V168&lt;&gt;"",_xlfn.MINIFS(ENSAYOS!$Q$5:$Q$3004,ENSAYOS!$C$5:$C$3004,F168,ENSAYOS!$Q$5:$Q$3004,"&gt;0",ENSAYOS!$G$5:$G$3004,"&gt;="&amp;CONFIG!$B$27),IF(U168="","",_xlfn.MINIFS(ENSAYOS!$Q$5:$Q$3004,ENSAYOS!$C$5:$C$3004,F168,ENSAYOS!$Q$5:$Q$3004,"&gt;0",ENSAYOS!$G$5:$G$3004,N168)/X168))</f>
        <v/>
      </c>
      <c r="AA168" s="16" t="str">
        <f aca="false">IF(D168="","",IFERROR(1/(1/INDEX(CONFIG!$J$5:$J$14,MATCH(D168,CONFIG!$D$5:$D$14,0))),""))</f>
        <v/>
      </c>
      <c r="AB168" s="16" t="str">
        <f aca="false">IF(D168="","",IFERROR(1/(1/INDEX(CONFIG!$K$5:$K$14,MATCH(D168,CONFIG!$D$5:$D$14,0))),""))</f>
        <v/>
      </c>
      <c r="AC168" s="19" t="str">
        <f aca="false">IF(N(M168)=0,"",IF(AA168="","Sin spec",IF(AND(Y168&gt;=AA168,OR(AB168="",Z168&gt;=AB168)),"CUMPLE","NO CUMPLE")&amp;IF(V168=""," (est.)","")))</f>
        <v/>
      </c>
      <c r="AD168" s="20" t="str">
        <f aca="false">IF(F168="","",IF(COUNTIFS(ABSORCION!$C$5:$C$1004,F168,ABSORCION!$I$5:$I$1004,"&gt;0")=0,"",AVERAGEIFS(ABSORCION!$I$5:$I$1004,ABSORCION!$C$5:$C$1004,F168,ABSORCION!$I$5:$I$1004,"&gt;0")))</f>
        <v/>
      </c>
      <c r="AE168" s="20" t="str">
        <f aca="false">IF(F168="","",IF(COUNTIFS(ABSORCION!$C$5:$C$1004,F168,ABSORCION!$I$5:$I$1004,"&gt;0")=0,"",AVERAGEIFS(ABSORCION!$K$5:$K$1004,ABSORCION!$C$5:$C$1004,F168,ABSORCION!$I$5:$I$1004,"&gt;0")))</f>
        <v/>
      </c>
      <c r="AF168" s="20" t="str">
        <f aca="false">IF(AE168="","",IF(AE168&gt;=CONFIG!$E$21,CONFIG!$F$21,IF(AE168&gt;=CONFIG!$E$20,CONFIG!$F$20,CONFIG!$F$19)))</f>
        <v/>
      </c>
      <c r="AG168" s="21" t="str">
        <f aca="false">IF(F168="","",TRIM(IF(N(M168)=0,"Sin ensayos. ","")&amp;IF(AND(N(M168)&gt;0,N(M168)&lt;CONFIG!$B$26),"Menos de "&amp;CONFIG!$B$26&amp;" probetas. ","")&amp;IF(N(T168)&gt;CONFIG!$B$25,"CV alto. ","")&amp;IF(AND(N(AD168)&gt;0,N(AD168)&gt;N(AF168)),"Absorción alta. ","")))</f>
        <v/>
      </c>
      <c r="AH168" s="22" t="str">
        <f aca="false">IF(AND(N(M168)&gt;0,OR(CONTROL!$C$4="TODAS",C168=CONTROL!$C$4),D168=CONTROL!$C$5),MAX($AH$4:AH167)+1,"")</f>
        <v/>
      </c>
      <c r="AI168" s="22" t="str">
        <f aca="false">IF(AH168="","",P168^2)</f>
        <v/>
      </c>
    </row>
    <row r="169" customFormat="false" ht="15" hidden="false" customHeight="false" outlineLevel="0" collapsed="false">
      <c r="A169" s="11" t="str">
        <f aca="false">IF(B169="","",ROW()-4)</f>
        <v/>
      </c>
      <c r="B169" s="12"/>
      <c r="C169" s="13"/>
      <c r="D169" s="13"/>
      <c r="E169" s="13"/>
      <c r="F169" s="14" t="str">
        <f aca="false">IF(OR(B169="",C169="",D169=""),"",IFERROR(INDEX(CONFIG!$E$5:$E$14,MATCH(D169,CONFIG!$D$5:$D$14,0)),"?")&amp;RIGHT("0"&amp;DAY(B169),2)&amp;RIGHT("0"&amp;MONTH(B169),2)&amp;RIGHT(YEAR(B169),2)&amp;C169&amp;IF(E169="","","-"&amp;E169))</f>
        <v/>
      </c>
      <c r="G169" s="13"/>
      <c r="H169" s="13"/>
      <c r="I169" s="13"/>
      <c r="J169" s="13"/>
      <c r="K169" s="13"/>
      <c r="L169" s="13"/>
      <c r="M169" s="11" t="str">
        <f aca="false">IF(F169="","",COUNTIFS(ENSAYOS!$C$5:$C$3004,F169,ENSAYOS!$Q$5:$Q$3004,"&gt;0"))</f>
        <v/>
      </c>
      <c r="N169" s="15" t="str">
        <f aca="false">IF(N(M169)=0,"",_xlfn.MINIFS(ENSAYOS!$G$5:$G$3004,ENSAYOS!$C$5:$C$3004,F169,ENSAYOS!$Q$5:$Q$3004,"&gt;0"))</f>
        <v/>
      </c>
      <c r="O169" s="15" t="str">
        <f aca="false">IF(N(M169)=0,"",_xlfn.MAXIFS(ENSAYOS!$G$5:$G$3004,ENSAYOS!$C$5:$C$3004,F169,ENSAYOS!$Q$5:$Q$3004,"&gt;0"))</f>
        <v/>
      </c>
      <c r="P169" s="16" t="str">
        <f aca="false">IF(N(M169)=0,"",AVERAGEIFS(ENSAYOS!$Q$5:$Q$3004,ENSAYOS!$C$5:$C$3004,F169,ENSAYOS!$Q$5:$Q$3004,"&gt;0"))</f>
        <v/>
      </c>
      <c r="Q169" s="16" t="str">
        <f aca="false">IF(N(M169)=0,"",_xlfn.MINIFS(ENSAYOS!$Q$5:$Q$3004,ENSAYOS!$C$5:$C$3004,F169,ENSAYOS!$Q$5:$Q$3004,"&gt;0"))</f>
        <v/>
      </c>
      <c r="R169" s="16" t="str">
        <f aca="false">IF(N(M169)=0,"",_xlfn.MAXIFS(ENSAYOS!$Q$5:$Q$3004,ENSAYOS!$C$5:$C$3004,F169,ENSAYOS!$Q$5:$Q$3004,"&gt;0"))</f>
        <v/>
      </c>
      <c r="S169" s="16" t="str">
        <f aca="false">IF(N(M169)&lt;2,"",SQRT(MAX(0,(SUMIFS(ENSAYOS!$X$5:$X$3004,ENSAYOS!$C$5:$C$3004,F169,ENSAYOS!$Q$5:$Q$3004,"&gt;0")-M169*P169^2)/(M169-1))))</f>
        <v/>
      </c>
      <c r="T169" s="17" t="str">
        <f aca="false">IF(S169="","",S169/P169)</f>
        <v/>
      </c>
      <c r="U169" s="16" t="str">
        <f aca="false">IF(N(M169)=0,"",IF(N169&gt;=CONFIG!$B$27,"",AVERAGEIFS(ENSAYOS!$Q$5:$Q$3004,ENSAYOS!$C$5:$C$3004,F169,ENSAYOS!$Q$5:$Q$3004,"&gt;0",ENSAYOS!$G$5:$G$3004,N169)))</f>
        <v/>
      </c>
      <c r="V169" s="16" t="str">
        <f aca="false">IF(N(M169)=0,"",IF(COUNTIFS(ENSAYOS!$C$5:$C$3004,F169,ENSAYOS!$Q$5:$Q$3004,"&gt;0",ENSAYOS!$G$5:$G$3004,"&gt;="&amp;CONFIG!$B$27)=0,"",AVERAGEIFS(ENSAYOS!$Q$5:$Q$3004,ENSAYOS!$C$5:$C$3004,F169,ENSAYOS!$Q$5:$Q$3004,"&gt;0",ENSAYOS!$G$5:$G$3004,"&gt;="&amp;CONFIG!$B$27)))</f>
        <v/>
      </c>
      <c r="W169" s="18" t="str">
        <f aca="false">IF(AND(U169&lt;&gt;"",V169&lt;&gt;""),U169/V169,"")</f>
        <v/>
      </c>
      <c r="X169" s="18" t="str">
        <f aca="false">IF(U169="","",INDEX('CURVA EDAD'!$E$5:$E$32,MIN(28,MAX(1,N169))))</f>
        <v/>
      </c>
      <c r="Y169" s="16" t="str">
        <f aca="false">IF(V169&lt;&gt;"",V169,IF(U169="","",U169/X169))</f>
        <v/>
      </c>
      <c r="Z169" s="16" t="str">
        <f aca="false">IF(V169&lt;&gt;"",_xlfn.MINIFS(ENSAYOS!$Q$5:$Q$3004,ENSAYOS!$C$5:$C$3004,F169,ENSAYOS!$Q$5:$Q$3004,"&gt;0",ENSAYOS!$G$5:$G$3004,"&gt;="&amp;CONFIG!$B$27),IF(U169="","",_xlfn.MINIFS(ENSAYOS!$Q$5:$Q$3004,ENSAYOS!$C$5:$C$3004,F169,ENSAYOS!$Q$5:$Q$3004,"&gt;0",ENSAYOS!$G$5:$G$3004,N169)/X169))</f>
        <v/>
      </c>
      <c r="AA169" s="16" t="str">
        <f aca="false">IF(D169="","",IFERROR(1/(1/INDEX(CONFIG!$J$5:$J$14,MATCH(D169,CONFIG!$D$5:$D$14,0))),""))</f>
        <v/>
      </c>
      <c r="AB169" s="16" t="str">
        <f aca="false">IF(D169="","",IFERROR(1/(1/INDEX(CONFIG!$K$5:$K$14,MATCH(D169,CONFIG!$D$5:$D$14,0))),""))</f>
        <v/>
      </c>
      <c r="AC169" s="19" t="str">
        <f aca="false">IF(N(M169)=0,"",IF(AA169="","Sin spec",IF(AND(Y169&gt;=AA169,OR(AB169="",Z169&gt;=AB169)),"CUMPLE","NO CUMPLE")&amp;IF(V169=""," (est.)","")))</f>
        <v/>
      </c>
      <c r="AD169" s="20" t="str">
        <f aca="false">IF(F169="","",IF(COUNTIFS(ABSORCION!$C$5:$C$1004,F169,ABSORCION!$I$5:$I$1004,"&gt;0")=0,"",AVERAGEIFS(ABSORCION!$I$5:$I$1004,ABSORCION!$C$5:$C$1004,F169,ABSORCION!$I$5:$I$1004,"&gt;0")))</f>
        <v/>
      </c>
      <c r="AE169" s="20" t="str">
        <f aca="false">IF(F169="","",IF(COUNTIFS(ABSORCION!$C$5:$C$1004,F169,ABSORCION!$I$5:$I$1004,"&gt;0")=0,"",AVERAGEIFS(ABSORCION!$K$5:$K$1004,ABSORCION!$C$5:$C$1004,F169,ABSORCION!$I$5:$I$1004,"&gt;0")))</f>
        <v/>
      </c>
      <c r="AF169" s="20" t="str">
        <f aca="false">IF(AE169="","",IF(AE169&gt;=CONFIG!$E$21,CONFIG!$F$21,IF(AE169&gt;=CONFIG!$E$20,CONFIG!$F$20,CONFIG!$F$19)))</f>
        <v/>
      </c>
      <c r="AG169" s="21" t="str">
        <f aca="false">IF(F169="","",TRIM(IF(N(M169)=0,"Sin ensayos. ","")&amp;IF(AND(N(M169)&gt;0,N(M169)&lt;CONFIG!$B$26),"Menos de "&amp;CONFIG!$B$26&amp;" probetas. ","")&amp;IF(N(T169)&gt;CONFIG!$B$25,"CV alto. ","")&amp;IF(AND(N(AD169)&gt;0,N(AD169)&gt;N(AF169)),"Absorción alta. ","")))</f>
        <v/>
      </c>
      <c r="AH169" s="22" t="str">
        <f aca="false">IF(AND(N(M169)&gt;0,OR(CONTROL!$C$4="TODAS",C169=CONTROL!$C$4),D169=CONTROL!$C$5),MAX($AH$4:AH168)+1,"")</f>
        <v/>
      </c>
      <c r="AI169" s="22" t="str">
        <f aca="false">IF(AH169="","",P169^2)</f>
        <v/>
      </c>
    </row>
    <row r="170" customFormat="false" ht="15" hidden="false" customHeight="false" outlineLevel="0" collapsed="false">
      <c r="A170" s="11" t="str">
        <f aca="false">IF(B170="","",ROW()-4)</f>
        <v/>
      </c>
      <c r="B170" s="12"/>
      <c r="C170" s="13"/>
      <c r="D170" s="13"/>
      <c r="E170" s="13"/>
      <c r="F170" s="14" t="str">
        <f aca="false">IF(OR(B170="",C170="",D170=""),"",IFERROR(INDEX(CONFIG!$E$5:$E$14,MATCH(D170,CONFIG!$D$5:$D$14,0)),"?")&amp;RIGHT("0"&amp;DAY(B170),2)&amp;RIGHT("0"&amp;MONTH(B170),2)&amp;RIGHT(YEAR(B170),2)&amp;C170&amp;IF(E170="","","-"&amp;E170))</f>
        <v/>
      </c>
      <c r="G170" s="13"/>
      <c r="H170" s="13"/>
      <c r="I170" s="13"/>
      <c r="J170" s="13"/>
      <c r="K170" s="13"/>
      <c r="L170" s="13"/>
      <c r="M170" s="11" t="str">
        <f aca="false">IF(F170="","",COUNTIFS(ENSAYOS!$C$5:$C$3004,F170,ENSAYOS!$Q$5:$Q$3004,"&gt;0"))</f>
        <v/>
      </c>
      <c r="N170" s="15" t="str">
        <f aca="false">IF(N(M170)=0,"",_xlfn.MINIFS(ENSAYOS!$G$5:$G$3004,ENSAYOS!$C$5:$C$3004,F170,ENSAYOS!$Q$5:$Q$3004,"&gt;0"))</f>
        <v/>
      </c>
      <c r="O170" s="15" t="str">
        <f aca="false">IF(N(M170)=0,"",_xlfn.MAXIFS(ENSAYOS!$G$5:$G$3004,ENSAYOS!$C$5:$C$3004,F170,ENSAYOS!$Q$5:$Q$3004,"&gt;0"))</f>
        <v/>
      </c>
      <c r="P170" s="16" t="str">
        <f aca="false">IF(N(M170)=0,"",AVERAGEIFS(ENSAYOS!$Q$5:$Q$3004,ENSAYOS!$C$5:$C$3004,F170,ENSAYOS!$Q$5:$Q$3004,"&gt;0"))</f>
        <v/>
      </c>
      <c r="Q170" s="16" t="str">
        <f aca="false">IF(N(M170)=0,"",_xlfn.MINIFS(ENSAYOS!$Q$5:$Q$3004,ENSAYOS!$C$5:$C$3004,F170,ENSAYOS!$Q$5:$Q$3004,"&gt;0"))</f>
        <v/>
      </c>
      <c r="R170" s="16" t="str">
        <f aca="false">IF(N(M170)=0,"",_xlfn.MAXIFS(ENSAYOS!$Q$5:$Q$3004,ENSAYOS!$C$5:$C$3004,F170,ENSAYOS!$Q$5:$Q$3004,"&gt;0"))</f>
        <v/>
      </c>
      <c r="S170" s="16" t="str">
        <f aca="false">IF(N(M170)&lt;2,"",SQRT(MAX(0,(SUMIFS(ENSAYOS!$X$5:$X$3004,ENSAYOS!$C$5:$C$3004,F170,ENSAYOS!$Q$5:$Q$3004,"&gt;0")-M170*P170^2)/(M170-1))))</f>
        <v/>
      </c>
      <c r="T170" s="17" t="str">
        <f aca="false">IF(S170="","",S170/P170)</f>
        <v/>
      </c>
      <c r="U170" s="16" t="str">
        <f aca="false">IF(N(M170)=0,"",IF(N170&gt;=CONFIG!$B$27,"",AVERAGEIFS(ENSAYOS!$Q$5:$Q$3004,ENSAYOS!$C$5:$C$3004,F170,ENSAYOS!$Q$5:$Q$3004,"&gt;0",ENSAYOS!$G$5:$G$3004,N170)))</f>
        <v/>
      </c>
      <c r="V170" s="16" t="str">
        <f aca="false">IF(N(M170)=0,"",IF(COUNTIFS(ENSAYOS!$C$5:$C$3004,F170,ENSAYOS!$Q$5:$Q$3004,"&gt;0",ENSAYOS!$G$5:$G$3004,"&gt;="&amp;CONFIG!$B$27)=0,"",AVERAGEIFS(ENSAYOS!$Q$5:$Q$3004,ENSAYOS!$C$5:$C$3004,F170,ENSAYOS!$Q$5:$Q$3004,"&gt;0",ENSAYOS!$G$5:$G$3004,"&gt;="&amp;CONFIG!$B$27)))</f>
        <v/>
      </c>
      <c r="W170" s="18" t="str">
        <f aca="false">IF(AND(U170&lt;&gt;"",V170&lt;&gt;""),U170/V170,"")</f>
        <v/>
      </c>
      <c r="X170" s="18" t="str">
        <f aca="false">IF(U170="","",INDEX('CURVA EDAD'!$E$5:$E$32,MIN(28,MAX(1,N170))))</f>
        <v/>
      </c>
      <c r="Y170" s="16" t="str">
        <f aca="false">IF(V170&lt;&gt;"",V170,IF(U170="","",U170/X170))</f>
        <v/>
      </c>
      <c r="Z170" s="16" t="str">
        <f aca="false">IF(V170&lt;&gt;"",_xlfn.MINIFS(ENSAYOS!$Q$5:$Q$3004,ENSAYOS!$C$5:$C$3004,F170,ENSAYOS!$Q$5:$Q$3004,"&gt;0",ENSAYOS!$G$5:$G$3004,"&gt;="&amp;CONFIG!$B$27),IF(U170="","",_xlfn.MINIFS(ENSAYOS!$Q$5:$Q$3004,ENSAYOS!$C$5:$C$3004,F170,ENSAYOS!$Q$5:$Q$3004,"&gt;0",ENSAYOS!$G$5:$G$3004,N170)/X170))</f>
        <v/>
      </c>
      <c r="AA170" s="16" t="str">
        <f aca="false">IF(D170="","",IFERROR(1/(1/INDEX(CONFIG!$J$5:$J$14,MATCH(D170,CONFIG!$D$5:$D$14,0))),""))</f>
        <v/>
      </c>
      <c r="AB170" s="16" t="str">
        <f aca="false">IF(D170="","",IFERROR(1/(1/INDEX(CONFIG!$K$5:$K$14,MATCH(D170,CONFIG!$D$5:$D$14,0))),""))</f>
        <v/>
      </c>
      <c r="AC170" s="19" t="str">
        <f aca="false">IF(N(M170)=0,"",IF(AA170="","Sin spec",IF(AND(Y170&gt;=AA170,OR(AB170="",Z170&gt;=AB170)),"CUMPLE","NO CUMPLE")&amp;IF(V170=""," (est.)","")))</f>
        <v/>
      </c>
      <c r="AD170" s="20" t="str">
        <f aca="false">IF(F170="","",IF(COUNTIFS(ABSORCION!$C$5:$C$1004,F170,ABSORCION!$I$5:$I$1004,"&gt;0")=0,"",AVERAGEIFS(ABSORCION!$I$5:$I$1004,ABSORCION!$C$5:$C$1004,F170,ABSORCION!$I$5:$I$1004,"&gt;0")))</f>
        <v/>
      </c>
      <c r="AE170" s="20" t="str">
        <f aca="false">IF(F170="","",IF(COUNTIFS(ABSORCION!$C$5:$C$1004,F170,ABSORCION!$I$5:$I$1004,"&gt;0")=0,"",AVERAGEIFS(ABSORCION!$K$5:$K$1004,ABSORCION!$C$5:$C$1004,F170,ABSORCION!$I$5:$I$1004,"&gt;0")))</f>
        <v/>
      </c>
      <c r="AF170" s="20" t="str">
        <f aca="false">IF(AE170="","",IF(AE170&gt;=CONFIG!$E$21,CONFIG!$F$21,IF(AE170&gt;=CONFIG!$E$20,CONFIG!$F$20,CONFIG!$F$19)))</f>
        <v/>
      </c>
      <c r="AG170" s="21" t="str">
        <f aca="false">IF(F170="","",TRIM(IF(N(M170)=0,"Sin ensayos. ","")&amp;IF(AND(N(M170)&gt;0,N(M170)&lt;CONFIG!$B$26),"Menos de "&amp;CONFIG!$B$26&amp;" probetas. ","")&amp;IF(N(T170)&gt;CONFIG!$B$25,"CV alto. ","")&amp;IF(AND(N(AD170)&gt;0,N(AD170)&gt;N(AF170)),"Absorción alta. ","")))</f>
        <v/>
      </c>
      <c r="AH170" s="22" t="str">
        <f aca="false">IF(AND(N(M170)&gt;0,OR(CONTROL!$C$4="TODAS",C170=CONTROL!$C$4),D170=CONTROL!$C$5),MAX($AH$4:AH169)+1,"")</f>
        <v/>
      </c>
      <c r="AI170" s="22" t="str">
        <f aca="false">IF(AH170="","",P170^2)</f>
        <v/>
      </c>
    </row>
    <row r="171" customFormat="false" ht="15" hidden="false" customHeight="false" outlineLevel="0" collapsed="false">
      <c r="A171" s="11" t="str">
        <f aca="false">IF(B171="","",ROW()-4)</f>
        <v/>
      </c>
      <c r="B171" s="12"/>
      <c r="C171" s="13"/>
      <c r="D171" s="13"/>
      <c r="E171" s="13"/>
      <c r="F171" s="14" t="str">
        <f aca="false">IF(OR(B171="",C171="",D171=""),"",IFERROR(INDEX(CONFIG!$E$5:$E$14,MATCH(D171,CONFIG!$D$5:$D$14,0)),"?")&amp;RIGHT("0"&amp;DAY(B171),2)&amp;RIGHT("0"&amp;MONTH(B171),2)&amp;RIGHT(YEAR(B171),2)&amp;C171&amp;IF(E171="","","-"&amp;E171))</f>
        <v/>
      </c>
      <c r="G171" s="13"/>
      <c r="H171" s="13"/>
      <c r="I171" s="13"/>
      <c r="J171" s="13"/>
      <c r="K171" s="13"/>
      <c r="L171" s="13"/>
      <c r="M171" s="11" t="str">
        <f aca="false">IF(F171="","",COUNTIFS(ENSAYOS!$C$5:$C$3004,F171,ENSAYOS!$Q$5:$Q$3004,"&gt;0"))</f>
        <v/>
      </c>
      <c r="N171" s="15" t="str">
        <f aca="false">IF(N(M171)=0,"",_xlfn.MINIFS(ENSAYOS!$G$5:$G$3004,ENSAYOS!$C$5:$C$3004,F171,ENSAYOS!$Q$5:$Q$3004,"&gt;0"))</f>
        <v/>
      </c>
      <c r="O171" s="15" t="str">
        <f aca="false">IF(N(M171)=0,"",_xlfn.MAXIFS(ENSAYOS!$G$5:$G$3004,ENSAYOS!$C$5:$C$3004,F171,ENSAYOS!$Q$5:$Q$3004,"&gt;0"))</f>
        <v/>
      </c>
      <c r="P171" s="16" t="str">
        <f aca="false">IF(N(M171)=0,"",AVERAGEIFS(ENSAYOS!$Q$5:$Q$3004,ENSAYOS!$C$5:$C$3004,F171,ENSAYOS!$Q$5:$Q$3004,"&gt;0"))</f>
        <v/>
      </c>
      <c r="Q171" s="16" t="str">
        <f aca="false">IF(N(M171)=0,"",_xlfn.MINIFS(ENSAYOS!$Q$5:$Q$3004,ENSAYOS!$C$5:$C$3004,F171,ENSAYOS!$Q$5:$Q$3004,"&gt;0"))</f>
        <v/>
      </c>
      <c r="R171" s="16" t="str">
        <f aca="false">IF(N(M171)=0,"",_xlfn.MAXIFS(ENSAYOS!$Q$5:$Q$3004,ENSAYOS!$C$5:$C$3004,F171,ENSAYOS!$Q$5:$Q$3004,"&gt;0"))</f>
        <v/>
      </c>
      <c r="S171" s="16" t="str">
        <f aca="false">IF(N(M171)&lt;2,"",SQRT(MAX(0,(SUMIFS(ENSAYOS!$X$5:$X$3004,ENSAYOS!$C$5:$C$3004,F171,ENSAYOS!$Q$5:$Q$3004,"&gt;0")-M171*P171^2)/(M171-1))))</f>
        <v/>
      </c>
      <c r="T171" s="17" t="str">
        <f aca="false">IF(S171="","",S171/P171)</f>
        <v/>
      </c>
      <c r="U171" s="16" t="str">
        <f aca="false">IF(N(M171)=0,"",IF(N171&gt;=CONFIG!$B$27,"",AVERAGEIFS(ENSAYOS!$Q$5:$Q$3004,ENSAYOS!$C$5:$C$3004,F171,ENSAYOS!$Q$5:$Q$3004,"&gt;0",ENSAYOS!$G$5:$G$3004,N171)))</f>
        <v/>
      </c>
      <c r="V171" s="16" t="str">
        <f aca="false">IF(N(M171)=0,"",IF(COUNTIFS(ENSAYOS!$C$5:$C$3004,F171,ENSAYOS!$Q$5:$Q$3004,"&gt;0",ENSAYOS!$G$5:$G$3004,"&gt;="&amp;CONFIG!$B$27)=0,"",AVERAGEIFS(ENSAYOS!$Q$5:$Q$3004,ENSAYOS!$C$5:$C$3004,F171,ENSAYOS!$Q$5:$Q$3004,"&gt;0",ENSAYOS!$G$5:$G$3004,"&gt;="&amp;CONFIG!$B$27)))</f>
        <v/>
      </c>
      <c r="W171" s="18" t="str">
        <f aca="false">IF(AND(U171&lt;&gt;"",V171&lt;&gt;""),U171/V171,"")</f>
        <v/>
      </c>
      <c r="X171" s="18" t="str">
        <f aca="false">IF(U171="","",INDEX('CURVA EDAD'!$E$5:$E$32,MIN(28,MAX(1,N171))))</f>
        <v/>
      </c>
      <c r="Y171" s="16" t="str">
        <f aca="false">IF(V171&lt;&gt;"",V171,IF(U171="","",U171/X171))</f>
        <v/>
      </c>
      <c r="Z171" s="16" t="str">
        <f aca="false">IF(V171&lt;&gt;"",_xlfn.MINIFS(ENSAYOS!$Q$5:$Q$3004,ENSAYOS!$C$5:$C$3004,F171,ENSAYOS!$Q$5:$Q$3004,"&gt;0",ENSAYOS!$G$5:$G$3004,"&gt;="&amp;CONFIG!$B$27),IF(U171="","",_xlfn.MINIFS(ENSAYOS!$Q$5:$Q$3004,ENSAYOS!$C$5:$C$3004,F171,ENSAYOS!$Q$5:$Q$3004,"&gt;0",ENSAYOS!$G$5:$G$3004,N171)/X171))</f>
        <v/>
      </c>
      <c r="AA171" s="16" t="str">
        <f aca="false">IF(D171="","",IFERROR(1/(1/INDEX(CONFIG!$J$5:$J$14,MATCH(D171,CONFIG!$D$5:$D$14,0))),""))</f>
        <v/>
      </c>
      <c r="AB171" s="16" t="str">
        <f aca="false">IF(D171="","",IFERROR(1/(1/INDEX(CONFIG!$K$5:$K$14,MATCH(D171,CONFIG!$D$5:$D$14,0))),""))</f>
        <v/>
      </c>
      <c r="AC171" s="19" t="str">
        <f aca="false">IF(N(M171)=0,"",IF(AA171="","Sin spec",IF(AND(Y171&gt;=AA171,OR(AB171="",Z171&gt;=AB171)),"CUMPLE","NO CUMPLE")&amp;IF(V171=""," (est.)","")))</f>
        <v/>
      </c>
      <c r="AD171" s="20" t="str">
        <f aca="false">IF(F171="","",IF(COUNTIFS(ABSORCION!$C$5:$C$1004,F171,ABSORCION!$I$5:$I$1004,"&gt;0")=0,"",AVERAGEIFS(ABSORCION!$I$5:$I$1004,ABSORCION!$C$5:$C$1004,F171,ABSORCION!$I$5:$I$1004,"&gt;0")))</f>
        <v/>
      </c>
      <c r="AE171" s="20" t="str">
        <f aca="false">IF(F171="","",IF(COUNTIFS(ABSORCION!$C$5:$C$1004,F171,ABSORCION!$I$5:$I$1004,"&gt;0")=0,"",AVERAGEIFS(ABSORCION!$K$5:$K$1004,ABSORCION!$C$5:$C$1004,F171,ABSORCION!$I$5:$I$1004,"&gt;0")))</f>
        <v/>
      </c>
      <c r="AF171" s="20" t="str">
        <f aca="false">IF(AE171="","",IF(AE171&gt;=CONFIG!$E$21,CONFIG!$F$21,IF(AE171&gt;=CONFIG!$E$20,CONFIG!$F$20,CONFIG!$F$19)))</f>
        <v/>
      </c>
      <c r="AG171" s="21" t="str">
        <f aca="false">IF(F171="","",TRIM(IF(N(M171)=0,"Sin ensayos. ","")&amp;IF(AND(N(M171)&gt;0,N(M171)&lt;CONFIG!$B$26),"Menos de "&amp;CONFIG!$B$26&amp;" probetas. ","")&amp;IF(N(T171)&gt;CONFIG!$B$25,"CV alto. ","")&amp;IF(AND(N(AD171)&gt;0,N(AD171)&gt;N(AF171)),"Absorción alta. ","")))</f>
        <v/>
      </c>
      <c r="AH171" s="22" t="str">
        <f aca="false">IF(AND(N(M171)&gt;0,OR(CONTROL!$C$4="TODAS",C171=CONTROL!$C$4),D171=CONTROL!$C$5),MAX($AH$4:AH170)+1,"")</f>
        <v/>
      </c>
      <c r="AI171" s="22" t="str">
        <f aca="false">IF(AH171="","",P171^2)</f>
        <v/>
      </c>
    </row>
    <row r="172" customFormat="false" ht="15" hidden="false" customHeight="false" outlineLevel="0" collapsed="false">
      <c r="A172" s="11" t="str">
        <f aca="false">IF(B172="","",ROW()-4)</f>
        <v/>
      </c>
      <c r="B172" s="12"/>
      <c r="C172" s="13"/>
      <c r="D172" s="13"/>
      <c r="E172" s="13"/>
      <c r="F172" s="14" t="str">
        <f aca="false">IF(OR(B172="",C172="",D172=""),"",IFERROR(INDEX(CONFIG!$E$5:$E$14,MATCH(D172,CONFIG!$D$5:$D$14,0)),"?")&amp;RIGHT("0"&amp;DAY(B172),2)&amp;RIGHT("0"&amp;MONTH(B172),2)&amp;RIGHT(YEAR(B172),2)&amp;C172&amp;IF(E172="","","-"&amp;E172))</f>
        <v/>
      </c>
      <c r="G172" s="13"/>
      <c r="H172" s="13"/>
      <c r="I172" s="13"/>
      <c r="J172" s="13"/>
      <c r="K172" s="13"/>
      <c r="L172" s="13"/>
      <c r="M172" s="11" t="str">
        <f aca="false">IF(F172="","",COUNTIFS(ENSAYOS!$C$5:$C$3004,F172,ENSAYOS!$Q$5:$Q$3004,"&gt;0"))</f>
        <v/>
      </c>
      <c r="N172" s="15" t="str">
        <f aca="false">IF(N(M172)=0,"",_xlfn.MINIFS(ENSAYOS!$G$5:$G$3004,ENSAYOS!$C$5:$C$3004,F172,ENSAYOS!$Q$5:$Q$3004,"&gt;0"))</f>
        <v/>
      </c>
      <c r="O172" s="15" t="str">
        <f aca="false">IF(N(M172)=0,"",_xlfn.MAXIFS(ENSAYOS!$G$5:$G$3004,ENSAYOS!$C$5:$C$3004,F172,ENSAYOS!$Q$5:$Q$3004,"&gt;0"))</f>
        <v/>
      </c>
      <c r="P172" s="16" t="str">
        <f aca="false">IF(N(M172)=0,"",AVERAGEIFS(ENSAYOS!$Q$5:$Q$3004,ENSAYOS!$C$5:$C$3004,F172,ENSAYOS!$Q$5:$Q$3004,"&gt;0"))</f>
        <v/>
      </c>
      <c r="Q172" s="16" t="str">
        <f aca="false">IF(N(M172)=0,"",_xlfn.MINIFS(ENSAYOS!$Q$5:$Q$3004,ENSAYOS!$C$5:$C$3004,F172,ENSAYOS!$Q$5:$Q$3004,"&gt;0"))</f>
        <v/>
      </c>
      <c r="R172" s="16" t="str">
        <f aca="false">IF(N(M172)=0,"",_xlfn.MAXIFS(ENSAYOS!$Q$5:$Q$3004,ENSAYOS!$C$5:$C$3004,F172,ENSAYOS!$Q$5:$Q$3004,"&gt;0"))</f>
        <v/>
      </c>
      <c r="S172" s="16" t="str">
        <f aca="false">IF(N(M172)&lt;2,"",SQRT(MAX(0,(SUMIFS(ENSAYOS!$X$5:$X$3004,ENSAYOS!$C$5:$C$3004,F172,ENSAYOS!$Q$5:$Q$3004,"&gt;0")-M172*P172^2)/(M172-1))))</f>
        <v/>
      </c>
      <c r="T172" s="17" t="str">
        <f aca="false">IF(S172="","",S172/P172)</f>
        <v/>
      </c>
      <c r="U172" s="16" t="str">
        <f aca="false">IF(N(M172)=0,"",IF(N172&gt;=CONFIG!$B$27,"",AVERAGEIFS(ENSAYOS!$Q$5:$Q$3004,ENSAYOS!$C$5:$C$3004,F172,ENSAYOS!$Q$5:$Q$3004,"&gt;0",ENSAYOS!$G$5:$G$3004,N172)))</f>
        <v/>
      </c>
      <c r="V172" s="16" t="str">
        <f aca="false">IF(N(M172)=0,"",IF(COUNTIFS(ENSAYOS!$C$5:$C$3004,F172,ENSAYOS!$Q$5:$Q$3004,"&gt;0",ENSAYOS!$G$5:$G$3004,"&gt;="&amp;CONFIG!$B$27)=0,"",AVERAGEIFS(ENSAYOS!$Q$5:$Q$3004,ENSAYOS!$C$5:$C$3004,F172,ENSAYOS!$Q$5:$Q$3004,"&gt;0",ENSAYOS!$G$5:$G$3004,"&gt;="&amp;CONFIG!$B$27)))</f>
        <v/>
      </c>
      <c r="W172" s="18" t="str">
        <f aca="false">IF(AND(U172&lt;&gt;"",V172&lt;&gt;""),U172/V172,"")</f>
        <v/>
      </c>
      <c r="X172" s="18" t="str">
        <f aca="false">IF(U172="","",INDEX('CURVA EDAD'!$E$5:$E$32,MIN(28,MAX(1,N172))))</f>
        <v/>
      </c>
      <c r="Y172" s="16" t="str">
        <f aca="false">IF(V172&lt;&gt;"",V172,IF(U172="","",U172/X172))</f>
        <v/>
      </c>
      <c r="Z172" s="16" t="str">
        <f aca="false">IF(V172&lt;&gt;"",_xlfn.MINIFS(ENSAYOS!$Q$5:$Q$3004,ENSAYOS!$C$5:$C$3004,F172,ENSAYOS!$Q$5:$Q$3004,"&gt;0",ENSAYOS!$G$5:$G$3004,"&gt;="&amp;CONFIG!$B$27),IF(U172="","",_xlfn.MINIFS(ENSAYOS!$Q$5:$Q$3004,ENSAYOS!$C$5:$C$3004,F172,ENSAYOS!$Q$5:$Q$3004,"&gt;0",ENSAYOS!$G$5:$G$3004,N172)/X172))</f>
        <v/>
      </c>
      <c r="AA172" s="16" t="str">
        <f aca="false">IF(D172="","",IFERROR(1/(1/INDEX(CONFIG!$J$5:$J$14,MATCH(D172,CONFIG!$D$5:$D$14,0))),""))</f>
        <v/>
      </c>
      <c r="AB172" s="16" t="str">
        <f aca="false">IF(D172="","",IFERROR(1/(1/INDEX(CONFIG!$K$5:$K$14,MATCH(D172,CONFIG!$D$5:$D$14,0))),""))</f>
        <v/>
      </c>
      <c r="AC172" s="19" t="str">
        <f aca="false">IF(N(M172)=0,"",IF(AA172="","Sin spec",IF(AND(Y172&gt;=AA172,OR(AB172="",Z172&gt;=AB172)),"CUMPLE","NO CUMPLE")&amp;IF(V172=""," (est.)","")))</f>
        <v/>
      </c>
      <c r="AD172" s="20" t="str">
        <f aca="false">IF(F172="","",IF(COUNTIFS(ABSORCION!$C$5:$C$1004,F172,ABSORCION!$I$5:$I$1004,"&gt;0")=0,"",AVERAGEIFS(ABSORCION!$I$5:$I$1004,ABSORCION!$C$5:$C$1004,F172,ABSORCION!$I$5:$I$1004,"&gt;0")))</f>
        <v/>
      </c>
      <c r="AE172" s="20" t="str">
        <f aca="false">IF(F172="","",IF(COUNTIFS(ABSORCION!$C$5:$C$1004,F172,ABSORCION!$I$5:$I$1004,"&gt;0")=0,"",AVERAGEIFS(ABSORCION!$K$5:$K$1004,ABSORCION!$C$5:$C$1004,F172,ABSORCION!$I$5:$I$1004,"&gt;0")))</f>
        <v/>
      </c>
      <c r="AF172" s="20" t="str">
        <f aca="false">IF(AE172="","",IF(AE172&gt;=CONFIG!$E$21,CONFIG!$F$21,IF(AE172&gt;=CONFIG!$E$20,CONFIG!$F$20,CONFIG!$F$19)))</f>
        <v/>
      </c>
      <c r="AG172" s="21" t="str">
        <f aca="false">IF(F172="","",TRIM(IF(N(M172)=0,"Sin ensayos. ","")&amp;IF(AND(N(M172)&gt;0,N(M172)&lt;CONFIG!$B$26),"Menos de "&amp;CONFIG!$B$26&amp;" probetas. ","")&amp;IF(N(T172)&gt;CONFIG!$B$25,"CV alto. ","")&amp;IF(AND(N(AD172)&gt;0,N(AD172)&gt;N(AF172)),"Absorción alta. ","")))</f>
        <v/>
      </c>
      <c r="AH172" s="22" t="str">
        <f aca="false">IF(AND(N(M172)&gt;0,OR(CONTROL!$C$4="TODAS",C172=CONTROL!$C$4),D172=CONTROL!$C$5),MAX($AH$4:AH171)+1,"")</f>
        <v/>
      </c>
      <c r="AI172" s="22" t="str">
        <f aca="false">IF(AH172="","",P172^2)</f>
        <v/>
      </c>
    </row>
    <row r="173" customFormat="false" ht="15" hidden="false" customHeight="false" outlineLevel="0" collapsed="false">
      <c r="A173" s="11" t="str">
        <f aca="false">IF(B173="","",ROW()-4)</f>
        <v/>
      </c>
      <c r="B173" s="12"/>
      <c r="C173" s="13"/>
      <c r="D173" s="13"/>
      <c r="E173" s="13"/>
      <c r="F173" s="14" t="str">
        <f aca="false">IF(OR(B173="",C173="",D173=""),"",IFERROR(INDEX(CONFIG!$E$5:$E$14,MATCH(D173,CONFIG!$D$5:$D$14,0)),"?")&amp;RIGHT("0"&amp;DAY(B173),2)&amp;RIGHT("0"&amp;MONTH(B173),2)&amp;RIGHT(YEAR(B173),2)&amp;C173&amp;IF(E173="","","-"&amp;E173))</f>
        <v/>
      </c>
      <c r="G173" s="13"/>
      <c r="H173" s="13"/>
      <c r="I173" s="13"/>
      <c r="J173" s="13"/>
      <c r="K173" s="13"/>
      <c r="L173" s="13"/>
      <c r="M173" s="11" t="str">
        <f aca="false">IF(F173="","",COUNTIFS(ENSAYOS!$C$5:$C$3004,F173,ENSAYOS!$Q$5:$Q$3004,"&gt;0"))</f>
        <v/>
      </c>
      <c r="N173" s="15" t="str">
        <f aca="false">IF(N(M173)=0,"",_xlfn.MINIFS(ENSAYOS!$G$5:$G$3004,ENSAYOS!$C$5:$C$3004,F173,ENSAYOS!$Q$5:$Q$3004,"&gt;0"))</f>
        <v/>
      </c>
      <c r="O173" s="15" t="str">
        <f aca="false">IF(N(M173)=0,"",_xlfn.MAXIFS(ENSAYOS!$G$5:$G$3004,ENSAYOS!$C$5:$C$3004,F173,ENSAYOS!$Q$5:$Q$3004,"&gt;0"))</f>
        <v/>
      </c>
      <c r="P173" s="16" t="str">
        <f aca="false">IF(N(M173)=0,"",AVERAGEIFS(ENSAYOS!$Q$5:$Q$3004,ENSAYOS!$C$5:$C$3004,F173,ENSAYOS!$Q$5:$Q$3004,"&gt;0"))</f>
        <v/>
      </c>
      <c r="Q173" s="16" t="str">
        <f aca="false">IF(N(M173)=0,"",_xlfn.MINIFS(ENSAYOS!$Q$5:$Q$3004,ENSAYOS!$C$5:$C$3004,F173,ENSAYOS!$Q$5:$Q$3004,"&gt;0"))</f>
        <v/>
      </c>
      <c r="R173" s="16" t="str">
        <f aca="false">IF(N(M173)=0,"",_xlfn.MAXIFS(ENSAYOS!$Q$5:$Q$3004,ENSAYOS!$C$5:$C$3004,F173,ENSAYOS!$Q$5:$Q$3004,"&gt;0"))</f>
        <v/>
      </c>
      <c r="S173" s="16" t="str">
        <f aca="false">IF(N(M173)&lt;2,"",SQRT(MAX(0,(SUMIFS(ENSAYOS!$X$5:$X$3004,ENSAYOS!$C$5:$C$3004,F173,ENSAYOS!$Q$5:$Q$3004,"&gt;0")-M173*P173^2)/(M173-1))))</f>
        <v/>
      </c>
      <c r="T173" s="17" t="str">
        <f aca="false">IF(S173="","",S173/P173)</f>
        <v/>
      </c>
      <c r="U173" s="16" t="str">
        <f aca="false">IF(N(M173)=0,"",IF(N173&gt;=CONFIG!$B$27,"",AVERAGEIFS(ENSAYOS!$Q$5:$Q$3004,ENSAYOS!$C$5:$C$3004,F173,ENSAYOS!$Q$5:$Q$3004,"&gt;0",ENSAYOS!$G$5:$G$3004,N173)))</f>
        <v/>
      </c>
      <c r="V173" s="16" t="str">
        <f aca="false">IF(N(M173)=0,"",IF(COUNTIFS(ENSAYOS!$C$5:$C$3004,F173,ENSAYOS!$Q$5:$Q$3004,"&gt;0",ENSAYOS!$G$5:$G$3004,"&gt;="&amp;CONFIG!$B$27)=0,"",AVERAGEIFS(ENSAYOS!$Q$5:$Q$3004,ENSAYOS!$C$5:$C$3004,F173,ENSAYOS!$Q$5:$Q$3004,"&gt;0",ENSAYOS!$G$5:$G$3004,"&gt;="&amp;CONFIG!$B$27)))</f>
        <v/>
      </c>
      <c r="W173" s="18" t="str">
        <f aca="false">IF(AND(U173&lt;&gt;"",V173&lt;&gt;""),U173/V173,"")</f>
        <v/>
      </c>
      <c r="X173" s="18" t="str">
        <f aca="false">IF(U173="","",INDEX('CURVA EDAD'!$E$5:$E$32,MIN(28,MAX(1,N173))))</f>
        <v/>
      </c>
      <c r="Y173" s="16" t="str">
        <f aca="false">IF(V173&lt;&gt;"",V173,IF(U173="","",U173/X173))</f>
        <v/>
      </c>
      <c r="Z173" s="16" t="str">
        <f aca="false">IF(V173&lt;&gt;"",_xlfn.MINIFS(ENSAYOS!$Q$5:$Q$3004,ENSAYOS!$C$5:$C$3004,F173,ENSAYOS!$Q$5:$Q$3004,"&gt;0",ENSAYOS!$G$5:$G$3004,"&gt;="&amp;CONFIG!$B$27),IF(U173="","",_xlfn.MINIFS(ENSAYOS!$Q$5:$Q$3004,ENSAYOS!$C$5:$C$3004,F173,ENSAYOS!$Q$5:$Q$3004,"&gt;0",ENSAYOS!$G$5:$G$3004,N173)/X173))</f>
        <v/>
      </c>
      <c r="AA173" s="16" t="str">
        <f aca="false">IF(D173="","",IFERROR(1/(1/INDEX(CONFIG!$J$5:$J$14,MATCH(D173,CONFIG!$D$5:$D$14,0))),""))</f>
        <v/>
      </c>
      <c r="AB173" s="16" t="str">
        <f aca="false">IF(D173="","",IFERROR(1/(1/INDEX(CONFIG!$K$5:$K$14,MATCH(D173,CONFIG!$D$5:$D$14,0))),""))</f>
        <v/>
      </c>
      <c r="AC173" s="19" t="str">
        <f aca="false">IF(N(M173)=0,"",IF(AA173="","Sin spec",IF(AND(Y173&gt;=AA173,OR(AB173="",Z173&gt;=AB173)),"CUMPLE","NO CUMPLE")&amp;IF(V173=""," (est.)","")))</f>
        <v/>
      </c>
      <c r="AD173" s="20" t="str">
        <f aca="false">IF(F173="","",IF(COUNTIFS(ABSORCION!$C$5:$C$1004,F173,ABSORCION!$I$5:$I$1004,"&gt;0")=0,"",AVERAGEIFS(ABSORCION!$I$5:$I$1004,ABSORCION!$C$5:$C$1004,F173,ABSORCION!$I$5:$I$1004,"&gt;0")))</f>
        <v/>
      </c>
      <c r="AE173" s="20" t="str">
        <f aca="false">IF(F173="","",IF(COUNTIFS(ABSORCION!$C$5:$C$1004,F173,ABSORCION!$I$5:$I$1004,"&gt;0")=0,"",AVERAGEIFS(ABSORCION!$K$5:$K$1004,ABSORCION!$C$5:$C$1004,F173,ABSORCION!$I$5:$I$1004,"&gt;0")))</f>
        <v/>
      </c>
      <c r="AF173" s="20" t="str">
        <f aca="false">IF(AE173="","",IF(AE173&gt;=CONFIG!$E$21,CONFIG!$F$21,IF(AE173&gt;=CONFIG!$E$20,CONFIG!$F$20,CONFIG!$F$19)))</f>
        <v/>
      </c>
      <c r="AG173" s="21" t="str">
        <f aca="false">IF(F173="","",TRIM(IF(N(M173)=0,"Sin ensayos. ","")&amp;IF(AND(N(M173)&gt;0,N(M173)&lt;CONFIG!$B$26),"Menos de "&amp;CONFIG!$B$26&amp;" probetas. ","")&amp;IF(N(T173)&gt;CONFIG!$B$25,"CV alto. ","")&amp;IF(AND(N(AD173)&gt;0,N(AD173)&gt;N(AF173)),"Absorción alta. ","")))</f>
        <v/>
      </c>
      <c r="AH173" s="22" t="str">
        <f aca="false">IF(AND(N(M173)&gt;0,OR(CONTROL!$C$4="TODAS",C173=CONTROL!$C$4),D173=CONTROL!$C$5),MAX($AH$4:AH172)+1,"")</f>
        <v/>
      </c>
      <c r="AI173" s="22" t="str">
        <f aca="false">IF(AH173="","",P173^2)</f>
        <v/>
      </c>
    </row>
    <row r="174" customFormat="false" ht="15" hidden="false" customHeight="false" outlineLevel="0" collapsed="false">
      <c r="A174" s="11" t="str">
        <f aca="false">IF(B174="","",ROW()-4)</f>
        <v/>
      </c>
      <c r="B174" s="12"/>
      <c r="C174" s="13"/>
      <c r="D174" s="13"/>
      <c r="E174" s="13"/>
      <c r="F174" s="14" t="str">
        <f aca="false">IF(OR(B174="",C174="",D174=""),"",IFERROR(INDEX(CONFIG!$E$5:$E$14,MATCH(D174,CONFIG!$D$5:$D$14,0)),"?")&amp;RIGHT("0"&amp;DAY(B174),2)&amp;RIGHT("0"&amp;MONTH(B174),2)&amp;RIGHT(YEAR(B174),2)&amp;C174&amp;IF(E174="","","-"&amp;E174))</f>
        <v/>
      </c>
      <c r="G174" s="13"/>
      <c r="H174" s="13"/>
      <c r="I174" s="13"/>
      <c r="J174" s="13"/>
      <c r="K174" s="13"/>
      <c r="L174" s="13"/>
      <c r="M174" s="11" t="str">
        <f aca="false">IF(F174="","",COUNTIFS(ENSAYOS!$C$5:$C$3004,F174,ENSAYOS!$Q$5:$Q$3004,"&gt;0"))</f>
        <v/>
      </c>
      <c r="N174" s="15" t="str">
        <f aca="false">IF(N(M174)=0,"",_xlfn.MINIFS(ENSAYOS!$G$5:$G$3004,ENSAYOS!$C$5:$C$3004,F174,ENSAYOS!$Q$5:$Q$3004,"&gt;0"))</f>
        <v/>
      </c>
      <c r="O174" s="15" t="str">
        <f aca="false">IF(N(M174)=0,"",_xlfn.MAXIFS(ENSAYOS!$G$5:$G$3004,ENSAYOS!$C$5:$C$3004,F174,ENSAYOS!$Q$5:$Q$3004,"&gt;0"))</f>
        <v/>
      </c>
      <c r="P174" s="16" t="str">
        <f aca="false">IF(N(M174)=0,"",AVERAGEIFS(ENSAYOS!$Q$5:$Q$3004,ENSAYOS!$C$5:$C$3004,F174,ENSAYOS!$Q$5:$Q$3004,"&gt;0"))</f>
        <v/>
      </c>
      <c r="Q174" s="16" t="str">
        <f aca="false">IF(N(M174)=0,"",_xlfn.MINIFS(ENSAYOS!$Q$5:$Q$3004,ENSAYOS!$C$5:$C$3004,F174,ENSAYOS!$Q$5:$Q$3004,"&gt;0"))</f>
        <v/>
      </c>
      <c r="R174" s="16" t="str">
        <f aca="false">IF(N(M174)=0,"",_xlfn.MAXIFS(ENSAYOS!$Q$5:$Q$3004,ENSAYOS!$C$5:$C$3004,F174,ENSAYOS!$Q$5:$Q$3004,"&gt;0"))</f>
        <v/>
      </c>
      <c r="S174" s="16" t="str">
        <f aca="false">IF(N(M174)&lt;2,"",SQRT(MAX(0,(SUMIFS(ENSAYOS!$X$5:$X$3004,ENSAYOS!$C$5:$C$3004,F174,ENSAYOS!$Q$5:$Q$3004,"&gt;0")-M174*P174^2)/(M174-1))))</f>
        <v/>
      </c>
      <c r="T174" s="17" t="str">
        <f aca="false">IF(S174="","",S174/P174)</f>
        <v/>
      </c>
      <c r="U174" s="16" t="str">
        <f aca="false">IF(N(M174)=0,"",IF(N174&gt;=CONFIG!$B$27,"",AVERAGEIFS(ENSAYOS!$Q$5:$Q$3004,ENSAYOS!$C$5:$C$3004,F174,ENSAYOS!$Q$5:$Q$3004,"&gt;0",ENSAYOS!$G$5:$G$3004,N174)))</f>
        <v/>
      </c>
      <c r="V174" s="16" t="str">
        <f aca="false">IF(N(M174)=0,"",IF(COUNTIFS(ENSAYOS!$C$5:$C$3004,F174,ENSAYOS!$Q$5:$Q$3004,"&gt;0",ENSAYOS!$G$5:$G$3004,"&gt;="&amp;CONFIG!$B$27)=0,"",AVERAGEIFS(ENSAYOS!$Q$5:$Q$3004,ENSAYOS!$C$5:$C$3004,F174,ENSAYOS!$Q$5:$Q$3004,"&gt;0",ENSAYOS!$G$5:$G$3004,"&gt;="&amp;CONFIG!$B$27)))</f>
        <v/>
      </c>
      <c r="W174" s="18" t="str">
        <f aca="false">IF(AND(U174&lt;&gt;"",V174&lt;&gt;""),U174/V174,"")</f>
        <v/>
      </c>
      <c r="X174" s="18" t="str">
        <f aca="false">IF(U174="","",INDEX('CURVA EDAD'!$E$5:$E$32,MIN(28,MAX(1,N174))))</f>
        <v/>
      </c>
      <c r="Y174" s="16" t="str">
        <f aca="false">IF(V174&lt;&gt;"",V174,IF(U174="","",U174/X174))</f>
        <v/>
      </c>
      <c r="Z174" s="16" t="str">
        <f aca="false">IF(V174&lt;&gt;"",_xlfn.MINIFS(ENSAYOS!$Q$5:$Q$3004,ENSAYOS!$C$5:$C$3004,F174,ENSAYOS!$Q$5:$Q$3004,"&gt;0",ENSAYOS!$G$5:$G$3004,"&gt;="&amp;CONFIG!$B$27),IF(U174="","",_xlfn.MINIFS(ENSAYOS!$Q$5:$Q$3004,ENSAYOS!$C$5:$C$3004,F174,ENSAYOS!$Q$5:$Q$3004,"&gt;0",ENSAYOS!$G$5:$G$3004,N174)/X174))</f>
        <v/>
      </c>
      <c r="AA174" s="16" t="str">
        <f aca="false">IF(D174="","",IFERROR(1/(1/INDEX(CONFIG!$J$5:$J$14,MATCH(D174,CONFIG!$D$5:$D$14,0))),""))</f>
        <v/>
      </c>
      <c r="AB174" s="16" t="str">
        <f aca="false">IF(D174="","",IFERROR(1/(1/INDEX(CONFIG!$K$5:$K$14,MATCH(D174,CONFIG!$D$5:$D$14,0))),""))</f>
        <v/>
      </c>
      <c r="AC174" s="19" t="str">
        <f aca="false">IF(N(M174)=0,"",IF(AA174="","Sin spec",IF(AND(Y174&gt;=AA174,OR(AB174="",Z174&gt;=AB174)),"CUMPLE","NO CUMPLE")&amp;IF(V174=""," (est.)","")))</f>
        <v/>
      </c>
      <c r="AD174" s="20" t="str">
        <f aca="false">IF(F174="","",IF(COUNTIFS(ABSORCION!$C$5:$C$1004,F174,ABSORCION!$I$5:$I$1004,"&gt;0")=0,"",AVERAGEIFS(ABSORCION!$I$5:$I$1004,ABSORCION!$C$5:$C$1004,F174,ABSORCION!$I$5:$I$1004,"&gt;0")))</f>
        <v/>
      </c>
      <c r="AE174" s="20" t="str">
        <f aca="false">IF(F174="","",IF(COUNTIFS(ABSORCION!$C$5:$C$1004,F174,ABSORCION!$I$5:$I$1004,"&gt;0")=0,"",AVERAGEIFS(ABSORCION!$K$5:$K$1004,ABSORCION!$C$5:$C$1004,F174,ABSORCION!$I$5:$I$1004,"&gt;0")))</f>
        <v/>
      </c>
      <c r="AF174" s="20" t="str">
        <f aca="false">IF(AE174="","",IF(AE174&gt;=CONFIG!$E$21,CONFIG!$F$21,IF(AE174&gt;=CONFIG!$E$20,CONFIG!$F$20,CONFIG!$F$19)))</f>
        <v/>
      </c>
      <c r="AG174" s="21" t="str">
        <f aca="false">IF(F174="","",TRIM(IF(N(M174)=0,"Sin ensayos. ","")&amp;IF(AND(N(M174)&gt;0,N(M174)&lt;CONFIG!$B$26),"Menos de "&amp;CONFIG!$B$26&amp;" probetas. ","")&amp;IF(N(T174)&gt;CONFIG!$B$25,"CV alto. ","")&amp;IF(AND(N(AD174)&gt;0,N(AD174)&gt;N(AF174)),"Absorción alta. ","")))</f>
        <v/>
      </c>
      <c r="AH174" s="22" t="str">
        <f aca="false">IF(AND(N(M174)&gt;0,OR(CONTROL!$C$4="TODAS",C174=CONTROL!$C$4),D174=CONTROL!$C$5),MAX($AH$4:AH173)+1,"")</f>
        <v/>
      </c>
      <c r="AI174" s="22" t="str">
        <f aca="false">IF(AH174="","",P174^2)</f>
        <v/>
      </c>
    </row>
    <row r="175" customFormat="false" ht="15" hidden="false" customHeight="false" outlineLevel="0" collapsed="false">
      <c r="A175" s="11" t="str">
        <f aca="false">IF(B175="","",ROW()-4)</f>
        <v/>
      </c>
      <c r="B175" s="12"/>
      <c r="C175" s="13"/>
      <c r="D175" s="13"/>
      <c r="E175" s="13"/>
      <c r="F175" s="14" t="str">
        <f aca="false">IF(OR(B175="",C175="",D175=""),"",IFERROR(INDEX(CONFIG!$E$5:$E$14,MATCH(D175,CONFIG!$D$5:$D$14,0)),"?")&amp;RIGHT("0"&amp;DAY(B175),2)&amp;RIGHT("0"&amp;MONTH(B175),2)&amp;RIGHT(YEAR(B175),2)&amp;C175&amp;IF(E175="","","-"&amp;E175))</f>
        <v/>
      </c>
      <c r="G175" s="13"/>
      <c r="H175" s="13"/>
      <c r="I175" s="13"/>
      <c r="J175" s="13"/>
      <c r="K175" s="13"/>
      <c r="L175" s="13"/>
      <c r="M175" s="11" t="str">
        <f aca="false">IF(F175="","",COUNTIFS(ENSAYOS!$C$5:$C$3004,F175,ENSAYOS!$Q$5:$Q$3004,"&gt;0"))</f>
        <v/>
      </c>
      <c r="N175" s="15" t="str">
        <f aca="false">IF(N(M175)=0,"",_xlfn.MINIFS(ENSAYOS!$G$5:$G$3004,ENSAYOS!$C$5:$C$3004,F175,ENSAYOS!$Q$5:$Q$3004,"&gt;0"))</f>
        <v/>
      </c>
      <c r="O175" s="15" t="str">
        <f aca="false">IF(N(M175)=0,"",_xlfn.MAXIFS(ENSAYOS!$G$5:$G$3004,ENSAYOS!$C$5:$C$3004,F175,ENSAYOS!$Q$5:$Q$3004,"&gt;0"))</f>
        <v/>
      </c>
      <c r="P175" s="16" t="str">
        <f aca="false">IF(N(M175)=0,"",AVERAGEIFS(ENSAYOS!$Q$5:$Q$3004,ENSAYOS!$C$5:$C$3004,F175,ENSAYOS!$Q$5:$Q$3004,"&gt;0"))</f>
        <v/>
      </c>
      <c r="Q175" s="16" t="str">
        <f aca="false">IF(N(M175)=0,"",_xlfn.MINIFS(ENSAYOS!$Q$5:$Q$3004,ENSAYOS!$C$5:$C$3004,F175,ENSAYOS!$Q$5:$Q$3004,"&gt;0"))</f>
        <v/>
      </c>
      <c r="R175" s="16" t="str">
        <f aca="false">IF(N(M175)=0,"",_xlfn.MAXIFS(ENSAYOS!$Q$5:$Q$3004,ENSAYOS!$C$5:$C$3004,F175,ENSAYOS!$Q$5:$Q$3004,"&gt;0"))</f>
        <v/>
      </c>
      <c r="S175" s="16" t="str">
        <f aca="false">IF(N(M175)&lt;2,"",SQRT(MAX(0,(SUMIFS(ENSAYOS!$X$5:$X$3004,ENSAYOS!$C$5:$C$3004,F175,ENSAYOS!$Q$5:$Q$3004,"&gt;0")-M175*P175^2)/(M175-1))))</f>
        <v/>
      </c>
      <c r="T175" s="17" t="str">
        <f aca="false">IF(S175="","",S175/P175)</f>
        <v/>
      </c>
      <c r="U175" s="16" t="str">
        <f aca="false">IF(N(M175)=0,"",IF(N175&gt;=CONFIG!$B$27,"",AVERAGEIFS(ENSAYOS!$Q$5:$Q$3004,ENSAYOS!$C$5:$C$3004,F175,ENSAYOS!$Q$5:$Q$3004,"&gt;0",ENSAYOS!$G$5:$G$3004,N175)))</f>
        <v/>
      </c>
      <c r="V175" s="16" t="str">
        <f aca="false">IF(N(M175)=0,"",IF(COUNTIFS(ENSAYOS!$C$5:$C$3004,F175,ENSAYOS!$Q$5:$Q$3004,"&gt;0",ENSAYOS!$G$5:$G$3004,"&gt;="&amp;CONFIG!$B$27)=0,"",AVERAGEIFS(ENSAYOS!$Q$5:$Q$3004,ENSAYOS!$C$5:$C$3004,F175,ENSAYOS!$Q$5:$Q$3004,"&gt;0",ENSAYOS!$G$5:$G$3004,"&gt;="&amp;CONFIG!$B$27)))</f>
        <v/>
      </c>
      <c r="W175" s="18" t="str">
        <f aca="false">IF(AND(U175&lt;&gt;"",V175&lt;&gt;""),U175/V175,"")</f>
        <v/>
      </c>
      <c r="X175" s="18" t="str">
        <f aca="false">IF(U175="","",INDEX('CURVA EDAD'!$E$5:$E$32,MIN(28,MAX(1,N175))))</f>
        <v/>
      </c>
      <c r="Y175" s="16" t="str">
        <f aca="false">IF(V175&lt;&gt;"",V175,IF(U175="","",U175/X175))</f>
        <v/>
      </c>
      <c r="Z175" s="16" t="str">
        <f aca="false">IF(V175&lt;&gt;"",_xlfn.MINIFS(ENSAYOS!$Q$5:$Q$3004,ENSAYOS!$C$5:$C$3004,F175,ENSAYOS!$Q$5:$Q$3004,"&gt;0",ENSAYOS!$G$5:$G$3004,"&gt;="&amp;CONFIG!$B$27),IF(U175="","",_xlfn.MINIFS(ENSAYOS!$Q$5:$Q$3004,ENSAYOS!$C$5:$C$3004,F175,ENSAYOS!$Q$5:$Q$3004,"&gt;0",ENSAYOS!$G$5:$G$3004,N175)/X175))</f>
        <v/>
      </c>
      <c r="AA175" s="16" t="str">
        <f aca="false">IF(D175="","",IFERROR(1/(1/INDEX(CONFIG!$J$5:$J$14,MATCH(D175,CONFIG!$D$5:$D$14,0))),""))</f>
        <v/>
      </c>
      <c r="AB175" s="16" t="str">
        <f aca="false">IF(D175="","",IFERROR(1/(1/INDEX(CONFIG!$K$5:$K$14,MATCH(D175,CONFIG!$D$5:$D$14,0))),""))</f>
        <v/>
      </c>
      <c r="AC175" s="19" t="str">
        <f aca="false">IF(N(M175)=0,"",IF(AA175="","Sin spec",IF(AND(Y175&gt;=AA175,OR(AB175="",Z175&gt;=AB175)),"CUMPLE","NO CUMPLE")&amp;IF(V175=""," (est.)","")))</f>
        <v/>
      </c>
      <c r="AD175" s="20" t="str">
        <f aca="false">IF(F175="","",IF(COUNTIFS(ABSORCION!$C$5:$C$1004,F175,ABSORCION!$I$5:$I$1004,"&gt;0")=0,"",AVERAGEIFS(ABSORCION!$I$5:$I$1004,ABSORCION!$C$5:$C$1004,F175,ABSORCION!$I$5:$I$1004,"&gt;0")))</f>
        <v/>
      </c>
      <c r="AE175" s="20" t="str">
        <f aca="false">IF(F175="","",IF(COUNTIFS(ABSORCION!$C$5:$C$1004,F175,ABSORCION!$I$5:$I$1004,"&gt;0")=0,"",AVERAGEIFS(ABSORCION!$K$5:$K$1004,ABSORCION!$C$5:$C$1004,F175,ABSORCION!$I$5:$I$1004,"&gt;0")))</f>
        <v/>
      </c>
      <c r="AF175" s="20" t="str">
        <f aca="false">IF(AE175="","",IF(AE175&gt;=CONFIG!$E$21,CONFIG!$F$21,IF(AE175&gt;=CONFIG!$E$20,CONFIG!$F$20,CONFIG!$F$19)))</f>
        <v/>
      </c>
      <c r="AG175" s="21" t="str">
        <f aca="false">IF(F175="","",TRIM(IF(N(M175)=0,"Sin ensayos. ","")&amp;IF(AND(N(M175)&gt;0,N(M175)&lt;CONFIG!$B$26),"Menos de "&amp;CONFIG!$B$26&amp;" probetas. ","")&amp;IF(N(T175)&gt;CONFIG!$B$25,"CV alto. ","")&amp;IF(AND(N(AD175)&gt;0,N(AD175)&gt;N(AF175)),"Absorción alta. ","")))</f>
        <v/>
      </c>
      <c r="AH175" s="22" t="str">
        <f aca="false">IF(AND(N(M175)&gt;0,OR(CONTROL!$C$4="TODAS",C175=CONTROL!$C$4),D175=CONTROL!$C$5),MAX($AH$4:AH174)+1,"")</f>
        <v/>
      </c>
      <c r="AI175" s="22" t="str">
        <f aca="false">IF(AH175="","",P175^2)</f>
        <v/>
      </c>
    </row>
    <row r="176" customFormat="false" ht="15" hidden="false" customHeight="false" outlineLevel="0" collapsed="false">
      <c r="A176" s="11" t="str">
        <f aca="false">IF(B176="","",ROW()-4)</f>
        <v/>
      </c>
      <c r="B176" s="12"/>
      <c r="C176" s="13"/>
      <c r="D176" s="13"/>
      <c r="E176" s="13"/>
      <c r="F176" s="14" t="str">
        <f aca="false">IF(OR(B176="",C176="",D176=""),"",IFERROR(INDEX(CONFIG!$E$5:$E$14,MATCH(D176,CONFIG!$D$5:$D$14,0)),"?")&amp;RIGHT("0"&amp;DAY(B176),2)&amp;RIGHT("0"&amp;MONTH(B176),2)&amp;RIGHT(YEAR(B176),2)&amp;C176&amp;IF(E176="","","-"&amp;E176))</f>
        <v/>
      </c>
      <c r="G176" s="13"/>
      <c r="H176" s="13"/>
      <c r="I176" s="13"/>
      <c r="J176" s="13"/>
      <c r="K176" s="13"/>
      <c r="L176" s="13"/>
      <c r="M176" s="11" t="str">
        <f aca="false">IF(F176="","",COUNTIFS(ENSAYOS!$C$5:$C$3004,F176,ENSAYOS!$Q$5:$Q$3004,"&gt;0"))</f>
        <v/>
      </c>
      <c r="N176" s="15" t="str">
        <f aca="false">IF(N(M176)=0,"",_xlfn.MINIFS(ENSAYOS!$G$5:$G$3004,ENSAYOS!$C$5:$C$3004,F176,ENSAYOS!$Q$5:$Q$3004,"&gt;0"))</f>
        <v/>
      </c>
      <c r="O176" s="15" t="str">
        <f aca="false">IF(N(M176)=0,"",_xlfn.MAXIFS(ENSAYOS!$G$5:$G$3004,ENSAYOS!$C$5:$C$3004,F176,ENSAYOS!$Q$5:$Q$3004,"&gt;0"))</f>
        <v/>
      </c>
      <c r="P176" s="16" t="str">
        <f aca="false">IF(N(M176)=0,"",AVERAGEIFS(ENSAYOS!$Q$5:$Q$3004,ENSAYOS!$C$5:$C$3004,F176,ENSAYOS!$Q$5:$Q$3004,"&gt;0"))</f>
        <v/>
      </c>
      <c r="Q176" s="16" t="str">
        <f aca="false">IF(N(M176)=0,"",_xlfn.MINIFS(ENSAYOS!$Q$5:$Q$3004,ENSAYOS!$C$5:$C$3004,F176,ENSAYOS!$Q$5:$Q$3004,"&gt;0"))</f>
        <v/>
      </c>
      <c r="R176" s="16" t="str">
        <f aca="false">IF(N(M176)=0,"",_xlfn.MAXIFS(ENSAYOS!$Q$5:$Q$3004,ENSAYOS!$C$5:$C$3004,F176,ENSAYOS!$Q$5:$Q$3004,"&gt;0"))</f>
        <v/>
      </c>
      <c r="S176" s="16" t="str">
        <f aca="false">IF(N(M176)&lt;2,"",SQRT(MAX(0,(SUMIFS(ENSAYOS!$X$5:$X$3004,ENSAYOS!$C$5:$C$3004,F176,ENSAYOS!$Q$5:$Q$3004,"&gt;0")-M176*P176^2)/(M176-1))))</f>
        <v/>
      </c>
      <c r="T176" s="17" t="str">
        <f aca="false">IF(S176="","",S176/P176)</f>
        <v/>
      </c>
      <c r="U176" s="16" t="str">
        <f aca="false">IF(N(M176)=0,"",IF(N176&gt;=CONFIG!$B$27,"",AVERAGEIFS(ENSAYOS!$Q$5:$Q$3004,ENSAYOS!$C$5:$C$3004,F176,ENSAYOS!$Q$5:$Q$3004,"&gt;0",ENSAYOS!$G$5:$G$3004,N176)))</f>
        <v/>
      </c>
      <c r="V176" s="16" t="str">
        <f aca="false">IF(N(M176)=0,"",IF(COUNTIFS(ENSAYOS!$C$5:$C$3004,F176,ENSAYOS!$Q$5:$Q$3004,"&gt;0",ENSAYOS!$G$5:$G$3004,"&gt;="&amp;CONFIG!$B$27)=0,"",AVERAGEIFS(ENSAYOS!$Q$5:$Q$3004,ENSAYOS!$C$5:$C$3004,F176,ENSAYOS!$Q$5:$Q$3004,"&gt;0",ENSAYOS!$G$5:$G$3004,"&gt;="&amp;CONFIG!$B$27)))</f>
        <v/>
      </c>
      <c r="W176" s="18" t="str">
        <f aca="false">IF(AND(U176&lt;&gt;"",V176&lt;&gt;""),U176/V176,"")</f>
        <v/>
      </c>
      <c r="X176" s="18" t="str">
        <f aca="false">IF(U176="","",INDEX('CURVA EDAD'!$E$5:$E$32,MIN(28,MAX(1,N176))))</f>
        <v/>
      </c>
      <c r="Y176" s="16" t="str">
        <f aca="false">IF(V176&lt;&gt;"",V176,IF(U176="","",U176/X176))</f>
        <v/>
      </c>
      <c r="Z176" s="16" t="str">
        <f aca="false">IF(V176&lt;&gt;"",_xlfn.MINIFS(ENSAYOS!$Q$5:$Q$3004,ENSAYOS!$C$5:$C$3004,F176,ENSAYOS!$Q$5:$Q$3004,"&gt;0",ENSAYOS!$G$5:$G$3004,"&gt;="&amp;CONFIG!$B$27),IF(U176="","",_xlfn.MINIFS(ENSAYOS!$Q$5:$Q$3004,ENSAYOS!$C$5:$C$3004,F176,ENSAYOS!$Q$5:$Q$3004,"&gt;0",ENSAYOS!$G$5:$G$3004,N176)/X176))</f>
        <v/>
      </c>
      <c r="AA176" s="16" t="str">
        <f aca="false">IF(D176="","",IFERROR(1/(1/INDEX(CONFIG!$J$5:$J$14,MATCH(D176,CONFIG!$D$5:$D$14,0))),""))</f>
        <v/>
      </c>
      <c r="AB176" s="16" t="str">
        <f aca="false">IF(D176="","",IFERROR(1/(1/INDEX(CONFIG!$K$5:$K$14,MATCH(D176,CONFIG!$D$5:$D$14,0))),""))</f>
        <v/>
      </c>
      <c r="AC176" s="19" t="str">
        <f aca="false">IF(N(M176)=0,"",IF(AA176="","Sin spec",IF(AND(Y176&gt;=AA176,OR(AB176="",Z176&gt;=AB176)),"CUMPLE","NO CUMPLE")&amp;IF(V176=""," (est.)","")))</f>
        <v/>
      </c>
      <c r="AD176" s="20" t="str">
        <f aca="false">IF(F176="","",IF(COUNTIFS(ABSORCION!$C$5:$C$1004,F176,ABSORCION!$I$5:$I$1004,"&gt;0")=0,"",AVERAGEIFS(ABSORCION!$I$5:$I$1004,ABSORCION!$C$5:$C$1004,F176,ABSORCION!$I$5:$I$1004,"&gt;0")))</f>
        <v/>
      </c>
      <c r="AE176" s="20" t="str">
        <f aca="false">IF(F176="","",IF(COUNTIFS(ABSORCION!$C$5:$C$1004,F176,ABSORCION!$I$5:$I$1004,"&gt;0")=0,"",AVERAGEIFS(ABSORCION!$K$5:$K$1004,ABSORCION!$C$5:$C$1004,F176,ABSORCION!$I$5:$I$1004,"&gt;0")))</f>
        <v/>
      </c>
      <c r="AF176" s="20" t="str">
        <f aca="false">IF(AE176="","",IF(AE176&gt;=CONFIG!$E$21,CONFIG!$F$21,IF(AE176&gt;=CONFIG!$E$20,CONFIG!$F$20,CONFIG!$F$19)))</f>
        <v/>
      </c>
      <c r="AG176" s="21" t="str">
        <f aca="false">IF(F176="","",TRIM(IF(N(M176)=0,"Sin ensayos. ","")&amp;IF(AND(N(M176)&gt;0,N(M176)&lt;CONFIG!$B$26),"Menos de "&amp;CONFIG!$B$26&amp;" probetas. ","")&amp;IF(N(T176)&gt;CONFIG!$B$25,"CV alto. ","")&amp;IF(AND(N(AD176)&gt;0,N(AD176)&gt;N(AF176)),"Absorción alta. ","")))</f>
        <v/>
      </c>
      <c r="AH176" s="22" t="str">
        <f aca="false">IF(AND(N(M176)&gt;0,OR(CONTROL!$C$4="TODAS",C176=CONTROL!$C$4),D176=CONTROL!$C$5),MAX($AH$4:AH175)+1,"")</f>
        <v/>
      </c>
      <c r="AI176" s="22" t="str">
        <f aca="false">IF(AH176="","",P176^2)</f>
        <v/>
      </c>
    </row>
    <row r="177" customFormat="false" ht="15" hidden="false" customHeight="false" outlineLevel="0" collapsed="false">
      <c r="A177" s="11" t="str">
        <f aca="false">IF(B177="","",ROW()-4)</f>
        <v/>
      </c>
      <c r="B177" s="12"/>
      <c r="C177" s="13"/>
      <c r="D177" s="13"/>
      <c r="E177" s="13"/>
      <c r="F177" s="14" t="str">
        <f aca="false">IF(OR(B177="",C177="",D177=""),"",IFERROR(INDEX(CONFIG!$E$5:$E$14,MATCH(D177,CONFIG!$D$5:$D$14,0)),"?")&amp;RIGHT("0"&amp;DAY(B177),2)&amp;RIGHT("0"&amp;MONTH(B177),2)&amp;RIGHT(YEAR(B177),2)&amp;C177&amp;IF(E177="","","-"&amp;E177))</f>
        <v/>
      </c>
      <c r="G177" s="13"/>
      <c r="H177" s="13"/>
      <c r="I177" s="13"/>
      <c r="J177" s="13"/>
      <c r="K177" s="13"/>
      <c r="L177" s="13"/>
      <c r="M177" s="11" t="str">
        <f aca="false">IF(F177="","",COUNTIFS(ENSAYOS!$C$5:$C$3004,F177,ENSAYOS!$Q$5:$Q$3004,"&gt;0"))</f>
        <v/>
      </c>
      <c r="N177" s="15" t="str">
        <f aca="false">IF(N(M177)=0,"",_xlfn.MINIFS(ENSAYOS!$G$5:$G$3004,ENSAYOS!$C$5:$C$3004,F177,ENSAYOS!$Q$5:$Q$3004,"&gt;0"))</f>
        <v/>
      </c>
      <c r="O177" s="15" t="str">
        <f aca="false">IF(N(M177)=0,"",_xlfn.MAXIFS(ENSAYOS!$G$5:$G$3004,ENSAYOS!$C$5:$C$3004,F177,ENSAYOS!$Q$5:$Q$3004,"&gt;0"))</f>
        <v/>
      </c>
      <c r="P177" s="16" t="str">
        <f aca="false">IF(N(M177)=0,"",AVERAGEIFS(ENSAYOS!$Q$5:$Q$3004,ENSAYOS!$C$5:$C$3004,F177,ENSAYOS!$Q$5:$Q$3004,"&gt;0"))</f>
        <v/>
      </c>
      <c r="Q177" s="16" t="str">
        <f aca="false">IF(N(M177)=0,"",_xlfn.MINIFS(ENSAYOS!$Q$5:$Q$3004,ENSAYOS!$C$5:$C$3004,F177,ENSAYOS!$Q$5:$Q$3004,"&gt;0"))</f>
        <v/>
      </c>
      <c r="R177" s="16" t="str">
        <f aca="false">IF(N(M177)=0,"",_xlfn.MAXIFS(ENSAYOS!$Q$5:$Q$3004,ENSAYOS!$C$5:$C$3004,F177,ENSAYOS!$Q$5:$Q$3004,"&gt;0"))</f>
        <v/>
      </c>
      <c r="S177" s="16" t="str">
        <f aca="false">IF(N(M177)&lt;2,"",SQRT(MAX(0,(SUMIFS(ENSAYOS!$X$5:$X$3004,ENSAYOS!$C$5:$C$3004,F177,ENSAYOS!$Q$5:$Q$3004,"&gt;0")-M177*P177^2)/(M177-1))))</f>
        <v/>
      </c>
      <c r="T177" s="17" t="str">
        <f aca="false">IF(S177="","",S177/P177)</f>
        <v/>
      </c>
      <c r="U177" s="16" t="str">
        <f aca="false">IF(N(M177)=0,"",IF(N177&gt;=CONFIG!$B$27,"",AVERAGEIFS(ENSAYOS!$Q$5:$Q$3004,ENSAYOS!$C$5:$C$3004,F177,ENSAYOS!$Q$5:$Q$3004,"&gt;0",ENSAYOS!$G$5:$G$3004,N177)))</f>
        <v/>
      </c>
      <c r="V177" s="16" t="str">
        <f aca="false">IF(N(M177)=0,"",IF(COUNTIFS(ENSAYOS!$C$5:$C$3004,F177,ENSAYOS!$Q$5:$Q$3004,"&gt;0",ENSAYOS!$G$5:$G$3004,"&gt;="&amp;CONFIG!$B$27)=0,"",AVERAGEIFS(ENSAYOS!$Q$5:$Q$3004,ENSAYOS!$C$5:$C$3004,F177,ENSAYOS!$Q$5:$Q$3004,"&gt;0",ENSAYOS!$G$5:$G$3004,"&gt;="&amp;CONFIG!$B$27)))</f>
        <v/>
      </c>
      <c r="W177" s="18" t="str">
        <f aca="false">IF(AND(U177&lt;&gt;"",V177&lt;&gt;""),U177/V177,"")</f>
        <v/>
      </c>
      <c r="X177" s="18" t="str">
        <f aca="false">IF(U177="","",INDEX('CURVA EDAD'!$E$5:$E$32,MIN(28,MAX(1,N177))))</f>
        <v/>
      </c>
      <c r="Y177" s="16" t="str">
        <f aca="false">IF(V177&lt;&gt;"",V177,IF(U177="","",U177/X177))</f>
        <v/>
      </c>
      <c r="Z177" s="16" t="str">
        <f aca="false">IF(V177&lt;&gt;"",_xlfn.MINIFS(ENSAYOS!$Q$5:$Q$3004,ENSAYOS!$C$5:$C$3004,F177,ENSAYOS!$Q$5:$Q$3004,"&gt;0",ENSAYOS!$G$5:$G$3004,"&gt;="&amp;CONFIG!$B$27),IF(U177="","",_xlfn.MINIFS(ENSAYOS!$Q$5:$Q$3004,ENSAYOS!$C$5:$C$3004,F177,ENSAYOS!$Q$5:$Q$3004,"&gt;0",ENSAYOS!$G$5:$G$3004,N177)/X177))</f>
        <v/>
      </c>
      <c r="AA177" s="16" t="str">
        <f aca="false">IF(D177="","",IFERROR(1/(1/INDEX(CONFIG!$J$5:$J$14,MATCH(D177,CONFIG!$D$5:$D$14,0))),""))</f>
        <v/>
      </c>
      <c r="AB177" s="16" t="str">
        <f aca="false">IF(D177="","",IFERROR(1/(1/INDEX(CONFIG!$K$5:$K$14,MATCH(D177,CONFIG!$D$5:$D$14,0))),""))</f>
        <v/>
      </c>
      <c r="AC177" s="19" t="str">
        <f aca="false">IF(N(M177)=0,"",IF(AA177="","Sin spec",IF(AND(Y177&gt;=AA177,OR(AB177="",Z177&gt;=AB177)),"CUMPLE","NO CUMPLE")&amp;IF(V177=""," (est.)","")))</f>
        <v/>
      </c>
      <c r="AD177" s="20" t="str">
        <f aca="false">IF(F177="","",IF(COUNTIFS(ABSORCION!$C$5:$C$1004,F177,ABSORCION!$I$5:$I$1004,"&gt;0")=0,"",AVERAGEIFS(ABSORCION!$I$5:$I$1004,ABSORCION!$C$5:$C$1004,F177,ABSORCION!$I$5:$I$1004,"&gt;0")))</f>
        <v/>
      </c>
      <c r="AE177" s="20" t="str">
        <f aca="false">IF(F177="","",IF(COUNTIFS(ABSORCION!$C$5:$C$1004,F177,ABSORCION!$I$5:$I$1004,"&gt;0")=0,"",AVERAGEIFS(ABSORCION!$K$5:$K$1004,ABSORCION!$C$5:$C$1004,F177,ABSORCION!$I$5:$I$1004,"&gt;0")))</f>
        <v/>
      </c>
      <c r="AF177" s="20" t="str">
        <f aca="false">IF(AE177="","",IF(AE177&gt;=CONFIG!$E$21,CONFIG!$F$21,IF(AE177&gt;=CONFIG!$E$20,CONFIG!$F$20,CONFIG!$F$19)))</f>
        <v/>
      </c>
      <c r="AG177" s="21" t="str">
        <f aca="false">IF(F177="","",TRIM(IF(N(M177)=0,"Sin ensayos. ","")&amp;IF(AND(N(M177)&gt;0,N(M177)&lt;CONFIG!$B$26),"Menos de "&amp;CONFIG!$B$26&amp;" probetas. ","")&amp;IF(N(T177)&gt;CONFIG!$B$25,"CV alto. ","")&amp;IF(AND(N(AD177)&gt;0,N(AD177)&gt;N(AF177)),"Absorción alta. ","")))</f>
        <v/>
      </c>
      <c r="AH177" s="22" t="str">
        <f aca="false">IF(AND(N(M177)&gt;0,OR(CONTROL!$C$4="TODAS",C177=CONTROL!$C$4),D177=CONTROL!$C$5),MAX($AH$4:AH176)+1,"")</f>
        <v/>
      </c>
      <c r="AI177" s="22" t="str">
        <f aca="false">IF(AH177="","",P177^2)</f>
        <v/>
      </c>
    </row>
    <row r="178" customFormat="false" ht="15" hidden="false" customHeight="false" outlineLevel="0" collapsed="false">
      <c r="A178" s="11" t="str">
        <f aca="false">IF(B178="","",ROW()-4)</f>
        <v/>
      </c>
      <c r="B178" s="12"/>
      <c r="C178" s="13"/>
      <c r="D178" s="13"/>
      <c r="E178" s="13"/>
      <c r="F178" s="14" t="str">
        <f aca="false">IF(OR(B178="",C178="",D178=""),"",IFERROR(INDEX(CONFIG!$E$5:$E$14,MATCH(D178,CONFIG!$D$5:$D$14,0)),"?")&amp;RIGHT("0"&amp;DAY(B178),2)&amp;RIGHT("0"&amp;MONTH(B178),2)&amp;RIGHT(YEAR(B178),2)&amp;C178&amp;IF(E178="","","-"&amp;E178))</f>
        <v/>
      </c>
      <c r="G178" s="13"/>
      <c r="H178" s="13"/>
      <c r="I178" s="13"/>
      <c r="J178" s="13"/>
      <c r="K178" s="13"/>
      <c r="L178" s="13"/>
      <c r="M178" s="11" t="str">
        <f aca="false">IF(F178="","",COUNTIFS(ENSAYOS!$C$5:$C$3004,F178,ENSAYOS!$Q$5:$Q$3004,"&gt;0"))</f>
        <v/>
      </c>
      <c r="N178" s="15" t="str">
        <f aca="false">IF(N(M178)=0,"",_xlfn.MINIFS(ENSAYOS!$G$5:$G$3004,ENSAYOS!$C$5:$C$3004,F178,ENSAYOS!$Q$5:$Q$3004,"&gt;0"))</f>
        <v/>
      </c>
      <c r="O178" s="15" t="str">
        <f aca="false">IF(N(M178)=0,"",_xlfn.MAXIFS(ENSAYOS!$G$5:$G$3004,ENSAYOS!$C$5:$C$3004,F178,ENSAYOS!$Q$5:$Q$3004,"&gt;0"))</f>
        <v/>
      </c>
      <c r="P178" s="16" t="str">
        <f aca="false">IF(N(M178)=0,"",AVERAGEIFS(ENSAYOS!$Q$5:$Q$3004,ENSAYOS!$C$5:$C$3004,F178,ENSAYOS!$Q$5:$Q$3004,"&gt;0"))</f>
        <v/>
      </c>
      <c r="Q178" s="16" t="str">
        <f aca="false">IF(N(M178)=0,"",_xlfn.MINIFS(ENSAYOS!$Q$5:$Q$3004,ENSAYOS!$C$5:$C$3004,F178,ENSAYOS!$Q$5:$Q$3004,"&gt;0"))</f>
        <v/>
      </c>
      <c r="R178" s="16" t="str">
        <f aca="false">IF(N(M178)=0,"",_xlfn.MAXIFS(ENSAYOS!$Q$5:$Q$3004,ENSAYOS!$C$5:$C$3004,F178,ENSAYOS!$Q$5:$Q$3004,"&gt;0"))</f>
        <v/>
      </c>
      <c r="S178" s="16" t="str">
        <f aca="false">IF(N(M178)&lt;2,"",SQRT(MAX(0,(SUMIFS(ENSAYOS!$X$5:$X$3004,ENSAYOS!$C$5:$C$3004,F178,ENSAYOS!$Q$5:$Q$3004,"&gt;0")-M178*P178^2)/(M178-1))))</f>
        <v/>
      </c>
      <c r="T178" s="17" t="str">
        <f aca="false">IF(S178="","",S178/P178)</f>
        <v/>
      </c>
      <c r="U178" s="16" t="str">
        <f aca="false">IF(N(M178)=0,"",IF(N178&gt;=CONFIG!$B$27,"",AVERAGEIFS(ENSAYOS!$Q$5:$Q$3004,ENSAYOS!$C$5:$C$3004,F178,ENSAYOS!$Q$5:$Q$3004,"&gt;0",ENSAYOS!$G$5:$G$3004,N178)))</f>
        <v/>
      </c>
      <c r="V178" s="16" t="str">
        <f aca="false">IF(N(M178)=0,"",IF(COUNTIFS(ENSAYOS!$C$5:$C$3004,F178,ENSAYOS!$Q$5:$Q$3004,"&gt;0",ENSAYOS!$G$5:$G$3004,"&gt;="&amp;CONFIG!$B$27)=0,"",AVERAGEIFS(ENSAYOS!$Q$5:$Q$3004,ENSAYOS!$C$5:$C$3004,F178,ENSAYOS!$Q$5:$Q$3004,"&gt;0",ENSAYOS!$G$5:$G$3004,"&gt;="&amp;CONFIG!$B$27)))</f>
        <v/>
      </c>
      <c r="W178" s="18" t="str">
        <f aca="false">IF(AND(U178&lt;&gt;"",V178&lt;&gt;""),U178/V178,"")</f>
        <v/>
      </c>
      <c r="X178" s="18" t="str">
        <f aca="false">IF(U178="","",INDEX('CURVA EDAD'!$E$5:$E$32,MIN(28,MAX(1,N178))))</f>
        <v/>
      </c>
      <c r="Y178" s="16" t="str">
        <f aca="false">IF(V178&lt;&gt;"",V178,IF(U178="","",U178/X178))</f>
        <v/>
      </c>
      <c r="Z178" s="16" t="str">
        <f aca="false">IF(V178&lt;&gt;"",_xlfn.MINIFS(ENSAYOS!$Q$5:$Q$3004,ENSAYOS!$C$5:$C$3004,F178,ENSAYOS!$Q$5:$Q$3004,"&gt;0",ENSAYOS!$G$5:$G$3004,"&gt;="&amp;CONFIG!$B$27),IF(U178="","",_xlfn.MINIFS(ENSAYOS!$Q$5:$Q$3004,ENSAYOS!$C$5:$C$3004,F178,ENSAYOS!$Q$5:$Q$3004,"&gt;0",ENSAYOS!$G$5:$G$3004,N178)/X178))</f>
        <v/>
      </c>
      <c r="AA178" s="16" t="str">
        <f aca="false">IF(D178="","",IFERROR(1/(1/INDEX(CONFIG!$J$5:$J$14,MATCH(D178,CONFIG!$D$5:$D$14,0))),""))</f>
        <v/>
      </c>
      <c r="AB178" s="16" t="str">
        <f aca="false">IF(D178="","",IFERROR(1/(1/INDEX(CONFIG!$K$5:$K$14,MATCH(D178,CONFIG!$D$5:$D$14,0))),""))</f>
        <v/>
      </c>
      <c r="AC178" s="19" t="str">
        <f aca="false">IF(N(M178)=0,"",IF(AA178="","Sin spec",IF(AND(Y178&gt;=AA178,OR(AB178="",Z178&gt;=AB178)),"CUMPLE","NO CUMPLE")&amp;IF(V178=""," (est.)","")))</f>
        <v/>
      </c>
      <c r="AD178" s="20" t="str">
        <f aca="false">IF(F178="","",IF(COUNTIFS(ABSORCION!$C$5:$C$1004,F178,ABSORCION!$I$5:$I$1004,"&gt;0")=0,"",AVERAGEIFS(ABSORCION!$I$5:$I$1004,ABSORCION!$C$5:$C$1004,F178,ABSORCION!$I$5:$I$1004,"&gt;0")))</f>
        <v/>
      </c>
      <c r="AE178" s="20" t="str">
        <f aca="false">IF(F178="","",IF(COUNTIFS(ABSORCION!$C$5:$C$1004,F178,ABSORCION!$I$5:$I$1004,"&gt;0")=0,"",AVERAGEIFS(ABSORCION!$K$5:$K$1004,ABSORCION!$C$5:$C$1004,F178,ABSORCION!$I$5:$I$1004,"&gt;0")))</f>
        <v/>
      </c>
      <c r="AF178" s="20" t="str">
        <f aca="false">IF(AE178="","",IF(AE178&gt;=CONFIG!$E$21,CONFIG!$F$21,IF(AE178&gt;=CONFIG!$E$20,CONFIG!$F$20,CONFIG!$F$19)))</f>
        <v/>
      </c>
      <c r="AG178" s="21" t="str">
        <f aca="false">IF(F178="","",TRIM(IF(N(M178)=0,"Sin ensayos. ","")&amp;IF(AND(N(M178)&gt;0,N(M178)&lt;CONFIG!$B$26),"Menos de "&amp;CONFIG!$B$26&amp;" probetas. ","")&amp;IF(N(T178)&gt;CONFIG!$B$25,"CV alto. ","")&amp;IF(AND(N(AD178)&gt;0,N(AD178)&gt;N(AF178)),"Absorción alta. ","")))</f>
        <v/>
      </c>
      <c r="AH178" s="22" t="str">
        <f aca="false">IF(AND(N(M178)&gt;0,OR(CONTROL!$C$4="TODAS",C178=CONTROL!$C$4),D178=CONTROL!$C$5),MAX($AH$4:AH177)+1,"")</f>
        <v/>
      </c>
      <c r="AI178" s="22" t="str">
        <f aca="false">IF(AH178="","",P178^2)</f>
        <v/>
      </c>
    </row>
    <row r="179" customFormat="false" ht="15" hidden="false" customHeight="false" outlineLevel="0" collapsed="false">
      <c r="A179" s="11" t="str">
        <f aca="false">IF(B179="","",ROW()-4)</f>
        <v/>
      </c>
      <c r="B179" s="12"/>
      <c r="C179" s="13"/>
      <c r="D179" s="13"/>
      <c r="E179" s="13"/>
      <c r="F179" s="14" t="str">
        <f aca="false">IF(OR(B179="",C179="",D179=""),"",IFERROR(INDEX(CONFIG!$E$5:$E$14,MATCH(D179,CONFIG!$D$5:$D$14,0)),"?")&amp;RIGHT("0"&amp;DAY(B179),2)&amp;RIGHT("0"&amp;MONTH(B179),2)&amp;RIGHT(YEAR(B179),2)&amp;C179&amp;IF(E179="","","-"&amp;E179))</f>
        <v/>
      </c>
      <c r="G179" s="13"/>
      <c r="H179" s="13"/>
      <c r="I179" s="13"/>
      <c r="J179" s="13"/>
      <c r="K179" s="13"/>
      <c r="L179" s="13"/>
      <c r="M179" s="11" t="str">
        <f aca="false">IF(F179="","",COUNTIFS(ENSAYOS!$C$5:$C$3004,F179,ENSAYOS!$Q$5:$Q$3004,"&gt;0"))</f>
        <v/>
      </c>
      <c r="N179" s="15" t="str">
        <f aca="false">IF(N(M179)=0,"",_xlfn.MINIFS(ENSAYOS!$G$5:$G$3004,ENSAYOS!$C$5:$C$3004,F179,ENSAYOS!$Q$5:$Q$3004,"&gt;0"))</f>
        <v/>
      </c>
      <c r="O179" s="15" t="str">
        <f aca="false">IF(N(M179)=0,"",_xlfn.MAXIFS(ENSAYOS!$G$5:$G$3004,ENSAYOS!$C$5:$C$3004,F179,ENSAYOS!$Q$5:$Q$3004,"&gt;0"))</f>
        <v/>
      </c>
      <c r="P179" s="16" t="str">
        <f aca="false">IF(N(M179)=0,"",AVERAGEIFS(ENSAYOS!$Q$5:$Q$3004,ENSAYOS!$C$5:$C$3004,F179,ENSAYOS!$Q$5:$Q$3004,"&gt;0"))</f>
        <v/>
      </c>
      <c r="Q179" s="16" t="str">
        <f aca="false">IF(N(M179)=0,"",_xlfn.MINIFS(ENSAYOS!$Q$5:$Q$3004,ENSAYOS!$C$5:$C$3004,F179,ENSAYOS!$Q$5:$Q$3004,"&gt;0"))</f>
        <v/>
      </c>
      <c r="R179" s="16" t="str">
        <f aca="false">IF(N(M179)=0,"",_xlfn.MAXIFS(ENSAYOS!$Q$5:$Q$3004,ENSAYOS!$C$5:$C$3004,F179,ENSAYOS!$Q$5:$Q$3004,"&gt;0"))</f>
        <v/>
      </c>
      <c r="S179" s="16" t="str">
        <f aca="false">IF(N(M179)&lt;2,"",SQRT(MAX(0,(SUMIFS(ENSAYOS!$X$5:$X$3004,ENSAYOS!$C$5:$C$3004,F179,ENSAYOS!$Q$5:$Q$3004,"&gt;0")-M179*P179^2)/(M179-1))))</f>
        <v/>
      </c>
      <c r="T179" s="17" t="str">
        <f aca="false">IF(S179="","",S179/P179)</f>
        <v/>
      </c>
      <c r="U179" s="16" t="str">
        <f aca="false">IF(N(M179)=0,"",IF(N179&gt;=CONFIG!$B$27,"",AVERAGEIFS(ENSAYOS!$Q$5:$Q$3004,ENSAYOS!$C$5:$C$3004,F179,ENSAYOS!$Q$5:$Q$3004,"&gt;0",ENSAYOS!$G$5:$G$3004,N179)))</f>
        <v/>
      </c>
      <c r="V179" s="16" t="str">
        <f aca="false">IF(N(M179)=0,"",IF(COUNTIFS(ENSAYOS!$C$5:$C$3004,F179,ENSAYOS!$Q$5:$Q$3004,"&gt;0",ENSAYOS!$G$5:$G$3004,"&gt;="&amp;CONFIG!$B$27)=0,"",AVERAGEIFS(ENSAYOS!$Q$5:$Q$3004,ENSAYOS!$C$5:$C$3004,F179,ENSAYOS!$Q$5:$Q$3004,"&gt;0",ENSAYOS!$G$5:$G$3004,"&gt;="&amp;CONFIG!$B$27)))</f>
        <v/>
      </c>
      <c r="W179" s="18" t="str">
        <f aca="false">IF(AND(U179&lt;&gt;"",V179&lt;&gt;""),U179/V179,"")</f>
        <v/>
      </c>
      <c r="X179" s="18" t="str">
        <f aca="false">IF(U179="","",INDEX('CURVA EDAD'!$E$5:$E$32,MIN(28,MAX(1,N179))))</f>
        <v/>
      </c>
      <c r="Y179" s="16" t="str">
        <f aca="false">IF(V179&lt;&gt;"",V179,IF(U179="","",U179/X179))</f>
        <v/>
      </c>
      <c r="Z179" s="16" t="str">
        <f aca="false">IF(V179&lt;&gt;"",_xlfn.MINIFS(ENSAYOS!$Q$5:$Q$3004,ENSAYOS!$C$5:$C$3004,F179,ENSAYOS!$Q$5:$Q$3004,"&gt;0",ENSAYOS!$G$5:$G$3004,"&gt;="&amp;CONFIG!$B$27),IF(U179="","",_xlfn.MINIFS(ENSAYOS!$Q$5:$Q$3004,ENSAYOS!$C$5:$C$3004,F179,ENSAYOS!$Q$5:$Q$3004,"&gt;0",ENSAYOS!$G$5:$G$3004,N179)/X179))</f>
        <v/>
      </c>
      <c r="AA179" s="16" t="str">
        <f aca="false">IF(D179="","",IFERROR(1/(1/INDEX(CONFIG!$J$5:$J$14,MATCH(D179,CONFIG!$D$5:$D$14,0))),""))</f>
        <v/>
      </c>
      <c r="AB179" s="16" t="str">
        <f aca="false">IF(D179="","",IFERROR(1/(1/INDEX(CONFIG!$K$5:$K$14,MATCH(D179,CONFIG!$D$5:$D$14,0))),""))</f>
        <v/>
      </c>
      <c r="AC179" s="19" t="str">
        <f aca="false">IF(N(M179)=0,"",IF(AA179="","Sin spec",IF(AND(Y179&gt;=AA179,OR(AB179="",Z179&gt;=AB179)),"CUMPLE","NO CUMPLE")&amp;IF(V179=""," (est.)","")))</f>
        <v/>
      </c>
      <c r="AD179" s="20" t="str">
        <f aca="false">IF(F179="","",IF(COUNTIFS(ABSORCION!$C$5:$C$1004,F179,ABSORCION!$I$5:$I$1004,"&gt;0")=0,"",AVERAGEIFS(ABSORCION!$I$5:$I$1004,ABSORCION!$C$5:$C$1004,F179,ABSORCION!$I$5:$I$1004,"&gt;0")))</f>
        <v/>
      </c>
      <c r="AE179" s="20" t="str">
        <f aca="false">IF(F179="","",IF(COUNTIFS(ABSORCION!$C$5:$C$1004,F179,ABSORCION!$I$5:$I$1004,"&gt;0")=0,"",AVERAGEIFS(ABSORCION!$K$5:$K$1004,ABSORCION!$C$5:$C$1004,F179,ABSORCION!$I$5:$I$1004,"&gt;0")))</f>
        <v/>
      </c>
      <c r="AF179" s="20" t="str">
        <f aca="false">IF(AE179="","",IF(AE179&gt;=CONFIG!$E$21,CONFIG!$F$21,IF(AE179&gt;=CONFIG!$E$20,CONFIG!$F$20,CONFIG!$F$19)))</f>
        <v/>
      </c>
      <c r="AG179" s="21" t="str">
        <f aca="false">IF(F179="","",TRIM(IF(N(M179)=0,"Sin ensayos. ","")&amp;IF(AND(N(M179)&gt;0,N(M179)&lt;CONFIG!$B$26),"Menos de "&amp;CONFIG!$B$26&amp;" probetas. ","")&amp;IF(N(T179)&gt;CONFIG!$B$25,"CV alto. ","")&amp;IF(AND(N(AD179)&gt;0,N(AD179)&gt;N(AF179)),"Absorción alta. ","")))</f>
        <v/>
      </c>
      <c r="AH179" s="22" t="str">
        <f aca="false">IF(AND(N(M179)&gt;0,OR(CONTROL!$C$4="TODAS",C179=CONTROL!$C$4),D179=CONTROL!$C$5),MAX($AH$4:AH178)+1,"")</f>
        <v/>
      </c>
      <c r="AI179" s="22" t="str">
        <f aca="false">IF(AH179="","",P179^2)</f>
        <v/>
      </c>
    </row>
    <row r="180" customFormat="false" ht="15" hidden="false" customHeight="false" outlineLevel="0" collapsed="false">
      <c r="A180" s="11" t="str">
        <f aca="false">IF(B180="","",ROW()-4)</f>
        <v/>
      </c>
      <c r="B180" s="12"/>
      <c r="C180" s="13"/>
      <c r="D180" s="13"/>
      <c r="E180" s="13"/>
      <c r="F180" s="14" t="str">
        <f aca="false">IF(OR(B180="",C180="",D180=""),"",IFERROR(INDEX(CONFIG!$E$5:$E$14,MATCH(D180,CONFIG!$D$5:$D$14,0)),"?")&amp;RIGHT("0"&amp;DAY(B180),2)&amp;RIGHT("0"&amp;MONTH(B180),2)&amp;RIGHT(YEAR(B180),2)&amp;C180&amp;IF(E180="","","-"&amp;E180))</f>
        <v/>
      </c>
      <c r="G180" s="13"/>
      <c r="H180" s="13"/>
      <c r="I180" s="13"/>
      <c r="J180" s="13"/>
      <c r="K180" s="13"/>
      <c r="L180" s="13"/>
      <c r="M180" s="11" t="str">
        <f aca="false">IF(F180="","",COUNTIFS(ENSAYOS!$C$5:$C$3004,F180,ENSAYOS!$Q$5:$Q$3004,"&gt;0"))</f>
        <v/>
      </c>
      <c r="N180" s="15" t="str">
        <f aca="false">IF(N(M180)=0,"",_xlfn.MINIFS(ENSAYOS!$G$5:$G$3004,ENSAYOS!$C$5:$C$3004,F180,ENSAYOS!$Q$5:$Q$3004,"&gt;0"))</f>
        <v/>
      </c>
      <c r="O180" s="15" t="str">
        <f aca="false">IF(N(M180)=0,"",_xlfn.MAXIFS(ENSAYOS!$G$5:$G$3004,ENSAYOS!$C$5:$C$3004,F180,ENSAYOS!$Q$5:$Q$3004,"&gt;0"))</f>
        <v/>
      </c>
      <c r="P180" s="16" t="str">
        <f aca="false">IF(N(M180)=0,"",AVERAGEIFS(ENSAYOS!$Q$5:$Q$3004,ENSAYOS!$C$5:$C$3004,F180,ENSAYOS!$Q$5:$Q$3004,"&gt;0"))</f>
        <v/>
      </c>
      <c r="Q180" s="16" t="str">
        <f aca="false">IF(N(M180)=0,"",_xlfn.MINIFS(ENSAYOS!$Q$5:$Q$3004,ENSAYOS!$C$5:$C$3004,F180,ENSAYOS!$Q$5:$Q$3004,"&gt;0"))</f>
        <v/>
      </c>
      <c r="R180" s="16" t="str">
        <f aca="false">IF(N(M180)=0,"",_xlfn.MAXIFS(ENSAYOS!$Q$5:$Q$3004,ENSAYOS!$C$5:$C$3004,F180,ENSAYOS!$Q$5:$Q$3004,"&gt;0"))</f>
        <v/>
      </c>
      <c r="S180" s="16" t="str">
        <f aca="false">IF(N(M180)&lt;2,"",SQRT(MAX(0,(SUMIFS(ENSAYOS!$X$5:$X$3004,ENSAYOS!$C$5:$C$3004,F180,ENSAYOS!$Q$5:$Q$3004,"&gt;0")-M180*P180^2)/(M180-1))))</f>
        <v/>
      </c>
      <c r="T180" s="17" t="str">
        <f aca="false">IF(S180="","",S180/P180)</f>
        <v/>
      </c>
      <c r="U180" s="16" t="str">
        <f aca="false">IF(N(M180)=0,"",IF(N180&gt;=CONFIG!$B$27,"",AVERAGEIFS(ENSAYOS!$Q$5:$Q$3004,ENSAYOS!$C$5:$C$3004,F180,ENSAYOS!$Q$5:$Q$3004,"&gt;0",ENSAYOS!$G$5:$G$3004,N180)))</f>
        <v/>
      </c>
      <c r="V180" s="16" t="str">
        <f aca="false">IF(N(M180)=0,"",IF(COUNTIFS(ENSAYOS!$C$5:$C$3004,F180,ENSAYOS!$Q$5:$Q$3004,"&gt;0",ENSAYOS!$G$5:$G$3004,"&gt;="&amp;CONFIG!$B$27)=0,"",AVERAGEIFS(ENSAYOS!$Q$5:$Q$3004,ENSAYOS!$C$5:$C$3004,F180,ENSAYOS!$Q$5:$Q$3004,"&gt;0",ENSAYOS!$G$5:$G$3004,"&gt;="&amp;CONFIG!$B$27)))</f>
        <v/>
      </c>
      <c r="W180" s="18" t="str">
        <f aca="false">IF(AND(U180&lt;&gt;"",V180&lt;&gt;""),U180/V180,"")</f>
        <v/>
      </c>
      <c r="X180" s="18" t="str">
        <f aca="false">IF(U180="","",INDEX('CURVA EDAD'!$E$5:$E$32,MIN(28,MAX(1,N180))))</f>
        <v/>
      </c>
      <c r="Y180" s="16" t="str">
        <f aca="false">IF(V180&lt;&gt;"",V180,IF(U180="","",U180/X180))</f>
        <v/>
      </c>
      <c r="Z180" s="16" t="str">
        <f aca="false">IF(V180&lt;&gt;"",_xlfn.MINIFS(ENSAYOS!$Q$5:$Q$3004,ENSAYOS!$C$5:$C$3004,F180,ENSAYOS!$Q$5:$Q$3004,"&gt;0",ENSAYOS!$G$5:$G$3004,"&gt;="&amp;CONFIG!$B$27),IF(U180="","",_xlfn.MINIFS(ENSAYOS!$Q$5:$Q$3004,ENSAYOS!$C$5:$C$3004,F180,ENSAYOS!$Q$5:$Q$3004,"&gt;0",ENSAYOS!$G$5:$G$3004,N180)/X180))</f>
        <v/>
      </c>
      <c r="AA180" s="16" t="str">
        <f aca="false">IF(D180="","",IFERROR(1/(1/INDEX(CONFIG!$J$5:$J$14,MATCH(D180,CONFIG!$D$5:$D$14,0))),""))</f>
        <v/>
      </c>
      <c r="AB180" s="16" t="str">
        <f aca="false">IF(D180="","",IFERROR(1/(1/INDEX(CONFIG!$K$5:$K$14,MATCH(D180,CONFIG!$D$5:$D$14,0))),""))</f>
        <v/>
      </c>
      <c r="AC180" s="19" t="str">
        <f aca="false">IF(N(M180)=0,"",IF(AA180="","Sin spec",IF(AND(Y180&gt;=AA180,OR(AB180="",Z180&gt;=AB180)),"CUMPLE","NO CUMPLE")&amp;IF(V180=""," (est.)","")))</f>
        <v/>
      </c>
      <c r="AD180" s="20" t="str">
        <f aca="false">IF(F180="","",IF(COUNTIFS(ABSORCION!$C$5:$C$1004,F180,ABSORCION!$I$5:$I$1004,"&gt;0")=0,"",AVERAGEIFS(ABSORCION!$I$5:$I$1004,ABSORCION!$C$5:$C$1004,F180,ABSORCION!$I$5:$I$1004,"&gt;0")))</f>
        <v/>
      </c>
      <c r="AE180" s="20" t="str">
        <f aca="false">IF(F180="","",IF(COUNTIFS(ABSORCION!$C$5:$C$1004,F180,ABSORCION!$I$5:$I$1004,"&gt;0")=0,"",AVERAGEIFS(ABSORCION!$K$5:$K$1004,ABSORCION!$C$5:$C$1004,F180,ABSORCION!$I$5:$I$1004,"&gt;0")))</f>
        <v/>
      </c>
      <c r="AF180" s="20" t="str">
        <f aca="false">IF(AE180="","",IF(AE180&gt;=CONFIG!$E$21,CONFIG!$F$21,IF(AE180&gt;=CONFIG!$E$20,CONFIG!$F$20,CONFIG!$F$19)))</f>
        <v/>
      </c>
      <c r="AG180" s="21" t="str">
        <f aca="false">IF(F180="","",TRIM(IF(N(M180)=0,"Sin ensayos. ","")&amp;IF(AND(N(M180)&gt;0,N(M180)&lt;CONFIG!$B$26),"Menos de "&amp;CONFIG!$B$26&amp;" probetas. ","")&amp;IF(N(T180)&gt;CONFIG!$B$25,"CV alto. ","")&amp;IF(AND(N(AD180)&gt;0,N(AD180)&gt;N(AF180)),"Absorción alta. ","")))</f>
        <v/>
      </c>
      <c r="AH180" s="22" t="str">
        <f aca="false">IF(AND(N(M180)&gt;0,OR(CONTROL!$C$4="TODAS",C180=CONTROL!$C$4),D180=CONTROL!$C$5),MAX($AH$4:AH179)+1,"")</f>
        <v/>
      </c>
      <c r="AI180" s="22" t="str">
        <f aca="false">IF(AH180="","",P180^2)</f>
        <v/>
      </c>
    </row>
    <row r="181" customFormat="false" ht="15" hidden="false" customHeight="false" outlineLevel="0" collapsed="false">
      <c r="A181" s="11" t="str">
        <f aca="false">IF(B181="","",ROW()-4)</f>
        <v/>
      </c>
      <c r="B181" s="12"/>
      <c r="C181" s="13"/>
      <c r="D181" s="13"/>
      <c r="E181" s="13"/>
      <c r="F181" s="14" t="str">
        <f aca="false">IF(OR(B181="",C181="",D181=""),"",IFERROR(INDEX(CONFIG!$E$5:$E$14,MATCH(D181,CONFIG!$D$5:$D$14,0)),"?")&amp;RIGHT("0"&amp;DAY(B181),2)&amp;RIGHT("0"&amp;MONTH(B181),2)&amp;RIGHT(YEAR(B181),2)&amp;C181&amp;IF(E181="","","-"&amp;E181))</f>
        <v/>
      </c>
      <c r="G181" s="13"/>
      <c r="H181" s="13"/>
      <c r="I181" s="13"/>
      <c r="J181" s="13"/>
      <c r="K181" s="13"/>
      <c r="L181" s="13"/>
      <c r="M181" s="11" t="str">
        <f aca="false">IF(F181="","",COUNTIFS(ENSAYOS!$C$5:$C$3004,F181,ENSAYOS!$Q$5:$Q$3004,"&gt;0"))</f>
        <v/>
      </c>
      <c r="N181" s="15" t="str">
        <f aca="false">IF(N(M181)=0,"",_xlfn.MINIFS(ENSAYOS!$G$5:$G$3004,ENSAYOS!$C$5:$C$3004,F181,ENSAYOS!$Q$5:$Q$3004,"&gt;0"))</f>
        <v/>
      </c>
      <c r="O181" s="15" t="str">
        <f aca="false">IF(N(M181)=0,"",_xlfn.MAXIFS(ENSAYOS!$G$5:$G$3004,ENSAYOS!$C$5:$C$3004,F181,ENSAYOS!$Q$5:$Q$3004,"&gt;0"))</f>
        <v/>
      </c>
      <c r="P181" s="16" t="str">
        <f aca="false">IF(N(M181)=0,"",AVERAGEIFS(ENSAYOS!$Q$5:$Q$3004,ENSAYOS!$C$5:$C$3004,F181,ENSAYOS!$Q$5:$Q$3004,"&gt;0"))</f>
        <v/>
      </c>
      <c r="Q181" s="16" t="str">
        <f aca="false">IF(N(M181)=0,"",_xlfn.MINIFS(ENSAYOS!$Q$5:$Q$3004,ENSAYOS!$C$5:$C$3004,F181,ENSAYOS!$Q$5:$Q$3004,"&gt;0"))</f>
        <v/>
      </c>
      <c r="R181" s="16" t="str">
        <f aca="false">IF(N(M181)=0,"",_xlfn.MAXIFS(ENSAYOS!$Q$5:$Q$3004,ENSAYOS!$C$5:$C$3004,F181,ENSAYOS!$Q$5:$Q$3004,"&gt;0"))</f>
        <v/>
      </c>
      <c r="S181" s="16" t="str">
        <f aca="false">IF(N(M181)&lt;2,"",SQRT(MAX(0,(SUMIFS(ENSAYOS!$X$5:$X$3004,ENSAYOS!$C$5:$C$3004,F181,ENSAYOS!$Q$5:$Q$3004,"&gt;0")-M181*P181^2)/(M181-1))))</f>
        <v/>
      </c>
      <c r="T181" s="17" t="str">
        <f aca="false">IF(S181="","",S181/P181)</f>
        <v/>
      </c>
      <c r="U181" s="16" t="str">
        <f aca="false">IF(N(M181)=0,"",IF(N181&gt;=CONFIG!$B$27,"",AVERAGEIFS(ENSAYOS!$Q$5:$Q$3004,ENSAYOS!$C$5:$C$3004,F181,ENSAYOS!$Q$5:$Q$3004,"&gt;0",ENSAYOS!$G$5:$G$3004,N181)))</f>
        <v/>
      </c>
      <c r="V181" s="16" t="str">
        <f aca="false">IF(N(M181)=0,"",IF(COUNTIFS(ENSAYOS!$C$5:$C$3004,F181,ENSAYOS!$Q$5:$Q$3004,"&gt;0",ENSAYOS!$G$5:$G$3004,"&gt;="&amp;CONFIG!$B$27)=0,"",AVERAGEIFS(ENSAYOS!$Q$5:$Q$3004,ENSAYOS!$C$5:$C$3004,F181,ENSAYOS!$Q$5:$Q$3004,"&gt;0",ENSAYOS!$G$5:$G$3004,"&gt;="&amp;CONFIG!$B$27)))</f>
        <v/>
      </c>
      <c r="W181" s="18" t="str">
        <f aca="false">IF(AND(U181&lt;&gt;"",V181&lt;&gt;""),U181/V181,"")</f>
        <v/>
      </c>
      <c r="X181" s="18" t="str">
        <f aca="false">IF(U181="","",INDEX('CURVA EDAD'!$E$5:$E$32,MIN(28,MAX(1,N181))))</f>
        <v/>
      </c>
      <c r="Y181" s="16" t="str">
        <f aca="false">IF(V181&lt;&gt;"",V181,IF(U181="","",U181/X181))</f>
        <v/>
      </c>
      <c r="Z181" s="16" t="str">
        <f aca="false">IF(V181&lt;&gt;"",_xlfn.MINIFS(ENSAYOS!$Q$5:$Q$3004,ENSAYOS!$C$5:$C$3004,F181,ENSAYOS!$Q$5:$Q$3004,"&gt;0",ENSAYOS!$G$5:$G$3004,"&gt;="&amp;CONFIG!$B$27),IF(U181="","",_xlfn.MINIFS(ENSAYOS!$Q$5:$Q$3004,ENSAYOS!$C$5:$C$3004,F181,ENSAYOS!$Q$5:$Q$3004,"&gt;0",ENSAYOS!$G$5:$G$3004,N181)/X181))</f>
        <v/>
      </c>
      <c r="AA181" s="16" t="str">
        <f aca="false">IF(D181="","",IFERROR(1/(1/INDEX(CONFIG!$J$5:$J$14,MATCH(D181,CONFIG!$D$5:$D$14,0))),""))</f>
        <v/>
      </c>
      <c r="AB181" s="16" t="str">
        <f aca="false">IF(D181="","",IFERROR(1/(1/INDEX(CONFIG!$K$5:$K$14,MATCH(D181,CONFIG!$D$5:$D$14,0))),""))</f>
        <v/>
      </c>
      <c r="AC181" s="19" t="str">
        <f aca="false">IF(N(M181)=0,"",IF(AA181="","Sin spec",IF(AND(Y181&gt;=AA181,OR(AB181="",Z181&gt;=AB181)),"CUMPLE","NO CUMPLE")&amp;IF(V181=""," (est.)","")))</f>
        <v/>
      </c>
      <c r="AD181" s="20" t="str">
        <f aca="false">IF(F181="","",IF(COUNTIFS(ABSORCION!$C$5:$C$1004,F181,ABSORCION!$I$5:$I$1004,"&gt;0")=0,"",AVERAGEIFS(ABSORCION!$I$5:$I$1004,ABSORCION!$C$5:$C$1004,F181,ABSORCION!$I$5:$I$1004,"&gt;0")))</f>
        <v/>
      </c>
      <c r="AE181" s="20" t="str">
        <f aca="false">IF(F181="","",IF(COUNTIFS(ABSORCION!$C$5:$C$1004,F181,ABSORCION!$I$5:$I$1004,"&gt;0")=0,"",AVERAGEIFS(ABSORCION!$K$5:$K$1004,ABSORCION!$C$5:$C$1004,F181,ABSORCION!$I$5:$I$1004,"&gt;0")))</f>
        <v/>
      </c>
      <c r="AF181" s="20" t="str">
        <f aca="false">IF(AE181="","",IF(AE181&gt;=CONFIG!$E$21,CONFIG!$F$21,IF(AE181&gt;=CONFIG!$E$20,CONFIG!$F$20,CONFIG!$F$19)))</f>
        <v/>
      </c>
      <c r="AG181" s="21" t="str">
        <f aca="false">IF(F181="","",TRIM(IF(N(M181)=0,"Sin ensayos. ","")&amp;IF(AND(N(M181)&gt;0,N(M181)&lt;CONFIG!$B$26),"Menos de "&amp;CONFIG!$B$26&amp;" probetas. ","")&amp;IF(N(T181)&gt;CONFIG!$B$25,"CV alto. ","")&amp;IF(AND(N(AD181)&gt;0,N(AD181)&gt;N(AF181)),"Absorción alta. ","")))</f>
        <v/>
      </c>
      <c r="AH181" s="22" t="str">
        <f aca="false">IF(AND(N(M181)&gt;0,OR(CONTROL!$C$4="TODAS",C181=CONTROL!$C$4),D181=CONTROL!$C$5),MAX($AH$4:AH180)+1,"")</f>
        <v/>
      </c>
      <c r="AI181" s="22" t="str">
        <f aca="false">IF(AH181="","",P181^2)</f>
        <v/>
      </c>
    </row>
    <row r="182" customFormat="false" ht="15" hidden="false" customHeight="false" outlineLevel="0" collapsed="false">
      <c r="A182" s="11" t="str">
        <f aca="false">IF(B182="","",ROW()-4)</f>
        <v/>
      </c>
      <c r="B182" s="12"/>
      <c r="C182" s="13"/>
      <c r="D182" s="13"/>
      <c r="E182" s="13"/>
      <c r="F182" s="14" t="str">
        <f aca="false">IF(OR(B182="",C182="",D182=""),"",IFERROR(INDEX(CONFIG!$E$5:$E$14,MATCH(D182,CONFIG!$D$5:$D$14,0)),"?")&amp;RIGHT("0"&amp;DAY(B182),2)&amp;RIGHT("0"&amp;MONTH(B182),2)&amp;RIGHT(YEAR(B182),2)&amp;C182&amp;IF(E182="","","-"&amp;E182))</f>
        <v/>
      </c>
      <c r="G182" s="13"/>
      <c r="H182" s="13"/>
      <c r="I182" s="13"/>
      <c r="J182" s="13"/>
      <c r="K182" s="13"/>
      <c r="L182" s="13"/>
      <c r="M182" s="11" t="str">
        <f aca="false">IF(F182="","",COUNTIFS(ENSAYOS!$C$5:$C$3004,F182,ENSAYOS!$Q$5:$Q$3004,"&gt;0"))</f>
        <v/>
      </c>
      <c r="N182" s="15" t="str">
        <f aca="false">IF(N(M182)=0,"",_xlfn.MINIFS(ENSAYOS!$G$5:$G$3004,ENSAYOS!$C$5:$C$3004,F182,ENSAYOS!$Q$5:$Q$3004,"&gt;0"))</f>
        <v/>
      </c>
      <c r="O182" s="15" t="str">
        <f aca="false">IF(N(M182)=0,"",_xlfn.MAXIFS(ENSAYOS!$G$5:$G$3004,ENSAYOS!$C$5:$C$3004,F182,ENSAYOS!$Q$5:$Q$3004,"&gt;0"))</f>
        <v/>
      </c>
      <c r="P182" s="16" t="str">
        <f aca="false">IF(N(M182)=0,"",AVERAGEIFS(ENSAYOS!$Q$5:$Q$3004,ENSAYOS!$C$5:$C$3004,F182,ENSAYOS!$Q$5:$Q$3004,"&gt;0"))</f>
        <v/>
      </c>
      <c r="Q182" s="16" t="str">
        <f aca="false">IF(N(M182)=0,"",_xlfn.MINIFS(ENSAYOS!$Q$5:$Q$3004,ENSAYOS!$C$5:$C$3004,F182,ENSAYOS!$Q$5:$Q$3004,"&gt;0"))</f>
        <v/>
      </c>
      <c r="R182" s="16" t="str">
        <f aca="false">IF(N(M182)=0,"",_xlfn.MAXIFS(ENSAYOS!$Q$5:$Q$3004,ENSAYOS!$C$5:$C$3004,F182,ENSAYOS!$Q$5:$Q$3004,"&gt;0"))</f>
        <v/>
      </c>
      <c r="S182" s="16" t="str">
        <f aca="false">IF(N(M182)&lt;2,"",SQRT(MAX(0,(SUMIFS(ENSAYOS!$X$5:$X$3004,ENSAYOS!$C$5:$C$3004,F182,ENSAYOS!$Q$5:$Q$3004,"&gt;0")-M182*P182^2)/(M182-1))))</f>
        <v/>
      </c>
      <c r="T182" s="17" t="str">
        <f aca="false">IF(S182="","",S182/P182)</f>
        <v/>
      </c>
      <c r="U182" s="16" t="str">
        <f aca="false">IF(N(M182)=0,"",IF(N182&gt;=CONFIG!$B$27,"",AVERAGEIFS(ENSAYOS!$Q$5:$Q$3004,ENSAYOS!$C$5:$C$3004,F182,ENSAYOS!$Q$5:$Q$3004,"&gt;0",ENSAYOS!$G$5:$G$3004,N182)))</f>
        <v/>
      </c>
      <c r="V182" s="16" t="str">
        <f aca="false">IF(N(M182)=0,"",IF(COUNTIFS(ENSAYOS!$C$5:$C$3004,F182,ENSAYOS!$Q$5:$Q$3004,"&gt;0",ENSAYOS!$G$5:$G$3004,"&gt;="&amp;CONFIG!$B$27)=0,"",AVERAGEIFS(ENSAYOS!$Q$5:$Q$3004,ENSAYOS!$C$5:$C$3004,F182,ENSAYOS!$Q$5:$Q$3004,"&gt;0",ENSAYOS!$G$5:$G$3004,"&gt;="&amp;CONFIG!$B$27)))</f>
        <v/>
      </c>
      <c r="W182" s="18" t="str">
        <f aca="false">IF(AND(U182&lt;&gt;"",V182&lt;&gt;""),U182/V182,"")</f>
        <v/>
      </c>
      <c r="X182" s="18" t="str">
        <f aca="false">IF(U182="","",INDEX('CURVA EDAD'!$E$5:$E$32,MIN(28,MAX(1,N182))))</f>
        <v/>
      </c>
      <c r="Y182" s="16" t="str">
        <f aca="false">IF(V182&lt;&gt;"",V182,IF(U182="","",U182/X182))</f>
        <v/>
      </c>
      <c r="Z182" s="16" t="str">
        <f aca="false">IF(V182&lt;&gt;"",_xlfn.MINIFS(ENSAYOS!$Q$5:$Q$3004,ENSAYOS!$C$5:$C$3004,F182,ENSAYOS!$Q$5:$Q$3004,"&gt;0",ENSAYOS!$G$5:$G$3004,"&gt;="&amp;CONFIG!$B$27),IF(U182="","",_xlfn.MINIFS(ENSAYOS!$Q$5:$Q$3004,ENSAYOS!$C$5:$C$3004,F182,ENSAYOS!$Q$5:$Q$3004,"&gt;0",ENSAYOS!$G$5:$G$3004,N182)/X182))</f>
        <v/>
      </c>
      <c r="AA182" s="16" t="str">
        <f aca="false">IF(D182="","",IFERROR(1/(1/INDEX(CONFIG!$J$5:$J$14,MATCH(D182,CONFIG!$D$5:$D$14,0))),""))</f>
        <v/>
      </c>
      <c r="AB182" s="16" t="str">
        <f aca="false">IF(D182="","",IFERROR(1/(1/INDEX(CONFIG!$K$5:$K$14,MATCH(D182,CONFIG!$D$5:$D$14,0))),""))</f>
        <v/>
      </c>
      <c r="AC182" s="19" t="str">
        <f aca="false">IF(N(M182)=0,"",IF(AA182="","Sin spec",IF(AND(Y182&gt;=AA182,OR(AB182="",Z182&gt;=AB182)),"CUMPLE","NO CUMPLE")&amp;IF(V182=""," (est.)","")))</f>
        <v/>
      </c>
      <c r="AD182" s="20" t="str">
        <f aca="false">IF(F182="","",IF(COUNTIFS(ABSORCION!$C$5:$C$1004,F182,ABSORCION!$I$5:$I$1004,"&gt;0")=0,"",AVERAGEIFS(ABSORCION!$I$5:$I$1004,ABSORCION!$C$5:$C$1004,F182,ABSORCION!$I$5:$I$1004,"&gt;0")))</f>
        <v/>
      </c>
      <c r="AE182" s="20" t="str">
        <f aca="false">IF(F182="","",IF(COUNTIFS(ABSORCION!$C$5:$C$1004,F182,ABSORCION!$I$5:$I$1004,"&gt;0")=0,"",AVERAGEIFS(ABSORCION!$K$5:$K$1004,ABSORCION!$C$5:$C$1004,F182,ABSORCION!$I$5:$I$1004,"&gt;0")))</f>
        <v/>
      </c>
      <c r="AF182" s="20" t="str">
        <f aca="false">IF(AE182="","",IF(AE182&gt;=CONFIG!$E$21,CONFIG!$F$21,IF(AE182&gt;=CONFIG!$E$20,CONFIG!$F$20,CONFIG!$F$19)))</f>
        <v/>
      </c>
      <c r="AG182" s="21" t="str">
        <f aca="false">IF(F182="","",TRIM(IF(N(M182)=0,"Sin ensayos. ","")&amp;IF(AND(N(M182)&gt;0,N(M182)&lt;CONFIG!$B$26),"Menos de "&amp;CONFIG!$B$26&amp;" probetas. ","")&amp;IF(N(T182)&gt;CONFIG!$B$25,"CV alto. ","")&amp;IF(AND(N(AD182)&gt;0,N(AD182)&gt;N(AF182)),"Absorción alta. ","")))</f>
        <v/>
      </c>
      <c r="AH182" s="22" t="str">
        <f aca="false">IF(AND(N(M182)&gt;0,OR(CONTROL!$C$4="TODAS",C182=CONTROL!$C$4),D182=CONTROL!$C$5),MAX($AH$4:AH181)+1,"")</f>
        <v/>
      </c>
      <c r="AI182" s="22" t="str">
        <f aca="false">IF(AH182="","",P182^2)</f>
        <v/>
      </c>
    </row>
    <row r="183" customFormat="false" ht="15" hidden="false" customHeight="false" outlineLevel="0" collapsed="false">
      <c r="A183" s="11" t="str">
        <f aca="false">IF(B183="","",ROW()-4)</f>
        <v/>
      </c>
      <c r="B183" s="12"/>
      <c r="C183" s="13"/>
      <c r="D183" s="13"/>
      <c r="E183" s="13"/>
      <c r="F183" s="14" t="str">
        <f aca="false">IF(OR(B183="",C183="",D183=""),"",IFERROR(INDEX(CONFIG!$E$5:$E$14,MATCH(D183,CONFIG!$D$5:$D$14,0)),"?")&amp;RIGHT("0"&amp;DAY(B183),2)&amp;RIGHT("0"&amp;MONTH(B183),2)&amp;RIGHT(YEAR(B183),2)&amp;C183&amp;IF(E183="","","-"&amp;E183))</f>
        <v/>
      </c>
      <c r="G183" s="13"/>
      <c r="H183" s="13"/>
      <c r="I183" s="13"/>
      <c r="J183" s="13"/>
      <c r="K183" s="13"/>
      <c r="L183" s="13"/>
      <c r="M183" s="11" t="str">
        <f aca="false">IF(F183="","",COUNTIFS(ENSAYOS!$C$5:$C$3004,F183,ENSAYOS!$Q$5:$Q$3004,"&gt;0"))</f>
        <v/>
      </c>
      <c r="N183" s="15" t="str">
        <f aca="false">IF(N(M183)=0,"",_xlfn.MINIFS(ENSAYOS!$G$5:$G$3004,ENSAYOS!$C$5:$C$3004,F183,ENSAYOS!$Q$5:$Q$3004,"&gt;0"))</f>
        <v/>
      </c>
      <c r="O183" s="15" t="str">
        <f aca="false">IF(N(M183)=0,"",_xlfn.MAXIFS(ENSAYOS!$G$5:$G$3004,ENSAYOS!$C$5:$C$3004,F183,ENSAYOS!$Q$5:$Q$3004,"&gt;0"))</f>
        <v/>
      </c>
      <c r="P183" s="16" t="str">
        <f aca="false">IF(N(M183)=0,"",AVERAGEIFS(ENSAYOS!$Q$5:$Q$3004,ENSAYOS!$C$5:$C$3004,F183,ENSAYOS!$Q$5:$Q$3004,"&gt;0"))</f>
        <v/>
      </c>
      <c r="Q183" s="16" t="str">
        <f aca="false">IF(N(M183)=0,"",_xlfn.MINIFS(ENSAYOS!$Q$5:$Q$3004,ENSAYOS!$C$5:$C$3004,F183,ENSAYOS!$Q$5:$Q$3004,"&gt;0"))</f>
        <v/>
      </c>
      <c r="R183" s="16" t="str">
        <f aca="false">IF(N(M183)=0,"",_xlfn.MAXIFS(ENSAYOS!$Q$5:$Q$3004,ENSAYOS!$C$5:$C$3004,F183,ENSAYOS!$Q$5:$Q$3004,"&gt;0"))</f>
        <v/>
      </c>
      <c r="S183" s="16" t="str">
        <f aca="false">IF(N(M183)&lt;2,"",SQRT(MAX(0,(SUMIFS(ENSAYOS!$X$5:$X$3004,ENSAYOS!$C$5:$C$3004,F183,ENSAYOS!$Q$5:$Q$3004,"&gt;0")-M183*P183^2)/(M183-1))))</f>
        <v/>
      </c>
      <c r="T183" s="17" t="str">
        <f aca="false">IF(S183="","",S183/P183)</f>
        <v/>
      </c>
      <c r="U183" s="16" t="str">
        <f aca="false">IF(N(M183)=0,"",IF(N183&gt;=CONFIG!$B$27,"",AVERAGEIFS(ENSAYOS!$Q$5:$Q$3004,ENSAYOS!$C$5:$C$3004,F183,ENSAYOS!$Q$5:$Q$3004,"&gt;0",ENSAYOS!$G$5:$G$3004,N183)))</f>
        <v/>
      </c>
      <c r="V183" s="16" t="str">
        <f aca="false">IF(N(M183)=0,"",IF(COUNTIFS(ENSAYOS!$C$5:$C$3004,F183,ENSAYOS!$Q$5:$Q$3004,"&gt;0",ENSAYOS!$G$5:$G$3004,"&gt;="&amp;CONFIG!$B$27)=0,"",AVERAGEIFS(ENSAYOS!$Q$5:$Q$3004,ENSAYOS!$C$5:$C$3004,F183,ENSAYOS!$Q$5:$Q$3004,"&gt;0",ENSAYOS!$G$5:$G$3004,"&gt;="&amp;CONFIG!$B$27)))</f>
        <v/>
      </c>
      <c r="W183" s="18" t="str">
        <f aca="false">IF(AND(U183&lt;&gt;"",V183&lt;&gt;""),U183/V183,"")</f>
        <v/>
      </c>
      <c r="X183" s="18" t="str">
        <f aca="false">IF(U183="","",INDEX('CURVA EDAD'!$E$5:$E$32,MIN(28,MAX(1,N183))))</f>
        <v/>
      </c>
      <c r="Y183" s="16" t="str">
        <f aca="false">IF(V183&lt;&gt;"",V183,IF(U183="","",U183/X183))</f>
        <v/>
      </c>
      <c r="Z183" s="16" t="str">
        <f aca="false">IF(V183&lt;&gt;"",_xlfn.MINIFS(ENSAYOS!$Q$5:$Q$3004,ENSAYOS!$C$5:$C$3004,F183,ENSAYOS!$Q$5:$Q$3004,"&gt;0",ENSAYOS!$G$5:$G$3004,"&gt;="&amp;CONFIG!$B$27),IF(U183="","",_xlfn.MINIFS(ENSAYOS!$Q$5:$Q$3004,ENSAYOS!$C$5:$C$3004,F183,ENSAYOS!$Q$5:$Q$3004,"&gt;0",ENSAYOS!$G$5:$G$3004,N183)/X183))</f>
        <v/>
      </c>
      <c r="AA183" s="16" t="str">
        <f aca="false">IF(D183="","",IFERROR(1/(1/INDEX(CONFIG!$J$5:$J$14,MATCH(D183,CONFIG!$D$5:$D$14,0))),""))</f>
        <v/>
      </c>
      <c r="AB183" s="16" t="str">
        <f aca="false">IF(D183="","",IFERROR(1/(1/INDEX(CONFIG!$K$5:$K$14,MATCH(D183,CONFIG!$D$5:$D$14,0))),""))</f>
        <v/>
      </c>
      <c r="AC183" s="19" t="str">
        <f aca="false">IF(N(M183)=0,"",IF(AA183="","Sin spec",IF(AND(Y183&gt;=AA183,OR(AB183="",Z183&gt;=AB183)),"CUMPLE","NO CUMPLE")&amp;IF(V183=""," (est.)","")))</f>
        <v/>
      </c>
      <c r="AD183" s="20" t="str">
        <f aca="false">IF(F183="","",IF(COUNTIFS(ABSORCION!$C$5:$C$1004,F183,ABSORCION!$I$5:$I$1004,"&gt;0")=0,"",AVERAGEIFS(ABSORCION!$I$5:$I$1004,ABSORCION!$C$5:$C$1004,F183,ABSORCION!$I$5:$I$1004,"&gt;0")))</f>
        <v/>
      </c>
      <c r="AE183" s="20" t="str">
        <f aca="false">IF(F183="","",IF(COUNTIFS(ABSORCION!$C$5:$C$1004,F183,ABSORCION!$I$5:$I$1004,"&gt;0")=0,"",AVERAGEIFS(ABSORCION!$K$5:$K$1004,ABSORCION!$C$5:$C$1004,F183,ABSORCION!$I$5:$I$1004,"&gt;0")))</f>
        <v/>
      </c>
      <c r="AF183" s="20" t="str">
        <f aca="false">IF(AE183="","",IF(AE183&gt;=CONFIG!$E$21,CONFIG!$F$21,IF(AE183&gt;=CONFIG!$E$20,CONFIG!$F$20,CONFIG!$F$19)))</f>
        <v/>
      </c>
      <c r="AG183" s="21" t="str">
        <f aca="false">IF(F183="","",TRIM(IF(N(M183)=0,"Sin ensayos. ","")&amp;IF(AND(N(M183)&gt;0,N(M183)&lt;CONFIG!$B$26),"Menos de "&amp;CONFIG!$B$26&amp;" probetas. ","")&amp;IF(N(T183)&gt;CONFIG!$B$25,"CV alto. ","")&amp;IF(AND(N(AD183)&gt;0,N(AD183)&gt;N(AF183)),"Absorción alta. ","")))</f>
        <v/>
      </c>
      <c r="AH183" s="22" t="str">
        <f aca="false">IF(AND(N(M183)&gt;0,OR(CONTROL!$C$4="TODAS",C183=CONTROL!$C$4),D183=CONTROL!$C$5),MAX($AH$4:AH182)+1,"")</f>
        <v/>
      </c>
      <c r="AI183" s="22" t="str">
        <f aca="false">IF(AH183="","",P183^2)</f>
        <v/>
      </c>
    </row>
    <row r="184" customFormat="false" ht="15" hidden="false" customHeight="false" outlineLevel="0" collapsed="false">
      <c r="A184" s="11" t="str">
        <f aca="false">IF(B184="","",ROW()-4)</f>
        <v/>
      </c>
      <c r="B184" s="12"/>
      <c r="C184" s="13"/>
      <c r="D184" s="13"/>
      <c r="E184" s="13"/>
      <c r="F184" s="14" t="str">
        <f aca="false">IF(OR(B184="",C184="",D184=""),"",IFERROR(INDEX(CONFIG!$E$5:$E$14,MATCH(D184,CONFIG!$D$5:$D$14,0)),"?")&amp;RIGHT("0"&amp;DAY(B184),2)&amp;RIGHT("0"&amp;MONTH(B184),2)&amp;RIGHT(YEAR(B184),2)&amp;C184&amp;IF(E184="","","-"&amp;E184))</f>
        <v/>
      </c>
      <c r="G184" s="13"/>
      <c r="H184" s="13"/>
      <c r="I184" s="13"/>
      <c r="J184" s="13"/>
      <c r="K184" s="13"/>
      <c r="L184" s="13"/>
      <c r="M184" s="11" t="str">
        <f aca="false">IF(F184="","",COUNTIFS(ENSAYOS!$C$5:$C$3004,F184,ENSAYOS!$Q$5:$Q$3004,"&gt;0"))</f>
        <v/>
      </c>
      <c r="N184" s="15" t="str">
        <f aca="false">IF(N(M184)=0,"",_xlfn.MINIFS(ENSAYOS!$G$5:$G$3004,ENSAYOS!$C$5:$C$3004,F184,ENSAYOS!$Q$5:$Q$3004,"&gt;0"))</f>
        <v/>
      </c>
      <c r="O184" s="15" t="str">
        <f aca="false">IF(N(M184)=0,"",_xlfn.MAXIFS(ENSAYOS!$G$5:$G$3004,ENSAYOS!$C$5:$C$3004,F184,ENSAYOS!$Q$5:$Q$3004,"&gt;0"))</f>
        <v/>
      </c>
      <c r="P184" s="16" t="str">
        <f aca="false">IF(N(M184)=0,"",AVERAGEIFS(ENSAYOS!$Q$5:$Q$3004,ENSAYOS!$C$5:$C$3004,F184,ENSAYOS!$Q$5:$Q$3004,"&gt;0"))</f>
        <v/>
      </c>
      <c r="Q184" s="16" t="str">
        <f aca="false">IF(N(M184)=0,"",_xlfn.MINIFS(ENSAYOS!$Q$5:$Q$3004,ENSAYOS!$C$5:$C$3004,F184,ENSAYOS!$Q$5:$Q$3004,"&gt;0"))</f>
        <v/>
      </c>
      <c r="R184" s="16" t="str">
        <f aca="false">IF(N(M184)=0,"",_xlfn.MAXIFS(ENSAYOS!$Q$5:$Q$3004,ENSAYOS!$C$5:$C$3004,F184,ENSAYOS!$Q$5:$Q$3004,"&gt;0"))</f>
        <v/>
      </c>
      <c r="S184" s="16" t="str">
        <f aca="false">IF(N(M184)&lt;2,"",SQRT(MAX(0,(SUMIFS(ENSAYOS!$X$5:$X$3004,ENSAYOS!$C$5:$C$3004,F184,ENSAYOS!$Q$5:$Q$3004,"&gt;0")-M184*P184^2)/(M184-1))))</f>
        <v/>
      </c>
      <c r="T184" s="17" t="str">
        <f aca="false">IF(S184="","",S184/P184)</f>
        <v/>
      </c>
      <c r="U184" s="16" t="str">
        <f aca="false">IF(N(M184)=0,"",IF(N184&gt;=CONFIG!$B$27,"",AVERAGEIFS(ENSAYOS!$Q$5:$Q$3004,ENSAYOS!$C$5:$C$3004,F184,ENSAYOS!$Q$5:$Q$3004,"&gt;0",ENSAYOS!$G$5:$G$3004,N184)))</f>
        <v/>
      </c>
      <c r="V184" s="16" t="str">
        <f aca="false">IF(N(M184)=0,"",IF(COUNTIFS(ENSAYOS!$C$5:$C$3004,F184,ENSAYOS!$Q$5:$Q$3004,"&gt;0",ENSAYOS!$G$5:$G$3004,"&gt;="&amp;CONFIG!$B$27)=0,"",AVERAGEIFS(ENSAYOS!$Q$5:$Q$3004,ENSAYOS!$C$5:$C$3004,F184,ENSAYOS!$Q$5:$Q$3004,"&gt;0",ENSAYOS!$G$5:$G$3004,"&gt;="&amp;CONFIG!$B$27)))</f>
        <v/>
      </c>
      <c r="W184" s="18" t="str">
        <f aca="false">IF(AND(U184&lt;&gt;"",V184&lt;&gt;""),U184/V184,"")</f>
        <v/>
      </c>
      <c r="X184" s="18" t="str">
        <f aca="false">IF(U184="","",INDEX('CURVA EDAD'!$E$5:$E$32,MIN(28,MAX(1,N184))))</f>
        <v/>
      </c>
      <c r="Y184" s="16" t="str">
        <f aca="false">IF(V184&lt;&gt;"",V184,IF(U184="","",U184/X184))</f>
        <v/>
      </c>
      <c r="Z184" s="16" t="str">
        <f aca="false">IF(V184&lt;&gt;"",_xlfn.MINIFS(ENSAYOS!$Q$5:$Q$3004,ENSAYOS!$C$5:$C$3004,F184,ENSAYOS!$Q$5:$Q$3004,"&gt;0",ENSAYOS!$G$5:$G$3004,"&gt;="&amp;CONFIG!$B$27),IF(U184="","",_xlfn.MINIFS(ENSAYOS!$Q$5:$Q$3004,ENSAYOS!$C$5:$C$3004,F184,ENSAYOS!$Q$5:$Q$3004,"&gt;0",ENSAYOS!$G$5:$G$3004,N184)/X184))</f>
        <v/>
      </c>
      <c r="AA184" s="16" t="str">
        <f aca="false">IF(D184="","",IFERROR(1/(1/INDEX(CONFIG!$J$5:$J$14,MATCH(D184,CONFIG!$D$5:$D$14,0))),""))</f>
        <v/>
      </c>
      <c r="AB184" s="16" t="str">
        <f aca="false">IF(D184="","",IFERROR(1/(1/INDEX(CONFIG!$K$5:$K$14,MATCH(D184,CONFIG!$D$5:$D$14,0))),""))</f>
        <v/>
      </c>
      <c r="AC184" s="19" t="str">
        <f aca="false">IF(N(M184)=0,"",IF(AA184="","Sin spec",IF(AND(Y184&gt;=AA184,OR(AB184="",Z184&gt;=AB184)),"CUMPLE","NO CUMPLE")&amp;IF(V184=""," (est.)","")))</f>
        <v/>
      </c>
      <c r="AD184" s="20" t="str">
        <f aca="false">IF(F184="","",IF(COUNTIFS(ABSORCION!$C$5:$C$1004,F184,ABSORCION!$I$5:$I$1004,"&gt;0")=0,"",AVERAGEIFS(ABSORCION!$I$5:$I$1004,ABSORCION!$C$5:$C$1004,F184,ABSORCION!$I$5:$I$1004,"&gt;0")))</f>
        <v/>
      </c>
      <c r="AE184" s="20" t="str">
        <f aca="false">IF(F184="","",IF(COUNTIFS(ABSORCION!$C$5:$C$1004,F184,ABSORCION!$I$5:$I$1004,"&gt;0")=0,"",AVERAGEIFS(ABSORCION!$K$5:$K$1004,ABSORCION!$C$5:$C$1004,F184,ABSORCION!$I$5:$I$1004,"&gt;0")))</f>
        <v/>
      </c>
      <c r="AF184" s="20" t="str">
        <f aca="false">IF(AE184="","",IF(AE184&gt;=CONFIG!$E$21,CONFIG!$F$21,IF(AE184&gt;=CONFIG!$E$20,CONFIG!$F$20,CONFIG!$F$19)))</f>
        <v/>
      </c>
      <c r="AG184" s="21" t="str">
        <f aca="false">IF(F184="","",TRIM(IF(N(M184)=0,"Sin ensayos. ","")&amp;IF(AND(N(M184)&gt;0,N(M184)&lt;CONFIG!$B$26),"Menos de "&amp;CONFIG!$B$26&amp;" probetas. ","")&amp;IF(N(T184)&gt;CONFIG!$B$25,"CV alto. ","")&amp;IF(AND(N(AD184)&gt;0,N(AD184)&gt;N(AF184)),"Absorción alta. ","")))</f>
        <v/>
      </c>
      <c r="AH184" s="22" t="str">
        <f aca="false">IF(AND(N(M184)&gt;0,OR(CONTROL!$C$4="TODAS",C184=CONTROL!$C$4),D184=CONTROL!$C$5),MAX($AH$4:AH183)+1,"")</f>
        <v/>
      </c>
      <c r="AI184" s="22" t="str">
        <f aca="false">IF(AH184="","",P184^2)</f>
        <v/>
      </c>
    </row>
    <row r="185" customFormat="false" ht="15" hidden="false" customHeight="false" outlineLevel="0" collapsed="false">
      <c r="A185" s="11" t="str">
        <f aca="false">IF(B185="","",ROW()-4)</f>
        <v/>
      </c>
      <c r="B185" s="12"/>
      <c r="C185" s="13"/>
      <c r="D185" s="13"/>
      <c r="E185" s="13"/>
      <c r="F185" s="14" t="str">
        <f aca="false">IF(OR(B185="",C185="",D185=""),"",IFERROR(INDEX(CONFIG!$E$5:$E$14,MATCH(D185,CONFIG!$D$5:$D$14,0)),"?")&amp;RIGHT("0"&amp;DAY(B185),2)&amp;RIGHT("0"&amp;MONTH(B185),2)&amp;RIGHT(YEAR(B185),2)&amp;C185&amp;IF(E185="","","-"&amp;E185))</f>
        <v/>
      </c>
      <c r="G185" s="13"/>
      <c r="H185" s="13"/>
      <c r="I185" s="13"/>
      <c r="J185" s="13"/>
      <c r="K185" s="13"/>
      <c r="L185" s="13"/>
      <c r="M185" s="11" t="str">
        <f aca="false">IF(F185="","",COUNTIFS(ENSAYOS!$C$5:$C$3004,F185,ENSAYOS!$Q$5:$Q$3004,"&gt;0"))</f>
        <v/>
      </c>
      <c r="N185" s="15" t="str">
        <f aca="false">IF(N(M185)=0,"",_xlfn.MINIFS(ENSAYOS!$G$5:$G$3004,ENSAYOS!$C$5:$C$3004,F185,ENSAYOS!$Q$5:$Q$3004,"&gt;0"))</f>
        <v/>
      </c>
      <c r="O185" s="15" t="str">
        <f aca="false">IF(N(M185)=0,"",_xlfn.MAXIFS(ENSAYOS!$G$5:$G$3004,ENSAYOS!$C$5:$C$3004,F185,ENSAYOS!$Q$5:$Q$3004,"&gt;0"))</f>
        <v/>
      </c>
      <c r="P185" s="16" t="str">
        <f aca="false">IF(N(M185)=0,"",AVERAGEIFS(ENSAYOS!$Q$5:$Q$3004,ENSAYOS!$C$5:$C$3004,F185,ENSAYOS!$Q$5:$Q$3004,"&gt;0"))</f>
        <v/>
      </c>
      <c r="Q185" s="16" t="str">
        <f aca="false">IF(N(M185)=0,"",_xlfn.MINIFS(ENSAYOS!$Q$5:$Q$3004,ENSAYOS!$C$5:$C$3004,F185,ENSAYOS!$Q$5:$Q$3004,"&gt;0"))</f>
        <v/>
      </c>
      <c r="R185" s="16" t="str">
        <f aca="false">IF(N(M185)=0,"",_xlfn.MAXIFS(ENSAYOS!$Q$5:$Q$3004,ENSAYOS!$C$5:$C$3004,F185,ENSAYOS!$Q$5:$Q$3004,"&gt;0"))</f>
        <v/>
      </c>
      <c r="S185" s="16" t="str">
        <f aca="false">IF(N(M185)&lt;2,"",SQRT(MAX(0,(SUMIFS(ENSAYOS!$X$5:$X$3004,ENSAYOS!$C$5:$C$3004,F185,ENSAYOS!$Q$5:$Q$3004,"&gt;0")-M185*P185^2)/(M185-1))))</f>
        <v/>
      </c>
      <c r="T185" s="17" t="str">
        <f aca="false">IF(S185="","",S185/P185)</f>
        <v/>
      </c>
      <c r="U185" s="16" t="str">
        <f aca="false">IF(N(M185)=0,"",IF(N185&gt;=CONFIG!$B$27,"",AVERAGEIFS(ENSAYOS!$Q$5:$Q$3004,ENSAYOS!$C$5:$C$3004,F185,ENSAYOS!$Q$5:$Q$3004,"&gt;0",ENSAYOS!$G$5:$G$3004,N185)))</f>
        <v/>
      </c>
      <c r="V185" s="16" t="str">
        <f aca="false">IF(N(M185)=0,"",IF(COUNTIFS(ENSAYOS!$C$5:$C$3004,F185,ENSAYOS!$Q$5:$Q$3004,"&gt;0",ENSAYOS!$G$5:$G$3004,"&gt;="&amp;CONFIG!$B$27)=0,"",AVERAGEIFS(ENSAYOS!$Q$5:$Q$3004,ENSAYOS!$C$5:$C$3004,F185,ENSAYOS!$Q$5:$Q$3004,"&gt;0",ENSAYOS!$G$5:$G$3004,"&gt;="&amp;CONFIG!$B$27)))</f>
        <v/>
      </c>
      <c r="W185" s="18" t="str">
        <f aca="false">IF(AND(U185&lt;&gt;"",V185&lt;&gt;""),U185/V185,"")</f>
        <v/>
      </c>
      <c r="X185" s="18" t="str">
        <f aca="false">IF(U185="","",INDEX('CURVA EDAD'!$E$5:$E$32,MIN(28,MAX(1,N185))))</f>
        <v/>
      </c>
      <c r="Y185" s="16" t="str">
        <f aca="false">IF(V185&lt;&gt;"",V185,IF(U185="","",U185/X185))</f>
        <v/>
      </c>
      <c r="Z185" s="16" t="str">
        <f aca="false">IF(V185&lt;&gt;"",_xlfn.MINIFS(ENSAYOS!$Q$5:$Q$3004,ENSAYOS!$C$5:$C$3004,F185,ENSAYOS!$Q$5:$Q$3004,"&gt;0",ENSAYOS!$G$5:$G$3004,"&gt;="&amp;CONFIG!$B$27),IF(U185="","",_xlfn.MINIFS(ENSAYOS!$Q$5:$Q$3004,ENSAYOS!$C$5:$C$3004,F185,ENSAYOS!$Q$5:$Q$3004,"&gt;0",ENSAYOS!$G$5:$G$3004,N185)/X185))</f>
        <v/>
      </c>
      <c r="AA185" s="16" t="str">
        <f aca="false">IF(D185="","",IFERROR(1/(1/INDEX(CONFIG!$J$5:$J$14,MATCH(D185,CONFIG!$D$5:$D$14,0))),""))</f>
        <v/>
      </c>
      <c r="AB185" s="16" t="str">
        <f aca="false">IF(D185="","",IFERROR(1/(1/INDEX(CONFIG!$K$5:$K$14,MATCH(D185,CONFIG!$D$5:$D$14,0))),""))</f>
        <v/>
      </c>
      <c r="AC185" s="19" t="str">
        <f aca="false">IF(N(M185)=0,"",IF(AA185="","Sin spec",IF(AND(Y185&gt;=AA185,OR(AB185="",Z185&gt;=AB185)),"CUMPLE","NO CUMPLE")&amp;IF(V185=""," (est.)","")))</f>
        <v/>
      </c>
      <c r="AD185" s="20" t="str">
        <f aca="false">IF(F185="","",IF(COUNTIFS(ABSORCION!$C$5:$C$1004,F185,ABSORCION!$I$5:$I$1004,"&gt;0")=0,"",AVERAGEIFS(ABSORCION!$I$5:$I$1004,ABSORCION!$C$5:$C$1004,F185,ABSORCION!$I$5:$I$1004,"&gt;0")))</f>
        <v/>
      </c>
      <c r="AE185" s="20" t="str">
        <f aca="false">IF(F185="","",IF(COUNTIFS(ABSORCION!$C$5:$C$1004,F185,ABSORCION!$I$5:$I$1004,"&gt;0")=0,"",AVERAGEIFS(ABSORCION!$K$5:$K$1004,ABSORCION!$C$5:$C$1004,F185,ABSORCION!$I$5:$I$1004,"&gt;0")))</f>
        <v/>
      </c>
      <c r="AF185" s="20" t="str">
        <f aca="false">IF(AE185="","",IF(AE185&gt;=CONFIG!$E$21,CONFIG!$F$21,IF(AE185&gt;=CONFIG!$E$20,CONFIG!$F$20,CONFIG!$F$19)))</f>
        <v/>
      </c>
      <c r="AG185" s="21" t="str">
        <f aca="false">IF(F185="","",TRIM(IF(N(M185)=0,"Sin ensayos. ","")&amp;IF(AND(N(M185)&gt;0,N(M185)&lt;CONFIG!$B$26),"Menos de "&amp;CONFIG!$B$26&amp;" probetas. ","")&amp;IF(N(T185)&gt;CONFIG!$B$25,"CV alto. ","")&amp;IF(AND(N(AD185)&gt;0,N(AD185)&gt;N(AF185)),"Absorción alta. ","")))</f>
        <v/>
      </c>
      <c r="AH185" s="22" t="str">
        <f aca="false">IF(AND(N(M185)&gt;0,OR(CONTROL!$C$4="TODAS",C185=CONTROL!$C$4),D185=CONTROL!$C$5),MAX($AH$4:AH184)+1,"")</f>
        <v/>
      </c>
      <c r="AI185" s="22" t="str">
        <f aca="false">IF(AH185="","",P185^2)</f>
        <v/>
      </c>
    </row>
    <row r="186" customFormat="false" ht="15" hidden="false" customHeight="false" outlineLevel="0" collapsed="false">
      <c r="A186" s="11" t="str">
        <f aca="false">IF(B186="","",ROW()-4)</f>
        <v/>
      </c>
      <c r="B186" s="12"/>
      <c r="C186" s="13"/>
      <c r="D186" s="13"/>
      <c r="E186" s="13"/>
      <c r="F186" s="14" t="str">
        <f aca="false">IF(OR(B186="",C186="",D186=""),"",IFERROR(INDEX(CONFIG!$E$5:$E$14,MATCH(D186,CONFIG!$D$5:$D$14,0)),"?")&amp;RIGHT("0"&amp;DAY(B186),2)&amp;RIGHT("0"&amp;MONTH(B186),2)&amp;RIGHT(YEAR(B186),2)&amp;C186&amp;IF(E186="","","-"&amp;E186))</f>
        <v/>
      </c>
      <c r="G186" s="13"/>
      <c r="H186" s="13"/>
      <c r="I186" s="13"/>
      <c r="J186" s="13"/>
      <c r="K186" s="13"/>
      <c r="L186" s="13"/>
      <c r="M186" s="11" t="str">
        <f aca="false">IF(F186="","",COUNTIFS(ENSAYOS!$C$5:$C$3004,F186,ENSAYOS!$Q$5:$Q$3004,"&gt;0"))</f>
        <v/>
      </c>
      <c r="N186" s="15" t="str">
        <f aca="false">IF(N(M186)=0,"",_xlfn.MINIFS(ENSAYOS!$G$5:$G$3004,ENSAYOS!$C$5:$C$3004,F186,ENSAYOS!$Q$5:$Q$3004,"&gt;0"))</f>
        <v/>
      </c>
      <c r="O186" s="15" t="str">
        <f aca="false">IF(N(M186)=0,"",_xlfn.MAXIFS(ENSAYOS!$G$5:$G$3004,ENSAYOS!$C$5:$C$3004,F186,ENSAYOS!$Q$5:$Q$3004,"&gt;0"))</f>
        <v/>
      </c>
      <c r="P186" s="16" t="str">
        <f aca="false">IF(N(M186)=0,"",AVERAGEIFS(ENSAYOS!$Q$5:$Q$3004,ENSAYOS!$C$5:$C$3004,F186,ENSAYOS!$Q$5:$Q$3004,"&gt;0"))</f>
        <v/>
      </c>
      <c r="Q186" s="16" t="str">
        <f aca="false">IF(N(M186)=0,"",_xlfn.MINIFS(ENSAYOS!$Q$5:$Q$3004,ENSAYOS!$C$5:$C$3004,F186,ENSAYOS!$Q$5:$Q$3004,"&gt;0"))</f>
        <v/>
      </c>
      <c r="R186" s="16" t="str">
        <f aca="false">IF(N(M186)=0,"",_xlfn.MAXIFS(ENSAYOS!$Q$5:$Q$3004,ENSAYOS!$C$5:$C$3004,F186,ENSAYOS!$Q$5:$Q$3004,"&gt;0"))</f>
        <v/>
      </c>
      <c r="S186" s="16" t="str">
        <f aca="false">IF(N(M186)&lt;2,"",SQRT(MAX(0,(SUMIFS(ENSAYOS!$X$5:$X$3004,ENSAYOS!$C$5:$C$3004,F186,ENSAYOS!$Q$5:$Q$3004,"&gt;0")-M186*P186^2)/(M186-1))))</f>
        <v/>
      </c>
      <c r="T186" s="17" t="str">
        <f aca="false">IF(S186="","",S186/P186)</f>
        <v/>
      </c>
      <c r="U186" s="16" t="str">
        <f aca="false">IF(N(M186)=0,"",IF(N186&gt;=CONFIG!$B$27,"",AVERAGEIFS(ENSAYOS!$Q$5:$Q$3004,ENSAYOS!$C$5:$C$3004,F186,ENSAYOS!$Q$5:$Q$3004,"&gt;0",ENSAYOS!$G$5:$G$3004,N186)))</f>
        <v/>
      </c>
      <c r="V186" s="16" t="str">
        <f aca="false">IF(N(M186)=0,"",IF(COUNTIFS(ENSAYOS!$C$5:$C$3004,F186,ENSAYOS!$Q$5:$Q$3004,"&gt;0",ENSAYOS!$G$5:$G$3004,"&gt;="&amp;CONFIG!$B$27)=0,"",AVERAGEIFS(ENSAYOS!$Q$5:$Q$3004,ENSAYOS!$C$5:$C$3004,F186,ENSAYOS!$Q$5:$Q$3004,"&gt;0",ENSAYOS!$G$5:$G$3004,"&gt;="&amp;CONFIG!$B$27)))</f>
        <v/>
      </c>
      <c r="W186" s="18" t="str">
        <f aca="false">IF(AND(U186&lt;&gt;"",V186&lt;&gt;""),U186/V186,"")</f>
        <v/>
      </c>
      <c r="X186" s="18" t="str">
        <f aca="false">IF(U186="","",INDEX('CURVA EDAD'!$E$5:$E$32,MIN(28,MAX(1,N186))))</f>
        <v/>
      </c>
      <c r="Y186" s="16" t="str">
        <f aca="false">IF(V186&lt;&gt;"",V186,IF(U186="","",U186/X186))</f>
        <v/>
      </c>
      <c r="Z186" s="16" t="str">
        <f aca="false">IF(V186&lt;&gt;"",_xlfn.MINIFS(ENSAYOS!$Q$5:$Q$3004,ENSAYOS!$C$5:$C$3004,F186,ENSAYOS!$Q$5:$Q$3004,"&gt;0",ENSAYOS!$G$5:$G$3004,"&gt;="&amp;CONFIG!$B$27),IF(U186="","",_xlfn.MINIFS(ENSAYOS!$Q$5:$Q$3004,ENSAYOS!$C$5:$C$3004,F186,ENSAYOS!$Q$5:$Q$3004,"&gt;0",ENSAYOS!$G$5:$G$3004,N186)/X186))</f>
        <v/>
      </c>
      <c r="AA186" s="16" t="str">
        <f aca="false">IF(D186="","",IFERROR(1/(1/INDEX(CONFIG!$J$5:$J$14,MATCH(D186,CONFIG!$D$5:$D$14,0))),""))</f>
        <v/>
      </c>
      <c r="AB186" s="16" t="str">
        <f aca="false">IF(D186="","",IFERROR(1/(1/INDEX(CONFIG!$K$5:$K$14,MATCH(D186,CONFIG!$D$5:$D$14,0))),""))</f>
        <v/>
      </c>
      <c r="AC186" s="19" t="str">
        <f aca="false">IF(N(M186)=0,"",IF(AA186="","Sin spec",IF(AND(Y186&gt;=AA186,OR(AB186="",Z186&gt;=AB186)),"CUMPLE","NO CUMPLE")&amp;IF(V186=""," (est.)","")))</f>
        <v/>
      </c>
      <c r="AD186" s="20" t="str">
        <f aca="false">IF(F186="","",IF(COUNTIFS(ABSORCION!$C$5:$C$1004,F186,ABSORCION!$I$5:$I$1004,"&gt;0")=0,"",AVERAGEIFS(ABSORCION!$I$5:$I$1004,ABSORCION!$C$5:$C$1004,F186,ABSORCION!$I$5:$I$1004,"&gt;0")))</f>
        <v/>
      </c>
      <c r="AE186" s="20" t="str">
        <f aca="false">IF(F186="","",IF(COUNTIFS(ABSORCION!$C$5:$C$1004,F186,ABSORCION!$I$5:$I$1004,"&gt;0")=0,"",AVERAGEIFS(ABSORCION!$K$5:$K$1004,ABSORCION!$C$5:$C$1004,F186,ABSORCION!$I$5:$I$1004,"&gt;0")))</f>
        <v/>
      </c>
      <c r="AF186" s="20" t="str">
        <f aca="false">IF(AE186="","",IF(AE186&gt;=CONFIG!$E$21,CONFIG!$F$21,IF(AE186&gt;=CONFIG!$E$20,CONFIG!$F$20,CONFIG!$F$19)))</f>
        <v/>
      </c>
      <c r="AG186" s="21" t="str">
        <f aca="false">IF(F186="","",TRIM(IF(N(M186)=0,"Sin ensayos. ","")&amp;IF(AND(N(M186)&gt;0,N(M186)&lt;CONFIG!$B$26),"Menos de "&amp;CONFIG!$B$26&amp;" probetas. ","")&amp;IF(N(T186)&gt;CONFIG!$B$25,"CV alto. ","")&amp;IF(AND(N(AD186)&gt;0,N(AD186)&gt;N(AF186)),"Absorción alta. ","")))</f>
        <v/>
      </c>
      <c r="AH186" s="22" t="str">
        <f aca="false">IF(AND(N(M186)&gt;0,OR(CONTROL!$C$4="TODAS",C186=CONTROL!$C$4),D186=CONTROL!$C$5),MAX($AH$4:AH185)+1,"")</f>
        <v/>
      </c>
      <c r="AI186" s="22" t="str">
        <f aca="false">IF(AH186="","",P186^2)</f>
        <v/>
      </c>
    </row>
    <row r="187" customFormat="false" ht="15" hidden="false" customHeight="false" outlineLevel="0" collapsed="false">
      <c r="A187" s="11" t="str">
        <f aca="false">IF(B187="","",ROW()-4)</f>
        <v/>
      </c>
      <c r="B187" s="12"/>
      <c r="C187" s="13"/>
      <c r="D187" s="13"/>
      <c r="E187" s="13"/>
      <c r="F187" s="14" t="str">
        <f aca="false">IF(OR(B187="",C187="",D187=""),"",IFERROR(INDEX(CONFIG!$E$5:$E$14,MATCH(D187,CONFIG!$D$5:$D$14,0)),"?")&amp;RIGHT("0"&amp;DAY(B187),2)&amp;RIGHT("0"&amp;MONTH(B187),2)&amp;RIGHT(YEAR(B187),2)&amp;C187&amp;IF(E187="","","-"&amp;E187))</f>
        <v/>
      </c>
      <c r="G187" s="13"/>
      <c r="H187" s="13"/>
      <c r="I187" s="13"/>
      <c r="J187" s="13"/>
      <c r="K187" s="13"/>
      <c r="L187" s="13"/>
      <c r="M187" s="11" t="str">
        <f aca="false">IF(F187="","",COUNTIFS(ENSAYOS!$C$5:$C$3004,F187,ENSAYOS!$Q$5:$Q$3004,"&gt;0"))</f>
        <v/>
      </c>
      <c r="N187" s="15" t="str">
        <f aca="false">IF(N(M187)=0,"",_xlfn.MINIFS(ENSAYOS!$G$5:$G$3004,ENSAYOS!$C$5:$C$3004,F187,ENSAYOS!$Q$5:$Q$3004,"&gt;0"))</f>
        <v/>
      </c>
      <c r="O187" s="15" t="str">
        <f aca="false">IF(N(M187)=0,"",_xlfn.MAXIFS(ENSAYOS!$G$5:$G$3004,ENSAYOS!$C$5:$C$3004,F187,ENSAYOS!$Q$5:$Q$3004,"&gt;0"))</f>
        <v/>
      </c>
      <c r="P187" s="16" t="str">
        <f aca="false">IF(N(M187)=0,"",AVERAGEIFS(ENSAYOS!$Q$5:$Q$3004,ENSAYOS!$C$5:$C$3004,F187,ENSAYOS!$Q$5:$Q$3004,"&gt;0"))</f>
        <v/>
      </c>
      <c r="Q187" s="16" t="str">
        <f aca="false">IF(N(M187)=0,"",_xlfn.MINIFS(ENSAYOS!$Q$5:$Q$3004,ENSAYOS!$C$5:$C$3004,F187,ENSAYOS!$Q$5:$Q$3004,"&gt;0"))</f>
        <v/>
      </c>
      <c r="R187" s="16" t="str">
        <f aca="false">IF(N(M187)=0,"",_xlfn.MAXIFS(ENSAYOS!$Q$5:$Q$3004,ENSAYOS!$C$5:$C$3004,F187,ENSAYOS!$Q$5:$Q$3004,"&gt;0"))</f>
        <v/>
      </c>
      <c r="S187" s="16" t="str">
        <f aca="false">IF(N(M187)&lt;2,"",SQRT(MAX(0,(SUMIFS(ENSAYOS!$X$5:$X$3004,ENSAYOS!$C$5:$C$3004,F187,ENSAYOS!$Q$5:$Q$3004,"&gt;0")-M187*P187^2)/(M187-1))))</f>
        <v/>
      </c>
      <c r="T187" s="17" t="str">
        <f aca="false">IF(S187="","",S187/P187)</f>
        <v/>
      </c>
      <c r="U187" s="16" t="str">
        <f aca="false">IF(N(M187)=0,"",IF(N187&gt;=CONFIG!$B$27,"",AVERAGEIFS(ENSAYOS!$Q$5:$Q$3004,ENSAYOS!$C$5:$C$3004,F187,ENSAYOS!$Q$5:$Q$3004,"&gt;0",ENSAYOS!$G$5:$G$3004,N187)))</f>
        <v/>
      </c>
      <c r="V187" s="16" t="str">
        <f aca="false">IF(N(M187)=0,"",IF(COUNTIFS(ENSAYOS!$C$5:$C$3004,F187,ENSAYOS!$Q$5:$Q$3004,"&gt;0",ENSAYOS!$G$5:$G$3004,"&gt;="&amp;CONFIG!$B$27)=0,"",AVERAGEIFS(ENSAYOS!$Q$5:$Q$3004,ENSAYOS!$C$5:$C$3004,F187,ENSAYOS!$Q$5:$Q$3004,"&gt;0",ENSAYOS!$G$5:$G$3004,"&gt;="&amp;CONFIG!$B$27)))</f>
        <v/>
      </c>
      <c r="W187" s="18" t="str">
        <f aca="false">IF(AND(U187&lt;&gt;"",V187&lt;&gt;""),U187/V187,"")</f>
        <v/>
      </c>
      <c r="X187" s="18" t="str">
        <f aca="false">IF(U187="","",INDEX('CURVA EDAD'!$E$5:$E$32,MIN(28,MAX(1,N187))))</f>
        <v/>
      </c>
      <c r="Y187" s="16" t="str">
        <f aca="false">IF(V187&lt;&gt;"",V187,IF(U187="","",U187/X187))</f>
        <v/>
      </c>
      <c r="Z187" s="16" t="str">
        <f aca="false">IF(V187&lt;&gt;"",_xlfn.MINIFS(ENSAYOS!$Q$5:$Q$3004,ENSAYOS!$C$5:$C$3004,F187,ENSAYOS!$Q$5:$Q$3004,"&gt;0",ENSAYOS!$G$5:$G$3004,"&gt;="&amp;CONFIG!$B$27),IF(U187="","",_xlfn.MINIFS(ENSAYOS!$Q$5:$Q$3004,ENSAYOS!$C$5:$C$3004,F187,ENSAYOS!$Q$5:$Q$3004,"&gt;0",ENSAYOS!$G$5:$G$3004,N187)/X187))</f>
        <v/>
      </c>
      <c r="AA187" s="16" t="str">
        <f aca="false">IF(D187="","",IFERROR(1/(1/INDEX(CONFIG!$J$5:$J$14,MATCH(D187,CONFIG!$D$5:$D$14,0))),""))</f>
        <v/>
      </c>
      <c r="AB187" s="16" t="str">
        <f aca="false">IF(D187="","",IFERROR(1/(1/INDEX(CONFIG!$K$5:$K$14,MATCH(D187,CONFIG!$D$5:$D$14,0))),""))</f>
        <v/>
      </c>
      <c r="AC187" s="19" t="str">
        <f aca="false">IF(N(M187)=0,"",IF(AA187="","Sin spec",IF(AND(Y187&gt;=AA187,OR(AB187="",Z187&gt;=AB187)),"CUMPLE","NO CUMPLE")&amp;IF(V187=""," (est.)","")))</f>
        <v/>
      </c>
      <c r="AD187" s="20" t="str">
        <f aca="false">IF(F187="","",IF(COUNTIFS(ABSORCION!$C$5:$C$1004,F187,ABSORCION!$I$5:$I$1004,"&gt;0")=0,"",AVERAGEIFS(ABSORCION!$I$5:$I$1004,ABSORCION!$C$5:$C$1004,F187,ABSORCION!$I$5:$I$1004,"&gt;0")))</f>
        <v/>
      </c>
      <c r="AE187" s="20" t="str">
        <f aca="false">IF(F187="","",IF(COUNTIFS(ABSORCION!$C$5:$C$1004,F187,ABSORCION!$I$5:$I$1004,"&gt;0")=0,"",AVERAGEIFS(ABSORCION!$K$5:$K$1004,ABSORCION!$C$5:$C$1004,F187,ABSORCION!$I$5:$I$1004,"&gt;0")))</f>
        <v/>
      </c>
      <c r="AF187" s="20" t="str">
        <f aca="false">IF(AE187="","",IF(AE187&gt;=CONFIG!$E$21,CONFIG!$F$21,IF(AE187&gt;=CONFIG!$E$20,CONFIG!$F$20,CONFIG!$F$19)))</f>
        <v/>
      </c>
      <c r="AG187" s="21" t="str">
        <f aca="false">IF(F187="","",TRIM(IF(N(M187)=0,"Sin ensayos. ","")&amp;IF(AND(N(M187)&gt;0,N(M187)&lt;CONFIG!$B$26),"Menos de "&amp;CONFIG!$B$26&amp;" probetas. ","")&amp;IF(N(T187)&gt;CONFIG!$B$25,"CV alto. ","")&amp;IF(AND(N(AD187)&gt;0,N(AD187)&gt;N(AF187)),"Absorción alta. ","")))</f>
        <v/>
      </c>
      <c r="AH187" s="22" t="str">
        <f aca="false">IF(AND(N(M187)&gt;0,OR(CONTROL!$C$4="TODAS",C187=CONTROL!$C$4),D187=CONTROL!$C$5),MAX($AH$4:AH186)+1,"")</f>
        <v/>
      </c>
      <c r="AI187" s="22" t="str">
        <f aca="false">IF(AH187="","",P187^2)</f>
        <v/>
      </c>
    </row>
    <row r="188" customFormat="false" ht="15" hidden="false" customHeight="false" outlineLevel="0" collapsed="false">
      <c r="A188" s="11" t="str">
        <f aca="false">IF(B188="","",ROW()-4)</f>
        <v/>
      </c>
      <c r="B188" s="12"/>
      <c r="C188" s="13"/>
      <c r="D188" s="13"/>
      <c r="E188" s="13"/>
      <c r="F188" s="14" t="str">
        <f aca="false">IF(OR(B188="",C188="",D188=""),"",IFERROR(INDEX(CONFIG!$E$5:$E$14,MATCH(D188,CONFIG!$D$5:$D$14,0)),"?")&amp;RIGHT("0"&amp;DAY(B188),2)&amp;RIGHT("0"&amp;MONTH(B188),2)&amp;RIGHT(YEAR(B188),2)&amp;C188&amp;IF(E188="","","-"&amp;E188))</f>
        <v/>
      </c>
      <c r="G188" s="13"/>
      <c r="H188" s="13"/>
      <c r="I188" s="13"/>
      <c r="J188" s="13"/>
      <c r="K188" s="13"/>
      <c r="L188" s="13"/>
      <c r="M188" s="11" t="str">
        <f aca="false">IF(F188="","",COUNTIFS(ENSAYOS!$C$5:$C$3004,F188,ENSAYOS!$Q$5:$Q$3004,"&gt;0"))</f>
        <v/>
      </c>
      <c r="N188" s="15" t="str">
        <f aca="false">IF(N(M188)=0,"",_xlfn.MINIFS(ENSAYOS!$G$5:$G$3004,ENSAYOS!$C$5:$C$3004,F188,ENSAYOS!$Q$5:$Q$3004,"&gt;0"))</f>
        <v/>
      </c>
      <c r="O188" s="15" t="str">
        <f aca="false">IF(N(M188)=0,"",_xlfn.MAXIFS(ENSAYOS!$G$5:$G$3004,ENSAYOS!$C$5:$C$3004,F188,ENSAYOS!$Q$5:$Q$3004,"&gt;0"))</f>
        <v/>
      </c>
      <c r="P188" s="16" t="str">
        <f aca="false">IF(N(M188)=0,"",AVERAGEIFS(ENSAYOS!$Q$5:$Q$3004,ENSAYOS!$C$5:$C$3004,F188,ENSAYOS!$Q$5:$Q$3004,"&gt;0"))</f>
        <v/>
      </c>
      <c r="Q188" s="16" t="str">
        <f aca="false">IF(N(M188)=0,"",_xlfn.MINIFS(ENSAYOS!$Q$5:$Q$3004,ENSAYOS!$C$5:$C$3004,F188,ENSAYOS!$Q$5:$Q$3004,"&gt;0"))</f>
        <v/>
      </c>
      <c r="R188" s="16" t="str">
        <f aca="false">IF(N(M188)=0,"",_xlfn.MAXIFS(ENSAYOS!$Q$5:$Q$3004,ENSAYOS!$C$5:$C$3004,F188,ENSAYOS!$Q$5:$Q$3004,"&gt;0"))</f>
        <v/>
      </c>
      <c r="S188" s="16" t="str">
        <f aca="false">IF(N(M188)&lt;2,"",SQRT(MAX(0,(SUMIFS(ENSAYOS!$X$5:$X$3004,ENSAYOS!$C$5:$C$3004,F188,ENSAYOS!$Q$5:$Q$3004,"&gt;0")-M188*P188^2)/(M188-1))))</f>
        <v/>
      </c>
      <c r="T188" s="17" t="str">
        <f aca="false">IF(S188="","",S188/P188)</f>
        <v/>
      </c>
      <c r="U188" s="16" t="str">
        <f aca="false">IF(N(M188)=0,"",IF(N188&gt;=CONFIG!$B$27,"",AVERAGEIFS(ENSAYOS!$Q$5:$Q$3004,ENSAYOS!$C$5:$C$3004,F188,ENSAYOS!$Q$5:$Q$3004,"&gt;0",ENSAYOS!$G$5:$G$3004,N188)))</f>
        <v/>
      </c>
      <c r="V188" s="16" t="str">
        <f aca="false">IF(N(M188)=0,"",IF(COUNTIFS(ENSAYOS!$C$5:$C$3004,F188,ENSAYOS!$Q$5:$Q$3004,"&gt;0",ENSAYOS!$G$5:$G$3004,"&gt;="&amp;CONFIG!$B$27)=0,"",AVERAGEIFS(ENSAYOS!$Q$5:$Q$3004,ENSAYOS!$C$5:$C$3004,F188,ENSAYOS!$Q$5:$Q$3004,"&gt;0",ENSAYOS!$G$5:$G$3004,"&gt;="&amp;CONFIG!$B$27)))</f>
        <v/>
      </c>
      <c r="W188" s="18" t="str">
        <f aca="false">IF(AND(U188&lt;&gt;"",V188&lt;&gt;""),U188/V188,"")</f>
        <v/>
      </c>
      <c r="X188" s="18" t="str">
        <f aca="false">IF(U188="","",INDEX('CURVA EDAD'!$E$5:$E$32,MIN(28,MAX(1,N188))))</f>
        <v/>
      </c>
      <c r="Y188" s="16" t="str">
        <f aca="false">IF(V188&lt;&gt;"",V188,IF(U188="","",U188/X188))</f>
        <v/>
      </c>
      <c r="Z188" s="16" t="str">
        <f aca="false">IF(V188&lt;&gt;"",_xlfn.MINIFS(ENSAYOS!$Q$5:$Q$3004,ENSAYOS!$C$5:$C$3004,F188,ENSAYOS!$Q$5:$Q$3004,"&gt;0",ENSAYOS!$G$5:$G$3004,"&gt;="&amp;CONFIG!$B$27),IF(U188="","",_xlfn.MINIFS(ENSAYOS!$Q$5:$Q$3004,ENSAYOS!$C$5:$C$3004,F188,ENSAYOS!$Q$5:$Q$3004,"&gt;0",ENSAYOS!$G$5:$G$3004,N188)/X188))</f>
        <v/>
      </c>
      <c r="AA188" s="16" t="str">
        <f aca="false">IF(D188="","",IFERROR(1/(1/INDEX(CONFIG!$J$5:$J$14,MATCH(D188,CONFIG!$D$5:$D$14,0))),""))</f>
        <v/>
      </c>
      <c r="AB188" s="16" t="str">
        <f aca="false">IF(D188="","",IFERROR(1/(1/INDEX(CONFIG!$K$5:$K$14,MATCH(D188,CONFIG!$D$5:$D$14,0))),""))</f>
        <v/>
      </c>
      <c r="AC188" s="19" t="str">
        <f aca="false">IF(N(M188)=0,"",IF(AA188="","Sin spec",IF(AND(Y188&gt;=AA188,OR(AB188="",Z188&gt;=AB188)),"CUMPLE","NO CUMPLE")&amp;IF(V188=""," (est.)","")))</f>
        <v/>
      </c>
      <c r="AD188" s="20" t="str">
        <f aca="false">IF(F188="","",IF(COUNTIFS(ABSORCION!$C$5:$C$1004,F188,ABSORCION!$I$5:$I$1004,"&gt;0")=0,"",AVERAGEIFS(ABSORCION!$I$5:$I$1004,ABSORCION!$C$5:$C$1004,F188,ABSORCION!$I$5:$I$1004,"&gt;0")))</f>
        <v/>
      </c>
      <c r="AE188" s="20" t="str">
        <f aca="false">IF(F188="","",IF(COUNTIFS(ABSORCION!$C$5:$C$1004,F188,ABSORCION!$I$5:$I$1004,"&gt;0")=0,"",AVERAGEIFS(ABSORCION!$K$5:$K$1004,ABSORCION!$C$5:$C$1004,F188,ABSORCION!$I$5:$I$1004,"&gt;0")))</f>
        <v/>
      </c>
      <c r="AF188" s="20" t="str">
        <f aca="false">IF(AE188="","",IF(AE188&gt;=CONFIG!$E$21,CONFIG!$F$21,IF(AE188&gt;=CONFIG!$E$20,CONFIG!$F$20,CONFIG!$F$19)))</f>
        <v/>
      </c>
      <c r="AG188" s="21" t="str">
        <f aca="false">IF(F188="","",TRIM(IF(N(M188)=0,"Sin ensayos. ","")&amp;IF(AND(N(M188)&gt;0,N(M188)&lt;CONFIG!$B$26),"Menos de "&amp;CONFIG!$B$26&amp;" probetas. ","")&amp;IF(N(T188)&gt;CONFIG!$B$25,"CV alto. ","")&amp;IF(AND(N(AD188)&gt;0,N(AD188)&gt;N(AF188)),"Absorción alta. ","")))</f>
        <v/>
      </c>
      <c r="AH188" s="22" t="str">
        <f aca="false">IF(AND(N(M188)&gt;0,OR(CONTROL!$C$4="TODAS",C188=CONTROL!$C$4),D188=CONTROL!$C$5),MAX($AH$4:AH187)+1,"")</f>
        <v/>
      </c>
      <c r="AI188" s="22" t="str">
        <f aca="false">IF(AH188="","",P188^2)</f>
        <v/>
      </c>
    </row>
    <row r="189" customFormat="false" ht="15" hidden="false" customHeight="false" outlineLevel="0" collapsed="false">
      <c r="A189" s="11" t="str">
        <f aca="false">IF(B189="","",ROW()-4)</f>
        <v/>
      </c>
      <c r="B189" s="12"/>
      <c r="C189" s="13"/>
      <c r="D189" s="13"/>
      <c r="E189" s="13"/>
      <c r="F189" s="14" t="str">
        <f aca="false">IF(OR(B189="",C189="",D189=""),"",IFERROR(INDEX(CONFIG!$E$5:$E$14,MATCH(D189,CONFIG!$D$5:$D$14,0)),"?")&amp;RIGHT("0"&amp;DAY(B189),2)&amp;RIGHT("0"&amp;MONTH(B189),2)&amp;RIGHT(YEAR(B189),2)&amp;C189&amp;IF(E189="","","-"&amp;E189))</f>
        <v/>
      </c>
      <c r="G189" s="13"/>
      <c r="H189" s="13"/>
      <c r="I189" s="13"/>
      <c r="J189" s="13"/>
      <c r="K189" s="13"/>
      <c r="L189" s="13"/>
      <c r="M189" s="11" t="str">
        <f aca="false">IF(F189="","",COUNTIFS(ENSAYOS!$C$5:$C$3004,F189,ENSAYOS!$Q$5:$Q$3004,"&gt;0"))</f>
        <v/>
      </c>
      <c r="N189" s="15" t="str">
        <f aca="false">IF(N(M189)=0,"",_xlfn.MINIFS(ENSAYOS!$G$5:$G$3004,ENSAYOS!$C$5:$C$3004,F189,ENSAYOS!$Q$5:$Q$3004,"&gt;0"))</f>
        <v/>
      </c>
      <c r="O189" s="15" t="str">
        <f aca="false">IF(N(M189)=0,"",_xlfn.MAXIFS(ENSAYOS!$G$5:$G$3004,ENSAYOS!$C$5:$C$3004,F189,ENSAYOS!$Q$5:$Q$3004,"&gt;0"))</f>
        <v/>
      </c>
      <c r="P189" s="16" t="str">
        <f aca="false">IF(N(M189)=0,"",AVERAGEIFS(ENSAYOS!$Q$5:$Q$3004,ENSAYOS!$C$5:$C$3004,F189,ENSAYOS!$Q$5:$Q$3004,"&gt;0"))</f>
        <v/>
      </c>
      <c r="Q189" s="16" t="str">
        <f aca="false">IF(N(M189)=0,"",_xlfn.MINIFS(ENSAYOS!$Q$5:$Q$3004,ENSAYOS!$C$5:$C$3004,F189,ENSAYOS!$Q$5:$Q$3004,"&gt;0"))</f>
        <v/>
      </c>
      <c r="R189" s="16" t="str">
        <f aca="false">IF(N(M189)=0,"",_xlfn.MAXIFS(ENSAYOS!$Q$5:$Q$3004,ENSAYOS!$C$5:$C$3004,F189,ENSAYOS!$Q$5:$Q$3004,"&gt;0"))</f>
        <v/>
      </c>
      <c r="S189" s="16" t="str">
        <f aca="false">IF(N(M189)&lt;2,"",SQRT(MAX(0,(SUMIFS(ENSAYOS!$X$5:$X$3004,ENSAYOS!$C$5:$C$3004,F189,ENSAYOS!$Q$5:$Q$3004,"&gt;0")-M189*P189^2)/(M189-1))))</f>
        <v/>
      </c>
      <c r="T189" s="17" t="str">
        <f aca="false">IF(S189="","",S189/P189)</f>
        <v/>
      </c>
      <c r="U189" s="16" t="str">
        <f aca="false">IF(N(M189)=0,"",IF(N189&gt;=CONFIG!$B$27,"",AVERAGEIFS(ENSAYOS!$Q$5:$Q$3004,ENSAYOS!$C$5:$C$3004,F189,ENSAYOS!$Q$5:$Q$3004,"&gt;0",ENSAYOS!$G$5:$G$3004,N189)))</f>
        <v/>
      </c>
      <c r="V189" s="16" t="str">
        <f aca="false">IF(N(M189)=0,"",IF(COUNTIFS(ENSAYOS!$C$5:$C$3004,F189,ENSAYOS!$Q$5:$Q$3004,"&gt;0",ENSAYOS!$G$5:$G$3004,"&gt;="&amp;CONFIG!$B$27)=0,"",AVERAGEIFS(ENSAYOS!$Q$5:$Q$3004,ENSAYOS!$C$5:$C$3004,F189,ENSAYOS!$Q$5:$Q$3004,"&gt;0",ENSAYOS!$G$5:$G$3004,"&gt;="&amp;CONFIG!$B$27)))</f>
        <v/>
      </c>
      <c r="W189" s="18" t="str">
        <f aca="false">IF(AND(U189&lt;&gt;"",V189&lt;&gt;""),U189/V189,"")</f>
        <v/>
      </c>
      <c r="X189" s="18" t="str">
        <f aca="false">IF(U189="","",INDEX('CURVA EDAD'!$E$5:$E$32,MIN(28,MAX(1,N189))))</f>
        <v/>
      </c>
      <c r="Y189" s="16" t="str">
        <f aca="false">IF(V189&lt;&gt;"",V189,IF(U189="","",U189/X189))</f>
        <v/>
      </c>
      <c r="Z189" s="16" t="str">
        <f aca="false">IF(V189&lt;&gt;"",_xlfn.MINIFS(ENSAYOS!$Q$5:$Q$3004,ENSAYOS!$C$5:$C$3004,F189,ENSAYOS!$Q$5:$Q$3004,"&gt;0",ENSAYOS!$G$5:$G$3004,"&gt;="&amp;CONFIG!$B$27),IF(U189="","",_xlfn.MINIFS(ENSAYOS!$Q$5:$Q$3004,ENSAYOS!$C$5:$C$3004,F189,ENSAYOS!$Q$5:$Q$3004,"&gt;0",ENSAYOS!$G$5:$G$3004,N189)/X189))</f>
        <v/>
      </c>
      <c r="AA189" s="16" t="str">
        <f aca="false">IF(D189="","",IFERROR(1/(1/INDEX(CONFIG!$J$5:$J$14,MATCH(D189,CONFIG!$D$5:$D$14,0))),""))</f>
        <v/>
      </c>
      <c r="AB189" s="16" t="str">
        <f aca="false">IF(D189="","",IFERROR(1/(1/INDEX(CONFIG!$K$5:$K$14,MATCH(D189,CONFIG!$D$5:$D$14,0))),""))</f>
        <v/>
      </c>
      <c r="AC189" s="19" t="str">
        <f aca="false">IF(N(M189)=0,"",IF(AA189="","Sin spec",IF(AND(Y189&gt;=AA189,OR(AB189="",Z189&gt;=AB189)),"CUMPLE","NO CUMPLE")&amp;IF(V189=""," (est.)","")))</f>
        <v/>
      </c>
      <c r="AD189" s="20" t="str">
        <f aca="false">IF(F189="","",IF(COUNTIFS(ABSORCION!$C$5:$C$1004,F189,ABSORCION!$I$5:$I$1004,"&gt;0")=0,"",AVERAGEIFS(ABSORCION!$I$5:$I$1004,ABSORCION!$C$5:$C$1004,F189,ABSORCION!$I$5:$I$1004,"&gt;0")))</f>
        <v/>
      </c>
      <c r="AE189" s="20" t="str">
        <f aca="false">IF(F189="","",IF(COUNTIFS(ABSORCION!$C$5:$C$1004,F189,ABSORCION!$I$5:$I$1004,"&gt;0")=0,"",AVERAGEIFS(ABSORCION!$K$5:$K$1004,ABSORCION!$C$5:$C$1004,F189,ABSORCION!$I$5:$I$1004,"&gt;0")))</f>
        <v/>
      </c>
      <c r="AF189" s="20" t="str">
        <f aca="false">IF(AE189="","",IF(AE189&gt;=CONFIG!$E$21,CONFIG!$F$21,IF(AE189&gt;=CONFIG!$E$20,CONFIG!$F$20,CONFIG!$F$19)))</f>
        <v/>
      </c>
      <c r="AG189" s="21" t="str">
        <f aca="false">IF(F189="","",TRIM(IF(N(M189)=0,"Sin ensayos. ","")&amp;IF(AND(N(M189)&gt;0,N(M189)&lt;CONFIG!$B$26),"Menos de "&amp;CONFIG!$B$26&amp;" probetas. ","")&amp;IF(N(T189)&gt;CONFIG!$B$25,"CV alto. ","")&amp;IF(AND(N(AD189)&gt;0,N(AD189)&gt;N(AF189)),"Absorción alta. ","")))</f>
        <v/>
      </c>
      <c r="AH189" s="22" t="str">
        <f aca="false">IF(AND(N(M189)&gt;0,OR(CONTROL!$C$4="TODAS",C189=CONTROL!$C$4),D189=CONTROL!$C$5),MAX($AH$4:AH188)+1,"")</f>
        <v/>
      </c>
      <c r="AI189" s="22" t="str">
        <f aca="false">IF(AH189="","",P189^2)</f>
        <v/>
      </c>
    </row>
    <row r="190" customFormat="false" ht="15" hidden="false" customHeight="false" outlineLevel="0" collapsed="false">
      <c r="A190" s="11" t="str">
        <f aca="false">IF(B190="","",ROW()-4)</f>
        <v/>
      </c>
      <c r="B190" s="12"/>
      <c r="C190" s="13"/>
      <c r="D190" s="13"/>
      <c r="E190" s="13"/>
      <c r="F190" s="14" t="str">
        <f aca="false">IF(OR(B190="",C190="",D190=""),"",IFERROR(INDEX(CONFIG!$E$5:$E$14,MATCH(D190,CONFIG!$D$5:$D$14,0)),"?")&amp;RIGHT("0"&amp;DAY(B190),2)&amp;RIGHT("0"&amp;MONTH(B190),2)&amp;RIGHT(YEAR(B190),2)&amp;C190&amp;IF(E190="","","-"&amp;E190))</f>
        <v/>
      </c>
      <c r="G190" s="13"/>
      <c r="H190" s="13"/>
      <c r="I190" s="13"/>
      <c r="J190" s="13"/>
      <c r="K190" s="13"/>
      <c r="L190" s="13"/>
      <c r="M190" s="11" t="str">
        <f aca="false">IF(F190="","",COUNTIFS(ENSAYOS!$C$5:$C$3004,F190,ENSAYOS!$Q$5:$Q$3004,"&gt;0"))</f>
        <v/>
      </c>
      <c r="N190" s="15" t="str">
        <f aca="false">IF(N(M190)=0,"",_xlfn.MINIFS(ENSAYOS!$G$5:$G$3004,ENSAYOS!$C$5:$C$3004,F190,ENSAYOS!$Q$5:$Q$3004,"&gt;0"))</f>
        <v/>
      </c>
      <c r="O190" s="15" t="str">
        <f aca="false">IF(N(M190)=0,"",_xlfn.MAXIFS(ENSAYOS!$G$5:$G$3004,ENSAYOS!$C$5:$C$3004,F190,ENSAYOS!$Q$5:$Q$3004,"&gt;0"))</f>
        <v/>
      </c>
      <c r="P190" s="16" t="str">
        <f aca="false">IF(N(M190)=0,"",AVERAGEIFS(ENSAYOS!$Q$5:$Q$3004,ENSAYOS!$C$5:$C$3004,F190,ENSAYOS!$Q$5:$Q$3004,"&gt;0"))</f>
        <v/>
      </c>
      <c r="Q190" s="16" t="str">
        <f aca="false">IF(N(M190)=0,"",_xlfn.MINIFS(ENSAYOS!$Q$5:$Q$3004,ENSAYOS!$C$5:$C$3004,F190,ENSAYOS!$Q$5:$Q$3004,"&gt;0"))</f>
        <v/>
      </c>
      <c r="R190" s="16" t="str">
        <f aca="false">IF(N(M190)=0,"",_xlfn.MAXIFS(ENSAYOS!$Q$5:$Q$3004,ENSAYOS!$C$5:$C$3004,F190,ENSAYOS!$Q$5:$Q$3004,"&gt;0"))</f>
        <v/>
      </c>
      <c r="S190" s="16" t="str">
        <f aca="false">IF(N(M190)&lt;2,"",SQRT(MAX(0,(SUMIFS(ENSAYOS!$X$5:$X$3004,ENSAYOS!$C$5:$C$3004,F190,ENSAYOS!$Q$5:$Q$3004,"&gt;0")-M190*P190^2)/(M190-1))))</f>
        <v/>
      </c>
      <c r="T190" s="17" t="str">
        <f aca="false">IF(S190="","",S190/P190)</f>
        <v/>
      </c>
      <c r="U190" s="16" t="str">
        <f aca="false">IF(N(M190)=0,"",IF(N190&gt;=CONFIG!$B$27,"",AVERAGEIFS(ENSAYOS!$Q$5:$Q$3004,ENSAYOS!$C$5:$C$3004,F190,ENSAYOS!$Q$5:$Q$3004,"&gt;0",ENSAYOS!$G$5:$G$3004,N190)))</f>
        <v/>
      </c>
      <c r="V190" s="16" t="str">
        <f aca="false">IF(N(M190)=0,"",IF(COUNTIFS(ENSAYOS!$C$5:$C$3004,F190,ENSAYOS!$Q$5:$Q$3004,"&gt;0",ENSAYOS!$G$5:$G$3004,"&gt;="&amp;CONFIG!$B$27)=0,"",AVERAGEIFS(ENSAYOS!$Q$5:$Q$3004,ENSAYOS!$C$5:$C$3004,F190,ENSAYOS!$Q$5:$Q$3004,"&gt;0",ENSAYOS!$G$5:$G$3004,"&gt;="&amp;CONFIG!$B$27)))</f>
        <v/>
      </c>
      <c r="W190" s="18" t="str">
        <f aca="false">IF(AND(U190&lt;&gt;"",V190&lt;&gt;""),U190/V190,"")</f>
        <v/>
      </c>
      <c r="X190" s="18" t="str">
        <f aca="false">IF(U190="","",INDEX('CURVA EDAD'!$E$5:$E$32,MIN(28,MAX(1,N190))))</f>
        <v/>
      </c>
      <c r="Y190" s="16" t="str">
        <f aca="false">IF(V190&lt;&gt;"",V190,IF(U190="","",U190/X190))</f>
        <v/>
      </c>
      <c r="Z190" s="16" t="str">
        <f aca="false">IF(V190&lt;&gt;"",_xlfn.MINIFS(ENSAYOS!$Q$5:$Q$3004,ENSAYOS!$C$5:$C$3004,F190,ENSAYOS!$Q$5:$Q$3004,"&gt;0",ENSAYOS!$G$5:$G$3004,"&gt;="&amp;CONFIG!$B$27),IF(U190="","",_xlfn.MINIFS(ENSAYOS!$Q$5:$Q$3004,ENSAYOS!$C$5:$C$3004,F190,ENSAYOS!$Q$5:$Q$3004,"&gt;0",ENSAYOS!$G$5:$G$3004,N190)/X190))</f>
        <v/>
      </c>
      <c r="AA190" s="16" t="str">
        <f aca="false">IF(D190="","",IFERROR(1/(1/INDEX(CONFIG!$J$5:$J$14,MATCH(D190,CONFIG!$D$5:$D$14,0))),""))</f>
        <v/>
      </c>
      <c r="AB190" s="16" t="str">
        <f aca="false">IF(D190="","",IFERROR(1/(1/INDEX(CONFIG!$K$5:$K$14,MATCH(D190,CONFIG!$D$5:$D$14,0))),""))</f>
        <v/>
      </c>
      <c r="AC190" s="19" t="str">
        <f aca="false">IF(N(M190)=0,"",IF(AA190="","Sin spec",IF(AND(Y190&gt;=AA190,OR(AB190="",Z190&gt;=AB190)),"CUMPLE","NO CUMPLE")&amp;IF(V190=""," (est.)","")))</f>
        <v/>
      </c>
      <c r="AD190" s="20" t="str">
        <f aca="false">IF(F190="","",IF(COUNTIFS(ABSORCION!$C$5:$C$1004,F190,ABSORCION!$I$5:$I$1004,"&gt;0")=0,"",AVERAGEIFS(ABSORCION!$I$5:$I$1004,ABSORCION!$C$5:$C$1004,F190,ABSORCION!$I$5:$I$1004,"&gt;0")))</f>
        <v/>
      </c>
      <c r="AE190" s="20" t="str">
        <f aca="false">IF(F190="","",IF(COUNTIFS(ABSORCION!$C$5:$C$1004,F190,ABSORCION!$I$5:$I$1004,"&gt;0")=0,"",AVERAGEIFS(ABSORCION!$K$5:$K$1004,ABSORCION!$C$5:$C$1004,F190,ABSORCION!$I$5:$I$1004,"&gt;0")))</f>
        <v/>
      </c>
      <c r="AF190" s="20" t="str">
        <f aca="false">IF(AE190="","",IF(AE190&gt;=CONFIG!$E$21,CONFIG!$F$21,IF(AE190&gt;=CONFIG!$E$20,CONFIG!$F$20,CONFIG!$F$19)))</f>
        <v/>
      </c>
      <c r="AG190" s="21" t="str">
        <f aca="false">IF(F190="","",TRIM(IF(N(M190)=0,"Sin ensayos. ","")&amp;IF(AND(N(M190)&gt;0,N(M190)&lt;CONFIG!$B$26),"Menos de "&amp;CONFIG!$B$26&amp;" probetas. ","")&amp;IF(N(T190)&gt;CONFIG!$B$25,"CV alto. ","")&amp;IF(AND(N(AD190)&gt;0,N(AD190)&gt;N(AF190)),"Absorción alta. ","")))</f>
        <v/>
      </c>
      <c r="AH190" s="22" t="str">
        <f aca="false">IF(AND(N(M190)&gt;0,OR(CONTROL!$C$4="TODAS",C190=CONTROL!$C$4),D190=CONTROL!$C$5),MAX($AH$4:AH189)+1,"")</f>
        <v/>
      </c>
      <c r="AI190" s="22" t="str">
        <f aca="false">IF(AH190="","",P190^2)</f>
        <v/>
      </c>
    </row>
    <row r="191" customFormat="false" ht="15" hidden="false" customHeight="false" outlineLevel="0" collapsed="false">
      <c r="A191" s="11" t="str">
        <f aca="false">IF(B191="","",ROW()-4)</f>
        <v/>
      </c>
      <c r="B191" s="12"/>
      <c r="C191" s="13"/>
      <c r="D191" s="13"/>
      <c r="E191" s="13"/>
      <c r="F191" s="14" t="str">
        <f aca="false">IF(OR(B191="",C191="",D191=""),"",IFERROR(INDEX(CONFIG!$E$5:$E$14,MATCH(D191,CONFIG!$D$5:$D$14,0)),"?")&amp;RIGHT("0"&amp;DAY(B191),2)&amp;RIGHT("0"&amp;MONTH(B191),2)&amp;RIGHT(YEAR(B191),2)&amp;C191&amp;IF(E191="","","-"&amp;E191))</f>
        <v/>
      </c>
      <c r="G191" s="13"/>
      <c r="H191" s="13"/>
      <c r="I191" s="13"/>
      <c r="J191" s="13"/>
      <c r="K191" s="13"/>
      <c r="L191" s="13"/>
      <c r="M191" s="11" t="str">
        <f aca="false">IF(F191="","",COUNTIFS(ENSAYOS!$C$5:$C$3004,F191,ENSAYOS!$Q$5:$Q$3004,"&gt;0"))</f>
        <v/>
      </c>
      <c r="N191" s="15" t="str">
        <f aca="false">IF(N(M191)=0,"",_xlfn.MINIFS(ENSAYOS!$G$5:$G$3004,ENSAYOS!$C$5:$C$3004,F191,ENSAYOS!$Q$5:$Q$3004,"&gt;0"))</f>
        <v/>
      </c>
      <c r="O191" s="15" t="str">
        <f aca="false">IF(N(M191)=0,"",_xlfn.MAXIFS(ENSAYOS!$G$5:$G$3004,ENSAYOS!$C$5:$C$3004,F191,ENSAYOS!$Q$5:$Q$3004,"&gt;0"))</f>
        <v/>
      </c>
      <c r="P191" s="16" t="str">
        <f aca="false">IF(N(M191)=0,"",AVERAGEIFS(ENSAYOS!$Q$5:$Q$3004,ENSAYOS!$C$5:$C$3004,F191,ENSAYOS!$Q$5:$Q$3004,"&gt;0"))</f>
        <v/>
      </c>
      <c r="Q191" s="16" t="str">
        <f aca="false">IF(N(M191)=0,"",_xlfn.MINIFS(ENSAYOS!$Q$5:$Q$3004,ENSAYOS!$C$5:$C$3004,F191,ENSAYOS!$Q$5:$Q$3004,"&gt;0"))</f>
        <v/>
      </c>
      <c r="R191" s="16" t="str">
        <f aca="false">IF(N(M191)=0,"",_xlfn.MAXIFS(ENSAYOS!$Q$5:$Q$3004,ENSAYOS!$C$5:$C$3004,F191,ENSAYOS!$Q$5:$Q$3004,"&gt;0"))</f>
        <v/>
      </c>
      <c r="S191" s="16" t="str">
        <f aca="false">IF(N(M191)&lt;2,"",SQRT(MAX(0,(SUMIFS(ENSAYOS!$X$5:$X$3004,ENSAYOS!$C$5:$C$3004,F191,ENSAYOS!$Q$5:$Q$3004,"&gt;0")-M191*P191^2)/(M191-1))))</f>
        <v/>
      </c>
      <c r="T191" s="17" t="str">
        <f aca="false">IF(S191="","",S191/P191)</f>
        <v/>
      </c>
      <c r="U191" s="16" t="str">
        <f aca="false">IF(N(M191)=0,"",IF(N191&gt;=CONFIG!$B$27,"",AVERAGEIFS(ENSAYOS!$Q$5:$Q$3004,ENSAYOS!$C$5:$C$3004,F191,ENSAYOS!$Q$5:$Q$3004,"&gt;0",ENSAYOS!$G$5:$G$3004,N191)))</f>
        <v/>
      </c>
      <c r="V191" s="16" t="str">
        <f aca="false">IF(N(M191)=0,"",IF(COUNTIFS(ENSAYOS!$C$5:$C$3004,F191,ENSAYOS!$Q$5:$Q$3004,"&gt;0",ENSAYOS!$G$5:$G$3004,"&gt;="&amp;CONFIG!$B$27)=0,"",AVERAGEIFS(ENSAYOS!$Q$5:$Q$3004,ENSAYOS!$C$5:$C$3004,F191,ENSAYOS!$Q$5:$Q$3004,"&gt;0",ENSAYOS!$G$5:$G$3004,"&gt;="&amp;CONFIG!$B$27)))</f>
        <v/>
      </c>
      <c r="W191" s="18" t="str">
        <f aca="false">IF(AND(U191&lt;&gt;"",V191&lt;&gt;""),U191/V191,"")</f>
        <v/>
      </c>
      <c r="X191" s="18" t="str">
        <f aca="false">IF(U191="","",INDEX('CURVA EDAD'!$E$5:$E$32,MIN(28,MAX(1,N191))))</f>
        <v/>
      </c>
      <c r="Y191" s="16" t="str">
        <f aca="false">IF(V191&lt;&gt;"",V191,IF(U191="","",U191/X191))</f>
        <v/>
      </c>
      <c r="Z191" s="16" t="str">
        <f aca="false">IF(V191&lt;&gt;"",_xlfn.MINIFS(ENSAYOS!$Q$5:$Q$3004,ENSAYOS!$C$5:$C$3004,F191,ENSAYOS!$Q$5:$Q$3004,"&gt;0",ENSAYOS!$G$5:$G$3004,"&gt;="&amp;CONFIG!$B$27),IF(U191="","",_xlfn.MINIFS(ENSAYOS!$Q$5:$Q$3004,ENSAYOS!$C$5:$C$3004,F191,ENSAYOS!$Q$5:$Q$3004,"&gt;0",ENSAYOS!$G$5:$G$3004,N191)/X191))</f>
        <v/>
      </c>
      <c r="AA191" s="16" t="str">
        <f aca="false">IF(D191="","",IFERROR(1/(1/INDEX(CONFIG!$J$5:$J$14,MATCH(D191,CONFIG!$D$5:$D$14,0))),""))</f>
        <v/>
      </c>
      <c r="AB191" s="16" t="str">
        <f aca="false">IF(D191="","",IFERROR(1/(1/INDEX(CONFIG!$K$5:$K$14,MATCH(D191,CONFIG!$D$5:$D$14,0))),""))</f>
        <v/>
      </c>
      <c r="AC191" s="19" t="str">
        <f aca="false">IF(N(M191)=0,"",IF(AA191="","Sin spec",IF(AND(Y191&gt;=AA191,OR(AB191="",Z191&gt;=AB191)),"CUMPLE","NO CUMPLE")&amp;IF(V191=""," (est.)","")))</f>
        <v/>
      </c>
      <c r="AD191" s="20" t="str">
        <f aca="false">IF(F191="","",IF(COUNTIFS(ABSORCION!$C$5:$C$1004,F191,ABSORCION!$I$5:$I$1004,"&gt;0")=0,"",AVERAGEIFS(ABSORCION!$I$5:$I$1004,ABSORCION!$C$5:$C$1004,F191,ABSORCION!$I$5:$I$1004,"&gt;0")))</f>
        <v/>
      </c>
      <c r="AE191" s="20" t="str">
        <f aca="false">IF(F191="","",IF(COUNTIFS(ABSORCION!$C$5:$C$1004,F191,ABSORCION!$I$5:$I$1004,"&gt;0")=0,"",AVERAGEIFS(ABSORCION!$K$5:$K$1004,ABSORCION!$C$5:$C$1004,F191,ABSORCION!$I$5:$I$1004,"&gt;0")))</f>
        <v/>
      </c>
      <c r="AF191" s="20" t="str">
        <f aca="false">IF(AE191="","",IF(AE191&gt;=CONFIG!$E$21,CONFIG!$F$21,IF(AE191&gt;=CONFIG!$E$20,CONFIG!$F$20,CONFIG!$F$19)))</f>
        <v/>
      </c>
      <c r="AG191" s="21" t="str">
        <f aca="false">IF(F191="","",TRIM(IF(N(M191)=0,"Sin ensayos. ","")&amp;IF(AND(N(M191)&gt;0,N(M191)&lt;CONFIG!$B$26),"Menos de "&amp;CONFIG!$B$26&amp;" probetas. ","")&amp;IF(N(T191)&gt;CONFIG!$B$25,"CV alto. ","")&amp;IF(AND(N(AD191)&gt;0,N(AD191)&gt;N(AF191)),"Absorción alta. ","")))</f>
        <v/>
      </c>
      <c r="AH191" s="22" t="str">
        <f aca="false">IF(AND(N(M191)&gt;0,OR(CONTROL!$C$4="TODAS",C191=CONTROL!$C$4),D191=CONTROL!$C$5),MAX($AH$4:AH190)+1,"")</f>
        <v/>
      </c>
      <c r="AI191" s="22" t="str">
        <f aca="false">IF(AH191="","",P191^2)</f>
        <v/>
      </c>
    </row>
    <row r="192" customFormat="false" ht="15" hidden="false" customHeight="false" outlineLevel="0" collapsed="false">
      <c r="A192" s="11" t="str">
        <f aca="false">IF(B192="","",ROW()-4)</f>
        <v/>
      </c>
      <c r="B192" s="12"/>
      <c r="C192" s="13"/>
      <c r="D192" s="13"/>
      <c r="E192" s="13"/>
      <c r="F192" s="14" t="str">
        <f aca="false">IF(OR(B192="",C192="",D192=""),"",IFERROR(INDEX(CONFIG!$E$5:$E$14,MATCH(D192,CONFIG!$D$5:$D$14,0)),"?")&amp;RIGHT("0"&amp;DAY(B192),2)&amp;RIGHT("0"&amp;MONTH(B192),2)&amp;RIGHT(YEAR(B192),2)&amp;C192&amp;IF(E192="","","-"&amp;E192))</f>
        <v/>
      </c>
      <c r="G192" s="13"/>
      <c r="H192" s="13"/>
      <c r="I192" s="13"/>
      <c r="J192" s="13"/>
      <c r="K192" s="13"/>
      <c r="L192" s="13"/>
      <c r="M192" s="11" t="str">
        <f aca="false">IF(F192="","",COUNTIFS(ENSAYOS!$C$5:$C$3004,F192,ENSAYOS!$Q$5:$Q$3004,"&gt;0"))</f>
        <v/>
      </c>
      <c r="N192" s="15" t="str">
        <f aca="false">IF(N(M192)=0,"",_xlfn.MINIFS(ENSAYOS!$G$5:$G$3004,ENSAYOS!$C$5:$C$3004,F192,ENSAYOS!$Q$5:$Q$3004,"&gt;0"))</f>
        <v/>
      </c>
      <c r="O192" s="15" t="str">
        <f aca="false">IF(N(M192)=0,"",_xlfn.MAXIFS(ENSAYOS!$G$5:$G$3004,ENSAYOS!$C$5:$C$3004,F192,ENSAYOS!$Q$5:$Q$3004,"&gt;0"))</f>
        <v/>
      </c>
      <c r="P192" s="16" t="str">
        <f aca="false">IF(N(M192)=0,"",AVERAGEIFS(ENSAYOS!$Q$5:$Q$3004,ENSAYOS!$C$5:$C$3004,F192,ENSAYOS!$Q$5:$Q$3004,"&gt;0"))</f>
        <v/>
      </c>
      <c r="Q192" s="16" t="str">
        <f aca="false">IF(N(M192)=0,"",_xlfn.MINIFS(ENSAYOS!$Q$5:$Q$3004,ENSAYOS!$C$5:$C$3004,F192,ENSAYOS!$Q$5:$Q$3004,"&gt;0"))</f>
        <v/>
      </c>
      <c r="R192" s="16" t="str">
        <f aca="false">IF(N(M192)=0,"",_xlfn.MAXIFS(ENSAYOS!$Q$5:$Q$3004,ENSAYOS!$C$5:$C$3004,F192,ENSAYOS!$Q$5:$Q$3004,"&gt;0"))</f>
        <v/>
      </c>
      <c r="S192" s="16" t="str">
        <f aca="false">IF(N(M192)&lt;2,"",SQRT(MAX(0,(SUMIFS(ENSAYOS!$X$5:$X$3004,ENSAYOS!$C$5:$C$3004,F192,ENSAYOS!$Q$5:$Q$3004,"&gt;0")-M192*P192^2)/(M192-1))))</f>
        <v/>
      </c>
      <c r="T192" s="17" t="str">
        <f aca="false">IF(S192="","",S192/P192)</f>
        <v/>
      </c>
      <c r="U192" s="16" t="str">
        <f aca="false">IF(N(M192)=0,"",IF(N192&gt;=CONFIG!$B$27,"",AVERAGEIFS(ENSAYOS!$Q$5:$Q$3004,ENSAYOS!$C$5:$C$3004,F192,ENSAYOS!$Q$5:$Q$3004,"&gt;0",ENSAYOS!$G$5:$G$3004,N192)))</f>
        <v/>
      </c>
      <c r="V192" s="16" t="str">
        <f aca="false">IF(N(M192)=0,"",IF(COUNTIFS(ENSAYOS!$C$5:$C$3004,F192,ENSAYOS!$Q$5:$Q$3004,"&gt;0",ENSAYOS!$G$5:$G$3004,"&gt;="&amp;CONFIG!$B$27)=0,"",AVERAGEIFS(ENSAYOS!$Q$5:$Q$3004,ENSAYOS!$C$5:$C$3004,F192,ENSAYOS!$Q$5:$Q$3004,"&gt;0",ENSAYOS!$G$5:$G$3004,"&gt;="&amp;CONFIG!$B$27)))</f>
        <v/>
      </c>
      <c r="W192" s="18" t="str">
        <f aca="false">IF(AND(U192&lt;&gt;"",V192&lt;&gt;""),U192/V192,"")</f>
        <v/>
      </c>
      <c r="X192" s="18" t="str">
        <f aca="false">IF(U192="","",INDEX('CURVA EDAD'!$E$5:$E$32,MIN(28,MAX(1,N192))))</f>
        <v/>
      </c>
      <c r="Y192" s="16" t="str">
        <f aca="false">IF(V192&lt;&gt;"",V192,IF(U192="","",U192/X192))</f>
        <v/>
      </c>
      <c r="Z192" s="16" t="str">
        <f aca="false">IF(V192&lt;&gt;"",_xlfn.MINIFS(ENSAYOS!$Q$5:$Q$3004,ENSAYOS!$C$5:$C$3004,F192,ENSAYOS!$Q$5:$Q$3004,"&gt;0",ENSAYOS!$G$5:$G$3004,"&gt;="&amp;CONFIG!$B$27),IF(U192="","",_xlfn.MINIFS(ENSAYOS!$Q$5:$Q$3004,ENSAYOS!$C$5:$C$3004,F192,ENSAYOS!$Q$5:$Q$3004,"&gt;0",ENSAYOS!$G$5:$G$3004,N192)/X192))</f>
        <v/>
      </c>
      <c r="AA192" s="16" t="str">
        <f aca="false">IF(D192="","",IFERROR(1/(1/INDEX(CONFIG!$J$5:$J$14,MATCH(D192,CONFIG!$D$5:$D$14,0))),""))</f>
        <v/>
      </c>
      <c r="AB192" s="16" t="str">
        <f aca="false">IF(D192="","",IFERROR(1/(1/INDEX(CONFIG!$K$5:$K$14,MATCH(D192,CONFIG!$D$5:$D$14,0))),""))</f>
        <v/>
      </c>
      <c r="AC192" s="19" t="str">
        <f aca="false">IF(N(M192)=0,"",IF(AA192="","Sin spec",IF(AND(Y192&gt;=AA192,OR(AB192="",Z192&gt;=AB192)),"CUMPLE","NO CUMPLE")&amp;IF(V192=""," (est.)","")))</f>
        <v/>
      </c>
      <c r="AD192" s="20" t="str">
        <f aca="false">IF(F192="","",IF(COUNTIFS(ABSORCION!$C$5:$C$1004,F192,ABSORCION!$I$5:$I$1004,"&gt;0")=0,"",AVERAGEIFS(ABSORCION!$I$5:$I$1004,ABSORCION!$C$5:$C$1004,F192,ABSORCION!$I$5:$I$1004,"&gt;0")))</f>
        <v/>
      </c>
      <c r="AE192" s="20" t="str">
        <f aca="false">IF(F192="","",IF(COUNTIFS(ABSORCION!$C$5:$C$1004,F192,ABSORCION!$I$5:$I$1004,"&gt;0")=0,"",AVERAGEIFS(ABSORCION!$K$5:$K$1004,ABSORCION!$C$5:$C$1004,F192,ABSORCION!$I$5:$I$1004,"&gt;0")))</f>
        <v/>
      </c>
      <c r="AF192" s="20" t="str">
        <f aca="false">IF(AE192="","",IF(AE192&gt;=CONFIG!$E$21,CONFIG!$F$21,IF(AE192&gt;=CONFIG!$E$20,CONFIG!$F$20,CONFIG!$F$19)))</f>
        <v/>
      </c>
      <c r="AG192" s="21" t="str">
        <f aca="false">IF(F192="","",TRIM(IF(N(M192)=0,"Sin ensayos. ","")&amp;IF(AND(N(M192)&gt;0,N(M192)&lt;CONFIG!$B$26),"Menos de "&amp;CONFIG!$B$26&amp;" probetas. ","")&amp;IF(N(T192)&gt;CONFIG!$B$25,"CV alto. ","")&amp;IF(AND(N(AD192)&gt;0,N(AD192)&gt;N(AF192)),"Absorción alta. ","")))</f>
        <v/>
      </c>
      <c r="AH192" s="22" t="str">
        <f aca="false">IF(AND(N(M192)&gt;0,OR(CONTROL!$C$4="TODAS",C192=CONTROL!$C$4),D192=CONTROL!$C$5),MAX($AH$4:AH191)+1,"")</f>
        <v/>
      </c>
      <c r="AI192" s="22" t="str">
        <f aca="false">IF(AH192="","",P192^2)</f>
        <v/>
      </c>
    </row>
    <row r="193" customFormat="false" ht="15" hidden="false" customHeight="false" outlineLevel="0" collapsed="false">
      <c r="A193" s="11" t="str">
        <f aca="false">IF(B193="","",ROW()-4)</f>
        <v/>
      </c>
      <c r="B193" s="12"/>
      <c r="C193" s="13"/>
      <c r="D193" s="13"/>
      <c r="E193" s="13"/>
      <c r="F193" s="14" t="str">
        <f aca="false">IF(OR(B193="",C193="",D193=""),"",IFERROR(INDEX(CONFIG!$E$5:$E$14,MATCH(D193,CONFIG!$D$5:$D$14,0)),"?")&amp;RIGHT("0"&amp;DAY(B193),2)&amp;RIGHT("0"&amp;MONTH(B193),2)&amp;RIGHT(YEAR(B193),2)&amp;C193&amp;IF(E193="","","-"&amp;E193))</f>
        <v/>
      </c>
      <c r="G193" s="13"/>
      <c r="H193" s="13"/>
      <c r="I193" s="13"/>
      <c r="J193" s="13"/>
      <c r="K193" s="13"/>
      <c r="L193" s="13"/>
      <c r="M193" s="11" t="str">
        <f aca="false">IF(F193="","",COUNTIFS(ENSAYOS!$C$5:$C$3004,F193,ENSAYOS!$Q$5:$Q$3004,"&gt;0"))</f>
        <v/>
      </c>
      <c r="N193" s="15" t="str">
        <f aca="false">IF(N(M193)=0,"",_xlfn.MINIFS(ENSAYOS!$G$5:$G$3004,ENSAYOS!$C$5:$C$3004,F193,ENSAYOS!$Q$5:$Q$3004,"&gt;0"))</f>
        <v/>
      </c>
      <c r="O193" s="15" t="str">
        <f aca="false">IF(N(M193)=0,"",_xlfn.MAXIFS(ENSAYOS!$G$5:$G$3004,ENSAYOS!$C$5:$C$3004,F193,ENSAYOS!$Q$5:$Q$3004,"&gt;0"))</f>
        <v/>
      </c>
      <c r="P193" s="16" t="str">
        <f aca="false">IF(N(M193)=0,"",AVERAGEIFS(ENSAYOS!$Q$5:$Q$3004,ENSAYOS!$C$5:$C$3004,F193,ENSAYOS!$Q$5:$Q$3004,"&gt;0"))</f>
        <v/>
      </c>
      <c r="Q193" s="16" t="str">
        <f aca="false">IF(N(M193)=0,"",_xlfn.MINIFS(ENSAYOS!$Q$5:$Q$3004,ENSAYOS!$C$5:$C$3004,F193,ENSAYOS!$Q$5:$Q$3004,"&gt;0"))</f>
        <v/>
      </c>
      <c r="R193" s="16" t="str">
        <f aca="false">IF(N(M193)=0,"",_xlfn.MAXIFS(ENSAYOS!$Q$5:$Q$3004,ENSAYOS!$C$5:$C$3004,F193,ENSAYOS!$Q$5:$Q$3004,"&gt;0"))</f>
        <v/>
      </c>
      <c r="S193" s="16" t="str">
        <f aca="false">IF(N(M193)&lt;2,"",SQRT(MAX(0,(SUMIFS(ENSAYOS!$X$5:$X$3004,ENSAYOS!$C$5:$C$3004,F193,ENSAYOS!$Q$5:$Q$3004,"&gt;0")-M193*P193^2)/(M193-1))))</f>
        <v/>
      </c>
      <c r="T193" s="17" t="str">
        <f aca="false">IF(S193="","",S193/P193)</f>
        <v/>
      </c>
      <c r="U193" s="16" t="str">
        <f aca="false">IF(N(M193)=0,"",IF(N193&gt;=CONFIG!$B$27,"",AVERAGEIFS(ENSAYOS!$Q$5:$Q$3004,ENSAYOS!$C$5:$C$3004,F193,ENSAYOS!$Q$5:$Q$3004,"&gt;0",ENSAYOS!$G$5:$G$3004,N193)))</f>
        <v/>
      </c>
      <c r="V193" s="16" t="str">
        <f aca="false">IF(N(M193)=0,"",IF(COUNTIFS(ENSAYOS!$C$5:$C$3004,F193,ENSAYOS!$Q$5:$Q$3004,"&gt;0",ENSAYOS!$G$5:$G$3004,"&gt;="&amp;CONFIG!$B$27)=0,"",AVERAGEIFS(ENSAYOS!$Q$5:$Q$3004,ENSAYOS!$C$5:$C$3004,F193,ENSAYOS!$Q$5:$Q$3004,"&gt;0",ENSAYOS!$G$5:$G$3004,"&gt;="&amp;CONFIG!$B$27)))</f>
        <v/>
      </c>
      <c r="W193" s="18" t="str">
        <f aca="false">IF(AND(U193&lt;&gt;"",V193&lt;&gt;""),U193/V193,"")</f>
        <v/>
      </c>
      <c r="X193" s="18" t="str">
        <f aca="false">IF(U193="","",INDEX('CURVA EDAD'!$E$5:$E$32,MIN(28,MAX(1,N193))))</f>
        <v/>
      </c>
      <c r="Y193" s="16" t="str">
        <f aca="false">IF(V193&lt;&gt;"",V193,IF(U193="","",U193/X193))</f>
        <v/>
      </c>
      <c r="Z193" s="16" t="str">
        <f aca="false">IF(V193&lt;&gt;"",_xlfn.MINIFS(ENSAYOS!$Q$5:$Q$3004,ENSAYOS!$C$5:$C$3004,F193,ENSAYOS!$Q$5:$Q$3004,"&gt;0",ENSAYOS!$G$5:$G$3004,"&gt;="&amp;CONFIG!$B$27),IF(U193="","",_xlfn.MINIFS(ENSAYOS!$Q$5:$Q$3004,ENSAYOS!$C$5:$C$3004,F193,ENSAYOS!$Q$5:$Q$3004,"&gt;0",ENSAYOS!$G$5:$G$3004,N193)/X193))</f>
        <v/>
      </c>
      <c r="AA193" s="16" t="str">
        <f aca="false">IF(D193="","",IFERROR(1/(1/INDEX(CONFIG!$J$5:$J$14,MATCH(D193,CONFIG!$D$5:$D$14,0))),""))</f>
        <v/>
      </c>
      <c r="AB193" s="16" t="str">
        <f aca="false">IF(D193="","",IFERROR(1/(1/INDEX(CONFIG!$K$5:$K$14,MATCH(D193,CONFIG!$D$5:$D$14,0))),""))</f>
        <v/>
      </c>
      <c r="AC193" s="19" t="str">
        <f aca="false">IF(N(M193)=0,"",IF(AA193="","Sin spec",IF(AND(Y193&gt;=AA193,OR(AB193="",Z193&gt;=AB193)),"CUMPLE","NO CUMPLE")&amp;IF(V193=""," (est.)","")))</f>
        <v/>
      </c>
      <c r="AD193" s="20" t="str">
        <f aca="false">IF(F193="","",IF(COUNTIFS(ABSORCION!$C$5:$C$1004,F193,ABSORCION!$I$5:$I$1004,"&gt;0")=0,"",AVERAGEIFS(ABSORCION!$I$5:$I$1004,ABSORCION!$C$5:$C$1004,F193,ABSORCION!$I$5:$I$1004,"&gt;0")))</f>
        <v/>
      </c>
      <c r="AE193" s="20" t="str">
        <f aca="false">IF(F193="","",IF(COUNTIFS(ABSORCION!$C$5:$C$1004,F193,ABSORCION!$I$5:$I$1004,"&gt;0")=0,"",AVERAGEIFS(ABSORCION!$K$5:$K$1004,ABSORCION!$C$5:$C$1004,F193,ABSORCION!$I$5:$I$1004,"&gt;0")))</f>
        <v/>
      </c>
      <c r="AF193" s="20" t="str">
        <f aca="false">IF(AE193="","",IF(AE193&gt;=CONFIG!$E$21,CONFIG!$F$21,IF(AE193&gt;=CONFIG!$E$20,CONFIG!$F$20,CONFIG!$F$19)))</f>
        <v/>
      </c>
      <c r="AG193" s="21" t="str">
        <f aca="false">IF(F193="","",TRIM(IF(N(M193)=0,"Sin ensayos. ","")&amp;IF(AND(N(M193)&gt;0,N(M193)&lt;CONFIG!$B$26),"Menos de "&amp;CONFIG!$B$26&amp;" probetas. ","")&amp;IF(N(T193)&gt;CONFIG!$B$25,"CV alto. ","")&amp;IF(AND(N(AD193)&gt;0,N(AD193)&gt;N(AF193)),"Absorción alta. ","")))</f>
        <v/>
      </c>
      <c r="AH193" s="22" t="str">
        <f aca="false">IF(AND(N(M193)&gt;0,OR(CONTROL!$C$4="TODAS",C193=CONTROL!$C$4),D193=CONTROL!$C$5),MAX($AH$4:AH192)+1,"")</f>
        <v/>
      </c>
      <c r="AI193" s="22" t="str">
        <f aca="false">IF(AH193="","",P193^2)</f>
        <v/>
      </c>
    </row>
    <row r="194" customFormat="false" ht="15" hidden="false" customHeight="false" outlineLevel="0" collapsed="false">
      <c r="A194" s="11" t="str">
        <f aca="false">IF(B194="","",ROW()-4)</f>
        <v/>
      </c>
      <c r="B194" s="12"/>
      <c r="C194" s="13"/>
      <c r="D194" s="13"/>
      <c r="E194" s="13"/>
      <c r="F194" s="14" t="str">
        <f aca="false">IF(OR(B194="",C194="",D194=""),"",IFERROR(INDEX(CONFIG!$E$5:$E$14,MATCH(D194,CONFIG!$D$5:$D$14,0)),"?")&amp;RIGHT("0"&amp;DAY(B194),2)&amp;RIGHT("0"&amp;MONTH(B194),2)&amp;RIGHT(YEAR(B194),2)&amp;C194&amp;IF(E194="","","-"&amp;E194))</f>
        <v/>
      </c>
      <c r="G194" s="13"/>
      <c r="H194" s="13"/>
      <c r="I194" s="13"/>
      <c r="J194" s="13"/>
      <c r="K194" s="13"/>
      <c r="L194" s="13"/>
      <c r="M194" s="11" t="str">
        <f aca="false">IF(F194="","",COUNTIFS(ENSAYOS!$C$5:$C$3004,F194,ENSAYOS!$Q$5:$Q$3004,"&gt;0"))</f>
        <v/>
      </c>
      <c r="N194" s="15" t="str">
        <f aca="false">IF(N(M194)=0,"",_xlfn.MINIFS(ENSAYOS!$G$5:$G$3004,ENSAYOS!$C$5:$C$3004,F194,ENSAYOS!$Q$5:$Q$3004,"&gt;0"))</f>
        <v/>
      </c>
      <c r="O194" s="15" t="str">
        <f aca="false">IF(N(M194)=0,"",_xlfn.MAXIFS(ENSAYOS!$G$5:$G$3004,ENSAYOS!$C$5:$C$3004,F194,ENSAYOS!$Q$5:$Q$3004,"&gt;0"))</f>
        <v/>
      </c>
      <c r="P194" s="16" t="str">
        <f aca="false">IF(N(M194)=0,"",AVERAGEIFS(ENSAYOS!$Q$5:$Q$3004,ENSAYOS!$C$5:$C$3004,F194,ENSAYOS!$Q$5:$Q$3004,"&gt;0"))</f>
        <v/>
      </c>
      <c r="Q194" s="16" t="str">
        <f aca="false">IF(N(M194)=0,"",_xlfn.MINIFS(ENSAYOS!$Q$5:$Q$3004,ENSAYOS!$C$5:$C$3004,F194,ENSAYOS!$Q$5:$Q$3004,"&gt;0"))</f>
        <v/>
      </c>
      <c r="R194" s="16" t="str">
        <f aca="false">IF(N(M194)=0,"",_xlfn.MAXIFS(ENSAYOS!$Q$5:$Q$3004,ENSAYOS!$C$5:$C$3004,F194,ENSAYOS!$Q$5:$Q$3004,"&gt;0"))</f>
        <v/>
      </c>
      <c r="S194" s="16" t="str">
        <f aca="false">IF(N(M194)&lt;2,"",SQRT(MAX(0,(SUMIFS(ENSAYOS!$X$5:$X$3004,ENSAYOS!$C$5:$C$3004,F194,ENSAYOS!$Q$5:$Q$3004,"&gt;0")-M194*P194^2)/(M194-1))))</f>
        <v/>
      </c>
      <c r="T194" s="17" t="str">
        <f aca="false">IF(S194="","",S194/P194)</f>
        <v/>
      </c>
      <c r="U194" s="16" t="str">
        <f aca="false">IF(N(M194)=0,"",IF(N194&gt;=CONFIG!$B$27,"",AVERAGEIFS(ENSAYOS!$Q$5:$Q$3004,ENSAYOS!$C$5:$C$3004,F194,ENSAYOS!$Q$5:$Q$3004,"&gt;0",ENSAYOS!$G$5:$G$3004,N194)))</f>
        <v/>
      </c>
      <c r="V194" s="16" t="str">
        <f aca="false">IF(N(M194)=0,"",IF(COUNTIFS(ENSAYOS!$C$5:$C$3004,F194,ENSAYOS!$Q$5:$Q$3004,"&gt;0",ENSAYOS!$G$5:$G$3004,"&gt;="&amp;CONFIG!$B$27)=0,"",AVERAGEIFS(ENSAYOS!$Q$5:$Q$3004,ENSAYOS!$C$5:$C$3004,F194,ENSAYOS!$Q$5:$Q$3004,"&gt;0",ENSAYOS!$G$5:$G$3004,"&gt;="&amp;CONFIG!$B$27)))</f>
        <v/>
      </c>
      <c r="W194" s="18" t="str">
        <f aca="false">IF(AND(U194&lt;&gt;"",V194&lt;&gt;""),U194/V194,"")</f>
        <v/>
      </c>
      <c r="X194" s="18" t="str">
        <f aca="false">IF(U194="","",INDEX('CURVA EDAD'!$E$5:$E$32,MIN(28,MAX(1,N194))))</f>
        <v/>
      </c>
      <c r="Y194" s="16" t="str">
        <f aca="false">IF(V194&lt;&gt;"",V194,IF(U194="","",U194/X194))</f>
        <v/>
      </c>
      <c r="Z194" s="16" t="str">
        <f aca="false">IF(V194&lt;&gt;"",_xlfn.MINIFS(ENSAYOS!$Q$5:$Q$3004,ENSAYOS!$C$5:$C$3004,F194,ENSAYOS!$Q$5:$Q$3004,"&gt;0",ENSAYOS!$G$5:$G$3004,"&gt;="&amp;CONFIG!$B$27),IF(U194="","",_xlfn.MINIFS(ENSAYOS!$Q$5:$Q$3004,ENSAYOS!$C$5:$C$3004,F194,ENSAYOS!$Q$5:$Q$3004,"&gt;0",ENSAYOS!$G$5:$G$3004,N194)/X194))</f>
        <v/>
      </c>
      <c r="AA194" s="16" t="str">
        <f aca="false">IF(D194="","",IFERROR(1/(1/INDEX(CONFIG!$J$5:$J$14,MATCH(D194,CONFIG!$D$5:$D$14,0))),""))</f>
        <v/>
      </c>
      <c r="AB194" s="16" t="str">
        <f aca="false">IF(D194="","",IFERROR(1/(1/INDEX(CONFIG!$K$5:$K$14,MATCH(D194,CONFIG!$D$5:$D$14,0))),""))</f>
        <v/>
      </c>
      <c r="AC194" s="19" t="str">
        <f aca="false">IF(N(M194)=0,"",IF(AA194="","Sin spec",IF(AND(Y194&gt;=AA194,OR(AB194="",Z194&gt;=AB194)),"CUMPLE","NO CUMPLE")&amp;IF(V194=""," (est.)","")))</f>
        <v/>
      </c>
      <c r="AD194" s="20" t="str">
        <f aca="false">IF(F194="","",IF(COUNTIFS(ABSORCION!$C$5:$C$1004,F194,ABSORCION!$I$5:$I$1004,"&gt;0")=0,"",AVERAGEIFS(ABSORCION!$I$5:$I$1004,ABSORCION!$C$5:$C$1004,F194,ABSORCION!$I$5:$I$1004,"&gt;0")))</f>
        <v/>
      </c>
      <c r="AE194" s="20" t="str">
        <f aca="false">IF(F194="","",IF(COUNTIFS(ABSORCION!$C$5:$C$1004,F194,ABSORCION!$I$5:$I$1004,"&gt;0")=0,"",AVERAGEIFS(ABSORCION!$K$5:$K$1004,ABSORCION!$C$5:$C$1004,F194,ABSORCION!$I$5:$I$1004,"&gt;0")))</f>
        <v/>
      </c>
      <c r="AF194" s="20" t="str">
        <f aca="false">IF(AE194="","",IF(AE194&gt;=CONFIG!$E$21,CONFIG!$F$21,IF(AE194&gt;=CONFIG!$E$20,CONFIG!$F$20,CONFIG!$F$19)))</f>
        <v/>
      </c>
      <c r="AG194" s="21" t="str">
        <f aca="false">IF(F194="","",TRIM(IF(N(M194)=0,"Sin ensayos. ","")&amp;IF(AND(N(M194)&gt;0,N(M194)&lt;CONFIG!$B$26),"Menos de "&amp;CONFIG!$B$26&amp;" probetas. ","")&amp;IF(N(T194)&gt;CONFIG!$B$25,"CV alto. ","")&amp;IF(AND(N(AD194)&gt;0,N(AD194)&gt;N(AF194)),"Absorción alta. ","")))</f>
        <v/>
      </c>
      <c r="AH194" s="22" t="str">
        <f aca="false">IF(AND(N(M194)&gt;0,OR(CONTROL!$C$4="TODAS",C194=CONTROL!$C$4),D194=CONTROL!$C$5),MAX($AH$4:AH193)+1,"")</f>
        <v/>
      </c>
      <c r="AI194" s="22" t="str">
        <f aca="false">IF(AH194="","",P194^2)</f>
        <v/>
      </c>
    </row>
    <row r="195" customFormat="false" ht="15" hidden="false" customHeight="false" outlineLevel="0" collapsed="false">
      <c r="A195" s="11" t="str">
        <f aca="false">IF(B195="","",ROW()-4)</f>
        <v/>
      </c>
      <c r="B195" s="12"/>
      <c r="C195" s="13"/>
      <c r="D195" s="13"/>
      <c r="E195" s="13"/>
      <c r="F195" s="14" t="str">
        <f aca="false">IF(OR(B195="",C195="",D195=""),"",IFERROR(INDEX(CONFIG!$E$5:$E$14,MATCH(D195,CONFIG!$D$5:$D$14,0)),"?")&amp;RIGHT("0"&amp;DAY(B195),2)&amp;RIGHT("0"&amp;MONTH(B195),2)&amp;RIGHT(YEAR(B195),2)&amp;C195&amp;IF(E195="","","-"&amp;E195))</f>
        <v/>
      </c>
      <c r="G195" s="13"/>
      <c r="H195" s="13"/>
      <c r="I195" s="13"/>
      <c r="J195" s="13"/>
      <c r="K195" s="13"/>
      <c r="L195" s="13"/>
      <c r="M195" s="11" t="str">
        <f aca="false">IF(F195="","",COUNTIFS(ENSAYOS!$C$5:$C$3004,F195,ENSAYOS!$Q$5:$Q$3004,"&gt;0"))</f>
        <v/>
      </c>
      <c r="N195" s="15" t="str">
        <f aca="false">IF(N(M195)=0,"",_xlfn.MINIFS(ENSAYOS!$G$5:$G$3004,ENSAYOS!$C$5:$C$3004,F195,ENSAYOS!$Q$5:$Q$3004,"&gt;0"))</f>
        <v/>
      </c>
      <c r="O195" s="15" t="str">
        <f aca="false">IF(N(M195)=0,"",_xlfn.MAXIFS(ENSAYOS!$G$5:$G$3004,ENSAYOS!$C$5:$C$3004,F195,ENSAYOS!$Q$5:$Q$3004,"&gt;0"))</f>
        <v/>
      </c>
      <c r="P195" s="16" t="str">
        <f aca="false">IF(N(M195)=0,"",AVERAGEIFS(ENSAYOS!$Q$5:$Q$3004,ENSAYOS!$C$5:$C$3004,F195,ENSAYOS!$Q$5:$Q$3004,"&gt;0"))</f>
        <v/>
      </c>
      <c r="Q195" s="16" t="str">
        <f aca="false">IF(N(M195)=0,"",_xlfn.MINIFS(ENSAYOS!$Q$5:$Q$3004,ENSAYOS!$C$5:$C$3004,F195,ENSAYOS!$Q$5:$Q$3004,"&gt;0"))</f>
        <v/>
      </c>
      <c r="R195" s="16" t="str">
        <f aca="false">IF(N(M195)=0,"",_xlfn.MAXIFS(ENSAYOS!$Q$5:$Q$3004,ENSAYOS!$C$5:$C$3004,F195,ENSAYOS!$Q$5:$Q$3004,"&gt;0"))</f>
        <v/>
      </c>
      <c r="S195" s="16" t="str">
        <f aca="false">IF(N(M195)&lt;2,"",SQRT(MAX(0,(SUMIFS(ENSAYOS!$X$5:$X$3004,ENSAYOS!$C$5:$C$3004,F195,ENSAYOS!$Q$5:$Q$3004,"&gt;0")-M195*P195^2)/(M195-1))))</f>
        <v/>
      </c>
      <c r="T195" s="17" t="str">
        <f aca="false">IF(S195="","",S195/P195)</f>
        <v/>
      </c>
      <c r="U195" s="16" t="str">
        <f aca="false">IF(N(M195)=0,"",IF(N195&gt;=CONFIG!$B$27,"",AVERAGEIFS(ENSAYOS!$Q$5:$Q$3004,ENSAYOS!$C$5:$C$3004,F195,ENSAYOS!$Q$5:$Q$3004,"&gt;0",ENSAYOS!$G$5:$G$3004,N195)))</f>
        <v/>
      </c>
      <c r="V195" s="16" t="str">
        <f aca="false">IF(N(M195)=0,"",IF(COUNTIFS(ENSAYOS!$C$5:$C$3004,F195,ENSAYOS!$Q$5:$Q$3004,"&gt;0",ENSAYOS!$G$5:$G$3004,"&gt;="&amp;CONFIG!$B$27)=0,"",AVERAGEIFS(ENSAYOS!$Q$5:$Q$3004,ENSAYOS!$C$5:$C$3004,F195,ENSAYOS!$Q$5:$Q$3004,"&gt;0",ENSAYOS!$G$5:$G$3004,"&gt;="&amp;CONFIG!$B$27)))</f>
        <v/>
      </c>
      <c r="W195" s="18" t="str">
        <f aca="false">IF(AND(U195&lt;&gt;"",V195&lt;&gt;""),U195/V195,"")</f>
        <v/>
      </c>
      <c r="X195" s="18" t="str">
        <f aca="false">IF(U195="","",INDEX('CURVA EDAD'!$E$5:$E$32,MIN(28,MAX(1,N195))))</f>
        <v/>
      </c>
      <c r="Y195" s="16" t="str">
        <f aca="false">IF(V195&lt;&gt;"",V195,IF(U195="","",U195/X195))</f>
        <v/>
      </c>
      <c r="Z195" s="16" t="str">
        <f aca="false">IF(V195&lt;&gt;"",_xlfn.MINIFS(ENSAYOS!$Q$5:$Q$3004,ENSAYOS!$C$5:$C$3004,F195,ENSAYOS!$Q$5:$Q$3004,"&gt;0",ENSAYOS!$G$5:$G$3004,"&gt;="&amp;CONFIG!$B$27),IF(U195="","",_xlfn.MINIFS(ENSAYOS!$Q$5:$Q$3004,ENSAYOS!$C$5:$C$3004,F195,ENSAYOS!$Q$5:$Q$3004,"&gt;0",ENSAYOS!$G$5:$G$3004,N195)/X195))</f>
        <v/>
      </c>
      <c r="AA195" s="16" t="str">
        <f aca="false">IF(D195="","",IFERROR(1/(1/INDEX(CONFIG!$J$5:$J$14,MATCH(D195,CONFIG!$D$5:$D$14,0))),""))</f>
        <v/>
      </c>
      <c r="AB195" s="16" t="str">
        <f aca="false">IF(D195="","",IFERROR(1/(1/INDEX(CONFIG!$K$5:$K$14,MATCH(D195,CONFIG!$D$5:$D$14,0))),""))</f>
        <v/>
      </c>
      <c r="AC195" s="19" t="str">
        <f aca="false">IF(N(M195)=0,"",IF(AA195="","Sin spec",IF(AND(Y195&gt;=AA195,OR(AB195="",Z195&gt;=AB195)),"CUMPLE","NO CUMPLE")&amp;IF(V195=""," (est.)","")))</f>
        <v/>
      </c>
      <c r="AD195" s="20" t="str">
        <f aca="false">IF(F195="","",IF(COUNTIFS(ABSORCION!$C$5:$C$1004,F195,ABSORCION!$I$5:$I$1004,"&gt;0")=0,"",AVERAGEIFS(ABSORCION!$I$5:$I$1004,ABSORCION!$C$5:$C$1004,F195,ABSORCION!$I$5:$I$1004,"&gt;0")))</f>
        <v/>
      </c>
      <c r="AE195" s="20" t="str">
        <f aca="false">IF(F195="","",IF(COUNTIFS(ABSORCION!$C$5:$C$1004,F195,ABSORCION!$I$5:$I$1004,"&gt;0")=0,"",AVERAGEIFS(ABSORCION!$K$5:$K$1004,ABSORCION!$C$5:$C$1004,F195,ABSORCION!$I$5:$I$1004,"&gt;0")))</f>
        <v/>
      </c>
      <c r="AF195" s="20" t="str">
        <f aca="false">IF(AE195="","",IF(AE195&gt;=CONFIG!$E$21,CONFIG!$F$21,IF(AE195&gt;=CONFIG!$E$20,CONFIG!$F$20,CONFIG!$F$19)))</f>
        <v/>
      </c>
      <c r="AG195" s="21" t="str">
        <f aca="false">IF(F195="","",TRIM(IF(N(M195)=0,"Sin ensayos. ","")&amp;IF(AND(N(M195)&gt;0,N(M195)&lt;CONFIG!$B$26),"Menos de "&amp;CONFIG!$B$26&amp;" probetas. ","")&amp;IF(N(T195)&gt;CONFIG!$B$25,"CV alto. ","")&amp;IF(AND(N(AD195)&gt;0,N(AD195)&gt;N(AF195)),"Absorción alta. ","")))</f>
        <v/>
      </c>
      <c r="AH195" s="22" t="str">
        <f aca="false">IF(AND(N(M195)&gt;0,OR(CONTROL!$C$4="TODAS",C195=CONTROL!$C$4),D195=CONTROL!$C$5),MAX($AH$4:AH194)+1,"")</f>
        <v/>
      </c>
      <c r="AI195" s="22" t="str">
        <f aca="false">IF(AH195="","",P195^2)</f>
        <v/>
      </c>
    </row>
    <row r="196" customFormat="false" ht="15" hidden="false" customHeight="false" outlineLevel="0" collapsed="false">
      <c r="A196" s="11" t="str">
        <f aca="false">IF(B196="","",ROW()-4)</f>
        <v/>
      </c>
      <c r="B196" s="12"/>
      <c r="C196" s="13"/>
      <c r="D196" s="13"/>
      <c r="E196" s="13"/>
      <c r="F196" s="14" t="str">
        <f aca="false">IF(OR(B196="",C196="",D196=""),"",IFERROR(INDEX(CONFIG!$E$5:$E$14,MATCH(D196,CONFIG!$D$5:$D$14,0)),"?")&amp;RIGHT("0"&amp;DAY(B196),2)&amp;RIGHT("0"&amp;MONTH(B196),2)&amp;RIGHT(YEAR(B196),2)&amp;C196&amp;IF(E196="","","-"&amp;E196))</f>
        <v/>
      </c>
      <c r="G196" s="13"/>
      <c r="H196" s="13"/>
      <c r="I196" s="13"/>
      <c r="J196" s="13"/>
      <c r="K196" s="13"/>
      <c r="L196" s="13"/>
      <c r="M196" s="11" t="str">
        <f aca="false">IF(F196="","",COUNTIFS(ENSAYOS!$C$5:$C$3004,F196,ENSAYOS!$Q$5:$Q$3004,"&gt;0"))</f>
        <v/>
      </c>
      <c r="N196" s="15" t="str">
        <f aca="false">IF(N(M196)=0,"",_xlfn.MINIFS(ENSAYOS!$G$5:$G$3004,ENSAYOS!$C$5:$C$3004,F196,ENSAYOS!$Q$5:$Q$3004,"&gt;0"))</f>
        <v/>
      </c>
      <c r="O196" s="15" t="str">
        <f aca="false">IF(N(M196)=0,"",_xlfn.MAXIFS(ENSAYOS!$G$5:$G$3004,ENSAYOS!$C$5:$C$3004,F196,ENSAYOS!$Q$5:$Q$3004,"&gt;0"))</f>
        <v/>
      </c>
      <c r="P196" s="16" t="str">
        <f aca="false">IF(N(M196)=0,"",AVERAGEIFS(ENSAYOS!$Q$5:$Q$3004,ENSAYOS!$C$5:$C$3004,F196,ENSAYOS!$Q$5:$Q$3004,"&gt;0"))</f>
        <v/>
      </c>
      <c r="Q196" s="16" t="str">
        <f aca="false">IF(N(M196)=0,"",_xlfn.MINIFS(ENSAYOS!$Q$5:$Q$3004,ENSAYOS!$C$5:$C$3004,F196,ENSAYOS!$Q$5:$Q$3004,"&gt;0"))</f>
        <v/>
      </c>
      <c r="R196" s="16" t="str">
        <f aca="false">IF(N(M196)=0,"",_xlfn.MAXIFS(ENSAYOS!$Q$5:$Q$3004,ENSAYOS!$C$5:$C$3004,F196,ENSAYOS!$Q$5:$Q$3004,"&gt;0"))</f>
        <v/>
      </c>
      <c r="S196" s="16" t="str">
        <f aca="false">IF(N(M196)&lt;2,"",SQRT(MAX(0,(SUMIFS(ENSAYOS!$X$5:$X$3004,ENSAYOS!$C$5:$C$3004,F196,ENSAYOS!$Q$5:$Q$3004,"&gt;0")-M196*P196^2)/(M196-1))))</f>
        <v/>
      </c>
      <c r="T196" s="17" t="str">
        <f aca="false">IF(S196="","",S196/P196)</f>
        <v/>
      </c>
      <c r="U196" s="16" t="str">
        <f aca="false">IF(N(M196)=0,"",IF(N196&gt;=CONFIG!$B$27,"",AVERAGEIFS(ENSAYOS!$Q$5:$Q$3004,ENSAYOS!$C$5:$C$3004,F196,ENSAYOS!$Q$5:$Q$3004,"&gt;0",ENSAYOS!$G$5:$G$3004,N196)))</f>
        <v/>
      </c>
      <c r="V196" s="16" t="str">
        <f aca="false">IF(N(M196)=0,"",IF(COUNTIFS(ENSAYOS!$C$5:$C$3004,F196,ENSAYOS!$Q$5:$Q$3004,"&gt;0",ENSAYOS!$G$5:$G$3004,"&gt;="&amp;CONFIG!$B$27)=0,"",AVERAGEIFS(ENSAYOS!$Q$5:$Q$3004,ENSAYOS!$C$5:$C$3004,F196,ENSAYOS!$Q$5:$Q$3004,"&gt;0",ENSAYOS!$G$5:$G$3004,"&gt;="&amp;CONFIG!$B$27)))</f>
        <v/>
      </c>
      <c r="W196" s="18" t="str">
        <f aca="false">IF(AND(U196&lt;&gt;"",V196&lt;&gt;""),U196/V196,"")</f>
        <v/>
      </c>
      <c r="X196" s="18" t="str">
        <f aca="false">IF(U196="","",INDEX('CURVA EDAD'!$E$5:$E$32,MIN(28,MAX(1,N196))))</f>
        <v/>
      </c>
      <c r="Y196" s="16" t="str">
        <f aca="false">IF(V196&lt;&gt;"",V196,IF(U196="","",U196/X196))</f>
        <v/>
      </c>
      <c r="Z196" s="16" t="str">
        <f aca="false">IF(V196&lt;&gt;"",_xlfn.MINIFS(ENSAYOS!$Q$5:$Q$3004,ENSAYOS!$C$5:$C$3004,F196,ENSAYOS!$Q$5:$Q$3004,"&gt;0",ENSAYOS!$G$5:$G$3004,"&gt;="&amp;CONFIG!$B$27),IF(U196="","",_xlfn.MINIFS(ENSAYOS!$Q$5:$Q$3004,ENSAYOS!$C$5:$C$3004,F196,ENSAYOS!$Q$5:$Q$3004,"&gt;0",ENSAYOS!$G$5:$G$3004,N196)/X196))</f>
        <v/>
      </c>
      <c r="AA196" s="16" t="str">
        <f aca="false">IF(D196="","",IFERROR(1/(1/INDEX(CONFIG!$J$5:$J$14,MATCH(D196,CONFIG!$D$5:$D$14,0))),""))</f>
        <v/>
      </c>
      <c r="AB196" s="16" t="str">
        <f aca="false">IF(D196="","",IFERROR(1/(1/INDEX(CONFIG!$K$5:$K$14,MATCH(D196,CONFIG!$D$5:$D$14,0))),""))</f>
        <v/>
      </c>
      <c r="AC196" s="19" t="str">
        <f aca="false">IF(N(M196)=0,"",IF(AA196="","Sin spec",IF(AND(Y196&gt;=AA196,OR(AB196="",Z196&gt;=AB196)),"CUMPLE","NO CUMPLE")&amp;IF(V196=""," (est.)","")))</f>
        <v/>
      </c>
      <c r="AD196" s="20" t="str">
        <f aca="false">IF(F196="","",IF(COUNTIFS(ABSORCION!$C$5:$C$1004,F196,ABSORCION!$I$5:$I$1004,"&gt;0")=0,"",AVERAGEIFS(ABSORCION!$I$5:$I$1004,ABSORCION!$C$5:$C$1004,F196,ABSORCION!$I$5:$I$1004,"&gt;0")))</f>
        <v/>
      </c>
      <c r="AE196" s="20" t="str">
        <f aca="false">IF(F196="","",IF(COUNTIFS(ABSORCION!$C$5:$C$1004,F196,ABSORCION!$I$5:$I$1004,"&gt;0")=0,"",AVERAGEIFS(ABSORCION!$K$5:$K$1004,ABSORCION!$C$5:$C$1004,F196,ABSORCION!$I$5:$I$1004,"&gt;0")))</f>
        <v/>
      </c>
      <c r="AF196" s="20" t="str">
        <f aca="false">IF(AE196="","",IF(AE196&gt;=CONFIG!$E$21,CONFIG!$F$21,IF(AE196&gt;=CONFIG!$E$20,CONFIG!$F$20,CONFIG!$F$19)))</f>
        <v/>
      </c>
      <c r="AG196" s="21" t="str">
        <f aca="false">IF(F196="","",TRIM(IF(N(M196)=0,"Sin ensayos. ","")&amp;IF(AND(N(M196)&gt;0,N(M196)&lt;CONFIG!$B$26),"Menos de "&amp;CONFIG!$B$26&amp;" probetas. ","")&amp;IF(N(T196)&gt;CONFIG!$B$25,"CV alto. ","")&amp;IF(AND(N(AD196)&gt;0,N(AD196)&gt;N(AF196)),"Absorción alta. ","")))</f>
        <v/>
      </c>
      <c r="AH196" s="22" t="str">
        <f aca="false">IF(AND(N(M196)&gt;0,OR(CONTROL!$C$4="TODAS",C196=CONTROL!$C$4),D196=CONTROL!$C$5),MAX($AH$4:AH195)+1,"")</f>
        <v/>
      </c>
      <c r="AI196" s="22" t="str">
        <f aca="false">IF(AH196="","",P196^2)</f>
        <v/>
      </c>
    </row>
    <row r="197" customFormat="false" ht="15" hidden="false" customHeight="false" outlineLevel="0" collapsed="false">
      <c r="A197" s="11" t="str">
        <f aca="false">IF(B197="","",ROW()-4)</f>
        <v/>
      </c>
      <c r="B197" s="12"/>
      <c r="C197" s="13"/>
      <c r="D197" s="13"/>
      <c r="E197" s="13"/>
      <c r="F197" s="14" t="str">
        <f aca="false">IF(OR(B197="",C197="",D197=""),"",IFERROR(INDEX(CONFIG!$E$5:$E$14,MATCH(D197,CONFIG!$D$5:$D$14,0)),"?")&amp;RIGHT("0"&amp;DAY(B197),2)&amp;RIGHT("0"&amp;MONTH(B197),2)&amp;RIGHT(YEAR(B197),2)&amp;C197&amp;IF(E197="","","-"&amp;E197))</f>
        <v/>
      </c>
      <c r="G197" s="13"/>
      <c r="H197" s="13"/>
      <c r="I197" s="13"/>
      <c r="J197" s="13"/>
      <c r="K197" s="13"/>
      <c r="L197" s="13"/>
      <c r="M197" s="11" t="str">
        <f aca="false">IF(F197="","",COUNTIFS(ENSAYOS!$C$5:$C$3004,F197,ENSAYOS!$Q$5:$Q$3004,"&gt;0"))</f>
        <v/>
      </c>
      <c r="N197" s="15" t="str">
        <f aca="false">IF(N(M197)=0,"",_xlfn.MINIFS(ENSAYOS!$G$5:$G$3004,ENSAYOS!$C$5:$C$3004,F197,ENSAYOS!$Q$5:$Q$3004,"&gt;0"))</f>
        <v/>
      </c>
      <c r="O197" s="15" t="str">
        <f aca="false">IF(N(M197)=0,"",_xlfn.MAXIFS(ENSAYOS!$G$5:$G$3004,ENSAYOS!$C$5:$C$3004,F197,ENSAYOS!$Q$5:$Q$3004,"&gt;0"))</f>
        <v/>
      </c>
      <c r="P197" s="16" t="str">
        <f aca="false">IF(N(M197)=0,"",AVERAGEIFS(ENSAYOS!$Q$5:$Q$3004,ENSAYOS!$C$5:$C$3004,F197,ENSAYOS!$Q$5:$Q$3004,"&gt;0"))</f>
        <v/>
      </c>
      <c r="Q197" s="16" t="str">
        <f aca="false">IF(N(M197)=0,"",_xlfn.MINIFS(ENSAYOS!$Q$5:$Q$3004,ENSAYOS!$C$5:$C$3004,F197,ENSAYOS!$Q$5:$Q$3004,"&gt;0"))</f>
        <v/>
      </c>
      <c r="R197" s="16" t="str">
        <f aca="false">IF(N(M197)=0,"",_xlfn.MAXIFS(ENSAYOS!$Q$5:$Q$3004,ENSAYOS!$C$5:$C$3004,F197,ENSAYOS!$Q$5:$Q$3004,"&gt;0"))</f>
        <v/>
      </c>
      <c r="S197" s="16" t="str">
        <f aca="false">IF(N(M197)&lt;2,"",SQRT(MAX(0,(SUMIFS(ENSAYOS!$X$5:$X$3004,ENSAYOS!$C$5:$C$3004,F197,ENSAYOS!$Q$5:$Q$3004,"&gt;0")-M197*P197^2)/(M197-1))))</f>
        <v/>
      </c>
      <c r="T197" s="17" t="str">
        <f aca="false">IF(S197="","",S197/P197)</f>
        <v/>
      </c>
      <c r="U197" s="16" t="str">
        <f aca="false">IF(N(M197)=0,"",IF(N197&gt;=CONFIG!$B$27,"",AVERAGEIFS(ENSAYOS!$Q$5:$Q$3004,ENSAYOS!$C$5:$C$3004,F197,ENSAYOS!$Q$5:$Q$3004,"&gt;0",ENSAYOS!$G$5:$G$3004,N197)))</f>
        <v/>
      </c>
      <c r="V197" s="16" t="str">
        <f aca="false">IF(N(M197)=0,"",IF(COUNTIFS(ENSAYOS!$C$5:$C$3004,F197,ENSAYOS!$Q$5:$Q$3004,"&gt;0",ENSAYOS!$G$5:$G$3004,"&gt;="&amp;CONFIG!$B$27)=0,"",AVERAGEIFS(ENSAYOS!$Q$5:$Q$3004,ENSAYOS!$C$5:$C$3004,F197,ENSAYOS!$Q$5:$Q$3004,"&gt;0",ENSAYOS!$G$5:$G$3004,"&gt;="&amp;CONFIG!$B$27)))</f>
        <v/>
      </c>
      <c r="W197" s="18" t="str">
        <f aca="false">IF(AND(U197&lt;&gt;"",V197&lt;&gt;""),U197/V197,"")</f>
        <v/>
      </c>
      <c r="X197" s="18" t="str">
        <f aca="false">IF(U197="","",INDEX('CURVA EDAD'!$E$5:$E$32,MIN(28,MAX(1,N197))))</f>
        <v/>
      </c>
      <c r="Y197" s="16" t="str">
        <f aca="false">IF(V197&lt;&gt;"",V197,IF(U197="","",U197/X197))</f>
        <v/>
      </c>
      <c r="Z197" s="16" t="str">
        <f aca="false">IF(V197&lt;&gt;"",_xlfn.MINIFS(ENSAYOS!$Q$5:$Q$3004,ENSAYOS!$C$5:$C$3004,F197,ENSAYOS!$Q$5:$Q$3004,"&gt;0",ENSAYOS!$G$5:$G$3004,"&gt;="&amp;CONFIG!$B$27),IF(U197="","",_xlfn.MINIFS(ENSAYOS!$Q$5:$Q$3004,ENSAYOS!$C$5:$C$3004,F197,ENSAYOS!$Q$5:$Q$3004,"&gt;0",ENSAYOS!$G$5:$G$3004,N197)/X197))</f>
        <v/>
      </c>
      <c r="AA197" s="16" t="str">
        <f aca="false">IF(D197="","",IFERROR(1/(1/INDEX(CONFIG!$J$5:$J$14,MATCH(D197,CONFIG!$D$5:$D$14,0))),""))</f>
        <v/>
      </c>
      <c r="AB197" s="16" t="str">
        <f aca="false">IF(D197="","",IFERROR(1/(1/INDEX(CONFIG!$K$5:$K$14,MATCH(D197,CONFIG!$D$5:$D$14,0))),""))</f>
        <v/>
      </c>
      <c r="AC197" s="19" t="str">
        <f aca="false">IF(N(M197)=0,"",IF(AA197="","Sin spec",IF(AND(Y197&gt;=AA197,OR(AB197="",Z197&gt;=AB197)),"CUMPLE","NO CUMPLE")&amp;IF(V197=""," (est.)","")))</f>
        <v/>
      </c>
      <c r="AD197" s="20" t="str">
        <f aca="false">IF(F197="","",IF(COUNTIFS(ABSORCION!$C$5:$C$1004,F197,ABSORCION!$I$5:$I$1004,"&gt;0")=0,"",AVERAGEIFS(ABSORCION!$I$5:$I$1004,ABSORCION!$C$5:$C$1004,F197,ABSORCION!$I$5:$I$1004,"&gt;0")))</f>
        <v/>
      </c>
      <c r="AE197" s="20" t="str">
        <f aca="false">IF(F197="","",IF(COUNTIFS(ABSORCION!$C$5:$C$1004,F197,ABSORCION!$I$5:$I$1004,"&gt;0")=0,"",AVERAGEIFS(ABSORCION!$K$5:$K$1004,ABSORCION!$C$5:$C$1004,F197,ABSORCION!$I$5:$I$1004,"&gt;0")))</f>
        <v/>
      </c>
      <c r="AF197" s="20" t="str">
        <f aca="false">IF(AE197="","",IF(AE197&gt;=CONFIG!$E$21,CONFIG!$F$21,IF(AE197&gt;=CONFIG!$E$20,CONFIG!$F$20,CONFIG!$F$19)))</f>
        <v/>
      </c>
      <c r="AG197" s="21" t="str">
        <f aca="false">IF(F197="","",TRIM(IF(N(M197)=0,"Sin ensayos. ","")&amp;IF(AND(N(M197)&gt;0,N(M197)&lt;CONFIG!$B$26),"Menos de "&amp;CONFIG!$B$26&amp;" probetas. ","")&amp;IF(N(T197)&gt;CONFIG!$B$25,"CV alto. ","")&amp;IF(AND(N(AD197)&gt;0,N(AD197)&gt;N(AF197)),"Absorción alta. ","")))</f>
        <v/>
      </c>
      <c r="AH197" s="22" t="str">
        <f aca="false">IF(AND(N(M197)&gt;0,OR(CONTROL!$C$4="TODAS",C197=CONTROL!$C$4),D197=CONTROL!$C$5),MAX($AH$4:AH196)+1,"")</f>
        <v/>
      </c>
      <c r="AI197" s="22" t="str">
        <f aca="false">IF(AH197="","",P197^2)</f>
        <v/>
      </c>
    </row>
    <row r="198" customFormat="false" ht="15" hidden="false" customHeight="false" outlineLevel="0" collapsed="false">
      <c r="A198" s="11" t="str">
        <f aca="false">IF(B198="","",ROW()-4)</f>
        <v/>
      </c>
      <c r="B198" s="12"/>
      <c r="C198" s="13"/>
      <c r="D198" s="13"/>
      <c r="E198" s="13"/>
      <c r="F198" s="14" t="str">
        <f aca="false">IF(OR(B198="",C198="",D198=""),"",IFERROR(INDEX(CONFIG!$E$5:$E$14,MATCH(D198,CONFIG!$D$5:$D$14,0)),"?")&amp;RIGHT("0"&amp;DAY(B198),2)&amp;RIGHT("0"&amp;MONTH(B198),2)&amp;RIGHT(YEAR(B198),2)&amp;C198&amp;IF(E198="","","-"&amp;E198))</f>
        <v/>
      </c>
      <c r="G198" s="13"/>
      <c r="H198" s="13"/>
      <c r="I198" s="13"/>
      <c r="J198" s="13"/>
      <c r="K198" s="13"/>
      <c r="L198" s="13"/>
      <c r="M198" s="11" t="str">
        <f aca="false">IF(F198="","",COUNTIFS(ENSAYOS!$C$5:$C$3004,F198,ENSAYOS!$Q$5:$Q$3004,"&gt;0"))</f>
        <v/>
      </c>
      <c r="N198" s="15" t="str">
        <f aca="false">IF(N(M198)=0,"",_xlfn.MINIFS(ENSAYOS!$G$5:$G$3004,ENSAYOS!$C$5:$C$3004,F198,ENSAYOS!$Q$5:$Q$3004,"&gt;0"))</f>
        <v/>
      </c>
      <c r="O198" s="15" t="str">
        <f aca="false">IF(N(M198)=0,"",_xlfn.MAXIFS(ENSAYOS!$G$5:$G$3004,ENSAYOS!$C$5:$C$3004,F198,ENSAYOS!$Q$5:$Q$3004,"&gt;0"))</f>
        <v/>
      </c>
      <c r="P198" s="16" t="str">
        <f aca="false">IF(N(M198)=0,"",AVERAGEIFS(ENSAYOS!$Q$5:$Q$3004,ENSAYOS!$C$5:$C$3004,F198,ENSAYOS!$Q$5:$Q$3004,"&gt;0"))</f>
        <v/>
      </c>
      <c r="Q198" s="16" t="str">
        <f aca="false">IF(N(M198)=0,"",_xlfn.MINIFS(ENSAYOS!$Q$5:$Q$3004,ENSAYOS!$C$5:$C$3004,F198,ENSAYOS!$Q$5:$Q$3004,"&gt;0"))</f>
        <v/>
      </c>
      <c r="R198" s="16" t="str">
        <f aca="false">IF(N(M198)=0,"",_xlfn.MAXIFS(ENSAYOS!$Q$5:$Q$3004,ENSAYOS!$C$5:$C$3004,F198,ENSAYOS!$Q$5:$Q$3004,"&gt;0"))</f>
        <v/>
      </c>
      <c r="S198" s="16" t="str">
        <f aca="false">IF(N(M198)&lt;2,"",SQRT(MAX(0,(SUMIFS(ENSAYOS!$X$5:$X$3004,ENSAYOS!$C$5:$C$3004,F198,ENSAYOS!$Q$5:$Q$3004,"&gt;0")-M198*P198^2)/(M198-1))))</f>
        <v/>
      </c>
      <c r="T198" s="17" t="str">
        <f aca="false">IF(S198="","",S198/P198)</f>
        <v/>
      </c>
      <c r="U198" s="16" t="str">
        <f aca="false">IF(N(M198)=0,"",IF(N198&gt;=CONFIG!$B$27,"",AVERAGEIFS(ENSAYOS!$Q$5:$Q$3004,ENSAYOS!$C$5:$C$3004,F198,ENSAYOS!$Q$5:$Q$3004,"&gt;0",ENSAYOS!$G$5:$G$3004,N198)))</f>
        <v/>
      </c>
      <c r="V198" s="16" t="str">
        <f aca="false">IF(N(M198)=0,"",IF(COUNTIFS(ENSAYOS!$C$5:$C$3004,F198,ENSAYOS!$Q$5:$Q$3004,"&gt;0",ENSAYOS!$G$5:$G$3004,"&gt;="&amp;CONFIG!$B$27)=0,"",AVERAGEIFS(ENSAYOS!$Q$5:$Q$3004,ENSAYOS!$C$5:$C$3004,F198,ENSAYOS!$Q$5:$Q$3004,"&gt;0",ENSAYOS!$G$5:$G$3004,"&gt;="&amp;CONFIG!$B$27)))</f>
        <v/>
      </c>
      <c r="W198" s="18" t="str">
        <f aca="false">IF(AND(U198&lt;&gt;"",V198&lt;&gt;""),U198/V198,"")</f>
        <v/>
      </c>
      <c r="X198" s="18" t="str">
        <f aca="false">IF(U198="","",INDEX('CURVA EDAD'!$E$5:$E$32,MIN(28,MAX(1,N198))))</f>
        <v/>
      </c>
      <c r="Y198" s="16" t="str">
        <f aca="false">IF(V198&lt;&gt;"",V198,IF(U198="","",U198/X198))</f>
        <v/>
      </c>
      <c r="Z198" s="16" t="str">
        <f aca="false">IF(V198&lt;&gt;"",_xlfn.MINIFS(ENSAYOS!$Q$5:$Q$3004,ENSAYOS!$C$5:$C$3004,F198,ENSAYOS!$Q$5:$Q$3004,"&gt;0",ENSAYOS!$G$5:$G$3004,"&gt;="&amp;CONFIG!$B$27),IF(U198="","",_xlfn.MINIFS(ENSAYOS!$Q$5:$Q$3004,ENSAYOS!$C$5:$C$3004,F198,ENSAYOS!$Q$5:$Q$3004,"&gt;0",ENSAYOS!$G$5:$G$3004,N198)/X198))</f>
        <v/>
      </c>
      <c r="AA198" s="16" t="str">
        <f aca="false">IF(D198="","",IFERROR(1/(1/INDEX(CONFIG!$J$5:$J$14,MATCH(D198,CONFIG!$D$5:$D$14,0))),""))</f>
        <v/>
      </c>
      <c r="AB198" s="16" t="str">
        <f aca="false">IF(D198="","",IFERROR(1/(1/INDEX(CONFIG!$K$5:$K$14,MATCH(D198,CONFIG!$D$5:$D$14,0))),""))</f>
        <v/>
      </c>
      <c r="AC198" s="19" t="str">
        <f aca="false">IF(N(M198)=0,"",IF(AA198="","Sin spec",IF(AND(Y198&gt;=AA198,OR(AB198="",Z198&gt;=AB198)),"CUMPLE","NO CUMPLE")&amp;IF(V198=""," (est.)","")))</f>
        <v/>
      </c>
      <c r="AD198" s="20" t="str">
        <f aca="false">IF(F198="","",IF(COUNTIFS(ABSORCION!$C$5:$C$1004,F198,ABSORCION!$I$5:$I$1004,"&gt;0")=0,"",AVERAGEIFS(ABSORCION!$I$5:$I$1004,ABSORCION!$C$5:$C$1004,F198,ABSORCION!$I$5:$I$1004,"&gt;0")))</f>
        <v/>
      </c>
      <c r="AE198" s="20" t="str">
        <f aca="false">IF(F198="","",IF(COUNTIFS(ABSORCION!$C$5:$C$1004,F198,ABSORCION!$I$5:$I$1004,"&gt;0")=0,"",AVERAGEIFS(ABSORCION!$K$5:$K$1004,ABSORCION!$C$5:$C$1004,F198,ABSORCION!$I$5:$I$1004,"&gt;0")))</f>
        <v/>
      </c>
      <c r="AF198" s="20" t="str">
        <f aca="false">IF(AE198="","",IF(AE198&gt;=CONFIG!$E$21,CONFIG!$F$21,IF(AE198&gt;=CONFIG!$E$20,CONFIG!$F$20,CONFIG!$F$19)))</f>
        <v/>
      </c>
      <c r="AG198" s="21" t="str">
        <f aca="false">IF(F198="","",TRIM(IF(N(M198)=0,"Sin ensayos. ","")&amp;IF(AND(N(M198)&gt;0,N(M198)&lt;CONFIG!$B$26),"Menos de "&amp;CONFIG!$B$26&amp;" probetas. ","")&amp;IF(N(T198)&gt;CONFIG!$B$25,"CV alto. ","")&amp;IF(AND(N(AD198)&gt;0,N(AD198)&gt;N(AF198)),"Absorción alta. ","")))</f>
        <v/>
      </c>
      <c r="AH198" s="22" t="str">
        <f aca="false">IF(AND(N(M198)&gt;0,OR(CONTROL!$C$4="TODAS",C198=CONTROL!$C$4),D198=CONTROL!$C$5),MAX($AH$4:AH197)+1,"")</f>
        <v/>
      </c>
      <c r="AI198" s="22" t="str">
        <f aca="false">IF(AH198="","",P198^2)</f>
        <v/>
      </c>
    </row>
    <row r="199" customFormat="false" ht="15" hidden="false" customHeight="false" outlineLevel="0" collapsed="false">
      <c r="A199" s="11" t="str">
        <f aca="false">IF(B199="","",ROW()-4)</f>
        <v/>
      </c>
      <c r="B199" s="12"/>
      <c r="C199" s="13"/>
      <c r="D199" s="13"/>
      <c r="E199" s="13"/>
      <c r="F199" s="14" t="str">
        <f aca="false">IF(OR(B199="",C199="",D199=""),"",IFERROR(INDEX(CONFIG!$E$5:$E$14,MATCH(D199,CONFIG!$D$5:$D$14,0)),"?")&amp;RIGHT("0"&amp;DAY(B199),2)&amp;RIGHT("0"&amp;MONTH(B199),2)&amp;RIGHT(YEAR(B199),2)&amp;C199&amp;IF(E199="","","-"&amp;E199))</f>
        <v/>
      </c>
      <c r="G199" s="13"/>
      <c r="H199" s="13"/>
      <c r="I199" s="13"/>
      <c r="J199" s="13"/>
      <c r="K199" s="13"/>
      <c r="L199" s="13"/>
      <c r="M199" s="11" t="str">
        <f aca="false">IF(F199="","",COUNTIFS(ENSAYOS!$C$5:$C$3004,F199,ENSAYOS!$Q$5:$Q$3004,"&gt;0"))</f>
        <v/>
      </c>
      <c r="N199" s="15" t="str">
        <f aca="false">IF(N(M199)=0,"",_xlfn.MINIFS(ENSAYOS!$G$5:$G$3004,ENSAYOS!$C$5:$C$3004,F199,ENSAYOS!$Q$5:$Q$3004,"&gt;0"))</f>
        <v/>
      </c>
      <c r="O199" s="15" t="str">
        <f aca="false">IF(N(M199)=0,"",_xlfn.MAXIFS(ENSAYOS!$G$5:$G$3004,ENSAYOS!$C$5:$C$3004,F199,ENSAYOS!$Q$5:$Q$3004,"&gt;0"))</f>
        <v/>
      </c>
      <c r="P199" s="16" t="str">
        <f aca="false">IF(N(M199)=0,"",AVERAGEIFS(ENSAYOS!$Q$5:$Q$3004,ENSAYOS!$C$5:$C$3004,F199,ENSAYOS!$Q$5:$Q$3004,"&gt;0"))</f>
        <v/>
      </c>
      <c r="Q199" s="16" t="str">
        <f aca="false">IF(N(M199)=0,"",_xlfn.MINIFS(ENSAYOS!$Q$5:$Q$3004,ENSAYOS!$C$5:$C$3004,F199,ENSAYOS!$Q$5:$Q$3004,"&gt;0"))</f>
        <v/>
      </c>
      <c r="R199" s="16" t="str">
        <f aca="false">IF(N(M199)=0,"",_xlfn.MAXIFS(ENSAYOS!$Q$5:$Q$3004,ENSAYOS!$C$5:$C$3004,F199,ENSAYOS!$Q$5:$Q$3004,"&gt;0"))</f>
        <v/>
      </c>
      <c r="S199" s="16" t="str">
        <f aca="false">IF(N(M199)&lt;2,"",SQRT(MAX(0,(SUMIFS(ENSAYOS!$X$5:$X$3004,ENSAYOS!$C$5:$C$3004,F199,ENSAYOS!$Q$5:$Q$3004,"&gt;0")-M199*P199^2)/(M199-1))))</f>
        <v/>
      </c>
      <c r="T199" s="17" t="str">
        <f aca="false">IF(S199="","",S199/P199)</f>
        <v/>
      </c>
      <c r="U199" s="16" t="str">
        <f aca="false">IF(N(M199)=0,"",IF(N199&gt;=CONFIG!$B$27,"",AVERAGEIFS(ENSAYOS!$Q$5:$Q$3004,ENSAYOS!$C$5:$C$3004,F199,ENSAYOS!$Q$5:$Q$3004,"&gt;0",ENSAYOS!$G$5:$G$3004,N199)))</f>
        <v/>
      </c>
      <c r="V199" s="16" t="str">
        <f aca="false">IF(N(M199)=0,"",IF(COUNTIFS(ENSAYOS!$C$5:$C$3004,F199,ENSAYOS!$Q$5:$Q$3004,"&gt;0",ENSAYOS!$G$5:$G$3004,"&gt;="&amp;CONFIG!$B$27)=0,"",AVERAGEIFS(ENSAYOS!$Q$5:$Q$3004,ENSAYOS!$C$5:$C$3004,F199,ENSAYOS!$Q$5:$Q$3004,"&gt;0",ENSAYOS!$G$5:$G$3004,"&gt;="&amp;CONFIG!$B$27)))</f>
        <v/>
      </c>
      <c r="W199" s="18" t="str">
        <f aca="false">IF(AND(U199&lt;&gt;"",V199&lt;&gt;""),U199/V199,"")</f>
        <v/>
      </c>
      <c r="X199" s="18" t="str">
        <f aca="false">IF(U199="","",INDEX('CURVA EDAD'!$E$5:$E$32,MIN(28,MAX(1,N199))))</f>
        <v/>
      </c>
      <c r="Y199" s="16" t="str">
        <f aca="false">IF(V199&lt;&gt;"",V199,IF(U199="","",U199/X199))</f>
        <v/>
      </c>
      <c r="Z199" s="16" t="str">
        <f aca="false">IF(V199&lt;&gt;"",_xlfn.MINIFS(ENSAYOS!$Q$5:$Q$3004,ENSAYOS!$C$5:$C$3004,F199,ENSAYOS!$Q$5:$Q$3004,"&gt;0",ENSAYOS!$G$5:$G$3004,"&gt;="&amp;CONFIG!$B$27),IF(U199="","",_xlfn.MINIFS(ENSAYOS!$Q$5:$Q$3004,ENSAYOS!$C$5:$C$3004,F199,ENSAYOS!$Q$5:$Q$3004,"&gt;0",ENSAYOS!$G$5:$G$3004,N199)/X199))</f>
        <v/>
      </c>
      <c r="AA199" s="16" t="str">
        <f aca="false">IF(D199="","",IFERROR(1/(1/INDEX(CONFIG!$J$5:$J$14,MATCH(D199,CONFIG!$D$5:$D$14,0))),""))</f>
        <v/>
      </c>
      <c r="AB199" s="16" t="str">
        <f aca="false">IF(D199="","",IFERROR(1/(1/INDEX(CONFIG!$K$5:$K$14,MATCH(D199,CONFIG!$D$5:$D$14,0))),""))</f>
        <v/>
      </c>
      <c r="AC199" s="19" t="str">
        <f aca="false">IF(N(M199)=0,"",IF(AA199="","Sin spec",IF(AND(Y199&gt;=AA199,OR(AB199="",Z199&gt;=AB199)),"CUMPLE","NO CUMPLE")&amp;IF(V199=""," (est.)","")))</f>
        <v/>
      </c>
      <c r="AD199" s="20" t="str">
        <f aca="false">IF(F199="","",IF(COUNTIFS(ABSORCION!$C$5:$C$1004,F199,ABSORCION!$I$5:$I$1004,"&gt;0")=0,"",AVERAGEIFS(ABSORCION!$I$5:$I$1004,ABSORCION!$C$5:$C$1004,F199,ABSORCION!$I$5:$I$1004,"&gt;0")))</f>
        <v/>
      </c>
      <c r="AE199" s="20" t="str">
        <f aca="false">IF(F199="","",IF(COUNTIFS(ABSORCION!$C$5:$C$1004,F199,ABSORCION!$I$5:$I$1004,"&gt;0")=0,"",AVERAGEIFS(ABSORCION!$K$5:$K$1004,ABSORCION!$C$5:$C$1004,F199,ABSORCION!$I$5:$I$1004,"&gt;0")))</f>
        <v/>
      </c>
      <c r="AF199" s="20" t="str">
        <f aca="false">IF(AE199="","",IF(AE199&gt;=CONFIG!$E$21,CONFIG!$F$21,IF(AE199&gt;=CONFIG!$E$20,CONFIG!$F$20,CONFIG!$F$19)))</f>
        <v/>
      </c>
      <c r="AG199" s="21" t="str">
        <f aca="false">IF(F199="","",TRIM(IF(N(M199)=0,"Sin ensayos. ","")&amp;IF(AND(N(M199)&gt;0,N(M199)&lt;CONFIG!$B$26),"Menos de "&amp;CONFIG!$B$26&amp;" probetas. ","")&amp;IF(N(T199)&gt;CONFIG!$B$25,"CV alto. ","")&amp;IF(AND(N(AD199)&gt;0,N(AD199)&gt;N(AF199)),"Absorción alta. ","")))</f>
        <v/>
      </c>
      <c r="AH199" s="22" t="str">
        <f aca="false">IF(AND(N(M199)&gt;0,OR(CONTROL!$C$4="TODAS",C199=CONTROL!$C$4),D199=CONTROL!$C$5),MAX($AH$4:AH198)+1,"")</f>
        <v/>
      </c>
      <c r="AI199" s="22" t="str">
        <f aca="false">IF(AH199="","",P199^2)</f>
        <v/>
      </c>
    </row>
    <row r="200" customFormat="false" ht="15" hidden="false" customHeight="false" outlineLevel="0" collapsed="false">
      <c r="A200" s="11" t="str">
        <f aca="false">IF(B200="","",ROW()-4)</f>
        <v/>
      </c>
      <c r="B200" s="12"/>
      <c r="C200" s="13"/>
      <c r="D200" s="13"/>
      <c r="E200" s="13"/>
      <c r="F200" s="14" t="str">
        <f aca="false">IF(OR(B200="",C200="",D200=""),"",IFERROR(INDEX(CONFIG!$E$5:$E$14,MATCH(D200,CONFIG!$D$5:$D$14,0)),"?")&amp;RIGHT("0"&amp;DAY(B200),2)&amp;RIGHT("0"&amp;MONTH(B200),2)&amp;RIGHT(YEAR(B200),2)&amp;C200&amp;IF(E200="","","-"&amp;E200))</f>
        <v/>
      </c>
      <c r="G200" s="13"/>
      <c r="H200" s="13"/>
      <c r="I200" s="13"/>
      <c r="J200" s="13"/>
      <c r="K200" s="13"/>
      <c r="L200" s="13"/>
      <c r="M200" s="11" t="str">
        <f aca="false">IF(F200="","",COUNTIFS(ENSAYOS!$C$5:$C$3004,F200,ENSAYOS!$Q$5:$Q$3004,"&gt;0"))</f>
        <v/>
      </c>
      <c r="N200" s="15" t="str">
        <f aca="false">IF(N(M200)=0,"",_xlfn.MINIFS(ENSAYOS!$G$5:$G$3004,ENSAYOS!$C$5:$C$3004,F200,ENSAYOS!$Q$5:$Q$3004,"&gt;0"))</f>
        <v/>
      </c>
      <c r="O200" s="15" t="str">
        <f aca="false">IF(N(M200)=0,"",_xlfn.MAXIFS(ENSAYOS!$G$5:$G$3004,ENSAYOS!$C$5:$C$3004,F200,ENSAYOS!$Q$5:$Q$3004,"&gt;0"))</f>
        <v/>
      </c>
      <c r="P200" s="16" t="str">
        <f aca="false">IF(N(M200)=0,"",AVERAGEIFS(ENSAYOS!$Q$5:$Q$3004,ENSAYOS!$C$5:$C$3004,F200,ENSAYOS!$Q$5:$Q$3004,"&gt;0"))</f>
        <v/>
      </c>
      <c r="Q200" s="16" t="str">
        <f aca="false">IF(N(M200)=0,"",_xlfn.MINIFS(ENSAYOS!$Q$5:$Q$3004,ENSAYOS!$C$5:$C$3004,F200,ENSAYOS!$Q$5:$Q$3004,"&gt;0"))</f>
        <v/>
      </c>
      <c r="R200" s="16" t="str">
        <f aca="false">IF(N(M200)=0,"",_xlfn.MAXIFS(ENSAYOS!$Q$5:$Q$3004,ENSAYOS!$C$5:$C$3004,F200,ENSAYOS!$Q$5:$Q$3004,"&gt;0"))</f>
        <v/>
      </c>
      <c r="S200" s="16" t="str">
        <f aca="false">IF(N(M200)&lt;2,"",SQRT(MAX(0,(SUMIFS(ENSAYOS!$X$5:$X$3004,ENSAYOS!$C$5:$C$3004,F200,ENSAYOS!$Q$5:$Q$3004,"&gt;0")-M200*P200^2)/(M200-1))))</f>
        <v/>
      </c>
      <c r="T200" s="17" t="str">
        <f aca="false">IF(S200="","",S200/P200)</f>
        <v/>
      </c>
      <c r="U200" s="16" t="str">
        <f aca="false">IF(N(M200)=0,"",IF(N200&gt;=CONFIG!$B$27,"",AVERAGEIFS(ENSAYOS!$Q$5:$Q$3004,ENSAYOS!$C$5:$C$3004,F200,ENSAYOS!$Q$5:$Q$3004,"&gt;0",ENSAYOS!$G$5:$G$3004,N200)))</f>
        <v/>
      </c>
      <c r="V200" s="16" t="str">
        <f aca="false">IF(N(M200)=0,"",IF(COUNTIFS(ENSAYOS!$C$5:$C$3004,F200,ENSAYOS!$Q$5:$Q$3004,"&gt;0",ENSAYOS!$G$5:$G$3004,"&gt;="&amp;CONFIG!$B$27)=0,"",AVERAGEIFS(ENSAYOS!$Q$5:$Q$3004,ENSAYOS!$C$5:$C$3004,F200,ENSAYOS!$Q$5:$Q$3004,"&gt;0",ENSAYOS!$G$5:$G$3004,"&gt;="&amp;CONFIG!$B$27)))</f>
        <v/>
      </c>
      <c r="W200" s="18" t="str">
        <f aca="false">IF(AND(U200&lt;&gt;"",V200&lt;&gt;""),U200/V200,"")</f>
        <v/>
      </c>
      <c r="X200" s="18" t="str">
        <f aca="false">IF(U200="","",INDEX('CURVA EDAD'!$E$5:$E$32,MIN(28,MAX(1,N200))))</f>
        <v/>
      </c>
      <c r="Y200" s="16" t="str">
        <f aca="false">IF(V200&lt;&gt;"",V200,IF(U200="","",U200/X200))</f>
        <v/>
      </c>
      <c r="Z200" s="16" t="str">
        <f aca="false">IF(V200&lt;&gt;"",_xlfn.MINIFS(ENSAYOS!$Q$5:$Q$3004,ENSAYOS!$C$5:$C$3004,F200,ENSAYOS!$Q$5:$Q$3004,"&gt;0",ENSAYOS!$G$5:$G$3004,"&gt;="&amp;CONFIG!$B$27),IF(U200="","",_xlfn.MINIFS(ENSAYOS!$Q$5:$Q$3004,ENSAYOS!$C$5:$C$3004,F200,ENSAYOS!$Q$5:$Q$3004,"&gt;0",ENSAYOS!$G$5:$G$3004,N200)/X200))</f>
        <v/>
      </c>
      <c r="AA200" s="16" t="str">
        <f aca="false">IF(D200="","",IFERROR(1/(1/INDEX(CONFIG!$J$5:$J$14,MATCH(D200,CONFIG!$D$5:$D$14,0))),""))</f>
        <v/>
      </c>
      <c r="AB200" s="16" t="str">
        <f aca="false">IF(D200="","",IFERROR(1/(1/INDEX(CONFIG!$K$5:$K$14,MATCH(D200,CONFIG!$D$5:$D$14,0))),""))</f>
        <v/>
      </c>
      <c r="AC200" s="19" t="str">
        <f aca="false">IF(N(M200)=0,"",IF(AA200="","Sin spec",IF(AND(Y200&gt;=AA200,OR(AB200="",Z200&gt;=AB200)),"CUMPLE","NO CUMPLE")&amp;IF(V200=""," (est.)","")))</f>
        <v/>
      </c>
      <c r="AD200" s="20" t="str">
        <f aca="false">IF(F200="","",IF(COUNTIFS(ABSORCION!$C$5:$C$1004,F200,ABSORCION!$I$5:$I$1004,"&gt;0")=0,"",AVERAGEIFS(ABSORCION!$I$5:$I$1004,ABSORCION!$C$5:$C$1004,F200,ABSORCION!$I$5:$I$1004,"&gt;0")))</f>
        <v/>
      </c>
      <c r="AE200" s="20" t="str">
        <f aca="false">IF(F200="","",IF(COUNTIFS(ABSORCION!$C$5:$C$1004,F200,ABSORCION!$I$5:$I$1004,"&gt;0")=0,"",AVERAGEIFS(ABSORCION!$K$5:$K$1004,ABSORCION!$C$5:$C$1004,F200,ABSORCION!$I$5:$I$1004,"&gt;0")))</f>
        <v/>
      </c>
      <c r="AF200" s="20" t="str">
        <f aca="false">IF(AE200="","",IF(AE200&gt;=CONFIG!$E$21,CONFIG!$F$21,IF(AE200&gt;=CONFIG!$E$20,CONFIG!$F$20,CONFIG!$F$19)))</f>
        <v/>
      </c>
      <c r="AG200" s="21" t="str">
        <f aca="false">IF(F200="","",TRIM(IF(N(M200)=0,"Sin ensayos. ","")&amp;IF(AND(N(M200)&gt;0,N(M200)&lt;CONFIG!$B$26),"Menos de "&amp;CONFIG!$B$26&amp;" probetas. ","")&amp;IF(N(T200)&gt;CONFIG!$B$25,"CV alto. ","")&amp;IF(AND(N(AD200)&gt;0,N(AD200)&gt;N(AF200)),"Absorción alta. ","")))</f>
        <v/>
      </c>
      <c r="AH200" s="22" t="str">
        <f aca="false">IF(AND(N(M200)&gt;0,OR(CONTROL!$C$4="TODAS",C200=CONTROL!$C$4),D200=CONTROL!$C$5),MAX($AH$4:AH199)+1,"")</f>
        <v/>
      </c>
      <c r="AI200" s="22" t="str">
        <f aca="false">IF(AH200="","",P200^2)</f>
        <v/>
      </c>
    </row>
    <row r="201" customFormat="false" ht="15" hidden="false" customHeight="false" outlineLevel="0" collapsed="false">
      <c r="A201" s="11" t="str">
        <f aca="false">IF(B201="","",ROW()-4)</f>
        <v/>
      </c>
      <c r="B201" s="12"/>
      <c r="C201" s="13"/>
      <c r="D201" s="13"/>
      <c r="E201" s="13"/>
      <c r="F201" s="14" t="str">
        <f aca="false">IF(OR(B201="",C201="",D201=""),"",IFERROR(INDEX(CONFIG!$E$5:$E$14,MATCH(D201,CONFIG!$D$5:$D$14,0)),"?")&amp;RIGHT("0"&amp;DAY(B201),2)&amp;RIGHT("0"&amp;MONTH(B201),2)&amp;RIGHT(YEAR(B201),2)&amp;C201&amp;IF(E201="","","-"&amp;E201))</f>
        <v/>
      </c>
      <c r="G201" s="13"/>
      <c r="H201" s="13"/>
      <c r="I201" s="13"/>
      <c r="J201" s="13"/>
      <c r="K201" s="13"/>
      <c r="L201" s="13"/>
      <c r="M201" s="11" t="str">
        <f aca="false">IF(F201="","",COUNTIFS(ENSAYOS!$C$5:$C$3004,F201,ENSAYOS!$Q$5:$Q$3004,"&gt;0"))</f>
        <v/>
      </c>
      <c r="N201" s="15" t="str">
        <f aca="false">IF(N(M201)=0,"",_xlfn.MINIFS(ENSAYOS!$G$5:$G$3004,ENSAYOS!$C$5:$C$3004,F201,ENSAYOS!$Q$5:$Q$3004,"&gt;0"))</f>
        <v/>
      </c>
      <c r="O201" s="15" t="str">
        <f aca="false">IF(N(M201)=0,"",_xlfn.MAXIFS(ENSAYOS!$G$5:$G$3004,ENSAYOS!$C$5:$C$3004,F201,ENSAYOS!$Q$5:$Q$3004,"&gt;0"))</f>
        <v/>
      </c>
      <c r="P201" s="16" t="str">
        <f aca="false">IF(N(M201)=0,"",AVERAGEIFS(ENSAYOS!$Q$5:$Q$3004,ENSAYOS!$C$5:$C$3004,F201,ENSAYOS!$Q$5:$Q$3004,"&gt;0"))</f>
        <v/>
      </c>
      <c r="Q201" s="16" t="str">
        <f aca="false">IF(N(M201)=0,"",_xlfn.MINIFS(ENSAYOS!$Q$5:$Q$3004,ENSAYOS!$C$5:$C$3004,F201,ENSAYOS!$Q$5:$Q$3004,"&gt;0"))</f>
        <v/>
      </c>
      <c r="R201" s="16" t="str">
        <f aca="false">IF(N(M201)=0,"",_xlfn.MAXIFS(ENSAYOS!$Q$5:$Q$3004,ENSAYOS!$C$5:$C$3004,F201,ENSAYOS!$Q$5:$Q$3004,"&gt;0"))</f>
        <v/>
      </c>
      <c r="S201" s="16" t="str">
        <f aca="false">IF(N(M201)&lt;2,"",SQRT(MAX(0,(SUMIFS(ENSAYOS!$X$5:$X$3004,ENSAYOS!$C$5:$C$3004,F201,ENSAYOS!$Q$5:$Q$3004,"&gt;0")-M201*P201^2)/(M201-1))))</f>
        <v/>
      </c>
      <c r="T201" s="17" t="str">
        <f aca="false">IF(S201="","",S201/P201)</f>
        <v/>
      </c>
      <c r="U201" s="16" t="str">
        <f aca="false">IF(N(M201)=0,"",IF(N201&gt;=CONFIG!$B$27,"",AVERAGEIFS(ENSAYOS!$Q$5:$Q$3004,ENSAYOS!$C$5:$C$3004,F201,ENSAYOS!$Q$5:$Q$3004,"&gt;0",ENSAYOS!$G$5:$G$3004,N201)))</f>
        <v/>
      </c>
      <c r="V201" s="16" t="str">
        <f aca="false">IF(N(M201)=0,"",IF(COUNTIFS(ENSAYOS!$C$5:$C$3004,F201,ENSAYOS!$Q$5:$Q$3004,"&gt;0",ENSAYOS!$G$5:$G$3004,"&gt;="&amp;CONFIG!$B$27)=0,"",AVERAGEIFS(ENSAYOS!$Q$5:$Q$3004,ENSAYOS!$C$5:$C$3004,F201,ENSAYOS!$Q$5:$Q$3004,"&gt;0",ENSAYOS!$G$5:$G$3004,"&gt;="&amp;CONFIG!$B$27)))</f>
        <v/>
      </c>
      <c r="W201" s="18" t="str">
        <f aca="false">IF(AND(U201&lt;&gt;"",V201&lt;&gt;""),U201/V201,"")</f>
        <v/>
      </c>
      <c r="X201" s="18" t="str">
        <f aca="false">IF(U201="","",INDEX('CURVA EDAD'!$E$5:$E$32,MIN(28,MAX(1,N201))))</f>
        <v/>
      </c>
      <c r="Y201" s="16" t="str">
        <f aca="false">IF(V201&lt;&gt;"",V201,IF(U201="","",U201/X201))</f>
        <v/>
      </c>
      <c r="Z201" s="16" t="str">
        <f aca="false">IF(V201&lt;&gt;"",_xlfn.MINIFS(ENSAYOS!$Q$5:$Q$3004,ENSAYOS!$C$5:$C$3004,F201,ENSAYOS!$Q$5:$Q$3004,"&gt;0",ENSAYOS!$G$5:$G$3004,"&gt;="&amp;CONFIG!$B$27),IF(U201="","",_xlfn.MINIFS(ENSAYOS!$Q$5:$Q$3004,ENSAYOS!$C$5:$C$3004,F201,ENSAYOS!$Q$5:$Q$3004,"&gt;0",ENSAYOS!$G$5:$G$3004,N201)/X201))</f>
        <v/>
      </c>
      <c r="AA201" s="16" t="str">
        <f aca="false">IF(D201="","",IFERROR(1/(1/INDEX(CONFIG!$J$5:$J$14,MATCH(D201,CONFIG!$D$5:$D$14,0))),""))</f>
        <v/>
      </c>
      <c r="AB201" s="16" t="str">
        <f aca="false">IF(D201="","",IFERROR(1/(1/INDEX(CONFIG!$K$5:$K$14,MATCH(D201,CONFIG!$D$5:$D$14,0))),""))</f>
        <v/>
      </c>
      <c r="AC201" s="19" t="str">
        <f aca="false">IF(N(M201)=0,"",IF(AA201="","Sin spec",IF(AND(Y201&gt;=AA201,OR(AB201="",Z201&gt;=AB201)),"CUMPLE","NO CUMPLE")&amp;IF(V201=""," (est.)","")))</f>
        <v/>
      </c>
      <c r="AD201" s="20" t="str">
        <f aca="false">IF(F201="","",IF(COUNTIFS(ABSORCION!$C$5:$C$1004,F201,ABSORCION!$I$5:$I$1004,"&gt;0")=0,"",AVERAGEIFS(ABSORCION!$I$5:$I$1004,ABSORCION!$C$5:$C$1004,F201,ABSORCION!$I$5:$I$1004,"&gt;0")))</f>
        <v/>
      </c>
      <c r="AE201" s="20" t="str">
        <f aca="false">IF(F201="","",IF(COUNTIFS(ABSORCION!$C$5:$C$1004,F201,ABSORCION!$I$5:$I$1004,"&gt;0")=0,"",AVERAGEIFS(ABSORCION!$K$5:$K$1004,ABSORCION!$C$5:$C$1004,F201,ABSORCION!$I$5:$I$1004,"&gt;0")))</f>
        <v/>
      </c>
      <c r="AF201" s="20" t="str">
        <f aca="false">IF(AE201="","",IF(AE201&gt;=CONFIG!$E$21,CONFIG!$F$21,IF(AE201&gt;=CONFIG!$E$20,CONFIG!$F$20,CONFIG!$F$19)))</f>
        <v/>
      </c>
      <c r="AG201" s="21" t="str">
        <f aca="false">IF(F201="","",TRIM(IF(N(M201)=0,"Sin ensayos. ","")&amp;IF(AND(N(M201)&gt;0,N(M201)&lt;CONFIG!$B$26),"Menos de "&amp;CONFIG!$B$26&amp;" probetas. ","")&amp;IF(N(T201)&gt;CONFIG!$B$25,"CV alto. ","")&amp;IF(AND(N(AD201)&gt;0,N(AD201)&gt;N(AF201)),"Absorción alta. ","")))</f>
        <v/>
      </c>
      <c r="AH201" s="22" t="str">
        <f aca="false">IF(AND(N(M201)&gt;0,OR(CONTROL!$C$4="TODAS",C201=CONTROL!$C$4),D201=CONTROL!$C$5),MAX($AH$4:AH200)+1,"")</f>
        <v/>
      </c>
      <c r="AI201" s="22" t="str">
        <f aca="false">IF(AH201="","",P201^2)</f>
        <v/>
      </c>
    </row>
    <row r="202" customFormat="false" ht="15" hidden="false" customHeight="false" outlineLevel="0" collapsed="false">
      <c r="A202" s="11" t="str">
        <f aca="false">IF(B202="","",ROW()-4)</f>
        <v/>
      </c>
      <c r="B202" s="12"/>
      <c r="C202" s="13"/>
      <c r="D202" s="13"/>
      <c r="E202" s="13"/>
      <c r="F202" s="14" t="str">
        <f aca="false">IF(OR(B202="",C202="",D202=""),"",IFERROR(INDEX(CONFIG!$E$5:$E$14,MATCH(D202,CONFIG!$D$5:$D$14,0)),"?")&amp;RIGHT("0"&amp;DAY(B202),2)&amp;RIGHT("0"&amp;MONTH(B202),2)&amp;RIGHT(YEAR(B202),2)&amp;C202&amp;IF(E202="","","-"&amp;E202))</f>
        <v/>
      </c>
      <c r="G202" s="13"/>
      <c r="H202" s="13"/>
      <c r="I202" s="13"/>
      <c r="J202" s="13"/>
      <c r="K202" s="13"/>
      <c r="L202" s="13"/>
      <c r="M202" s="11" t="str">
        <f aca="false">IF(F202="","",COUNTIFS(ENSAYOS!$C$5:$C$3004,F202,ENSAYOS!$Q$5:$Q$3004,"&gt;0"))</f>
        <v/>
      </c>
      <c r="N202" s="15" t="str">
        <f aca="false">IF(N(M202)=0,"",_xlfn.MINIFS(ENSAYOS!$G$5:$G$3004,ENSAYOS!$C$5:$C$3004,F202,ENSAYOS!$Q$5:$Q$3004,"&gt;0"))</f>
        <v/>
      </c>
      <c r="O202" s="15" t="str">
        <f aca="false">IF(N(M202)=0,"",_xlfn.MAXIFS(ENSAYOS!$G$5:$G$3004,ENSAYOS!$C$5:$C$3004,F202,ENSAYOS!$Q$5:$Q$3004,"&gt;0"))</f>
        <v/>
      </c>
      <c r="P202" s="16" t="str">
        <f aca="false">IF(N(M202)=0,"",AVERAGEIFS(ENSAYOS!$Q$5:$Q$3004,ENSAYOS!$C$5:$C$3004,F202,ENSAYOS!$Q$5:$Q$3004,"&gt;0"))</f>
        <v/>
      </c>
      <c r="Q202" s="16" t="str">
        <f aca="false">IF(N(M202)=0,"",_xlfn.MINIFS(ENSAYOS!$Q$5:$Q$3004,ENSAYOS!$C$5:$C$3004,F202,ENSAYOS!$Q$5:$Q$3004,"&gt;0"))</f>
        <v/>
      </c>
      <c r="R202" s="16" t="str">
        <f aca="false">IF(N(M202)=0,"",_xlfn.MAXIFS(ENSAYOS!$Q$5:$Q$3004,ENSAYOS!$C$5:$C$3004,F202,ENSAYOS!$Q$5:$Q$3004,"&gt;0"))</f>
        <v/>
      </c>
      <c r="S202" s="16" t="str">
        <f aca="false">IF(N(M202)&lt;2,"",SQRT(MAX(0,(SUMIFS(ENSAYOS!$X$5:$X$3004,ENSAYOS!$C$5:$C$3004,F202,ENSAYOS!$Q$5:$Q$3004,"&gt;0")-M202*P202^2)/(M202-1))))</f>
        <v/>
      </c>
      <c r="T202" s="17" t="str">
        <f aca="false">IF(S202="","",S202/P202)</f>
        <v/>
      </c>
      <c r="U202" s="16" t="str">
        <f aca="false">IF(N(M202)=0,"",IF(N202&gt;=CONFIG!$B$27,"",AVERAGEIFS(ENSAYOS!$Q$5:$Q$3004,ENSAYOS!$C$5:$C$3004,F202,ENSAYOS!$Q$5:$Q$3004,"&gt;0",ENSAYOS!$G$5:$G$3004,N202)))</f>
        <v/>
      </c>
      <c r="V202" s="16" t="str">
        <f aca="false">IF(N(M202)=0,"",IF(COUNTIFS(ENSAYOS!$C$5:$C$3004,F202,ENSAYOS!$Q$5:$Q$3004,"&gt;0",ENSAYOS!$G$5:$G$3004,"&gt;="&amp;CONFIG!$B$27)=0,"",AVERAGEIFS(ENSAYOS!$Q$5:$Q$3004,ENSAYOS!$C$5:$C$3004,F202,ENSAYOS!$Q$5:$Q$3004,"&gt;0",ENSAYOS!$G$5:$G$3004,"&gt;="&amp;CONFIG!$B$27)))</f>
        <v/>
      </c>
      <c r="W202" s="18" t="str">
        <f aca="false">IF(AND(U202&lt;&gt;"",V202&lt;&gt;""),U202/V202,"")</f>
        <v/>
      </c>
      <c r="X202" s="18" t="str">
        <f aca="false">IF(U202="","",INDEX('CURVA EDAD'!$E$5:$E$32,MIN(28,MAX(1,N202))))</f>
        <v/>
      </c>
      <c r="Y202" s="16" t="str">
        <f aca="false">IF(V202&lt;&gt;"",V202,IF(U202="","",U202/X202))</f>
        <v/>
      </c>
      <c r="Z202" s="16" t="str">
        <f aca="false">IF(V202&lt;&gt;"",_xlfn.MINIFS(ENSAYOS!$Q$5:$Q$3004,ENSAYOS!$C$5:$C$3004,F202,ENSAYOS!$Q$5:$Q$3004,"&gt;0",ENSAYOS!$G$5:$G$3004,"&gt;="&amp;CONFIG!$B$27),IF(U202="","",_xlfn.MINIFS(ENSAYOS!$Q$5:$Q$3004,ENSAYOS!$C$5:$C$3004,F202,ENSAYOS!$Q$5:$Q$3004,"&gt;0",ENSAYOS!$G$5:$G$3004,N202)/X202))</f>
        <v/>
      </c>
      <c r="AA202" s="16" t="str">
        <f aca="false">IF(D202="","",IFERROR(1/(1/INDEX(CONFIG!$J$5:$J$14,MATCH(D202,CONFIG!$D$5:$D$14,0))),""))</f>
        <v/>
      </c>
      <c r="AB202" s="16" t="str">
        <f aca="false">IF(D202="","",IFERROR(1/(1/INDEX(CONFIG!$K$5:$K$14,MATCH(D202,CONFIG!$D$5:$D$14,0))),""))</f>
        <v/>
      </c>
      <c r="AC202" s="19" t="str">
        <f aca="false">IF(N(M202)=0,"",IF(AA202="","Sin spec",IF(AND(Y202&gt;=AA202,OR(AB202="",Z202&gt;=AB202)),"CUMPLE","NO CUMPLE")&amp;IF(V202=""," (est.)","")))</f>
        <v/>
      </c>
      <c r="AD202" s="20" t="str">
        <f aca="false">IF(F202="","",IF(COUNTIFS(ABSORCION!$C$5:$C$1004,F202,ABSORCION!$I$5:$I$1004,"&gt;0")=0,"",AVERAGEIFS(ABSORCION!$I$5:$I$1004,ABSORCION!$C$5:$C$1004,F202,ABSORCION!$I$5:$I$1004,"&gt;0")))</f>
        <v/>
      </c>
      <c r="AE202" s="20" t="str">
        <f aca="false">IF(F202="","",IF(COUNTIFS(ABSORCION!$C$5:$C$1004,F202,ABSORCION!$I$5:$I$1004,"&gt;0")=0,"",AVERAGEIFS(ABSORCION!$K$5:$K$1004,ABSORCION!$C$5:$C$1004,F202,ABSORCION!$I$5:$I$1004,"&gt;0")))</f>
        <v/>
      </c>
      <c r="AF202" s="20" t="str">
        <f aca="false">IF(AE202="","",IF(AE202&gt;=CONFIG!$E$21,CONFIG!$F$21,IF(AE202&gt;=CONFIG!$E$20,CONFIG!$F$20,CONFIG!$F$19)))</f>
        <v/>
      </c>
      <c r="AG202" s="21" t="str">
        <f aca="false">IF(F202="","",TRIM(IF(N(M202)=0,"Sin ensayos. ","")&amp;IF(AND(N(M202)&gt;0,N(M202)&lt;CONFIG!$B$26),"Menos de "&amp;CONFIG!$B$26&amp;" probetas. ","")&amp;IF(N(T202)&gt;CONFIG!$B$25,"CV alto. ","")&amp;IF(AND(N(AD202)&gt;0,N(AD202)&gt;N(AF202)),"Absorción alta. ","")))</f>
        <v/>
      </c>
      <c r="AH202" s="22" t="str">
        <f aca="false">IF(AND(N(M202)&gt;0,OR(CONTROL!$C$4="TODAS",C202=CONTROL!$C$4),D202=CONTROL!$C$5),MAX($AH$4:AH201)+1,"")</f>
        <v/>
      </c>
      <c r="AI202" s="22" t="str">
        <f aca="false">IF(AH202="","",P202^2)</f>
        <v/>
      </c>
    </row>
    <row r="203" customFormat="false" ht="15" hidden="false" customHeight="false" outlineLevel="0" collapsed="false">
      <c r="A203" s="11" t="str">
        <f aca="false">IF(B203="","",ROW()-4)</f>
        <v/>
      </c>
      <c r="B203" s="12"/>
      <c r="C203" s="13"/>
      <c r="D203" s="13"/>
      <c r="E203" s="13"/>
      <c r="F203" s="14" t="str">
        <f aca="false">IF(OR(B203="",C203="",D203=""),"",IFERROR(INDEX(CONFIG!$E$5:$E$14,MATCH(D203,CONFIG!$D$5:$D$14,0)),"?")&amp;RIGHT("0"&amp;DAY(B203),2)&amp;RIGHT("0"&amp;MONTH(B203),2)&amp;RIGHT(YEAR(B203),2)&amp;C203&amp;IF(E203="","","-"&amp;E203))</f>
        <v/>
      </c>
      <c r="G203" s="13"/>
      <c r="H203" s="13"/>
      <c r="I203" s="13"/>
      <c r="J203" s="13"/>
      <c r="K203" s="13"/>
      <c r="L203" s="13"/>
      <c r="M203" s="11" t="str">
        <f aca="false">IF(F203="","",COUNTIFS(ENSAYOS!$C$5:$C$3004,F203,ENSAYOS!$Q$5:$Q$3004,"&gt;0"))</f>
        <v/>
      </c>
      <c r="N203" s="15" t="str">
        <f aca="false">IF(N(M203)=0,"",_xlfn.MINIFS(ENSAYOS!$G$5:$G$3004,ENSAYOS!$C$5:$C$3004,F203,ENSAYOS!$Q$5:$Q$3004,"&gt;0"))</f>
        <v/>
      </c>
      <c r="O203" s="15" t="str">
        <f aca="false">IF(N(M203)=0,"",_xlfn.MAXIFS(ENSAYOS!$G$5:$G$3004,ENSAYOS!$C$5:$C$3004,F203,ENSAYOS!$Q$5:$Q$3004,"&gt;0"))</f>
        <v/>
      </c>
      <c r="P203" s="16" t="str">
        <f aca="false">IF(N(M203)=0,"",AVERAGEIFS(ENSAYOS!$Q$5:$Q$3004,ENSAYOS!$C$5:$C$3004,F203,ENSAYOS!$Q$5:$Q$3004,"&gt;0"))</f>
        <v/>
      </c>
      <c r="Q203" s="16" t="str">
        <f aca="false">IF(N(M203)=0,"",_xlfn.MINIFS(ENSAYOS!$Q$5:$Q$3004,ENSAYOS!$C$5:$C$3004,F203,ENSAYOS!$Q$5:$Q$3004,"&gt;0"))</f>
        <v/>
      </c>
      <c r="R203" s="16" t="str">
        <f aca="false">IF(N(M203)=0,"",_xlfn.MAXIFS(ENSAYOS!$Q$5:$Q$3004,ENSAYOS!$C$5:$C$3004,F203,ENSAYOS!$Q$5:$Q$3004,"&gt;0"))</f>
        <v/>
      </c>
      <c r="S203" s="16" t="str">
        <f aca="false">IF(N(M203)&lt;2,"",SQRT(MAX(0,(SUMIFS(ENSAYOS!$X$5:$X$3004,ENSAYOS!$C$5:$C$3004,F203,ENSAYOS!$Q$5:$Q$3004,"&gt;0")-M203*P203^2)/(M203-1))))</f>
        <v/>
      </c>
      <c r="T203" s="17" t="str">
        <f aca="false">IF(S203="","",S203/P203)</f>
        <v/>
      </c>
      <c r="U203" s="16" t="str">
        <f aca="false">IF(N(M203)=0,"",IF(N203&gt;=CONFIG!$B$27,"",AVERAGEIFS(ENSAYOS!$Q$5:$Q$3004,ENSAYOS!$C$5:$C$3004,F203,ENSAYOS!$Q$5:$Q$3004,"&gt;0",ENSAYOS!$G$5:$G$3004,N203)))</f>
        <v/>
      </c>
      <c r="V203" s="16" t="str">
        <f aca="false">IF(N(M203)=0,"",IF(COUNTIFS(ENSAYOS!$C$5:$C$3004,F203,ENSAYOS!$Q$5:$Q$3004,"&gt;0",ENSAYOS!$G$5:$G$3004,"&gt;="&amp;CONFIG!$B$27)=0,"",AVERAGEIFS(ENSAYOS!$Q$5:$Q$3004,ENSAYOS!$C$5:$C$3004,F203,ENSAYOS!$Q$5:$Q$3004,"&gt;0",ENSAYOS!$G$5:$G$3004,"&gt;="&amp;CONFIG!$B$27)))</f>
        <v/>
      </c>
      <c r="W203" s="18" t="str">
        <f aca="false">IF(AND(U203&lt;&gt;"",V203&lt;&gt;""),U203/V203,"")</f>
        <v/>
      </c>
      <c r="X203" s="18" t="str">
        <f aca="false">IF(U203="","",INDEX('CURVA EDAD'!$E$5:$E$32,MIN(28,MAX(1,N203))))</f>
        <v/>
      </c>
      <c r="Y203" s="16" t="str">
        <f aca="false">IF(V203&lt;&gt;"",V203,IF(U203="","",U203/X203))</f>
        <v/>
      </c>
      <c r="Z203" s="16" t="str">
        <f aca="false">IF(V203&lt;&gt;"",_xlfn.MINIFS(ENSAYOS!$Q$5:$Q$3004,ENSAYOS!$C$5:$C$3004,F203,ENSAYOS!$Q$5:$Q$3004,"&gt;0",ENSAYOS!$G$5:$G$3004,"&gt;="&amp;CONFIG!$B$27),IF(U203="","",_xlfn.MINIFS(ENSAYOS!$Q$5:$Q$3004,ENSAYOS!$C$5:$C$3004,F203,ENSAYOS!$Q$5:$Q$3004,"&gt;0",ENSAYOS!$G$5:$G$3004,N203)/X203))</f>
        <v/>
      </c>
      <c r="AA203" s="16" t="str">
        <f aca="false">IF(D203="","",IFERROR(1/(1/INDEX(CONFIG!$J$5:$J$14,MATCH(D203,CONFIG!$D$5:$D$14,0))),""))</f>
        <v/>
      </c>
      <c r="AB203" s="16" t="str">
        <f aca="false">IF(D203="","",IFERROR(1/(1/INDEX(CONFIG!$K$5:$K$14,MATCH(D203,CONFIG!$D$5:$D$14,0))),""))</f>
        <v/>
      </c>
      <c r="AC203" s="19" t="str">
        <f aca="false">IF(N(M203)=0,"",IF(AA203="","Sin spec",IF(AND(Y203&gt;=AA203,OR(AB203="",Z203&gt;=AB203)),"CUMPLE","NO CUMPLE")&amp;IF(V203=""," (est.)","")))</f>
        <v/>
      </c>
      <c r="AD203" s="20" t="str">
        <f aca="false">IF(F203="","",IF(COUNTIFS(ABSORCION!$C$5:$C$1004,F203,ABSORCION!$I$5:$I$1004,"&gt;0")=0,"",AVERAGEIFS(ABSORCION!$I$5:$I$1004,ABSORCION!$C$5:$C$1004,F203,ABSORCION!$I$5:$I$1004,"&gt;0")))</f>
        <v/>
      </c>
      <c r="AE203" s="20" t="str">
        <f aca="false">IF(F203="","",IF(COUNTIFS(ABSORCION!$C$5:$C$1004,F203,ABSORCION!$I$5:$I$1004,"&gt;0")=0,"",AVERAGEIFS(ABSORCION!$K$5:$K$1004,ABSORCION!$C$5:$C$1004,F203,ABSORCION!$I$5:$I$1004,"&gt;0")))</f>
        <v/>
      </c>
      <c r="AF203" s="20" t="str">
        <f aca="false">IF(AE203="","",IF(AE203&gt;=CONFIG!$E$21,CONFIG!$F$21,IF(AE203&gt;=CONFIG!$E$20,CONFIG!$F$20,CONFIG!$F$19)))</f>
        <v/>
      </c>
      <c r="AG203" s="21" t="str">
        <f aca="false">IF(F203="","",TRIM(IF(N(M203)=0,"Sin ensayos. ","")&amp;IF(AND(N(M203)&gt;0,N(M203)&lt;CONFIG!$B$26),"Menos de "&amp;CONFIG!$B$26&amp;" probetas. ","")&amp;IF(N(T203)&gt;CONFIG!$B$25,"CV alto. ","")&amp;IF(AND(N(AD203)&gt;0,N(AD203)&gt;N(AF203)),"Absorción alta. ","")))</f>
        <v/>
      </c>
      <c r="AH203" s="22" t="str">
        <f aca="false">IF(AND(N(M203)&gt;0,OR(CONTROL!$C$4="TODAS",C203=CONTROL!$C$4),D203=CONTROL!$C$5),MAX($AH$4:AH202)+1,"")</f>
        <v/>
      </c>
      <c r="AI203" s="22" t="str">
        <f aca="false">IF(AH203="","",P203^2)</f>
        <v/>
      </c>
    </row>
    <row r="204" customFormat="false" ht="15" hidden="false" customHeight="false" outlineLevel="0" collapsed="false">
      <c r="A204" s="11" t="str">
        <f aca="false">IF(B204="","",ROW()-4)</f>
        <v/>
      </c>
      <c r="B204" s="12"/>
      <c r="C204" s="13"/>
      <c r="D204" s="13"/>
      <c r="E204" s="13"/>
      <c r="F204" s="14" t="str">
        <f aca="false">IF(OR(B204="",C204="",D204=""),"",IFERROR(INDEX(CONFIG!$E$5:$E$14,MATCH(D204,CONFIG!$D$5:$D$14,0)),"?")&amp;RIGHT("0"&amp;DAY(B204),2)&amp;RIGHT("0"&amp;MONTH(B204),2)&amp;RIGHT(YEAR(B204),2)&amp;C204&amp;IF(E204="","","-"&amp;E204))</f>
        <v/>
      </c>
      <c r="G204" s="13"/>
      <c r="H204" s="13"/>
      <c r="I204" s="13"/>
      <c r="J204" s="13"/>
      <c r="K204" s="13"/>
      <c r="L204" s="13"/>
      <c r="M204" s="11" t="str">
        <f aca="false">IF(F204="","",COUNTIFS(ENSAYOS!$C$5:$C$3004,F204,ENSAYOS!$Q$5:$Q$3004,"&gt;0"))</f>
        <v/>
      </c>
      <c r="N204" s="15" t="str">
        <f aca="false">IF(N(M204)=0,"",_xlfn.MINIFS(ENSAYOS!$G$5:$G$3004,ENSAYOS!$C$5:$C$3004,F204,ENSAYOS!$Q$5:$Q$3004,"&gt;0"))</f>
        <v/>
      </c>
      <c r="O204" s="15" t="str">
        <f aca="false">IF(N(M204)=0,"",_xlfn.MAXIFS(ENSAYOS!$G$5:$G$3004,ENSAYOS!$C$5:$C$3004,F204,ENSAYOS!$Q$5:$Q$3004,"&gt;0"))</f>
        <v/>
      </c>
      <c r="P204" s="16" t="str">
        <f aca="false">IF(N(M204)=0,"",AVERAGEIFS(ENSAYOS!$Q$5:$Q$3004,ENSAYOS!$C$5:$C$3004,F204,ENSAYOS!$Q$5:$Q$3004,"&gt;0"))</f>
        <v/>
      </c>
      <c r="Q204" s="16" t="str">
        <f aca="false">IF(N(M204)=0,"",_xlfn.MINIFS(ENSAYOS!$Q$5:$Q$3004,ENSAYOS!$C$5:$C$3004,F204,ENSAYOS!$Q$5:$Q$3004,"&gt;0"))</f>
        <v/>
      </c>
      <c r="R204" s="16" t="str">
        <f aca="false">IF(N(M204)=0,"",_xlfn.MAXIFS(ENSAYOS!$Q$5:$Q$3004,ENSAYOS!$C$5:$C$3004,F204,ENSAYOS!$Q$5:$Q$3004,"&gt;0"))</f>
        <v/>
      </c>
      <c r="S204" s="16" t="str">
        <f aca="false">IF(N(M204)&lt;2,"",SQRT(MAX(0,(SUMIFS(ENSAYOS!$X$5:$X$3004,ENSAYOS!$C$5:$C$3004,F204,ENSAYOS!$Q$5:$Q$3004,"&gt;0")-M204*P204^2)/(M204-1))))</f>
        <v/>
      </c>
      <c r="T204" s="17" t="str">
        <f aca="false">IF(S204="","",S204/P204)</f>
        <v/>
      </c>
      <c r="U204" s="16" t="str">
        <f aca="false">IF(N(M204)=0,"",IF(N204&gt;=CONFIG!$B$27,"",AVERAGEIFS(ENSAYOS!$Q$5:$Q$3004,ENSAYOS!$C$5:$C$3004,F204,ENSAYOS!$Q$5:$Q$3004,"&gt;0",ENSAYOS!$G$5:$G$3004,N204)))</f>
        <v/>
      </c>
      <c r="V204" s="16" t="str">
        <f aca="false">IF(N(M204)=0,"",IF(COUNTIFS(ENSAYOS!$C$5:$C$3004,F204,ENSAYOS!$Q$5:$Q$3004,"&gt;0",ENSAYOS!$G$5:$G$3004,"&gt;="&amp;CONFIG!$B$27)=0,"",AVERAGEIFS(ENSAYOS!$Q$5:$Q$3004,ENSAYOS!$C$5:$C$3004,F204,ENSAYOS!$Q$5:$Q$3004,"&gt;0",ENSAYOS!$G$5:$G$3004,"&gt;="&amp;CONFIG!$B$27)))</f>
        <v/>
      </c>
      <c r="W204" s="18" t="str">
        <f aca="false">IF(AND(U204&lt;&gt;"",V204&lt;&gt;""),U204/V204,"")</f>
        <v/>
      </c>
      <c r="X204" s="18" t="str">
        <f aca="false">IF(U204="","",INDEX('CURVA EDAD'!$E$5:$E$32,MIN(28,MAX(1,N204))))</f>
        <v/>
      </c>
      <c r="Y204" s="16" t="str">
        <f aca="false">IF(V204&lt;&gt;"",V204,IF(U204="","",U204/X204))</f>
        <v/>
      </c>
      <c r="Z204" s="16" t="str">
        <f aca="false">IF(V204&lt;&gt;"",_xlfn.MINIFS(ENSAYOS!$Q$5:$Q$3004,ENSAYOS!$C$5:$C$3004,F204,ENSAYOS!$Q$5:$Q$3004,"&gt;0",ENSAYOS!$G$5:$G$3004,"&gt;="&amp;CONFIG!$B$27),IF(U204="","",_xlfn.MINIFS(ENSAYOS!$Q$5:$Q$3004,ENSAYOS!$C$5:$C$3004,F204,ENSAYOS!$Q$5:$Q$3004,"&gt;0",ENSAYOS!$G$5:$G$3004,N204)/X204))</f>
        <v/>
      </c>
      <c r="AA204" s="16" t="str">
        <f aca="false">IF(D204="","",IFERROR(1/(1/INDEX(CONFIG!$J$5:$J$14,MATCH(D204,CONFIG!$D$5:$D$14,0))),""))</f>
        <v/>
      </c>
      <c r="AB204" s="16" t="str">
        <f aca="false">IF(D204="","",IFERROR(1/(1/INDEX(CONFIG!$K$5:$K$14,MATCH(D204,CONFIG!$D$5:$D$14,0))),""))</f>
        <v/>
      </c>
      <c r="AC204" s="19" t="str">
        <f aca="false">IF(N(M204)=0,"",IF(AA204="","Sin spec",IF(AND(Y204&gt;=AA204,OR(AB204="",Z204&gt;=AB204)),"CUMPLE","NO CUMPLE")&amp;IF(V204=""," (est.)","")))</f>
        <v/>
      </c>
      <c r="AD204" s="20" t="str">
        <f aca="false">IF(F204="","",IF(COUNTIFS(ABSORCION!$C$5:$C$1004,F204,ABSORCION!$I$5:$I$1004,"&gt;0")=0,"",AVERAGEIFS(ABSORCION!$I$5:$I$1004,ABSORCION!$C$5:$C$1004,F204,ABSORCION!$I$5:$I$1004,"&gt;0")))</f>
        <v/>
      </c>
      <c r="AE204" s="20" t="str">
        <f aca="false">IF(F204="","",IF(COUNTIFS(ABSORCION!$C$5:$C$1004,F204,ABSORCION!$I$5:$I$1004,"&gt;0")=0,"",AVERAGEIFS(ABSORCION!$K$5:$K$1004,ABSORCION!$C$5:$C$1004,F204,ABSORCION!$I$5:$I$1004,"&gt;0")))</f>
        <v/>
      </c>
      <c r="AF204" s="20" t="str">
        <f aca="false">IF(AE204="","",IF(AE204&gt;=CONFIG!$E$21,CONFIG!$F$21,IF(AE204&gt;=CONFIG!$E$20,CONFIG!$F$20,CONFIG!$F$19)))</f>
        <v/>
      </c>
      <c r="AG204" s="21" t="str">
        <f aca="false">IF(F204="","",TRIM(IF(N(M204)=0,"Sin ensayos. ","")&amp;IF(AND(N(M204)&gt;0,N(M204)&lt;CONFIG!$B$26),"Menos de "&amp;CONFIG!$B$26&amp;" probetas. ","")&amp;IF(N(T204)&gt;CONFIG!$B$25,"CV alto. ","")&amp;IF(AND(N(AD204)&gt;0,N(AD204)&gt;N(AF204)),"Absorción alta. ","")))</f>
        <v/>
      </c>
      <c r="AH204" s="22" t="str">
        <f aca="false">IF(AND(N(M204)&gt;0,OR(CONTROL!$C$4="TODAS",C204=CONTROL!$C$4),D204=CONTROL!$C$5),MAX($AH$4:AH203)+1,"")</f>
        <v/>
      </c>
      <c r="AI204" s="22" t="str">
        <f aca="false">IF(AH204="","",P204^2)</f>
        <v/>
      </c>
    </row>
    <row r="205" customFormat="false" ht="15" hidden="false" customHeight="false" outlineLevel="0" collapsed="false">
      <c r="A205" s="11" t="str">
        <f aca="false">IF(B205="","",ROW()-4)</f>
        <v/>
      </c>
      <c r="B205" s="12"/>
      <c r="C205" s="13"/>
      <c r="D205" s="13"/>
      <c r="E205" s="13"/>
      <c r="F205" s="14" t="str">
        <f aca="false">IF(OR(B205="",C205="",D205=""),"",IFERROR(INDEX(CONFIG!$E$5:$E$14,MATCH(D205,CONFIG!$D$5:$D$14,0)),"?")&amp;RIGHT("0"&amp;DAY(B205),2)&amp;RIGHT("0"&amp;MONTH(B205),2)&amp;RIGHT(YEAR(B205),2)&amp;C205&amp;IF(E205="","","-"&amp;E205))</f>
        <v/>
      </c>
      <c r="G205" s="13"/>
      <c r="H205" s="13"/>
      <c r="I205" s="13"/>
      <c r="J205" s="13"/>
      <c r="K205" s="13"/>
      <c r="L205" s="13"/>
      <c r="M205" s="11" t="str">
        <f aca="false">IF(F205="","",COUNTIFS(ENSAYOS!$C$5:$C$3004,F205,ENSAYOS!$Q$5:$Q$3004,"&gt;0"))</f>
        <v/>
      </c>
      <c r="N205" s="15" t="str">
        <f aca="false">IF(N(M205)=0,"",_xlfn.MINIFS(ENSAYOS!$G$5:$G$3004,ENSAYOS!$C$5:$C$3004,F205,ENSAYOS!$Q$5:$Q$3004,"&gt;0"))</f>
        <v/>
      </c>
      <c r="O205" s="15" t="str">
        <f aca="false">IF(N(M205)=0,"",_xlfn.MAXIFS(ENSAYOS!$G$5:$G$3004,ENSAYOS!$C$5:$C$3004,F205,ENSAYOS!$Q$5:$Q$3004,"&gt;0"))</f>
        <v/>
      </c>
      <c r="P205" s="16" t="str">
        <f aca="false">IF(N(M205)=0,"",AVERAGEIFS(ENSAYOS!$Q$5:$Q$3004,ENSAYOS!$C$5:$C$3004,F205,ENSAYOS!$Q$5:$Q$3004,"&gt;0"))</f>
        <v/>
      </c>
      <c r="Q205" s="16" t="str">
        <f aca="false">IF(N(M205)=0,"",_xlfn.MINIFS(ENSAYOS!$Q$5:$Q$3004,ENSAYOS!$C$5:$C$3004,F205,ENSAYOS!$Q$5:$Q$3004,"&gt;0"))</f>
        <v/>
      </c>
      <c r="R205" s="16" t="str">
        <f aca="false">IF(N(M205)=0,"",_xlfn.MAXIFS(ENSAYOS!$Q$5:$Q$3004,ENSAYOS!$C$5:$C$3004,F205,ENSAYOS!$Q$5:$Q$3004,"&gt;0"))</f>
        <v/>
      </c>
      <c r="S205" s="16" t="str">
        <f aca="false">IF(N(M205)&lt;2,"",SQRT(MAX(0,(SUMIFS(ENSAYOS!$X$5:$X$3004,ENSAYOS!$C$5:$C$3004,F205,ENSAYOS!$Q$5:$Q$3004,"&gt;0")-M205*P205^2)/(M205-1))))</f>
        <v/>
      </c>
      <c r="T205" s="17" t="str">
        <f aca="false">IF(S205="","",S205/P205)</f>
        <v/>
      </c>
      <c r="U205" s="16" t="str">
        <f aca="false">IF(N(M205)=0,"",IF(N205&gt;=CONFIG!$B$27,"",AVERAGEIFS(ENSAYOS!$Q$5:$Q$3004,ENSAYOS!$C$5:$C$3004,F205,ENSAYOS!$Q$5:$Q$3004,"&gt;0",ENSAYOS!$G$5:$G$3004,N205)))</f>
        <v/>
      </c>
      <c r="V205" s="16" t="str">
        <f aca="false">IF(N(M205)=0,"",IF(COUNTIFS(ENSAYOS!$C$5:$C$3004,F205,ENSAYOS!$Q$5:$Q$3004,"&gt;0",ENSAYOS!$G$5:$G$3004,"&gt;="&amp;CONFIG!$B$27)=0,"",AVERAGEIFS(ENSAYOS!$Q$5:$Q$3004,ENSAYOS!$C$5:$C$3004,F205,ENSAYOS!$Q$5:$Q$3004,"&gt;0",ENSAYOS!$G$5:$G$3004,"&gt;="&amp;CONFIG!$B$27)))</f>
        <v/>
      </c>
      <c r="W205" s="18" t="str">
        <f aca="false">IF(AND(U205&lt;&gt;"",V205&lt;&gt;""),U205/V205,"")</f>
        <v/>
      </c>
      <c r="X205" s="18" t="str">
        <f aca="false">IF(U205="","",INDEX('CURVA EDAD'!$E$5:$E$32,MIN(28,MAX(1,N205))))</f>
        <v/>
      </c>
      <c r="Y205" s="16" t="str">
        <f aca="false">IF(V205&lt;&gt;"",V205,IF(U205="","",U205/X205))</f>
        <v/>
      </c>
      <c r="Z205" s="16" t="str">
        <f aca="false">IF(V205&lt;&gt;"",_xlfn.MINIFS(ENSAYOS!$Q$5:$Q$3004,ENSAYOS!$C$5:$C$3004,F205,ENSAYOS!$Q$5:$Q$3004,"&gt;0",ENSAYOS!$G$5:$G$3004,"&gt;="&amp;CONFIG!$B$27),IF(U205="","",_xlfn.MINIFS(ENSAYOS!$Q$5:$Q$3004,ENSAYOS!$C$5:$C$3004,F205,ENSAYOS!$Q$5:$Q$3004,"&gt;0",ENSAYOS!$G$5:$G$3004,N205)/X205))</f>
        <v/>
      </c>
      <c r="AA205" s="16" t="str">
        <f aca="false">IF(D205="","",IFERROR(1/(1/INDEX(CONFIG!$J$5:$J$14,MATCH(D205,CONFIG!$D$5:$D$14,0))),""))</f>
        <v/>
      </c>
      <c r="AB205" s="16" t="str">
        <f aca="false">IF(D205="","",IFERROR(1/(1/INDEX(CONFIG!$K$5:$K$14,MATCH(D205,CONFIG!$D$5:$D$14,0))),""))</f>
        <v/>
      </c>
      <c r="AC205" s="19" t="str">
        <f aca="false">IF(N(M205)=0,"",IF(AA205="","Sin spec",IF(AND(Y205&gt;=AA205,OR(AB205="",Z205&gt;=AB205)),"CUMPLE","NO CUMPLE")&amp;IF(V205=""," (est.)","")))</f>
        <v/>
      </c>
      <c r="AD205" s="20" t="str">
        <f aca="false">IF(F205="","",IF(COUNTIFS(ABSORCION!$C$5:$C$1004,F205,ABSORCION!$I$5:$I$1004,"&gt;0")=0,"",AVERAGEIFS(ABSORCION!$I$5:$I$1004,ABSORCION!$C$5:$C$1004,F205,ABSORCION!$I$5:$I$1004,"&gt;0")))</f>
        <v/>
      </c>
      <c r="AE205" s="20" t="str">
        <f aca="false">IF(F205="","",IF(COUNTIFS(ABSORCION!$C$5:$C$1004,F205,ABSORCION!$I$5:$I$1004,"&gt;0")=0,"",AVERAGEIFS(ABSORCION!$K$5:$K$1004,ABSORCION!$C$5:$C$1004,F205,ABSORCION!$I$5:$I$1004,"&gt;0")))</f>
        <v/>
      </c>
      <c r="AF205" s="20" t="str">
        <f aca="false">IF(AE205="","",IF(AE205&gt;=CONFIG!$E$21,CONFIG!$F$21,IF(AE205&gt;=CONFIG!$E$20,CONFIG!$F$20,CONFIG!$F$19)))</f>
        <v/>
      </c>
      <c r="AG205" s="21" t="str">
        <f aca="false">IF(F205="","",TRIM(IF(N(M205)=0,"Sin ensayos. ","")&amp;IF(AND(N(M205)&gt;0,N(M205)&lt;CONFIG!$B$26),"Menos de "&amp;CONFIG!$B$26&amp;" probetas. ","")&amp;IF(N(T205)&gt;CONFIG!$B$25,"CV alto. ","")&amp;IF(AND(N(AD205)&gt;0,N(AD205)&gt;N(AF205)),"Absorción alta. ","")))</f>
        <v/>
      </c>
      <c r="AH205" s="22" t="str">
        <f aca="false">IF(AND(N(M205)&gt;0,OR(CONTROL!$C$4="TODAS",C205=CONTROL!$C$4),D205=CONTROL!$C$5),MAX($AH$4:AH204)+1,"")</f>
        <v/>
      </c>
      <c r="AI205" s="22" t="str">
        <f aca="false">IF(AH205="","",P205^2)</f>
        <v/>
      </c>
    </row>
    <row r="206" customFormat="false" ht="15" hidden="false" customHeight="false" outlineLevel="0" collapsed="false">
      <c r="A206" s="11" t="str">
        <f aca="false">IF(B206="","",ROW()-4)</f>
        <v/>
      </c>
      <c r="B206" s="12"/>
      <c r="C206" s="13"/>
      <c r="D206" s="13"/>
      <c r="E206" s="13"/>
      <c r="F206" s="14" t="str">
        <f aca="false">IF(OR(B206="",C206="",D206=""),"",IFERROR(INDEX(CONFIG!$E$5:$E$14,MATCH(D206,CONFIG!$D$5:$D$14,0)),"?")&amp;RIGHT("0"&amp;DAY(B206),2)&amp;RIGHT("0"&amp;MONTH(B206),2)&amp;RIGHT(YEAR(B206),2)&amp;C206&amp;IF(E206="","","-"&amp;E206))</f>
        <v/>
      </c>
      <c r="G206" s="13"/>
      <c r="H206" s="13"/>
      <c r="I206" s="13"/>
      <c r="J206" s="13"/>
      <c r="K206" s="13"/>
      <c r="L206" s="13"/>
      <c r="M206" s="11" t="str">
        <f aca="false">IF(F206="","",COUNTIFS(ENSAYOS!$C$5:$C$3004,F206,ENSAYOS!$Q$5:$Q$3004,"&gt;0"))</f>
        <v/>
      </c>
      <c r="N206" s="15" t="str">
        <f aca="false">IF(N(M206)=0,"",_xlfn.MINIFS(ENSAYOS!$G$5:$G$3004,ENSAYOS!$C$5:$C$3004,F206,ENSAYOS!$Q$5:$Q$3004,"&gt;0"))</f>
        <v/>
      </c>
      <c r="O206" s="15" t="str">
        <f aca="false">IF(N(M206)=0,"",_xlfn.MAXIFS(ENSAYOS!$G$5:$G$3004,ENSAYOS!$C$5:$C$3004,F206,ENSAYOS!$Q$5:$Q$3004,"&gt;0"))</f>
        <v/>
      </c>
      <c r="P206" s="16" t="str">
        <f aca="false">IF(N(M206)=0,"",AVERAGEIFS(ENSAYOS!$Q$5:$Q$3004,ENSAYOS!$C$5:$C$3004,F206,ENSAYOS!$Q$5:$Q$3004,"&gt;0"))</f>
        <v/>
      </c>
      <c r="Q206" s="16" t="str">
        <f aca="false">IF(N(M206)=0,"",_xlfn.MINIFS(ENSAYOS!$Q$5:$Q$3004,ENSAYOS!$C$5:$C$3004,F206,ENSAYOS!$Q$5:$Q$3004,"&gt;0"))</f>
        <v/>
      </c>
      <c r="R206" s="16" t="str">
        <f aca="false">IF(N(M206)=0,"",_xlfn.MAXIFS(ENSAYOS!$Q$5:$Q$3004,ENSAYOS!$C$5:$C$3004,F206,ENSAYOS!$Q$5:$Q$3004,"&gt;0"))</f>
        <v/>
      </c>
      <c r="S206" s="16" t="str">
        <f aca="false">IF(N(M206)&lt;2,"",SQRT(MAX(0,(SUMIFS(ENSAYOS!$X$5:$X$3004,ENSAYOS!$C$5:$C$3004,F206,ENSAYOS!$Q$5:$Q$3004,"&gt;0")-M206*P206^2)/(M206-1))))</f>
        <v/>
      </c>
      <c r="T206" s="17" t="str">
        <f aca="false">IF(S206="","",S206/P206)</f>
        <v/>
      </c>
      <c r="U206" s="16" t="str">
        <f aca="false">IF(N(M206)=0,"",IF(N206&gt;=CONFIG!$B$27,"",AVERAGEIFS(ENSAYOS!$Q$5:$Q$3004,ENSAYOS!$C$5:$C$3004,F206,ENSAYOS!$Q$5:$Q$3004,"&gt;0",ENSAYOS!$G$5:$G$3004,N206)))</f>
        <v/>
      </c>
      <c r="V206" s="16" t="str">
        <f aca="false">IF(N(M206)=0,"",IF(COUNTIFS(ENSAYOS!$C$5:$C$3004,F206,ENSAYOS!$Q$5:$Q$3004,"&gt;0",ENSAYOS!$G$5:$G$3004,"&gt;="&amp;CONFIG!$B$27)=0,"",AVERAGEIFS(ENSAYOS!$Q$5:$Q$3004,ENSAYOS!$C$5:$C$3004,F206,ENSAYOS!$Q$5:$Q$3004,"&gt;0",ENSAYOS!$G$5:$G$3004,"&gt;="&amp;CONFIG!$B$27)))</f>
        <v/>
      </c>
      <c r="W206" s="18" t="str">
        <f aca="false">IF(AND(U206&lt;&gt;"",V206&lt;&gt;""),U206/V206,"")</f>
        <v/>
      </c>
      <c r="X206" s="18" t="str">
        <f aca="false">IF(U206="","",INDEX('CURVA EDAD'!$E$5:$E$32,MIN(28,MAX(1,N206))))</f>
        <v/>
      </c>
      <c r="Y206" s="16" t="str">
        <f aca="false">IF(V206&lt;&gt;"",V206,IF(U206="","",U206/X206))</f>
        <v/>
      </c>
      <c r="Z206" s="16" t="str">
        <f aca="false">IF(V206&lt;&gt;"",_xlfn.MINIFS(ENSAYOS!$Q$5:$Q$3004,ENSAYOS!$C$5:$C$3004,F206,ENSAYOS!$Q$5:$Q$3004,"&gt;0",ENSAYOS!$G$5:$G$3004,"&gt;="&amp;CONFIG!$B$27),IF(U206="","",_xlfn.MINIFS(ENSAYOS!$Q$5:$Q$3004,ENSAYOS!$C$5:$C$3004,F206,ENSAYOS!$Q$5:$Q$3004,"&gt;0",ENSAYOS!$G$5:$G$3004,N206)/X206))</f>
        <v/>
      </c>
      <c r="AA206" s="16" t="str">
        <f aca="false">IF(D206="","",IFERROR(1/(1/INDEX(CONFIG!$J$5:$J$14,MATCH(D206,CONFIG!$D$5:$D$14,0))),""))</f>
        <v/>
      </c>
      <c r="AB206" s="16" t="str">
        <f aca="false">IF(D206="","",IFERROR(1/(1/INDEX(CONFIG!$K$5:$K$14,MATCH(D206,CONFIG!$D$5:$D$14,0))),""))</f>
        <v/>
      </c>
      <c r="AC206" s="19" t="str">
        <f aca="false">IF(N(M206)=0,"",IF(AA206="","Sin spec",IF(AND(Y206&gt;=AA206,OR(AB206="",Z206&gt;=AB206)),"CUMPLE","NO CUMPLE")&amp;IF(V206=""," (est.)","")))</f>
        <v/>
      </c>
      <c r="AD206" s="20" t="str">
        <f aca="false">IF(F206="","",IF(COUNTIFS(ABSORCION!$C$5:$C$1004,F206,ABSORCION!$I$5:$I$1004,"&gt;0")=0,"",AVERAGEIFS(ABSORCION!$I$5:$I$1004,ABSORCION!$C$5:$C$1004,F206,ABSORCION!$I$5:$I$1004,"&gt;0")))</f>
        <v/>
      </c>
      <c r="AE206" s="20" t="str">
        <f aca="false">IF(F206="","",IF(COUNTIFS(ABSORCION!$C$5:$C$1004,F206,ABSORCION!$I$5:$I$1004,"&gt;0")=0,"",AVERAGEIFS(ABSORCION!$K$5:$K$1004,ABSORCION!$C$5:$C$1004,F206,ABSORCION!$I$5:$I$1004,"&gt;0")))</f>
        <v/>
      </c>
      <c r="AF206" s="20" t="str">
        <f aca="false">IF(AE206="","",IF(AE206&gt;=CONFIG!$E$21,CONFIG!$F$21,IF(AE206&gt;=CONFIG!$E$20,CONFIG!$F$20,CONFIG!$F$19)))</f>
        <v/>
      </c>
      <c r="AG206" s="21" t="str">
        <f aca="false">IF(F206="","",TRIM(IF(N(M206)=0,"Sin ensayos. ","")&amp;IF(AND(N(M206)&gt;0,N(M206)&lt;CONFIG!$B$26),"Menos de "&amp;CONFIG!$B$26&amp;" probetas. ","")&amp;IF(N(T206)&gt;CONFIG!$B$25,"CV alto. ","")&amp;IF(AND(N(AD206)&gt;0,N(AD206)&gt;N(AF206)),"Absorción alta. ","")))</f>
        <v/>
      </c>
      <c r="AH206" s="22" t="str">
        <f aca="false">IF(AND(N(M206)&gt;0,OR(CONTROL!$C$4="TODAS",C206=CONTROL!$C$4),D206=CONTROL!$C$5),MAX($AH$4:AH205)+1,"")</f>
        <v/>
      </c>
      <c r="AI206" s="22" t="str">
        <f aca="false">IF(AH206="","",P206^2)</f>
        <v/>
      </c>
    </row>
    <row r="207" customFormat="false" ht="15" hidden="false" customHeight="false" outlineLevel="0" collapsed="false">
      <c r="A207" s="11" t="str">
        <f aca="false">IF(B207="","",ROW()-4)</f>
        <v/>
      </c>
      <c r="B207" s="12"/>
      <c r="C207" s="13"/>
      <c r="D207" s="13"/>
      <c r="E207" s="13"/>
      <c r="F207" s="14" t="str">
        <f aca="false">IF(OR(B207="",C207="",D207=""),"",IFERROR(INDEX(CONFIG!$E$5:$E$14,MATCH(D207,CONFIG!$D$5:$D$14,0)),"?")&amp;RIGHT("0"&amp;DAY(B207),2)&amp;RIGHT("0"&amp;MONTH(B207),2)&amp;RIGHT(YEAR(B207),2)&amp;C207&amp;IF(E207="","","-"&amp;E207))</f>
        <v/>
      </c>
      <c r="G207" s="13"/>
      <c r="H207" s="13"/>
      <c r="I207" s="13"/>
      <c r="J207" s="13"/>
      <c r="K207" s="13"/>
      <c r="L207" s="13"/>
      <c r="M207" s="11" t="str">
        <f aca="false">IF(F207="","",COUNTIFS(ENSAYOS!$C$5:$C$3004,F207,ENSAYOS!$Q$5:$Q$3004,"&gt;0"))</f>
        <v/>
      </c>
      <c r="N207" s="15" t="str">
        <f aca="false">IF(N(M207)=0,"",_xlfn.MINIFS(ENSAYOS!$G$5:$G$3004,ENSAYOS!$C$5:$C$3004,F207,ENSAYOS!$Q$5:$Q$3004,"&gt;0"))</f>
        <v/>
      </c>
      <c r="O207" s="15" t="str">
        <f aca="false">IF(N(M207)=0,"",_xlfn.MAXIFS(ENSAYOS!$G$5:$G$3004,ENSAYOS!$C$5:$C$3004,F207,ENSAYOS!$Q$5:$Q$3004,"&gt;0"))</f>
        <v/>
      </c>
      <c r="P207" s="16" t="str">
        <f aca="false">IF(N(M207)=0,"",AVERAGEIFS(ENSAYOS!$Q$5:$Q$3004,ENSAYOS!$C$5:$C$3004,F207,ENSAYOS!$Q$5:$Q$3004,"&gt;0"))</f>
        <v/>
      </c>
      <c r="Q207" s="16" t="str">
        <f aca="false">IF(N(M207)=0,"",_xlfn.MINIFS(ENSAYOS!$Q$5:$Q$3004,ENSAYOS!$C$5:$C$3004,F207,ENSAYOS!$Q$5:$Q$3004,"&gt;0"))</f>
        <v/>
      </c>
      <c r="R207" s="16" t="str">
        <f aca="false">IF(N(M207)=0,"",_xlfn.MAXIFS(ENSAYOS!$Q$5:$Q$3004,ENSAYOS!$C$5:$C$3004,F207,ENSAYOS!$Q$5:$Q$3004,"&gt;0"))</f>
        <v/>
      </c>
      <c r="S207" s="16" t="str">
        <f aca="false">IF(N(M207)&lt;2,"",SQRT(MAX(0,(SUMIFS(ENSAYOS!$X$5:$X$3004,ENSAYOS!$C$5:$C$3004,F207,ENSAYOS!$Q$5:$Q$3004,"&gt;0")-M207*P207^2)/(M207-1))))</f>
        <v/>
      </c>
      <c r="T207" s="17" t="str">
        <f aca="false">IF(S207="","",S207/P207)</f>
        <v/>
      </c>
      <c r="U207" s="16" t="str">
        <f aca="false">IF(N(M207)=0,"",IF(N207&gt;=CONFIG!$B$27,"",AVERAGEIFS(ENSAYOS!$Q$5:$Q$3004,ENSAYOS!$C$5:$C$3004,F207,ENSAYOS!$Q$5:$Q$3004,"&gt;0",ENSAYOS!$G$5:$G$3004,N207)))</f>
        <v/>
      </c>
      <c r="V207" s="16" t="str">
        <f aca="false">IF(N(M207)=0,"",IF(COUNTIFS(ENSAYOS!$C$5:$C$3004,F207,ENSAYOS!$Q$5:$Q$3004,"&gt;0",ENSAYOS!$G$5:$G$3004,"&gt;="&amp;CONFIG!$B$27)=0,"",AVERAGEIFS(ENSAYOS!$Q$5:$Q$3004,ENSAYOS!$C$5:$C$3004,F207,ENSAYOS!$Q$5:$Q$3004,"&gt;0",ENSAYOS!$G$5:$G$3004,"&gt;="&amp;CONFIG!$B$27)))</f>
        <v/>
      </c>
      <c r="W207" s="18" t="str">
        <f aca="false">IF(AND(U207&lt;&gt;"",V207&lt;&gt;""),U207/V207,"")</f>
        <v/>
      </c>
      <c r="X207" s="18" t="str">
        <f aca="false">IF(U207="","",INDEX('CURVA EDAD'!$E$5:$E$32,MIN(28,MAX(1,N207))))</f>
        <v/>
      </c>
      <c r="Y207" s="16" t="str">
        <f aca="false">IF(V207&lt;&gt;"",V207,IF(U207="","",U207/X207))</f>
        <v/>
      </c>
      <c r="Z207" s="16" t="str">
        <f aca="false">IF(V207&lt;&gt;"",_xlfn.MINIFS(ENSAYOS!$Q$5:$Q$3004,ENSAYOS!$C$5:$C$3004,F207,ENSAYOS!$Q$5:$Q$3004,"&gt;0",ENSAYOS!$G$5:$G$3004,"&gt;="&amp;CONFIG!$B$27),IF(U207="","",_xlfn.MINIFS(ENSAYOS!$Q$5:$Q$3004,ENSAYOS!$C$5:$C$3004,F207,ENSAYOS!$Q$5:$Q$3004,"&gt;0",ENSAYOS!$G$5:$G$3004,N207)/X207))</f>
        <v/>
      </c>
      <c r="AA207" s="16" t="str">
        <f aca="false">IF(D207="","",IFERROR(1/(1/INDEX(CONFIG!$J$5:$J$14,MATCH(D207,CONFIG!$D$5:$D$14,0))),""))</f>
        <v/>
      </c>
      <c r="AB207" s="16" t="str">
        <f aca="false">IF(D207="","",IFERROR(1/(1/INDEX(CONFIG!$K$5:$K$14,MATCH(D207,CONFIG!$D$5:$D$14,0))),""))</f>
        <v/>
      </c>
      <c r="AC207" s="19" t="str">
        <f aca="false">IF(N(M207)=0,"",IF(AA207="","Sin spec",IF(AND(Y207&gt;=AA207,OR(AB207="",Z207&gt;=AB207)),"CUMPLE","NO CUMPLE")&amp;IF(V207=""," (est.)","")))</f>
        <v/>
      </c>
      <c r="AD207" s="20" t="str">
        <f aca="false">IF(F207="","",IF(COUNTIFS(ABSORCION!$C$5:$C$1004,F207,ABSORCION!$I$5:$I$1004,"&gt;0")=0,"",AVERAGEIFS(ABSORCION!$I$5:$I$1004,ABSORCION!$C$5:$C$1004,F207,ABSORCION!$I$5:$I$1004,"&gt;0")))</f>
        <v/>
      </c>
      <c r="AE207" s="20" t="str">
        <f aca="false">IF(F207="","",IF(COUNTIFS(ABSORCION!$C$5:$C$1004,F207,ABSORCION!$I$5:$I$1004,"&gt;0")=0,"",AVERAGEIFS(ABSORCION!$K$5:$K$1004,ABSORCION!$C$5:$C$1004,F207,ABSORCION!$I$5:$I$1004,"&gt;0")))</f>
        <v/>
      </c>
      <c r="AF207" s="20" t="str">
        <f aca="false">IF(AE207="","",IF(AE207&gt;=CONFIG!$E$21,CONFIG!$F$21,IF(AE207&gt;=CONFIG!$E$20,CONFIG!$F$20,CONFIG!$F$19)))</f>
        <v/>
      </c>
      <c r="AG207" s="21" t="str">
        <f aca="false">IF(F207="","",TRIM(IF(N(M207)=0,"Sin ensayos. ","")&amp;IF(AND(N(M207)&gt;0,N(M207)&lt;CONFIG!$B$26),"Menos de "&amp;CONFIG!$B$26&amp;" probetas. ","")&amp;IF(N(T207)&gt;CONFIG!$B$25,"CV alto. ","")&amp;IF(AND(N(AD207)&gt;0,N(AD207)&gt;N(AF207)),"Absorción alta. ","")))</f>
        <v/>
      </c>
      <c r="AH207" s="22" t="str">
        <f aca="false">IF(AND(N(M207)&gt;0,OR(CONTROL!$C$4="TODAS",C207=CONTROL!$C$4),D207=CONTROL!$C$5),MAX($AH$4:AH206)+1,"")</f>
        <v/>
      </c>
      <c r="AI207" s="22" t="str">
        <f aca="false">IF(AH207="","",P207^2)</f>
        <v/>
      </c>
    </row>
    <row r="208" customFormat="false" ht="15" hidden="false" customHeight="false" outlineLevel="0" collapsed="false">
      <c r="A208" s="11" t="str">
        <f aca="false">IF(B208="","",ROW()-4)</f>
        <v/>
      </c>
      <c r="B208" s="12"/>
      <c r="C208" s="13"/>
      <c r="D208" s="13"/>
      <c r="E208" s="13"/>
      <c r="F208" s="14" t="str">
        <f aca="false">IF(OR(B208="",C208="",D208=""),"",IFERROR(INDEX(CONFIG!$E$5:$E$14,MATCH(D208,CONFIG!$D$5:$D$14,0)),"?")&amp;RIGHT("0"&amp;DAY(B208),2)&amp;RIGHT("0"&amp;MONTH(B208),2)&amp;RIGHT(YEAR(B208),2)&amp;C208&amp;IF(E208="","","-"&amp;E208))</f>
        <v/>
      </c>
      <c r="G208" s="13"/>
      <c r="H208" s="13"/>
      <c r="I208" s="13"/>
      <c r="J208" s="13"/>
      <c r="K208" s="13"/>
      <c r="L208" s="13"/>
      <c r="M208" s="11" t="str">
        <f aca="false">IF(F208="","",COUNTIFS(ENSAYOS!$C$5:$C$3004,F208,ENSAYOS!$Q$5:$Q$3004,"&gt;0"))</f>
        <v/>
      </c>
      <c r="N208" s="15" t="str">
        <f aca="false">IF(N(M208)=0,"",_xlfn.MINIFS(ENSAYOS!$G$5:$G$3004,ENSAYOS!$C$5:$C$3004,F208,ENSAYOS!$Q$5:$Q$3004,"&gt;0"))</f>
        <v/>
      </c>
      <c r="O208" s="15" t="str">
        <f aca="false">IF(N(M208)=0,"",_xlfn.MAXIFS(ENSAYOS!$G$5:$G$3004,ENSAYOS!$C$5:$C$3004,F208,ENSAYOS!$Q$5:$Q$3004,"&gt;0"))</f>
        <v/>
      </c>
      <c r="P208" s="16" t="str">
        <f aca="false">IF(N(M208)=0,"",AVERAGEIFS(ENSAYOS!$Q$5:$Q$3004,ENSAYOS!$C$5:$C$3004,F208,ENSAYOS!$Q$5:$Q$3004,"&gt;0"))</f>
        <v/>
      </c>
      <c r="Q208" s="16" t="str">
        <f aca="false">IF(N(M208)=0,"",_xlfn.MINIFS(ENSAYOS!$Q$5:$Q$3004,ENSAYOS!$C$5:$C$3004,F208,ENSAYOS!$Q$5:$Q$3004,"&gt;0"))</f>
        <v/>
      </c>
      <c r="R208" s="16" t="str">
        <f aca="false">IF(N(M208)=0,"",_xlfn.MAXIFS(ENSAYOS!$Q$5:$Q$3004,ENSAYOS!$C$5:$C$3004,F208,ENSAYOS!$Q$5:$Q$3004,"&gt;0"))</f>
        <v/>
      </c>
      <c r="S208" s="16" t="str">
        <f aca="false">IF(N(M208)&lt;2,"",SQRT(MAX(0,(SUMIFS(ENSAYOS!$X$5:$X$3004,ENSAYOS!$C$5:$C$3004,F208,ENSAYOS!$Q$5:$Q$3004,"&gt;0")-M208*P208^2)/(M208-1))))</f>
        <v/>
      </c>
      <c r="T208" s="17" t="str">
        <f aca="false">IF(S208="","",S208/P208)</f>
        <v/>
      </c>
      <c r="U208" s="16" t="str">
        <f aca="false">IF(N(M208)=0,"",IF(N208&gt;=CONFIG!$B$27,"",AVERAGEIFS(ENSAYOS!$Q$5:$Q$3004,ENSAYOS!$C$5:$C$3004,F208,ENSAYOS!$Q$5:$Q$3004,"&gt;0",ENSAYOS!$G$5:$G$3004,N208)))</f>
        <v/>
      </c>
      <c r="V208" s="16" t="str">
        <f aca="false">IF(N(M208)=0,"",IF(COUNTIFS(ENSAYOS!$C$5:$C$3004,F208,ENSAYOS!$Q$5:$Q$3004,"&gt;0",ENSAYOS!$G$5:$G$3004,"&gt;="&amp;CONFIG!$B$27)=0,"",AVERAGEIFS(ENSAYOS!$Q$5:$Q$3004,ENSAYOS!$C$5:$C$3004,F208,ENSAYOS!$Q$5:$Q$3004,"&gt;0",ENSAYOS!$G$5:$G$3004,"&gt;="&amp;CONFIG!$B$27)))</f>
        <v/>
      </c>
      <c r="W208" s="18" t="str">
        <f aca="false">IF(AND(U208&lt;&gt;"",V208&lt;&gt;""),U208/V208,"")</f>
        <v/>
      </c>
      <c r="X208" s="18" t="str">
        <f aca="false">IF(U208="","",INDEX('CURVA EDAD'!$E$5:$E$32,MIN(28,MAX(1,N208))))</f>
        <v/>
      </c>
      <c r="Y208" s="16" t="str">
        <f aca="false">IF(V208&lt;&gt;"",V208,IF(U208="","",U208/X208))</f>
        <v/>
      </c>
      <c r="Z208" s="16" t="str">
        <f aca="false">IF(V208&lt;&gt;"",_xlfn.MINIFS(ENSAYOS!$Q$5:$Q$3004,ENSAYOS!$C$5:$C$3004,F208,ENSAYOS!$Q$5:$Q$3004,"&gt;0",ENSAYOS!$G$5:$G$3004,"&gt;="&amp;CONFIG!$B$27),IF(U208="","",_xlfn.MINIFS(ENSAYOS!$Q$5:$Q$3004,ENSAYOS!$C$5:$C$3004,F208,ENSAYOS!$Q$5:$Q$3004,"&gt;0",ENSAYOS!$G$5:$G$3004,N208)/X208))</f>
        <v/>
      </c>
      <c r="AA208" s="16" t="str">
        <f aca="false">IF(D208="","",IFERROR(1/(1/INDEX(CONFIG!$J$5:$J$14,MATCH(D208,CONFIG!$D$5:$D$14,0))),""))</f>
        <v/>
      </c>
      <c r="AB208" s="16" t="str">
        <f aca="false">IF(D208="","",IFERROR(1/(1/INDEX(CONFIG!$K$5:$K$14,MATCH(D208,CONFIG!$D$5:$D$14,0))),""))</f>
        <v/>
      </c>
      <c r="AC208" s="19" t="str">
        <f aca="false">IF(N(M208)=0,"",IF(AA208="","Sin spec",IF(AND(Y208&gt;=AA208,OR(AB208="",Z208&gt;=AB208)),"CUMPLE","NO CUMPLE")&amp;IF(V208=""," (est.)","")))</f>
        <v/>
      </c>
      <c r="AD208" s="20" t="str">
        <f aca="false">IF(F208="","",IF(COUNTIFS(ABSORCION!$C$5:$C$1004,F208,ABSORCION!$I$5:$I$1004,"&gt;0")=0,"",AVERAGEIFS(ABSORCION!$I$5:$I$1004,ABSORCION!$C$5:$C$1004,F208,ABSORCION!$I$5:$I$1004,"&gt;0")))</f>
        <v/>
      </c>
      <c r="AE208" s="20" t="str">
        <f aca="false">IF(F208="","",IF(COUNTIFS(ABSORCION!$C$5:$C$1004,F208,ABSORCION!$I$5:$I$1004,"&gt;0")=0,"",AVERAGEIFS(ABSORCION!$K$5:$K$1004,ABSORCION!$C$5:$C$1004,F208,ABSORCION!$I$5:$I$1004,"&gt;0")))</f>
        <v/>
      </c>
      <c r="AF208" s="20" t="str">
        <f aca="false">IF(AE208="","",IF(AE208&gt;=CONFIG!$E$21,CONFIG!$F$21,IF(AE208&gt;=CONFIG!$E$20,CONFIG!$F$20,CONFIG!$F$19)))</f>
        <v/>
      </c>
      <c r="AG208" s="21" t="str">
        <f aca="false">IF(F208="","",TRIM(IF(N(M208)=0,"Sin ensayos. ","")&amp;IF(AND(N(M208)&gt;0,N(M208)&lt;CONFIG!$B$26),"Menos de "&amp;CONFIG!$B$26&amp;" probetas. ","")&amp;IF(N(T208)&gt;CONFIG!$B$25,"CV alto. ","")&amp;IF(AND(N(AD208)&gt;0,N(AD208)&gt;N(AF208)),"Absorción alta. ","")))</f>
        <v/>
      </c>
      <c r="AH208" s="22" t="str">
        <f aca="false">IF(AND(N(M208)&gt;0,OR(CONTROL!$C$4="TODAS",C208=CONTROL!$C$4),D208=CONTROL!$C$5),MAX($AH$4:AH207)+1,"")</f>
        <v/>
      </c>
      <c r="AI208" s="22" t="str">
        <f aca="false">IF(AH208="","",P208^2)</f>
        <v/>
      </c>
    </row>
    <row r="209" customFormat="false" ht="15" hidden="false" customHeight="false" outlineLevel="0" collapsed="false">
      <c r="A209" s="11" t="str">
        <f aca="false">IF(B209="","",ROW()-4)</f>
        <v/>
      </c>
      <c r="B209" s="12"/>
      <c r="C209" s="13"/>
      <c r="D209" s="13"/>
      <c r="E209" s="13"/>
      <c r="F209" s="14" t="str">
        <f aca="false">IF(OR(B209="",C209="",D209=""),"",IFERROR(INDEX(CONFIG!$E$5:$E$14,MATCH(D209,CONFIG!$D$5:$D$14,0)),"?")&amp;RIGHT("0"&amp;DAY(B209),2)&amp;RIGHT("0"&amp;MONTH(B209),2)&amp;RIGHT(YEAR(B209),2)&amp;C209&amp;IF(E209="","","-"&amp;E209))</f>
        <v/>
      </c>
      <c r="G209" s="13"/>
      <c r="H209" s="13"/>
      <c r="I209" s="13"/>
      <c r="J209" s="13"/>
      <c r="K209" s="13"/>
      <c r="L209" s="13"/>
      <c r="M209" s="11" t="str">
        <f aca="false">IF(F209="","",COUNTIFS(ENSAYOS!$C$5:$C$3004,F209,ENSAYOS!$Q$5:$Q$3004,"&gt;0"))</f>
        <v/>
      </c>
      <c r="N209" s="15" t="str">
        <f aca="false">IF(N(M209)=0,"",_xlfn.MINIFS(ENSAYOS!$G$5:$G$3004,ENSAYOS!$C$5:$C$3004,F209,ENSAYOS!$Q$5:$Q$3004,"&gt;0"))</f>
        <v/>
      </c>
      <c r="O209" s="15" t="str">
        <f aca="false">IF(N(M209)=0,"",_xlfn.MAXIFS(ENSAYOS!$G$5:$G$3004,ENSAYOS!$C$5:$C$3004,F209,ENSAYOS!$Q$5:$Q$3004,"&gt;0"))</f>
        <v/>
      </c>
      <c r="P209" s="16" t="str">
        <f aca="false">IF(N(M209)=0,"",AVERAGEIFS(ENSAYOS!$Q$5:$Q$3004,ENSAYOS!$C$5:$C$3004,F209,ENSAYOS!$Q$5:$Q$3004,"&gt;0"))</f>
        <v/>
      </c>
      <c r="Q209" s="16" t="str">
        <f aca="false">IF(N(M209)=0,"",_xlfn.MINIFS(ENSAYOS!$Q$5:$Q$3004,ENSAYOS!$C$5:$C$3004,F209,ENSAYOS!$Q$5:$Q$3004,"&gt;0"))</f>
        <v/>
      </c>
      <c r="R209" s="16" t="str">
        <f aca="false">IF(N(M209)=0,"",_xlfn.MAXIFS(ENSAYOS!$Q$5:$Q$3004,ENSAYOS!$C$5:$C$3004,F209,ENSAYOS!$Q$5:$Q$3004,"&gt;0"))</f>
        <v/>
      </c>
      <c r="S209" s="16" t="str">
        <f aca="false">IF(N(M209)&lt;2,"",SQRT(MAX(0,(SUMIFS(ENSAYOS!$X$5:$X$3004,ENSAYOS!$C$5:$C$3004,F209,ENSAYOS!$Q$5:$Q$3004,"&gt;0")-M209*P209^2)/(M209-1))))</f>
        <v/>
      </c>
      <c r="T209" s="17" t="str">
        <f aca="false">IF(S209="","",S209/P209)</f>
        <v/>
      </c>
      <c r="U209" s="16" t="str">
        <f aca="false">IF(N(M209)=0,"",IF(N209&gt;=CONFIG!$B$27,"",AVERAGEIFS(ENSAYOS!$Q$5:$Q$3004,ENSAYOS!$C$5:$C$3004,F209,ENSAYOS!$Q$5:$Q$3004,"&gt;0",ENSAYOS!$G$5:$G$3004,N209)))</f>
        <v/>
      </c>
      <c r="V209" s="16" t="str">
        <f aca="false">IF(N(M209)=0,"",IF(COUNTIFS(ENSAYOS!$C$5:$C$3004,F209,ENSAYOS!$Q$5:$Q$3004,"&gt;0",ENSAYOS!$G$5:$G$3004,"&gt;="&amp;CONFIG!$B$27)=0,"",AVERAGEIFS(ENSAYOS!$Q$5:$Q$3004,ENSAYOS!$C$5:$C$3004,F209,ENSAYOS!$Q$5:$Q$3004,"&gt;0",ENSAYOS!$G$5:$G$3004,"&gt;="&amp;CONFIG!$B$27)))</f>
        <v/>
      </c>
      <c r="W209" s="18" t="str">
        <f aca="false">IF(AND(U209&lt;&gt;"",V209&lt;&gt;""),U209/V209,"")</f>
        <v/>
      </c>
      <c r="X209" s="18" t="str">
        <f aca="false">IF(U209="","",INDEX('CURVA EDAD'!$E$5:$E$32,MIN(28,MAX(1,N209))))</f>
        <v/>
      </c>
      <c r="Y209" s="16" t="str">
        <f aca="false">IF(V209&lt;&gt;"",V209,IF(U209="","",U209/X209))</f>
        <v/>
      </c>
      <c r="Z209" s="16" t="str">
        <f aca="false">IF(V209&lt;&gt;"",_xlfn.MINIFS(ENSAYOS!$Q$5:$Q$3004,ENSAYOS!$C$5:$C$3004,F209,ENSAYOS!$Q$5:$Q$3004,"&gt;0",ENSAYOS!$G$5:$G$3004,"&gt;="&amp;CONFIG!$B$27),IF(U209="","",_xlfn.MINIFS(ENSAYOS!$Q$5:$Q$3004,ENSAYOS!$C$5:$C$3004,F209,ENSAYOS!$Q$5:$Q$3004,"&gt;0",ENSAYOS!$G$5:$G$3004,N209)/X209))</f>
        <v/>
      </c>
      <c r="AA209" s="16" t="str">
        <f aca="false">IF(D209="","",IFERROR(1/(1/INDEX(CONFIG!$J$5:$J$14,MATCH(D209,CONFIG!$D$5:$D$14,0))),""))</f>
        <v/>
      </c>
      <c r="AB209" s="16" t="str">
        <f aca="false">IF(D209="","",IFERROR(1/(1/INDEX(CONFIG!$K$5:$K$14,MATCH(D209,CONFIG!$D$5:$D$14,0))),""))</f>
        <v/>
      </c>
      <c r="AC209" s="19" t="str">
        <f aca="false">IF(N(M209)=0,"",IF(AA209="","Sin spec",IF(AND(Y209&gt;=AA209,OR(AB209="",Z209&gt;=AB209)),"CUMPLE","NO CUMPLE")&amp;IF(V209=""," (est.)","")))</f>
        <v/>
      </c>
      <c r="AD209" s="20" t="str">
        <f aca="false">IF(F209="","",IF(COUNTIFS(ABSORCION!$C$5:$C$1004,F209,ABSORCION!$I$5:$I$1004,"&gt;0")=0,"",AVERAGEIFS(ABSORCION!$I$5:$I$1004,ABSORCION!$C$5:$C$1004,F209,ABSORCION!$I$5:$I$1004,"&gt;0")))</f>
        <v/>
      </c>
      <c r="AE209" s="20" t="str">
        <f aca="false">IF(F209="","",IF(COUNTIFS(ABSORCION!$C$5:$C$1004,F209,ABSORCION!$I$5:$I$1004,"&gt;0")=0,"",AVERAGEIFS(ABSORCION!$K$5:$K$1004,ABSORCION!$C$5:$C$1004,F209,ABSORCION!$I$5:$I$1004,"&gt;0")))</f>
        <v/>
      </c>
      <c r="AF209" s="20" t="str">
        <f aca="false">IF(AE209="","",IF(AE209&gt;=CONFIG!$E$21,CONFIG!$F$21,IF(AE209&gt;=CONFIG!$E$20,CONFIG!$F$20,CONFIG!$F$19)))</f>
        <v/>
      </c>
      <c r="AG209" s="21" t="str">
        <f aca="false">IF(F209="","",TRIM(IF(N(M209)=0,"Sin ensayos. ","")&amp;IF(AND(N(M209)&gt;0,N(M209)&lt;CONFIG!$B$26),"Menos de "&amp;CONFIG!$B$26&amp;" probetas. ","")&amp;IF(N(T209)&gt;CONFIG!$B$25,"CV alto. ","")&amp;IF(AND(N(AD209)&gt;0,N(AD209)&gt;N(AF209)),"Absorción alta. ","")))</f>
        <v/>
      </c>
      <c r="AH209" s="22" t="str">
        <f aca="false">IF(AND(N(M209)&gt;0,OR(CONTROL!$C$4="TODAS",C209=CONTROL!$C$4),D209=CONTROL!$C$5),MAX($AH$4:AH208)+1,"")</f>
        <v/>
      </c>
      <c r="AI209" s="22" t="str">
        <f aca="false">IF(AH209="","",P209^2)</f>
        <v/>
      </c>
    </row>
    <row r="210" customFormat="false" ht="15" hidden="false" customHeight="false" outlineLevel="0" collapsed="false">
      <c r="A210" s="11" t="str">
        <f aca="false">IF(B210="","",ROW()-4)</f>
        <v/>
      </c>
      <c r="B210" s="12"/>
      <c r="C210" s="13"/>
      <c r="D210" s="13"/>
      <c r="E210" s="13"/>
      <c r="F210" s="14" t="str">
        <f aca="false">IF(OR(B210="",C210="",D210=""),"",IFERROR(INDEX(CONFIG!$E$5:$E$14,MATCH(D210,CONFIG!$D$5:$D$14,0)),"?")&amp;RIGHT("0"&amp;DAY(B210),2)&amp;RIGHT("0"&amp;MONTH(B210),2)&amp;RIGHT(YEAR(B210),2)&amp;C210&amp;IF(E210="","","-"&amp;E210))</f>
        <v/>
      </c>
      <c r="G210" s="13"/>
      <c r="H210" s="13"/>
      <c r="I210" s="13"/>
      <c r="J210" s="13"/>
      <c r="K210" s="13"/>
      <c r="L210" s="13"/>
      <c r="M210" s="11" t="str">
        <f aca="false">IF(F210="","",COUNTIFS(ENSAYOS!$C$5:$C$3004,F210,ENSAYOS!$Q$5:$Q$3004,"&gt;0"))</f>
        <v/>
      </c>
      <c r="N210" s="15" t="str">
        <f aca="false">IF(N(M210)=0,"",_xlfn.MINIFS(ENSAYOS!$G$5:$G$3004,ENSAYOS!$C$5:$C$3004,F210,ENSAYOS!$Q$5:$Q$3004,"&gt;0"))</f>
        <v/>
      </c>
      <c r="O210" s="15" t="str">
        <f aca="false">IF(N(M210)=0,"",_xlfn.MAXIFS(ENSAYOS!$G$5:$G$3004,ENSAYOS!$C$5:$C$3004,F210,ENSAYOS!$Q$5:$Q$3004,"&gt;0"))</f>
        <v/>
      </c>
      <c r="P210" s="16" t="str">
        <f aca="false">IF(N(M210)=0,"",AVERAGEIFS(ENSAYOS!$Q$5:$Q$3004,ENSAYOS!$C$5:$C$3004,F210,ENSAYOS!$Q$5:$Q$3004,"&gt;0"))</f>
        <v/>
      </c>
      <c r="Q210" s="16" t="str">
        <f aca="false">IF(N(M210)=0,"",_xlfn.MINIFS(ENSAYOS!$Q$5:$Q$3004,ENSAYOS!$C$5:$C$3004,F210,ENSAYOS!$Q$5:$Q$3004,"&gt;0"))</f>
        <v/>
      </c>
      <c r="R210" s="16" t="str">
        <f aca="false">IF(N(M210)=0,"",_xlfn.MAXIFS(ENSAYOS!$Q$5:$Q$3004,ENSAYOS!$C$5:$C$3004,F210,ENSAYOS!$Q$5:$Q$3004,"&gt;0"))</f>
        <v/>
      </c>
      <c r="S210" s="16" t="str">
        <f aca="false">IF(N(M210)&lt;2,"",SQRT(MAX(0,(SUMIFS(ENSAYOS!$X$5:$X$3004,ENSAYOS!$C$5:$C$3004,F210,ENSAYOS!$Q$5:$Q$3004,"&gt;0")-M210*P210^2)/(M210-1))))</f>
        <v/>
      </c>
      <c r="T210" s="17" t="str">
        <f aca="false">IF(S210="","",S210/P210)</f>
        <v/>
      </c>
      <c r="U210" s="16" t="str">
        <f aca="false">IF(N(M210)=0,"",IF(N210&gt;=CONFIG!$B$27,"",AVERAGEIFS(ENSAYOS!$Q$5:$Q$3004,ENSAYOS!$C$5:$C$3004,F210,ENSAYOS!$Q$5:$Q$3004,"&gt;0",ENSAYOS!$G$5:$G$3004,N210)))</f>
        <v/>
      </c>
      <c r="V210" s="16" t="str">
        <f aca="false">IF(N(M210)=0,"",IF(COUNTIFS(ENSAYOS!$C$5:$C$3004,F210,ENSAYOS!$Q$5:$Q$3004,"&gt;0",ENSAYOS!$G$5:$G$3004,"&gt;="&amp;CONFIG!$B$27)=0,"",AVERAGEIFS(ENSAYOS!$Q$5:$Q$3004,ENSAYOS!$C$5:$C$3004,F210,ENSAYOS!$Q$5:$Q$3004,"&gt;0",ENSAYOS!$G$5:$G$3004,"&gt;="&amp;CONFIG!$B$27)))</f>
        <v/>
      </c>
      <c r="W210" s="18" t="str">
        <f aca="false">IF(AND(U210&lt;&gt;"",V210&lt;&gt;""),U210/V210,"")</f>
        <v/>
      </c>
      <c r="X210" s="18" t="str">
        <f aca="false">IF(U210="","",INDEX('CURVA EDAD'!$E$5:$E$32,MIN(28,MAX(1,N210))))</f>
        <v/>
      </c>
      <c r="Y210" s="16" t="str">
        <f aca="false">IF(V210&lt;&gt;"",V210,IF(U210="","",U210/X210))</f>
        <v/>
      </c>
      <c r="Z210" s="16" t="str">
        <f aca="false">IF(V210&lt;&gt;"",_xlfn.MINIFS(ENSAYOS!$Q$5:$Q$3004,ENSAYOS!$C$5:$C$3004,F210,ENSAYOS!$Q$5:$Q$3004,"&gt;0",ENSAYOS!$G$5:$G$3004,"&gt;="&amp;CONFIG!$B$27),IF(U210="","",_xlfn.MINIFS(ENSAYOS!$Q$5:$Q$3004,ENSAYOS!$C$5:$C$3004,F210,ENSAYOS!$Q$5:$Q$3004,"&gt;0",ENSAYOS!$G$5:$G$3004,N210)/X210))</f>
        <v/>
      </c>
      <c r="AA210" s="16" t="str">
        <f aca="false">IF(D210="","",IFERROR(1/(1/INDEX(CONFIG!$J$5:$J$14,MATCH(D210,CONFIG!$D$5:$D$14,0))),""))</f>
        <v/>
      </c>
      <c r="AB210" s="16" t="str">
        <f aca="false">IF(D210="","",IFERROR(1/(1/INDEX(CONFIG!$K$5:$K$14,MATCH(D210,CONFIG!$D$5:$D$14,0))),""))</f>
        <v/>
      </c>
      <c r="AC210" s="19" t="str">
        <f aca="false">IF(N(M210)=0,"",IF(AA210="","Sin spec",IF(AND(Y210&gt;=AA210,OR(AB210="",Z210&gt;=AB210)),"CUMPLE","NO CUMPLE")&amp;IF(V210=""," (est.)","")))</f>
        <v/>
      </c>
      <c r="AD210" s="20" t="str">
        <f aca="false">IF(F210="","",IF(COUNTIFS(ABSORCION!$C$5:$C$1004,F210,ABSORCION!$I$5:$I$1004,"&gt;0")=0,"",AVERAGEIFS(ABSORCION!$I$5:$I$1004,ABSORCION!$C$5:$C$1004,F210,ABSORCION!$I$5:$I$1004,"&gt;0")))</f>
        <v/>
      </c>
      <c r="AE210" s="20" t="str">
        <f aca="false">IF(F210="","",IF(COUNTIFS(ABSORCION!$C$5:$C$1004,F210,ABSORCION!$I$5:$I$1004,"&gt;0")=0,"",AVERAGEIFS(ABSORCION!$K$5:$K$1004,ABSORCION!$C$5:$C$1004,F210,ABSORCION!$I$5:$I$1004,"&gt;0")))</f>
        <v/>
      </c>
      <c r="AF210" s="20" t="str">
        <f aca="false">IF(AE210="","",IF(AE210&gt;=CONFIG!$E$21,CONFIG!$F$21,IF(AE210&gt;=CONFIG!$E$20,CONFIG!$F$20,CONFIG!$F$19)))</f>
        <v/>
      </c>
      <c r="AG210" s="21" t="str">
        <f aca="false">IF(F210="","",TRIM(IF(N(M210)=0,"Sin ensayos. ","")&amp;IF(AND(N(M210)&gt;0,N(M210)&lt;CONFIG!$B$26),"Menos de "&amp;CONFIG!$B$26&amp;" probetas. ","")&amp;IF(N(T210)&gt;CONFIG!$B$25,"CV alto. ","")&amp;IF(AND(N(AD210)&gt;0,N(AD210)&gt;N(AF210)),"Absorción alta. ","")))</f>
        <v/>
      </c>
      <c r="AH210" s="22" t="str">
        <f aca="false">IF(AND(N(M210)&gt;0,OR(CONTROL!$C$4="TODAS",C210=CONTROL!$C$4),D210=CONTROL!$C$5),MAX($AH$4:AH209)+1,"")</f>
        <v/>
      </c>
      <c r="AI210" s="22" t="str">
        <f aca="false">IF(AH210="","",P210^2)</f>
        <v/>
      </c>
    </row>
    <row r="211" customFormat="false" ht="15" hidden="false" customHeight="false" outlineLevel="0" collapsed="false">
      <c r="A211" s="11" t="str">
        <f aca="false">IF(B211="","",ROW()-4)</f>
        <v/>
      </c>
      <c r="B211" s="12"/>
      <c r="C211" s="13"/>
      <c r="D211" s="13"/>
      <c r="E211" s="13"/>
      <c r="F211" s="14" t="str">
        <f aca="false">IF(OR(B211="",C211="",D211=""),"",IFERROR(INDEX(CONFIG!$E$5:$E$14,MATCH(D211,CONFIG!$D$5:$D$14,0)),"?")&amp;RIGHT("0"&amp;DAY(B211),2)&amp;RIGHT("0"&amp;MONTH(B211),2)&amp;RIGHT(YEAR(B211),2)&amp;C211&amp;IF(E211="","","-"&amp;E211))</f>
        <v/>
      </c>
      <c r="G211" s="13"/>
      <c r="H211" s="13"/>
      <c r="I211" s="13"/>
      <c r="J211" s="13"/>
      <c r="K211" s="13"/>
      <c r="L211" s="13"/>
      <c r="M211" s="11" t="str">
        <f aca="false">IF(F211="","",COUNTIFS(ENSAYOS!$C$5:$C$3004,F211,ENSAYOS!$Q$5:$Q$3004,"&gt;0"))</f>
        <v/>
      </c>
      <c r="N211" s="15" t="str">
        <f aca="false">IF(N(M211)=0,"",_xlfn.MINIFS(ENSAYOS!$G$5:$G$3004,ENSAYOS!$C$5:$C$3004,F211,ENSAYOS!$Q$5:$Q$3004,"&gt;0"))</f>
        <v/>
      </c>
      <c r="O211" s="15" t="str">
        <f aca="false">IF(N(M211)=0,"",_xlfn.MAXIFS(ENSAYOS!$G$5:$G$3004,ENSAYOS!$C$5:$C$3004,F211,ENSAYOS!$Q$5:$Q$3004,"&gt;0"))</f>
        <v/>
      </c>
      <c r="P211" s="16" t="str">
        <f aca="false">IF(N(M211)=0,"",AVERAGEIFS(ENSAYOS!$Q$5:$Q$3004,ENSAYOS!$C$5:$C$3004,F211,ENSAYOS!$Q$5:$Q$3004,"&gt;0"))</f>
        <v/>
      </c>
      <c r="Q211" s="16" t="str">
        <f aca="false">IF(N(M211)=0,"",_xlfn.MINIFS(ENSAYOS!$Q$5:$Q$3004,ENSAYOS!$C$5:$C$3004,F211,ENSAYOS!$Q$5:$Q$3004,"&gt;0"))</f>
        <v/>
      </c>
      <c r="R211" s="16" t="str">
        <f aca="false">IF(N(M211)=0,"",_xlfn.MAXIFS(ENSAYOS!$Q$5:$Q$3004,ENSAYOS!$C$5:$C$3004,F211,ENSAYOS!$Q$5:$Q$3004,"&gt;0"))</f>
        <v/>
      </c>
      <c r="S211" s="16" t="str">
        <f aca="false">IF(N(M211)&lt;2,"",SQRT(MAX(0,(SUMIFS(ENSAYOS!$X$5:$X$3004,ENSAYOS!$C$5:$C$3004,F211,ENSAYOS!$Q$5:$Q$3004,"&gt;0")-M211*P211^2)/(M211-1))))</f>
        <v/>
      </c>
      <c r="T211" s="17" t="str">
        <f aca="false">IF(S211="","",S211/P211)</f>
        <v/>
      </c>
      <c r="U211" s="16" t="str">
        <f aca="false">IF(N(M211)=0,"",IF(N211&gt;=CONFIG!$B$27,"",AVERAGEIFS(ENSAYOS!$Q$5:$Q$3004,ENSAYOS!$C$5:$C$3004,F211,ENSAYOS!$Q$5:$Q$3004,"&gt;0",ENSAYOS!$G$5:$G$3004,N211)))</f>
        <v/>
      </c>
      <c r="V211" s="16" t="str">
        <f aca="false">IF(N(M211)=0,"",IF(COUNTIFS(ENSAYOS!$C$5:$C$3004,F211,ENSAYOS!$Q$5:$Q$3004,"&gt;0",ENSAYOS!$G$5:$G$3004,"&gt;="&amp;CONFIG!$B$27)=0,"",AVERAGEIFS(ENSAYOS!$Q$5:$Q$3004,ENSAYOS!$C$5:$C$3004,F211,ENSAYOS!$Q$5:$Q$3004,"&gt;0",ENSAYOS!$G$5:$G$3004,"&gt;="&amp;CONFIG!$B$27)))</f>
        <v/>
      </c>
      <c r="W211" s="18" t="str">
        <f aca="false">IF(AND(U211&lt;&gt;"",V211&lt;&gt;""),U211/V211,"")</f>
        <v/>
      </c>
      <c r="X211" s="18" t="str">
        <f aca="false">IF(U211="","",INDEX('CURVA EDAD'!$E$5:$E$32,MIN(28,MAX(1,N211))))</f>
        <v/>
      </c>
      <c r="Y211" s="16" t="str">
        <f aca="false">IF(V211&lt;&gt;"",V211,IF(U211="","",U211/X211))</f>
        <v/>
      </c>
      <c r="Z211" s="16" t="str">
        <f aca="false">IF(V211&lt;&gt;"",_xlfn.MINIFS(ENSAYOS!$Q$5:$Q$3004,ENSAYOS!$C$5:$C$3004,F211,ENSAYOS!$Q$5:$Q$3004,"&gt;0",ENSAYOS!$G$5:$G$3004,"&gt;="&amp;CONFIG!$B$27),IF(U211="","",_xlfn.MINIFS(ENSAYOS!$Q$5:$Q$3004,ENSAYOS!$C$5:$C$3004,F211,ENSAYOS!$Q$5:$Q$3004,"&gt;0",ENSAYOS!$G$5:$G$3004,N211)/X211))</f>
        <v/>
      </c>
      <c r="AA211" s="16" t="str">
        <f aca="false">IF(D211="","",IFERROR(1/(1/INDEX(CONFIG!$J$5:$J$14,MATCH(D211,CONFIG!$D$5:$D$14,0))),""))</f>
        <v/>
      </c>
      <c r="AB211" s="16" t="str">
        <f aca="false">IF(D211="","",IFERROR(1/(1/INDEX(CONFIG!$K$5:$K$14,MATCH(D211,CONFIG!$D$5:$D$14,0))),""))</f>
        <v/>
      </c>
      <c r="AC211" s="19" t="str">
        <f aca="false">IF(N(M211)=0,"",IF(AA211="","Sin spec",IF(AND(Y211&gt;=AA211,OR(AB211="",Z211&gt;=AB211)),"CUMPLE","NO CUMPLE")&amp;IF(V211=""," (est.)","")))</f>
        <v/>
      </c>
      <c r="AD211" s="20" t="str">
        <f aca="false">IF(F211="","",IF(COUNTIFS(ABSORCION!$C$5:$C$1004,F211,ABSORCION!$I$5:$I$1004,"&gt;0")=0,"",AVERAGEIFS(ABSORCION!$I$5:$I$1004,ABSORCION!$C$5:$C$1004,F211,ABSORCION!$I$5:$I$1004,"&gt;0")))</f>
        <v/>
      </c>
      <c r="AE211" s="20" t="str">
        <f aca="false">IF(F211="","",IF(COUNTIFS(ABSORCION!$C$5:$C$1004,F211,ABSORCION!$I$5:$I$1004,"&gt;0")=0,"",AVERAGEIFS(ABSORCION!$K$5:$K$1004,ABSORCION!$C$5:$C$1004,F211,ABSORCION!$I$5:$I$1004,"&gt;0")))</f>
        <v/>
      </c>
      <c r="AF211" s="20" t="str">
        <f aca="false">IF(AE211="","",IF(AE211&gt;=CONFIG!$E$21,CONFIG!$F$21,IF(AE211&gt;=CONFIG!$E$20,CONFIG!$F$20,CONFIG!$F$19)))</f>
        <v/>
      </c>
      <c r="AG211" s="21" t="str">
        <f aca="false">IF(F211="","",TRIM(IF(N(M211)=0,"Sin ensayos. ","")&amp;IF(AND(N(M211)&gt;0,N(M211)&lt;CONFIG!$B$26),"Menos de "&amp;CONFIG!$B$26&amp;" probetas. ","")&amp;IF(N(T211)&gt;CONFIG!$B$25,"CV alto. ","")&amp;IF(AND(N(AD211)&gt;0,N(AD211)&gt;N(AF211)),"Absorción alta. ","")))</f>
        <v/>
      </c>
      <c r="AH211" s="22" t="str">
        <f aca="false">IF(AND(N(M211)&gt;0,OR(CONTROL!$C$4="TODAS",C211=CONTROL!$C$4),D211=CONTROL!$C$5),MAX($AH$4:AH210)+1,"")</f>
        <v/>
      </c>
      <c r="AI211" s="22" t="str">
        <f aca="false">IF(AH211="","",P211^2)</f>
        <v/>
      </c>
    </row>
    <row r="212" customFormat="false" ht="15" hidden="false" customHeight="false" outlineLevel="0" collapsed="false">
      <c r="A212" s="11" t="str">
        <f aca="false">IF(B212="","",ROW()-4)</f>
        <v/>
      </c>
      <c r="B212" s="12"/>
      <c r="C212" s="13"/>
      <c r="D212" s="13"/>
      <c r="E212" s="13"/>
      <c r="F212" s="14" t="str">
        <f aca="false">IF(OR(B212="",C212="",D212=""),"",IFERROR(INDEX(CONFIG!$E$5:$E$14,MATCH(D212,CONFIG!$D$5:$D$14,0)),"?")&amp;RIGHT("0"&amp;DAY(B212),2)&amp;RIGHT("0"&amp;MONTH(B212),2)&amp;RIGHT(YEAR(B212),2)&amp;C212&amp;IF(E212="","","-"&amp;E212))</f>
        <v/>
      </c>
      <c r="G212" s="13"/>
      <c r="H212" s="13"/>
      <c r="I212" s="13"/>
      <c r="J212" s="13"/>
      <c r="K212" s="13"/>
      <c r="L212" s="13"/>
      <c r="M212" s="11" t="str">
        <f aca="false">IF(F212="","",COUNTIFS(ENSAYOS!$C$5:$C$3004,F212,ENSAYOS!$Q$5:$Q$3004,"&gt;0"))</f>
        <v/>
      </c>
      <c r="N212" s="15" t="str">
        <f aca="false">IF(N(M212)=0,"",_xlfn.MINIFS(ENSAYOS!$G$5:$G$3004,ENSAYOS!$C$5:$C$3004,F212,ENSAYOS!$Q$5:$Q$3004,"&gt;0"))</f>
        <v/>
      </c>
      <c r="O212" s="15" t="str">
        <f aca="false">IF(N(M212)=0,"",_xlfn.MAXIFS(ENSAYOS!$G$5:$G$3004,ENSAYOS!$C$5:$C$3004,F212,ENSAYOS!$Q$5:$Q$3004,"&gt;0"))</f>
        <v/>
      </c>
      <c r="P212" s="16" t="str">
        <f aca="false">IF(N(M212)=0,"",AVERAGEIFS(ENSAYOS!$Q$5:$Q$3004,ENSAYOS!$C$5:$C$3004,F212,ENSAYOS!$Q$5:$Q$3004,"&gt;0"))</f>
        <v/>
      </c>
      <c r="Q212" s="16" t="str">
        <f aca="false">IF(N(M212)=0,"",_xlfn.MINIFS(ENSAYOS!$Q$5:$Q$3004,ENSAYOS!$C$5:$C$3004,F212,ENSAYOS!$Q$5:$Q$3004,"&gt;0"))</f>
        <v/>
      </c>
      <c r="R212" s="16" t="str">
        <f aca="false">IF(N(M212)=0,"",_xlfn.MAXIFS(ENSAYOS!$Q$5:$Q$3004,ENSAYOS!$C$5:$C$3004,F212,ENSAYOS!$Q$5:$Q$3004,"&gt;0"))</f>
        <v/>
      </c>
      <c r="S212" s="16" t="str">
        <f aca="false">IF(N(M212)&lt;2,"",SQRT(MAX(0,(SUMIFS(ENSAYOS!$X$5:$X$3004,ENSAYOS!$C$5:$C$3004,F212,ENSAYOS!$Q$5:$Q$3004,"&gt;0")-M212*P212^2)/(M212-1))))</f>
        <v/>
      </c>
      <c r="T212" s="17" t="str">
        <f aca="false">IF(S212="","",S212/P212)</f>
        <v/>
      </c>
      <c r="U212" s="16" t="str">
        <f aca="false">IF(N(M212)=0,"",IF(N212&gt;=CONFIG!$B$27,"",AVERAGEIFS(ENSAYOS!$Q$5:$Q$3004,ENSAYOS!$C$5:$C$3004,F212,ENSAYOS!$Q$5:$Q$3004,"&gt;0",ENSAYOS!$G$5:$G$3004,N212)))</f>
        <v/>
      </c>
      <c r="V212" s="16" t="str">
        <f aca="false">IF(N(M212)=0,"",IF(COUNTIFS(ENSAYOS!$C$5:$C$3004,F212,ENSAYOS!$Q$5:$Q$3004,"&gt;0",ENSAYOS!$G$5:$G$3004,"&gt;="&amp;CONFIG!$B$27)=0,"",AVERAGEIFS(ENSAYOS!$Q$5:$Q$3004,ENSAYOS!$C$5:$C$3004,F212,ENSAYOS!$Q$5:$Q$3004,"&gt;0",ENSAYOS!$G$5:$G$3004,"&gt;="&amp;CONFIG!$B$27)))</f>
        <v/>
      </c>
      <c r="W212" s="18" t="str">
        <f aca="false">IF(AND(U212&lt;&gt;"",V212&lt;&gt;""),U212/V212,"")</f>
        <v/>
      </c>
      <c r="X212" s="18" t="str">
        <f aca="false">IF(U212="","",INDEX('CURVA EDAD'!$E$5:$E$32,MIN(28,MAX(1,N212))))</f>
        <v/>
      </c>
      <c r="Y212" s="16" t="str">
        <f aca="false">IF(V212&lt;&gt;"",V212,IF(U212="","",U212/X212))</f>
        <v/>
      </c>
      <c r="Z212" s="16" t="str">
        <f aca="false">IF(V212&lt;&gt;"",_xlfn.MINIFS(ENSAYOS!$Q$5:$Q$3004,ENSAYOS!$C$5:$C$3004,F212,ENSAYOS!$Q$5:$Q$3004,"&gt;0",ENSAYOS!$G$5:$G$3004,"&gt;="&amp;CONFIG!$B$27),IF(U212="","",_xlfn.MINIFS(ENSAYOS!$Q$5:$Q$3004,ENSAYOS!$C$5:$C$3004,F212,ENSAYOS!$Q$5:$Q$3004,"&gt;0",ENSAYOS!$G$5:$G$3004,N212)/X212))</f>
        <v/>
      </c>
      <c r="AA212" s="16" t="str">
        <f aca="false">IF(D212="","",IFERROR(1/(1/INDEX(CONFIG!$J$5:$J$14,MATCH(D212,CONFIG!$D$5:$D$14,0))),""))</f>
        <v/>
      </c>
      <c r="AB212" s="16" t="str">
        <f aca="false">IF(D212="","",IFERROR(1/(1/INDEX(CONFIG!$K$5:$K$14,MATCH(D212,CONFIG!$D$5:$D$14,0))),""))</f>
        <v/>
      </c>
      <c r="AC212" s="19" t="str">
        <f aca="false">IF(N(M212)=0,"",IF(AA212="","Sin spec",IF(AND(Y212&gt;=AA212,OR(AB212="",Z212&gt;=AB212)),"CUMPLE","NO CUMPLE")&amp;IF(V212=""," (est.)","")))</f>
        <v/>
      </c>
      <c r="AD212" s="20" t="str">
        <f aca="false">IF(F212="","",IF(COUNTIFS(ABSORCION!$C$5:$C$1004,F212,ABSORCION!$I$5:$I$1004,"&gt;0")=0,"",AVERAGEIFS(ABSORCION!$I$5:$I$1004,ABSORCION!$C$5:$C$1004,F212,ABSORCION!$I$5:$I$1004,"&gt;0")))</f>
        <v/>
      </c>
      <c r="AE212" s="20" t="str">
        <f aca="false">IF(F212="","",IF(COUNTIFS(ABSORCION!$C$5:$C$1004,F212,ABSORCION!$I$5:$I$1004,"&gt;0")=0,"",AVERAGEIFS(ABSORCION!$K$5:$K$1004,ABSORCION!$C$5:$C$1004,F212,ABSORCION!$I$5:$I$1004,"&gt;0")))</f>
        <v/>
      </c>
      <c r="AF212" s="20" t="str">
        <f aca="false">IF(AE212="","",IF(AE212&gt;=CONFIG!$E$21,CONFIG!$F$21,IF(AE212&gt;=CONFIG!$E$20,CONFIG!$F$20,CONFIG!$F$19)))</f>
        <v/>
      </c>
      <c r="AG212" s="21" t="str">
        <f aca="false">IF(F212="","",TRIM(IF(N(M212)=0,"Sin ensayos. ","")&amp;IF(AND(N(M212)&gt;0,N(M212)&lt;CONFIG!$B$26),"Menos de "&amp;CONFIG!$B$26&amp;" probetas. ","")&amp;IF(N(T212)&gt;CONFIG!$B$25,"CV alto. ","")&amp;IF(AND(N(AD212)&gt;0,N(AD212)&gt;N(AF212)),"Absorción alta. ","")))</f>
        <v/>
      </c>
      <c r="AH212" s="22" t="str">
        <f aca="false">IF(AND(N(M212)&gt;0,OR(CONTROL!$C$4="TODAS",C212=CONTROL!$C$4),D212=CONTROL!$C$5),MAX($AH$4:AH211)+1,"")</f>
        <v/>
      </c>
      <c r="AI212" s="22" t="str">
        <f aca="false">IF(AH212="","",P212^2)</f>
        <v/>
      </c>
    </row>
    <row r="213" customFormat="false" ht="15" hidden="false" customHeight="false" outlineLevel="0" collapsed="false">
      <c r="A213" s="11" t="str">
        <f aca="false">IF(B213="","",ROW()-4)</f>
        <v/>
      </c>
      <c r="B213" s="12"/>
      <c r="C213" s="13"/>
      <c r="D213" s="13"/>
      <c r="E213" s="13"/>
      <c r="F213" s="14" t="str">
        <f aca="false">IF(OR(B213="",C213="",D213=""),"",IFERROR(INDEX(CONFIG!$E$5:$E$14,MATCH(D213,CONFIG!$D$5:$D$14,0)),"?")&amp;RIGHT("0"&amp;DAY(B213),2)&amp;RIGHT("0"&amp;MONTH(B213),2)&amp;RIGHT(YEAR(B213),2)&amp;C213&amp;IF(E213="","","-"&amp;E213))</f>
        <v/>
      </c>
      <c r="G213" s="13"/>
      <c r="H213" s="13"/>
      <c r="I213" s="13"/>
      <c r="J213" s="13"/>
      <c r="K213" s="13"/>
      <c r="L213" s="13"/>
      <c r="M213" s="11" t="str">
        <f aca="false">IF(F213="","",COUNTIFS(ENSAYOS!$C$5:$C$3004,F213,ENSAYOS!$Q$5:$Q$3004,"&gt;0"))</f>
        <v/>
      </c>
      <c r="N213" s="15" t="str">
        <f aca="false">IF(N(M213)=0,"",_xlfn.MINIFS(ENSAYOS!$G$5:$G$3004,ENSAYOS!$C$5:$C$3004,F213,ENSAYOS!$Q$5:$Q$3004,"&gt;0"))</f>
        <v/>
      </c>
      <c r="O213" s="15" t="str">
        <f aca="false">IF(N(M213)=0,"",_xlfn.MAXIFS(ENSAYOS!$G$5:$G$3004,ENSAYOS!$C$5:$C$3004,F213,ENSAYOS!$Q$5:$Q$3004,"&gt;0"))</f>
        <v/>
      </c>
      <c r="P213" s="16" t="str">
        <f aca="false">IF(N(M213)=0,"",AVERAGEIFS(ENSAYOS!$Q$5:$Q$3004,ENSAYOS!$C$5:$C$3004,F213,ENSAYOS!$Q$5:$Q$3004,"&gt;0"))</f>
        <v/>
      </c>
      <c r="Q213" s="16" t="str">
        <f aca="false">IF(N(M213)=0,"",_xlfn.MINIFS(ENSAYOS!$Q$5:$Q$3004,ENSAYOS!$C$5:$C$3004,F213,ENSAYOS!$Q$5:$Q$3004,"&gt;0"))</f>
        <v/>
      </c>
      <c r="R213" s="16" t="str">
        <f aca="false">IF(N(M213)=0,"",_xlfn.MAXIFS(ENSAYOS!$Q$5:$Q$3004,ENSAYOS!$C$5:$C$3004,F213,ENSAYOS!$Q$5:$Q$3004,"&gt;0"))</f>
        <v/>
      </c>
      <c r="S213" s="16" t="str">
        <f aca="false">IF(N(M213)&lt;2,"",SQRT(MAX(0,(SUMIFS(ENSAYOS!$X$5:$X$3004,ENSAYOS!$C$5:$C$3004,F213,ENSAYOS!$Q$5:$Q$3004,"&gt;0")-M213*P213^2)/(M213-1))))</f>
        <v/>
      </c>
      <c r="T213" s="17" t="str">
        <f aca="false">IF(S213="","",S213/P213)</f>
        <v/>
      </c>
      <c r="U213" s="16" t="str">
        <f aca="false">IF(N(M213)=0,"",IF(N213&gt;=CONFIG!$B$27,"",AVERAGEIFS(ENSAYOS!$Q$5:$Q$3004,ENSAYOS!$C$5:$C$3004,F213,ENSAYOS!$Q$5:$Q$3004,"&gt;0",ENSAYOS!$G$5:$G$3004,N213)))</f>
        <v/>
      </c>
      <c r="V213" s="16" t="str">
        <f aca="false">IF(N(M213)=0,"",IF(COUNTIFS(ENSAYOS!$C$5:$C$3004,F213,ENSAYOS!$Q$5:$Q$3004,"&gt;0",ENSAYOS!$G$5:$G$3004,"&gt;="&amp;CONFIG!$B$27)=0,"",AVERAGEIFS(ENSAYOS!$Q$5:$Q$3004,ENSAYOS!$C$5:$C$3004,F213,ENSAYOS!$Q$5:$Q$3004,"&gt;0",ENSAYOS!$G$5:$G$3004,"&gt;="&amp;CONFIG!$B$27)))</f>
        <v/>
      </c>
      <c r="W213" s="18" t="str">
        <f aca="false">IF(AND(U213&lt;&gt;"",V213&lt;&gt;""),U213/V213,"")</f>
        <v/>
      </c>
      <c r="X213" s="18" t="str">
        <f aca="false">IF(U213="","",INDEX('CURVA EDAD'!$E$5:$E$32,MIN(28,MAX(1,N213))))</f>
        <v/>
      </c>
      <c r="Y213" s="16" t="str">
        <f aca="false">IF(V213&lt;&gt;"",V213,IF(U213="","",U213/X213))</f>
        <v/>
      </c>
      <c r="Z213" s="16" t="str">
        <f aca="false">IF(V213&lt;&gt;"",_xlfn.MINIFS(ENSAYOS!$Q$5:$Q$3004,ENSAYOS!$C$5:$C$3004,F213,ENSAYOS!$Q$5:$Q$3004,"&gt;0",ENSAYOS!$G$5:$G$3004,"&gt;="&amp;CONFIG!$B$27),IF(U213="","",_xlfn.MINIFS(ENSAYOS!$Q$5:$Q$3004,ENSAYOS!$C$5:$C$3004,F213,ENSAYOS!$Q$5:$Q$3004,"&gt;0",ENSAYOS!$G$5:$G$3004,N213)/X213))</f>
        <v/>
      </c>
      <c r="AA213" s="16" t="str">
        <f aca="false">IF(D213="","",IFERROR(1/(1/INDEX(CONFIG!$J$5:$J$14,MATCH(D213,CONFIG!$D$5:$D$14,0))),""))</f>
        <v/>
      </c>
      <c r="AB213" s="16" t="str">
        <f aca="false">IF(D213="","",IFERROR(1/(1/INDEX(CONFIG!$K$5:$K$14,MATCH(D213,CONFIG!$D$5:$D$14,0))),""))</f>
        <v/>
      </c>
      <c r="AC213" s="19" t="str">
        <f aca="false">IF(N(M213)=0,"",IF(AA213="","Sin spec",IF(AND(Y213&gt;=AA213,OR(AB213="",Z213&gt;=AB213)),"CUMPLE","NO CUMPLE")&amp;IF(V213=""," (est.)","")))</f>
        <v/>
      </c>
      <c r="AD213" s="20" t="str">
        <f aca="false">IF(F213="","",IF(COUNTIFS(ABSORCION!$C$5:$C$1004,F213,ABSORCION!$I$5:$I$1004,"&gt;0")=0,"",AVERAGEIFS(ABSORCION!$I$5:$I$1004,ABSORCION!$C$5:$C$1004,F213,ABSORCION!$I$5:$I$1004,"&gt;0")))</f>
        <v/>
      </c>
      <c r="AE213" s="20" t="str">
        <f aca="false">IF(F213="","",IF(COUNTIFS(ABSORCION!$C$5:$C$1004,F213,ABSORCION!$I$5:$I$1004,"&gt;0")=0,"",AVERAGEIFS(ABSORCION!$K$5:$K$1004,ABSORCION!$C$5:$C$1004,F213,ABSORCION!$I$5:$I$1004,"&gt;0")))</f>
        <v/>
      </c>
      <c r="AF213" s="20" t="str">
        <f aca="false">IF(AE213="","",IF(AE213&gt;=CONFIG!$E$21,CONFIG!$F$21,IF(AE213&gt;=CONFIG!$E$20,CONFIG!$F$20,CONFIG!$F$19)))</f>
        <v/>
      </c>
      <c r="AG213" s="21" t="str">
        <f aca="false">IF(F213="","",TRIM(IF(N(M213)=0,"Sin ensayos. ","")&amp;IF(AND(N(M213)&gt;0,N(M213)&lt;CONFIG!$B$26),"Menos de "&amp;CONFIG!$B$26&amp;" probetas. ","")&amp;IF(N(T213)&gt;CONFIG!$B$25,"CV alto. ","")&amp;IF(AND(N(AD213)&gt;0,N(AD213)&gt;N(AF213)),"Absorción alta. ","")))</f>
        <v/>
      </c>
      <c r="AH213" s="22" t="str">
        <f aca="false">IF(AND(N(M213)&gt;0,OR(CONTROL!$C$4="TODAS",C213=CONTROL!$C$4),D213=CONTROL!$C$5),MAX($AH$4:AH212)+1,"")</f>
        <v/>
      </c>
      <c r="AI213" s="22" t="str">
        <f aca="false">IF(AH213="","",P213^2)</f>
        <v/>
      </c>
    </row>
    <row r="214" customFormat="false" ht="15" hidden="false" customHeight="false" outlineLevel="0" collapsed="false">
      <c r="A214" s="11" t="str">
        <f aca="false">IF(B214="","",ROW()-4)</f>
        <v/>
      </c>
      <c r="B214" s="12"/>
      <c r="C214" s="13"/>
      <c r="D214" s="13"/>
      <c r="E214" s="13"/>
      <c r="F214" s="14" t="str">
        <f aca="false">IF(OR(B214="",C214="",D214=""),"",IFERROR(INDEX(CONFIG!$E$5:$E$14,MATCH(D214,CONFIG!$D$5:$D$14,0)),"?")&amp;RIGHT("0"&amp;DAY(B214),2)&amp;RIGHT("0"&amp;MONTH(B214),2)&amp;RIGHT(YEAR(B214),2)&amp;C214&amp;IF(E214="","","-"&amp;E214))</f>
        <v/>
      </c>
      <c r="G214" s="13"/>
      <c r="H214" s="13"/>
      <c r="I214" s="13"/>
      <c r="J214" s="13"/>
      <c r="K214" s="13"/>
      <c r="L214" s="13"/>
      <c r="M214" s="11" t="str">
        <f aca="false">IF(F214="","",COUNTIFS(ENSAYOS!$C$5:$C$3004,F214,ENSAYOS!$Q$5:$Q$3004,"&gt;0"))</f>
        <v/>
      </c>
      <c r="N214" s="15" t="str">
        <f aca="false">IF(N(M214)=0,"",_xlfn.MINIFS(ENSAYOS!$G$5:$G$3004,ENSAYOS!$C$5:$C$3004,F214,ENSAYOS!$Q$5:$Q$3004,"&gt;0"))</f>
        <v/>
      </c>
      <c r="O214" s="15" t="str">
        <f aca="false">IF(N(M214)=0,"",_xlfn.MAXIFS(ENSAYOS!$G$5:$G$3004,ENSAYOS!$C$5:$C$3004,F214,ENSAYOS!$Q$5:$Q$3004,"&gt;0"))</f>
        <v/>
      </c>
      <c r="P214" s="16" t="str">
        <f aca="false">IF(N(M214)=0,"",AVERAGEIFS(ENSAYOS!$Q$5:$Q$3004,ENSAYOS!$C$5:$C$3004,F214,ENSAYOS!$Q$5:$Q$3004,"&gt;0"))</f>
        <v/>
      </c>
      <c r="Q214" s="16" t="str">
        <f aca="false">IF(N(M214)=0,"",_xlfn.MINIFS(ENSAYOS!$Q$5:$Q$3004,ENSAYOS!$C$5:$C$3004,F214,ENSAYOS!$Q$5:$Q$3004,"&gt;0"))</f>
        <v/>
      </c>
      <c r="R214" s="16" t="str">
        <f aca="false">IF(N(M214)=0,"",_xlfn.MAXIFS(ENSAYOS!$Q$5:$Q$3004,ENSAYOS!$C$5:$C$3004,F214,ENSAYOS!$Q$5:$Q$3004,"&gt;0"))</f>
        <v/>
      </c>
      <c r="S214" s="16" t="str">
        <f aca="false">IF(N(M214)&lt;2,"",SQRT(MAX(0,(SUMIFS(ENSAYOS!$X$5:$X$3004,ENSAYOS!$C$5:$C$3004,F214,ENSAYOS!$Q$5:$Q$3004,"&gt;0")-M214*P214^2)/(M214-1))))</f>
        <v/>
      </c>
      <c r="T214" s="17" t="str">
        <f aca="false">IF(S214="","",S214/P214)</f>
        <v/>
      </c>
      <c r="U214" s="16" t="str">
        <f aca="false">IF(N(M214)=0,"",IF(N214&gt;=CONFIG!$B$27,"",AVERAGEIFS(ENSAYOS!$Q$5:$Q$3004,ENSAYOS!$C$5:$C$3004,F214,ENSAYOS!$Q$5:$Q$3004,"&gt;0",ENSAYOS!$G$5:$G$3004,N214)))</f>
        <v/>
      </c>
      <c r="V214" s="16" t="str">
        <f aca="false">IF(N(M214)=0,"",IF(COUNTIFS(ENSAYOS!$C$5:$C$3004,F214,ENSAYOS!$Q$5:$Q$3004,"&gt;0",ENSAYOS!$G$5:$G$3004,"&gt;="&amp;CONFIG!$B$27)=0,"",AVERAGEIFS(ENSAYOS!$Q$5:$Q$3004,ENSAYOS!$C$5:$C$3004,F214,ENSAYOS!$Q$5:$Q$3004,"&gt;0",ENSAYOS!$G$5:$G$3004,"&gt;="&amp;CONFIG!$B$27)))</f>
        <v/>
      </c>
      <c r="W214" s="18" t="str">
        <f aca="false">IF(AND(U214&lt;&gt;"",V214&lt;&gt;""),U214/V214,"")</f>
        <v/>
      </c>
      <c r="X214" s="18" t="str">
        <f aca="false">IF(U214="","",INDEX('CURVA EDAD'!$E$5:$E$32,MIN(28,MAX(1,N214))))</f>
        <v/>
      </c>
      <c r="Y214" s="16" t="str">
        <f aca="false">IF(V214&lt;&gt;"",V214,IF(U214="","",U214/X214))</f>
        <v/>
      </c>
      <c r="Z214" s="16" t="str">
        <f aca="false">IF(V214&lt;&gt;"",_xlfn.MINIFS(ENSAYOS!$Q$5:$Q$3004,ENSAYOS!$C$5:$C$3004,F214,ENSAYOS!$Q$5:$Q$3004,"&gt;0",ENSAYOS!$G$5:$G$3004,"&gt;="&amp;CONFIG!$B$27),IF(U214="","",_xlfn.MINIFS(ENSAYOS!$Q$5:$Q$3004,ENSAYOS!$C$5:$C$3004,F214,ENSAYOS!$Q$5:$Q$3004,"&gt;0",ENSAYOS!$G$5:$G$3004,N214)/X214))</f>
        <v/>
      </c>
      <c r="AA214" s="16" t="str">
        <f aca="false">IF(D214="","",IFERROR(1/(1/INDEX(CONFIG!$J$5:$J$14,MATCH(D214,CONFIG!$D$5:$D$14,0))),""))</f>
        <v/>
      </c>
      <c r="AB214" s="16" t="str">
        <f aca="false">IF(D214="","",IFERROR(1/(1/INDEX(CONFIG!$K$5:$K$14,MATCH(D214,CONFIG!$D$5:$D$14,0))),""))</f>
        <v/>
      </c>
      <c r="AC214" s="19" t="str">
        <f aca="false">IF(N(M214)=0,"",IF(AA214="","Sin spec",IF(AND(Y214&gt;=AA214,OR(AB214="",Z214&gt;=AB214)),"CUMPLE","NO CUMPLE")&amp;IF(V214=""," (est.)","")))</f>
        <v/>
      </c>
      <c r="AD214" s="20" t="str">
        <f aca="false">IF(F214="","",IF(COUNTIFS(ABSORCION!$C$5:$C$1004,F214,ABSORCION!$I$5:$I$1004,"&gt;0")=0,"",AVERAGEIFS(ABSORCION!$I$5:$I$1004,ABSORCION!$C$5:$C$1004,F214,ABSORCION!$I$5:$I$1004,"&gt;0")))</f>
        <v/>
      </c>
      <c r="AE214" s="20" t="str">
        <f aca="false">IF(F214="","",IF(COUNTIFS(ABSORCION!$C$5:$C$1004,F214,ABSORCION!$I$5:$I$1004,"&gt;0")=0,"",AVERAGEIFS(ABSORCION!$K$5:$K$1004,ABSORCION!$C$5:$C$1004,F214,ABSORCION!$I$5:$I$1004,"&gt;0")))</f>
        <v/>
      </c>
      <c r="AF214" s="20" t="str">
        <f aca="false">IF(AE214="","",IF(AE214&gt;=CONFIG!$E$21,CONFIG!$F$21,IF(AE214&gt;=CONFIG!$E$20,CONFIG!$F$20,CONFIG!$F$19)))</f>
        <v/>
      </c>
      <c r="AG214" s="21" t="str">
        <f aca="false">IF(F214="","",TRIM(IF(N(M214)=0,"Sin ensayos. ","")&amp;IF(AND(N(M214)&gt;0,N(M214)&lt;CONFIG!$B$26),"Menos de "&amp;CONFIG!$B$26&amp;" probetas. ","")&amp;IF(N(T214)&gt;CONFIG!$B$25,"CV alto. ","")&amp;IF(AND(N(AD214)&gt;0,N(AD214)&gt;N(AF214)),"Absorción alta. ","")))</f>
        <v/>
      </c>
      <c r="AH214" s="22" t="str">
        <f aca="false">IF(AND(N(M214)&gt;0,OR(CONTROL!$C$4="TODAS",C214=CONTROL!$C$4),D214=CONTROL!$C$5),MAX($AH$4:AH213)+1,"")</f>
        <v/>
      </c>
      <c r="AI214" s="22" t="str">
        <f aca="false">IF(AH214="","",P214^2)</f>
        <v/>
      </c>
    </row>
    <row r="215" customFormat="false" ht="15" hidden="false" customHeight="false" outlineLevel="0" collapsed="false">
      <c r="A215" s="11" t="str">
        <f aca="false">IF(B215="","",ROW()-4)</f>
        <v/>
      </c>
      <c r="B215" s="12"/>
      <c r="C215" s="13"/>
      <c r="D215" s="13"/>
      <c r="E215" s="13"/>
      <c r="F215" s="14" t="str">
        <f aca="false">IF(OR(B215="",C215="",D215=""),"",IFERROR(INDEX(CONFIG!$E$5:$E$14,MATCH(D215,CONFIG!$D$5:$D$14,0)),"?")&amp;RIGHT("0"&amp;DAY(B215),2)&amp;RIGHT("0"&amp;MONTH(B215),2)&amp;RIGHT(YEAR(B215),2)&amp;C215&amp;IF(E215="","","-"&amp;E215))</f>
        <v/>
      </c>
      <c r="G215" s="13"/>
      <c r="H215" s="13"/>
      <c r="I215" s="13"/>
      <c r="J215" s="13"/>
      <c r="K215" s="13"/>
      <c r="L215" s="13"/>
      <c r="M215" s="11" t="str">
        <f aca="false">IF(F215="","",COUNTIFS(ENSAYOS!$C$5:$C$3004,F215,ENSAYOS!$Q$5:$Q$3004,"&gt;0"))</f>
        <v/>
      </c>
      <c r="N215" s="15" t="str">
        <f aca="false">IF(N(M215)=0,"",_xlfn.MINIFS(ENSAYOS!$G$5:$G$3004,ENSAYOS!$C$5:$C$3004,F215,ENSAYOS!$Q$5:$Q$3004,"&gt;0"))</f>
        <v/>
      </c>
      <c r="O215" s="15" t="str">
        <f aca="false">IF(N(M215)=0,"",_xlfn.MAXIFS(ENSAYOS!$G$5:$G$3004,ENSAYOS!$C$5:$C$3004,F215,ENSAYOS!$Q$5:$Q$3004,"&gt;0"))</f>
        <v/>
      </c>
      <c r="P215" s="16" t="str">
        <f aca="false">IF(N(M215)=0,"",AVERAGEIFS(ENSAYOS!$Q$5:$Q$3004,ENSAYOS!$C$5:$C$3004,F215,ENSAYOS!$Q$5:$Q$3004,"&gt;0"))</f>
        <v/>
      </c>
      <c r="Q215" s="16" t="str">
        <f aca="false">IF(N(M215)=0,"",_xlfn.MINIFS(ENSAYOS!$Q$5:$Q$3004,ENSAYOS!$C$5:$C$3004,F215,ENSAYOS!$Q$5:$Q$3004,"&gt;0"))</f>
        <v/>
      </c>
      <c r="R215" s="16" t="str">
        <f aca="false">IF(N(M215)=0,"",_xlfn.MAXIFS(ENSAYOS!$Q$5:$Q$3004,ENSAYOS!$C$5:$C$3004,F215,ENSAYOS!$Q$5:$Q$3004,"&gt;0"))</f>
        <v/>
      </c>
      <c r="S215" s="16" t="str">
        <f aca="false">IF(N(M215)&lt;2,"",SQRT(MAX(0,(SUMIFS(ENSAYOS!$X$5:$X$3004,ENSAYOS!$C$5:$C$3004,F215,ENSAYOS!$Q$5:$Q$3004,"&gt;0")-M215*P215^2)/(M215-1))))</f>
        <v/>
      </c>
      <c r="T215" s="17" t="str">
        <f aca="false">IF(S215="","",S215/P215)</f>
        <v/>
      </c>
      <c r="U215" s="16" t="str">
        <f aca="false">IF(N(M215)=0,"",IF(N215&gt;=CONFIG!$B$27,"",AVERAGEIFS(ENSAYOS!$Q$5:$Q$3004,ENSAYOS!$C$5:$C$3004,F215,ENSAYOS!$Q$5:$Q$3004,"&gt;0",ENSAYOS!$G$5:$G$3004,N215)))</f>
        <v/>
      </c>
      <c r="V215" s="16" t="str">
        <f aca="false">IF(N(M215)=0,"",IF(COUNTIFS(ENSAYOS!$C$5:$C$3004,F215,ENSAYOS!$Q$5:$Q$3004,"&gt;0",ENSAYOS!$G$5:$G$3004,"&gt;="&amp;CONFIG!$B$27)=0,"",AVERAGEIFS(ENSAYOS!$Q$5:$Q$3004,ENSAYOS!$C$5:$C$3004,F215,ENSAYOS!$Q$5:$Q$3004,"&gt;0",ENSAYOS!$G$5:$G$3004,"&gt;="&amp;CONFIG!$B$27)))</f>
        <v/>
      </c>
      <c r="W215" s="18" t="str">
        <f aca="false">IF(AND(U215&lt;&gt;"",V215&lt;&gt;""),U215/V215,"")</f>
        <v/>
      </c>
      <c r="X215" s="18" t="str">
        <f aca="false">IF(U215="","",INDEX('CURVA EDAD'!$E$5:$E$32,MIN(28,MAX(1,N215))))</f>
        <v/>
      </c>
      <c r="Y215" s="16" t="str">
        <f aca="false">IF(V215&lt;&gt;"",V215,IF(U215="","",U215/X215))</f>
        <v/>
      </c>
      <c r="Z215" s="16" t="str">
        <f aca="false">IF(V215&lt;&gt;"",_xlfn.MINIFS(ENSAYOS!$Q$5:$Q$3004,ENSAYOS!$C$5:$C$3004,F215,ENSAYOS!$Q$5:$Q$3004,"&gt;0",ENSAYOS!$G$5:$G$3004,"&gt;="&amp;CONFIG!$B$27),IF(U215="","",_xlfn.MINIFS(ENSAYOS!$Q$5:$Q$3004,ENSAYOS!$C$5:$C$3004,F215,ENSAYOS!$Q$5:$Q$3004,"&gt;0",ENSAYOS!$G$5:$G$3004,N215)/X215))</f>
        <v/>
      </c>
      <c r="AA215" s="16" t="str">
        <f aca="false">IF(D215="","",IFERROR(1/(1/INDEX(CONFIG!$J$5:$J$14,MATCH(D215,CONFIG!$D$5:$D$14,0))),""))</f>
        <v/>
      </c>
      <c r="AB215" s="16" t="str">
        <f aca="false">IF(D215="","",IFERROR(1/(1/INDEX(CONFIG!$K$5:$K$14,MATCH(D215,CONFIG!$D$5:$D$14,0))),""))</f>
        <v/>
      </c>
      <c r="AC215" s="19" t="str">
        <f aca="false">IF(N(M215)=0,"",IF(AA215="","Sin spec",IF(AND(Y215&gt;=AA215,OR(AB215="",Z215&gt;=AB215)),"CUMPLE","NO CUMPLE")&amp;IF(V215=""," (est.)","")))</f>
        <v/>
      </c>
      <c r="AD215" s="20" t="str">
        <f aca="false">IF(F215="","",IF(COUNTIFS(ABSORCION!$C$5:$C$1004,F215,ABSORCION!$I$5:$I$1004,"&gt;0")=0,"",AVERAGEIFS(ABSORCION!$I$5:$I$1004,ABSORCION!$C$5:$C$1004,F215,ABSORCION!$I$5:$I$1004,"&gt;0")))</f>
        <v/>
      </c>
      <c r="AE215" s="20" t="str">
        <f aca="false">IF(F215="","",IF(COUNTIFS(ABSORCION!$C$5:$C$1004,F215,ABSORCION!$I$5:$I$1004,"&gt;0")=0,"",AVERAGEIFS(ABSORCION!$K$5:$K$1004,ABSORCION!$C$5:$C$1004,F215,ABSORCION!$I$5:$I$1004,"&gt;0")))</f>
        <v/>
      </c>
      <c r="AF215" s="20" t="str">
        <f aca="false">IF(AE215="","",IF(AE215&gt;=CONFIG!$E$21,CONFIG!$F$21,IF(AE215&gt;=CONFIG!$E$20,CONFIG!$F$20,CONFIG!$F$19)))</f>
        <v/>
      </c>
      <c r="AG215" s="21" t="str">
        <f aca="false">IF(F215="","",TRIM(IF(N(M215)=0,"Sin ensayos. ","")&amp;IF(AND(N(M215)&gt;0,N(M215)&lt;CONFIG!$B$26),"Menos de "&amp;CONFIG!$B$26&amp;" probetas. ","")&amp;IF(N(T215)&gt;CONFIG!$B$25,"CV alto. ","")&amp;IF(AND(N(AD215)&gt;0,N(AD215)&gt;N(AF215)),"Absorción alta. ","")))</f>
        <v/>
      </c>
      <c r="AH215" s="22" t="str">
        <f aca="false">IF(AND(N(M215)&gt;0,OR(CONTROL!$C$4="TODAS",C215=CONTROL!$C$4),D215=CONTROL!$C$5),MAX($AH$4:AH214)+1,"")</f>
        <v/>
      </c>
      <c r="AI215" s="22" t="str">
        <f aca="false">IF(AH215="","",P215^2)</f>
        <v/>
      </c>
    </row>
    <row r="216" customFormat="false" ht="15" hidden="false" customHeight="false" outlineLevel="0" collapsed="false">
      <c r="A216" s="11" t="str">
        <f aca="false">IF(B216="","",ROW()-4)</f>
        <v/>
      </c>
      <c r="B216" s="12"/>
      <c r="C216" s="13"/>
      <c r="D216" s="13"/>
      <c r="E216" s="13"/>
      <c r="F216" s="14" t="str">
        <f aca="false">IF(OR(B216="",C216="",D216=""),"",IFERROR(INDEX(CONFIG!$E$5:$E$14,MATCH(D216,CONFIG!$D$5:$D$14,0)),"?")&amp;RIGHT("0"&amp;DAY(B216),2)&amp;RIGHT("0"&amp;MONTH(B216),2)&amp;RIGHT(YEAR(B216),2)&amp;C216&amp;IF(E216="","","-"&amp;E216))</f>
        <v/>
      </c>
      <c r="G216" s="13"/>
      <c r="H216" s="13"/>
      <c r="I216" s="13"/>
      <c r="J216" s="13"/>
      <c r="K216" s="13"/>
      <c r="L216" s="13"/>
      <c r="M216" s="11" t="str">
        <f aca="false">IF(F216="","",COUNTIFS(ENSAYOS!$C$5:$C$3004,F216,ENSAYOS!$Q$5:$Q$3004,"&gt;0"))</f>
        <v/>
      </c>
      <c r="N216" s="15" t="str">
        <f aca="false">IF(N(M216)=0,"",_xlfn.MINIFS(ENSAYOS!$G$5:$G$3004,ENSAYOS!$C$5:$C$3004,F216,ENSAYOS!$Q$5:$Q$3004,"&gt;0"))</f>
        <v/>
      </c>
      <c r="O216" s="15" t="str">
        <f aca="false">IF(N(M216)=0,"",_xlfn.MAXIFS(ENSAYOS!$G$5:$G$3004,ENSAYOS!$C$5:$C$3004,F216,ENSAYOS!$Q$5:$Q$3004,"&gt;0"))</f>
        <v/>
      </c>
      <c r="P216" s="16" t="str">
        <f aca="false">IF(N(M216)=0,"",AVERAGEIFS(ENSAYOS!$Q$5:$Q$3004,ENSAYOS!$C$5:$C$3004,F216,ENSAYOS!$Q$5:$Q$3004,"&gt;0"))</f>
        <v/>
      </c>
      <c r="Q216" s="16" t="str">
        <f aca="false">IF(N(M216)=0,"",_xlfn.MINIFS(ENSAYOS!$Q$5:$Q$3004,ENSAYOS!$C$5:$C$3004,F216,ENSAYOS!$Q$5:$Q$3004,"&gt;0"))</f>
        <v/>
      </c>
      <c r="R216" s="16" t="str">
        <f aca="false">IF(N(M216)=0,"",_xlfn.MAXIFS(ENSAYOS!$Q$5:$Q$3004,ENSAYOS!$C$5:$C$3004,F216,ENSAYOS!$Q$5:$Q$3004,"&gt;0"))</f>
        <v/>
      </c>
      <c r="S216" s="16" t="str">
        <f aca="false">IF(N(M216)&lt;2,"",SQRT(MAX(0,(SUMIFS(ENSAYOS!$X$5:$X$3004,ENSAYOS!$C$5:$C$3004,F216,ENSAYOS!$Q$5:$Q$3004,"&gt;0")-M216*P216^2)/(M216-1))))</f>
        <v/>
      </c>
      <c r="T216" s="17" t="str">
        <f aca="false">IF(S216="","",S216/P216)</f>
        <v/>
      </c>
      <c r="U216" s="16" t="str">
        <f aca="false">IF(N(M216)=0,"",IF(N216&gt;=CONFIG!$B$27,"",AVERAGEIFS(ENSAYOS!$Q$5:$Q$3004,ENSAYOS!$C$5:$C$3004,F216,ENSAYOS!$Q$5:$Q$3004,"&gt;0",ENSAYOS!$G$5:$G$3004,N216)))</f>
        <v/>
      </c>
      <c r="V216" s="16" t="str">
        <f aca="false">IF(N(M216)=0,"",IF(COUNTIFS(ENSAYOS!$C$5:$C$3004,F216,ENSAYOS!$Q$5:$Q$3004,"&gt;0",ENSAYOS!$G$5:$G$3004,"&gt;="&amp;CONFIG!$B$27)=0,"",AVERAGEIFS(ENSAYOS!$Q$5:$Q$3004,ENSAYOS!$C$5:$C$3004,F216,ENSAYOS!$Q$5:$Q$3004,"&gt;0",ENSAYOS!$G$5:$G$3004,"&gt;="&amp;CONFIG!$B$27)))</f>
        <v/>
      </c>
      <c r="W216" s="18" t="str">
        <f aca="false">IF(AND(U216&lt;&gt;"",V216&lt;&gt;""),U216/V216,"")</f>
        <v/>
      </c>
      <c r="X216" s="18" t="str">
        <f aca="false">IF(U216="","",INDEX('CURVA EDAD'!$E$5:$E$32,MIN(28,MAX(1,N216))))</f>
        <v/>
      </c>
      <c r="Y216" s="16" t="str">
        <f aca="false">IF(V216&lt;&gt;"",V216,IF(U216="","",U216/X216))</f>
        <v/>
      </c>
      <c r="Z216" s="16" t="str">
        <f aca="false">IF(V216&lt;&gt;"",_xlfn.MINIFS(ENSAYOS!$Q$5:$Q$3004,ENSAYOS!$C$5:$C$3004,F216,ENSAYOS!$Q$5:$Q$3004,"&gt;0",ENSAYOS!$G$5:$G$3004,"&gt;="&amp;CONFIG!$B$27),IF(U216="","",_xlfn.MINIFS(ENSAYOS!$Q$5:$Q$3004,ENSAYOS!$C$5:$C$3004,F216,ENSAYOS!$Q$5:$Q$3004,"&gt;0",ENSAYOS!$G$5:$G$3004,N216)/X216))</f>
        <v/>
      </c>
      <c r="AA216" s="16" t="str">
        <f aca="false">IF(D216="","",IFERROR(1/(1/INDEX(CONFIG!$J$5:$J$14,MATCH(D216,CONFIG!$D$5:$D$14,0))),""))</f>
        <v/>
      </c>
      <c r="AB216" s="16" t="str">
        <f aca="false">IF(D216="","",IFERROR(1/(1/INDEX(CONFIG!$K$5:$K$14,MATCH(D216,CONFIG!$D$5:$D$14,0))),""))</f>
        <v/>
      </c>
      <c r="AC216" s="19" t="str">
        <f aca="false">IF(N(M216)=0,"",IF(AA216="","Sin spec",IF(AND(Y216&gt;=AA216,OR(AB216="",Z216&gt;=AB216)),"CUMPLE","NO CUMPLE")&amp;IF(V216=""," (est.)","")))</f>
        <v/>
      </c>
      <c r="AD216" s="20" t="str">
        <f aca="false">IF(F216="","",IF(COUNTIFS(ABSORCION!$C$5:$C$1004,F216,ABSORCION!$I$5:$I$1004,"&gt;0")=0,"",AVERAGEIFS(ABSORCION!$I$5:$I$1004,ABSORCION!$C$5:$C$1004,F216,ABSORCION!$I$5:$I$1004,"&gt;0")))</f>
        <v/>
      </c>
      <c r="AE216" s="20" t="str">
        <f aca="false">IF(F216="","",IF(COUNTIFS(ABSORCION!$C$5:$C$1004,F216,ABSORCION!$I$5:$I$1004,"&gt;0")=0,"",AVERAGEIFS(ABSORCION!$K$5:$K$1004,ABSORCION!$C$5:$C$1004,F216,ABSORCION!$I$5:$I$1004,"&gt;0")))</f>
        <v/>
      </c>
      <c r="AF216" s="20" t="str">
        <f aca="false">IF(AE216="","",IF(AE216&gt;=CONFIG!$E$21,CONFIG!$F$21,IF(AE216&gt;=CONFIG!$E$20,CONFIG!$F$20,CONFIG!$F$19)))</f>
        <v/>
      </c>
      <c r="AG216" s="21" t="str">
        <f aca="false">IF(F216="","",TRIM(IF(N(M216)=0,"Sin ensayos. ","")&amp;IF(AND(N(M216)&gt;0,N(M216)&lt;CONFIG!$B$26),"Menos de "&amp;CONFIG!$B$26&amp;" probetas. ","")&amp;IF(N(T216)&gt;CONFIG!$B$25,"CV alto. ","")&amp;IF(AND(N(AD216)&gt;0,N(AD216)&gt;N(AF216)),"Absorción alta. ","")))</f>
        <v/>
      </c>
      <c r="AH216" s="22" t="str">
        <f aca="false">IF(AND(N(M216)&gt;0,OR(CONTROL!$C$4="TODAS",C216=CONTROL!$C$4),D216=CONTROL!$C$5),MAX($AH$4:AH215)+1,"")</f>
        <v/>
      </c>
      <c r="AI216" s="22" t="str">
        <f aca="false">IF(AH216="","",P216^2)</f>
        <v/>
      </c>
    </row>
    <row r="217" customFormat="false" ht="15" hidden="false" customHeight="false" outlineLevel="0" collapsed="false">
      <c r="A217" s="11" t="str">
        <f aca="false">IF(B217="","",ROW()-4)</f>
        <v/>
      </c>
      <c r="B217" s="12"/>
      <c r="C217" s="13"/>
      <c r="D217" s="13"/>
      <c r="E217" s="13"/>
      <c r="F217" s="14" t="str">
        <f aca="false">IF(OR(B217="",C217="",D217=""),"",IFERROR(INDEX(CONFIG!$E$5:$E$14,MATCH(D217,CONFIG!$D$5:$D$14,0)),"?")&amp;RIGHT("0"&amp;DAY(B217),2)&amp;RIGHT("0"&amp;MONTH(B217),2)&amp;RIGHT(YEAR(B217),2)&amp;C217&amp;IF(E217="","","-"&amp;E217))</f>
        <v/>
      </c>
      <c r="G217" s="13"/>
      <c r="H217" s="13"/>
      <c r="I217" s="13"/>
      <c r="J217" s="13"/>
      <c r="K217" s="13"/>
      <c r="L217" s="13"/>
      <c r="M217" s="11" t="str">
        <f aca="false">IF(F217="","",COUNTIFS(ENSAYOS!$C$5:$C$3004,F217,ENSAYOS!$Q$5:$Q$3004,"&gt;0"))</f>
        <v/>
      </c>
      <c r="N217" s="15" t="str">
        <f aca="false">IF(N(M217)=0,"",_xlfn.MINIFS(ENSAYOS!$G$5:$G$3004,ENSAYOS!$C$5:$C$3004,F217,ENSAYOS!$Q$5:$Q$3004,"&gt;0"))</f>
        <v/>
      </c>
      <c r="O217" s="15" t="str">
        <f aca="false">IF(N(M217)=0,"",_xlfn.MAXIFS(ENSAYOS!$G$5:$G$3004,ENSAYOS!$C$5:$C$3004,F217,ENSAYOS!$Q$5:$Q$3004,"&gt;0"))</f>
        <v/>
      </c>
      <c r="P217" s="16" t="str">
        <f aca="false">IF(N(M217)=0,"",AVERAGEIFS(ENSAYOS!$Q$5:$Q$3004,ENSAYOS!$C$5:$C$3004,F217,ENSAYOS!$Q$5:$Q$3004,"&gt;0"))</f>
        <v/>
      </c>
      <c r="Q217" s="16" t="str">
        <f aca="false">IF(N(M217)=0,"",_xlfn.MINIFS(ENSAYOS!$Q$5:$Q$3004,ENSAYOS!$C$5:$C$3004,F217,ENSAYOS!$Q$5:$Q$3004,"&gt;0"))</f>
        <v/>
      </c>
      <c r="R217" s="16" t="str">
        <f aca="false">IF(N(M217)=0,"",_xlfn.MAXIFS(ENSAYOS!$Q$5:$Q$3004,ENSAYOS!$C$5:$C$3004,F217,ENSAYOS!$Q$5:$Q$3004,"&gt;0"))</f>
        <v/>
      </c>
      <c r="S217" s="16" t="str">
        <f aca="false">IF(N(M217)&lt;2,"",SQRT(MAX(0,(SUMIFS(ENSAYOS!$X$5:$X$3004,ENSAYOS!$C$5:$C$3004,F217,ENSAYOS!$Q$5:$Q$3004,"&gt;0")-M217*P217^2)/(M217-1))))</f>
        <v/>
      </c>
      <c r="T217" s="17" t="str">
        <f aca="false">IF(S217="","",S217/P217)</f>
        <v/>
      </c>
      <c r="U217" s="16" t="str">
        <f aca="false">IF(N(M217)=0,"",IF(N217&gt;=CONFIG!$B$27,"",AVERAGEIFS(ENSAYOS!$Q$5:$Q$3004,ENSAYOS!$C$5:$C$3004,F217,ENSAYOS!$Q$5:$Q$3004,"&gt;0",ENSAYOS!$G$5:$G$3004,N217)))</f>
        <v/>
      </c>
      <c r="V217" s="16" t="str">
        <f aca="false">IF(N(M217)=0,"",IF(COUNTIFS(ENSAYOS!$C$5:$C$3004,F217,ENSAYOS!$Q$5:$Q$3004,"&gt;0",ENSAYOS!$G$5:$G$3004,"&gt;="&amp;CONFIG!$B$27)=0,"",AVERAGEIFS(ENSAYOS!$Q$5:$Q$3004,ENSAYOS!$C$5:$C$3004,F217,ENSAYOS!$Q$5:$Q$3004,"&gt;0",ENSAYOS!$G$5:$G$3004,"&gt;="&amp;CONFIG!$B$27)))</f>
        <v/>
      </c>
      <c r="W217" s="18" t="str">
        <f aca="false">IF(AND(U217&lt;&gt;"",V217&lt;&gt;""),U217/V217,"")</f>
        <v/>
      </c>
      <c r="X217" s="18" t="str">
        <f aca="false">IF(U217="","",INDEX('CURVA EDAD'!$E$5:$E$32,MIN(28,MAX(1,N217))))</f>
        <v/>
      </c>
      <c r="Y217" s="16" t="str">
        <f aca="false">IF(V217&lt;&gt;"",V217,IF(U217="","",U217/X217))</f>
        <v/>
      </c>
      <c r="Z217" s="16" t="str">
        <f aca="false">IF(V217&lt;&gt;"",_xlfn.MINIFS(ENSAYOS!$Q$5:$Q$3004,ENSAYOS!$C$5:$C$3004,F217,ENSAYOS!$Q$5:$Q$3004,"&gt;0",ENSAYOS!$G$5:$G$3004,"&gt;="&amp;CONFIG!$B$27),IF(U217="","",_xlfn.MINIFS(ENSAYOS!$Q$5:$Q$3004,ENSAYOS!$C$5:$C$3004,F217,ENSAYOS!$Q$5:$Q$3004,"&gt;0",ENSAYOS!$G$5:$G$3004,N217)/X217))</f>
        <v/>
      </c>
      <c r="AA217" s="16" t="str">
        <f aca="false">IF(D217="","",IFERROR(1/(1/INDEX(CONFIG!$J$5:$J$14,MATCH(D217,CONFIG!$D$5:$D$14,0))),""))</f>
        <v/>
      </c>
      <c r="AB217" s="16" t="str">
        <f aca="false">IF(D217="","",IFERROR(1/(1/INDEX(CONFIG!$K$5:$K$14,MATCH(D217,CONFIG!$D$5:$D$14,0))),""))</f>
        <v/>
      </c>
      <c r="AC217" s="19" t="str">
        <f aca="false">IF(N(M217)=0,"",IF(AA217="","Sin spec",IF(AND(Y217&gt;=AA217,OR(AB217="",Z217&gt;=AB217)),"CUMPLE","NO CUMPLE")&amp;IF(V217=""," (est.)","")))</f>
        <v/>
      </c>
      <c r="AD217" s="20" t="str">
        <f aca="false">IF(F217="","",IF(COUNTIFS(ABSORCION!$C$5:$C$1004,F217,ABSORCION!$I$5:$I$1004,"&gt;0")=0,"",AVERAGEIFS(ABSORCION!$I$5:$I$1004,ABSORCION!$C$5:$C$1004,F217,ABSORCION!$I$5:$I$1004,"&gt;0")))</f>
        <v/>
      </c>
      <c r="AE217" s="20" t="str">
        <f aca="false">IF(F217="","",IF(COUNTIFS(ABSORCION!$C$5:$C$1004,F217,ABSORCION!$I$5:$I$1004,"&gt;0")=0,"",AVERAGEIFS(ABSORCION!$K$5:$K$1004,ABSORCION!$C$5:$C$1004,F217,ABSORCION!$I$5:$I$1004,"&gt;0")))</f>
        <v/>
      </c>
      <c r="AF217" s="20" t="str">
        <f aca="false">IF(AE217="","",IF(AE217&gt;=CONFIG!$E$21,CONFIG!$F$21,IF(AE217&gt;=CONFIG!$E$20,CONFIG!$F$20,CONFIG!$F$19)))</f>
        <v/>
      </c>
      <c r="AG217" s="21" t="str">
        <f aca="false">IF(F217="","",TRIM(IF(N(M217)=0,"Sin ensayos. ","")&amp;IF(AND(N(M217)&gt;0,N(M217)&lt;CONFIG!$B$26),"Menos de "&amp;CONFIG!$B$26&amp;" probetas. ","")&amp;IF(N(T217)&gt;CONFIG!$B$25,"CV alto. ","")&amp;IF(AND(N(AD217)&gt;0,N(AD217)&gt;N(AF217)),"Absorción alta. ","")))</f>
        <v/>
      </c>
      <c r="AH217" s="22" t="str">
        <f aca="false">IF(AND(N(M217)&gt;0,OR(CONTROL!$C$4="TODAS",C217=CONTROL!$C$4),D217=CONTROL!$C$5),MAX($AH$4:AH216)+1,"")</f>
        <v/>
      </c>
      <c r="AI217" s="22" t="str">
        <f aca="false">IF(AH217="","",P217^2)</f>
        <v/>
      </c>
    </row>
    <row r="218" customFormat="false" ht="15" hidden="false" customHeight="false" outlineLevel="0" collapsed="false">
      <c r="A218" s="11" t="str">
        <f aca="false">IF(B218="","",ROW()-4)</f>
        <v/>
      </c>
      <c r="B218" s="12"/>
      <c r="C218" s="13"/>
      <c r="D218" s="13"/>
      <c r="E218" s="13"/>
      <c r="F218" s="14" t="str">
        <f aca="false">IF(OR(B218="",C218="",D218=""),"",IFERROR(INDEX(CONFIG!$E$5:$E$14,MATCH(D218,CONFIG!$D$5:$D$14,0)),"?")&amp;RIGHT("0"&amp;DAY(B218),2)&amp;RIGHT("0"&amp;MONTH(B218),2)&amp;RIGHT(YEAR(B218),2)&amp;C218&amp;IF(E218="","","-"&amp;E218))</f>
        <v/>
      </c>
      <c r="G218" s="13"/>
      <c r="H218" s="13"/>
      <c r="I218" s="13"/>
      <c r="J218" s="13"/>
      <c r="K218" s="13"/>
      <c r="L218" s="13"/>
      <c r="M218" s="11" t="str">
        <f aca="false">IF(F218="","",COUNTIFS(ENSAYOS!$C$5:$C$3004,F218,ENSAYOS!$Q$5:$Q$3004,"&gt;0"))</f>
        <v/>
      </c>
      <c r="N218" s="15" t="str">
        <f aca="false">IF(N(M218)=0,"",_xlfn.MINIFS(ENSAYOS!$G$5:$G$3004,ENSAYOS!$C$5:$C$3004,F218,ENSAYOS!$Q$5:$Q$3004,"&gt;0"))</f>
        <v/>
      </c>
      <c r="O218" s="15" t="str">
        <f aca="false">IF(N(M218)=0,"",_xlfn.MAXIFS(ENSAYOS!$G$5:$G$3004,ENSAYOS!$C$5:$C$3004,F218,ENSAYOS!$Q$5:$Q$3004,"&gt;0"))</f>
        <v/>
      </c>
      <c r="P218" s="16" t="str">
        <f aca="false">IF(N(M218)=0,"",AVERAGEIFS(ENSAYOS!$Q$5:$Q$3004,ENSAYOS!$C$5:$C$3004,F218,ENSAYOS!$Q$5:$Q$3004,"&gt;0"))</f>
        <v/>
      </c>
      <c r="Q218" s="16" t="str">
        <f aca="false">IF(N(M218)=0,"",_xlfn.MINIFS(ENSAYOS!$Q$5:$Q$3004,ENSAYOS!$C$5:$C$3004,F218,ENSAYOS!$Q$5:$Q$3004,"&gt;0"))</f>
        <v/>
      </c>
      <c r="R218" s="16" t="str">
        <f aca="false">IF(N(M218)=0,"",_xlfn.MAXIFS(ENSAYOS!$Q$5:$Q$3004,ENSAYOS!$C$5:$C$3004,F218,ENSAYOS!$Q$5:$Q$3004,"&gt;0"))</f>
        <v/>
      </c>
      <c r="S218" s="16" t="str">
        <f aca="false">IF(N(M218)&lt;2,"",SQRT(MAX(0,(SUMIFS(ENSAYOS!$X$5:$X$3004,ENSAYOS!$C$5:$C$3004,F218,ENSAYOS!$Q$5:$Q$3004,"&gt;0")-M218*P218^2)/(M218-1))))</f>
        <v/>
      </c>
      <c r="T218" s="17" t="str">
        <f aca="false">IF(S218="","",S218/P218)</f>
        <v/>
      </c>
      <c r="U218" s="16" t="str">
        <f aca="false">IF(N(M218)=0,"",IF(N218&gt;=CONFIG!$B$27,"",AVERAGEIFS(ENSAYOS!$Q$5:$Q$3004,ENSAYOS!$C$5:$C$3004,F218,ENSAYOS!$Q$5:$Q$3004,"&gt;0",ENSAYOS!$G$5:$G$3004,N218)))</f>
        <v/>
      </c>
      <c r="V218" s="16" t="str">
        <f aca="false">IF(N(M218)=0,"",IF(COUNTIFS(ENSAYOS!$C$5:$C$3004,F218,ENSAYOS!$Q$5:$Q$3004,"&gt;0",ENSAYOS!$G$5:$G$3004,"&gt;="&amp;CONFIG!$B$27)=0,"",AVERAGEIFS(ENSAYOS!$Q$5:$Q$3004,ENSAYOS!$C$5:$C$3004,F218,ENSAYOS!$Q$5:$Q$3004,"&gt;0",ENSAYOS!$G$5:$G$3004,"&gt;="&amp;CONFIG!$B$27)))</f>
        <v/>
      </c>
      <c r="W218" s="18" t="str">
        <f aca="false">IF(AND(U218&lt;&gt;"",V218&lt;&gt;""),U218/V218,"")</f>
        <v/>
      </c>
      <c r="X218" s="18" t="str">
        <f aca="false">IF(U218="","",INDEX('CURVA EDAD'!$E$5:$E$32,MIN(28,MAX(1,N218))))</f>
        <v/>
      </c>
      <c r="Y218" s="16" t="str">
        <f aca="false">IF(V218&lt;&gt;"",V218,IF(U218="","",U218/X218))</f>
        <v/>
      </c>
      <c r="Z218" s="16" t="str">
        <f aca="false">IF(V218&lt;&gt;"",_xlfn.MINIFS(ENSAYOS!$Q$5:$Q$3004,ENSAYOS!$C$5:$C$3004,F218,ENSAYOS!$Q$5:$Q$3004,"&gt;0",ENSAYOS!$G$5:$G$3004,"&gt;="&amp;CONFIG!$B$27),IF(U218="","",_xlfn.MINIFS(ENSAYOS!$Q$5:$Q$3004,ENSAYOS!$C$5:$C$3004,F218,ENSAYOS!$Q$5:$Q$3004,"&gt;0",ENSAYOS!$G$5:$G$3004,N218)/X218))</f>
        <v/>
      </c>
      <c r="AA218" s="16" t="str">
        <f aca="false">IF(D218="","",IFERROR(1/(1/INDEX(CONFIG!$J$5:$J$14,MATCH(D218,CONFIG!$D$5:$D$14,0))),""))</f>
        <v/>
      </c>
      <c r="AB218" s="16" t="str">
        <f aca="false">IF(D218="","",IFERROR(1/(1/INDEX(CONFIG!$K$5:$K$14,MATCH(D218,CONFIG!$D$5:$D$14,0))),""))</f>
        <v/>
      </c>
      <c r="AC218" s="19" t="str">
        <f aca="false">IF(N(M218)=0,"",IF(AA218="","Sin spec",IF(AND(Y218&gt;=AA218,OR(AB218="",Z218&gt;=AB218)),"CUMPLE","NO CUMPLE")&amp;IF(V218=""," (est.)","")))</f>
        <v/>
      </c>
      <c r="AD218" s="20" t="str">
        <f aca="false">IF(F218="","",IF(COUNTIFS(ABSORCION!$C$5:$C$1004,F218,ABSORCION!$I$5:$I$1004,"&gt;0")=0,"",AVERAGEIFS(ABSORCION!$I$5:$I$1004,ABSORCION!$C$5:$C$1004,F218,ABSORCION!$I$5:$I$1004,"&gt;0")))</f>
        <v/>
      </c>
      <c r="AE218" s="20" t="str">
        <f aca="false">IF(F218="","",IF(COUNTIFS(ABSORCION!$C$5:$C$1004,F218,ABSORCION!$I$5:$I$1004,"&gt;0")=0,"",AVERAGEIFS(ABSORCION!$K$5:$K$1004,ABSORCION!$C$5:$C$1004,F218,ABSORCION!$I$5:$I$1004,"&gt;0")))</f>
        <v/>
      </c>
      <c r="AF218" s="20" t="str">
        <f aca="false">IF(AE218="","",IF(AE218&gt;=CONFIG!$E$21,CONFIG!$F$21,IF(AE218&gt;=CONFIG!$E$20,CONFIG!$F$20,CONFIG!$F$19)))</f>
        <v/>
      </c>
      <c r="AG218" s="21" t="str">
        <f aca="false">IF(F218="","",TRIM(IF(N(M218)=0,"Sin ensayos. ","")&amp;IF(AND(N(M218)&gt;0,N(M218)&lt;CONFIG!$B$26),"Menos de "&amp;CONFIG!$B$26&amp;" probetas. ","")&amp;IF(N(T218)&gt;CONFIG!$B$25,"CV alto. ","")&amp;IF(AND(N(AD218)&gt;0,N(AD218)&gt;N(AF218)),"Absorción alta. ","")))</f>
        <v/>
      </c>
      <c r="AH218" s="22" t="str">
        <f aca="false">IF(AND(N(M218)&gt;0,OR(CONTROL!$C$4="TODAS",C218=CONTROL!$C$4),D218=CONTROL!$C$5),MAX($AH$4:AH217)+1,"")</f>
        <v/>
      </c>
      <c r="AI218" s="22" t="str">
        <f aca="false">IF(AH218="","",P218^2)</f>
        <v/>
      </c>
    </row>
    <row r="219" customFormat="false" ht="15" hidden="false" customHeight="false" outlineLevel="0" collapsed="false">
      <c r="A219" s="11" t="str">
        <f aca="false">IF(B219="","",ROW()-4)</f>
        <v/>
      </c>
      <c r="B219" s="12"/>
      <c r="C219" s="13"/>
      <c r="D219" s="13"/>
      <c r="E219" s="13"/>
      <c r="F219" s="14" t="str">
        <f aca="false">IF(OR(B219="",C219="",D219=""),"",IFERROR(INDEX(CONFIG!$E$5:$E$14,MATCH(D219,CONFIG!$D$5:$D$14,0)),"?")&amp;RIGHT("0"&amp;DAY(B219),2)&amp;RIGHT("0"&amp;MONTH(B219),2)&amp;RIGHT(YEAR(B219),2)&amp;C219&amp;IF(E219="","","-"&amp;E219))</f>
        <v/>
      </c>
      <c r="G219" s="13"/>
      <c r="H219" s="13"/>
      <c r="I219" s="13"/>
      <c r="J219" s="13"/>
      <c r="K219" s="13"/>
      <c r="L219" s="13"/>
      <c r="M219" s="11" t="str">
        <f aca="false">IF(F219="","",COUNTIFS(ENSAYOS!$C$5:$C$3004,F219,ENSAYOS!$Q$5:$Q$3004,"&gt;0"))</f>
        <v/>
      </c>
      <c r="N219" s="15" t="str">
        <f aca="false">IF(N(M219)=0,"",_xlfn.MINIFS(ENSAYOS!$G$5:$G$3004,ENSAYOS!$C$5:$C$3004,F219,ENSAYOS!$Q$5:$Q$3004,"&gt;0"))</f>
        <v/>
      </c>
      <c r="O219" s="15" t="str">
        <f aca="false">IF(N(M219)=0,"",_xlfn.MAXIFS(ENSAYOS!$G$5:$G$3004,ENSAYOS!$C$5:$C$3004,F219,ENSAYOS!$Q$5:$Q$3004,"&gt;0"))</f>
        <v/>
      </c>
      <c r="P219" s="16" t="str">
        <f aca="false">IF(N(M219)=0,"",AVERAGEIFS(ENSAYOS!$Q$5:$Q$3004,ENSAYOS!$C$5:$C$3004,F219,ENSAYOS!$Q$5:$Q$3004,"&gt;0"))</f>
        <v/>
      </c>
      <c r="Q219" s="16" t="str">
        <f aca="false">IF(N(M219)=0,"",_xlfn.MINIFS(ENSAYOS!$Q$5:$Q$3004,ENSAYOS!$C$5:$C$3004,F219,ENSAYOS!$Q$5:$Q$3004,"&gt;0"))</f>
        <v/>
      </c>
      <c r="R219" s="16" t="str">
        <f aca="false">IF(N(M219)=0,"",_xlfn.MAXIFS(ENSAYOS!$Q$5:$Q$3004,ENSAYOS!$C$5:$C$3004,F219,ENSAYOS!$Q$5:$Q$3004,"&gt;0"))</f>
        <v/>
      </c>
      <c r="S219" s="16" t="str">
        <f aca="false">IF(N(M219)&lt;2,"",SQRT(MAX(0,(SUMIFS(ENSAYOS!$X$5:$X$3004,ENSAYOS!$C$5:$C$3004,F219,ENSAYOS!$Q$5:$Q$3004,"&gt;0")-M219*P219^2)/(M219-1))))</f>
        <v/>
      </c>
      <c r="T219" s="17" t="str">
        <f aca="false">IF(S219="","",S219/P219)</f>
        <v/>
      </c>
      <c r="U219" s="16" t="str">
        <f aca="false">IF(N(M219)=0,"",IF(N219&gt;=CONFIG!$B$27,"",AVERAGEIFS(ENSAYOS!$Q$5:$Q$3004,ENSAYOS!$C$5:$C$3004,F219,ENSAYOS!$Q$5:$Q$3004,"&gt;0",ENSAYOS!$G$5:$G$3004,N219)))</f>
        <v/>
      </c>
      <c r="V219" s="16" t="str">
        <f aca="false">IF(N(M219)=0,"",IF(COUNTIFS(ENSAYOS!$C$5:$C$3004,F219,ENSAYOS!$Q$5:$Q$3004,"&gt;0",ENSAYOS!$G$5:$G$3004,"&gt;="&amp;CONFIG!$B$27)=0,"",AVERAGEIFS(ENSAYOS!$Q$5:$Q$3004,ENSAYOS!$C$5:$C$3004,F219,ENSAYOS!$Q$5:$Q$3004,"&gt;0",ENSAYOS!$G$5:$G$3004,"&gt;="&amp;CONFIG!$B$27)))</f>
        <v/>
      </c>
      <c r="W219" s="18" t="str">
        <f aca="false">IF(AND(U219&lt;&gt;"",V219&lt;&gt;""),U219/V219,"")</f>
        <v/>
      </c>
      <c r="X219" s="18" t="str">
        <f aca="false">IF(U219="","",INDEX('CURVA EDAD'!$E$5:$E$32,MIN(28,MAX(1,N219))))</f>
        <v/>
      </c>
      <c r="Y219" s="16" t="str">
        <f aca="false">IF(V219&lt;&gt;"",V219,IF(U219="","",U219/X219))</f>
        <v/>
      </c>
      <c r="Z219" s="16" t="str">
        <f aca="false">IF(V219&lt;&gt;"",_xlfn.MINIFS(ENSAYOS!$Q$5:$Q$3004,ENSAYOS!$C$5:$C$3004,F219,ENSAYOS!$Q$5:$Q$3004,"&gt;0",ENSAYOS!$G$5:$G$3004,"&gt;="&amp;CONFIG!$B$27),IF(U219="","",_xlfn.MINIFS(ENSAYOS!$Q$5:$Q$3004,ENSAYOS!$C$5:$C$3004,F219,ENSAYOS!$Q$5:$Q$3004,"&gt;0",ENSAYOS!$G$5:$G$3004,N219)/X219))</f>
        <v/>
      </c>
      <c r="AA219" s="16" t="str">
        <f aca="false">IF(D219="","",IFERROR(1/(1/INDEX(CONFIG!$J$5:$J$14,MATCH(D219,CONFIG!$D$5:$D$14,0))),""))</f>
        <v/>
      </c>
      <c r="AB219" s="16" t="str">
        <f aca="false">IF(D219="","",IFERROR(1/(1/INDEX(CONFIG!$K$5:$K$14,MATCH(D219,CONFIG!$D$5:$D$14,0))),""))</f>
        <v/>
      </c>
      <c r="AC219" s="19" t="str">
        <f aca="false">IF(N(M219)=0,"",IF(AA219="","Sin spec",IF(AND(Y219&gt;=AA219,OR(AB219="",Z219&gt;=AB219)),"CUMPLE","NO CUMPLE")&amp;IF(V219=""," (est.)","")))</f>
        <v/>
      </c>
      <c r="AD219" s="20" t="str">
        <f aca="false">IF(F219="","",IF(COUNTIFS(ABSORCION!$C$5:$C$1004,F219,ABSORCION!$I$5:$I$1004,"&gt;0")=0,"",AVERAGEIFS(ABSORCION!$I$5:$I$1004,ABSORCION!$C$5:$C$1004,F219,ABSORCION!$I$5:$I$1004,"&gt;0")))</f>
        <v/>
      </c>
      <c r="AE219" s="20" t="str">
        <f aca="false">IF(F219="","",IF(COUNTIFS(ABSORCION!$C$5:$C$1004,F219,ABSORCION!$I$5:$I$1004,"&gt;0")=0,"",AVERAGEIFS(ABSORCION!$K$5:$K$1004,ABSORCION!$C$5:$C$1004,F219,ABSORCION!$I$5:$I$1004,"&gt;0")))</f>
        <v/>
      </c>
      <c r="AF219" s="20" t="str">
        <f aca="false">IF(AE219="","",IF(AE219&gt;=CONFIG!$E$21,CONFIG!$F$21,IF(AE219&gt;=CONFIG!$E$20,CONFIG!$F$20,CONFIG!$F$19)))</f>
        <v/>
      </c>
      <c r="AG219" s="21" t="str">
        <f aca="false">IF(F219="","",TRIM(IF(N(M219)=0,"Sin ensayos. ","")&amp;IF(AND(N(M219)&gt;0,N(M219)&lt;CONFIG!$B$26),"Menos de "&amp;CONFIG!$B$26&amp;" probetas. ","")&amp;IF(N(T219)&gt;CONFIG!$B$25,"CV alto. ","")&amp;IF(AND(N(AD219)&gt;0,N(AD219)&gt;N(AF219)),"Absorción alta. ","")))</f>
        <v/>
      </c>
      <c r="AH219" s="22" t="str">
        <f aca="false">IF(AND(N(M219)&gt;0,OR(CONTROL!$C$4="TODAS",C219=CONTROL!$C$4),D219=CONTROL!$C$5),MAX($AH$4:AH218)+1,"")</f>
        <v/>
      </c>
      <c r="AI219" s="22" t="str">
        <f aca="false">IF(AH219="","",P219^2)</f>
        <v/>
      </c>
    </row>
    <row r="220" customFormat="false" ht="15" hidden="false" customHeight="false" outlineLevel="0" collapsed="false">
      <c r="A220" s="11" t="str">
        <f aca="false">IF(B220="","",ROW()-4)</f>
        <v/>
      </c>
      <c r="B220" s="12"/>
      <c r="C220" s="13"/>
      <c r="D220" s="13"/>
      <c r="E220" s="13"/>
      <c r="F220" s="14" t="str">
        <f aca="false">IF(OR(B220="",C220="",D220=""),"",IFERROR(INDEX(CONFIG!$E$5:$E$14,MATCH(D220,CONFIG!$D$5:$D$14,0)),"?")&amp;RIGHT("0"&amp;DAY(B220),2)&amp;RIGHT("0"&amp;MONTH(B220),2)&amp;RIGHT(YEAR(B220),2)&amp;C220&amp;IF(E220="","","-"&amp;E220))</f>
        <v/>
      </c>
      <c r="G220" s="13"/>
      <c r="H220" s="13"/>
      <c r="I220" s="13"/>
      <c r="J220" s="13"/>
      <c r="K220" s="13"/>
      <c r="L220" s="13"/>
      <c r="M220" s="11" t="str">
        <f aca="false">IF(F220="","",COUNTIFS(ENSAYOS!$C$5:$C$3004,F220,ENSAYOS!$Q$5:$Q$3004,"&gt;0"))</f>
        <v/>
      </c>
      <c r="N220" s="15" t="str">
        <f aca="false">IF(N(M220)=0,"",_xlfn.MINIFS(ENSAYOS!$G$5:$G$3004,ENSAYOS!$C$5:$C$3004,F220,ENSAYOS!$Q$5:$Q$3004,"&gt;0"))</f>
        <v/>
      </c>
      <c r="O220" s="15" t="str">
        <f aca="false">IF(N(M220)=0,"",_xlfn.MAXIFS(ENSAYOS!$G$5:$G$3004,ENSAYOS!$C$5:$C$3004,F220,ENSAYOS!$Q$5:$Q$3004,"&gt;0"))</f>
        <v/>
      </c>
      <c r="P220" s="16" t="str">
        <f aca="false">IF(N(M220)=0,"",AVERAGEIFS(ENSAYOS!$Q$5:$Q$3004,ENSAYOS!$C$5:$C$3004,F220,ENSAYOS!$Q$5:$Q$3004,"&gt;0"))</f>
        <v/>
      </c>
      <c r="Q220" s="16" t="str">
        <f aca="false">IF(N(M220)=0,"",_xlfn.MINIFS(ENSAYOS!$Q$5:$Q$3004,ENSAYOS!$C$5:$C$3004,F220,ENSAYOS!$Q$5:$Q$3004,"&gt;0"))</f>
        <v/>
      </c>
      <c r="R220" s="16" t="str">
        <f aca="false">IF(N(M220)=0,"",_xlfn.MAXIFS(ENSAYOS!$Q$5:$Q$3004,ENSAYOS!$C$5:$C$3004,F220,ENSAYOS!$Q$5:$Q$3004,"&gt;0"))</f>
        <v/>
      </c>
      <c r="S220" s="16" t="str">
        <f aca="false">IF(N(M220)&lt;2,"",SQRT(MAX(0,(SUMIFS(ENSAYOS!$X$5:$X$3004,ENSAYOS!$C$5:$C$3004,F220,ENSAYOS!$Q$5:$Q$3004,"&gt;0")-M220*P220^2)/(M220-1))))</f>
        <v/>
      </c>
      <c r="T220" s="17" t="str">
        <f aca="false">IF(S220="","",S220/P220)</f>
        <v/>
      </c>
      <c r="U220" s="16" t="str">
        <f aca="false">IF(N(M220)=0,"",IF(N220&gt;=CONFIG!$B$27,"",AVERAGEIFS(ENSAYOS!$Q$5:$Q$3004,ENSAYOS!$C$5:$C$3004,F220,ENSAYOS!$Q$5:$Q$3004,"&gt;0",ENSAYOS!$G$5:$G$3004,N220)))</f>
        <v/>
      </c>
      <c r="V220" s="16" t="str">
        <f aca="false">IF(N(M220)=0,"",IF(COUNTIFS(ENSAYOS!$C$5:$C$3004,F220,ENSAYOS!$Q$5:$Q$3004,"&gt;0",ENSAYOS!$G$5:$G$3004,"&gt;="&amp;CONFIG!$B$27)=0,"",AVERAGEIFS(ENSAYOS!$Q$5:$Q$3004,ENSAYOS!$C$5:$C$3004,F220,ENSAYOS!$Q$5:$Q$3004,"&gt;0",ENSAYOS!$G$5:$G$3004,"&gt;="&amp;CONFIG!$B$27)))</f>
        <v/>
      </c>
      <c r="W220" s="18" t="str">
        <f aca="false">IF(AND(U220&lt;&gt;"",V220&lt;&gt;""),U220/V220,"")</f>
        <v/>
      </c>
      <c r="X220" s="18" t="str">
        <f aca="false">IF(U220="","",INDEX('CURVA EDAD'!$E$5:$E$32,MIN(28,MAX(1,N220))))</f>
        <v/>
      </c>
      <c r="Y220" s="16" t="str">
        <f aca="false">IF(V220&lt;&gt;"",V220,IF(U220="","",U220/X220))</f>
        <v/>
      </c>
      <c r="Z220" s="16" t="str">
        <f aca="false">IF(V220&lt;&gt;"",_xlfn.MINIFS(ENSAYOS!$Q$5:$Q$3004,ENSAYOS!$C$5:$C$3004,F220,ENSAYOS!$Q$5:$Q$3004,"&gt;0",ENSAYOS!$G$5:$G$3004,"&gt;="&amp;CONFIG!$B$27),IF(U220="","",_xlfn.MINIFS(ENSAYOS!$Q$5:$Q$3004,ENSAYOS!$C$5:$C$3004,F220,ENSAYOS!$Q$5:$Q$3004,"&gt;0",ENSAYOS!$G$5:$G$3004,N220)/X220))</f>
        <v/>
      </c>
      <c r="AA220" s="16" t="str">
        <f aca="false">IF(D220="","",IFERROR(1/(1/INDEX(CONFIG!$J$5:$J$14,MATCH(D220,CONFIG!$D$5:$D$14,0))),""))</f>
        <v/>
      </c>
      <c r="AB220" s="16" t="str">
        <f aca="false">IF(D220="","",IFERROR(1/(1/INDEX(CONFIG!$K$5:$K$14,MATCH(D220,CONFIG!$D$5:$D$14,0))),""))</f>
        <v/>
      </c>
      <c r="AC220" s="19" t="str">
        <f aca="false">IF(N(M220)=0,"",IF(AA220="","Sin spec",IF(AND(Y220&gt;=AA220,OR(AB220="",Z220&gt;=AB220)),"CUMPLE","NO CUMPLE")&amp;IF(V220=""," (est.)","")))</f>
        <v/>
      </c>
      <c r="AD220" s="20" t="str">
        <f aca="false">IF(F220="","",IF(COUNTIFS(ABSORCION!$C$5:$C$1004,F220,ABSORCION!$I$5:$I$1004,"&gt;0")=0,"",AVERAGEIFS(ABSORCION!$I$5:$I$1004,ABSORCION!$C$5:$C$1004,F220,ABSORCION!$I$5:$I$1004,"&gt;0")))</f>
        <v/>
      </c>
      <c r="AE220" s="20" t="str">
        <f aca="false">IF(F220="","",IF(COUNTIFS(ABSORCION!$C$5:$C$1004,F220,ABSORCION!$I$5:$I$1004,"&gt;0")=0,"",AVERAGEIFS(ABSORCION!$K$5:$K$1004,ABSORCION!$C$5:$C$1004,F220,ABSORCION!$I$5:$I$1004,"&gt;0")))</f>
        <v/>
      </c>
      <c r="AF220" s="20" t="str">
        <f aca="false">IF(AE220="","",IF(AE220&gt;=CONFIG!$E$21,CONFIG!$F$21,IF(AE220&gt;=CONFIG!$E$20,CONFIG!$F$20,CONFIG!$F$19)))</f>
        <v/>
      </c>
      <c r="AG220" s="21" t="str">
        <f aca="false">IF(F220="","",TRIM(IF(N(M220)=0,"Sin ensayos. ","")&amp;IF(AND(N(M220)&gt;0,N(M220)&lt;CONFIG!$B$26),"Menos de "&amp;CONFIG!$B$26&amp;" probetas. ","")&amp;IF(N(T220)&gt;CONFIG!$B$25,"CV alto. ","")&amp;IF(AND(N(AD220)&gt;0,N(AD220)&gt;N(AF220)),"Absorción alta. ","")))</f>
        <v/>
      </c>
      <c r="AH220" s="22" t="str">
        <f aca="false">IF(AND(N(M220)&gt;0,OR(CONTROL!$C$4="TODAS",C220=CONTROL!$C$4),D220=CONTROL!$C$5),MAX($AH$4:AH219)+1,"")</f>
        <v/>
      </c>
      <c r="AI220" s="22" t="str">
        <f aca="false">IF(AH220="","",P220^2)</f>
        <v/>
      </c>
    </row>
    <row r="221" customFormat="false" ht="15" hidden="false" customHeight="false" outlineLevel="0" collapsed="false">
      <c r="A221" s="11" t="str">
        <f aca="false">IF(B221="","",ROW()-4)</f>
        <v/>
      </c>
      <c r="B221" s="12"/>
      <c r="C221" s="13"/>
      <c r="D221" s="13"/>
      <c r="E221" s="13"/>
      <c r="F221" s="14" t="str">
        <f aca="false">IF(OR(B221="",C221="",D221=""),"",IFERROR(INDEX(CONFIG!$E$5:$E$14,MATCH(D221,CONFIG!$D$5:$D$14,0)),"?")&amp;RIGHT("0"&amp;DAY(B221),2)&amp;RIGHT("0"&amp;MONTH(B221),2)&amp;RIGHT(YEAR(B221),2)&amp;C221&amp;IF(E221="","","-"&amp;E221))</f>
        <v/>
      </c>
      <c r="G221" s="13"/>
      <c r="H221" s="13"/>
      <c r="I221" s="13"/>
      <c r="J221" s="13"/>
      <c r="K221" s="13"/>
      <c r="L221" s="13"/>
      <c r="M221" s="11" t="str">
        <f aca="false">IF(F221="","",COUNTIFS(ENSAYOS!$C$5:$C$3004,F221,ENSAYOS!$Q$5:$Q$3004,"&gt;0"))</f>
        <v/>
      </c>
      <c r="N221" s="15" t="str">
        <f aca="false">IF(N(M221)=0,"",_xlfn.MINIFS(ENSAYOS!$G$5:$G$3004,ENSAYOS!$C$5:$C$3004,F221,ENSAYOS!$Q$5:$Q$3004,"&gt;0"))</f>
        <v/>
      </c>
      <c r="O221" s="15" t="str">
        <f aca="false">IF(N(M221)=0,"",_xlfn.MAXIFS(ENSAYOS!$G$5:$G$3004,ENSAYOS!$C$5:$C$3004,F221,ENSAYOS!$Q$5:$Q$3004,"&gt;0"))</f>
        <v/>
      </c>
      <c r="P221" s="16" t="str">
        <f aca="false">IF(N(M221)=0,"",AVERAGEIFS(ENSAYOS!$Q$5:$Q$3004,ENSAYOS!$C$5:$C$3004,F221,ENSAYOS!$Q$5:$Q$3004,"&gt;0"))</f>
        <v/>
      </c>
      <c r="Q221" s="16" t="str">
        <f aca="false">IF(N(M221)=0,"",_xlfn.MINIFS(ENSAYOS!$Q$5:$Q$3004,ENSAYOS!$C$5:$C$3004,F221,ENSAYOS!$Q$5:$Q$3004,"&gt;0"))</f>
        <v/>
      </c>
      <c r="R221" s="16" t="str">
        <f aca="false">IF(N(M221)=0,"",_xlfn.MAXIFS(ENSAYOS!$Q$5:$Q$3004,ENSAYOS!$C$5:$C$3004,F221,ENSAYOS!$Q$5:$Q$3004,"&gt;0"))</f>
        <v/>
      </c>
      <c r="S221" s="16" t="str">
        <f aca="false">IF(N(M221)&lt;2,"",SQRT(MAX(0,(SUMIFS(ENSAYOS!$X$5:$X$3004,ENSAYOS!$C$5:$C$3004,F221,ENSAYOS!$Q$5:$Q$3004,"&gt;0")-M221*P221^2)/(M221-1))))</f>
        <v/>
      </c>
      <c r="T221" s="17" t="str">
        <f aca="false">IF(S221="","",S221/P221)</f>
        <v/>
      </c>
      <c r="U221" s="16" t="str">
        <f aca="false">IF(N(M221)=0,"",IF(N221&gt;=CONFIG!$B$27,"",AVERAGEIFS(ENSAYOS!$Q$5:$Q$3004,ENSAYOS!$C$5:$C$3004,F221,ENSAYOS!$Q$5:$Q$3004,"&gt;0",ENSAYOS!$G$5:$G$3004,N221)))</f>
        <v/>
      </c>
      <c r="V221" s="16" t="str">
        <f aca="false">IF(N(M221)=0,"",IF(COUNTIFS(ENSAYOS!$C$5:$C$3004,F221,ENSAYOS!$Q$5:$Q$3004,"&gt;0",ENSAYOS!$G$5:$G$3004,"&gt;="&amp;CONFIG!$B$27)=0,"",AVERAGEIFS(ENSAYOS!$Q$5:$Q$3004,ENSAYOS!$C$5:$C$3004,F221,ENSAYOS!$Q$5:$Q$3004,"&gt;0",ENSAYOS!$G$5:$G$3004,"&gt;="&amp;CONFIG!$B$27)))</f>
        <v/>
      </c>
      <c r="W221" s="18" t="str">
        <f aca="false">IF(AND(U221&lt;&gt;"",V221&lt;&gt;""),U221/V221,"")</f>
        <v/>
      </c>
      <c r="X221" s="18" t="str">
        <f aca="false">IF(U221="","",INDEX('CURVA EDAD'!$E$5:$E$32,MIN(28,MAX(1,N221))))</f>
        <v/>
      </c>
      <c r="Y221" s="16" t="str">
        <f aca="false">IF(V221&lt;&gt;"",V221,IF(U221="","",U221/X221))</f>
        <v/>
      </c>
      <c r="Z221" s="16" t="str">
        <f aca="false">IF(V221&lt;&gt;"",_xlfn.MINIFS(ENSAYOS!$Q$5:$Q$3004,ENSAYOS!$C$5:$C$3004,F221,ENSAYOS!$Q$5:$Q$3004,"&gt;0",ENSAYOS!$G$5:$G$3004,"&gt;="&amp;CONFIG!$B$27),IF(U221="","",_xlfn.MINIFS(ENSAYOS!$Q$5:$Q$3004,ENSAYOS!$C$5:$C$3004,F221,ENSAYOS!$Q$5:$Q$3004,"&gt;0",ENSAYOS!$G$5:$G$3004,N221)/X221))</f>
        <v/>
      </c>
      <c r="AA221" s="16" t="str">
        <f aca="false">IF(D221="","",IFERROR(1/(1/INDEX(CONFIG!$J$5:$J$14,MATCH(D221,CONFIG!$D$5:$D$14,0))),""))</f>
        <v/>
      </c>
      <c r="AB221" s="16" t="str">
        <f aca="false">IF(D221="","",IFERROR(1/(1/INDEX(CONFIG!$K$5:$K$14,MATCH(D221,CONFIG!$D$5:$D$14,0))),""))</f>
        <v/>
      </c>
      <c r="AC221" s="19" t="str">
        <f aca="false">IF(N(M221)=0,"",IF(AA221="","Sin spec",IF(AND(Y221&gt;=AA221,OR(AB221="",Z221&gt;=AB221)),"CUMPLE","NO CUMPLE")&amp;IF(V221=""," (est.)","")))</f>
        <v/>
      </c>
      <c r="AD221" s="20" t="str">
        <f aca="false">IF(F221="","",IF(COUNTIFS(ABSORCION!$C$5:$C$1004,F221,ABSORCION!$I$5:$I$1004,"&gt;0")=0,"",AVERAGEIFS(ABSORCION!$I$5:$I$1004,ABSORCION!$C$5:$C$1004,F221,ABSORCION!$I$5:$I$1004,"&gt;0")))</f>
        <v/>
      </c>
      <c r="AE221" s="20" t="str">
        <f aca="false">IF(F221="","",IF(COUNTIFS(ABSORCION!$C$5:$C$1004,F221,ABSORCION!$I$5:$I$1004,"&gt;0")=0,"",AVERAGEIFS(ABSORCION!$K$5:$K$1004,ABSORCION!$C$5:$C$1004,F221,ABSORCION!$I$5:$I$1004,"&gt;0")))</f>
        <v/>
      </c>
      <c r="AF221" s="20" t="str">
        <f aca="false">IF(AE221="","",IF(AE221&gt;=CONFIG!$E$21,CONFIG!$F$21,IF(AE221&gt;=CONFIG!$E$20,CONFIG!$F$20,CONFIG!$F$19)))</f>
        <v/>
      </c>
      <c r="AG221" s="21" t="str">
        <f aca="false">IF(F221="","",TRIM(IF(N(M221)=0,"Sin ensayos. ","")&amp;IF(AND(N(M221)&gt;0,N(M221)&lt;CONFIG!$B$26),"Menos de "&amp;CONFIG!$B$26&amp;" probetas. ","")&amp;IF(N(T221)&gt;CONFIG!$B$25,"CV alto. ","")&amp;IF(AND(N(AD221)&gt;0,N(AD221)&gt;N(AF221)),"Absorción alta. ","")))</f>
        <v/>
      </c>
      <c r="AH221" s="22" t="str">
        <f aca="false">IF(AND(N(M221)&gt;0,OR(CONTROL!$C$4="TODAS",C221=CONTROL!$C$4),D221=CONTROL!$C$5),MAX($AH$4:AH220)+1,"")</f>
        <v/>
      </c>
      <c r="AI221" s="22" t="str">
        <f aca="false">IF(AH221="","",P221^2)</f>
        <v/>
      </c>
    </row>
    <row r="222" customFormat="false" ht="15" hidden="false" customHeight="false" outlineLevel="0" collapsed="false">
      <c r="A222" s="11" t="str">
        <f aca="false">IF(B222="","",ROW()-4)</f>
        <v/>
      </c>
      <c r="B222" s="12"/>
      <c r="C222" s="13"/>
      <c r="D222" s="13"/>
      <c r="E222" s="13"/>
      <c r="F222" s="14" t="str">
        <f aca="false">IF(OR(B222="",C222="",D222=""),"",IFERROR(INDEX(CONFIG!$E$5:$E$14,MATCH(D222,CONFIG!$D$5:$D$14,0)),"?")&amp;RIGHT("0"&amp;DAY(B222),2)&amp;RIGHT("0"&amp;MONTH(B222),2)&amp;RIGHT(YEAR(B222),2)&amp;C222&amp;IF(E222="","","-"&amp;E222))</f>
        <v/>
      </c>
      <c r="G222" s="13"/>
      <c r="H222" s="13"/>
      <c r="I222" s="13"/>
      <c r="J222" s="13"/>
      <c r="K222" s="13"/>
      <c r="L222" s="13"/>
      <c r="M222" s="11" t="str">
        <f aca="false">IF(F222="","",COUNTIFS(ENSAYOS!$C$5:$C$3004,F222,ENSAYOS!$Q$5:$Q$3004,"&gt;0"))</f>
        <v/>
      </c>
      <c r="N222" s="15" t="str">
        <f aca="false">IF(N(M222)=0,"",_xlfn.MINIFS(ENSAYOS!$G$5:$G$3004,ENSAYOS!$C$5:$C$3004,F222,ENSAYOS!$Q$5:$Q$3004,"&gt;0"))</f>
        <v/>
      </c>
      <c r="O222" s="15" t="str">
        <f aca="false">IF(N(M222)=0,"",_xlfn.MAXIFS(ENSAYOS!$G$5:$G$3004,ENSAYOS!$C$5:$C$3004,F222,ENSAYOS!$Q$5:$Q$3004,"&gt;0"))</f>
        <v/>
      </c>
      <c r="P222" s="16" t="str">
        <f aca="false">IF(N(M222)=0,"",AVERAGEIFS(ENSAYOS!$Q$5:$Q$3004,ENSAYOS!$C$5:$C$3004,F222,ENSAYOS!$Q$5:$Q$3004,"&gt;0"))</f>
        <v/>
      </c>
      <c r="Q222" s="16" t="str">
        <f aca="false">IF(N(M222)=0,"",_xlfn.MINIFS(ENSAYOS!$Q$5:$Q$3004,ENSAYOS!$C$5:$C$3004,F222,ENSAYOS!$Q$5:$Q$3004,"&gt;0"))</f>
        <v/>
      </c>
      <c r="R222" s="16" t="str">
        <f aca="false">IF(N(M222)=0,"",_xlfn.MAXIFS(ENSAYOS!$Q$5:$Q$3004,ENSAYOS!$C$5:$C$3004,F222,ENSAYOS!$Q$5:$Q$3004,"&gt;0"))</f>
        <v/>
      </c>
      <c r="S222" s="16" t="str">
        <f aca="false">IF(N(M222)&lt;2,"",SQRT(MAX(0,(SUMIFS(ENSAYOS!$X$5:$X$3004,ENSAYOS!$C$5:$C$3004,F222,ENSAYOS!$Q$5:$Q$3004,"&gt;0")-M222*P222^2)/(M222-1))))</f>
        <v/>
      </c>
      <c r="T222" s="17" t="str">
        <f aca="false">IF(S222="","",S222/P222)</f>
        <v/>
      </c>
      <c r="U222" s="16" t="str">
        <f aca="false">IF(N(M222)=0,"",IF(N222&gt;=CONFIG!$B$27,"",AVERAGEIFS(ENSAYOS!$Q$5:$Q$3004,ENSAYOS!$C$5:$C$3004,F222,ENSAYOS!$Q$5:$Q$3004,"&gt;0",ENSAYOS!$G$5:$G$3004,N222)))</f>
        <v/>
      </c>
      <c r="V222" s="16" t="str">
        <f aca="false">IF(N(M222)=0,"",IF(COUNTIFS(ENSAYOS!$C$5:$C$3004,F222,ENSAYOS!$Q$5:$Q$3004,"&gt;0",ENSAYOS!$G$5:$G$3004,"&gt;="&amp;CONFIG!$B$27)=0,"",AVERAGEIFS(ENSAYOS!$Q$5:$Q$3004,ENSAYOS!$C$5:$C$3004,F222,ENSAYOS!$Q$5:$Q$3004,"&gt;0",ENSAYOS!$G$5:$G$3004,"&gt;="&amp;CONFIG!$B$27)))</f>
        <v/>
      </c>
      <c r="W222" s="18" t="str">
        <f aca="false">IF(AND(U222&lt;&gt;"",V222&lt;&gt;""),U222/V222,"")</f>
        <v/>
      </c>
      <c r="X222" s="18" t="str">
        <f aca="false">IF(U222="","",INDEX('CURVA EDAD'!$E$5:$E$32,MIN(28,MAX(1,N222))))</f>
        <v/>
      </c>
      <c r="Y222" s="16" t="str">
        <f aca="false">IF(V222&lt;&gt;"",V222,IF(U222="","",U222/X222))</f>
        <v/>
      </c>
      <c r="Z222" s="16" t="str">
        <f aca="false">IF(V222&lt;&gt;"",_xlfn.MINIFS(ENSAYOS!$Q$5:$Q$3004,ENSAYOS!$C$5:$C$3004,F222,ENSAYOS!$Q$5:$Q$3004,"&gt;0",ENSAYOS!$G$5:$G$3004,"&gt;="&amp;CONFIG!$B$27),IF(U222="","",_xlfn.MINIFS(ENSAYOS!$Q$5:$Q$3004,ENSAYOS!$C$5:$C$3004,F222,ENSAYOS!$Q$5:$Q$3004,"&gt;0",ENSAYOS!$G$5:$G$3004,N222)/X222))</f>
        <v/>
      </c>
      <c r="AA222" s="16" t="str">
        <f aca="false">IF(D222="","",IFERROR(1/(1/INDEX(CONFIG!$J$5:$J$14,MATCH(D222,CONFIG!$D$5:$D$14,0))),""))</f>
        <v/>
      </c>
      <c r="AB222" s="16" t="str">
        <f aca="false">IF(D222="","",IFERROR(1/(1/INDEX(CONFIG!$K$5:$K$14,MATCH(D222,CONFIG!$D$5:$D$14,0))),""))</f>
        <v/>
      </c>
      <c r="AC222" s="19" t="str">
        <f aca="false">IF(N(M222)=0,"",IF(AA222="","Sin spec",IF(AND(Y222&gt;=AA222,OR(AB222="",Z222&gt;=AB222)),"CUMPLE","NO CUMPLE")&amp;IF(V222=""," (est.)","")))</f>
        <v/>
      </c>
      <c r="AD222" s="20" t="str">
        <f aca="false">IF(F222="","",IF(COUNTIFS(ABSORCION!$C$5:$C$1004,F222,ABSORCION!$I$5:$I$1004,"&gt;0")=0,"",AVERAGEIFS(ABSORCION!$I$5:$I$1004,ABSORCION!$C$5:$C$1004,F222,ABSORCION!$I$5:$I$1004,"&gt;0")))</f>
        <v/>
      </c>
      <c r="AE222" s="20" t="str">
        <f aca="false">IF(F222="","",IF(COUNTIFS(ABSORCION!$C$5:$C$1004,F222,ABSORCION!$I$5:$I$1004,"&gt;0")=0,"",AVERAGEIFS(ABSORCION!$K$5:$K$1004,ABSORCION!$C$5:$C$1004,F222,ABSORCION!$I$5:$I$1004,"&gt;0")))</f>
        <v/>
      </c>
      <c r="AF222" s="20" t="str">
        <f aca="false">IF(AE222="","",IF(AE222&gt;=CONFIG!$E$21,CONFIG!$F$21,IF(AE222&gt;=CONFIG!$E$20,CONFIG!$F$20,CONFIG!$F$19)))</f>
        <v/>
      </c>
      <c r="AG222" s="21" t="str">
        <f aca="false">IF(F222="","",TRIM(IF(N(M222)=0,"Sin ensayos. ","")&amp;IF(AND(N(M222)&gt;0,N(M222)&lt;CONFIG!$B$26),"Menos de "&amp;CONFIG!$B$26&amp;" probetas. ","")&amp;IF(N(T222)&gt;CONFIG!$B$25,"CV alto. ","")&amp;IF(AND(N(AD222)&gt;0,N(AD222)&gt;N(AF222)),"Absorción alta. ","")))</f>
        <v/>
      </c>
      <c r="AH222" s="22" t="str">
        <f aca="false">IF(AND(N(M222)&gt;0,OR(CONTROL!$C$4="TODAS",C222=CONTROL!$C$4),D222=CONTROL!$C$5),MAX($AH$4:AH221)+1,"")</f>
        <v/>
      </c>
      <c r="AI222" s="22" t="str">
        <f aca="false">IF(AH222="","",P222^2)</f>
        <v/>
      </c>
    </row>
    <row r="223" customFormat="false" ht="15" hidden="false" customHeight="false" outlineLevel="0" collapsed="false">
      <c r="A223" s="11" t="str">
        <f aca="false">IF(B223="","",ROW()-4)</f>
        <v/>
      </c>
      <c r="B223" s="12"/>
      <c r="C223" s="13"/>
      <c r="D223" s="13"/>
      <c r="E223" s="13"/>
      <c r="F223" s="14" t="str">
        <f aca="false">IF(OR(B223="",C223="",D223=""),"",IFERROR(INDEX(CONFIG!$E$5:$E$14,MATCH(D223,CONFIG!$D$5:$D$14,0)),"?")&amp;RIGHT("0"&amp;DAY(B223),2)&amp;RIGHT("0"&amp;MONTH(B223),2)&amp;RIGHT(YEAR(B223),2)&amp;C223&amp;IF(E223="","","-"&amp;E223))</f>
        <v/>
      </c>
      <c r="G223" s="13"/>
      <c r="H223" s="13"/>
      <c r="I223" s="13"/>
      <c r="J223" s="13"/>
      <c r="K223" s="13"/>
      <c r="L223" s="13"/>
      <c r="M223" s="11" t="str">
        <f aca="false">IF(F223="","",COUNTIFS(ENSAYOS!$C$5:$C$3004,F223,ENSAYOS!$Q$5:$Q$3004,"&gt;0"))</f>
        <v/>
      </c>
      <c r="N223" s="15" t="str">
        <f aca="false">IF(N(M223)=0,"",_xlfn.MINIFS(ENSAYOS!$G$5:$G$3004,ENSAYOS!$C$5:$C$3004,F223,ENSAYOS!$Q$5:$Q$3004,"&gt;0"))</f>
        <v/>
      </c>
      <c r="O223" s="15" t="str">
        <f aca="false">IF(N(M223)=0,"",_xlfn.MAXIFS(ENSAYOS!$G$5:$G$3004,ENSAYOS!$C$5:$C$3004,F223,ENSAYOS!$Q$5:$Q$3004,"&gt;0"))</f>
        <v/>
      </c>
      <c r="P223" s="16" t="str">
        <f aca="false">IF(N(M223)=0,"",AVERAGEIFS(ENSAYOS!$Q$5:$Q$3004,ENSAYOS!$C$5:$C$3004,F223,ENSAYOS!$Q$5:$Q$3004,"&gt;0"))</f>
        <v/>
      </c>
      <c r="Q223" s="16" t="str">
        <f aca="false">IF(N(M223)=0,"",_xlfn.MINIFS(ENSAYOS!$Q$5:$Q$3004,ENSAYOS!$C$5:$C$3004,F223,ENSAYOS!$Q$5:$Q$3004,"&gt;0"))</f>
        <v/>
      </c>
      <c r="R223" s="16" t="str">
        <f aca="false">IF(N(M223)=0,"",_xlfn.MAXIFS(ENSAYOS!$Q$5:$Q$3004,ENSAYOS!$C$5:$C$3004,F223,ENSAYOS!$Q$5:$Q$3004,"&gt;0"))</f>
        <v/>
      </c>
      <c r="S223" s="16" t="str">
        <f aca="false">IF(N(M223)&lt;2,"",SQRT(MAX(0,(SUMIFS(ENSAYOS!$X$5:$X$3004,ENSAYOS!$C$5:$C$3004,F223,ENSAYOS!$Q$5:$Q$3004,"&gt;0")-M223*P223^2)/(M223-1))))</f>
        <v/>
      </c>
      <c r="T223" s="17" t="str">
        <f aca="false">IF(S223="","",S223/P223)</f>
        <v/>
      </c>
      <c r="U223" s="16" t="str">
        <f aca="false">IF(N(M223)=0,"",IF(N223&gt;=CONFIG!$B$27,"",AVERAGEIFS(ENSAYOS!$Q$5:$Q$3004,ENSAYOS!$C$5:$C$3004,F223,ENSAYOS!$Q$5:$Q$3004,"&gt;0",ENSAYOS!$G$5:$G$3004,N223)))</f>
        <v/>
      </c>
      <c r="V223" s="16" t="str">
        <f aca="false">IF(N(M223)=0,"",IF(COUNTIFS(ENSAYOS!$C$5:$C$3004,F223,ENSAYOS!$Q$5:$Q$3004,"&gt;0",ENSAYOS!$G$5:$G$3004,"&gt;="&amp;CONFIG!$B$27)=0,"",AVERAGEIFS(ENSAYOS!$Q$5:$Q$3004,ENSAYOS!$C$5:$C$3004,F223,ENSAYOS!$Q$5:$Q$3004,"&gt;0",ENSAYOS!$G$5:$G$3004,"&gt;="&amp;CONFIG!$B$27)))</f>
        <v/>
      </c>
      <c r="W223" s="18" t="str">
        <f aca="false">IF(AND(U223&lt;&gt;"",V223&lt;&gt;""),U223/V223,"")</f>
        <v/>
      </c>
      <c r="X223" s="18" t="str">
        <f aca="false">IF(U223="","",INDEX('CURVA EDAD'!$E$5:$E$32,MIN(28,MAX(1,N223))))</f>
        <v/>
      </c>
      <c r="Y223" s="16" t="str">
        <f aca="false">IF(V223&lt;&gt;"",V223,IF(U223="","",U223/X223))</f>
        <v/>
      </c>
      <c r="Z223" s="16" t="str">
        <f aca="false">IF(V223&lt;&gt;"",_xlfn.MINIFS(ENSAYOS!$Q$5:$Q$3004,ENSAYOS!$C$5:$C$3004,F223,ENSAYOS!$Q$5:$Q$3004,"&gt;0",ENSAYOS!$G$5:$G$3004,"&gt;="&amp;CONFIG!$B$27),IF(U223="","",_xlfn.MINIFS(ENSAYOS!$Q$5:$Q$3004,ENSAYOS!$C$5:$C$3004,F223,ENSAYOS!$Q$5:$Q$3004,"&gt;0",ENSAYOS!$G$5:$G$3004,N223)/X223))</f>
        <v/>
      </c>
      <c r="AA223" s="16" t="str">
        <f aca="false">IF(D223="","",IFERROR(1/(1/INDEX(CONFIG!$J$5:$J$14,MATCH(D223,CONFIG!$D$5:$D$14,0))),""))</f>
        <v/>
      </c>
      <c r="AB223" s="16" t="str">
        <f aca="false">IF(D223="","",IFERROR(1/(1/INDEX(CONFIG!$K$5:$K$14,MATCH(D223,CONFIG!$D$5:$D$14,0))),""))</f>
        <v/>
      </c>
      <c r="AC223" s="19" t="str">
        <f aca="false">IF(N(M223)=0,"",IF(AA223="","Sin spec",IF(AND(Y223&gt;=AA223,OR(AB223="",Z223&gt;=AB223)),"CUMPLE","NO CUMPLE")&amp;IF(V223=""," (est.)","")))</f>
        <v/>
      </c>
      <c r="AD223" s="20" t="str">
        <f aca="false">IF(F223="","",IF(COUNTIFS(ABSORCION!$C$5:$C$1004,F223,ABSORCION!$I$5:$I$1004,"&gt;0")=0,"",AVERAGEIFS(ABSORCION!$I$5:$I$1004,ABSORCION!$C$5:$C$1004,F223,ABSORCION!$I$5:$I$1004,"&gt;0")))</f>
        <v/>
      </c>
      <c r="AE223" s="20" t="str">
        <f aca="false">IF(F223="","",IF(COUNTIFS(ABSORCION!$C$5:$C$1004,F223,ABSORCION!$I$5:$I$1004,"&gt;0")=0,"",AVERAGEIFS(ABSORCION!$K$5:$K$1004,ABSORCION!$C$5:$C$1004,F223,ABSORCION!$I$5:$I$1004,"&gt;0")))</f>
        <v/>
      </c>
      <c r="AF223" s="20" t="str">
        <f aca="false">IF(AE223="","",IF(AE223&gt;=CONFIG!$E$21,CONFIG!$F$21,IF(AE223&gt;=CONFIG!$E$20,CONFIG!$F$20,CONFIG!$F$19)))</f>
        <v/>
      </c>
      <c r="AG223" s="21" t="str">
        <f aca="false">IF(F223="","",TRIM(IF(N(M223)=0,"Sin ensayos. ","")&amp;IF(AND(N(M223)&gt;0,N(M223)&lt;CONFIG!$B$26),"Menos de "&amp;CONFIG!$B$26&amp;" probetas. ","")&amp;IF(N(T223)&gt;CONFIG!$B$25,"CV alto. ","")&amp;IF(AND(N(AD223)&gt;0,N(AD223)&gt;N(AF223)),"Absorción alta. ","")))</f>
        <v/>
      </c>
      <c r="AH223" s="22" t="str">
        <f aca="false">IF(AND(N(M223)&gt;0,OR(CONTROL!$C$4="TODAS",C223=CONTROL!$C$4),D223=CONTROL!$C$5),MAX($AH$4:AH222)+1,"")</f>
        <v/>
      </c>
      <c r="AI223" s="22" t="str">
        <f aca="false">IF(AH223="","",P223^2)</f>
        <v/>
      </c>
    </row>
    <row r="224" customFormat="false" ht="15" hidden="false" customHeight="false" outlineLevel="0" collapsed="false">
      <c r="A224" s="11" t="str">
        <f aca="false">IF(B224="","",ROW()-4)</f>
        <v/>
      </c>
      <c r="B224" s="12"/>
      <c r="C224" s="13"/>
      <c r="D224" s="13"/>
      <c r="E224" s="13"/>
      <c r="F224" s="14" t="str">
        <f aca="false">IF(OR(B224="",C224="",D224=""),"",IFERROR(INDEX(CONFIG!$E$5:$E$14,MATCH(D224,CONFIG!$D$5:$D$14,0)),"?")&amp;RIGHT("0"&amp;DAY(B224),2)&amp;RIGHT("0"&amp;MONTH(B224),2)&amp;RIGHT(YEAR(B224),2)&amp;C224&amp;IF(E224="","","-"&amp;E224))</f>
        <v/>
      </c>
      <c r="G224" s="13"/>
      <c r="H224" s="13"/>
      <c r="I224" s="13"/>
      <c r="J224" s="13"/>
      <c r="K224" s="13"/>
      <c r="L224" s="13"/>
      <c r="M224" s="11" t="str">
        <f aca="false">IF(F224="","",COUNTIFS(ENSAYOS!$C$5:$C$3004,F224,ENSAYOS!$Q$5:$Q$3004,"&gt;0"))</f>
        <v/>
      </c>
      <c r="N224" s="15" t="str">
        <f aca="false">IF(N(M224)=0,"",_xlfn.MINIFS(ENSAYOS!$G$5:$G$3004,ENSAYOS!$C$5:$C$3004,F224,ENSAYOS!$Q$5:$Q$3004,"&gt;0"))</f>
        <v/>
      </c>
      <c r="O224" s="15" t="str">
        <f aca="false">IF(N(M224)=0,"",_xlfn.MAXIFS(ENSAYOS!$G$5:$G$3004,ENSAYOS!$C$5:$C$3004,F224,ENSAYOS!$Q$5:$Q$3004,"&gt;0"))</f>
        <v/>
      </c>
      <c r="P224" s="16" t="str">
        <f aca="false">IF(N(M224)=0,"",AVERAGEIFS(ENSAYOS!$Q$5:$Q$3004,ENSAYOS!$C$5:$C$3004,F224,ENSAYOS!$Q$5:$Q$3004,"&gt;0"))</f>
        <v/>
      </c>
      <c r="Q224" s="16" t="str">
        <f aca="false">IF(N(M224)=0,"",_xlfn.MINIFS(ENSAYOS!$Q$5:$Q$3004,ENSAYOS!$C$5:$C$3004,F224,ENSAYOS!$Q$5:$Q$3004,"&gt;0"))</f>
        <v/>
      </c>
      <c r="R224" s="16" t="str">
        <f aca="false">IF(N(M224)=0,"",_xlfn.MAXIFS(ENSAYOS!$Q$5:$Q$3004,ENSAYOS!$C$5:$C$3004,F224,ENSAYOS!$Q$5:$Q$3004,"&gt;0"))</f>
        <v/>
      </c>
      <c r="S224" s="16" t="str">
        <f aca="false">IF(N(M224)&lt;2,"",SQRT(MAX(0,(SUMIFS(ENSAYOS!$X$5:$X$3004,ENSAYOS!$C$5:$C$3004,F224,ENSAYOS!$Q$5:$Q$3004,"&gt;0")-M224*P224^2)/(M224-1))))</f>
        <v/>
      </c>
      <c r="T224" s="17" t="str">
        <f aca="false">IF(S224="","",S224/P224)</f>
        <v/>
      </c>
      <c r="U224" s="16" t="str">
        <f aca="false">IF(N(M224)=0,"",IF(N224&gt;=CONFIG!$B$27,"",AVERAGEIFS(ENSAYOS!$Q$5:$Q$3004,ENSAYOS!$C$5:$C$3004,F224,ENSAYOS!$Q$5:$Q$3004,"&gt;0",ENSAYOS!$G$5:$G$3004,N224)))</f>
        <v/>
      </c>
      <c r="V224" s="16" t="str">
        <f aca="false">IF(N(M224)=0,"",IF(COUNTIFS(ENSAYOS!$C$5:$C$3004,F224,ENSAYOS!$Q$5:$Q$3004,"&gt;0",ENSAYOS!$G$5:$G$3004,"&gt;="&amp;CONFIG!$B$27)=0,"",AVERAGEIFS(ENSAYOS!$Q$5:$Q$3004,ENSAYOS!$C$5:$C$3004,F224,ENSAYOS!$Q$5:$Q$3004,"&gt;0",ENSAYOS!$G$5:$G$3004,"&gt;="&amp;CONFIG!$B$27)))</f>
        <v/>
      </c>
      <c r="W224" s="18" t="str">
        <f aca="false">IF(AND(U224&lt;&gt;"",V224&lt;&gt;""),U224/V224,"")</f>
        <v/>
      </c>
      <c r="X224" s="18" t="str">
        <f aca="false">IF(U224="","",INDEX('CURVA EDAD'!$E$5:$E$32,MIN(28,MAX(1,N224))))</f>
        <v/>
      </c>
      <c r="Y224" s="16" t="str">
        <f aca="false">IF(V224&lt;&gt;"",V224,IF(U224="","",U224/X224))</f>
        <v/>
      </c>
      <c r="Z224" s="16" t="str">
        <f aca="false">IF(V224&lt;&gt;"",_xlfn.MINIFS(ENSAYOS!$Q$5:$Q$3004,ENSAYOS!$C$5:$C$3004,F224,ENSAYOS!$Q$5:$Q$3004,"&gt;0",ENSAYOS!$G$5:$G$3004,"&gt;="&amp;CONFIG!$B$27),IF(U224="","",_xlfn.MINIFS(ENSAYOS!$Q$5:$Q$3004,ENSAYOS!$C$5:$C$3004,F224,ENSAYOS!$Q$5:$Q$3004,"&gt;0",ENSAYOS!$G$5:$G$3004,N224)/X224))</f>
        <v/>
      </c>
      <c r="AA224" s="16" t="str">
        <f aca="false">IF(D224="","",IFERROR(1/(1/INDEX(CONFIG!$J$5:$J$14,MATCH(D224,CONFIG!$D$5:$D$14,0))),""))</f>
        <v/>
      </c>
      <c r="AB224" s="16" t="str">
        <f aca="false">IF(D224="","",IFERROR(1/(1/INDEX(CONFIG!$K$5:$K$14,MATCH(D224,CONFIG!$D$5:$D$14,0))),""))</f>
        <v/>
      </c>
      <c r="AC224" s="19" t="str">
        <f aca="false">IF(N(M224)=0,"",IF(AA224="","Sin spec",IF(AND(Y224&gt;=AA224,OR(AB224="",Z224&gt;=AB224)),"CUMPLE","NO CUMPLE")&amp;IF(V224=""," (est.)","")))</f>
        <v/>
      </c>
      <c r="AD224" s="20" t="str">
        <f aca="false">IF(F224="","",IF(COUNTIFS(ABSORCION!$C$5:$C$1004,F224,ABSORCION!$I$5:$I$1004,"&gt;0")=0,"",AVERAGEIFS(ABSORCION!$I$5:$I$1004,ABSORCION!$C$5:$C$1004,F224,ABSORCION!$I$5:$I$1004,"&gt;0")))</f>
        <v/>
      </c>
      <c r="AE224" s="20" t="str">
        <f aca="false">IF(F224="","",IF(COUNTIFS(ABSORCION!$C$5:$C$1004,F224,ABSORCION!$I$5:$I$1004,"&gt;0")=0,"",AVERAGEIFS(ABSORCION!$K$5:$K$1004,ABSORCION!$C$5:$C$1004,F224,ABSORCION!$I$5:$I$1004,"&gt;0")))</f>
        <v/>
      </c>
      <c r="AF224" s="20" t="str">
        <f aca="false">IF(AE224="","",IF(AE224&gt;=CONFIG!$E$21,CONFIG!$F$21,IF(AE224&gt;=CONFIG!$E$20,CONFIG!$F$20,CONFIG!$F$19)))</f>
        <v/>
      </c>
      <c r="AG224" s="21" t="str">
        <f aca="false">IF(F224="","",TRIM(IF(N(M224)=0,"Sin ensayos. ","")&amp;IF(AND(N(M224)&gt;0,N(M224)&lt;CONFIG!$B$26),"Menos de "&amp;CONFIG!$B$26&amp;" probetas. ","")&amp;IF(N(T224)&gt;CONFIG!$B$25,"CV alto. ","")&amp;IF(AND(N(AD224)&gt;0,N(AD224)&gt;N(AF224)),"Absorción alta. ","")))</f>
        <v/>
      </c>
      <c r="AH224" s="22" t="str">
        <f aca="false">IF(AND(N(M224)&gt;0,OR(CONTROL!$C$4="TODAS",C224=CONTROL!$C$4),D224=CONTROL!$C$5),MAX($AH$4:AH223)+1,"")</f>
        <v/>
      </c>
      <c r="AI224" s="22" t="str">
        <f aca="false">IF(AH224="","",P224^2)</f>
        <v/>
      </c>
    </row>
    <row r="225" customFormat="false" ht="15" hidden="false" customHeight="false" outlineLevel="0" collapsed="false">
      <c r="A225" s="11" t="str">
        <f aca="false">IF(B225="","",ROW()-4)</f>
        <v/>
      </c>
      <c r="B225" s="12"/>
      <c r="C225" s="13"/>
      <c r="D225" s="13"/>
      <c r="E225" s="13"/>
      <c r="F225" s="14" t="str">
        <f aca="false">IF(OR(B225="",C225="",D225=""),"",IFERROR(INDEX(CONFIG!$E$5:$E$14,MATCH(D225,CONFIG!$D$5:$D$14,0)),"?")&amp;RIGHT("0"&amp;DAY(B225),2)&amp;RIGHT("0"&amp;MONTH(B225),2)&amp;RIGHT(YEAR(B225),2)&amp;C225&amp;IF(E225="","","-"&amp;E225))</f>
        <v/>
      </c>
      <c r="G225" s="13"/>
      <c r="H225" s="13"/>
      <c r="I225" s="13"/>
      <c r="J225" s="13"/>
      <c r="K225" s="13"/>
      <c r="L225" s="13"/>
      <c r="M225" s="11" t="str">
        <f aca="false">IF(F225="","",COUNTIFS(ENSAYOS!$C$5:$C$3004,F225,ENSAYOS!$Q$5:$Q$3004,"&gt;0"))</f>
        <v/>
      </c>
      <c r="N225" s="15" t="str">
        <f aca="false">IF(N(M225)=0,"",_xlfn.MINIFS(ENSAYOS!$G$5:$G$3004,ENSAYOS!$C$5:$C$3004,F225,ENSAYOS!$Q$5:$Q$3004,"&gt;0"))</f>
        <v/>
      </c>
      <c r="O225" s="15" t="str">
        <f aca="false">IF(N(M225)=0,"",_xlfn.MAXIFS(ENSAYOS!$G$5:$G$3004,ENSAYOS!$C$5:$C$3004,F225,ENSAYOS!$Q$5:$Q$3004,"&gt;0"))</f>
        <v/>
      </c>
      <c r="P225" s="16" t="str">
        <f aca="false">IF(N(M225)=0,"",AVERAGEIFS(ENSAYOS!$Q$5:$Q$3004,ENSAYOS!$C$5:$C$3004,F225,ENSAYOS!$Q$5:$Q$3004,"&gt;0"))</f>
        <v/>
      </c>
      <c r="Q225" s="16" t="str">
        <f aca="false">IF(N(M225)=0,"",_xlfn.MINIFS(ENSAYOS!$Q$5:$Q$3004,ENSAYOS!$C$5:$C$3004,F225,ENSAYOS!$Q$5:$Q$3004,"&gt;0"))</f>
        <v/>
      </c>
      <c r="R225" s="16" t="str">
        <f aca="false">IF(N(M225)=0,"",_xlfn.MAXIFS(ENSAYOS!$Q$5:$Q$3004,ENSAYOS!$C$5:$C$3004,F225,ENSAYOS!$Q$5:$Q$3004,"&gt;0"))</f>
        <v/>
      </c>
      <c r="S225" s="16" t="str">
        <f aca="false">IF(N(M225)&lt;2,"",SQRT(MAX(0,(SUMIFS(ENSAYOS!$X$5:$X$3004,ENSAYOS!$C$5:$C$3004,F225,ENSAYOS!$Q$5:$Q$3004,"&gt;0")-M225*P225^2)/(M225-1))))</f>
        <v/>
      </c>
      <c r="T225" s="17" t="str">
        <f aca="false">IF(S225="","",S225/P225)</f>
        <v/>
      </c>
      <c r="U225" s="16" t="str">
        <f aca="false">IF(N(M225)=0,"",IF(N225&gt;=CONFIG!$B$27,"",AVERAGEIFS(ENSAYOS!$Q$5:$Q$3004,ENSAYOS!$C$5:$C$3004,F225,ENSAYOS!$Q$5:$Q$3004,"&gt;0",ENSAYOS!$G$5:$G$3004,N225)))</f>
        <v/>
      </c>
      <c r="V225" s="16" t="str">
        <f aca="false">IF(N(M225)=0,"",IF(COUNTIFS(ENSAYOS!$C$5:$C$3004,F225,ENSAYOS!$Q$5:$Q$3004,"&gt;0",ENSAYOS!$G$5:$G$3004,"&gt;="&amp;CONFIG!$B$27)=0,"",AVERAGEIFS(ENSAYOS!$Q$5:$Q$3004,ENSAYOS!$C$5:$C$3004,F225,ENSAYOS!$Q$5:$Q$3004,"&gt;0",ENSAYOS!$G$5:$G$3004,"&gt;="&amp;CONFIG!$B$27)))</f>
        <v/>
      </c>
      <c r="W225" s="18" t="str">
        <f aca="false">IF(AND(U225&lt;&gt;"",V225&lt;&gt;""),U225/V225,"")</f>
        <v/>
      </c>
      <c r="X225" s="18" t="str">
        <f aca="false">IF(U225="","",INDEX('CURVA EDAD'!$E$5:$E$32,MIN(28,MAX(1,N225))))</f>
        <v/>
      </c>
      <c r="Y225" s="16" t="str">
        <f aca="false">IF(V225&lt;&gt;"",V225,IF(U225="","",U225/X225))</f>
        <v/>
      </c>
      <c r="Z225" s="16" t="str">
        <f aca="false">IF(V225&lt;&gt;"",_xlfn.MINIFS(ENSAYOS!$Q$5:$Q$3004,ENSAYOS!$C$5:$C$3004,F225,ENSAYOS!$Q$5:$Q$3004,"&gt;0",ENSAYOS!$G$5:$G$3004,"&gt;="&amp;CONFIG!$B$27),IF(U225="","",_xlfn.MINIFS(ENSAYOS!$Q$5:$Q$3004,ENSAYOS!$C$5:$C$3004,F225,ENSAYOS!$Q$5:$Q$3004,"&gt;0",ENSAYOS!$G$5:$G$3004,N225)/X225))</f>
        <v/>
      </c>
      <c r="AA225" s="16" t="str">
        <f aca="false">IF(D225="","",IFERROR(1/(1/INDEX(CONFIG!$J$5:$J$14,MATCH(D225,CONFIG!$D$5:$D$14,0))),""))</f>
        <v/>
      </c>
      <c r="AB225" s="16" t="str">
        <f aca="false">IF(D225="","",IFERROR(1/(1/INDEX(CONFIG!$K$5:$K$14,MATCH(D225,CONFIG!$D$5:$D$14,0))),""))</f>
        <v/>
      </c>
      <c r="AC225" s="19" t="str">
        <f aca="false">IF(N(M225)=0,"",IF(AA225="","Sin spec",IF(AND(Y225&gt;=AA225,OR(AB225="",Z225&gt;=AB225)),"CUMPLE","NO CUMPLE")&amp;IF(V225=""," (est.)","")))</f>
        <v/>
      </c>
      <c r="AD225" s="20" t="str">
        <f aca="false">IF(F225="","",IF(COUNTIFS(ABSORCION!$C$5:$C$1004,F225,ABSORCION!$I$5:$I$1004,"&gt;0")=0,"",AVERAGEIFS(ABSORCION!$I$5:$I$1004,ABSORCION!$C$5:$C$1004,F225,ABSORCION!$I$5:$I$1004,"&gt;0")))</f>
        <v/>
      </c>
      <c r="AE225" s="20" t="str">
        <f aca="false">IF(F225="","",IF(COUNTIFS(ABSORCION!$C$5:$C$1004,F225,ABSORCION!$I$5:$I$1004,"&gt;0")=0,"",AVERAGEIFS(ABSORCION!$K$5:$K$1004,ABSORCION!$C$5:$C$1004,F225,ABSORCION!$I$5:$I$1004,"&gt;0")))</f>
        <v/>
      </c>
      <c r="AF225" s="20" t="str">
        <f aca="false">IF(AE225="","",IF(AE225&gt;=CONFIG!$E$21,CONFIG!$F$21,IF(AE225&gt;=CONFIG!$E$20,CONFIG!$F$20,CONFIG!$F$19)))</f>
        <v/>
      </c>
      <c r="AG225" s="21" t="str">
        <f aca="false">IF(F225="","",TRIM(IF(N(M225)=0,"Sin ensayos. ","")&amp;IF(AND(N(M225)&gt;0,N(M225)&lt;CONFIG!$B$26),"Menos de "&amp;CONFIG!$B$26&amp;" probetas. ","")&amp;IF(N(T225)&gt;CONFIG!$B$25,"CV alto. ","")&amp;IF(AND(N(AD225)&gt;0,N(AD225)&gt;N(AF225)),"Absorción alta. ","")))</f>
        <v/>
      </c>
      <c r="AH225" s="22" t="str">
        <f aca="false">IF(AND(N(M225)&gt;0,OR(CONTROL!$C$4="TODAS",C225=CONTROL!$C$4),D225=CONTROL!$C$5),MAX($AH$4:AH224)+1,"")</f>
        <v/>
      </c>
      <c r="AI225" s="22" t="str">
        <f aca="false">IF(AH225="","",P225^2)</f>
        <v/>
      </c>
    </row>
    <row r="226" customFormat="false" ht="15" hidden="false" customHeight="false" outlineLevel="0" collapsed="false">
      <c r="A226" s="11" t="str">
        <f aca="false">IF(B226="","",ROW()-4)</f>
        <v/>
      </c>
      <c r="B226" s="12"/>
      <c r="C226" s="13"/>
      <c r="D226" s="13"/>
      <c r="E226" s="13"/>
      <c r="F226" s="14" t="str">
        <f aca="false">IF(OR(B226="",C226="",D226=""),"",IFERROR(INDEX(CONFIG!$E$5:$E$14,MATCH(D226,CONFIG!$D$5:$D$14,0)),"?")&amp;RIGHT("0"&amp;DAY(B226),2)&amp;RIGHT("0"&amp;MONTH(B226),2)&amp;RIGHT(YEAR(B226),2)&amp;C226&amp;IF(E226="","","-"&amp;E226))</f>
        <v/>
      </c>
      <c r="G226" s="13"/>
      <c r="H226" s="13"/>
      <c r="I226" s="13"/>
      <c r="J226" s="13"/>
      <c r="K226" s="13"/>
      <c r="L226" s="13"/>
      <c r="M226" s="11" t="str">
        <f aca="false">IF(F226="","",COUNTIFS(ENSAYOS!$C$5:$C$3004,F226,ENSAYOS!$Q$5:$Q$3004,"&gt;0"))</f>
        <v/>
      </c>
      <c r="N226" s="15" t="str">
        <f aca="false">IF(N(M226)=0,"",_xlfn.MINIFS(ENSAYOS!$G$5:$G$3004,ENSAYOS!$C$5:$C$3004,F226,ENSAYOS!$Q$5:$Q$3004,"&gt;0"))</f>
        <v/>
      </c>
      <c r="O226" s="15" t="str">
        <f aca="false">IF(N(M226)=0,"",_xlfn.MAXIFS(ENSAYOS!$G$5:$G$3004,ENSAYOS!$C$5:$C$3004,F226,ENSAYOS!$Q$5:$Q$3004,"&gt;0"))</f>
        <v/>
      </c>
      <c r="P226" s="16" t="str">
        <f aca="false">IF(N(M226)=0,"",AVERAGEIFS(ENSAYOS!$Q$5:$Q$3004,ENSAYOS!$C$5:$C$3004,F226,ENSAYOS!$Q$5:$Q$3004,"&gt;0"))</f>
        <v/>
      </c>
      <c r="Q226" s="16" t="str">
        <f aca="false">IF(N(M226)=0,"",_xlfn.MINIFS(ENSAYOS!$Q$5:$Q$3004,ENSAYOS!$C$5:$C$3004,F226,ENSAYOS!$Q$5:$Q$3004,"&gt;0"))</f>
        <v/>
      </c>
      <c r="R226" s="16" t="str">
        <f aca="false">IF(N(M226)=0,"",_xlfn.MAXIFS(ENSAYOS!$Q$5:$Q$3004,ENSAYOS!$C$5:$C$3004,F226,ENSAYOS!$Q$5:$Q$3004,"&gt;0"))</f>
        <v/>
      </c>
      <c r="S226" s="16" t="str">
        <f aca="false">IF(N(M226)&lt;2,"",SQRT(MAX(0,(SUMIFS(ENSAYOS!$X$5:$X$3004,ENSAYOS!$C$5:$C$3004,F226,ENSAYOS!$Q$5:$Q$3004,"&gt;0")-M226*P226^2)/(M226-1))))</f>
        <v/>
      </c>
      <c r="T226" s="17" t="str">
        <f aca="false">IF(S226="","",S226/P226)</f>
        <v/>
      </c>
      <c r="U226" s="16" t="str">
        <f aca="false">IF(N(M226)=0,"",IF(N226&gt;=CONFIG!$B$27,"",AVERAGEIFS(ENSAYOS!$Q$5:$Q$3004,ENSAYOS!$C$5:$C$3004,F226,ENSAYOS!$Q$5:$Q$3004,"&gt;0",ENSAYOS!$G$5:$G$3004,N226)))</f>
        <v/>
      </c>
      <c r="V226" s="16" t="str">
        <f aca="false">IF(N(M226)=0,"",IF(COUNTIFS(ENSAYOS!$C$5:$C$3004,F226,ENSAYOS!$Q$5:$Q$3004,"&gt;0",ENSAYOS!$G$5:$G$3004,"&gt;="&amp;CONFIG!$B$27)=0,"",AVERAGEIFS(ENSAYOS!$Q$5:$Q$3004,ENSAYOS!$C$5:$C$3004,F226,ENSAYOS!$Q$5:$Q$3004,"&gt;0",ENSAYOS!$G$5:$G$3004,"&gt;="&amp;CONFIG!$B$27)))</f>
        <v/>
      </c>
      <c r="W226" s="18" t="str">
        <f aca="false">IF(AND(U226&lt;&gt;"",V226&lt;&gt;""),U226/V226,"")</f>
        <v/>
      </c>
      <c r="X226" s="18" t="str">
        <f aca="false">IF(U226="","",INDEX('CURVA EDAD'!$E$5:$E$32,MIN(28,MAX(1,N226))))</f>
        <v/>
      </c>
      <c r="Y226" s="16" t="str">
        <f aca="false">IF(V226&lt;&gt;"",V226,IF(U226="","",U226/X226))</f>
        <v/>
      </c>
      <c r="Z226" s="16" t="str">
        <f aca="false">IF(V226&lt;&gt;"",_xlfn.MINIFS(ENSAYOS!$Q$5:$Q$3004,ENSAYOS!$C$5:$C$3004,F226,ENSAYOS!$Q$5:$Q$3004,"&gt;0",ENSAYOS!$G$5:$G$3004,"&gt;="&amp;CONFIG!$B$27),IF(U226="","",_xlfn.MINIFS(ENSAYOS!$Q$5:$Q$3004,ENSAYOS!$C$5:$C$3004,F226,ENSAYOS!$Q$5:$Q$3004,"&gt;0",ENSAYOS!$G$5:$G$3004,N226)/X226))</f>
        <v/>
      </c>
      <c r="AA226" s="16" t="str">
        <f aca="false">IF(D226="","",IFERROR(1/(1/INDEX(CONFIG!$J$5:$J$14,MATCH(D226,CONFIG!$D$5:$D$14,0))),""))</f>
        <v/>
      </c>
      <c r="AB226" s="16" t="str">
        <f aca="false">IF(D226="","",IFERROR(1/(1/INDEX(CONFIG!$K$5:$K$14,MATCH(D226,CONFIG!$D$5:$D$14,0))),""))</f>
        <v/>
      </c>
      <c r="AC226" s="19" t="str">
        <f aca="false">IF(N(M226)=0,"",IF(AA226="","Sin spec",IF(AND(Y226&gt;=AA226,OR(AB226="",Z226&gt;=AB226)),"CUMPLE","NO CUMPLE")&amp;IF(V226=""," (est.)","")))</f>
        <v/>
      </c>
      <c r="AD226" s="20" t="str">
        <f aca="false">IF(F226="","",IF(COUNTIFS(ABSORCION!$C$5:$C$1004,F226,ABSORCION!$I$5:$I$1004,"&gt;0")=0,"",AVERAGEIFS(ABSORCION!$I$5:$I$1004,ABSORCION!$C$5:$C$1004,F226,ABSORCION!$I$5:$I$1004,"&gt;0")))</f>
        <v/>
      </c>
      <c r="AE226" s="20" t="str">
        <f aca="false">IF(F226="","",IF(COUNTIFS(ABSORCION!$C$5:$C$1004,F226,ABSORCION!$I$5:$I$1004,"&gt;0")=0,"",AVERAGEIFS(ABSORCION!$K$5:$K$1004,ABSORCION!$C$5:$C$1004,F226,ABSORCION!$I$5:$I$1004,"&gt;0")))</f>
        <v/>
      </c>
      <c r="AF226" s="20" t="str">
        <f aca="false">IF(AE226="","",IF(AE226&gt;=CONFIG!$E$21,CONFIG!$F$21,IF(AE226&gt;=CONFIG!$E$20,CONFIG!$F$20,CONFIG!$F$19)))</f>
        <v/>
      </c>
      <c r="AG226" s="21" t="str">
        <f aca="false">IF(F226="","",TRIM(IF(N(M226)=0,"Sin ensayos. ","")&amp;IF(AND(N(M226)&gt;0,N(M226)&lt;CONFIG!$B$26),"Menos de "&amp;CONFIG!$B$26&amp;" probetas. ","")&amp;IF(N(T226)&gt;CONFIG!$B$25,"CV alto. ","")&amp;IF(AND(N(AD226)&gt;0,N(AD226)&gt;N(AF226)),"Absorción alta. ","")))</f>
        <v/>
      </c>
      <c r="AH226" s="22" t="str">
        <f aca="false">IF(AND(N(M226)&gt;0,OR(CONTROL!$C$4="TODAS",C226=CONTROL!$C$4),D226=CONTROL!$C$5),MAX($AH$4:AH225)+1,"")</f>
        <v/>
      </c>
      <c r="AI226" s="22" t="str">
        <f aca="false">IF(AH226="","",P226^2)</f>
        <v/>
      </c>
    </row>
    <row r="227" customFormat="false" ht="15" hidden="false" customHeight="false" outlineLevel="0" collapsed="false">
      <c r="A227" s="11" t="str">
        <f aca="false">IF(B227="","",ROW()-4)</f>
        <v/>
      </c>
      <c r="B227" s="12"/>
      <c r="C227" s="13"/>
      <c r="D227" s="13"/>
      <c r="E227" s="13"/>
      <c r="F227" s="14" t="str">
        <f aca="false">IF(OR(B227="",C227="",D227=""),"",IFERROR(INDEX(CONFIG!$E$5:$E$14,MATCH(D227,CONFIG!$D$5:$D$14,0)),"?")&amp;RIGHT("0"&amp;DAY(B227),2)&amp;RIGHT("0"&amp;MONTH(B227),2)&amp;RIGHT(YEAR(B227),2)&amp;C227&amp;IF(E227="","","-"&amp;E227))</f>
        <v/>
      </c>
      <c r="G227" s="13"/>
      <c r="H227" s="13"/>
      <c r="I227" s="13"/>
      <c r="J227" s="13"/>
      <c r="K227" s="13"/>
      <c r="L227" s="13"/>
      <c r="M227" s="11" t="str">
        <f aca="false">IF(F227="","",COUNTIFS(ENSAYOS!$C$5:$C$3004,F227,ENSAYOS!$Q$5:$Q$3004,"&gt;0"))</f>
        <v/>
      </c>
      <c r="N227" s="15" t="str">
        <f aca="false">IF(N(M227)=0,"",_xlfn.MINIFS(ENSAYOS!$G$5:$G$3004,ENSAYOS!$C$5:$C$3004,F227,ENSAYOS!$Q$5:$Q$3004,"&gt;0"))</f>
        <v/>
      </c>
      <c r="O227" s="15" t="str">
        <f aca="false">IF(N(M227)=0,"",_xlfn.MAXIFS(ENSAYOS!$G$5:$G$3004,ENSAYOS!$C$5:$C$3004,F227,ENSAYOS!$Q$5:$Q$3004,"&gt;0"))</f>
        <v/>
      </c>
      <c r="P227" s="16" t="str">
        <f aca="false">IF(N(M227)=0,"",AVERAGEIFS(ENSAYOS!$Q$5:$Q$3004,ENSAYOS!$C$5:$C$3004,F227,ENSAYOS!$Q$5:$Q$3004,"&gt;0"))</f>
        <v/>
      </c>
      <c r="Q227" s="16" t="str">
        <f aca="false">IF(N(M227)=0,"",_xlfn.MINIFS(ENSAYOS!$Q$5:$Q$3004,ENSAYOS!$C$5:$C$3004,F227,ENSAYOS!$Q$5:$Q$3004,"&gt;0"))</f>
        <v/>
      </c>
      <c r="R227" s="16" t="str">
        <f aca="false">IF(N(M227)=0,"",_xlfn.MAXIFS(ENSAYOS!$Q$5:$Q$3004,ENSAYOS!$C$5:$C$3004,F227,ENSAYOS!$Q$5:$Q$3004,"&gt;0"))</f>
        <v/>
      </c>
      <c r="S227" s="16" t="str">
        <f aca="false">IF(N(M227)&lt;2,"",SQRT(MAX(0,(SUMIFS(ENSAYOS!$X$5:$X$3004,ENSAYOS!$C$5:$C$3004,F227,ENSAYOS!$Q$5:$Q$3004,"&gt;0")-M227*P227^2)/(M227-1))))</f>
        <v/>
      </c>
      <c r="T227" s="17" t="str">
        <f aca="false">IF(S227="","",S227/P227)</f>
        <v/>
      </c>
      <c r="U227" s="16" t="str">
        <f aca="false">IF(N(M227)=0,"",IF(N227&gt;=CONFIG!$B$27,"",AVERAGEIFS(ENSAYOS!$Q$5:$Q$3004,ENSAYOS!$C$5:$C$3004,F227,ENSAYOS!$Q$5:$Q$3004,"&gt;0",ENSAYOS!$G$5:$G$3004,N227)))</f>
        <v/>
      </c>
      <c r="V227" s="16" t="str">
        <f aca="false">IF(N(M227)=0,"",IF(COUNTIFS(ENSAYOS!$C$5:$C$3004,F227,ENSAYOS!$Q$5:$Q$3004,"&gt;0",ENSAYOS!$G$5:$G$3004,"&gt;="&amp;CONFIG!$B$27)=0,"",AVERAGEIFS(ENSAYOS!$Q$5:$Q$3004,ENSAYOS!$C$5:$C$3004,F227,ENSAYOS!$Q$5:$Q$3004,"&gt;0",ENSAYOS!$G$5:$G$3004,"&gt;="&amp;CONFIG!$B$27)))</f>
        <v/>
      </c>
      <c r="W227" s="18" t="str">
        <f aca="false">IF(AND(U227&lt;&gt;"",V227&lt;&gt;""),U227/V227,"")</f>
        <v/>
      </c>
      <c r="X227" s="18" t="str">
        <f aca="false">IF(U227="","",INDEX('CURVA EDAD'!$E$5:$E$32,MIN(28,MAX(1,N227))))</f>
        <v/>
      </c>
      <c r="Y227" s="16" t="str">
        <f aca="false">IF(V227&lt;&gt;"",V227,IF(U227="","",U227/X227))</f>
        <v/>
      </c>
      <c r="Z227" s="16" t="str">
        <f aca="false">IF(V227&lt;&gt;"",_xlfn.MINIFS(ENSAYOS!$Q$5:$Q$3004,ENSAYOS!$C$5:$C$3004,F227,ENSAYOS!$Q$5:$Q$3004,"&gt;0",ENSAYOS!$G$5:$G$3004,"&gt;="&amp;CONFIG!$B$27),IF(U227="","",_xlfn.MINIFS(ENSAYOS!$Q$5:$Q$3004,ENSAYOS!$C$5:$C$3004,F227,ENSAYOS!$Q$5:$Q$3004,"&gt;0",ENSAYOS!$G$5:$G$3004,N227)/X227))</f>
        <v/>
      </c>
      <c r="AA227" s="16" t="str">
        <f aca="false">IF(D227="","",IFERROR(1/(1/INDEX(CONFIG!$J$5:$J$14,MATCH(D227,CONFIG!$D$5:$D$14,0))),""))</f>
        <v/>
      </c>
      <c r="AB227" s="16" t="str">
        <f aca="false">IF(D227="","",IFERROR(1/(1/INDEX(CONFIG!$K$5:$K$14,MATCH(D227,CONFIG!$D$5:$D$14,0))),""))</f>
        <v/>
      </c>
      <c r="AC227" s="19" t="str">
        <f aca="false">IF(N(M227)=0,"",IF(AA227="","Sin spec",IF(AND(Y227&gt;=AA227,OR(AB227="",Z227&gt;=AB227)),"CUMPLE","NO CUMPLE")&amp;IF(V227=""," (est.)","")))</f>
        <v/>
      </c>
      <c r="AD227" s="20" t="str">
        <f aca="false">IF(F227="","",IF(COUNTIFS(ABSORCION!$C$5:$C$1004,F227,ABSORCION!$I$5:$I$1004,"&gt;0")=0,"",AVERAGEIFS(ABSORCION!$I$5:$I$1004,ABSORCION!$C$5:$C$1004,F227,ABSORCION!$I$5:$I$1004,"&gt;0")))</f>
        <v/>
      </c>
      <c r="AE227" s="20" t="str">
        <f aca="false">IF(F227="","",IF(COUNTIFS(ABSORCION!$C$5:$C$1004,F227,ABSORCION!$I$5:$I$1004,"&gt;0")=0,"",AVERAGEIFS(ABSORCION!$K$5:$K$1004,ABSORCION!$C$5:$C$1004,F227,ABSORCION!$I$5:$I$1004,"&gt;0")))</f>
        <v/>
      </c>
      <c r="AF227" s="20" t="str">
        <f aca="false">IF(AE227="","",IF(AE227&gt;=CONFIG!$E$21,CONFIG!$F$21,IF(AE227&gt;=CONFIG!$E$20,CONFIG!$F$20,CONFIG!$F$19)))</f>
        <v/>
      </c>
      <c r="AG227" s="21" t="str">
        <f aca="false">IF(F227="","",TRIM(IF(N(M227)=0,"Sin ensayos. ","")&amp;IF(AND(N(M227)&gt;0,N(M227)&lt;CONFIG!$B$26),"Menos de "&amp;CONFIG!$B$26&amp;" probetas. ","")&amp;IF(N(T227)&gt;CONFIG!$B$25,"CV alto. ","")&amp;IF(AND(N(AD227)&gt;0,N(AD227)&gt;N(AF227)),"Absorción alta. ","")))</f>
        <v/>
      </c>
      <c r="AH227" s="22" t="str">
        <f aca="false">IF(AND(N(M227)&gt;0,OR(CONTROL!$C$4="TODAS",C227=CONTROL!$C$4),D227=CONTROL!$C$5),MAX($AH$4:AH226)+1,"")</f>
        <v/>
      </c>
      <c r="AI227" s="22" t="str">
        <f aca="false">IF(AH227="","",P227^2)</f>
        <v/>
      </c>
    </row>
    <row r="228" customFormat="false" ht="15" hidden="false" customHeight="false" outlineLevel="0" collapsed="false">
      <c r="A228" s="11" t="str">
        <f aca="false">IF(B228="","",ROW()-4)</f>
        <v/>
      </c>
      <c r="B228" s="12"/>
      <c r="C228" s="13"/>
      <c r="D228" s="13"/>
      <c r="E228" s="13"/>
      <c r="F228" s="14" t="str">
        <f aca="false">IF(OR(B228="",C228="",D228=""),"",IFERROR(INDEX(CONFIG!$E$5:$E$14,MATCH(D228,CONFIG!$D$5:$D$14,0)),"?")&amp;RIGHT("0"&amp;DAY(B228),2)&amp;RIGHT("0"&amp;MONTH(B228),2)&amp;RIGHT(YEAR(B228),2)&amp;C228&amp;IF(E228="","","-"&amp;E228))</f>
        <v/>
      </c>
      <c r="G228" s="13"/>
      <c r="H228" s="13"/>
      <c r="I228" s="13"/>
      <c r="J228" s="13"/>
      <c r="K228" s="13"/>
      <c r="L228" s="13"/>
      <c r="M228" s="11" t="str">
        <f aca="false">IF(F228="","",COUNTIFS(ENSAYOS!$C$5:$C$3004,F228,ENSAYOS!$Q$5:$Q$3004,"&gt;0"))</f>
        <v/>
      </c>
      <c r="N228" s="15" t="str">
        <f aca="false">IF(N(M228)=0,"",_xlfn.MINIFS(ENSAYOS!$G$5:$G$3004,ENSAYOS!$C$5:$C$3004,F228,ENSAYOS!$Q$5:$Q$3004,"&gt;0"))</f>
        <v/>
      </c>
      <c r="O228" s="15" t="str">
        <f aca="false">IF(N(M228)=0,"",_xlfn.MAXIFS(ENSAYOS!$G$5:$G$3004,ENSAYOS!$C$5:$C$3004,F228,ENSAYOS!$Q$5:$Q$3004,"&gt;0"))</f>
        <v/>
      </c>
      <c r="P228" s="16" t="str">
        <f aca="false">IF(N(M228)=0,"",AVERAGEIFS(ENSAYOS!$Q$5:$Q$3004,ENSAYOS!$C$5:$C$3004,F228,ENSAYOS!$Q$5:$Q$3004,"&gt;0"))</f>
        <v/>
      </c>
      <c r="Q228" s="16" t="str">
        <f aca="false">IF(N(M228)=0,"",_xlfn.MINIFS(ENSAYOS!$Q$5:$Q$3004,ENSAYOS!$C$5:$C$3004,F228,ENSAYOS!$Q$5:$Q$3004,"&gt;0"))</f>
        <v/>
      </c>
      <c r="R228" s="16" t="str">
        <f aca="false">IF(N(M228)=0,"",_xlfn.MAXIFS(ENSAYOS!$Q$5:$Q$3004,ENSAYOS!$C$5:$C$3004,F228,ENSAYOS!$Q$5:$Q$3004,"&gt;0"))</f>
        <v/>
      </c>
      <c r="S228" s="16" t="str">
        <f aca="false">IF(N(M228)&lt;2,"",SQRT(MAX(0,(SUMIFS(ENSAYOS!$X$5:$X$3004,ENSAYOS!$C$5:$C$3004,F228,ENSAYOS!$Q$5:$Q$3004,"&gt;0")-M228*P228^2)/(M228-1))))</f>
        <v/>
      </c>
      <c r="T228" s="17" t="str">
        <f aca="false">IF(S228="","",S228/P228)</f>
        <v/>
      </c>
      <c r="U228" s="16" t="str">
        <f aca="false">IF(N(M228)=0,"",IF(N228&gt;=CONFIG!$B$27,"",AVERAGEIFS(ENSAYOS!$Q$5:$Q$3004,ENSAYOS!$C$5:$C$3004,F228,ENSAYOS!$Q$5:$Q$3004,"&gt;0",ENSAYOS!$G$5:$G$3004,N228)))</f>
        <v/>
      </c>
      <c r="V228" s="16" t="str">
        <f aca="false">IF(N(M228)=0,"",IF(COUNTIFS(ENSAYOS!$C$5:$C$3004,F228,ENSAYOS!$Q$5:$Q$3004,"&gt;0",ENSAYOS!$G$5:$G$3004,"&gt;="&amp;CONFIG!$B$27)=0,"",AVERAGEIFS(ENSAYOS!$Q$5:$Q$3004,ENSAYOS!$C$5:$C$3004,F228,ENSAYOS!$Q$5:$Q$3004,"&gt;0",ENSAYOS!$G$5:$G$3004,"&gt;="&amp;CONFIG!$B$27)))</f>
        <v/>
      </c>
      <c r="W228" s="18" t="str">
        <f aca="false">IF(AND(U228&lt;&gt;"",V228&lt;&gt;""),U228/V228,"")</f>
        <v/>
      </c>
      <c r="X228" s="18" t="str">
        <f aca="false">IF(U228="","",INDEX('CURVA EDAD'!$E$5:$E$32,MIN(28,MAX(1,N228))))</f>
        <v/>
      </c>
      <c r="Y228" s="16" t="str">
        <f aca="false">IF(V228&lt;&gt;"",V228,IF(U228="","",U228/X228))</f>
        <v/>
      </c>
      <c r="Z228" s="16" t="str">
        <f aca="false">IF(V228&lt;&gt;"",_xlfn.MINIFS(ENSAYOS!$Q$5:$Q$3004,ENSAYOS!$C$5:$C$3004,F228,ENSAYOS!$Q$5:$Q$3004,"&gt;0",ENSAYOS!$G$5:$G$3004,"&gt;="&amp;CONFIG!$B$27),IF(U228="","",_xlfn.MINIFS(ENSAYOS!$Q$5:$Q$3004,ENSAYOS!$C$5:$C$3004,F228,ENSAYOS!$Q$5:$Q$3004,"&gt;0",ENSAYOS!$G$5:$G$3004,N228)/X228))</f>
        <v/>
      </c>
      <c r="AA228" s="16" t="str">
        <f aca="false">IF(D228="","",IFERROR(1/(1/INDEX(CONFIG!$J$5:$J$14,MATCH(D228,CONFIG!$D$5:$D$14,0))),""))</f>
        <v/>
      </c>
      <c r="AB228" s="16" t="str">
        <f aca="false">IF(D228="","",IFERROR(1/(1/INDEX(CONFIG!$K$5:$K$14,MATCH(D228,CONFIG!$D$5:$D$14,0))),""))</f>
        <v/>
      </c>
      <c r="AC228" s="19" t="str">
        <f aca="false">IF(N(M228)=0,"",IF(AA228="","Sin spec",IF(AND(Y228&gt;=AA228,OR(AB228="",Z228&gt;=AB228)),"CUMPLE","NO CUMPLE")&amp;IF(V228=""," (est.)","")))</f>
        <v/>
      </c>
      <c r="AD228" s="20" t="str">
        <f aca="false">IF(F228="","",IF(COUNTIFS(ABSORCION!$C$5:$C$1004,F228,ABSORCION!$I$5:$I$1004,"&gt;0")=0,"",AVERAGEIFS(ABSORCION!$I$5:$I$1004,ABSORCION!$C$5:$C$1004,F228,ABSORCION!$I$5:$I$1004,"&gt;0")))</f>
        <v/>
      </c>
      <c r="AE228" s="20" t="str">
        <f aca="false">IF(F228="","",IF(COUNTIFS(ABSORCION!$C$5:$C$1004,F228,ABSORCION!$I$5:$I$1004,"&gt;0")=0,"",AVERAGEIFS(ABSORCION!$K$5:$K$1004,ABSORCION!$C$5:$C$1004,F228,ABSORCION!$I$5:$I$1004,"&gt;0")))</f>
        <v/>
      </c>
      <c r="AF228" s="20" t="str">
        <f aca="false">IF(AE228="","",IF(AE228&gt;=CONFIG!$E$21,CONFIG!$F$21,IF(AE228&gt;=CONFIG!$E$20,CONFIG!$F$20,CONFIG!$F$19)))</f>
        <v/>
      </c>
      <c r="AG228" s="21" t="str">
        <f aca="false">IF(F228="","",TRIM(IF(N(M228)=0,"Sin ensayos. ","")&amp;IF(AND(N(M228)&gt;0,N(M228)&lt;CONFIG!$B$26),"Menos de "&amp;CONFIG!$B$26&amp;" probetas. ","")&amp;IF(N(T228)&gt;CONFIG!$B$25,"CV alto. ","")&amp;IF(AND(N(AD228)&gt;0,N(AD228)&gt;N(AF228)),"Absorción alta. ","")))</f>
        <v/>
      </c>
      <c r="AH228" s="22" t="str">
        <f aca="false">IF(AND(N(M228)&gt;0,OR(CONTROL!$C$4="TODAS",C228=CONTROL!$C$4),D228=CONTROL!$C$5),MAX($AH$4:AH227)+1,"")</f>
        <v/>
      </c>
      <c r="AI228" s="22" t="str">
        <f aca="false">IF(AH228="","",P228^2)</f>
        <v/>
      </c>
    </row>
    <row r="229" customFormat="false" ht="15" hidden="false" customHeight="false" outlineLevel="0" collapsed="false">
      <c r="A229" s="11" t="str">
        <f aca="false">IF(B229="","",ROW()-4)</f>
        <v/>
      </c>
      <c r="B229" s="12"/>
      <c r="C229" s="13"/>
      <c r="D229" s="13"/>
      <c r="E229" s="13"/>
      <c r="F229" s="14" t="str">
        <f aca="false">IF(OR(B229="",C229="",D229=""),"",IFERROR(INDEX(CONFIG!$E$5:$E$14,MATCH(D229,CONFIG!$D$5:$D$14,0)),"?")&amp;RIGHT("0"&amp;DAY(B229),2)&amp;RIGHT("0"&amp;MONTH(B229),2)&amp;RIGHT(YEAR(B229),2)&amp;C229&amp;IF(E229="","","-"&amp;E229))</f>
        <v/>
      </c>
      <c r="G229" s="13"/>
      <c r="H229" s="13"/>
      <c r="I229" s="13"/>
      <c r="J229" s="13"/>
      <c r="K229" s="13"/>
      <c r="L229" s="13"/>
      <c r="M229" s="11" t="str">
        <f aca="false">IF(F229="","",COUNTIFS(ENSAYOS!$C$5:$C$3004,F229,ENSAYOS!$Q$5:$Q$3004,"&gt;0"))</f>
        <v/>
      </c>
      <c r="N229" s="15" t="str">
        <f aca="false">IF(N(M229)=0,"",_xlfn.MINIFS(ENSAYOS!$G$5:$G$3004,ENSAYOS!$C$5:$C$3004,F229,ENSAYOS!$Q$5:$Q$3004,"&gt;0"))</f>
        <v/>
      </c>
      <c r="O229" s="15" t="str">
        <f aca="false">IF(N(M229)=0,"",_xlfn.MAXIFS(ENSAYOS!$G$5:$G$3004,ENSAYOS!$C$5:$C$3004,F229,ENSAYOS!$Q$5:$Q$3004,"&gt;0"))</f>
        <v/>
      </c>
      <c r="P229" s="16" t="str">
        <f aca="false">IF(N(M229)=0,"",AVERAGEIFS(ENSAYOS!$Q$5:$Q$3004,ENSAYOS!$C$5:$C$3004,F229,ENSAYOS!$Q$5:$Q$3004,"&gt;0"))</f>
        <v/>
      </c>
      <c r="Q229" s="16" t="str">
        <f aca="false">IF(N(M229)=0,"",_xlfn.MINIFS(ENSAYOS!$Q$5:$Q$3004,ENSAYOS!$C$5:$C$3004,F229,ENSAYOS!$Q$5:$Q$3004,"&gt;0"))</f>
        <v/>
      </c>
      <c r="R229" s="16" t="str">
        <f aca="false">IF(N(M229)=0,"",_xlfn.MAXIFS(ENSAYOS!$Q$5:$Q$3004,ENSAYOS!$C$5:$C$3004,F229,ENSAYOS!$Q$5:$Q$3004,"&gt;0"))</f>
        <v/>
      </c>
      <c r="S229" s="16" t="str">
        <f aca="false">IF(N(M229)&lt;2,"",SQRT(MAX(0,(SUMIFS(ENSAYOS!$X$5:$X$3004,ENSAYOS!$C$5:$C$3004,F229,ENSAYOS!$Q$5:$Q$3004,"&gt;0")-M229*P229^2)/(M229-1))))</f>
        <v/>
      </c>
      <c r="T229" s="17" t="str">
        <f aca="false">IF(S229="","",S229/P229)</f>
        <v/>
      </c>
      <c r="U229" s="16" t="str">
        <f aca="false">IF(N(M229)=0,"",IF(N229&gt;=CONFIG!$B$27,"",AVERAGEIFS(ENSAYOS!$Q$5:$Q$3004,ENSAYOS!$C$5:$C$3004,F229,ENSAYOS!$Q$5:$Q$3004,"&gt;0",ENSAYOS!$G$5:$G$3004,N229)))</f>
        <v/>
      </c>
      <c r="V229" s="16" t="str">
        <f aca="false">IF(N(M229)=0,"",IF(COUNTIFS(ENSAYOS!$C$5:$C$3004,F229,ENSAYOS!$Q$5:$Q$3004,"&gt;0",ENSAYOS!$G$5:$G$3004,"&gt;="&amp;CONFIG!$B$27)=0,"",AVERAGEIFS(ENSAYOS!$Q$5:$Q$3004,ENSAYOS!$C$5:$C$3004,F229,ENSAYOS!$Q$5:$Q$3004,"&gt;0",ENSAYOS!$G$5:$G$3004,"&gt;="&amp;CONFIG!$B$27)))</f>
        <v/>
      </c>
      <c r="W229" s="18" t="str">
        <f aca="false">IF(AND(U229&lt;&gt;"",V229&lt;&gt;""),U229/V229,"")</f>
        <v/>
      </c>
      <c r="X229" s="18" t="str">
        <f aca="false">IF(U229="","",INDEX('CURVA EDAD'!$E$5:$E$32,MIN(28,MAX(1,N229))))</f>
        <v/>
      </c>
      <c r="Y229" s="16" t="str">
        <f aca="false">IF(V229&lt;&gt;"",V229,IF(U229="","",U229/X229))</f>
        <v/>
      </c>
      <c r="Z229" s="16" t="str">
        <f aca="false">IF(V229&lt;&gt;"",_xlfn.MINIFS(ENSAYOS!$Q$5:$Q$3004,ENSAYOS!$C$5:$C$3004,F229,ENSAYOS!$Q$5:$Q$3004,"&gt;0",ENSAYOS!$G$5:$G$3004,"&gt;="&amp;CONFIG!$B$27),IF(U229="","",_xlfn.MINIFS(ENSAYOS!$Q$5:$Q$3004,ENSAYOS!$C$5:$C$3004,F229,ENSAYOS!$Q$5:$Q$3004,"&gt;0",ENSAYOS!$G$5:$G$3004,N229)/X229))</f>
        <v/>
      </c>
      <c r="AA229" s="16" t="str">
        <f aca="false">IF(D229="","",IFERROR(1/(1/INDEX(CONFIG!$J$5:$J$14,MATCH(D229,CONFIG!$D$5:$D$14,0))),""))</f>
        <v/>
      </c>
      <c r="AB229" s="16" t="str">
        <f aca="false">IF(D229="","",IFERROR(1/(1/INDEX(CONFIG!$K$5:$K$14,MATCH(D229,CONFIG!$D$5:$D$14,0))),""))</f>
        <v/>
      </c>
      <c r="AC229" s="19" t="str">
        <f aca="false">IF(N(M229)=0,"",IF(AA229="","Sin spec",IF(AND(Y229&gt;=AA229,OR(AB229="",Z229&gt;=AB229)),"CUMPLE","NO CUMPLE")&amp;IF(V229=""," (est.)","")))</f>
        <v/>
      </c>
      <c r="AD229" s="20" t="str">
        <f aca="false">IF(F229="","",IF(COUNTIFS(ABSORCION!$C$5:$C$1004,F229,ABSORCION!$I$5:$I$1004,"&gt;0")=0,"",AVERAGEIFS(ABSORCION!$I$5:$I$1004,ABSORCION!$C$5:$C$1004,F229,ABSORCION!$I$5:$I$1004,"&gt;0")))</f>
        <v/>
      </c>
      <c r="AE229" s="20" t="str">
        <f aca="false">IF(F229="","",IF(COUNTIFS(ABSORCION!$C$5:$C$1004,F229,ABSORCION!$I$5:$I$1004,"&gt;0")=0,"",AVERAGEIFS(ABSORCION!$K$5:$K$1004,ABSORCION!$C$5:$C$1004,F229,ABSORCION!$I$5:$I$1004,"&gt;0")))</f>
        <v/>
      </c>
      <c r="AF229" s="20" t="str">
        <f aca="false">IF(AE229="","",IF(AE229&gt;=CONFIG!$E$21,CONFIG!$F$21,IF(AE229&gt;=CONFIG!$E$20,CONFIG!$F$20,CONFIG!$F$19)))</f>
        <v/>
      </c>
      <c r="AG229" s="21" t="str">
        <f aca="false">IF(F229="","",TRIM(IF(N(M229)=0,"Sin ensayos. ","")&amp;IF(AND(N(M229)&gt;0,N(M229)&lt;CONFIG!$B$26),"Menos de "&amp;CONFIG!$B$26&amp;" probetas. ","")&amp;IF(N(T229)&gt;CONFIG!$B$25,"CV alto. ","")&amp;IF(AND(N(AD229)&gt;0,N(AD229)&gt;N(AF229)),"Absorción alta. ","")))</f>
        <v/>
      </c>
      <c r="AH229" s="22" t="str">
        <f aca="false">IF(AND(N(M229)&gt;0,OR(CONTROL!$C$4="TODAS",C229=CONTROL!$C$4),D229=CONTROL!$C$5),MAX($AH$4:AH228)+1,"")</f>
        <v/>
      </c>
      <c r="AI229" s="22" t="str">
        <f aca="false">IF(AH229="","",P229^2)</f>
        <v/>
      </c>
    </row>
    <row r="230" customFormat="false" ht="15" hidden="false" customHeight="false" outlineLevel="0" collapsed="false">
      <c r="A230" s="11" t="str">
        <f aca="false">IF(B230="","",ROW()-4)</f>
        <v/>
      </c>
      <c r="B230" s="12"/>
      <c r="C230" s="13"/>
      <c r="D230" s="13"/>
      <c r="E230" s="13"/>
      <c r="F230" s="14" t="str">
        <f aca="false">IF(OR(B230="",C230="",D230=""),"",IFERROR(INDEX(CONFIG!$E$5:$E$14,MATCH(D230,CONFIG!$D$5:$D$14,0)),"?")&amp;RIGHT("0"&amp;DAY(B230),2)&amp;RIGHT("0"&amp;MONTH(B230),2)&amp;RIGHT(YEAR(B230),2)&amp;C230&amp;IF(E230="","","-"&amp;E230))</f>
        <v/>
      </c>
      <c r="G230" s="13"/>
      <c r="H230" s="13"/>
      <c r="I230" s="13"/>
      <c r="J230" s="13"/>
      <c r="K230" s="13"/>
      <c r="L230" s="13"/>
      <c r="M230" s="11" t="str">
        <f aca="false">IF(F230="","",COUNTIFS(ENSAYOS!$C$5:$C$3004,F230,ENSAYOS!$Q$5:$Q$3004,"&gt;0"))</f>
        <v/>
      </c>
      <c r="N230" s="15" t="str">
        <f aca="false">IF(N(M230)=0,"",_xlfn.MINIFS(ENSAYOS!$G$5:$G$3004,ENSAYOS!$C$5:$C$3004,F230,ENSAYOS!$Q$5:$Q$3004,"&gt;0"))</f>
        <v/>
      </c>
      <c r="O230" s="15" t="str">
        <f aca="false">IF(N(M230)=0,"",_xlfn.MAXIFS(ENSAYOS!$G$5:$G$3004,ENSAYOS!$C$5:$C$3004,F230,ENSAYOS!$Q$5:$Q$3004,"&gt;0"))</f>
        <v/>
      </c>
      <c r="P230" s="16" t="str">
        <f aca="false">IF(N(M230)=0,"",AVERAGEIFS(ENSAYOS!$Q$5:$Q$3004,ENSAYOS!$C$5:$C$3004,F230,ENSAYOS!$Q$5:$Q$3004,"&gt;0"))</f>
        <v/>
      </c>
      <c r="Q230" s="16" t="str">
        <f aca="false">IF(N(M230)=0,"",_xlfn.MINIFS(ENSAYOS!$Q$5:$Q$3004,ENSAYOS!$C$5:$C$3004,F230,ENSAYOS!$Q$5:$Q$3004,"&gt;0"))</f>
        <v/>
      </c>
      <c r="R230" s="16" t="str">
        <f aca="false">IF(N(M230)=0,"",_xlfn.MAXIFS(ENSAYOS!$Q$5:$Q$3004,ENSAYOS!$C$5:$C$3004,F230,ENSAYOS!$Q$5:$Q$3004,"&gt;0"))</f>
        <v/>
      </c>
      <c r="S230" s="16" t="str">
        <f aca="false">IF(N(M230)&lt;2,"",SQRT(MAX(0,(SUMIFS(ENSAYOS!$X$5:$X$3004,ENSAYOS!$C$5:$C$3004,F230,ENSAYOS!$Q$5:$Q$3004,"&gt;0")-M230*P230^2)/(M230-1))))</f>
        <v/>
      </c>
      <c r="T230" s="17" t="str">
        <f aca="false">IF(S230="","",S230/P230)</f>
        <v/>
      </c>
      <c r="U230" s="16" t="str">
        <f aca="false">IF(N(M230)=0,"",IF(N230&gt;=CONFIG!$B$27,"",AVERAGEIFS(ENSAYOS!$Q$5:$Q$3004,ENSAYOS!$C$5:$C$3004,F230,ENSAYOS!$Q$5:$Q$3004,"&gt;0",ENSAYOS!$G$5:$G$3004,N230)))</f>
        <v/>
      </c>
      <c r="V230" s="16" t="str">
        <f aca="false">IF(N(M230)=0,"",IF(COUNTIFS(ENSAYOS!$C$5:$C$3004,F230,ENSAYOS!$Q$5:$Q$3004,"&gt;0",ENSAYOS!$G$5:$G$3004,"&gt;="&amp;CONFIG!$B$27)=0,"",AVERAGEIFS(ENSAYOS!$Q$5:$Q$3004,ENSAYOS!$C$5:$C$3004,F230,ENSAYOS!$Q$5:$Q$3004,"&gt;0",ENSAYOS!$G$5:$G$3004,"&gt;="&amp;CONFIG!$B$27)))</f>
        <v/>
      </c>
      <c r="W230" s="18" t="str">
        <f aca="false">IF(AND(U230&lt;&gt;"",V230&lt;&gt;""),U230/V230,"")</f>
        <v/>
      </c>
      <c r="X230" s="18" t="str">
        <f aca="false">IF(U230="","",INDEX('CURVA EDAD'!$E$5:$E$32,MIN(28,MAX(1,N230))))</f>
        <v/>
      </c>
      <c r="Y230" s="16" t="str">
        <f aca="false">IF(V230&lt;&gt;"",V230,IF(U230="","",U230/X230))</f>
        <v/>
      </c>
      <c r="Z230" s="16" t="str">
        <f aca="false">IF(V230&lt;&gt;"",_xlfn.MINIFS(ENSAYOS!$Q$5:$Q$3004,ENSAYOS!$C$5:$C$3004,F230,ENSAYOS!$Q$5:$Q$3004,"&gt;0",ENSAYOS!$G$5:$G$3004,"&gt;="&amp;CONFIG!$B$27),IF(U230="","",_xlfn.MINIFS(ENSAYOS!$Q$5:$Q$3004,ENSAYOS!$C$5:$C$3004,F230,ENSAYOS!$Q$5:$Q$3004,"&gt;0",ENSAYOS!$G$5:$G$3004,N230)/X230))</f>
        <v/>
      </c>
      <c r="AA230" s="16" t="str">
        <f aca="false">IF(D230="","",IFERROR(1/(1/INDEX(CONFIG!$J$5:$J$14,MATCH(D230,CONFIG!$D$5:$D$14,0))),""))</f>
        <v/>
      </c>
      <c r="AB230" s="16" t="str">
        <f aca="false">IF(D230="","",IFERROR(1/(1/INDEX(CONFIG!$K$5:$K$14,MATCH(D230,CONFIG!$D$5:$D$14,0))),""))</f>
        <v/>
      </c>
      <c r="AC230" s="19" t="str">
        <f aca="false">IF(N(M230)=0,"",IF(AA230="","Sin spec",IF(AND(Y230&gt;=AA230,OR(AB230="",Z230&gt;=AB230)),"CUMPLE","NO CUMPLE")&amp;IF(V230=""," (est.)","")))</f>
        <v/>
      </c>
      <c r="AD230" s="20" t="str">
        <f aca="false">IF(F230="","",IF(COUNTIFS(ABSORCION!$C$5:$C$1004,F230,ABSORCION!$I$5:$I$1004,"&gt;0")=0,"",AVERAGEIFS(ABSORCION!$I$5:$I$1004,ABSORCION!$C$5:$C$1004,F230,ABSORCION!$I$5:$I$1004,"&gt;0")))</f>
        <v/>
      </c>
      <c r="AE230" s="20" t="str">
        <f aca="false">IF(F230="","",IF(COUNTIFS(ABSORCION!$C$5:$C$1004,F230,ABSORCION!$I$5:$I$1004,"&gt;0")=0,"",AVERAGEIFS(ABSORCION!$K$5:$K$1004,ABSORCION!$C$5:$C$1004,F230,ABSORCION!$I$5:$I$1004,"&gt;0")))</f>
        <v/>
      </c>
      <c r="AF230" s="20" t="str">
        <f aca="false">IF(AE230="","",IF(AE230&gt;=CONFIG!$E$21,CONFIG!$F$21,IF(AE230&gt;=CONFIG!$E$20,CONFIG!$F$20,CONFIG!$F$19)))</f>
        <v/>
      </c>
      <c r="AG230" s="21" t="str">
        <f aca="false">IF(F230="","",TRIM(IF(N(M230)=0,"Sin ensayos. ","")&amp;IF(AND(N(M230)&gt;0,N(M230)&lt;CONFIG!$B$26),"Menos de "&amp;CONFIG!$B$26&amp;" probetas. ","")&amp;IF(N(T230)&gt;CONFIG!$B$25,"CV alto. ","")&amp;IF(AND(N(AD230)&gt;0,N(AD230)&gt;N(AF230)),"Absorción alta. ","")))</f>
        <v/>
      </c>
      <c r="AH230" s="22" t="str">
        <f aca="false">IF(AND(N(M230)&gt;0,OR(CONTROL!$C$4="TODAS",C230=CONTROL!$C$4),D230=CONTROL!$C$5),MAX($AH$4:AH229)+1,"")</f>
        <v/>
      </c>
      <c r="AI230" s="22" t="str">
        <f aca="false">IF(AH230="","",P230^2)</f>
        <v/>
      </c>
    </row>
    <row r="231" customFormat="false" ht="15" hidden="false" customHeight="false" outlineLevel="0" collapsed="false">
      <c r="A231" s="11" t="str">
        <f aca="false">IF(B231="","",ROW()-4)</f>
        <v/>
      </c>
      <c r="B231" s="12"/>
      <c r="C231" s="13"/>
      <c r="D231" s="13"/>
      <c r="E231" s="13"/>
      <c r="F231" s="14" t="str">
        <f aca="false">IF(OR(B231="",C231="",D231=""),"",IFERROR(INDEX(CONFIG!$E$5:$E$14,MATCH(D231,CONFIG!$D$5:$D$14,0)),"?")&amp;RIGHT("0"&amp;DAY(B231),2)&amp;RIGHT("0"&amp;MONTH(B231),2)&amp;RIGHT(YEAR(B231),2)&amp;C231&amp;IF(E231="","","-"&amp;E231))</f>
        <v/>
      </c>
      <c r="G231" s="13"/>
      <c r="H231" s="13"/>
      <c r="I231" s="13"/>
      <c r="J231" s="13"/>
      <c r="K231" s="13"/>
      <c r="L231" s="13"/>
      <c r="M231" s="11" t="str">
        <f aca="false">IF(F231="","",COUNTIFS(ENSAYOS!$C$5:$C$3004,F231,ENSAYOS!$Q$5:$Q$3004,"&gt;0"))</f>
        <v/>
      </c>
      <c r="N231" s="15" t="str">
        <f aca="false">IF(N(M231)=0,"",_xlfn.MINIFS(ENSAYOS!$G$5:$G$3004,ENSAYOS!$C$5:$C$3004,F231,ENSAYOS!$Q$5:$Q$3004,"&gt;0"))</f>
        <v/>
      </c>
      <c r="O231" s="15" t="str">
        <f aca="false">IF(N(M231)=0,"",_xlfn.MAXIFS(ENSAYOS!$G$5:$G$3004,ENSAYOS!$C$5:$C$3004,F231,ENSAYOS!$Q$5:$Q$3004,"&gt;0"))</f>
        <v/>
      </c>
      <c r="P231" s="16" t="str">
        <f aca="false">IF(N(M231)=0,"",AVERAGEIFS(ENSAYOS!$Q$5:$Q$3004,ENSAYOS!$C$5:$C$3004,F231,ENSAYOS!$Q$5:$Q$3004,"&gt;0"))</f>
        <v/>
      </c>
      <c r="Q231" s="16" t="str">
        <f aca="false">IF(N(M231)=0,"",_xlfn.MINIFS(ENSAYOS!$Q$5:$Q$3004,ENSAYOS!$C$5:$C$3004,F231,ENSAYOS!$Q$5:$Q$3004,"&gt;0"))</f>
        <v/>
      </c>
      <c r="R231" s="16" t="str">
        <f aca="false">IF(N(M231)=0,"",_xlfn.MAXIFS(ENSAYOS!$Q$5:$Q$3004,ENSAYOS!$C$5:$C$3004,F231,ENSAYOS!$Q$5:$Q$3004,"&gt;0"))</f>
        <v/>
      </c>
      <c r="S231" s="16" t="str">
        <f aca="false">IF(N(M231)&lt;2,"",SQRT(MAX(0,(SUMIFS(ENSAYOS!$X$5:$X$3004,ENSAYOS!$C$5:$C$3004,F231,ENSAYOS!$Q$5:$Q$3004,"&gt;0")-M231*P231^2)/(M231-1))))</f>
        <v/>
      </c>
      <c r="T231" s="17" t="str">
        <f aca="false">IF(S231="","",S231/P231)</f>
        <v/>
      </c>
      <c r="U231" s="16" t="str">
        <f aca="false">IF(N(M231)=0,"",IF(N231&gt;=CONFIG!$B$27,"",AVERAGEIFS(ENSAYOS!$Q$5:$Q$3004,ENSAYOS!$C$5:$C$3004,F231,ENSAYOS!$Q$5:$Q$3004,"&gt;0",ENSAYOS!$G$5:$G$3004,N231)))</f>
        <v/>
      </c>
      <c r="V231" s="16" t="str">
        <f aca="false">IF(N(M231)=0,"",IF(COUNTIFS(ENSAYOS!$C$5:$C$3004,F231,ENSAYOS!$Q$5:$Q$3004,"&gt;0",ENSAYOS!$G$5:$G$3004,"&gt;="&amp;CONFIG!$B$27)=0,"",AVERAGEIFS(ENSAYOS!$Q$5:$Q$3004,ENSAYOS!$C$5:$C$3004,F231,ENSAYOS!$Q$5:$Q$3004,"&gt;0",ENSAYOS!$G$5:$G$3004,"&gt;="&amp;CONFIG!$B$27)))</f>
        <v/>
      </c>
      <c r="W231" s="18" t="str">
        <f aca="false">IF(AND(U231&lt;&gt;"",V231&lt;&gt;""),U231/V231,"")</f>
        <v/>
      </c>
      <c r="X231" s="18" t="str">
        <f aca="false">IF(U231="","",INDEX('CURVA EDAD'!$E$5:$E$32,MIN(28,MAX(1,N231))))</f>
        <v/>
      </c>
      <c r="Y231" s="16" t="str">
        <f aca="false">IF(V231&lt;&gt;"",V231,IF(U231="","",U231/X231))</f>
        <v/>
      </c>
      <c r="Z231" s="16" t="str">
        <f aca="false">IF(V231&lt;&gt;"",_xlfn.MINIFS(ENSAYOS!$Q$5:$Q$3004,ENSAYOS!$C$5:$C$3004,F231,ENSAYOS!$Q$5:$Q$3004,"&gt;0",ENSAYOS!$G$5:$G$3004,"&gt;="&amp;CONFIG!$B$27),IF(U231="","",_xlfn.MINIFS(ENSAYOS!$Q$5:$Q$3004,ENSAYOS!$C$5:$C$3004,F231,ENSAYOS!$Q$5:$Q$3004,"&gt;0",ENSAYOS!$G$5:$G$3004,N231)/X231))</f>
        <v/>
      </c>
      <c r="AA231" s="16" t="str">
        <f aca="false">IF(D231="","",IFERROR(1/(1/INDEX(CONFIG!$J$5:$J$14,MATCH(D231,CONFIG!$D$5:$D$14,0))),""))</f>
        <v/>
      </c>
      <c r="AB231" s="16" t="str">
        <f aca="false">IF(D231="","",IFERROR(1/(1/INDEX(CONFIG!$K$5:$K$14,MATCH(D231,CONFIG!$D$5:$D$14,0))),""))</f>
        <v/>
      </c>
      <c r="AC231" s="19" t="str">
        <f aca="false">IF(N(M231)=0,"",IF(AA231="","Sin spec",IF(AND(Y231&gt;=AA231,OR(AB231="",Z231&gt;=AB231)),"CUMPLE","NO CUMPLE")&amp;IF(V231=""," (est.)","")))</f>
        <v/>
      </c>
      <c r="AD231" s="20" t="str">
        <f aca="false">IF(F231="","",IF(COUNTIFS(ABSORCION!$C$5:$C$1004,F231,ABSORCION!$I$5:$I$1004,"&gt;0")=0,"",AVERAGEIFS(ABSORCION!$I$5:$I$1004,ABSORCION!$C$5:$C$1004,F231,ABSORCION!$I$5:$I$1004,"&gt;0")))</f>
        <v/>
      </c>
      <c r="AE231" s="20" t="str">
        <f aca="false">IF(F231="","",IF(COUNTIFS(ABSORCION!$C$5:$C$1004,F231,ABSORCION!$I$5:$I$1004,"&gt;0")=0,"",AVERAGEIFS(ABSORCION!$K$5:$K$1004,ABSORCION!$C$5:$C$1004,F231,ABSORCION!$I$5:$I$1004,"&gt;0")))</f>
        <v/>
      </c>
      <c r="AF231" s="20" t="str">
        <f aca="false">IF(AE231="","",IF(AE231&gt;=CONFIG!$E$21,CONFIG!$F$21,IF(AE231&gt;=CONFIG!$E$20,CONFIG!$F$20,CONFIG!$F$19)))</f>
        <v/>
      </c>
      <c r="AG231" s="21" t="str">
        <f aca="false">IF(F231="","",TRIM(IF(N(M231)=0,"Sin ensayos. ","")&amp;IF(AND(N(M231)&gt;0,N(M231)&lt;CONFIG!$B$26),"Menos de "&amp;CONFIG!$B$26&amp;" probetas. ","")&amp;IF(N(T231)&gt;CONFIG!$B$25,"CV alto. ","")&amp;IF(AND(N(AD231)&gt;0,N(AD231)&gt;N(AF231)),"Absorción alta. ","")))</f>
        <v/>
      </c>
      <c r="AH231" s="22" t="str">
        <f aca="false">IF(AND(N(M231)&gt;0,OR(CONTROL!$C$4="TODAS",C231=CONTROL!$C$4),D231=CONTROL!$C$5),MAX($AH$4:AH230)+1,"")</f>
        <v/>
      </c>
      <c r="AI231" s="22" t="str">
        <f aca="false">IF(AH231="","",P231^2)</f>
        <v/>
      </c>
    </row>
    <row r="232" customFormat="false" ht="15" hidden="false" customHeight="false" outlineLevel="0" collapsed="false">
      <c r="A232" s="11" t="str">
        <f aca="false">IF(B232="","",ROW()-4)</f>
        <v/>
      </c>
      <c r="B232" s="12"/>
      <c r="C232" s="13"/>
      <c r="D232" s="13"/>
      <c r="E232" s="13"/>
      <c r="F232" s="14" t="str">
        <f aca="false">IF(OR(B232="",C232="",D232=""),"",IFERROR(INDEX(CONFIG!$E$5:$E$14,MATCH(D232,CONFIG!$D$5:$D$14,0)),"?")&amp;RIGHT("0"&amp;DAY(B232),2)&amp;RIGHT("0"&amp;MONTH(B232),2)&amp;RIGHT(YEAR(B232),2)&amp;C232&amp;IF(E232="","","-"&amp;E232))</f>
        <v/>
      </c>
      <c r="G232" s="13"/>
      <c r="H232" s="13"/>
      <c r="I232" s="13"/>
      <c r="J232" s="13"/>
      <c r="K232" s="13"/>
      <c r="L232" s="13"/>
      <c r="M232" s="11" t="str">
        <f aca="false">IF(F232="","",COUNTIFS(ENSAYOS!$C$5:$C$3004,F232,ENSAYOS!$Q$5:$Q$3004,"&gt;0"))</f>
        <v/>
      </c>
      <c r="N232" s="15" t="str">
        <f aca="false">IF(N(M232)=0,"",_xlfn.MINIFS(ENSAYOS!$G$5:$G$3004,ENSAYOS!$C$5:$C$3004,F232,ENSAYOS!$Q$5:$Q$3004,"&gt;0"))</f>
        <v/>
      </c>
      <c r="O232" s="15" t="str">
        <f aca="false">IF(N(M232)=0,"",_xlfn.MAXIFS(ENSAYOS!$G$5:$G$3004,ENSAYOS!$C$5:$C$3004,F232,ENSAYOS!$Q$5:$Q$3004,"&gt;0"))</f>
        <v/>
      </c>
      <c r="P232" s="16" t="str">
        <f aca="false">IF(N(M232)=0,"",AVERAGEIFS(ENSAYOS!$Q$5:$Q$3004,ENSAYOS!$C$5:$C$3004,F232,ENSAYOS!$Q$5:$Q$3004,"&gt;0"))</f>
        <v/>
      </c>
      <c r="Q232" s="16" t="str">
        <f aca="false">IF(N(M232)=0,"",_xlfn.MINIFS(ENSAYOS!$Q$5:$Q$3004,ENSAYOS!$C$5:$C$3004,F232,ENSAYOS!$Q$5:$Q$3004,"&gt;0"))</f>
        <v/>
      </c>
      <c r="R232" s="16" t="str">
        <f aca="false">IF(N(M232)=0,"",_xlfn.MAXIFS(ENSAYOS!$Q$5:$Q$3004,ENSAYOS!$C$5:$C$3004,F232,ENSAYOS!$Q$5:$Q$3004,"&gt;0"))</f>
        <v/>
      </c>
      <c r="S232" s="16" t="str">
        <f aca="false">IF(N(M232)&lt;2,"",SQRT(MAX(0,(SUMIFS(ENSAYOS!$X$5:$X$3004,ENSAYOS!$C$5:$C$3004,F232,ENSAYOS!$Q$5:$Q$3004,"&gt;0")-M232*P232^2)/(M232-1))))</f>
        <v/>
      </c>
      <c r="T232" s="17" t="str">
        <f aca="false">IF(S232="","",S232/P232)</f>
        <v/>
      </c>
      <c r="U232" s="16" t="str">
        <f aca="false">IF(N(M232)=0,"",IF(N232&gt;=CONFIG!$B$27,"",AVERAGEIFS(ENSAYOS!$Q$5:$Q$3004,ENSAYOS!$C$5:$C$3004,F232,ENSAYOS!$Q$5:$Q$3004,"&gt;0",ENSAYOS!$G$5:$G$3004,N232)))</f>
        <v/>
      </c>
      <c r="V232" s="16" t="str">
        <f aca="false">IF(N(M232)=0,"",IF(COUNTIFS(ENSAYOS!$C$5:$C$3004,F232,ENSAYOS!$Q$5:$Q$3004,"&gt;0",ENSAYOS!$G$5:$G$3004,"&gt;="&amp;CONFIG!$B$27)=0,"",AVERAGEIFS(ENSAYOS!$Q$5:$Q$3004,ENSAYOS!$C$5:$C$3004,F232,ENSAYOS!$Q$5:$Q$3004,"&gt;0",ENSAYOS!$G$5:$G$3004,"&gt;="&amp;CONFIG!$B$27)))</f>
        <v/>
      </c>
      <c r="W232" s="18" t="str">
        <f aca="false">IF(AND(U232&lt;&gt;"",V232&lt;&gt;""),U232/V232,"")</f>
        <v/>
      </c>
      <c r="X232" s="18" t="str">
        <f aca="false">IF(U232="","",INDEX('CURVA EDAD'!$E$5:$E$32,MIN(28,MAX(1,N232))))</f>
        <v/>
      </c>
      <c r="Y232" s="16" t="str">
        <f aca="false">IF(V232&lt;&gt;"",V232,IF(U232="","",U232/X232))</f>
        <v/>
      </c>
      <c r="Z232" s="16" t="str">
        <f aca="false">IF(V232&lt;&gt;"",_xlfn.MINIFS(ENSAYOS!$Q$5:$Q$3004,ENSAYOS!$C$5:$C$3004,F232,ENSAYOS!$Q$5:$Q$3004,"&gt;0",ENSAYOS!$G$5:$G$3004,"&gt;="&amp;CONFIG!$B$27),IF(U232="","",_xlfn.MINIFS(ENSAYOS!$Q$5:$Q$3004,ENSAYOS!$C$5:$C$3004,F232,ENSAYOS!$Q$5:$Q$3004,"&gt;0",ENSAYOS!$G$5:$G$3004,N232)/X232))</f>
        <v/>
      </c>
      <c r="AA232" s="16" t="str">
        <f aca="false">IF(D232="","",IFERROR(1/(1/INDEX(CONFIG!$J$5:$J$14,MATCH(D232,CONFIG!$D$5:$D$14,0))),""))</f>
        <v/>
      </c>
      <c r="AB232" s="16" t="str">
        <f aca="false">IF(D232="","",IFERROR(1/(1/INDEX(CONFIG!$K$5:$K$14,MATCH(D232,CONFIG!$D$5:$D$14,0))),""))</f>
        <v/>
      </c>
      <c r="AC232" s="19" t="str">
        <f aca="false">IF(N(M232)=0,"",IF(AA232="","Sin spec",IF(AND(Y232&gt;=AA232,OR(AB232="",Z232&gt;=AB232)),"CUMPLE","NO CUMPLE")&amp;IF(V232=""," (est.)","")))</f>
        <v/>
      </c>
      <c r="AD232" s="20" t="str">
        <f aca="false">IF(F232="","",IF(COUNTIFS(ABSORCION!$C$5:$C$1004,F232,ABSORCION!$I$5:$I$1004,"&gt;0")=0,"",AVERAGEIFS(ABSORCION!$I$5:$I$1004,ABSORCION!$C$5:$C$1004,F232,ABSORCION!$I$5:$I$1004,"&gt;0")))</f>
        <v/>
      </c>
      <c r="AE232" s="20" t="str">
        <f aca="false">IF(F232="","",IF(COUNTIFS(ABSORCION!$C$5:$C$1004,F232,ABSORCION!$I$5:$I$1004,"&gt;0")=0,"",AVERAGEIFS(ABSORCION!$K$5:$K$1004,ABSORCION!$C$5:$C$1004,F232,ABSORCION!$I$5:$I$1004,"&gt;0")))</f>
        <v/>
      </c>
      <c r="AF232" s="20" t="str">
        <f aca="false">IF(AE232="","",IF(AE232&gt;=CONFIG!$E$21,CONFIG!$F$21,IF(AE232&gt;=CONFIG!$E$20,CONFIG!$F$20,CONFIG!$F$19)))</f>
        <v/>
      </c>
      <c r="AG232" s="21" t="str">
        <f aca="false">IF(F232="","",TRIM(IF(N(M232)=0,"Sin ensayos. ","")&amp;IF(AND(N(M232)&gt;0,N(M232)&lt;CONFIG!$B$26),"Menos de "&amp;CONFIG!$B$26&amp;" probetas. ","")&amp;IF(N(T232)&gt;CONFIG!$B$25,"CV alto. ","")&amp;IF(AND(N(AD232)&gt;0,N(AD232)&gt;N(AF232)),"Absorción alta. ","")))</f>
        <v/>
      </c>
      <c r="AH232" s="22" t="str">
        <f aca="false">IF(AND(N(M232)&gt;0,OR(CONTROL!$C$4="TODAS",C232=CONTROL!$C$4),D232=CONTROL!$C$5),MAX($AH$4:AH231)+1,"")</f>
        <v/>
      </c>
      <c r="AI232" s="22" t="str">
        <f aca="false">IF(AH232="","",P232^2)</f>
        <v/>
      </c>
    </row>
    <row r="233" customFormat="false" ht="15" hidden="false" customHeight="false" outlineLevel="0" collapsed="false">
      <c r="A233" s="11" t="str">
        <f aca="false">IF(B233="","",ROW()-4)</f>
        <v/>
      </c>
      <c r="B233" s="12"/>
      <c r="C233" s="13"/>
      <c r="D233" s="13"/>
      <c r="E233" s="13"/>
      <c r="F233" s="14" t="str">
        <f aca="false">IF(OR(B233="",C233="",D233=""),"",IFERROR(INDEX(CONFIG!$E$5:$E$14,MATCH(D233,CONFIG!$D$5:$D$14,0)),"?")&amp;RIGHT("0"&amp;DAY(B233),2)&amp;RIGHT("0"&amp;MONTH(B233),2)&amp;RIGHT(YEAR(B233),2)&amp;C233&amp;IF(E233="","","-"&amp;E233))</f>
        <v/>
      </c>
      <c r="G233" s="13"/>
      <c r="H233" s="13"/>
      <c r="I233" s="13"/>
      <c r="J233" s="13"/>
      <c r="K233" s="13"/>
      <c r="L233" s="13"/>
      <c r="M233" s="11" t="str">
        <f aca="false">IF(F233="","",COUNTIFS(ENSAYOS!$C$5:$C$3004,F233,ENSAYOS!$Q$5:$Q$3004,"&gt;0"))</f>
        <v/>
      </c>
      <c r="N233" s="15" t="str">
        <f aca="false">IF(N(M233)=0,"",_xlfn.MINIFS(ENSAYOS!$G$5:$G$3004,ENSAYOS!$C$5:$C$3004,F233,ENSAYOS!$Q$5:$Q$3004,"&gt;0"))</f>
        <v/>
      </c>
      <c r="O233" s="15" t="str">
        <f aca="false">IF(N(M233)=0,"",_xlfn.MAXIFS(ENSAYOS!$G$5:$G$3004,ENSAYOS!$C$5:$C$3004,F233,ENSAYOS!$Q$5:$Q$3004,"&gt;0"))</f>
        <v/>
      </c>
      <c r="P233" s="16" t="str">
        <f aca="false">IF(N(M233)=0,"",AVERAGEIFS(ENSAYOS!$Q$5:$Q$3004,ENSAYOS!$C$5:$C$3004,F233,ENSAYOS!$Q$5:$Q$3004,"&gt;0"))</f>
        <v/>
      </c>
      <c r="Q233" s="16" t="str">
        <f aca="false">IF(N(M233)=0,"",_xlfn.MINIFS(ENSAYOS!$Q$5:$Q$3004,ENSAYOS!$C$5:$C$3004,F233,ENSAYOS!$Q$5:$Q$3004,"&gt;0"))</f>
        <v/>
      </c>
      <c r="R233" s="16" t="str">
        <f aca="false">IF(N(M233)=0,"",_xlfn.MAXIFS(ENSAYOS!$Q$5:$Q$3004,ENSAYOS!$C$5:$C$3004,F233,ENSAYOS!$Q$5:$Q$3004,"&gt;0"))</f>
        <v/>
      </c>
      <c r="S233" s="16" t="str">
        <f aca="false">IF(N(M233)&lt;2,"",SQRT(MAX(0,(SUMIFS(ENSAYOS!$X$5:$X$3004,ENSAYOS!$C$5:$C$3004,F233,ENSAYOS!$Q$5:$Q$3004,"&gt;0")-M233*P233^2)/(M233-1))))</f>
        <v/>
      </c>
      <c r="T233" s="17" t="str">
        <f aca="false">IF(S233="","",S233/P233)</f>
        <v/>
      </c>
      <c r="U233" s="16" t="str">
        <f aca="false">IF(N(M233)=0,"",IF(N233&gt;=CONFIG!$B$27,"",AVERAGEIFS(ENSAYOS!$Q$5:$Q$3004,ENSAYOS!$C$5:$C$3004,F233,ENSAYOS!$Q$5:$Q$3004,"&gt;0",ENSAYOS!$G$5:$G$3004,N233)))</f>
        <v/>
      </c>
      <c r="V233" s="16" t="str">
        <f aca="false">IF(N(M233)=0,"",IF(COUNTIFS(ENSAYOS!$C$5:$C$3004,F233,ENSAYOS!$Q$5:$Q$3004,"&gt;0",ENSAYOS!$G$5:$G$3004,"&gt;="&amp;CONFIG!$B$27)=0,"",AVERAGEIFS(ENSAYOS!$Q$5:$Q$3004,ENSAYOS!$C$5:$C$3004,F233,ENSAYOS!$Q$5:$Q$3004,"&gt;0",ENSAYOS!$G$5:$G$3004,"&gt;="&amp;CONFIG!$B$27)))</f>
        <v/>
      </c>
      <c r="W233" s="18" t="str">
        <f aca="false">IF(AND(U233&lt;&gt;"",V233&lt;&gt;""),U233/V233,"")</f>
        <v/>
      </c>
      <c r="X233" s="18" t="str">
        <f aca="false">IF(U233="","",INDEX('CURVA EDAD'!$E$5:$E$32,MIN(28,MAX(1,N233))))</f>
        <v/>
      </c>
      <c r="Y233" s="16" t="str">
        <f aca="false">IF(V233&lt;&gt;"",V233,IF(U233="","",U233/X233))</f>
        <v/>
      </c>
      <c r="Z233" s="16" t="str">
        <f aca="false">IF(V233&lt;&gt;"",_xlfn.MINIFS(ENSAYOS!$Q$5:$Q$3004,ENSAYOS!$C$5:$C$3004,F233,ENSAYOS!$Q$5:$Q$3004,"&gt;0",ENSAYOS!$G$5:$G$3004,"&gt;="&amp;CONFIG!$B$27),IF(U233="","",_xlfn.MINIFS(ENSAYOS!$Q$5:$Q$3004,ENSAYOS!$C$5:$C$3004,F233,ENSAYOS!$Q$5:$Q$3004,"&gt;0",ENSAYOS!$G$5:$G$3004,N233)/X233))</f>
        <v/>
      </c>
      <c r="AA233" s="16" t="str">
        <f aca="false">IF(D233="","",IFERROR(1/(1/INDEX(CONFIG!$J$5:$J$14,MATCH(D233,CONFIG!$D$5:$D$14,0))),""))</f>
        <v/>
      </c>
      <c r="AB233" s="16" t="str">
        <f aca="false">IF(D233="","",IFERROR(1/(1/INDEX(CONFIG!$K$5:$K$14,MATCH(D233,CONFIG!$D$5:$D$14,0))),""))</f>
        <v/>
      </c>
      <c r="AC233" s="19" t="str">
        <f aca="false">IF(N(M233)=0,"",IF(AA233="","Sin spec",IF(AND(Y233&gt;=AA233,OR(AB233="",Z233&gt;=AB233)),"CUMPLE","NO CUMPLE")&amp;IF(V233=""," (est.)","")))</f>
        <v/>
      </c>
      <c r="AD233" s="20" t="str">
        <f aca="false">IF(F233="","",IF(COUNTIFS(ABSORCION!$C$5:$C$1004,F233,ABSORCION!$I$5:$I$1004,"&gt;0")=0,"",AVERAGEIFS(ABSORCION!$I$5:$I$1004,ABSORCION!$C$5:$C$1004,F233,ABSORCION!$I$5:$I$1004,"&gt;0")))</f>
        <v/>
      </c>
      <c r="AE233" s="20" t="str">
        <f aca="false">IF(F233="","",IF(COUNTIFS(ABSORCION!$C$5:$C$1004,F233,ABSORCION!$I$5:$I$1004,"&gt;0")=0,"",AVERAGEIFS(ABSORCION!$K$5:$K$1004,ABSORCION!$C$5:$C$1004,F233,ABSORCION!$I$5:$I$1004,"&gt;0")))</f>
        <v/>
      </c>
      <c r="AF233" s="20" t="str">
        <f aca="false">IF(AE233="","",IF(AE233&gt;=CONFIG!$E$21,CONFIG!$F$21,IF(AE233&gt;=CONFIG!$E$20,CONFIG!$F$20,CONFIG!$F$19)))</f>
        <v/>
      </c>
      <c r="AG233" s="21" t="str">
        <f aca="false">IF(F233="","",TRIM(IF(N(M233)=0,"Sin ensayos. ","")&amp;IF(AND(N(M233)&gt;0,N(M233)&lt;CONFIG!$B$26),"Menos de "&amp;CONFIG!$B$26&amp;" probetas. ","")&amp;IF(N(T233)&gt;CONFIG!$B$25,"CV alto. ","")&amp;IF(AND(N(AD233)&gt;0,N(AD233)&gt;N(AF233)),"Absorción alta. ","")))</f>
        <v/>
      </c>
      <c r="AH233" s="22" t="str">
        <f aca="false">IF(AND(N(M233)&gt;0,OR(CONTROL!$C$4="TODAS",C233=CONTROL!$C$4),D233=CONTROL!$C$5),MAX($AH$4:AH232)+1,"")</f>
        <v/>
      </c>
      <c r="AI233" s="22" t="str">
        <f aca="false">IF(AH233="","",P233^2)</f>
        <v/>
      </c>
    </row>
    <row r="234" customFormat="false" ht="15" hidden="false" customHeight="false" outlineLevel="0" collapsed="false">
      <c r="A234" s="11" t="str">
        <f aca="false">IF(B234="","",ROW()-4)</f>
        <v/>
      </c>
      <c r="B234" s="12"/>
      <c r="C234" s="13"/>
      <c r="D234" s="13"/>
      <c r="E234" s="13"/>
      <c r="F234" s="14" t="str">
        <f aca="false">IF(OR(B234="",C234="",D234=""),"",IFERROR(INDEX(CONFIG!$E$5:$E$14,MATCH(D234,CONFIG!$D$5:$D$14,0)),"?")&amp;RIGHT("0"&amp;DAY(B234),2)&amp;RIGHT("0"&amp;MONTH(B234),2)&amp;RIGHT(YEAR(B234),2)&amp;C234&amp;IF(E234="","","-"&amp;E234))</f>
        <v/>
      </c>
      <c r="G234" s="13"/>
      <c r="H234" s="13"/>
      <c r="I234" s="13"/>
      <c r="J234" s="13"/>
      <c r="K234" s="13"/>
      <c r="L234" s="13"/>
      <c r="M234" s="11" t="str">
        <f aca="false">IF(F234="","",COUNTIFS(ENSAYOS!$C$5:$C$3004,F234,ENSAYOS!$Q$5:$Q$3004,"&gt;0"))</f>
        <v/>
      </c>
      <c r="N234" s="15" t="str">
        <f aca="false">IF(N(M234)=0,"",_xlfn.MINIFS(ENSAYOS!$G$5:$G$3004,ENSAYOS!$C$5:$C$3004,F234,ENSAYOS!$Q$5:$Q$3004,"&gt;0"))</f>
        <v/>
      </c>
      <c r="O234" s="15" t="str">
        <f aca="false">IF(N(M234)=0,"",_xlfn.MAXIFS(ENSAYOS!$G$5:$G$3004,ENSAYOS!$C$5:$C$3004,F234,ENSAYOS!$Q$5:$Q$3004,"&gt;0"))</f>
        <v/>
      </c>
      <c r="P234" s="16" t="str">
        <f aca="false">IF(N(M234)=0,"",AVERAGEIFS(ENSAYOS!$Q$5:$Q$3004,ENSAYOS!$C$5:$C$3004,F234,ENSAYOS!$Q$5:$Q$3004,"&gt;0"))</f>
        <v/>
      </c>
      <c r="Q234" s="16" t="str">
        <f aca="false">IF(N(M234)=0,"",_xlfn.MINIFS(ENSAYOS!$Q$5:$Q$3004,ENSAYOS!$C$5:$C$3004,F234,ENSAYOS!$Q$5:$Q$3004,"&gt;0"))</f>
        <v/>
      </c>
      <c r="R234" s="16" t="str">
        <f aca="false">IF(N(M234)=0,"",_xlfn.MAXIFS(ENSAYOS!$Q$5:$Q$3004,ENSAYOS!$C$5:$C$3004,F234,ENSAYOS!$Q$5:$Q$3004,"&gt;0"))</f>
        <v/>
      </c>
      <c r="S234" s="16" t="str">
        <f aca="false">IF(N(M234)&lt;2,"",SQRT(MAX(0,(SUMIFS(ENSAYOS!$X$5:$X$3004,ENSAYOS!$C$5:$C$3004,F234,ENSAYOS!$Q$5:$Q$3004,"&gt;0")-M234*P234^2)/(M234-1))))</f>
        <v/>
      </c>
      <c r="T234" s="17" t="str">
        <f aca="false">IF(S234="","",S234/P234)</f>
        <v/>
      </c>
      <c r="U234" s="16" t="str">
        <f aca="false">IF(N(M234)=0,"",IF(N234&gt;=CONFIG!$B$27,"",AVERAGEIFS(ENSAYOS!$Q$5:$Q$3004,ENSAYOS!$C$5:$C$3004,F234,ENSAYOS!$Q$5:$Q$3004,"&gt;0",ENSAYOS!$G$5:$G$3004,N234)))</f>
        <v/>
      </c>
      <c r="V234" s="16" t="str">
        <f aca="false">IF(N(M234)=0,"",IF(COUNTIFS(ENSAYOS!$C$5:$C$3004,F234,ENSAYOS!$Q$5:$Q$3004,"&gt;0",ENSAYOS!$G$5:$G$3004,"&gt;="&amp;CONFIG!$B$27)=0,"",AVERAGEIFS(ENSAYOS!$Q$5:$Q$3004,ENSAYOS!$C$5:$C$3004,F234,ENSAYOS!$Q$5:$Q$3004,"&gt;0",ENSAYOS!$G$5:$G$3004,"&gt;="&amp;CONFIG!$B$27)))</f>
        <v/>
      </c>
      <c r="W234" s="18" t="str">
        <f aca="false">IF(AND(U234&lt;&gt;"",V234&lt;&gt;""),U234/V234,"")</f>
        <v/>
      </c>
      <c r="X234" s="18" t="str">
        <f aca="false">IF(U234="","",INDEX('CURVA EDAD'!$E$5:$E$32,MIN(28,MAX(1,N234))))</f>
        <v/>
      </c>
      <c r="Y234" s="16" t="str">
        <f aca="false">IF(V234&lt;&gt;"",V234,IF(U234="","",U234/X234))</f>
        <v/>
      </c>
      <c r="Z234" s="16" t="str">
        <f aca="false">IF(V234&lt;&gt;"",_xlfn.MINIFS(ENSAYOS!$Q$5:$Q$3004,ENSAYOS!$C$5:$C$3004,F234,ENSAYOS!$Q$5:$Q$3004,"&gt;0",ENSAYOS!$G$5:$G$3004,"&gt;="&amp;CONFIG!$B$27),IF(U234="","",_xlfn.MINIFS(ENSAYOS!$Q$5:$Q$3004,ENSAYOS!$C$5:$C$3004,F234,ENSAYOS!$Q$5:$Q$3004,"&gt;0",ENSAYOS!$G$5:$G$3004,N234)/X234))</f>
        <v/>
      </c>
      <c r="AA234" s="16" t="str">
        <f aca="false">IF(D234="","",IFERROR(1/(1/INDEX(CONFIG!$J$5:$J$14,MATCH(D234,CONFIG!$D$5:$D$14,0))),""))</f>
        <v/>
      </c>
      <c r="AB234" s="16" t="str">
        <f aca="false">IF(D234="","",IFERROR(1/(1/INDEX(CONFIG!$K$5:$K$14,MATCH(D234,CONFIG!$D$5:$D$14,0))),""))</f>
        <v/>
      </c>
      <c r="AC234" s="19" t="str">
        <f aca="false">IF(N(M234)=0,"",IF(AA234="","Sin spec",IF(AND(Y234&gt;=AA234,OR(AB234="",Z234&gt;=AB234)),"CUMPLE","NO CUMPLE")&amp;IF(V234=""," (est.)","")))</f>
        <v/>
      </c>
      <c r="AD234" s="20" t="str">
        <f aca="false">IF(F234="","",IF(COUNTIFS(ABSORCION!$C$5:$C$1004,F234,ABSORCION!$I$5:$I$1004,"&gt;0")=0,"",AVERAGEIFS(ABSORCION!$I$5:$I$1004,ABSORCION!$C$5:$C$1004,F234,ABSORCION!$I$5:$I$1004,"&gt;0")))</f>
        <v/>
      </c>
      <c r="AE234" s="20" t="str">
        <f aca="false">IF(F234="","",IF(COUNTIFS(ABSORCION!$C$5:$C$1004,F234,ABSORCION!$I$5:$I$1004,"&gt;0")=0,"",AVERAGEIFS(ABSORCION!$K$5:$K$1004,ABSORCION!$C$5:$C$1004,F234,ABSORCION!$I$5:$I$1004,"&gt;0")))</f>
        <v/>
      </c>
      <c r="AF234" s="20" t="str">
        <f aca="false">IF(AE234="","",IF(AE234&gt;=CONFIG!$E$21,CONFIG!$F$21,IF(AE234&gt;=CONFIG!$E$20,CONFIG!$F$20,CONFIG!$F$19)))</f>
        <v/>
      </c>
      <c r="AG234" s="21" t="str">
        <f aca="false">IF(F234="","",TRIM(IF(N(M234)=0,"Sin ensayos. ","")&amp;IF(AND(N(M234)&gt;0,N(M234)&lt;CONFIG!$B$26),"Menos de "&amp;CONFIG!$B$26&amp;" probetas. ","")&amp;IF(N(T234)&gt;CONFIG!$B$25,"CV alto. ","")&amp;IF(AND(N(AD234)&gt;0,N(AD234)&gt;N(AF234)),"Absorción alta. ","")))</f>
        <v/>
      </c>
      <c r="AH234" s="22" t="str">
        <f aca="false">IF(AND(N(M234)&gt;0,OR(CONTROL!$C$4="TODAS",C234=CONTROL!$C$4),D234=CONTROL!$C$5),MAX($AH$4:AH233)+1,"")</f>
        <v/>
      </c>
      <c r="AI234" s="22" t="str">
        <f aca="false">IF(AH234="","",P234^2)</f>
        <v/>
      </c>
    </row>
    <row r="235" customFormat="false" ht="15" hidden="false" customHeight="false" outlineLevel="0" collapsed="false">
      <c r="A235" s="11" t="str">
        <f aca="false">IF(B235="","",ROW()-4)</f>
        <v/>
      </c>
      <c r="B235" s="12"/>
      <c r="C235" s="13"/>
      <c r="D235" s="13"/>
      <c r="E235" s="13"/>
      <c r="F235" s="14" t="str">
        <f aca="false">IF(OR(B235="",C235="",D235=""),"",IFERROR(INDEX(CONFIG!$E$5:$E$14,MATCH(D235,CONFIG!$D$5:$D$14,0)),"?")&amp;RIGHT("0"&amp;DAY(B235),2)&amp;RIGHT("0"&amp;MONTH(B235),2)&amp;RIGHT(YEAR(B235),2)&amp;C235&amp;IF(E235="","","-"&amp;E235))</f>
        <v/>
      </c>
      <c r="G235" s="13"/>
      <c r="H235" s="13"/>
      <c r="I235" s="13"/>
      <c r="J235" s="13"/>
      <c r="K235" s="13"/>
      <c r="L235" s="13"/>
      <c r="M235" s="11" t="str">
        <f aca="false">IF(F235="","",COUNTIFS(ENSAYOS!$C$5:$C$3004,F235,ENSAYOS!$Q$5:$Q$3004,"&gt;0"))</f>
        <v/>
      </c>
      <c r="N235" s="15" t="str">
        <f aca="false">IF(N(M235)=0,"",_xlfn.MINIFS(ENSAYOS!$G$5:$G$3004,ENSAYOS!$C$5:$C$3004,F235,ENSAYOS!$Q$5:$Q$3004,"&gt;0"))</f>
        <v/>
      </c>
      <c r="O235" s="15" t="str">
        <f aca="false">IF(N(M235)=0,"",_xlfn.MAXIFS(ENSAYOS!$G$5:$G$3004,ENSAYOS!$C$5:$C$3004,F235,ENSAYOS!$Q$5:$Q$3004,"&gt;0"))</f>
        <v/>
      </c>
      <c r="P235" s="16" t="str">
        <f aca="false">IF(N(M235)=0,"",AVERAGEIFS(ENSAYOS!$Q$5:$Q$3004,ENSAYOS!$C$5:$C$3004,F235,ENSAYOS!$Q$5:$Q$3004,"&gt;0"))</f>
        <v/>
      </c>
      <c r="Q235" s="16" t="str">
        <f aca="false">IF(N(M235)=0,"",_xlfn.MINIFS(ENSAYOS!$Q$5:$Q$3004,ENSAYOS!$C$5:$C$3004,F235,ENSAYOS!$Q$5:$Q$3004,"&gt;0"))</f>
        <v/>
      </c>
      <c r="R235" s="16" t="str">
        <f aca="false">IF(N(M235)=0,"",_xlfn.MAXIFS(ENSAYOS!$Q$5:$Q$3004,ENSAYOS!$C$5:$C$3004,F235,ENSAYOS!$Q$5:$Q$3004,"&gt;0"))</f>
        <v/>
      </c>
      <c r="S235" s="16" t="str">
        <f aca="false">IF(N(M235)&lt;2,"",SQRT(MAX(0,(SUMIFS(ENSAYOS!$X$5:$X$3004,ENSAYOS!$C$5:$C$3004,F235,ENSAYOS!$Q$5:$Q$3004,"&gt;0")-M235*P235^2)/(M235-1))))</f>
        <v/>
      </c>
      <c r="T235" s="17" t="str">
        <f aca="false">IF(S235="","",S235/P235)</f>
        <v/>
      </c>
      <c r="U235" s="16" t="str">
        <f aca="false">IF(N(M235)=0,"",IF(N235&gt;=CONFIG!$B$27,"",AVERAGEIFS(ENSAYOS!$Q$5:$Q$3004,ENSAYOS!$C$5:$C$3004,F235,ENSAYOS!$Q$5:$Q$3004,"&gt;0",ENSAYOS!$G$5:$G$3004,N235)))</f>
        <v/>
      </c>
      <c r="V235" s="16" t="str">
        <f aca="false">IF(N(M235)=0,"",IF(COUNTIFS(ENSAYOS!$C$5:$C$3004,F235,ENSAYOS!$Q$5:$Q$3004,"&gt;0",ENSAYOS!$G$5:$G$3004,"&gt;="&amp;CONFIG!$B$27)=0,"",AVERAGEIFS(ENSAYOS!$Q$5:$Q$3004,ENSAYOS!$C$5:$C$3004,F235,ENSAYOS!$Q$5:$Q$3004,"&gt;0",ENSAYOS!$G$5:$G$3004,"&gt;="&amp;CONFIG!$B$27)))</f>
        <v/>
      </c>
      <c r="W235" s="18" t="str">
        <f aca="false">IF(AND(U235&lt;&gt;"",V235&lt;&gt;""),U235/V235,"")</f>
        <v/>
      </c>
      <c r="X235" s="18" t="str">
        <f aca="false">IF(U235="","",INDEX('CURVA EDAD'!$E$5:$E$32,MIN(28,MAX(1,N235))))</f>
        <v/>
      </c>
      <c r="Y235" s="16" t="str">
        <f aca="false">IF(V235&lt;&gt;"",V235,IF(U235="","",U235/X235))</f>
        <v/>
      </c>
      <c r="Z235" s="16" t="str">
        <f aca="false">IF(V235&lt;&gt;"",_xlfn.MINIFS(ENSAYOS!$Q$5:$Q$3004,ENSAYOS!$C$5:$C$3004,F235,ENSAYOS!$Q$5:$Q$3004,"&gt;0",ENSAYOS!$G$5:$G$3004,"&gt;="&amp;CONFIG!$B$27),IF(U235="","",_xlfn.MINIFS(ENSAYOS!$Q$5:$Q$3004,ENSAYOS!$C$5:$C$3004,F235,ENSAYOS!$Q$5:$Q$3004,"&gt;0",ENSAYOS!$G$5:$G$3004,N235)/X235))</f>
        <v/>
      </c>
      <c r="AA235" s="16" t="str">
        <f aca="false">IF(D235="","",IFERROR(1/(1/INDEX(CONFIG!$J$5:$J$14,MATCH(D235,CONFIG!$D$5:$D$14,0))),""))</f>
        <v/>
      </c>
      <c r="AB235" s="16" t="str">
        <f aca="false">IF(D235="","",IFERROR(1/(1/INDEX(CONFIG!$K$5:$K$14,MATCH(D235,CONFIG!$D$5:$D$14,0))),""))</f>
        <v/>
      </c>
      <c r="AC235" s="19" t="str">
        <f aca="false">IF(N(M235)=0,"",IF(AA235="","Sin spec",IF(AND(Y235&gt;=AA235,OR(AB235="",Z235&gt;=AB235)),"CUMPLE","NO CUMPLE")&amp;IF(V235=""," (est.)","")))</f>
        <v/>
      </c>
      <c r="AD235" s="20" t="str">
        <f aca="false">IF(F235="","",IF(COUNTIFS(ABSORCION!$C$5:$C$1004,F235,ABSORCION!$I$5:$I$1004,"&gt;0")=0,"",AVERAGEIFS(ABSORCION!$I$5:$I$1004,ABSORCION!$C$5:$C$1004,F235,ABSORCION!$I$5:$I$1004,"&gt;0")))</f>
        <v/>
      </c>
      <c r="AE235" s="20" t="str">
        <f aca="false">IF(F235="","",IF(COUNTIFS(ABSORCION!$C$5:$C$1004,F235,ABSORCION!$I$5:$I$1004,"&gt;0")=0,"",AVERAGEIFS(ABSORCION!$K$5:$K$1004,ABSORCION!$C$5:$C$1004,F235,ABSORCION!$I$5:$I$1004,"&gt;0")))</f>
        <v/>
      </c>
      <c r="AF235" s="20" t="str">
        <f aca="false">IF(AE235="","",IF(AE235&gt;=CONFIG!$E$21,CONFIG!$F$21,IF(AE235&gt;=CONFIG!$E$20,CONFIG!$F$20,CONFIG!$F$19)))</f>
        <v/>
      </c>
      <c r="AG235" s="21" t="str">
        <f aca="false">IF(F235="","",TRIM(IF(N(M235)=0,"Sin ensayos. ","")&amp;IF(AND(N(M235)&gt;0,N(M235)&lt;CONFIG!$B$26),"Menos de "&amp;CONFIG!$B$26&amp;" probetas. ","")&amp;IF(N(T235)&gt;CONFIG!$B$25,"CV alto. ","")&amp;IF(AND(N(AD235)&gt;0,N(AD235)&gt;N(AF235)),"Absorción alta. ","")))</f>
        <v/>
      </c>
      <c r="AH235" s="22" t="str">
        <f aca="false">IF(AND(N(M235)&gt;0,OR(CONTROL!$C$4="TODAS",C235=CONTROL!$C$4),D235=CONTROL!$C$5),MAX($AH$4:AH234)+1,"")</f>
        <v/>
      </c>
      <c r="AI235" s="22" t="str">
        <f aca="false">IF(AH235="","",P235^2)</f>
        <v/>
      </c>
    </row>
    <row r="236" customFormat="false" ht="15" hidden="false" customHeight="false" outlineLevel="0" collapsed="false">
      <c r="A236" s="11" t="str">
        <f aca="false">IF(B236="","",ROW()-4)</f>
        <v/>
      </c>
      <c r="B236" s="12"/>
      <c r="C236" s="13"/>
      <c r="D236" s="13"/>
      <c r="E236" s="13"/>
      <c r="F236" s="14" t="str">
        <f aca="false">IF(OR(B236="",C236="",D236=""),"",IFERROR(INDEX(CONFIG!$E$5:$E$14,MATCH(D236,CONFIG!$D$5:$D$14,0)),"?")&amp;RIGHT("0"&amp;DAY(B236),2)&amp;RIGHT("0"&amp;MONTH(B236),2)&amp;RIGHT(YEAR(B236),2)&amp;C236&amp;IF(E236="","","-"&amp;E236))</f>
        <v/>
      </c>
      <c r="G236" s="13"/>
      <c r="H236" s="13"/>
      <c r="I236" s="13"/>
      <c r="J236" s="13"/>
      <c r="K236" s="13"/>
      <c r="L236" s="13"/>
      <c r="M236" s="11" t="str">
        <f aca="false">IF(F236="","",COUNTIFS(ENSAYOS!$C$5:$C$3004,F236,ENSAYOS!$Q$5:$Q$3004,"&gt;0"))</f>
        <v/>
      </c>
      <c r="N236" s="15" t="str">
        <f aca="false">IF(N(M236)=0,"",_xlfn.MINIFS(ENSAYOS!$G$5:$G$3004,ENSAYOS!$C$5:$C$3004,F236,ENSAYOS!$Q$5:$Q$3004,"&gt;0"))</f>
        <v/>
      </c>
      <c r="O236" s="15" t="str">
        <f aca="false">IF(N(M236)=0,"",_xlfn.MAXIFS(ENSAYOS!$G$5:$G$3004,ENSAYOS!$C$5:$C$3004,F236,ENSAYOS!$Q$5:$Q$3004,"&gt;0"))</f>
        <v/>
      </c>
      <c r="P236" s="16" t="str">
        <f aca="false">IF(N(M236)=0,"",AVERAGEIFS(ENSAYOS!$Q$5:$Q$3004,ENSAYOS!$C$5:$C$3004,F236,ENSAYOS!$Q$5:$Q$3004,"&gt;0"))</f>
        <v/>
      </c>
      <c r="Q236" s="16" t="str">
        <f aca="false">IF(N(M236)=0,"",_xlfn.MINIFS(ENSAYOS!$Q$5:$Q$3004,ENSAYOS!$C$5:$C$3004,F236,ENSAYOS!$Q$5:$Q$3004,"&gt;0"))</f>
        <v/>
      </c>
      <c r="R236" s="16" t="str">
        <f aca="false">IF(N(M236)=0,"",_xlfn.MAXIFS(ENSAYOS!$Q$5:$Q$3004,ENSAYOS!$C$5:$C$3004,F236,ENSAYOS!$Q$5:$Q$3004,"&gt;0"))</f>
        <v/>
      </c>
      <c r="S236" s="16" t="str">
        <f aca="false">IF(N(M236)&lt;2,"",SQRT(MAX(0,(SUMIFS(ENSAYOS!$X$5:$X$3004,ENSAYOS!$C$5:$C$3004,F236,ENSAYOS!$Q$5:$Q$3004,"&gt;0")-M236*P236^2)/(M236-1))))</f>
        <v/>
      </c>
      <c r="T236" s="17" t="str">
        <f aca="false">IF(S236="","",S236/P236)</f>
        <v/>
      </c>
      <c r="U236" s="16" t="str">
        <f aca="false">IF(N(M236)=0,"",IF(N236&gt;=CONFIG!$B$27,"",AVERAGEIFS(ENSAYOS!$Q$5:$Q$3004,ENSAYOS!$C$5:$C$3004,F236,ENSAYOS!$Q$5:$Q$3004,"&gt;0",ENSAYOS!$G$5:$G$3004,N236)))</f>
        <v/>
      </c>
      <c r="V236" s="16" t="str">
        <f aca="false">IF(N(M236)=0,"",IF(COUNTIFS(ENSAYOS!$C$5:$C$3004,F236,ENSAYOS!$Q$5:$Q$3004,"&gt;0",ENSAYOS!$G$5:$G$3004,"&gt;="&amp;CONFIG!$B$27)=0,"",AVERAGEIFS(ENSAYOS!$Q$5:$Q$3004,ENSAYOS!$C$5:$C$3004,F236,ENSAYOS!$Q$5:$Q$3004,"&gt;0",ENSAYOS!$G$5:$G$3004,"&gt;="&amp;CONFIG!$B$27)))</f>
        <v/>
      </c>
      <c r="W236" s="18" t="str">
        <f aca="false">IF(AND(U236&lt;&gt;"",V236&lt;&gt;""),U236/V236,"")</f>
        <v/>
      </c>
      <c r="X236" s="18" t="str">
        <f aca="false">IF(U236="","",INDEX('CURVA EDAD'!$E$5:$E$32,MIN(28,MAX(1,N236))))</f>
        <v/>
      </c>
      <c r="Y236" s="16" t="str">
        <f aca="false">IF(V236&lt;&gt;"",V236,IF(U236="","",U236/X236))</f>
        <v/>
      </c>
      <c r="Z236" s="16" t="str">
        <f aca="false">IF(V236&lt;&gt;"",_xlfn.MINIFS(ENSAYOS!$Q$5:$Q$3004,ENSAYOS!$C$5:$C$3004,F236,ENSAYOS!$Q$5:$Q$3004,"&gt;0",ENSAYOS!$G$5:$G$3004,"&gt;="&amp;CONFIG!$B$27),IF(U236="","",_xlfn.MINIFS(ENSAYOS!$Q$5:$Q$3004,ENSAYOS!$C$5:$C$3004,F236,ENSAYOS!$Q$5:$Q$3004,"&gt;0",ENSAYOS!$G$5:$G$3004,N236)/X236))</f>
        <v/>
      </c>
      <c r="AA236" s="16" t="str">
        <f aca="false">IF(D236="","",IFERROR(1/(1/INDEX(CONFIG!$J$5:$J$14,MATCH(D236,CONFIG!$D$5:$D$14,0))),""))</f>
        <v/>
      </c>
      <c r="AB236" s="16" t="str">
        <f aca="false">IF(D236="","",IFERROR(1/(1/INDEX(CONFIG!$K$5:$K$14,MATCH(D236,CONFIG!$D$5:$D$14,0))),""))</f>
        <v/>
      </c>
      <c r="AC236" s="19" t="str">
        <f aca="false">IF(N(M236)=0,"",IF(AA236="","Sin spec",IF(AND(Y236&gt;=AA236,OR(AB236="",Z236&gt;=AB236)),"CUMPLE","NO CUMPLE")&amp;IF(V236=""," (est.)","")))</f>
        <v/>
      </c>
      <c r="AD236" s="20" t="str">
        <f aca="false">IF(F236="","",IF(COUNTIFS(ABSORCION!$C$5:$C$1004,F236,ABSORCION!$I$5:$I$1004,"&gt;0")=0,"",AVERAGEIFS(ABSORCION!$I$5:$I$1004,ABSORCION!$C$5:$C$1004,F236,ABSORCION!$I$5:$I$1004,"&gt;0")))</f>
        <v/>
      </c>
      <c r="AE236" s="20" t="str">
        <f aca="false">IF(F236="","",IF(COUNTIFS(ABSORCION!$C$5:$C$1004,F236,ABSORCION!$I$5:$I$1004,"&gt;0")=0,"",AVERAGEIFS(ABSORCION!$K$5:$K$1004,ABSORCION!$C$5:$C$1004,F236,ABSORCION!$I$5:$I$1004,"&gt;0")))</f>
        <v/>
      </c>
      <c r="AF236" s="20" t="str">
        <f aca="false">IF(AE236="","",IF(AE236&gt;=CONFIG!$E$21,CONFIG!$F$21,IF(AE236&gt;=CONFIG!$E$20,CONFIG!$F$20,CONFIG!$F$19)))</f>
        <v/>
      </c>
      <c r="AG236" s="21" t="str">
        <f aca="false">IF(F236="","",TRIM(IF(N(M236)=0,"Sin ensayos. ","")&amp;IF(AND(N(M236)&gt;0,N(M236)&lt;CONFIG!$B$26),"Menos de "&amp;CONFIG!$B$26&amp;" probetas. ","")&amp;IF(N(T236)&gt;CONFIG!$B$25,"CV alto. ","")&amp;IF(AND(N(AD236)&gt;0,N(AD236)&gt;N(AF236)),"Absorción alta. ","")))</f>
        <v/>
      </c>
      <c r="AH236" s="22" t="str">
        <f aca="false">IF(AND(N(M236)&gt;0,OR(CONTROL!$C$4="TODAS",C236=CONTROL!$C$4),D236=CONTROL!$C$5),MAX($AH$4:AH235)+1,"")</f>
        <v/>
      </c>
      <c r="AI236" s="22" t="str">
        <f aca="false">IF(AH236="","",P236^2)</f>
        <v/>
      </c>
    </row>
    <row r="237" customFormat="false" ht="15" hidden="false" customHeight="false" outlineLevel="0" collapsed="false">
      <c r="A237" s="11" t="str">
        <f aca="false">IF(B237="","",ROW()-4)</f>
        <v/>
      </c>
      <c r="B237" s="12"/>
      <c r="C237" s="13"/>
      <c r="D237" s="13"/>
      <c r="E237" s="13"/>
      <c r="F237" s="14" t="str">
        <f aca="false">IF(OR(B237="",C237="",D237=""),"",IFERROR(INDEX(CONFIG!$E$5:$E$14,MATCH(D237,CONFIG!$D$5:$D$14,0)),"?")&amp;RIGHT("0"&amp;DAY(B237),2)&amp;RIGHT("0"&amp;MONTH(B237),2)&amp;RIGHT(YEAR(B237),2)&amp;C237&amp;IF(E237="","","-"&amp;E237))</f>
        <v/>
      </c>
      <c r="G237" s="13"/>
      <c r="H237" s="13"/>
      <c r="I237" s="13"/>
      <c r="J237" s="13"/>
      <c r="K237" s="13"/>
      <c r="L237" s="13"/>
      <c r="M237" s="11" t="str">
        <f aca="false">IF(F237="","",COUNTIFS(ENSAYOS!$C$5:$C$3004,F237,ENSAYOS!$Q$5:$Q$3004,"&gt;0"))</f>
        <v/>
      </c>
      <c r="N237" s="15" t="str">
        <f aca="false">IF(N(M237)=0,"",_xlfn.MINIFS(ENSAYOS!$G$5:$G$3004,ENSAYOS!$C$5:$C$3004,F237,ENSAYOS!$Q$5:$Q$3004,"&gt;0"))</f>
        <v/>
      </c>
      <c r="O237" s="15" t="str">
        <f aca="false">IF(N(M237)=0,"",_xlfn.MAXIFS(ENSAYOS!$G$5:$G$3004,ENSAYOS!$C$5:$C$3004,F237,ENSAYOS!$Q$5:$Q$3004,"&gt;0"))</f>
        <v/>
      </c>
      <c r="P237" s="16" t="str">
        <f aca="false">IF(N(M237)=0,"",AVERAGEIFS(ENSAYOS!$Q$5:$Q$3004,ENSAYOS!$C$5:$C$3004,F237,ENSAYOS!$Q$5:$Q$3004,"&gt;0"))</f>
        <v/>
      </c>
      <c r="Q237" s="16" t="str">
        <f aca="false">IF(N(M237)=0,"",_xlfn.MINIFS(ENSAYOS!$Q$5:$Q$3004,ENSAYOS!$C$5:$C$3004,F237,ENSAYOS!$Q$5:$Q$3004,"&gt;0"))</f>
        <v/>
      </c>
      <c r="R237" s="16" t="str">
        <f aca="false">IF(N(M237)=0,"",_xlfn.MAXIFS(ENSAYOS!$Q$5:$Q$3004,ENSAYOS!$C$5:$C$3004,F237,ENSAYOS!$Q$5:$Q$3004,"&gt;0"))</f>
        <v/>
      </c>
      <c r="S237" s="16" t="str">
        <f aca="false">IF(N(M237)&lt;2,"",SQRT(MAX(0,(SUMIFS(ENSAYOS!$X$5:$X$3004,ENSAYOS!$C$5:$C$3004,F237,ENSAYOS!$Q$5:$Q$3004,"&gt;0")-M237*P237^2)/(M237-1))))</f>
        <v/>
      </c>
      <c r="T237" s="17" t="str">
        <f aca="false">IF(S237="","",S237/P237)</f>
        <v/>
      </c>
      <c r="U237" s="16" t="str">
        <f aca="false">IF(N(M237)=0,"",IF(N237&gt;=CONFIG!$B$27,"",AVERAGEIFS(ENSAYOS!$Q$5:$Q$3004,ENSAYOS!$C$5:$C$3004,F237,ENSAYOS!$Q$5:$Q$3004,"&gt;0",ENSAYOS!$G$5:$G$3004,N237)))</f>
        <v/>
      </c>
      <c r="V237" s="16" t="str">
        <f aca="false">IF(N(M237)=0,"",IF(COUNTIFS(ENSAYOS!$C$5:$C$3004,F237,ENSAYOS!$Q$5:$Q$3004,"&gt;0",ENSAYOS!$G$5:$G$3004,"&gt;="&amp;CONFIG!$B$27)=0,"",AVERAGEIFS(ENSAYOS!$Q$5:$Q$3004,ENSAYOS!$C$5:$C$3004,F237,ENSAYOS!$Q$5:$Q$3004,"&gt;0",ENSAYOS!$G$5:$G$3004,"&gt;="&amp;CONFIG!$B$27)))</f>
        <v/>
      </c>
      <c r="W237" s="18" t="str">
        <f aca="false">IF(AND(U237&lt;&gt;"",V237&lt;&gt;""),U237/V237,"")</f>
        <v/>
      </c>
      <c r="X237" s="18" t="str">
        <f aca="false">IF(U237="","",INDEX('CURVA EDAD'!$E$5:$E$32,MIN(28,MAX(1,N237))))</f>
        <v/>
      </c>
      <c r="Y237" s="16" t="str">
        <f aca="false">IF(V237&lt;&gt;"",V237,IF(U237="","",U237/X237))</f>
        <v/>
      </c>
      <c r="Z237" s="16" t="str">
        <f aca="false">IF(V237&lt;&gt;"",_xlfn.MINIFS(ENSAYOS!$Q$5:$Q$3004,ENSAYOS!$C$5:$C$3004,F237,ENSAYOS!$Q$5:$Q$3004,"&gt;0",ENSAYOS!$G$5:$G$3004,"&gt;="&amp;CONFIG!$B$27),IF(U237="","",_xlfn.MINIFS(ENSAYOS!$Q$5:$Q$3004,ENSAYOS!$C$5:$C$3004,F237,ENSAYOS!$Q$5:$Q$3004,"&gt;0",ENSAYOS!$G$5:$G$3004,N237)/X237))</f>
        <v/>
      </c>
      <c r="AA237" s="16" t="str">
        <f aca="false">IF(D237="","",IFERROR(1/(1/INDEX(CONFIG!$J$5:$J$14,MATCH(D237,CONFIG!$D$5:$D$14,0))),""))</f>
        <v/>
      </c>
      <c r="AB237" s="16" t="str">
        <f aca="false">IF(D237="","",IFERROR(1/(1/INDEX(CONFIG!$K$5:$K$14,MATCH(D237,CONFIG!$D$5:$D$14,0))),""))</f>
        <v/>
      </c>
      <c r="AC237" s="19" t="str">
        <f aca="false">IF(N(M237)=0,"",IF(AA237="","Sin spec",IF(AND(Y237&gt;=AA237,OR(AB237="",Z237&gt;=AB237)),"CUMPLE","NO CUMPLE")&amp;IF(V237=""," (est.)","")))</f>
        <v/>
      </c>
      <c r="AD237" s="20" t="str">
        <f aca="false">IF(F237="","",IF(COUNTIFS(ABSORCION!$C$5:$C$1004,F237,ABSORCION!$I$5:$I$1004,"&gt;0")=0,"",AVERAGEIFS(ABSORCION!$I$5:$I$1004,ABSORCION!$C$5:$C$1004,F237,ABSORCION!$I$5:$I$1004,"&gt;0")))</f>
        <v/>
      </c>
      <c r="AE237" s="20" t="str">
        <f aca="false">IF(F237="","",IF(COUNTIFS(ABSORCION!$C$5:$C$1004,F237,ABSORCION!$I$5:$I$1004,"&gt;0")=0,"",AVERAGEIFS(ABSORCION!$K$5:$K$1004,ABSORCION!$C$5:$C$1004,F237,ABSORCION!$I$5:$I$1004,"&gt;0")))</f>
        <v/>
      </c>
      <c r="AF237" s="20" t="str">
        <f aca="false">IF(AE237="","",IF(AE237&gt;=CONFIG!$E$21,CONFIG!$F$21,IF(AE237&gt;=CONFIG!$E$20,CONFIG!$F$20,CONFIG!$F$19)))</f>
        <v/>
      </c>
      <c r="AG237" s="21" t="str">
        <f aca="false">IF(F237="","",TRIM(IF(N(M237)=0,"Sin ensayos. ","")&amp;IF(AND(N(M237)&gt;0,N(M237)&lt;CONFIG!$B$26),"Menos de "&amp;CONFIG!$B$26&amp;" probetas. ","")&amp;IF(N(T237)&gt;CONFIG!$B$25,"CV alto. ","")&amp;IF(AND(N(AD237)&gt;0,N(AD237)&gt;N(AF237)),"Absorción alta. ","")))</f>
        <v/>
      </c>
      <c r="AH237" s="22" t="str">
        <f aca="false">IF(AND(N(M237)&gt;0,OR(CONTROL!$C$4="TODAS",C237=CONTROL!$C$4),D237=CONTROL!$C$5),MAX($AH$4:AH236)+1,"")</f>
        <v/>
      </c>
      <c r="AI237" s="22" t="str">
        <f aca="false">IF(AH237="","",P237^2)</f>
        <v/>
      </c>
    </row>
    <row r="238" customFormat="false" ht="15" hidden="false" customHeight="false" outlineLevel="0" collapsed="false">
      <c r="A238" s="11" t="str">
        <f aca="false">IF(B238="","",ROW()-4)</f>
        <v/>
      </c>
      <c r="B238" s="12"/>
      <c r="C238" s="13"/>
      <c r="D238" s="13"/>
      <c r="E238" s="13"/>
      <c r="F238" s="14" t="str">
        <f aca="false">IF(OR(B238="",C238="",D238=""),"",IFERROR(INDEX(CONFIG!$E$5:$E$14,MATCH(D238,CONFIG!$D$5:$D$14,0)),"?")&amp;RIGHT("0"&amp;DAY(B238),2)&amp;RIGHT("0"&amp;MONTH(B238),2)&amp;RIGHT(YEAR(B238),2)&amp;C238&amp;IF(E238="","","-"&amp;E238))</f>
        <v/>
      </c>
      <c r="G238" s="13"/>
      <c r="H238" s="13"/>
      <c r="I238" s="13"/>
      <c r="J238" s="13"/>
      <c r="K238" s="13"/>
      <c r="L238" s="13"/>
      <c r="M238" s="11" t="str">
        <f aca="false">IF(F238="","",COUNTIFS(ENSAYOS!$C$5:$C$3004,F238,ENSAYOS!$Q$5:$Q$3004,"&gt;0"))</f>
        <v/>
      </c>
      <c r="N238" s="15" t="str">
        <f aca="false">IF(N(M238)=0,"",_xlfn.MINIFS(ENSAYOS!$G$5:$G$3004,ENSAYOS!$C$5:$C$3004,F238,ENSAYOS!$Q$5:$Q$3004,"&gt;0"))</f>
        <v/>
      </c>
      <c r="O238" s="15" t="str">
        <f aca="false">IF(N(M238)=0,"",_xlfn.MAXIFS(ENSAYOS!$G$5:$G$3004,ENSAYOS!$C$5:$C$3004,F238,ENSAYOS!$Q$5:$Q$3004,"&gt;0"))</f>
        <v/>
      </c>
      <c r="P238" s="16" t="str">
        <f aca="false">IF(N(M238)=0,"",AVERAGEIFS(ENSAYOS!$Q$5:$Q$3004,ENSAYOS!$C$5:$C$3004,F238,ENSAYOS!$Q$5:$Q$3004,"&gt;0"))</f>
        <v/>
      </c>
      <c r="Q238" s="16" t="str">
        <f aca="false">IF(N(M238)=0,"",_xlfn.MINIFS(ENSAYOS!$Q$5:$Q$3004,ENSAYOS!$C$5:$C$3004,F238,ENSAYOS!$Q$5:$Q$3004,"&gt;0"))</f>
        <v/>
      </c>
      <c r="R238" s="16" t="str">
        <f aca="false">IF(N(M238)=0,"",_xlfn.MAXIFS(ENSAYOS!$Q$5:$Q$3004,ENSAYOS!$C$5:$C$3004,F238,ENSAYOS!$Q$5:$Q$3004,"&gt;0"))</f>
        <v/>
      </c>
      <c r="S238" s="16" t="str">
        <f aca="false">IF(N(M238)&lt;2,"",SQRT(MAX(0,(SUMIFS(ENSAYOS!$X$5:$X$3004,ENSAYOS!$C$5:$C$3004,F238,ENSAYOS!$Q$5:$Q$3004,"&gt;0")-M238*P238^2)/(M238-1))))</f>
        <v/>
      </c>
      <c r="T238" s="17" t="str">
        <f aca="false">IF(S238="","",S238/P238)</f>
        <v/>
      </c>
      <c r="U238" s="16" t="str">
        <f aca="false">IF(N(M238)=0,"",IF(N238&gt;=CONFIG!$B$27,"",AVERAGEIFS(ENSAYOS!$Q$5:$Q$3004,ENSAYOS!$C$5:$C$3004,F238,ENSAYOS!$Q$5:$Q$3004,"&gt;0",ENSAYOS!$G$5:$G$3004,N238)))</f>
        <v/>
      </c>
      <c r="V238" s="16" t="str">
        <f aca="false">IF(N(M238)=0,"",IF(COUNTIFS(ENSAYOS!$C$5:$C$3004,F238,ENSAYOS!$Q$5:$Q$3004,"&gt;0",ENSAYOS!$G$5:$G$3004,"&gt;="&amp;CONFIG!$B$27)=0,"",AVERAGEIFS(ENSAYOS!$Q$5:$Q$3004,ENSAYOS!$C$5:$C$3004,F238,ENSAYOS!$Q$5:$Q$3004,"&gt;0",ENSAYOS!$G$5:$G$3004,"&gt;="&amp;CONFIG!$B$27)))</f>
        <v/>
      </c>
      <c r="W238" s="18" t="str">
        <f aca="false">IF(AND(U238&lt;&gt;"",V238&lt;&gt;""),U238/V238,"")</f>
        <v/>
      </c>
      <c r="X238" s="18" t="str">
        <f aca="false">IF(U238="","",INDEX('CURVA EDAD'!$E$5:$E$32,MIN(28,MAX(1,N238))))</f>
        <v/>
      </c>
      <c r="Y238" s="16" t="str">
        <f aca="false">IF(V238&lt;&gt;"",V238,IF(U238="","",U238/X238))</f>
        <v/>
      </c>
      <c r="Z238" s="16" t="str">
        <f aca="false">IF(V238&lt;&gt;"",_xlfn.MINIFS(ENSAYOS!$Q$5:$Q$3004,ENSAYOS!$C$5:$C$3004,F238,ENSAYOS!$Q$5:$Q$3004,"&gt;0",ENSAYOS!$G$5:$G$3004,"&gt;="&amp;CONFIG!$B$27),IF(U238="","",_xlfn.MINIFS(ENSAYOS!$Q$5:$Q$3004,ENSAYOS!$C$5:$C$3004,F238,ENSAYOS!$Q$5:$Q$3004,"&gt;0",ENSAYOS!$G$5:$G$3004,N238)/X238))</f>
        <v/>
      </c>
      <c r="AA238" s="16" t="str">
        <f aca="false">IF(D238="","",IFERROR(1/(1/INDEX(CONFIG!$J$5:$J$14,MATCH(D238,CONFIG!$D$5:$D$14,0))),""))</f>
        <v/>
      </c>
      <c r="AB238" s="16" t="str">
        <f aca="false">IF(D238="","",IFERROR(1/(1/INDEX(CONFIG!$K$5:$K$14,MATCH(D238,CONFIG!$D$5:$D$14,0))),""))</f>
        <v/>
      </c>
      <c r="AC238" s="19" t="str">
        <f aca="false">IF(N(M238)=0,"",IF(AA238="","Sin spec",IF(AND(Y238&gt;=AA238,OR(AB238="",Z238&gt;=AB238)),"CUMPLE","NO CUMPLE")&amp;IF(V238=""," (est.)","")))</f>
        <v/>
      </c>
      <c r="AD238" s="20" t="str">
        <f aca="false">IF(F238="","",IF(COUNTIFS(ABSORCION!$C$5:$C$1004,F238,ABSORCION!$I$5:$I$1004,"&gt;0")=0,"",AVERAGEIFS(ABSORCION!$I$5:$I$1004,ABSORCION!$C$5:$C$1004,F238,ABSORCION!$I$5:$I$1004,"&gt;0")))</f>
        <v/>
      </c>
      <c r="AE238" s="20" t="str">
        <f aca="false">IF(F238="","",IF(COUNTIFS(ABSORCION!$C$5:$C$1004,F238,ABSORCION!$I$5:$I$1004,"&gt;0")=0,"",AVERAGEIFS(ABSORCION!$K$5:$K$1004,ABSORCION!$C$5:$C$1004,F238,ABSORCION!$I$5:$I$1004,"&gt;0")))</f>
        <v/>
      </c>
      <c r="AF238" s="20" t="str">
        <f aca="false">IF(AE238="","",IF(AE238&gt;=CONFIG!$E$21,CONFIG!$F$21,IF(AE238&gt;=CONFIG!$E$20,CONFIG!$F$20,CONFIG!$F$19)))</f>
        <v/>
      </c>
      <c r="AG238" s="21" t="str">
        <f aca="false">IF(F238="","",TRIM(IF(N(M238)=0,"Sin ensayos. ","")&amp;IF(AND(N(M238)&gt;0,N(M238)&lt;CONFIG!$B$26),"Menos de "&amp;CONFIG!$B$26&amp;" probetas. ","")&amp;IF(N(T238)&gt;CONFIG!$B$25,"CV alto. ","")&amp;IF(AND(N(AD238)&gt;0,N(AD238)&gt;N(AF238)),"Absorción alta. ","")))</f>
        <v/>
      </c>
      <c r="AH238" s="22" t="str">
        <f aca="false">IF(AND(N(M238)&gt;0,OR(CONTROL!$C$4="TODAS",C238=CONTROL!$C$4),D238=CONTROL!$C$5),MAX($AH$4:AH237)+1,"")</f>
        <v/>
      </c>
      <c r="AI238" s="22" t="str">
        <f aca="false">IF(AH238="","",P238^2)</f>
        <v/>
      </c>
    </row>
    <row r="239" customFormat="false" ht="15" hidden="false" customHeight="false" outlineLevel="0" collapsed="false">
      <c r="A239" s="11" t="str">
        <f aca="false">IF(B239="","",ROW()-4)</f>
        <v/>
      </c>
      <c r="B239" s="12"/>
      <c r="C239" s="13"/>
      <c r="D239" s="13"/>
      <c r="E239" s="13"/>
      <c r="F239" s="14" t="str">
        <f aca="false">IF(OR(B239="",C239="",D239=""),"",IFERROR(INDEX(CONFIG!$E$5:$E$14,MATCH(D239,CONFIG!$D$5:$D$14,0)),"?")&amp;RIGHT("0"&amp;DAY(B239),2)&amp;RIGHT("0"&amp;MONTH(B239),2)&amp;RIGHT(YEAR(B239),2)&amp;C239&amp;IF(E239="","","-"&amp;E239))</f>
        <v/>
      </c>
      <c r="G239" s="13"/>
      <c r="H239" s="13"/>
      <c r="I239" s="13"/>
      <c r="J239" s="13"/>
      <c r="K239" s="13"/>
      <c r="L239" s="13"/>
      <c r="M239" s="11" t="str">
        <f aca="false">IF(F239="","",COUNTIFS(ENSAYOS!$C$5:$C$3004,F239,ENSAYOS!$Q$5:$Q$3004,"&gt;0"))</f>
        <v/>
      </c>
      <c r="N239" s="15" t="str">
        <f aca="false">IF(N(M239)=0,"",_xlfn.MINIFS(ENSAYOS!$G$5:$G$3004,ENSAYOS!$C$5:$C$3004,F239,ENSAYOS!$Q$5:$Q$3004,"&gt;0"))</f>
        <v/>
      </c>
      <c r="O239" s="15" t="str">
        <f aca="false">IF(N(M239)=0,"",_xlfn.MAXIFS(ENSAYOS!$G$5:$G$3004,ENSAYOS!$C$5:$C$3004,F239,ENSAYOS!$Q$5:$Q$3004,"&gt;0"))</f>
        <v/>
      </c>
      <c r="P239" s="16" t="str">
        <f aca="false">IF(N(M239)=0,"",AVERAGEIFS(ENSAYOS!$Q$5:$Q$3004,ENSAYOS!$C$5:$C$3004,F239,ENSAYOS!$Q$5:$Q$3004,"&gt;0"))</f>
        <v/>
      </c>
      <c r="Q239" s="16" t="str">
        <f aca="false">IF(N(M239)=0,"",_xlfn.MINIFS(ENSAYOS!$Q$5:$Q$3004,ENSAYOS!$C$5:$C$3004,F239,ENSAYOS!$Q$5:$Q$3004,"&gt;0"))</f>
        <v/>
      </c>
      <c r="R239" s="16" t="str">
        <f aca="false">IF(N(M239)=0,"",_xlfn.MAXIFS(ENSAYOS!$Q$5:$Q$3004,ENSAYOS!$C$5:$C$3004,F239,ENSAYOS!$Q$5:$Q$3004,"&gt;0"))</f>
        <v/>
      </c>
      <c r="S239" s="16" t="str">
        <f aca="false">IF(N(M239)&lt;2,"",SQRT(MAX(0,(SUMIFS(ENSAYOS!$X$5:$X$3004,ENSAYOS!$C$5:$C$3004,F239,ENSAYOS!$Q$5:$Q$3004,"&gt;0")-M239*P239^2)/(M239-1))))</f>
        <v/>
      </c>
      <c r="T239" s="17" t="str">
        <f aca="false">IF(S239="","",S239/P239)</f>
        <v/>
      </c>
      <c r="U239" s="16" t="str">
        <f aca="false">IF(N(M239)=0,"",IF(N239&gt;=CONFIG!$B$27,"",AVERAGEIFS(ENSAYOS!$Q$5:$Q$3004,ENSAYOS!$C$5:$C$3004,F239,ENSAYOS!$Q$5:$Q$3004,"&gt;0",ENSAYOS!$G$5:$G$3004,N239)))</f>
        <v/>
      </c>
      <c r="V239" s="16" t="str">
        <f aca="false">IF(N(M239)=0,"",IF(COUNTIFS(ENSAYOS!$C$5:$C$3004,F239,ENSAYOS!$Q$5:$Q$3004,"&gt;0",ENSAYOS!$G$5:$G$3004,"&gt;="&amp;CONFIG!$B$27)=0,"",AVERAGEIFS(ENSAYOS!$Q$5:$Q$3004,ENSAYOS!$C$5:$C$3004,F239,ENSAYOS!$Q$5:$Q$3004,"&gt;0",ENSAYOS!$G$5:$G$3004,"&gt;="&amp;CONFIG!$B$27)))</f>
        <v/>
      </c>
      <c r="W239" s="18" t="str">
        <f aca="false">IF(AND(U239&lt;&gt;"",V239&lt;&gt;""),U239/V239,"")</f>
        <v/>
      </c>
      <c r="X239" s="18" t="str">
        <f aca="false">IF(U239="","",INDEX('CURVA EDAD'!$E$5:$E$32,MIN(28,MAX(1,N239))))</f>
        <v/>
      </c>
      <c r="Y239" s="16" t="str">
        <f aca="false">IF(V239&lt;&gt;"",V239,IF(U239="","",U239/X239))</f>
        <v/>
      </c>
      <c r="Z239" s="16" t="str">
        <f aca="false">IF(V239&lt;&gt;"",_xlfn.MINIFS(ENSAYOS!$Q$5:$Q$3004,ENSAYOS!$C$5:$C$3004,F239,ENSAYOS!$Q$5:$Q$3004,"&gt;0",ENSAYOS!$G$5:$G$3004,"&gt;="&amp;CONFIG!$B$27),IF(U239="","",_xlfn.MINIFS(ENSAYOS!$Q$5:$Q$3004,ENSAYOS!$C$5:$C$3004,F239,ENSAYOS!$Q$5:$Q$3004,"&gt;0",ENSAYOS!$G$5:$G$3004,N239)/X239))</f>
        <v/>
      </c>
      <c r="AA239" s="16" t="str">
        <f aca="false">IF(D239="","",IFERROR(1/(1/INDEX(CONFIG!$J$5:$J$14,MATCH(D239,CONFIG!$D$5:$D$14,0))),""))</f>
        <v/>
      </c>
      <c r="AB239" s="16" t="str">
        <f aca="false">IF(D239="","",IFERROR(1/(1/INDEX(CONFIG!$K$5:$K$14,MATCH(D239,CONFIG!$D$5:$D$14,0))),""))</f>
        <v/>
      </c>
      <c r="AC239" s="19" t="str">
        <f aca="false">IF(N(M239)=0,"",IF(AA239="","Sin spec",IF(AND(Y239&gt;=AA239,OR(AB239="",Z239&gt;=AB239)),"CUMPLE","NO CUMPLE")&amp;IF(V239=""," (est.)","")))</f>
        <v/>
      </c>
      <c r="AD239" s="20" t="str">
        <f aca="false">IF(F239="","",IF(COUNTIFS(ABSORCION!$C$5:$C$1004,F239,ABSORCION!$I$5:$I$1004,"&gt;0")=0,"",AVERAGEIFS(ABSORCION!$I$5:$I$1004,ABSORCION!$C$5:$C$1004,F239,ABSORCION!$I$5:$I$1004,"&gt;0")))</f>
        <v/>
      </c>
      <c r="AE239" s="20" t="str">
        <f aca="false">IF(F239="","",IF(COUNTIFS(ABSORCION!$C$5:$C$1004,F239,ABSORCION!$I$5:$I$1004,"&gt;0")=0,"",AVERAGEIFS(ABSORCION!$K$5:$K$1004,ABSORCION!$C$5:$C$1004,F239,ABSORCION!$I$5:$I$1004,"&gt;0")))</f>
        <v/>
      </c>
      <c r="AF239" s="20" t="str">
        <f aca="false">IF(AE239="","",IF(AE239&gt;=CONFIG!$E$21,CONFIG!$F$21,IF(AE239&gt;=CONFIG!$E$20,CONFIG!$F$20,CONFIG!$F$19)))</f>
        <v/>
      </c>
      <c r="AG239" s="21" t="str">
        <f aca="false">IF(F239="","",TRIM(IF(N(M239)=0,"Sin ensayos. ","")&amp;IF(AND(N(M239)&gt;0,N(M239)&lt;CONFIG!$B$26),"Menos de "&amp;CONFIG!$B$26&amp;" probetas. ","")&amp;IF(N(T239)&gt;CONFIG!$B$25,"CV alto. ","")&amp;IF(AND(N(AD239)&gt;0,N(AD239)&gt;N(AF239)),"Absorción alta. ","")))</f>
        <v/>
      </c>
      <c r="AH239" s="22" t="str">
        <f aca="false">IF(AND(N(M239)&gt;0,OR(CONTROL!$C$4="TODAS",C239=CONTROL!$C$4),D239=CONTROL!$C$5),MAX($AH$4:AH238)+1,"")</f>
        <v/>
      </c>
      <c r="AI239" s="22" t="str">
        <f aca="false">IF(AH239="","",P239^2)</f>
        <v/>
      </c>
    </row>
    <row r="240" customFormat="false" ht="15" hidden="false" customHeight="false" outlineLevel="0" collapsed="false">
      <c r="A240" s="11" t="str">
        <f aca="false">IF(B240="","",ROW()-4)</f>
        <v/>
      </c>
      <c r="B240" s="12"/>
      <c r="C240" s="13"/>
      <c r="D240" s="13"/>
      <c r="E240" s="13"/>
      <c r="F240" s="14" t="str">
        <f aca="false">IF(OR(B240="",C240="",D240=""),"",IFERROR(INDEX(CONFIG!$E$5:$E$14,MATCH(D240,CONFIG!$D$5:$D$14,0)),"?")&amp;RIGHT("0"&amp;DAY(B240),2)&amp;RIGHT("0"&amp;MONTH(B240),2)&amp;RIGHT(YEAR(B240),2)&amp;C240&amp;IF(E240="","","-"&amp;E240))</f>
        <v/>
      </c>
      <c r="G240" s="13"/>
      <c r="H240" s="13"/>
      <c r="I240" s="13"/>
      <c r="J240" s="13"/>
      <c r="K240" s="13"/>
      <c r="L240" s="13"/>
      <c r="M240" s="11" t="str">
        <f aca="false">IF(F240="","",COUNTIFS(ENSAYOS!$C$5:$C$3004,F240,ENSAYOS!$Q$5:$Q$3004,"&gt;0"))</f>
        <v/>
      </c>
      <c r="N240" s="15" t="str">
        <f aca="false">IF(N(M240)=0,"",_xlfn.MINIFS(ENSAYOS!$G$5:$G$3004,ENSAYOS!$C$5:$C$3004,F240,ENSAYOS!$Q$5:$Q$3004,"&gt;0"))</f>
        <v/>
      </c>
      <c r="O240" s="15" t="str">
        <f aca="false">IF(N(M240)=0,"",_xlfn.MAXIFS(ENSAYOS!$G$5:$G$3004,ENSAYOS!$C$5:$C$3004,F240,ENSAYOS!$Q$5:$Q$3004,"&gt;0"))</f>
        <v/>
      </c>
      <c r="P240" s="16" t="str">
        <f aca="false">IF(N(M240)=0,"",AVERAGEIFS(ENSAYOS!$Q$5:$Q$3004,ENSAYOS!$C$5:$C$3004,F240,ENSAYOS!$Q$5:$Q$3004,"&gt;0"))</f>
        <v/>
      </c>
      <c r="Q240" s="16" t="str">
        <f aca="false">IF(N(M240)=0,"",_xlfn.MINIFS(ENSAYOS!$Q$5:$Q$3004,ENSAYOS!$C$5:$C$3004,F240,ENSAYOS!$Q$5:$Q$3004,"&gt;0"))</f>
        <v/>
      </c>
      <c r="R240" s="16" t="str">
        <f aca="false">IF(N(M240)=0,"",_xlfn.MAXIFS(ENSAYOS!$Q$5:$Q$3004,ENSAYOS!$C$5:$C$3004,F240,ENSAYOS!$Q$5:$Q$3004,"&gt;0"))</f>
        <v/>
      </c>
      <c r="S240" s="16" t="str">
        <f aca="false">IF(N(M240)&lt;2,"",SQRT(MAX(0,(SUMIFS(ENSAYOS!$X$5:$X$3004,ENSAYOS!$C$5:$C$3004,F240,ENSAYOS!$Q$5:$Q$3004,"&gt;0")-M240*P240^2)/(M240-1))))</f>
        <v/>
      </c>
      <c r="T240" s="17" t="str">
        <f aca="false">IF(S240="","",S240/P240)</f>
        <v/>
      </c>
      <c r="U240" s="16" t="str">
        <f aca="false">IF(N(M240)=0,"",IF(N240&gt;=CONFIG!$B$27,"",AVERAGEIFS(ENSAYOS!$Q$5:$Q$3004,ENSAYOS!$C$5:$C$3004,F240,ENSAYOS!$Q$5:$Q$3004,"&gt;0",ENSAYOS!$G$5:$G$3004,N240)))</f>
        <v/>
      </c>
      <c r="V240" s="16" t="str">
        <f aca="false">IF(N(M240)=0,"",IF(COUNTIFS(ENSAYOS!$C$5:$C$3004,F240,ENSAYOS!$Q$5:$Q$3004,"&gt;0",ENSAYOS!$G$5:$G$3004,"&gt;="&amp;CONFIG!$B$27)=0,"",AVERAGEIFS(ENSAYOS!$Q$5:$Q$3004,ENSAYOS!$C$5:$C$3004,F240,ENSAYOS!$Q$5:$Q$3004,"&gt;0",ENSAYOS!$G$5:$G$3004,"&gt;="&amp;CONFIG!$B$27)))</f>
        <v/>
      </c>
      <c r="W240" s="18" t="str">
        <f aca="false">IF(AND(U240&lt;&gt;"",V240&lt;&gt;""),U240/V240,"")</f>
        <v/>
      </c>
      <c r="X240" s="18" t="str">
        <f aca="false">IF(U240="","",INDEX('CURVA EDAD'!$E$5:$E$32,MIN(28,MAX(1,N240))))</f>
        <v/>
      </c>
      <c r="Y240" s="16" t="str">
        <f aca="false">IF(V240&lt;&gt;"",V240,IF(U240="","",U240/X240))</f>
        <v/>
      </c>
      <c r="Z240" s="16" t="str">
        <f aca="false">IF(V240&lt;&gt;"",_xlfn.MINIFS(ENSAYOS!$Q$5:$Q$3004,ENSAYOS!$C$5:$C$3004,F240,ENSAYOS!$Q$5:$Q$3004,"&gt;0",ENSAYOS!$G$5:$G$3004,"&gt;="&amp;CONFIG!$B$27),IF(U240="","",_xlfn.MINIFS(ENSAYOS!$Q$5:$Q$3004,ENSAYOS!$C$5:$C$3004,F240,ENSAYOS!$Q$5:$Q$3004,"&gt;0",ENSAYOS!$G$5:$G$3004,N240)/X240))</f>
        <v/>
      </c>
      <c r="AA240" s="16" t="str">
        <f aca="false">IF(D240="","",IFERROR(1/(1/INDEX(CONFIG!$J$5:$J$14,MATCH(D240,CONFIG!$D$5:$D$14,0))),""))</f>
        <v/>
      </c>
      <c r="AB240" s="16" t="str">
        <f aca="false">IF(D240="","",IFERROR(1/(1/INDEX(CONFIG!$K$5:$K$14,MATCH(D240,CONFIG!$D$5:$D$14,0))),""))</f>
        <v/>
      </c>
      <c r="AC240" s="19" t="str">
        <f aca="false">IF(N(M240)=0,"",IF(AA240="","Sin spec",IF(AND(Y240&gt;=AA240,OR(AB240="",Z240&gt;=AB240)),"CUMPLE","NO CUMPLE")&amp;IF(V240=""," (est.)","")))</f>
        <v/>
      </c>
      <c r="AD240" s="20" t="str">
        <f aca="false">IF(F240="","",IF(COUNTIFS(ABSORCION!$C$5:$C$1004,F240,ABSORCION!$I$5:$I$1004,"&gt;0")=0,"",AVERAGEIFS(ABSORCION!$I$5:$I$1004,ABSORCION!$C$5:$C$1004,F240,ABSORCION!$I$5:$I$1004,"&gt;0")))</f>
        <v/>
      </c>
      <c r="AE240" s="20" t="str">
        <f aca="false">IF(F240="","",IF(COUNTIFS(ABSORCION!$C$5:$C$1004,F240,ABSORCION!$I$5:$I$1004,"&gt;0")=0,"",AVERAGEIFS(ABSORCION!$K$5:$K$1004,ABSORCION!$C$5:$C$1004,F240,ABSORCION!$I$5:$I$1004,"&gt;0")))</f>
        <v/>
      </c>
      <c r="AF240" s="20" t="str">
        <f aca="false">IF(AE240="","",IF(AE240&gt;=CONFIG!$E$21,CONFIG!$F$21,IF(AE240&gt;=CONFIG!$E$20,CONFIG!$F$20,CONFIG!$F$19)))</f>
        <v/>
      </c>
      <c r="AG240" s="21" t="str">
        <f aca="false">IF(F240="","",TRIM(IF(N(M240)=0,"Sin ensayos. ","")&amp;IF(AND(N(M240)&gt;0,N(M240)&lt;CONFIG!$B$26),"Menos de "&amp;CONFIG!$B$26&amp;" probetas. ","")&amp;IF(N(T240)&gt;CONFIG!$B$25,"CV alto. ","")&amp;IF(AND(N(AD240)&gt;0,N(AD240)&gt;N(AF240)),"Absorción alta. ","")))</f>
        <v/>
      </c>
      <c r="AH240" s="22" t="str">
        <f aca="false">IF(AND(N(M240)&gt;0,OR(CONTROL!$C$4="TODAS",C240=CONTROL!$C$4),D240=CONTROL!$C$5),MAX($AH$4:AH239)+1,"")</f>
        <v/>
      </c>
      <c r="AI240" s="22" t="str">
        <f aca="false">IF(AH240="","",P240^2)</f>
        <v/>
      </c>
    </row>
    <row r="241" customFormat="false" ht="15" hidden="false" customHeight="false" outlineLevel="0" collapsed="false">
      <c r="A241" s="11" t="str">
        <f aca="false">IF(B241="","",ROW()-4)</f>
        <v/>
      </c>
      <c r="B241" s="12"/>
      <c r="C241" s="13"/>
      <c r="D241" s="13"/>
      <c r="E241" s="13"/>
      <c r="F241" s="14" t="str">
        <f aca="false">IF(OR(B241="",C241="",D241=""),"",IFERROR(INDEX(CONFIG!$E$5:$E$14,MATCH(D241,CONFIG!$D$5:$D$14,0)),"?")&amp;RIGHT("0"&amp;DAY(B241),2)&amp;RIGHT("0"&amp;MONTH(B241),2)&amp;RIGHT(YEAR(B241),2)&amp;C241&amp;IF(E241="","","-"&amp;E241))</f>
        <v/>
      </c>
      <c r="G241" s="13"/>
      <c r="H241" s="13"/>
      <c r="I241" s="13"/>
      <c r="J241" s="13"/>
      <c r="K241" s="13"/>
      <c r="L241" s="13"/>
      <c r="M241" s="11" t="str">
        <f aca="false">IF(F241="","",COUNTIFS(ENSAYOS!$C$5:$C$3004,F241,ENSAYOS!$Q$5:$Q$3004,"&gt;0"))</f>
        <v/>
      </c>
      <c r="N241" s="15" t="str">
        <f aca="false">IF(N(M241)=0,"",_xlfn.MINIFS(ENSAYOS!$G$5:$G$3004,ENSAYOS!$C$5:$C$3004,F241,ENSAYOS!$Q$5:$Q$3004,"&gt;0"))</f>
        <v/>
      </c>
      <c r="O241" s="15" t="str">
        <f aca="false">IF(N(M241)=0,"",_xlfn.MAXIFS(ENSAYOS!$G$5:$G$3004,ENSAYOS!$C$5:$C$3004,F241,ENSAYOS!$Q$5:$Q$3004,"&gt;0"))</f>
        <v/>
      </c>
      <c r="P241" s="16" t="str">
        <f aca="false">IF(N(M241)=0,"",AVERAGEIFS(ENSAYOS!$Q$5:$Q$3004,ENSAYOS!$C$5:$C$3004,F241,ENSAYOS!$Q$5:$Q$3004,"&gt;0"))</f>
        <v/>
      </c>
      <c r="Q241" s="16" t="str">
        <f aca="false">IF(N(M241)=0,"",_xlfn.MINIFS(ENSAYOS!$Q$5:$Q$3004,ENSAYOS!$C$5:$C$3004,F241,ENSAYOS!$Q$5:$Q$3004,"&gt;0"))</f>
        <v/>
      </c>
      <c r="R241" s="16" t="str">
        <f aca="false">IF(N(M241)=0,"",_xlfn.MAXIFS(ENSAYOS!$Q$5:$Q$3004,ENSAYOS!$C$5:$C$3004,F241,ENSAYOS!$Q$5:$Q$3004,"&gt;0"))</f>
        <v/>
      </c>
      <c r="S241" s="16" t="str">
        <f aca="false">IF(N(M241)&lt;2,"",SQRT(MAX(0,(SUMIFS(ENSAYOS!$X$5:$X$3004,ENSAYOS!$C$5:$C$3004,F241,ENSAYOS!$Q$5:$Q$3004,"&gt;0")-M241*P241^2)/(M241-1))))</f>
        <v/>
      </c>
      <c r="T241" s="17" t="str">
        <f aca="false">IF(S241="","",S241/P241)</f>
        <v/>
      </c>
      <c r="U241" s="16" t="str">
        <f aca="false">IF(N(M241)=0,"",IF(N241&gt;=CONFIG!$B$27,"",AVERAGEIFS(ENSAYOS!$Q$5:$Q$3004,ENSAYOS!$C$5:$C$3004,F241,ENSAYOS!$Q$5:$Q$3004,"&gt;0",ENSAYOS!$G$5:$G$3004,N241)))</f>
        <v/>
      </c>
      <c r="V241" s="16" t="str">
        <f aca="false">IF(N(M241)=0,"",IF(COUNTIFS(ENSAYOS!$C$5:$C$3004,F241,ENSAYOS!$Q$5:$Q$3004,"&gt;0",ENSAYOS!$G$5:$G$3004,"&gt;="&amp;CONFIG!$B$27)=0,"",AVERAGEIFS(ENSAYOS!$Q$5:$Q$3004,ENSAYOS!$C$5:$C$3004,F241,ENSAYOS!$Q$5:$Q$3004,"&gt;0",ENSAYOS!$G$5:$G$3004,"&gt;="&amp;CONFIG!$B$27)))</f>
        <v/>
      </c>
      <c r="W241" s="18" t="str">
        <f aca="false">IF(AND(U241&lt;&gt;"",V241&lt;&gt;""),U241/V241,"")</f>
        <v/>
      </c>
      <c r="X241" s="18" t="str">
        <f aca="false">IF(U241="","",INDEX('CURVA EDAD'!$E$5:$E$32,MIN(28,MAX(1,N241))))</f>
        <v/>
      </c>
      <c r="Y241" s="16" t="str">
        <f aca="false">IF(V241&lt;&gt;"",V241,IF(U241="","",U241/X241))</f>
        <v/>
      </c>
      <c r="Z241" s="16" t="str">
        <f aca="false">IF(V241&lt;&gt;"",_xlfn.MINIFS(ENSAYOS!$Q$5:$Q$3004,ENSAYOS!$C$5:$C$3004,F241,ENSAYOS!$Q$5:$Q$3004,"&gt;0",ENSAYOS!$G$5:$G$3004,"&gt;="&amp;CONFIG!$B$27),IF(U241="","",_xlfn.MINIFS(ENSAYOS!$Q$5:$Q$3004,ENSAYOS!$C$5:$C$3004,F241,ENSAYOS!$Q$5:$Q$3004,"&gt;0",ENSAYOS!$G$5:$G$3004,N241)/X241))</f>
        <v/>
      </c>
      <c r="AA241" s="16" t="str">
        <f aca="false">IF(D241="","",IFERROR(1/(1/INDEX(CONFIG!$J$5:$J$14,MATCH(D241,CONFIG!$D$5:$D$14,0))),""))</f>
        <v/>
      </c>
      <c r="AB241" s="16" t="str">
        <f aca="false">IF(D241="","",IFERROR(1/(1/INDEX(CONFIG!$K$5:$K$14,MATCH(D241,CONFIG!$D$5:$D$14,0))),""))</f>
        <v/>
      </c>
      <c r="AC241" s="19" t="str">
        <f aca="false">IF(N(M241)=0,"",IF(AA241="","Sin spec",IF(AND(Y241&gt;=AA241,OR(AB241="",Z241&gt;=AB241)),"CUMPLE","NO CUMPLE")&amp;IF(V241=""," (est.)","")))</f>
        <v/>
      </c>
      <c r="AD241" s="20" t="str">
        <f aca="false">IF(F241="","",IF(COUNTIFS(ABSORCION!$C$5:$C$1004,F241,ABSORCION!$I$5:$I$1004,"&gt;0")=0,"",AVERAGEIFS(ABSORCION!$I$5:$I$1004,ABSORCION!$C$5:$C$1004,F241,ABSORCION!$I$5:$I$1004,"&gt;0")))</f>
        <v/>
      </c>
      <c r="AE241" s="20" t="str">
        <f aca="false">IF(F241="","",IF(COUNTIFS(ABSORCION!$C$5:$C$1004,F241,ABSORCION!$I$5:$I$1004,"&gt;0")=0,"",AVERAGEIFS(ABSORCION!$K$5:$K$1004,ABSORCION!$C$5:$C$1004,F241,ABSORCION!$I$5:$I$1004,"&gt;0")))</f>
        <v/>
      </c>
      <c r="AF241" s="20" t="str">
        <f aca="false">IF(AE241="","",IF(AE241&gt;=CONFIG!$E$21,CONFIG!$F$21,IF(AE241&gt;=CONFIG!$E$20,CONFIG!$F$20,CONFIG!$F$19)))</f>
        <v/>
      </c>
      <c r="AG241" s="21" t="str">
        <f aca="false">IF(F241="","",TRIM(IF(N(M241)=0,"Sin ensayos. ","")&amp;IF(AND(N(M241)&gt;0,N(M241)&lt;CONFIG!$B$26),"Menos de "&amp;CONFIG!$B$26&amp;" probetas. ","")&amp;IF(N(T241)&gt;CONFIG!$B$25,"CV alto. ","")&amp;IF(AND(N(AD241)&gt;0,N(AD241)&gt;N(AF241)),"Absorción alta. ","")))</f>
        <v/>
      </c>
      <c r="AH241" s="22" t="str">
        <f aca="false">IF(AND(N(M241)&gt;0,OR(CONTROL!$C$4="TODAS",C241=CONTROL!$C$4),D241=CONTROL!$C$5),MAX($AH$4:AH240)+1,"")</f>
        <v/>
      </c>
      <c r="AI241" s="22" t="str">
        <f aca="false">IF(AH241="","",P241^2)</f>
        <v/>
      </c>
    </row>
    <row r="242" customFormat="false" ht="15" hidden="false" customHeight="false" outlineLevel="0" collapsed="false">
      <c r="A242" s="11" t="str">
        <f aca="false">IF(B242="","",ROW()-4)</f>
        <v/>
      </c>
      <c r="B242" s="12"/>
      <c r="C242" s="13"/>
      <c r="D242" s="13"/>
      <c r="E242" s="13"/>
      <c r="F242" s="14" t="str">
        <f aca="false">IF(OR(B242="",C242="",D242=""),"",IFERROR(INDEX(CONFIG!$E$5:$E$14,MATCH(D242,CONFIG!$D$5:$D$14,0)),"?")&amp;RIGHT("0"&amp;DAY(B242),2)&amp;RIGHT("0"&amp;MONTH(B242),2)&amp;RIGHT(YEAR(B242),2)&amp;C242&amp;IF(E242="","","-"&amp;E242))</f>
        <v/>
      </c>
      <c r="G242" s="13"/>
      <c r="H242" s="13"/>
      <c r="I242" s="13"/>
      <c r="J242" s="13"/>
      <c r="K242" s="13"/>
      <c r="L242" s="13"/>
      <c r="M242" s="11" t="str">
        <f aca="false">IF(F242="","",COUNTIFS(ENSAYOS!$C$5:$C$3004,F242,ENSAYOS!$Q$5:$Q$3004,"&gt;0"))</f>
        <v/>
      </c>
      <c r="N242" s="15" t="str">
        <f aca="false">IF(N(M242)=0,"",_xlfn.MINIFS(ENSAYOS!$G$5:$G$3004,ENSAYOS!$C$5:$C$3004,F242,ENSAYOS!$Q$5:$Q$3004,"&gt;0"))</f>
        <v/>
      </c>
      <c r="O242" s="15" t="str">
        <f aca="false">IF(N(M242)=0,"",_xlfn.MAXIFS(ENSAYOS!$G$5:$G$3004,ENSAYOS!$C$5:$C$3004,F242,ENSAYOS!$Q$5:$Q$3004,"&gt;0"))</f>
        <v/>
      </c>
      <c r="P242" s="16" t="str">
        <f aca="false">IF(N(M242)=0,"",AVERAGEIFS(ENSAYOS!$Q$5:$Q$3004,ENSAYOS!$C$5:$C$3004,F242,ENSAYOS!$Q$5:$Q$3004,"&gt;0"))</f>
        <v/>
      </c>
      <c r="Q242" s="16" t="str">
        <f aca="false">IF(N(M242)=0,"",_xlfn.MINIFS(ENSAYOS!$Q$5:$Q$3004,ENSAYOS!$C$5:$C$3004,F242,ENSAYOS!$Q$5:$Q$3004,"&gt;0"))</f>
        <v/>
      </c>
      <c r="R242" s="16" t="str">
        <f aca="false">IF(N(M242)=0,"",_xlfn.MAXIFS(ENSAYOS!$Q$5:$Q$3004,ENSAYOS!$C$5:$C$3004,F242,ENSAYOS!$Q$5:$Q$3004,"&gt;0"))</f>
        <v/>
      </c>
      <c r="S242" s="16" t="str">
        <f aca="false">IF(N(M242)&lt;2,"",SQRT(MAX(0,(SUMIFS(ENSAYOS!$X$5:$X$3004,ENSAYOS!$C$5:$C$3004,F242,ENSAYOS!$Q$5:$Q$3004,"&gt;0")-M242*P242^2)/(M242-1))))</f>
        <v/>
      </c>
      <c r="T242" s="17" t="str">
        <f aca="false">IF(S242="","",S242/P242)</f>
        <v/>
      </c>
      <c r="U242" s="16" t="str">
        <f aca="false">IF(N(M242)=0,"",IF(N242&gt;=CONFIG!$B$27,"",AVERAGEIFS(ENSAYOS!$Q$5:$Q$3004,ENSAYOS!$C$5:$C$3004,F242,ENSAYOS!$Q$5:$Q$3004,"&gt;0",ENSAYOS!$G$5:$G$3004,N242)))</f>
        <v/>
      </c>
      <c r="V242" s="16" t="str">
        <f aca="false">IF(N(M242)=0,"",IF(COUNTIFS(ENSAYOS!$C$5:$C$3004,F242,ENSAYOS!$Q$5:$Q$3004,"&gt;0",ENSAYOS!$G$5:$G$3004,"&gt;="&amp;CONFIG!$B$27)=0,"",AVERAGEIFS(ENSAYOS!$Q$5:$Q$3004,ENSAYOS!$C$5:$C$3004,F242,ENSAYOS!$Q$5:$Q$3004,"&gt;0",ENSAYOS!$G$5:$G$3004,"&gt;="&amp;CONFIG!$B$27)))</f>
        <v/>
      </c>
      <c r="W242" s="18" t="str">
        <f aca="false">IF(AND(U242&lt;&gt;"",V242&lt;&gt;""),U242/V242,"")</f>
        <v/>
      </c>
      <c r="X242" s="18" t="str">
        <f aca="false">IF(U242="","",INDEX('CURVA EDAD'!$E$5:$E$32,MIN(28,MAX(1,N242))))</f>
        <v/>
      </c>
      <c r="Y242" s="16" t="str">
        <f aca="false">IF(V242&lt;&gt;"",V242,IF(U242="","",U242/X242))</f>
        <v/>
      </c>
      <c r="Z242" s="16" t="str">
        <f aca="false">IF(V242&lt;&gt;"",_xlfn.MINIFS(ENSAYOS!$Q$5:$Q$3004,ENSAYOS!$C$5:$C$3004,F242,ENSAYOS!$Q$5:$Q$3004,"&gt;0",ENSAYOS!$G$5:$G$3004,"&gt;="&amp;CONFIG!$B$27),IF(U242="","",_xlfn.MINIFS(ENSAYOS!$Q$5:$Q$3004,ENSAYOS!$C$5:$C$3004,F242,ENSAYOS!$Q$5:$Q$3004,"&gt;0",ENSAYOS!$G$5:$G$3004,N242)/X242))</f>
        <v/>
      </c>
      <c r="AA242" s="16" t="str">
        <f aca="false">IF(D242="","",IFERROR(1/(1/INDEX(CONFIG!$J$5:$J$14,MATCH(D242,CONFIG!$D$5:$D$14,0))),""))</f>
        <v/>
      </c>
      <c r="AB242" s="16" t="str">
        <f aca="false">IF(D242="","",IFERROR(1/(1/INDEX(CONFIG!$K$5:$K$14,MATCH(D242,CONFIG!$D$5:$D$14,0))),""))</f>
        <v/>
      </c>
      <c r="AC242" s="19" t="str">
        <f aca="false">IF(N(M242)=0,"",IF(AA242="","Sin spec",IF(AND(Y242&gt;=AA242,OR(AB242="",Z242&gt;=AB242)),"CUMPLE","NO CUMPLE")&amp;IF(V242=""," (est.)","")))</f>
        <v/>
      </c>
      <c r="AD242" s="20" t="str">
        <f aca="false">IF(F242="","",IF(COUNTIFS(ABSORCION!$C$5:$C$1004,F242,ABSORCION!$I$5:$I$1004,"&gt;0")=0,"",AVERAGEIFS(ABSORCION!$I$5:$I$1004,ABSORCION!$C$5:$C$1004,F242,ABSORCION!$I$5:$I$1004,"&gt;0")))</f>
        <v/>
      </c>
      <c r="AE242" s="20" t="str">
        <f aca="false">IF(F242="","",IF(COUNTIFS(ABSORCION!$C$5:$C$1004,F242,ABSORCION!$I$5:$I$1004,"&gt;0")=0,"",AVERAGEIFS(ABSORCION!$K$5:$K$1004,ABSORCION!$C$5:$C$1004,F242,ABSORCION!$I$5:$I$1004,"&gt;0")))</f>
        <v/>
      </c>
      <c r="AF242" s="20" t="str">
        <f aca="false">IF(AE242="","",IF(AE242&gt;=CONFIG!$E$21,CONFIG!$F$21,IF(AE242&gt;=CONFIG!$E$20,CONFIG!$F$20,CONFIG!$F$19)))</f>
        <v/>
      </c>
      <c r="AG242" s="21" t="str">
        <f aca="false">IF(F242="","",TRIM(IF(N(M242)=0,"Sin ensayos. ","")&amp;IF(AND(N(M242)&gt;0,N(M242)&lt;CONFIG!$B$26),"Menos de "&amp;CONFIG!$B$26&amp;" probetas. ","")&amp;IF(N(T242)&gt;CONFIG!$B$25,"CV alto. ","")&amp;IF(AND(N(AD242)&gt;0,N(AD242)&gt;N(AF242)),"Absorción alta. ","")))</f>
        <v/>
      </c>
      <c r="AH242" s="22" t="str">
        <f aca="false">IF(AND(N(M242)&gt;0,OR(CONTROL!$C$4="TODAS",C242=CONTROL!$C$4),D242=CONTROL!$C$5),MAX($AH$4:AH241)+1,"")</f>
        <v/>
      </c>
      <c r="AI242" s="22" t="str">
        <f aca="false">IF(AH242="","",P242^2)</f>
        <v/>
      </c>
    </row>
    <row r="243" customFormat="false" ht="15" hidden="false" customHeight="false" outlineLevel="0" collapsed="false">
      <c r="A243" s="11" t="str">
        <f aca="false">IF(B243="","",ROW()-4)</f>
        <v/>
      </c>
      <c r="B243" s="12"/>
      <c r="C243" s="13"/>
      <c r="D243" s="13"/>
      <c r="E243" s="13"/>
      <c r="F243" s="14" t="str">
        <f aca="false">IF(OR(B243="",C243="",D243=""),"",IFERROR(INDEX(CONFIG!$E$5:$E$14,MATCH(D243,CONFIG!$D$5:$D$14,0)),"?")&amp;RIGHT("0"&amp;DAY(B243),2)&amp;RIGHT("0"&amp;MONTH(B243),2)&amp;RIGHT(YEAR(B243),2)&amp;C243&amp;IF(E243="","","-"&amp;E243))</f>
        <v/>
      </c>
      <c r="G243" s="13"/>
      <c r="H243" s="13"/>
      <c r="I243" s="13"/>
      <c r="J243" s="13"/>
      <c r="K243" s="13"/>
      <c r="L243" s="13"/>
      <c r="M243" s="11" t="str">
        <f aca="false">IF(F243="","",COUNTIFS(ENSAYOS!$C$5:$C$3004,F243,ENSAYOS!$Q$5:$Q$3004,"&gt;0"))</f>
        <v/>
      </c>
      <c r="N243" s="15" t="str">
        <f aca="false">IF(N(M243)=0,"",_xlfn.MINIFS(ENSAYOS!$G$5:$G$3004,ENSAYOS!$C$5:$C$3004,F243,ENSAYOS!$Q$5:$Q$3004,"&gt;0"))</f>
        <v/>
      </c>
      <c r="O243" s="15" t="str">
        <f aca="false">IF(N(M243)=0,"",_xlfn.MAXIFS(ENSAYOS!$G$5:$G$3004,ENSAYOS!$C$5:$C$3004,F243,ENSAYOS!$Q$5:$Q$3004,"&gt;0"))</f>
        <v/>
      </c>
      <c r="P243" s="16" t="str">
        <f aca="false">IF(N(M243)=0,"",AVERAGEIFS(ENSAYOS!$Q$5:$Q$3004,ENSAYOS!$C$5:$C$3004,F243,ENSAYOS!$Q$5:$Q$3004,"&gt;0"))</f>
        <v/>
      </c>
      <c r="Q243" s="16" t="str">
        <f aca="false">IF(N(M243)=0,"",_xlfn.MINIFS(ENSAYOS!$Q$5:$Q$3004,ENSAYOS!$C$5:$C$3004,F243,ENSAYOS!$Q$5:$Q$3004,"&gt;0"))</f>
        <v/>
      </c>
      <c r="R243" s="16" t="str">
        <f aca="false">IF(N(M243)=0,"",_xlfn.MAXIFS(ENSAYOS!$Q$5:$Q$3004,ENSAYOS!$C$5:$C$3004,F243,ENSAYOS!$Q$5:$Q$3004,"&gt;0"))</f>
        <v/>
      </c>
      <c r="S243" s="16" t="str">
        <f aca="false">IF(N(M243)&lt;2,"",SQRT(MAX(0,(SUMIFS(ENSAYOS!$X$5:$X$3004,ENSAYOS!$C$5:$C$3004,F243,ENSAYOS!$Q$5:$Q$3004,"&gt;0")-M243*P243^2)/(M243-1))))</f>
        <v/>
      </c>
      <c r="T243" s="17" t="str">
        <f aca="false">IF(S243="","",S243/P243)</f>
        <v/>
      </c>
      <c r="U243" s="16" t="str">
        <f aca="false">IF(N(M243)=0,"",IF(N243&gt;=CONFIG!$B$27,"",AVERAGEIFS(ENSAYOS!$Q$5:$Q$3004,ENSAYOS!$C$5:$C$3004,F243,ENSAYOS!$Q$5:$Q$3004,"&gt;0",ENSAYOS!$G$5:$G$3004,N243)))</f>
        <v/>
      </c>
      <c r="V243" s="16" t="str">
        <f aca="false">IF(N(M243)=0,"",IF(COUNTIFS(ENSAYOS!$C$5:$C$3004,F243,ENSAYOS!$Q$5:$Q$3004,"&gt;0",ENSAYOS!$G$5:$G$3004,"&gt;="&amp;CONFIG!$B$27)=0,"",AVERAGEIFS(ENSAYOS!$Q$5:$Q$3004,ENSAYOS!$C$5:$C$3004,F243,ENSAYOS!$Q$5:$Q$3004,"&gt;0",ENSAYOS!$G$5:$G$3004,"&gt;="&amp;CONFIG!$B$27)))</f>
        <v/>
      </c>
      <c r="W243" s="18" t="str">
        <f aca="false">IF(AND(U243&lt;&gt;"",V243&lt;&gt;""),U243/V243,"")</f>
        <v/>
      </c>
      <c r="X243" s="18" t="str">
        <f aca="false">IF(U243="","",INDEX('CURVA EDAD'!$E$5:$E$32,MIN(28,MAX(1,N243))))</f>
        <v/>
      </c>
      <c r="Y243" s="16" t="str">
        <f aca="false">IF(V243&lt;&gt;"",V243,IF(U243="","",U243/X243))</f>
        <v/>
      </c>
      <c r="Z243" s="16" t="str">
        <f aca="false">IF(V243&lt;&gt;"",_xlfn.MINIFS(ENSAYOS!$Q$5:$Q$3004,ENSAYOS!$C$5:$C$3004,F243,ENSAYOS!$Q$5:$Q$3004,"&gt;0",ENSAYOS!$G$5:$G$3004,"&gt;="&amp;CONFIG!$B$27),IF(U243="","",_xlfn.MINIFS(ENSAYOS!$Q$5:$Q$3004,ENSAYOS!$C$5:$C$3004,F243,ENSAYOS!$Q$5:$Q$3004,"&gt;0",ENSAYOS!$G$5:$G$3004,N243)/X243))</f>
        <v/>
      </c>
      <c r="AA243" s="16" t="str">
        <f aca="false">IF(D243="","",IFERROR(1/(1/INDEX(CONFIG!$J$5:$J$14,MATCH(D243,CONFIG!$D$5:$D$14,0))),""))</f>
        <v/>
      </c>
      <c r="AB243" s="16" t="str">
        <f aca="false">IF(D243="","",IFERROR(1/(1/INDEX(CONFIG!$K$5:$K$14,MATCH(D243,CONFIG!$D$5:$D$14,0))),""))</f>
        <v/>
      </c>
      <c r="AC243" s="19" t="str">
        <f aca="false">IF(N(M243)=0,"",IF(AA243="","Sin spec",IF(AND(Y243&gt;=AA243,OR(AB243="",Z243&gt;=AB243)),"CUMPLE","NO CUMPLE")&amp;IF(V243=""," (est.)","")))</f>
        <v/>
      </c>
      <c r="AD243" s="20" t="str">
        <f aca="false">IF(F243="","",IF(COUNTIFS(ABSORCION!$C$5:$C$1004,F243,ABSORCION!$I$5:$I$1004,"&gt;0")=0,"",AVERAGEIFS(ABSORCION!$I$5:$I$1004,ABSORCION!$C$5:$C$1004,F243,ABSORCION!$I$5:$I$1004,"&gt;0")))</f>
        <v/>
      </c>
      <c r="AE243" s="20" t="str">
        <f aca="false">IF(F243="","",IF(COUNTIFS(ABSORCION!$C$5:$C$1004,F243,ABSORCION!$I$5:$I$1004,"&gt;0")=0,"",AVERAGEIFS(ABSORCION!$K$5:$K$1004,ABSORCION!$C$5:$C$1004,F243,ABSORCION!$I$5:$I$1004,"&gt;0")))</f>
        <v/>
      </c>
      <c r="AF243" s="20" t="str">
        <f aca="false">IF(AE243="","",IF(AE243&gt;=CONFIG!$E$21,CONFIG!$F$21,IF(AE243&gt;=CONFIG!$E$20,CONFIG!$F$20,CONFIG!$F$19)))</f>
        <v/>
      </c>
      <c r="AG243" s="21" t="str">
        <f aca="false">IF(F243="","",TRIM(IF(N(M243)=0,"Sin ensayos. ","")&amp;IF(AND(N(M243)&gt;0,N(M243)&lt;CONFIG!$B$26),"Menos de "&amp;CONFIG!$B$26&amp;" probetas. ","")&amp;IF(N(T243)&gt;CONFIG!$B$25,"CV alto. ","")&amp;IF(AND(N(AD243)&gt;0,N(AD243)&gt;N(AF243)),"Absorción alta. ","")))</f>
        <v/>
      </c>
      <c r="AH243" s="22" t="str">
        <f aca="false">IF(AND(N(M243)&gt;0,OR(CONTROL!$C$4="TODAS",C243=CONTROL!$C$4),D243=CONTROL!$C$5),MAX($AH$4:AH242)+1,"")</f>
        <v/>
      </c>
      <c r="AI243" s="22" t="str">
        <f aca="false">IF(AH243="","",P243^2)</f>
        <v/>
      </c>
    </row>
    <row r="244" customFormat="false" ht="15" hidden="false" customHeight="false" outlineLevel="0" collapsed="false">
      <c r="A244" s="11" t="str">
        <f aca="false">IF(B244="","",ROW()-4)</f>
        <v/>
      </c>
      <c r="B244" s="12"/>
      <c r="C244" s="13"/>
      <c r="D244" s="13"/>
      <c r="E244" s="13"/>
      <c r="F244" s="14" t="str">
        <f aca="false">IF(OR(B244="",C244="",D244=""),"",IFERROR(INDEX(CONFIG!$E$5:$E$14,MATCH(D244,CONFIG!$D$5:$D$14,0)),"?")&amp;RIGHT("0"&amp;DAY(B244),2)&amp;RIGHT("0"&amp;MONTH(B244),2)&amp;RIGHT(YEAR(B244),2)&amp;C244&amp;IF(E244="","","-"&amp;E244))</f>
        <v/>
      </c>
      <c r="G244" s="13"/>
      <c r="H244" s="13"/>
      <c r="I244" s="13"/>
      <c r="J244" s="13"/>
      <c r="K244" s="13"/>
      <c r="L244" s="13"/>
      <c r="M244" s="11" t="str">
        <f aca="false">IF(F244="","",COUNTIFS(ENSAYOS!$C$5:$C$3004,F244,ENSAYOS!$Q$5:$Q$3004,"&gt;0"))</f>
        <v/>
      </c>
      <c r="N244" s="15" t="str">
        <f aca="false">IF(N(M244)=0,"",_xlfn.MINIFS(ENSAYOS!$G$5:$G$3004,ENSAYOS!$C$5:$C$3004,F244,ENSAYOS!$Q$5:$Q$3004,"&gt;0"))</f>
        <v/>
      </c>
      <c r="O244" s="15" t="str">
        <f aca="false">IF(N(M244)=0,"",_xlfn.MAXIFS(ENSAYOS!$G$5:$G$3004,ENSAYOS!$C$5:$C$3004,F244,ENSAYOS!$Q$5:$Q$3004,"&gt;0"))</f>
        <v/>
      </c>
      <c r="P244" s="16" t="str">
        <f aca="false">IF(N(M244)=0,"",AVERAGEIFS(ENSAYOS!$Q$5:$Q$3004,ENSAYOS!$C$5:$C$3004,F244,ENSAYOS!$Q$5:$Q$3004,"&gt;0"))</f>
        <v/>
      </c>
      <c r="Q244" s="16" t="str">
        <f aca="false">IF(N(M244)=0,"",_xlfn.MINIFS(ENSAYOS!$Q$5:$Q$3004,ENSAYOS!$C$5:$C$3004,F244,ENSAYOS!$Q$5:$Q$3004,"&gt;0"))</f>
        <v/>
      </c>
      <c r="R244" s="16" t="str">
        <f aca="false">IF(N(M244)=0,"",_xlfn.MAXIFS(ENSAYOS!$Q$5:$Q$3004,ENSAYOS!$C$5:$C$3004,F244,ENSAYOS!$Q$5:$Q$3004,"&gt;0"))</f>
        <v/>
      </c>
      <c r="S244" s="16" t="str">
        <f aca="false">IF(N(M244)&lt;2,"",SQRT(MAX(0,(SUMIFS(ENSAYOS!$X$5:$X$3004,ENSAYOS!$C$5:$C$3004,F244,ENSAYOS!$Q$5:$Q$3004,"&gt;0")-M244*P244^2)/(M244-1))))</f>
        <v/>
      </c>
      <c r="T244" s="17" t="str">
        <f aca="false">IF(S244="","",S244/P244)</f>
        <v/>
      </c>
      <c r="U244" s="16" t="str">
        <f aca="false">IF(N(M244)=0,"",IF(N244&gt;=CONFIG!$B$27,"",AVERAGEIFS(ENSAYOS!$Q$5:$Q$3004,ENSAYOS!$C$5:$C$3004,F244,ENSAYOS!$Q$5:$Q$3004,"&gt;0",ENSAYOS!$G$5:$G$3004,N244)))</f>
        <v/>
      </c>
      <c r="V244" s="16" t="str">
        <f aca="false">IF(N(M244)=0,"",IF(COUNTIFS(ENSAYOS!$C$5:$C$3004,F244,ENSAYOS!$Q$5:$Q$3004,"&gt;0",ENSAYOS!$G$5:$G$3004,"&gt;="&amp;CONFIG!$B$27)=0,"",AVERAGEIFS(ENSAYOS!$Q$5:$Q$3004,ENSAYOS!$C$5:$C$3004,F244,ENSAYOS!$Q$5:$Q$3004,"&gt;0",ENSAYOS!$G$5:$G$3004,"&gt;="&amp;CONFIG!$B$27)))</f>
        <v/>
      </c>
      <c r="W244" s="18" t="str">
        <f aca="false">IF(AND(U244&lt;&gt;"",V244&lt;&gt;""),U244/V244,"")</f>
        <v/>
      </c>
      <c r="X244" s="18" t="str">
        <f aca="false">IF(U244="","",INDEX('CURVA EDAD'!$E$5:$E$32,MIN(28,MAX(1,N244))))</f>
        <v/>
      </c>
      <c r="Y244" s="16" t="str">
        <f aca="false">IF(V244&lt;&gt;"",V244,IF(U244="","",U244/X244))</f>
        <v/>
      </c>
      <c r="Z244" s="16" t="str">
        <f aca="false">IF(V244&lt;&gt;"",_xlfn.MINIFS(ENSAYOS!$Q$5:$Q$3004,ENSAYOS!$C$5:$C$3004,F244,ENSAYOS!$Q$5:$Q$3004,"&gt;0",ENSAYOS!$G$5:$G$3004,"&gt;="&amp;CONFIG!$B$27),IF(U244="","",_xlfn.MINIFS(ENSAYOS!$Q$5:$Q$3004,ENSAYOS!$C$5:$C$3004,F244,ENSAYOS!$Q$5:$Q$3004,"&gt;0",ENSAYOS!$G$5:$G$3004,N244)/X244))</f>
        <v/>
      </c>
      <c r="AA244" s="16" t="str">
        <f aca="false">IF(D244="","",IFERROR(1/(1/INDEX(CONFIG!$J$5:$J$14,MATCH(D244,CONFIG!$D$5:$D$14,0))),""))</f>
        <v/>
      </c>
      <c r="AB244" s="16" t="str">
        <f aca="false">IF(D244="","",IFERROR(1/(1/INDEX(CONFIG!$K$5:$K$14,MATCH(D244,CONFIG!$D$5:$D$14,0))),""))</f>
        <v/>
      </c>
      <c r="AC244" s="19" t="str">
        <f aca="false">IF(N(M244)=0,"",IF(AA244="","Sin spec",IF(AND(Y244&gt;=AA244,OR(AB244="",Z244&gt;=AB244)),"CUMPLE","NO CUMPLE")&amp;IF(V244=""," (est.)","")))</f>
        <v/>
      </c>
      <c r="AD244" s="20" t="str">
        <f aca="false">IF(F244="","",IF(COUNTIFS(ABSORCION!$C$5:$C$1004,F244,ABSORCION!$I$5:$I$1004,"&gt;0")=0,"",AVERAGEIFS(ABSORCION!$I$5:$I$1004,ABSORCION!$C$5:$C$1004,F244,ABSORCION!$I$5:$I$1004,"&gt;0")))</f>
        <v/>
      </c>
      <c r="AE244" s="20" t="str">
        <f aca="false">IF(F244="","",IF(COUNTIFS(ABSORCION!$C$5:$C$1004,F244,ABSORCION!$I$5:$I$1004,"&gt;0")=0,"",AVERAGEIFS(ABSORCION!$K$5:$K$1004,ABSORCION!$C$5:$C$1004,F244,ABSORCION!$I$5:$I$1004,"&gt;0")))</f>
        <v/>
      </c>
      <c r="AF244" s="20" t="str">
        <f aca="false">IF(AE244="","",IF(AE244&gt;=CONFIG!$E$21,CONFIG!$F$21,IF(AE244&gt;=CONFIG!$E$20,CONFIG!$F$20,CONFIG!$F$19)))</f>
        <v/>
      </c>
      <c r="AG244" s="21" t="str">
        <f aca="false">IF(F244="","",TRIM(IF(N(M244)=0,"Sin ensayos. ","")&amp;IF(AND(N(M244)&gt;0,N(M244)&lt;CONFIG!$B$26),"Menos de "&amp;CONFIG!$B$26&amp;" probetas. ","")&amp;IF(N(T244)&gt;CONFIG!$B$25,"CV alto. ","")&amp;IF(AND(N(AD244)&gt;0,N(AD244)&gt;N(AF244)),"Absorción alta. ","")))</f>
        <v/>
      </c>
      <c r="AH244" s="22" t="str">
        <f aca="false">IF(AND(N(M244)&gt;0,OR(CONTROL!$C$4="TODAS",C244=CONTROL!$C$4),D244=CONTROL!$C$5),MAX($AH$4:AH243)+1,"")</f>
        <v/>
      </c>
      <c r="AI244" s="22" t="str">
        <f aca="false">IF(AH244="","",P244^2)</f>
        <v/>
      </c>
    </row>
    <row r="245" customFormat="false" ht="15" hidden="false" customHeight="false" outlineLevel="0" collapsed="false">
      <c r="A245" s="11" t="str">
        <f aca="false">IF(B245="","",ROW()-4)</f>
        <v/>
      </c>
      <c r="B245" s="12"/>
      <c r="C245" s="13"/>
      <c r="D245" s="13"/>
      <c r="E245" s="13"/>
      <c r="F245" s="14" t="str">
        <f aca="false">IF(OR(B245="",C245="",D245=""),"",IFERROR(INDEX(CONFIG!$E$5:$E$14,MATCH(D245,CONFIG!$D$5:$D$14,0)),"?")&amp;RIGHT("0"&amp;DAY(B245),2)&amp;RIGHT("0"&amp;MONTH(B245),2)&amp;RIGHT(YEAR(B245),2)&amp;C245&amp;IF(E245="","","-"&amp;E245))</f>
        <v/>
      </c>
      <c r="G245" s="13"/>
      <c r="H245" s="13"/>
      <c r="I245" s="13"/>
      <c r="J245" s="13"/>
      <c r="K245" s="13"/>
      <c r="L245" s="13"/>
      <c r="M245" s="11" t="str">
        <f aca="false">IF(F245="","",COUNTIFS(ENSAYOS!$C$5:$C$3004,F245,ENSAYOS!$Q$5:$Q$3004,"&gt;0"))</f>
        <v/>
      </c>
      <c r="N245" s="15" t="str">
        <f aca="false">IF(N(M245)=0,"",_xlfn.MINIFS(ENSAYOS!$G$5:$G$3004,ENSAYOS!$C$5:$C$3004,F245,ENSAYOS!$Q$5:$Q$3004,"&gt;0"))</f>
        <v/>
      </c>
      <c r="O245" s="15" t="str">
        <f aca="false">IF(N(M245)=0,"",_xlfn.MAXIFS(ENSAYOS!$G$5:$G$3004,ENSAYOS!$C$5:$C$3004,F245,ENSAYOS!$Q$5:$Q$3004,"&gt;0"))</f>
        <v/>
      </c>
      <c r="P245" s="16" t="str">
        <f aca="false">IF(N(M245)=0,"",AVERAGEIFS(ENSAYOS!$Q$5:$Q$3004,ENSAYOS!$C$5:$C$3004,F245,ENSAYOS!$Q$5:$Q$3004,"&gt;0"))</f>
        <v/>
      </c>
      <c r="Q245" s="16" t="str">
        <f aca="false">IF(N(M245)=0,"",_xlfn.MINIFS(ENSAYOS!$Q$5:$Q$3004,ENSAYOS!$C$5:$C$3004,F245,ENSAYOS!$Q$5:$Q$3004,"&gt;0"))</f>
        <v/>
      </c>
      <c r="R245" s="16" t="str">
        <f aca="false">IF(N(M245)=0,"",_xlfn.MAXIFS(ENSAYOS!$Q$5:$Q$3004,ENSAYOS!$C$5:$C$3004,F245,ENSAYOS!$Q$5:$Q$3004,"&gt;0"))</f>
        <v/>
      </c>
      <c r="S245" s="16" t="str">
        <f aca="false">IF(N(M245)&lt;2,"",SQRT(MAX(0,(SUMIFS(ENSAYOS!$X$5:$X$3004,ENSAYOS!$C$5:$C$3004,F245,ENSAYOS!$Q$5:$Q$3004,"&gt;0")-M245*P245^2)/(M245-1))))</f>
        <v/>
      </c>
      <c r="T245" s="17" t="str">
        <f aca="false">IF(S245="","",S245/P245)</f>
        <v/>
      </c>
      <c r="U245" s="16" t="str">
        <f aca="false">IF(N(M245)=0,"",IF(N245&gt;=CONFIG!$B$27,"",AVERAGEIFS(ENSAYOS!$Q$5:$Q$3004,ENSAYOS!$C$5:$C$3004,F245,ENSAYOS!$Q$5:$Q$3004,"&gt;0",ENSAYOS!$G$5:$G$3004,N245)))</f>
        <v/>
      </c>
      <c r="V245" s="16" t="str">
        <f aca="false">IF(N(M245)=0,"",IF(COUNTIFS(ENSAYOS!$C$5:$C$3004,F245,ENSAYOS!$Q$5:$Q$3004,"&gt;0",ENSAYOS!$G$5:$G$3004,"&gt;="&amp;CONFIG!$B$27)=0,"",AVERAGEIFS(ENSAYOS!$Q$5:$Q$3004,ENSAYOS!$C$5:$C$3004,F245,ENSAYOS!$Q$5:$Q$3004,"&gt;0",ENSAYOS!$G$5:$G$3004,"&gt;="&amp;CONFIG!$B$27)))</f>
        <v/>
      </c>
      <c r="W245" s="18" t="str">
        <f aca="false">IF(AND(U245&lt;&gt;"",V245&lt;&gt;""),U245/V245,"")</f>
        <v/>
      </c>
      <c r="X245" s="18" t="str">
        <f aca="false">IF(U245="","",INDEX('CURVA EDAD'!$E$5:$E$32,MIN(28,MAX(1,N245))))</f>
        <v/>
      </c>
      <c r="Y245" s="16" t="str">
        <f aca="false">IF(V245&lt;&gt;"",V245,IF(U245="","",U245/X245))</f>
        <v/>
      </c>
      <c r="Z245" s="16" t="str">
        <f aca="false">IF(V245&lt;&gt;"",_xlfn.MINIFS(ENSAYOS!$Q$5:$Q$3004,ENSAYOS!$C$5:$C$3004,F245,ENSAYOS!$Q$5:$Q$3004,"&gt;0",ENSAYOS!$G$5:$G$3004,"&gt;="&amp;CONFIG!$B$27),IF(U245="","",_xlfn.MINIFS(ENSAYOS!$Q$5:$Q$3004,ENSAYOS!$C$5:$C$3004,F245,ENSAYOS!$Q$5:$Q$3004,"&gt;0",ENSAYOS!$G$5:$G$3004,N245)/X245))</f>
        <v/>
      </c>
      <c r="AA245" s="16" t="str">
        <f aca="false">IF(D245="","",IFERROR(1/(1/INDEX(CONFIG!$J$5:$J$14,MATCH(D245,CONFIG!$D$5:$D$14,0))),""))</f>
        <v/>
      </c>
      <c r="AB245" s="16" t="str">
        <f aca="false">IF(D245="","",IFERROR(1/(1/INDEX(CONFIG!$K$5:$K$14,MATCH(D245,CONFIG!$D$5:$D$14,0))),""))</f>
        <v/>
      </c>
      <c r="AC245" s="19" t="str">
        <f aca="false">IF(N(M245)=0,"",IF(AA245="","Sin spec",IF(AND(Y245&gt;=AA245,OR(AB245="",Z245&gt;=AB245)),"CUMPLE","NO CUMPLE")&amp;IF(V245=""," (est.)","")))</f>
        <v/>
      </c>
      <c r="AD245" s="20" t="str">
        <f aca="false">IF(F245="","",IF(COUNTIFS(ABSORCION!$C$5:$C$1004,F245,ABSORCION!$I$5:$I$1004,"&gt;0")=0,"",AVERAGEIFS(ABSORCION!$I$5:$I$1004,ABSORCION!$C$5:$C$1004,F245,ABSORCION!$I$5:$I$1004,"&gt;0")))</f>
        <v/>
      </c>
      <c r="AE245" s="20" t="str">
        <f aca="false">IF(F245="","",IF(COUNTIFS(ABSORCION!$C$5:$C$1004,F245,ABSORCION!$I$5:$I$1004,"&gt;0")=0,"",AVERAGEIFS(ABSORCION!$K$5:$K$1004,ABSORCION!$C$5:$C$1004,F245,ABSORCION!$I$5:$I$1004,"&gt;0")))</f>
        <v/>
      </c>
      <c r="AF245" s="20" t="str">
        <f aca="false">IF(AE245="","",IF(AE245&gt;=CONFIG!$E$21,CONFIG!$F$21,IF(AE245&gt;=CONFIG!$E$20,CONFIG!$F$20,CONFIG!$F$19)))</f>
        <v/>
      </c>
      <c r="AG245" s="21" t="str">
        <f aca="false">IF(F245="","",TRIM(IF(N(M245)=0,"Sin ensayos. ","")&amp;IF(AND(N(M245)&gt;0,N(M245)&lt;CONFIG!$B$26),"Menos de "&amp;CONFIG!$B$26&amp;" probetas. ","")&amp;IF(N(T245)&gt;CONFIG!$B$25,"CV alto. ","")&amp;IF(AND(N(AD245)&gt;0,N(AD245)&gt;N(AF245)),"Absorción alta. ","")))</f>
        <v/>
      </c>
      <c r="AH245" s="22" t="str">
        <f aca="false">IF(AND(N(M245)&gt;0,OR(CONTROL!$C$4="TODAS",C245=CONTROL!$C$4),D245=CONTROL!$C$5),MAX($AH$4:AH244)+1,"")</f>
        <v/>
      </c>
      <c r="AI245" s="22" t="str">
        <f aca="false">IF(AH245="","",P245^2)</f>
        <v/>
      </c>
    </row>
    <row r="246" customFormat="false" ht="15" hidden="false" customHeight="false" outlineLevel="0" collapsed="false">
      <c r="A246" s="11" t="str">
        <f aca="false">IF(B246="","",ROW()-4)</f>
        <v/>
      </c>
      <c r="B246" s="12"/>
      <c r="C246" s="13"/>
      <c r="D246" s="13"/>
      <c r="E246" s="13"/>
      <c r="F246" s="14" t="str">
        <f aca="false">IF(OR(B246="",C246="",D246=""),"",IFERROR(INDEX(CONFIG!$E$5:$E$14,MATCH(D246,CONFIG!$D$5:$D$14,0)),"?")&amp;RIGHT("0"&amp;DAY(B246),2)&amp;RIGHT("0"&amp;MONTH(B246),2)&amp;RIGHT(YEAR(B246),2)&amp;C246&amp;IF(E246="","","-"&amp;E246))</f>
        <v/>
      </c>
      <c r="G246" s="13"/>
      <c r="H246" s="13"/>
      <c r="I246" s="13"/>
      <c r="J246" s="13"/>
      <c r="K246" s="13"/>
      <c r="L246" s="13"/>
      <c r="M246" s="11" t="str">
        <f aca="false">IF(F246="","",COUNTIFS(ENSAYOS!$C$5:$C$3004,F246,ENSAYOS!$Q$5:$Q$3004,"&gt;0"))</f>
        <v/>
      </c>
      <c r="N246" s="15" t="str">
        <f aca="false">IF(N(M246)=0,"",_xlfn.MINIFS(ENSAYOS!$G$5:$G$3004,ENSAYOS!$C$5:$C$3004,F246,ENSAYOS!$Q$5:$Q$3004,"&gt;0"))</f>
        <v/>
      </c>
      <c r="O246" s="15" t="str">
        <f aca="false">IF(N(M246)=0,"",_xlfn.MAXIFS(ENSAYOS!$G$5:$G$3004,ENSAYOS!$C$5:$C$3004,F246,ENSAYOS!$Q$5:$Q$3004,"&gt;0"))</f>
        <v/>
      </c>
      <c r="P246" s="16" t="str">
        <f aca="false">IF(N(M246)=0,"",AVERAGEIFS(ENSAYOS!$Q$5:$Q$3004,ENSAYOS!$C$5:$C$3004,F246,ENSAYOS!$Q$5:$Q$3004,"&gt;0"))</f>
        <v/>
      </c>
      <c r="Q246" s="16" t="str">
        <f aca="false">IF(N(M246)=0,"",_xlfn.MINIFS(ENSAYOS!$Q$5:$Q$3004,ENSAYOS!$C$5:$C$3004,F246,ENSAYOS!$Q$5:$Q$3004,"&gt;0"))</f>
        <v/>
      </c>
      <c r="R246" s="16" t="str">
        <f aca="false">IF(N(M246)=0,"",_xlfn.MAXIFS(ENSAYOS!$Q$5:$Q$3004,ENSAYOS!$C$5:$C$3004,F246,ENSAYOS!$Q$5:$Q$3004,"&gt;0"))</f>
        <v/>
      </c>
      <c r="S246" s="16" t="str">
        <f aca="false">IF(N(M246)&lt;2,"",SQRT(MAX(0,(SUMIFS(ENSAYOS!$X$5:$X$3004,ENSAYOS!$C$5:$C$3004,F246,ENSAYOS!$Q$5:$Q$3004,"&gt;0")-M246*P246^2)/(M246-1))))</f>
        <v/>
      </c>
      <c r="T246" s="17" t="str">
        <f aca="false">IF(S246="","",S246/P246)</f>
        <v/>
      </c>
      <c r="U246" s="16" t="str">
        <f aca="false">IF(N(M246)=0,"",IF(N246&gt;=CONFIG!$B$27,"",AVERAGEIFS(ENSAYOS!$Q$5:$Q$3004,ENSAYOS!$C$5:$C$3004,F246,ENSAYOS!$Q$5:$Q$3004,"&gt;0",ENSAYOS!$G$5:$G$3004,N246)))</f>
        <v/>
      </c>
      <c r="V246" s="16" t="str">
        <f aca="false">IF(N(M246)=0,"",IF(COUNTIFS(ENSAYOS!$C$5:$C$3004,F246,ENSAYOS!$Q$5:$Q$3004,"&gt;0",ENSAYOS!$G$5:$G$3004,"&gt;="&amp;CONFIG!$B$27)=0,"",AVERAGEIFS(ENSAYOS!$Q$5:$Q$3004,ENSAYOS!$C$5:$C$3004,F246,ENSAYOS!$Q$5:$Q$3004,"&gt;0",ENSAYOS!$G$5:$G$3004,"&gt;="&amp;CONFIG!$B$27)))</f>
        <v/>
      </c>
      <c r="W246" s="18" t="str">
        <f aca="false">IF(AND(U246&lt;&gt;"",V246&lt;&gt;""),U246/V246,"")</f>
        <v/>
      </c>
      <c r="X246" s="18" t="str">
        <f aca="false">IF(U246="","",INDEX('CURVA EDAD'!$E$5:$E$32,MIN(28,MAX(1,N246))))</f>
        <v/>
      </c>
      <c r="Y246" s="16" t="str">
        <f aca="false">IF(V246&lt;&gt;"",V246,IF(U246="","",U246/X246))</f>
        <v/>
      </c>
      <c r="Z246" s="16" t="str">
        <f aca="false">IF(V246&lt;&gt;"",_xlfn.MINIFS(ENSAYOS!$Q$5:$Q$3004,ENSAYOS!$C$5:$C$3004,F246,ENSAYOS!$Q$5:$Q$3004,"&gt;0",ENSAYOS!$G$5:$G$3004,"&gt;="&amp;CONFIG!$B$27),IF(U246="","",_xlfn.MINIFS(ENSAYOS!$Q$5:$Q$3004,ENSAYOS!$C$5:$C$3004,F246,ENSAYOS!$Q$5:$Q$3004,"&gt;0",ENSAYOS!$G$5:$G$3004,N246)/X246))</f>
        <v/>
      </c>
      <c r="AA246" s="16" t="str">
        <f aca="false">IF(D246="","",IFERROR(1/(1/INDEX(CONFIG!$J$5:$J$14,MATCH(D246,CONFIG!$D$5:$D$14,0))),""))</f>
        <v/>
      </c>
      <c r="AB246" s="16" t="str">
        <f aca="false">IF(D246="","",IFERROR(1/(1/INDEX(CONFIG!$K$5:$K$14,MATCH(D246,CONFIG!$D$5:$D$14,0))),""))</f>
        <v/>
      </c>
      <c r="AC246" s="19" t="str">
        <f aca="false">IF(N(M246)=0,"",IF(AA246="","Sin spec",IF(AND(Y246&gt;=AA246,OR(AB246="",Z246&gt;=AB246)),"CUMPLE","NO CUMPLE")&amp;IF(V246=""," (est.)","")))</f>
        <v/>
      </c>
      <c r="AD246" s="20" t="str">
        <f aca="false">IF(F246="","",IF(COUNTIFS(ABSORCION!$C$5:$C$1004,F246,ABSORCION!$I$5:$I$1004,"&gt;0")=0,"",AVERAGEIFS(ABSORCION!$I$5:$I$1004,ABSORCION!$C$5:$C$1004,F246,ABSORCION!$I$5:$I$1004,"&gt;0")))</f>
        <v/>
      </c>
      <c r="AE246" s="20" t="str">
        <f aca="false">IF(F246="","",IF(COUNTIFS(ABSORCION!$C$5:$C$1004,F246,ABSORCION!$I$5:$I$1004,"&gt;0")=0,"",AVERAGEIFS(ABSORCION!$K$5:$K$1004,ABSORCION!$C$5:$C$1004,F246,ABSORCION!$I$5:$I$1004,"&gt;0")))</f>
        <v/>
      </c>
      <c r="AF246" s="20" t="str">
        <f aca="false">IF(AE246="","",IF(AE246&gt;=CONFIG!$E$21,CONFIG!$F$21,IF(AE246&gt;=CONFIG!$E$20,CONFIG!$F$20,CONFIG!$F$19)))</f>
        <v/>
      </c>
      <c r="AG246" s="21" t="str">
        <f aca="false">IF(F246="","",TRIM(IF(N(M246)=0,"Sin ensayos. ","")&amp;IF(AND(N(M246)&gt;0,N(M246)&lt;CONFIG!$B$26),"Menos de "&amp;CONFIG!$B$26&amp;" probetas. ","")&amp;IF(N(T246)&gt;CONFIG!$B$25,"CV alto. ","")&amp;IF(AND(N(AD246)&gt;0,N(AD246)&gt;N(AF246)),"Absorción alta. ","")))</f>
        <v/>
      </c>
      <c r="AH246" s="22" t="str">
        <f aca="false">IF(AND(N(M246)&gt;0,OR(CONTROL!$C$4="TODAS",C246=CONTROL!$C$4),D246=CONTROL!$C$5),MAX($AH$4:AH245)+1,"")</f>
        <v/>
      </c>
      <c r="AI246" s="22" t="str">
        <f aca="false">IF(AH246="","",P246^2)</f>
        <v/>
      </c>
    </row>
    <row r="247" customFormat="false" ht="15" hidden="false" customHeight="false" outlineLevel="0" collapsed="false">
      <c r="A247" s="11" t="str">
        <f aca="false">IF(B247="","",ROW()-4)</f>
        <v/>
      </c>
      <c r="B247" s="12"/>
      <c r="C247" s="13"/>
      <c r="D247" s="13"/>
      <c r="E247" s="13"/>
      <c r="F247" s="14" t="str">
        <f aca="false">IF(OR(B247="",C247="",D247=""),"",IFERROR(INDEX(CONFIG!$E$5:$E$14,MATCH(D247,CONFIG!$D$5:$D$14,0)),"?")&amp;RIGHT("0"&amp;DAY(B247),2)&amp;RIGHT("0"&amp;MONTH(B247),2)&amp;RIGHT(YEAR(B247),2)&amp;C247&amp;IF(E247="","","-"&amp;E247))</f>
        <v/>
      </c>
      <c r="G247" s="13"/>
      <c r="H247" s="13"/>
      <c r="I247" s="13"/>
      <c r="J247" s="13"/>
      <c r="K247" s="13"/>
      <c r="L247" s="13"/>
      <c r="M247" s="11" t="str">
        <f aca="false">IF(F247="","",COUNTIFS(ENSAYOS!$C$5:$C$3004,F247,ENSAYOS!$Q$5:$Q$3004,"&gt;0"))</f>
        <v/>
      </c>
      <c r="N247" s="15" t="str">
        <f aca="false">IF(N(M247)=0,"",_xlfn.MINIFS(ENSAYOS!$G$5:$G$3004,ENSAYOS!$C$5:$C$3004,F247,ENSAYOS!$Q$5:$Q$3004,"&gt;0"))</f>
        <v/>
      </c>
      <c r="O247" s="15" t="str">
        <f aca="false">IF(N(M247)=0,"",_xlfn.MAXIFS(ENSAYOS!$G$5:$G$3004,ENSAYOS!$C$5:$C$3004,F247,ENSAYOS!$Q$5:$Q$3004,"&gt;0"))</f>
        <v/>
      </c>
      <c r="P247" s="16" t="str">
        <f aca="false">IF(N(M247)=0,"",AVERAGEIFS(ENSAYOS!$Q$5:$Q$3004,ENSAYOS!$C$5:$C$3004,F247,ENSAYOS!$Q$5:$Q$3004,"&gt;0"))</f>
        <v/>
      </c>
      <c r="Q247" s="16" t="str">
        <f aca="false">IF(N(M247)=0,"",_xlfn.MINIFS(ENSAYOS!$Q$5:$Q$3004,ENSAYOS!$C$5:$C$3004,F247,ENSAYOS!$Q$5:$Q$3004,"&gt;0"))</f>
        <v/>
      </c>
      <c r="R247" s="16" t="str">
        <f aca="false">IF(N(M247)=0,"",_xlfn.MAXIFS(ENSAYOS!$Q$5:$Q$3004,ENSAYOS!$C$5:$C$3004,F247,ENSAYOS!$Q$5:$Q$3004,"&gt;0"))</f>
        <v/>
      </c>
      <c r="S247" s="16" t="str">
        <f aca="false">IF(N(M247)&lt;2,"",SQRT(MAX(0,(SUMIFS(ENSAYOS!$X$5:$X$3004,ENSAYOS!$C$5:$C$3004,F247,ENSAYOS!$Q$5:$Q$3004,"&gt;0")-M247*P247^2)/(M247-1))))</f>
        <v/>
      </c>
      <c r="T247" s="17" t="str">
        <f aca="false">IF(S247="","",S247/P247)</f>
        <v/>
      </c>
      <c r="U247" s="16" t="str">
        <f aca="false">IF(N(M247)=0,"",IF(N247&gt;=CONFIG!$B$27,"",AVERAGEIFS(ENSAYOS!$Q$5:$Q$3004,ENSAYOS!$C$5:$C$3004,F247,ENSAYOS!$Q$5:$Q$3004,"&gt;0",ENSAYOS!$G$5:$G$3004,N247)))</f>
        <v/>
      </c>
      <c r="V247" s="16" t="str">
        <f aca="false">IF(N(M247)=0,"",IF(COUNTIFS(ENSAYOS!$C$5:$C$3004,F247,ENSAYOS!$Q$5:$Q$3004,"&gt;0",ENSAYOS!$G$5:$G$3004,"&gt;="&amp;CONFIG!$B$27)=0,"",AVERAGEIFS(ENSAYOS!$Q$5:$Q$3004,ENSAYOS!$C$5:$C$3004,F247,ENSAYOS!$Q$5:$Q$3004,"&gt;0",ENSAYOS!$G$5:$G$3004,"&gt;="&amp;CONFIG!$B$27)))</f>
        <v/>
      </c>
      <c r="W247" s="18" t="str">
        <f aca="false">IF(AND(U247&lt;&gt;"",V247&lt;&gt;""),U247/V247,"")</f>
        <v/>
      </c>
      <c r="X247" s="18" t="str">
        <f aca="false">IF(U247="","",INDEX('CURVA EDAD'!$E$5:$E$32,MIN(28,MAX(1,N247))))</f>
        <v/>
      </c>
      <c r="Y247" s="16" t="str">
        <f aca="false">IF(V247&lt;&gt;"",V247,IF(U247="","",U247/X247))</f>
        <v/>
      </c>
      <c r="Z247" s="16" t="str">
        <f aca="false">IF(V247&lt;&gt;"",_xlfn.MINIFS(ENSAYOS!$Q$5:$Q$3004,ENSAYOS!$C$5:$C$3004,F247,ENSAYOS!$Q$5:$Q$3004,"&gt;0",ENSAYOS!$G$5:$G$3004,"&gt;="&amp;CONFIG!$B$27),IF(U247="","",_xlfn.MINIFS(ENSAYOS!$Q$5:$Q$3004,ENSAYOS!$C$5:$C$3004,F247,ENSAYOS!$Q$5:$Q$3004,"&gt;0",ENSAYOS!$G$5:$G$3004,N247)/X247))</f>
        <v/>
      </c>
      <c r="AA247" s="16" t="str">
        <f aca="false">IF(D247="","",IFERROR(1/(1/INDEX(CONFIG!$J$5:$J$14,MATCH(D247,CONFIG!$D$5:$D$14,0))),""))</f>
        <v/>
      </c>
      <c r="AB247" s="16" t="str">
        <f aca="false">IF(D247="","",IFERROR(1/(1/INDEX(CONFIG!$K$5:$K$14,MATCH(D247,CONFIG!$D$5:$D$14,0))),""))</f>
        <v/>
      </c>
      <c r="AC247" s="19" t="str">
        <f aca="false">IF(N(M247)=0,"",IF(AA247="","Sin spec",IF(AND(Y247&gt;=AA247,OR(AB247="",Z247&gt;=AB247)),"CUMPLE","NO CUMPLE")&amp;IF(V247=""," (est.)","")))</f>
        <v/>
      </c>
      <c r="AD247" s="20" t="str">
        <f aca="false">IF(F247="","",IF(COUNTIFS(ABSORCION!$C$5:$C$1004,F247,ABSORCION!$I$5:$I$1004,"&gt;0")=0,"",AVERAGEIFS(ABSORCION!$I$5:$I$1004,ABSORCION!$C$5:$C$1004,F247,ABSORCION!$I$5:$I$1004,"&gt;0")))</f>
        <v/>
      </c>
      <c r="AE247" s="20" t="str">
        <f aca="false">IF(F247="","",IF(COUNTIFS(ABSORCION!$C$5:$C$1004,F247,ABSORCION!$I$5:$I$1004,"&gt;0")=0,"",AVERAGEIFS(ABSORCION!$K$5:$K$1004,ABSORCION!$C$5:$C$1004,F247,ABSORCION!$I$5:$I$1004,"&gt;0")))</f>
        <v/>
      </c>
      <c r="AF247" s="20" t="str">
        <f aca="false">IF(AE247="","",IF(AE247&gt;=CONFIG!$E$21,CONFIG!$F$21,IF(AE247&gt;=CONFIG!$E$20,CONFIG!$F$20,CONFIG!$F$19)))</f>
        <v/>
      </c>
      <c r="AG247" s="21" t="str">
        <f aca="false">IF(F247="","",TRIM(IF(N(M247)=0,"Sin ensayos. ","")&amp;IF(AND(N(M247)&gt;0,N(M247)&lt;CONFIG!$B$26),"Menos de "&amp;CONFIG!$B$26&amp;" probetas. ","")&amp;IF(N(T247)&gt;CONFIG!$B$25,"CV alto. ","")&amp;IF(AND(N(AD247)&gt;0,N(AD247)&gt;N(AF247)),"Absorción alta. ","")))</f>
        <v/>
      </c>
      <c r="AH247" s="22" t="str">
        <f aca="false">IF(AND(N(M247)&gt;0,OR(CONTROL!$C$4="TODAS",C247=CONTROL!$C$4),D247=CONTROL!$C$5),MAX($AH$4:AH246)+1,"")</f>
        <v/>
      </c>
      <c r="AI247" s="22" t="str">
        <f aca="false">IF(AH247="","",P247^2)</f>
        <v/>
      </c>
    </row>
    <row r="248" customFormat="false" ht="15" hidden="false" customHeight="false" outlineLevel="0" collapsed="false">
      <c r="A248" s="11" t="str">
        <f aca="false">IF(B248="","",ROW()-4)</f>
        <v/>
      </c>
      <c r="B248" s="12"/>
      <c r="C248" s="13"/>
      <c r="D248" s="13"/>
      <c r="E248" s="13"/>
      <c r="F248" s="14" t="str">
        <f aca="false">IF(OR(B248="",C248="",D248=""),"",IFERROR(INDEX(CONFIG!$E$5:$E$14,MATCH(D248,CONFIG!$D$5:$D$14,0)),"?")&amp;RIGHT("0"&amp;DAY(B248),2)&amp;RIGHT("0"&amp;MONTH(B248),2)&amp;RIGHT(YEAR(B248),2)&amp;C248&amp;IF(E248="","","-"&amp;E248))</f>
        <v/>
      </c>
      <c r="G248" s="13"/>
      <c r="H248" s="13"/>
      <c r="I248" s="13"/>
      <c r="J248" s="13"/>
      <c r="K248" s="13"/>
      <c r="L248" s="13"/>
      <c r="M248" s="11" t="str">
        <f aca="false">IF(F248="","",COUNTIFS(ENSAYOS!$C$5:$C$3004,F248,ENSAYOS!$Q$5:$Q$3004,"&gt;0"))</f>
        <v/>
      </c>
      <c r="N248" s="15" t="str">
        <f aca="false">IF(N(M248)=0,"",_xlfn.MINIFS(ENSAYOS!$G$5:$G$3004,ENSAYOS!$C$5:$C$3004,F248,ENSAYOS!$Q$5:$Q$3004,"&gt;0"))</f>
        <v/>
      </c>
      <c r="O248" s="15" t="str">
        <f aca="false">IF(N(M248)=0,"",_xlfn.MAXIFS(ENSAYOS!$G$5:$G$3004,ENSAYOS!$C$5:$C$3004,F248,ENSAYOS!$Q$5:$Q$3004,"&gt;0"))</f>
        <v/>
      </c>
      <c r="P248" s="16" t="str">
        <f aca="false">IF(N(M248)=0,"",AVERAGEIFS(ENSAYOS!$Q$5:$Q$3004,ENSAYOS!$C$5:$C$3004,F248,ENSAYOS!$Q$5:$Q$3004,"&gt;0"))</f>
        <v/>
      </c>
      <c r="Q248" s="16" t="str">
        <f aca="false">IF(N(M248)=0,"",_xlfn.MINIFS(ENSAYOS!$Q$5:$Q$3004,ENSAYOS!$C$5:$C$3004,F248,ENSAYOS!$Q$5:$Q$3004,"&gt;0"))</f>
        <v/>
      </c>
      <c r="R248" s="16" t="str">
        <f aca="false">IF(N(M248)=0,"",_xlfn.MAXIFS(ENSAYOS!$Q$5:$Q$3004,ENSAYOS!$C$5:$C$3004,F248,ENSAYOS!$Q$5:$Q$3004,"&gt;0"))</f>
        <v/>
      </c>
      <c r="S248" s="16" t="str">
        <f aca="false">IF(N(M248)&lt;2,"",SQRT(MAX(0,(SUMIFS(ENSAYOS!$X$5:$X$3004,ENSAYOS!$C$5:$C$3004,F248,ENSAYOS!$Q$5:$Q$3004,"&gt;0")-M248*P248^2)/(M248-1))))</f>
        <v/>
      </c>
      <c r="T248" s="17" t="str">
        <f aca="false">IF(S248="","",S248/P248)</f>
        <v/>
      </c>
      <c r="U248" s="16" t="str">
        <f aca="false">IF(N(M248)=0,"",IF(N248&gt;=CONFIG!$B$27,"",AVERAGEIFS(ENSAYOS!$Q$5:$Q$3004,ENSAYOS!$C$5:$C$3004,F248,ENSAYOS!$Q$5:$Q$3004,"&gt;0",ENSAYOS!$G$5:$G$3004,N248)))</f>
        <v/>
      </c>
      <c r="V248" s="16" t="str">
        <f aca="false">IF(N(M248)=0,"",IF(COUNTIFS(ENSAYOS!$C$5:$C$3004,F248,ENSAYOS!$Q$5:$Q$3004,"&gt;0",ENSAYOS!$G$5:$G$3004,"&gt;="&amp;CONFIG!$B$27)=0,"",AVERAGEIFS(ENSAYOS!$Q$5:$Q$3004,ENSAYOS!$C$5:$C$3004,F248,ENSAYOS!$Q$5:$Q$3004,"&gt;0",ENSAYOS!$G$5:$G$3004,"&gt;="&amp;CONFIG!$B$27)))</f>
        <v/>
      </c>
      <c r="W248" s="18" t="str">
        <f aca="false">IF(AND(U248&lt;&gt;"",V248&lt;&gt;""),U248/V248,"")</f>
        <v/>
      </c>
      <c r="X248" s="18" t="str">
        <f aca="false">IF(U248="","",INDEX('CURVA EDAD'!$E$5:$E$32,MIN(28,MAX(1,N248))))</f>
        <v/>
      </c>
      <c r="Y248" s="16" t="str">
        <f aca="false">IF(V248&lt;&gt;"",V248,IF(U248="","",U248/X248))</f>
        <v/>
      </c>
      <c r="Z248" s="16" t="str">
        <f aca="false">IF(V248&lt;&gt;"",_xlfn.MINIFS(ENSAYOS!$Q$5:$Q$3004,ENSAYOS!$C$5:$C$3004,F248,ENSAYOS!$Q$5:$Q$3004,"&gt;0",ENSAYOS!$G$5:$G$3004,"&gt;="&amp;CONFIG!$B$27),IF(U248="","",_xlfn.MINIFS(ENSAYOS!$Q$5:$Q$3004,ENSAYOS!$C$5:$C$3004,F248,ENSAYOS!$Q$5:$Q$3004,"&gt;0",ENSAYOS!$G$5:$G$3004,N248)/X248))</f>
        <v/>
      </c>
      <c r="AA248" s="16" t="str">
        <f aca="false">IF(D248="","",IFERROR(1/(1/INDEX(CONFIG!$J$5:$J$14,MATCH(D248,CONFIG!$D$5:$D$14,0))),""))</f>
        <v/>
      </c>
      <c r="AB248" s="16" t="str">
        <f aca="false">IF(D248="","",IFERROR(1/(1/INDEX(CONFIG!$K$5:$K$14,MATCH(D248,CONFIG!$D$5:$D$14,0))),""))</f>
        <v/>
      </c>
      <c r="AC248" s="19" t="str">
        <f aca="false">IF(N(M248)=0,"",IF(AA248="","Sin spec",IF(AND(Y248&gt;=AA248,OR(AB248="",Z248&gt;=AB248)),"CUMPLE","NO CUMPLE")&amp;IF(V248=""," (est.)","")))</f>
        <v/>
      </c>
      <c r="AD248" s="20" t="str">
        <f aca="false">IF(F248="","",IF(COUNTIFS(ABSORCION!$C$5:$C$1004,F248,ABSORCION!$I$5:$I$1004,"&gt;0")=0,"",AVERAGEIFS(ABSORCION!$I$5:$I$1004,ABSORCION!$C$5:$C$1004,F248,ABSORCION!$I$5:$I$1004,"&gt;0")))</f>
        <v/>
      </c>
      <c r="AE248" s="20" t="str">
        <f aca="false">IF(F248="","",IF(COUNTIFS(ABSORCION!$C$5:$C$1004,F248,ABSORCION!$I$5:$I$1004,"&gt;0")=0,"",AVERAGEIFS(ABSORCION!$K$5:$K$1004,ABSORCION!$C$5:$C$1004,F248,ABSORCION!$I$5:$I$1004,"&gt;0")))</f>
        <v/>
      </c>
      <c r="AF248" s="20" t="str">
        <f aca="false">IF(AE248="","",IF(AE248&gt;=CONFIG!$E$21,CONFIG!$F$21,IF(AE248&gt;=CONFIG!$E$20,CONFIG!$F$20,CONFIG!$F$19)))</f>
        <v/>
      </c>
      <c r="AG248" s="21" t="str">
        <f aca="false">IF(F248="","",TRIM(IF(N(M248)=0,"Sin ensayos. ","")&amp;IF(AND(N(M248)&gt;0,N(M248)&lt;CONFIG!$B$26),"Menos de "&amp;CONFIG!$B$26&amp;" probetas. ","")&amp;IF(N(T248)&gt;CONFIG!$B$25,"CV alto. ","")&amp;IF(AND(N(AD248)&gt;0,N(AD248)&gt;N(AF248)),"Absorción alta. ","")))</f>
        <v/>
      </c>
      <c r="AH248" s="22" t="str">
        <f aca="false">IF(AND(N(M248)&gt;0,OR(CONTROL!$C$4="TODAS",C248=CONTROL!$C$4),D248=CONTROL!$C$5),MAX($AH$4:AH247)+1,"")</f>
        <v/>
      </c>
      <c r="AI248" s="22" t="str">
        <f aca="false">IF(AH248="","",P248^2)</f>
        <v/>
      </c>
    </row>
    <row r="249" customFormat="false" ht="15" hidden="false" customHeight="false" outlineLevel="0" collapsed="false">
      <c r="A249" s="11" t="str">
        <f aca="false">IF(B249="","",ROW()-4)</f>
        <v/>
      </c>
      <c r="B249" s="12"/>
      <c r="C249" s="13"/>
      <c r="D249" s="13"/>
      <c r="E249" s="13"/>
      <c r="F249" s="14" t="str">
        <f aca="false">IF(OR(B249="",C249="",D249=""),"",IFERROR(INDEX(CONFIG!$E$5:$E$14,MATCH(D249,CONFIG!$D$5:$D$14,0)),"?")&amp;RIGHT("0"&amp;DAY(B249),2)&amp;RIGHT("0"&amp;MONTH(B249),2)&amp;RIGHT(YEAR(B249),2)&amp;C249&amp;IF(E249="","","-"&amp;E249))</f>
        <v/>
      </c>
      <c r="G249" s="13"/>
      <c r="H249" s="13"/>
      <c r="I249" s="13"/>
      <c r="J249" s="13"/>
      <c r="K249" s="13"/>
      <c r="L249" s="13"/>
      <c r="M249" s="11" t="str">
        <f aca="false">IF(F249="","",COUNTIFS(ENSAYOS!$C$5:$C$3004,F249,ENSAYOS!$Q$5:$Q$3004,"&gt;0"))</f>
        <v/>
      </c>
      <c r="N249" s="15" t="str">
        <f aca="false">IF(N(M249)=0,"",_xlfn.MINIFS(ENSAYOS!$G$5:$G$3004,ENSAYOS!$C$5:$C$3004,F249,ENSAYOS!$Q$5:$Q$3004,"&gt;0"))</f>
        <v/>
      </c>
      <c r="O249" s="15" t="str">
        <f aca="false">IF(N(M249)=0,"",_xlfn.MAXIFS(ENSAYOS!$G$5:$G$3004,ENSAYOS!$C$5:$C$3004,F249,ENSAYOS!$Q$5:$Q$3004,"&gt;0"))</f>
        <v/>
      </c>
      <c r="P249" s="16" t="str">
        <f aca="false">IF(N(M249)=0,"",AVERAGEIFS(ENSAYOS!$Q$5:$Q$3004,ENSAYOS!$C$5:$C$3004,F249,ENSAYOS!$Q$5:$Q$3004,"&gt;0"))</f>
        <v/>
      </c>
      <c r="Q249" s="16" t="str">
        <f aca="false">IF(N(M249)=0,"",_xlfn.MINIFS(ENSAYOS!$Q$5:$Q$3004,ENSAYOS!$C$5:$C$3004,F249,ENSAYOS!$Q$5:$Q$3004,"&gt;0"))</f>
        <v/>
      </c>
      <c r="R249" s="16" t="str">
        <f aca="false">IF(N(M249)=0,"",_xlfn.MAXIFS(ENSAYOS!$Q$5:$Q$3004,ENSAYOS!$C$5:$C$3004,F249,ENSAYOS!$Q$5:$Q$3004,"&gt;0"))</f>
        <v/>
      </c>
      <c r="S249" s="16" t="str">
        <f aca="false">IF(N(M249)&lt;2,"",SQRT(MAX(0,(SUMIFS(ENSAYOS!$X$5:$X$3004,ENSAYOS!$C$5:$C$3004,F249,ENSAYOS!$Q$5:$Q$3004,"&gt;0")-M249*P249^2)/(M249-1))))</f>
        <v/>
      </c>
      <c r="T249" s="17" t="str">
        <f aca="false">IF(S249="","",S249/P249)</f>
        <v/>
      </c>
      <c r="U249" s="16" t="str">
        <f aca="false">IF(N(M249)=0,"",IF(N249&gt;=CONFIG!$B$27,"",AVERAGEIFS(ENSAYOS!$Q$5:$Q$3004,ENSAYOS!$C$5:$C$3004,F249,ENSAYOS!$Q$5:$Q$3004,"&gt;0",ENSAYOS!$G$5:$G$3004,N249)))</f>
        <v/>
      </c>
      <c r="V249" s="16" t="str">
        <f aca="false">IF(N(M249)=0,"",IF(COUNTIFS(ENSAYOS!$C$5:$C$3004,F249,ENSAYOS!$Q$5:$Q$3004,"&gt;0",ENSAYOS!$G$5:$G$3004,"&gt;="&amp;CONFIG!$B$27)=0,"",AVERAGEIFS(ENSAYOS!$Q$5:$Q$3004,ENSAYOS!$C$5:$C$3004,F249,ENSAYOS!$Q$5:$Q$3004,"&gt;0",ENSAYOS!$G$5:$G$3004,"&gt;="&amp;CONFIG!$B$27)))</f>
        <v/>
      </c>
      <c r="W249" s="18" t="str">
        <f aca="false">IF(AND(U249&lt;&gt;"",V249&lt;&gt;""),U249/V249,"")</f>
        <v/>
      </c>
      <c r="X249" s="18" t="str">
        <f aca="false">IF(U249="","",INDEX('CURVA EDAD'!$E$5:$E$32,MIN(28,MAX(1,N249))))</f>
        <v/>
      </c>
      <c r="Y249" s="16" t="str">
        <f aca="false">IF(V249&lt;&gt;"",V249,IF(U249="","",U249/X249))</f>
        <v/>
      </c>
      <c r="Z249" s="16" t="str">
        <f aca="false">IF(V249&lt;&gt;"",_xlfn.MINIFS(ENSAYOS!$Q$5:$Q$3004,ENSAYOS!$C$5:$C$3004,F249,ENSAYOS!$Q$5:$Q$3004,"&gt;0",ENSAYOS!$G$5:$G$3004,"&gt;="&amp;CONFIG!$B$27),IF(U249="","",_xlfn.MINIFS(ENSAYOS!$Q$5:$Q$3004,ENSAYOS!$C$5:$C$3004,F249,ENSAYOS!$Q$5:$Q$3004,"&gt;0",ENSAYOS!$G$5:$G$3004,N249)/X249))</f>
        <v/>
      </c>
      <c r="AA249" s="16" t="str">
        <f aca="false">IF(D249="","",IFERROR(1/(1/INDEX(CONFIG!$J$5:$J$14,MATCH(D249,CONFIG!$D$5:$D$14,0))),""))</f>
        <v/>
      </c>
      <c r="AB249" s="16" t="str">
        <f aca="false">IF(D249="","",IFERROR(1/(1/INDEX(CONFIG!$K$5:$K$14,MATCH(D249,CONFIG!$D$5:$D$14,0))),""))</f>
        <v/>
      </c>
      <c r="AC249" s="19" t="str">
        <f aca="false">IF(N(M249)=0,"",IF(AA249="","Sin spec",IF(AND(Y249&gt;=AA249,OR(AB249="",Z249&gt;=AB249)),"CUMPLE","NO CUMPLE")&amp;IF(V249=""," (est.)","")))</f>
        <v/>
      </c>
      <c r="AD249" s="20" t="str">
        <f aca="false">IF(F249="","",IF(COUNTIFS(ABSORCION!$C$5:$C$1004,F249,ABSORCION!$I$5:$I$1004,"&gt;0")=0,"",AVERAGEIFS(ABSORCION!$I$5:$I$1004,ABSORCION!$C$5:$C$1004,F249,ABSORCION!$I$5:$I$1004,"&gt;0")))</f>
        <v/>
      </c>
      <c r="AE249" s="20" t="str">
        <f aca="false">IF(F249="","",IF(COUNTIFS(ABSORCION!$C$5:$C$1004,F249,ABSORCION!$I$5:$I$1004,"&gt;0")=0,"",AVERAGEIFS(ABSORCION!$K$5:$K$1004,ABSORCION!$C$5:$C$1004,F249,ABSORCION!$I$5:$I$1004,"&gt;0")))</f>
        <v/>
      </c>
      <c r="AF249" s="20" t="str">
        <f aca="false">IF(AE249="","",IF(AE249&gt;=CONFIG!$E$21,CONFIG!$F$21,IF(AE249&gt;=CONFIG!$E$20,CONFIG!$F$20,CONFIG!$F$19)))</f>
        <v/>
      </c>
      <c r="AG249" s="21" t="str">
        <f aca="false">IF(F249="","",TRIM(IF(N(M249)=0,"Sin ensayos. ","")&amp;IF(AND(N(M249)&gt;0,N(M249)&lt;CONFIG!$B$26),"Menos de "&amp;CONFIG!$B$26&amp;" probetas. ","")&amp;IF(N(T249)&gt;CONFIG!$B$25,"CV alto. ","")&amp;IF(AND(N(AD249)&gt;0,N(AD249)&gt;N(AF249)),"Absorción alta. ","")))</f>
        <v/>
      </c>
      <c r="AH249" s="22" t="str">
        <f aca="false">IF(AND(N(M249)&gt;0,OR(CONTROL!$C$4="TODAS",C249=CONTROL!$C$4),D249=CONTROL!$C$5),MAX($AH$4:AH248)+1,"")</f>
        <v/>
      </c>
      <c r="AI249" s="22" t="str">
        <f aca="false">IF(AH249="","",P249^2)</f>
        <v/>
      </c>
    </row>
    <row r="250" customFormat="false" ht="15" hidden="false" customHeight="false" outlineLevel="0" collapsed="false">
      <c r="A250" s="11" t="str">
        <f aca="false">IF(B250="","",ROW()-4)</f>
        <v/>
      </c>
      <c r="B250" s="12"/>
      <c r="C250" s="13"/>
      <c r="D250" s="13"/>
      <c r="E250" s="13"/>
      <c r="F250" s="14" t="str">
        <f aca="false">IF(OR(B250="",C250="",D250=""),"",IFERROR(INDEX(CONFIG!$E$5:$E$14,MATCH(D250,CONFIG!$D$5:$D$14,0)),"?")&amp;RIGHT("0"&amp;DAY(B250),2)&amp;RIGHT("0"&amp;MONTH(B250),2)&amp;RIGHT(YEAR(B250),2)&amp;C250&amp;IF(E250="","","-"&amp;E250))</f>
        <v/>
      </c>
      <c r="G250" s="13"/>
      <c r="H250" s="13"/>
      <c r="I250" s="13"/>
      <c r="J250" s="13"/>
      <c r="K250" s="13"/>
      <c r="L250" s="13"/>
      <c r="M250" s="11" t="str">
        <f aca="false">IF(F250="","",COUNTIFS(ENSAYOS!$C$5:$C$3004,F250,ENSAYOS!$Q$5:$Q$3004,"&gt;0"))</f>
        <v/>
      </c>
      <c r="N250" s="15" t="str">
        <f aca="false">IF(N(M250)=0,"",_xlfn.MINIFS(ENSAYOS!$G$5:$G$3004,ENSAYOS!$C$5:$C$3004,F250,ENSAYOS!$Q$5:$Q$3004,"&gt;0"))</f>
        <v/>
      </c>
      <c r="O250" s="15" t="str">
        <f aca="false">IF(N(M250)=0,"",_xlfn.MAXIFS(ENSAYOS!$G$5:$G$3004,ENSAYOS!$C$5:$C$3004,F250,ENSAYOS!$Q$5:$Q$3004,"&gt;0"))</f>
        <v/>
      </c>
      <c r="P250" s="16" t="str">
        <f aca="false">IF(N(M250)=0,"",AVERAGEIFS(ENSAYOS!$Q$5:$Q$3004,ENSAYOS!$C$5:$C$3004,F250,ENSAYOS!$Q$5:$Q$3004,"&gt;0"))</f>
        <v/>
      </c>
      <c r="Q250" s="16" t="str">
        <f aca="false">IF(N(M250)=0,"",_xlfn.MINIFS(ENSAYOS!$Q$5:$Q$3004,ENSAYOS!$C$5:$C$3004,F250,ENSAYOS!$Q$5:$Q$3004,"&gt;0"))</f>
        <v/>
      </c>
      <c r="R250" s="16" t="str">
        <f aca="false">IF(N(M250)=0,"",_xlfn.MAXIFS(ENSAYOS!$Q$5:$Q$3004,ENSAYOS!$C$5:$C$3004,F250,ENSAYOS!$Q$5:$Q$3004,"&gt;0"))</f>
        <v/>
      </c>
      <c r="S250" s="16" t="str">
        <f aca="false">IF(N(M250)&lt;2,"",SQRT(MAX(0,(SUMIFS(ENSAYOS!$X$5:$X$3004,ENSAYOS!$C$5:$C$3004,F250,ENSAYOS!$Q$5:$Q$3004,"&gt;0")-M250*P250^2)/(M250-1))))</f>
        <v/>
      </c>
      <c r="T250" s="17" t="str">
        <f aca="false">IF(S250="","",S250/P250)</f>
        <v/>
      </c>
      <c r="U250" s="16" t="str">
        <f aca="false">IF(N(M250)=0,"",IF(N250&gt;=CONFIG!$B$27,"",AVERAGEIFS(ENSAYOS!$Q$5:$Q$3004,ENSAYOS!$C$5:$C$3004,F250,ENSAYOS!$Q$5:$Q$3004,"&gt;0",ENSAYOS!$G$5:$G$3004,N250)))</f>
        <v/>
      </c>
      <c r="V250" s="16" t="str">
        <f aca="false">IF(N(M250)=0,"",IF(COUNTIFS(ENSAYOS!$C$5:$C$3004,F250,ENSAYOS!$Q$5:$Q$3004,"&gt;0",ENSAYOS!$G$5:$G$3004,"&gt;="&amp;CONFIG!$B$27)=0,"",AVERAGEIFS(ENSAYOS!$Q$5:$Q$3004,ENSAYOS!$C$5:$C$3004,F250,ENSAYOS!$Q$5:$Q$3004,"&gt;0",ENSAYOS!$G$5:$G$3004,"&gt;="&amp;CONFIG!$B$27)))</f>
        <v/>
      </c>
      <c r="W250" s="18" t="str">
        <f aca="false">IF(AND(U250&lt;&gt;"",V250&lt;&gt;""),U250/V250,"")</f>
        <v/>
      </c>
      <c r="X250" s="18" t="str">
        <f aca="false">IF(U250="","",INDEX('CURVA EDAD'!$E$5:$E$32,MIN(28,MAX(1,N250))))</f>
        <v/>
      </c>
      <c r="Y250" s="16" t="str">
        <f aca="false">IF(V250&lt;&gt;"",V250,IF(U250="","",U250/X250))</f>
        <v/>
      </c>
      <c r="Z250" s="16" t="str">
        <f aca="false">IF(V250&lt;&gt;"",_xlfn.MINIFS(ENSAYOS!$Q$5:$Q$3004,ENSAYOS!$C$5:$C$3004,F250,ENSAYOS!$Q$5:$Q$3004,"&gt;0",ENSAYOS!$G$5:$G$3004,"&gt;="&amp;CONFIG!$B$27),IF(U250="","",_xlfn.MINIFS(ENSAYOS!$Q$5:$Q$3004,ENSAYOS!$C$5:$C$3004,F250,ENSAYOS!$Q$5:$Q$3004,"&gt;0",ENSAYOS!$G$5:$G$3004,N250)/X250))</f>
        <v/>
      </c>
      <c r="AA250" s="16" t="str">
        <f aca="false">IF(D250="","",IFERROR(1/(1/INDEX(CONFIG!$J$5:$J$14,MATCH(D250,CONFIG!$D$5:$D$14,0))),""))</f>
        <v/>
      </c>
      <c r="AB250" s="16" t="str">
        <f aca="false">IF(D250="","",IFERROR(1/(1/INDEX(CONFIG!$K$5:$K$14,MATCH(D250,CONFIG!$D$5:$D$14,0))),""))</f>
        <v/>
      </c>
      <c r="AC250" s="19" t="str">
        <f aca="false">IF(N(M250)=0,"",IF(AA250="","Sin spec",IF(AND(Y250&gt;=AA250,OR(AB250="",Z250&gt;=AB250)),"CUMPLE","NO CUMPLE")&amp;IF(V250=""," (est.)","")))</f>
        <v/>
      </c>
      <c r="AD250" s="20" t="str">
        <f aca="false">IF(F250="","",IF(COUNTIFS(ABSORCION!$C$5:$C$1004,F250,ABSORCION!$I$5:$I$1004,"&gt;0")=0,"",AVERAGEIFS(ABSORCION!$I$5:$I$1004,ABSORCION!$C$5:$C$1004,F250,ABSORCION!$I$5:$I$1004,"&gt;0")))</f>
        <v/>
      </c>
      <c r="AE250" s="20" t="str">
        <f aca="false">IF(F250="","",IF(COUNTIFS(ABSORCION!$C$5:$C$1004,F250,ABSORCION!$I$5:$I$1004,"&gt;0")=0,"",AVERAGEIFS(ABSORCION!$K$5:$K$1004,ABSORCION!$C$5:$C$1004,F250,ABSORCION!$I$5:$I$1004,"&gt;0")))</f>
        <v/>
      </c>
      <c r="AF250" s="20" t="str">
        <f aca="false">IF(AE250="","",IF(AE250&gt;=CONFIG!$E$21,CONFIG!$F$21,IF(AE250&gt;=CONFIG!$E$20,CONFIG!$F$20,CONFIG!$F$19)))</f>
        <v/>
      </c>
      <c r="AG250" s="21" t="str">
        <f aca="false">IF(F250="","",TRIM(IF(N(M250)=0,"Sin ensayos. ","")&amp;IF(AND(N(M250)&gt;0,N(M250)&lt;CONFIG!$B$26),"Menos de "&amp;CONFIG!$B$26&amp;" probetas. ","")&amp;IF(N(T250)&gt;CONFIG!$B$25,"CV alto. ","")&amp;IF(AND(N(AD250)&gt;0,N(AD250)&gt;N(AF250)),"Absorción alta. ","")))</f>
        <v/>
      </c>
      <c r="AH250" s="22" t="str">
        <f aca="false">IF(AND(N(M250)&gt;0,OR(CONTROL!$C$4="TODAS",C250=CONTROL!$C$4),D250=CONTROL!$C$5),MAX($AH$4:AH249)+1,"")</f>
        <v/>
      </c>
      <c r="AI250" s="22" t="str">
        <f aca="false">IF(AH250="","",P250^2)</f>
        <v/>
      </c>
    </row>
    <row r="251" customFormat="false" ht="15" hidden="false" customHeight="false" outlineLevel="0" collapsed="false">
      <c r="A251" s="11" t="str">
        <f aca="false">IF(B251="","",ROW()-4)</f>
        <v/>
      </c>
      <c r="B251" s="12"/>
      <c r="C251" s="13"/>
      <c r="D251" s="13"/>
      <c r="E251" s="13"/>
      <c r="F251" s="14" t="str">
        <f aca="false">IF(OR(B251="",C251="",D251=""),"",IFERROR(INDEX(CONFIG!$E$5:$E$14,MATCH(D251,CONFIG!$D$5:$D$14,0)),"?")&amp;RIGHT("0"&amp;DAY(B251),2)&amp;RIGHT("0"&amp;MONTH(B251),2)&amp;RIGHT(YEAR(B251),2)&amp;C251&amp;IF(E251="","","-"&amp;E251))</f>
        <v/>
      </c>
      <c r="G251" s="13"/>
      <c r="H251" s="13"/>
      <c r="I251" s="13"/>
      <c r="J251" s="13"/>
      <c r="K251" s="13"/>
      <c r="L251" s="13"/>
      <c r="M251" s="11" t="str">
        <f aca="false">IF(F251="","",COUNTIFS(ENSAYOS!$C$5:$C$3004,F251,ENSAYOS!$Q$5:$Q$3004,"&gt;0"))</f>
        <v/>
      </c>
      <c r="N251" s="15" t="str">
        <f aca="false">IF(N(M251)=0,"",_xlfn.MINIFS(ENSAYOS!$G$5:$G$3004,ENSAYOS!$C$5:$C$3004,F251,ENSAYOS!$Q$5:$Q$3004,"&gt;0"))</f>
        <v/>
      </c>
      <c r="O251" s="15" t="str">
        <f aca="false">IF(N(M251)=0,"",_xlfn.MAXIFS(ENSAYOS!$G$5:$G$3004,ENSAYOS!$C$5:$C$3004,F251,ENSAYOS!$Q$5:$Q$3004,"&gt;0"))</f>
        <v/>
      </c>
      <c r="P251" s="16" t="str">
        <f aca="false">IF(N(M251)=0,"",AVERAGEIFS(ENSAYOS!$Q$5:$Q$3004,ENSAYOS!$C$5:$C$3004,F251,ENSAYOS!$Q$5:$Q$3004,"&gt;0"))</f>
        <v/>
      </c>
      <c r="Q251" s="16" t="str">
        <f aca="false">IF(N(M251)=0,"",_xlfn.MINIFS(ENSAYOS!$Q$5:$Q$3004,ENSAYOS!$C$5:$C$3004,F251,ENSAYOS!$Q$5:$Q$3004,"&gt;0"))</f>
        <v/>
      </c>
      <c r="R251" s="16" t="str">
        <f aca="false">IF(N(M251)=0,"",_xlfn.MAXIFS(ENSAYOS!$Q$5:$Q$3004,ENSAYOS!$C$5:$C$3004,F251,ENSAYOS!$Q$5:$Q$3004,"&gt;0"))</f>
        <v/>
      </c>
      <c r="S251" s="16" t="str">
        <f aca="false">IF(N(M251)&lt;2,"",SQRT(MAX(0,(SUMIFS(ENSAYOS!$X$5:$X$3004,ENSAYOS!$C$5:$C$3004,F251,ENSAYOS!$Q$5:$Q$3004,"&gt;0")-M251*P251^2)/(M251-1))))</f>
        <v/>
      </c>
      <c r="T251" s="17" t="str">
        <f aca="false">IF(S251="","",S251/P251)</f>
        <v/>
      </c>
      <c r="U251" s="16" t="str">
        <f aca="false">IF(N(M251)=0,"",IF(N251&gt;=CONFIG!$B$27,"",AVERAGEIFS(ENSAYOS!$Q$5:$Q$3004,ENSAYOS!$C$5:$C$3004,F251,ENSAYOS!$Q$5:$Q$3004,"&gt;0",ENSAYOS!$G$5:$G$3004,N251)))</f>
        <v/>
      </c>
      <c r="V251" s="16" t="str">
        <f aca="false">IF(N(M251)=0,"",IF(COUNTIFS(ENSAYOS!$C$5:$C$3004,F251,ENSAYOS!$Q$5:$Q$3004,"&gt;0",ENSAYOS!$G$5:$G$3004,"&gt;="&amp;CONFIG!$B$27)=0,"",AVERAGEIFS(ENSAYOS!$Q$5:$Q$3004,ENSAYOS!$C$5:$C$3004,F251,ENSAYOS!$Q$5:$Q$3004,"&gt;0",ENSAYOS!$G$5:$G$3004,"&gt;="&amp;CONFIG!$B$27)))</f>
        <v/>
      </c>
      <c r="W251" s="18" t="str">
        <f aca="false">IF(AND(U251&lt;&gt;"",V251&lt;&gt;""),U251/V251,"")</f>
        <v/>
      </c>
      <c r="X251" s="18" t="str">
        <f aca="false">IF(U251="","",INDEX('CURVA EDAD'!$E$5:$E$32,MIN(28,MAX(1,N251))))</f>
        <v/>
      </c>
      <c r="Y251" s="16" t="str">
        <f aca="false">IF(V251&lt;&gt;"",V251,IF(U251="","",U251/X251))</f>
        <v/>
      </c>
      <c r="Z251" s="16" t="str">
        <f aca="false">IF(V251&lt;&gt;"",_xlfn.MINIFS(ENSAYOS!$Q$5:$Q$3004,ENSAYOS!$C$5:$C$3004,F251,ENSAYOS!$Q$5:$Q$3004,"&gt;0",ENSAYOS!$G$5:$G$3004,"&gt;="&amp;CONFIG!$B$27),IF(U251="","",_xlfn.MINIFS(ENSAYOS!$Q$5:$Q$3004,ENSAYOS!$C$5:$C$3004,F251,ENSAYOS!$Q$5:$Q$3004,"&gt;0",ENSAYOS!$G$5:$G$3004,N251)/X251))</f>
        <v/>
      </c>
      <c r="AA251" s="16" t="str">
        <f aca="false">IF(D251="","",IFERROR(1/(1/INDEX(CONFIG!$J$5:$J$14,MATCH(D251,CONFIG!$D$5:$D$14,0))),""))</f>
        <v/>
      </c>
      <c r="AB251" s="16" t="str">
        <f aca="false">IF(D251="","",IFERROR(1/(1/INDEX(CONFIG!$K$5:$K$14,MATCH(D251,CONFIG!$D$5:$D$14,0))),""))</f>
        <v/>
      </c>
      <c r="AC251" s="19" t="str">
        <f aca="false">IF(N(M251)=0,"",IF(AA251="","Sin spec",IF(AND(Y251&gt;=AA251,OR(AB251="",Z251&gt;=AB251)),"CUMPLE","NO CUMPLE")&amp;IF(V251=""," (est.)","")))</f>
        <v/>
      </c>
      <c r="AD251" s="20" t="str">
        <f aca="false">IF(F251="","",IF(COUNTIFS(ABSORCION!$C$5:$C$1004,F251,ABSORCION!$I$5:$I$1004,"&gt;0")=0,"",AVERAGEIFS(ABSORCION!$I$5:$I$1004,ABSORCION!$C$5:$C$1004,F251,ABSORCION!$I$5:$I$1004,"&gt;0")))</f>
        <v/>
      </c>
      <c r="AE251" s="20" t="str">
        <f aca="false">IF(F251="","",IF(COUNTIFS(ABSORCION!$C$5:$C$1004,F251,ABSORCION!$I$5:$I$1004,"&gt;0")=0,"",AVERAGEIFS(ABSORCION!$K$5:$K$1004,ABSORCION!$C$5:$C$1004,F251,ABSORCION!$I$5:$I$1004,"&gt;0")))</f>
        <v/>
      </c>
      <c r="AF251" s="20" t="str">
        <f aca="false">IF(AE251="","",IF(AE251&gt;=CONFIG!$E$21,CONFIG!$F$21,IF(AE251&gt;=CONFIG!$E$20,CONFIG!$F$20,CONFIG!$F$19)))</f>
        <v/>
      </c>
      <c r="AG251" s="21" t="str">
        <f aca="false">IF(F251="","",TRIM(IF(N(M251)=0,"Sin ensayos. ","")&amp;IF(AND(N(M251)&gt;0,N(M251)&lt;CONFIG!$B$26),"Menos de "&amp;CONFIG!$B$26&amp;" probetas. ","")&amp;IF(N(T251)&gt;CONFIG!$B$25,"CV alto. ","")&amp;IF(AND(N(AD251)&gt;0,N(AD251)&gt;N(AF251)),"Absorción alta. ","")))</f>
        <v/>
      </c>
      <c r="AH251" s="22" t="str">
        <f aca="false">IF(AND(N(M251)&gt;0,OR(CONTROL!$C$4="TODAS",C251=CONTROL!$C$4),D251=CONTROL!$C$5),MAX($AH$4:AH250)+1,"")</f>
        <v/>
      </c>
      <c r="AI251" s="22" t="str">
        <f aca="false">IF(AH251="","",P251^2)</f>
        <v/>
      </c>
    </row>
    <row r="252" customFormat="false" ht="15" hidden="false" customHeight="false" outlineLevel="0" collapsed="false">
      <c r="A252" s="11" t="str">
        <f aca="false">IF(B252="","",ROW()-4)</f>
        <v/>
      </c>
      <c r="B252" s="12"/>
      <c r="C252" s="13"/>
      <c r="D252" s="13"/>
      <c r="E252" s="13"/>
      <c r="F252" s="14" t="str">
        <f aca="false">IF(OR(B252="",C252="",D252=""),"",IFERROR(INDEX(CONFIG!$E$5:$E$14,MATCH(D252,CONFIG!$D$5:$D$14,0)),"?")&amp;RIGHT("0"&amp;DAY(B252),2)&amp;RIGHT("0"&amp;MONTH(B252),2)&amp;RIGHT(YEAR(B252),2)&amp;C252&amp;IF(E252="","","-"&amp;E252))</f>
        <v/>
      </c>
      <c r="G252" s="13"/>
      <c r="H252" s="13"/>
      <c r="I252" s="13"/>
      <c r="J252" s="13"/>
      <c r="K252" s="13"/>
      <c r="L252" s="13"/>
      <c r="M252" s="11" t="str">
        <f aca="false">IF(F252="","",COUNTIFS(ENSAYOS!$C$5:$C$3004,F252,ENSAYOS!$Q$5:$Q$3004,"&gt;0"))</f>
        <v/>
      </c>
      <c r="N252" s="15" t="str">
        <f aca="false">IF(N(M252)=0,"",_xlfn.MINIFS(ENSAYOS!$G$5:$G$3004,ENSAYOS!$C$5:$C$3004,F252,ENSAYOS!$Q$5:$Q$3004,"&gt;0"))</f>
        <v/>
      </c>
      <c r="O252" s="15" t="str">
        <f aca="false">IF(N(M252)=0,"",_xlfn.MAXIFS(ENSAYOS!$G$5:$G$3004,ENSAYOS!$C$5:$C$3004,F252,ENSAYOS!$Q$5:$Q$3004,"&gt;0"))</f>
        <v/>
      </c>
      <c r="P252" s="16" t="str">
        <f aca="false">IF(N(M252)=0,"",AVERAGEIFS(ENSAYOS!$Q$5:$Q$3004,ENSAYOS!$C$5:$C$3004,F252,ENSAYOS!$Q$5:$Q$3004,"&gt;0"))</f>
        <v/>
      </c>
      <c r="Q252" s="16" t="str">
        <f aca="false">IF(N(M252)=0,"",_xlfn.MINIFS(ENSAYOS!$Q$5:$Q$3004,ENSAYOS!$C$5:$C$3004,F252,ENSAYOS!$Q$5:$Q$3004,"&gt;0"))</f>
        <v/>
      </c>
      <c r="R252" s="16" t="str">
        <f aca="false">IF(N(M252)=0,"",_xlfn.MAXIFS(ENSAYOS!$Q$5:$Q$3004,ENSAYOS!$C$5:$C$3004,F252,ENSAYOS!$Q$5:$Q$3004,"&gt;0"))</f>
        <v/>
      </c>
      <c r="S252" s="16" t="str">
        <f aca="false">IF(N(M252)&lt;2,"",SQRT(MAX(0,(SUMIFS(ENSAYOS!$X$5:$X$3004,ENSAYOS!$C$5:$C$3004,F252,ENSAYOS!$Q$5:$Q$3004,"&gt;0")-M252*P252^2)/(M252-1))))</f>
        <v/>
      </c>
      <c r="T252" s="17" t="str">
        <f aca="false">IF(S252="","",S252/P252)</f>
        <v/>
      </c>
      <c r="U252" s="16" t="str">
        <f aca="false">IF(N(M252)=0,"",IF(N252&gt;=CONFIG!$B$27,"",AVERAGEIFS(ENSAYOS!$Q$5:$Q$3004,ENSAYOS!$C$5:$C$3004,F252,ENSAYOS!$Q$5:$Q$3004,"&gt;0",ENSAYOS!$G$5:$G$3004,N252)))</f>
        <v/>
      </c>
      <c r="V252" s="16" t="str">
        <f aca="false">IF(N(M252)=0,"",IF(COUNTIFS(ENSAYOS!$C$5:$C$3004,F252,ENSAYOS!$Q$5:$Q$3004,"&gt;0",ENSAYOS!$G$5:$G$3004,"&gt;="&amp;CONFIG!$B$27)=0,"",AVERAGEIFS(ENSAYOS!$Q$5:$Q$3004,ENSAYOS!$C$5:$C$3004,F252,ENSAYOS!$Q$5:$Q$3004,"&gt;0",ENSAYOS!$G$5:$G$3004,"&gt;="&amp;CONFIG!$B$27)))</f>
        <v/>
      </c>
      <c r="W252" s="18" t="str">
        <f aca="false">IF(AND(U252&lt;&gt;"",V252&lt;&gt;""),U252/V252,"")</f>
        <v/>
      </c>
      <c r="X252" s="18" t="str">
        <f aca="false">IF(U252="","",INDEX('CURVA EDAD'!$E$5:$E$32,MIN(28,MAX(1,N252))))</f>
        <v/>
      </c>
      <c r="Y252" s="16" t="str">
        <f aca="false">IF(V252&lt;&gt;"",V252,IF(U252="","",U252/X252))</f>
        <v/>
      </c>
      <c r="Z252" s="16" t="str">
        <f aca="false">IF(V252&lt;&gt;"",_xlfn.MINIFS(ENSAYOS!$Q$5:$Q$3004,ENSAYOS!$C$5:$C$3004,F252,ENSAYOS!$Q$5:$Q$3004,"&gt;0",ENSAYOS!$G$5:$G$3004,"&gt;="&amp;CONFIG!$B$27),IF(U252="","",_xlfn.MINIFS(ENSAYOS!$Q$5:$Q$3004,ENSAYOS!$C$5:$C$3004,F252,ENSAYOS!$Q$5:$Q$3004,"&gt;0",ENSAYOS!$G$5:$G$3004,N252)/X252))</f>
        <v/>
      </c>
      <c r="AA252" s="16" t="str">
        <f aca="false">IF(D252="","",IFERROR(1/(1/INDEX(CONFIG!$J$5:$J$14,MATCH(D252,CONFIG!$D$5:$D$14,0))),""))</f>
        <v/>
      </c>
      <c r="AB252" s="16" t="str">
        <f aca="false">IF(D252="","",IFERROR(1/(1/INDEX(CONFIG!$K$5:$K$14,MATCH(D252,CONFIG!$D$5:$D$14,0))),""))</f>
        <v/>
      </c>
      <c r="AC252" s="19" t="str">
        <f aca="false">IF(N(M252)=0,"",IF(AA252="","Sin spec",IF(AND(Y252&gt;=AA252,OR(AB252="",Z252&gt;=AB252)),"CUMPLE","NO CUMPLE")&amp;IF(V252=""," (est.)","")))</f>
        <v/>
      </c>
      <c r="AD252" s="20" t="str">
        <f aca="false">IF(F252="","",IF(COUNTIFS(ABSORCION!$C$5:$C$1004,F252,ABSORCION!$I$5:$I$1004,"&gt;0")=0,"",AVERAGEIFS(ABSORCION!$I$5:$I$1004,ABSORCION!$C$5:$C$1004,F252,ABSORCION!$I$5:$I$1004,"&gt;0")))</f>
        <v/>
      </c>
      <c r="AE252" s="20" t="str">
        <f aca="false">IF(F252="","",IF(COUNTIFS(ABSORCION!$C$5:$C$1004,F252,ABSORCION!$I$5:$I$1004,"&gt;0")=0,"",AVERAGEIFS(ABSORCION!$K$5:$K$1004,ABSORCION!$C$5:$C$1004,F252,ABSORCION!$I$5:$I$1004,"&gt;0")))</f>
        <v/>
      </c>
      <c r="AF252" s="20" t="str">
        <f aca="false">IF(AE252="","",IF(AE252&gt;=CONFIG!$E$21,CONFIG!$F$21,IF(AE252&gt;=CONFIG!$E$20,CONFIG!$F$20,CONFIG!$F$19)))</f>
        <v/>
      </c>
      <c r="AG252" s="21" t="str">
        <f aca="false">IF(F252="","",TRIM(IF(N(M252)=0,"Sin ensayos. ","")&amp;IF(AND(N(M252)&gt;0,N(M252)&lt;CONFIG!$B$26),"Menos de "&amp;CONFIG!$B$26&amp;" probetas. ","")&amp;IF(N(T252)&gt;CONFIG!$B$25,"CV alto. ","")&amp;IF(AND(N(AD252)&gt;0,N(AD252)&gt;N(AF252)),"Absorción alta. ","")))</f>
        <v/>
      </c>
      <c r="AH252" s="22" t="str">
        <f aca="false">IF(AND(N(M252)&gt;0,OR(CONTROL!$C$4="TODAS",C252=CONTROL!$C$4),D252=CONTROL!$C$5),MAX($AH$4:AH251)+1,"")</f>
        <v/>
      </c>
      <c r="AI252" s="22" t="str">
        <f aca="false">IF(AH252="","",P252^2)</f>
        <v/>
      </c>
    </row>
    <row r="253" customFormat="false" ht="15" hidden="false" customHeight="false" outlineLevel="0" collapsed="false">
      <c r="A253" s="11" t="str">
        <f aca="false">IF(B253="","",ROW()-4)</f>
        <v/>
      </c>
      <c r="B253" s="12"/>
      <c r="C253" s="13"/>
      <c r="D253" s="13"/>
      <c r="E253" s="13"/>
      <c r="F253" s="14" t="str">
        <f aca="false">IF(OR(B253="",C253="",D253=""),"",IFERROR(INDEX(CONFIG!$E$5:$E$14,MATCH(D253,CONFIG!$D$5:$D$14,0)),"?")&amp;RIGHT("0"&amp;DAY(B253),2)&amp;RIGHT("0"&amp;MONTH(B253),2)&amp;RIGHT(YEAR(B253),2)&amp;C253&amp;IF(E253="","","-"&amp;E253))</f>
        <v/>
      </c>
      <c r="G253" s="13"/>
      <c r="H253" s="13"/>
      <c r="I253" s="13"/>
      <c r="J253" s="13"/>
      <c r="K253" s="13"/>
      <c r="L253" s="13"/>
      <c r="M253" s="11" t="str">
        <f aca="false">IF(F253="","",COUNTIFS(ENSAYOS!$C$5:$C$3004,F253,ENSAYOS!$Q$5:$Q$3004,"&gt;0"))</f>
        <v/>
      </c>
      <c r="N253" s="15" t="str">
        <f aca="false">IF(N(M253)=0,"",_xlfn.MINIFS(ENSAYOS!$G$5:$G$3004,ENSAYOS!$C$5:$C$3004,F253,ENSAYOS!$Q$5:$Q$3004,"&gt;0"))</f>
        <v/>
      </c>
      <c r="O253" s="15" t="str">
        <f aca="false">IF(N(M253)=0,"",_xlfn.MAXIFS(ENSAYOS!$G$5:$G$3004,ENSAYOS!$C$5:$C$3004,F253,ENSAYOS!$Q$5:$Q$3004,"&gt;0"))</f>
        <v/>
      </c>
      <c r="P253" s="16" t="str">
        <f aca="false">IF(N(M253)=0,"",AVERAGEIFS(ENSAYOS!$Q$5:$Q$3004,ENSAYOS!$C$5:$C$3004,F253,ENSAYOS!$Q$5:$Q$3004,"&gt;0"))</f>
        <v/>
      </c>
      <c r="Q253" s="16" t="str">
        <f aca="false">IF(N(M253)=0,"",_xlfn.MINIFS(ENSAYOS!$Q$5:$Q$3004,ENSAYOS!$C$5:$C$3004,F253,ENSAYOS!$Q$5:$Q$3004,"&gt;0"))</f>
        <v/>
      </c>
      <c r="R253" s="16" t="str">
        <f aca="false">IF(N(M253)=0,"",_xlfn.MAXIFS(ENSAYOS!$Q$5:$Q$3004,ENSAYOS!$C$5:$C$3004,F253,ENSAYOS!$Q$5:$Q$3004,"&gt;0"))</f>
        <v/>
      </c>
      <c r="S253" s="16" t="str">
        <f aca="false">IF(N(M253)&lt;2,"",SQRT(MAX(0,(SUMIFS(ENSAYOS!$X$5:$X$3004,ENSAYOS!$C$5:$C$3004,F253,ENSAYOS!$Q$5:$Q$3004,"&gt;0")-M253*P253^2)/(M253-1))))</f>
        <v/>
      </c>
      <c r="T253" s="17" t="str">
        <f aca="false">IF(S253="","",S253/P253)</f>
        <v/>
      </c>
      <c r="U253" s="16" t="str">
        <f aca="false">IF(N(M253)=0,"",IF(N253&gt;=CONFIG!$B$27,"",AVERAGEIFS(ENSAYOS!$Q$5:$Q$3004,ENSAYOS!$C$5:$C$3004,F253,ENSAYOS!$Q$5:$Q$3004,"&gt;0",ENSAYOS!$G$5:$G$3004,N253)))</f>
        <v/>
      </c>
      <c r="V253" s="16" t="str">
        <f aca="false">IF(N(M253)=0,"",IF(COUNTIFS(ENSAYOS!$C$5:$C$3004,F253,ENSAYOS!$Q$5:$Q$3004,"&gt;0",ENSAYOS!$G$5:$G$3004,"&gt;="&amp;CONFIG!$B$27)=0,"",AVERAGEIFS(ENSAYOS!$Q$5:$Q$3004,ENSAYOS!$C$5:$C$3004,F253,ENSAYOS!$Q$5:$Q$3004,"&gt;0",ENSAYOS!$G$5:$G$3004,"&gt;="&amp;CONFIG!$B$27)))</f>
        <v/>
      </c>
      <c r="W253" s="18" t="str">
        <f aca="false">IF(AND(U253&lt;&gt;"",V253&lt;&gt;""),U253/V253,"")</f>
        <v/>
      </c>
      <c r="X253" s="18" t="str">
        <f aca="false">IF(U253="","",INDEX('CURVA EDAD'!$E$5:$E$32,MIN(28,MAX(1,N253))))</f>
        <v/>
      </c>
      <c r="Y253" s="16" t="str">
        <f aca="false">IF(V253&lt;&gt;"",V253,IF(U253="","",U253/X253))</f>
        <v/>
      </c>
      <c r="Z253" s="16" t="str">
        <f aca="false">IF(V253&lt;&gt;"",_xlfn.MINIFS(ENSAYOS!$Q$5:$Q$3004,ENSAYOS!$C$5:$C$3004,F253,ENSAYOS!$Q$5:$Q$3004,"&gt;0",ENSAYOS!$G$5:$G$3004,"&gt;="&amp;CONFIG!$B$27),IF(U253="","",_xlfn.MINIFS(ENSAYOS!$Q$5:$Q$3004,ENSAYOS!$C$5:$C$3004,F253,ENSAYOS!$Q$5:$Q$3004,"&gt;0",ENSAYOS!$G$5:$G$3004,N253)/X253))</f>
        <v/>
      </c>
      <c r="AA253" s="16" t="str">
        <f aca="false">IF(D253="","",IFERROR(1/(1/INDEX(CONFIG!$J$5:$J$14,MATCH(D253,CONFIG!$D$5:$D$14,0))),""))</f>
        <v/>
      </c>
      <c r="AB253" s="16" t="str">
        <f aca="false">IF(D253="","",IFERROR(1/(1/INDEX(CONFIG!$K$5:$K$14,MATCH(D253,CONFIG!$D$5:$D$14,0))),""))</f>
        <v/>
      </c>
      <c r="AC253" s="19" t="str">
        <f aca="false">IF(N(M253)=0,"",IF(AA253="","Sin spec",IF(AND(Y253&gt;=AA253,OR(AB253="",Z253&gt;=AB253)),"CUMPLE","NO CUMPLE")&amp;IF(V253=""," (est.)","")))</f>
        <v/>
      </c>
      <c r="AD253" s="20" t="str">
        <f aca="false">IF(F253="","",IF(COUNTIFS(ABSORCION!$C$5:$C$1004,F253,ABSORCION!$I$5:$I$1004,"&gt;0")=0,"",AVERAGEIFS(ABSORCION!$I$5:$I$1004,ABSORCION!$C$5:$C$1004,F253,ABSORCION!$I$5:$I$1004,"&gt;0")))</f>
        <v/>
      </c>
      <c r="AE253" s="20" t="str">
        <f aca="false">IF(F253="","",IF(COUNTIFS(ABSORCION!$C$5:$C$1004,F253,ABSORCION!$I$5:$I$1004,"&gt;0")=0,"",AVERAGEIFS(ABSORCION!$K$5:$K$1004,ABSORCION!$C$5:$C$1004,F253,ABSORCION!$I$5:$I$1004,"&gt;0")))</f>
        <v/>
      </c>
      <c r="AF253" s="20" t="str">
        <f aca="false">IF(AE253="","",IF(AE253&gt;=CONFIG!$E$21,CONFIG!$F$21,IF(AE253&gt;=CONFIG!$E$20,CONFIG!$F$20,CONFIG!$F$19)))</f>
        <v/>
      </c>
      <c r="AG253" s="21" t="str">
        <f aca="false">IF(F253="","",TRIM(IF(N(M253)=0,"Sin ensayos. ","")&amp;IF(AND(N(M253)&gt;0,N(M253)&lt;CONFIG!$B$26),"Menos de "&amp;CONFIG!$B$26&amp;" probetas. ","")&amp;IF(N(T253)&gt;CONFIG!$B$25,"CV alto. ","")&amp;IF(AND(N(AD253)&gt;0,N(AD253)&gt;N(AF253)),"Absorción alta. ","")))</f>
        <v/>
      </c>
      <c r="AH253" s="22" t="str">
        <f aca="false">IF(AND(N(M253)&gt;0,OR(CONTROL!$C$4="TODAS",C253=CONTROL!$C$4),D253=CONTROL!$C$5),MAX($AH$4:AH252)+1,"")</f>
        <v/>
      </c>
      <c r="AI253" s="22" t="str">
        <f aca="false">IF(AH253="","",P253^2)</f>
        <v/>
      </c>
    </row>
    <row r="254" customFormat="false" ht="15" hidden="false" customHeight="false" outlineLevel="0" collapsed="false">
      <c r="A254" s="11" t="str">
        <f aca="false">IF(B254="","",ROW()-4)</f>
        <v/>
      </c>
      <c r="B254" s="12"/>
      <c r="C254" s="13"/>
      <c r="D254" s="13"/>
      <c r="E254" s="13"/>
      <c r="F254" s="14" t="str">
        <f aca="false">IF(OR(B254="",C254="",D254=""),"",IFERROR(INDEX(CONFIG!$E$5:$E$14,MATCH(D254,CONFIG!$D$5:$D$14,0)),"?")&amp;RIGHT("0"&amp;DAY(B254),2)&amp;RIGHT("0"&amp;MONTH(B254),2)&amp;RIGHT(YEAR(B254),2)&amp;C254&amp;IF(E254="","","-"&amp;E254))</f>
        <v/>
      </c>
      <c r="G254" s="13"/>
      <c r="H254" s="13"/>
      <c r="I254" s="13"/>
      <c r="J254" s="13"/>
      <c r="K254" s="13"/>
      <c r="L254" s="13"/>
      <c r="M254" s="11" t="str">
        <f aca="false">IF(F254="","",COUNTIFS(ENSAYOS!$C$5:$C$3004,F254,ENSAYOS!$Q$5:$Q$3004,"&gt;0"))</f>
        <v/>
      </c>
      <c r="N254" s="15" t="str">
        <f aca="false">IF(N(M254)=0,"",_xlfn.MINIFS(ENSAYOS!$G$5:$G$3004,ENSAYOS!$C$5:$C$3004,F254,ENSAYOS!$Q$5:$Q$3004,"&gt;0"))</f>
        <v/>
      </c>
      <c r="O254" s="15" t="str">
        <f aca="false">IF(N(M254)=0,"",_xlfn.MAXIFS(ENSAYOS!$G$5:$G$3004,ENSAYOS!$C$5:$C$3004,F254,ENSAYOS!$Q$5:$Q$3004,"&gt;0"))</f>
        <v/>
      </c>
      <c r="P254" s="16" t="str">
        <f aca="false">IF(N(M254)=0,"",AVERAGEIFS(ENSAYOS!$Q$5:$Q$3004,ENSAYOS!$C$5:$C$3004,F254,ENSAYOS!$Q$5:$Q$3004,"&gt;0"))</f>
        <v/>
      </c>
      <c r="Q254" s="16" t="str">
        <f aca="false">IF(N(M254)=0,"",_xlfn.MINIFS(ENSAYOS!$Q$5:$Q$3004,ENSAYOS!$C$5:$C$3004,F254,ENSAYOS!$Q$5:$Q$3004,"&gt;0"))</f>
        <v/>
      </c>
      <c r="R254" s="16" t="str">
        <f aca="false">IF(N(M254)=0,"",_xlfn.MAXIFS(ENSAYOS!$Q$5:$Q$3004,ENSAYOS!$C$5:$C$3004,F254,ENSAYOS!$Q$5:$Q$3004,"&gt;0"))</f>
        <v/>
      </c>
      <c r="S254" s="16" t="str">
        <f aca="false">IF(N(M254)&lt;2,"",SQRT(MAX(0,(SUMIFS(ENSAYOS!$X$5:$X$3004,ENSAYOS!$C$5:$C$3004,F254,ENSAYOS!$Q$5:$Q$3004,"&gt;0")-M254*P254^2)/(M254-1))))</f>
        <v/>
      </c>
      <c r="T254" s="17" t="str">
        <f aca="false">IF(S254="","",S254/P254)</f>
        <v/>
      </c>
      <c r="U254" s="16" t="str">
        <f aca="false">IF(N(M254)=0,"",IF(N254&gt;=CONFIG!$B$27,"",AVERAGEIFS(ENSAYOS!$Q$5:$Q$3004,ENSAYOS!$C$5:$C$3004,F254,ENSAYOS!$Q$5:$Q$3004,"&gt;0",ENSAYOS!$G$5:$G$3004,N254)))</f>
        <v/>
      </c>
      <c r="V254" s="16" t="str">
        <f aca="false">IF(N(M254)=0,"",IF(COUNTIFS(ENSAYOS!$C$5:$C$3004,F254,ENSAYOS!$Q$5:$Q$3004,"&gt;0",ENSAYOS!$G$5:$G$3004,"&gt;="&amp;CONFIG!$B$27)=0,"",AVERAGEIFS(ENSAYOS!$Q$5:$Q$3004,ENSAYOS!$C$5:$C$3004,F254,ENSAYOS!$Q$5:$Q$3004,"&gt;0",ENSAYOS!$G$5:$G$3004,"&gt;="&amp;CONFIG!$B$27)))</f>
        <v/>
      </c>
      <c r="W254" s="18" t="str">
        <f aca="false">IF(AND(U254&lt;&gt;"",V254&lt;&gt;""),U254/V254,"")</f>
        <v/>
      </c>
      <c r="X254" s="18" t="str">
        <f aca="false">IF(U254="","",INDEX('CURVA EDAD'!$E$5:$E$32,MIN(28,MAX(1,N254))))</f>
        <v/>
      </c>
      <c r="Y254" s="16" t="str">
        <f aca="false">IF(V254&lt;&gt;"",V254,IF(U254="","",U254/X254))</f>
        <v/>
      </c>
      <c r="Z254" s="16" t="str">
        <f aca="false">IF(V254&lt;&gt;"",_xlfn.MINIFS(ENSAYOS!$Q$5:$Q$3004,ENSAYOS!$C$5:$C$3004,F254,ENSAYOS!$Q$5:$Q$3004,"&gt;0",ENSAYOS!$G$5:$G$3004,"&gt;="&amp;CONFIG!$B$27),IF(U254="","",_xlfn.MINIFS(ENSAYOS!$Q$5:$Q$3004,ENSAYOS!$C$5:$C$3004,F254,ENSAYOS!$Q$5:$Q$3004,"&gt;0",ENSAYOS!$G$5:$G$3004,N254)/X254))</f>
        <v/>
      </c>
      <c r="AA254" s="16" t="str">
        <f aca="false">IF(D254="","",IFERROR(1/(1/INDEX(CONFIG!$J$5:$J$14,MATCH(D254,CONFIG!$D$5:$D$14,0))),""))</f>
        <v/>
      </c>
      <c r="AB254" s="16" t="str">
        <f aca="false">IF(D254="","",IFERROR(1/(1/INDEX(CONFIG!$K$5:$K$14,MATCH(D254,CONFIG!$D$5:$D$14,0))),""))</f>
        <v/>
      </c>
      <c r="AC254" s="19" t="str">
        <f aca="false">IF(N(M254)=0,"",IF(AA254="","Sin spec",IF(AND(Y254&gt;=AA254,OR(AB254="",Z254&gt;=AB254)),"CUMPLE","NO CUMPLE")&amp;IF(V254=""," (est.)","")))</f>
        <v/>
      </c>
      <c r="AD254" s="20" t="str">
        <f aca="false">IF(F254="","",IF(COUNTIFS(ABSORCION!$C$5:$C$1004,F254,ABSORCION!$I$5:$I$1004,"&gt;0")=0,"",AVERAGEIFS(ABSORCION!$I$5:$I$1004,ABSORCION!$C$5:$C$1004,F254,ABSORCION!$I$5:$I$1004,"&gt;0")))</f>
        <v/>
      </c>
      <c r="AE254" s="20" t="str">
        <f aca="false">IF(F254="","",IF(COUNTIFS(ABSORCION!$C$5:$C$1004,F254,ABSORCION!$I$5:$I$1004,"&gt;0")=0,"",AVERAGEIFS(ABSORCION!$K$5:$K$1004,ABSORCION!$C$5:$C$1004,F254,ABSORCION!$I$5:$I$1004,"&gt;0")))</f>
        <v/>
      </c>
      <c r="AF254" s="20" t="str">
        <f aca="false">IF(AE254="","",IF(AE254&gt;=CONFIG!$E$21,CONFIG!$F$21,IF(AE254&gt;=CONFIG!$E$20,CONFIG!$F$20,CONFIG!$F$19)))</f>
        <v/>
      </c>
      <c r="AG254" s="21" t="str">
        <f aca="false">IF(F254="","",TRIM(IF(N(M254)=0,"Sin ensayos. ","")&amp;IF(AND(N(M254)&gt;0,N(M254)&lt;CONFIG!$B$26),"Menos de "&amp;CONFIG!$B$26&amp;" probetas. ","")&amp;IF(N(T254)&gt;CONFIG!$B$25,"CV alto. ","")&amp;IF(AND(N(AD254)&gt;0,N(AD254)&gt;N(AF254)),"Absorción alta. ","")))</f>
        <v/>
      </c>
      <c r="AH254" s="22" t="str">
        <f aca="false">IF(AND(N(M254)&gt;0,OR(CONTROL!$C$4="TODAS",C254=CONTROL!$C$4),D254=CONTROL!$C$5),MAX($AH$4:AH253)+1,"")</f>
        <v/>
      </c>
      <c r="AI254" s="22" t="str">
        <f aca="false">IF(AH254="","",P254^2)</f>
        <v/>
      </c>
    </row>
    <row r="255" customFormat="false" ht="15" hidden="false" customHeight="false" outlineLevel="0" collapsed="false">
      <c r="A255" s="11" t="str">
        <f aca="false">IF(B255="","",ROW()-4)</f>
        <v/>
      </c>
      <c r="B255" s="12"/>
      <c r="C255" s="13"/>
      <c r="D255" s="13"/>
      <c r="E255" s="13"/>
      <c r="F255" s="14" t="str">
        <f aca="false">IF(OR(B255="",C255="",D255=""),"",IFERROR(INDEX(CONFIG!$E$5:$E$14,MATCH(D255,CONFIG!$D$5:$D$14,0)),"?")&amp;RIGHT("0"&amp;DAY(B255),2)&amp;RIGHT("0"&amp;MONTH(B255),2)&amp;RIGHT(YEAR(B255),2)&amp;C255&amp;IF(E255="","","-"&amp;E255))</f>
        <v/>
      </c>
      <c r="G255" s="13"/>
      <c r="H255" s="13"/>
      <c r="I255" s="13"/>
      <c r="J255" s="13"/>
      <c r="K255" s="13"/>
      <c r="L255" s="13"/>
      <c r="M255" s="11" t="str">
        <f aca="false">IF(F255="","",COUNTIFS(ENSAYOS!$C$5:$C$3004,F255,ENSAYOS!$Q$5:$Q$3004,"&gt;0"))</f>
        <v/>
      </c>
      <c r="N255" s="15" t="str">
        <f aca="false">IF(N(M255)=0,"",_xlfn.MINIFS(ENSAYOS!$G$5:$G$3004,ENSAYOS!$C$5:$C$3004,F255,ENSAYOS!$Q$5:$Q$3004,"&gt;0"))</f>
        <v/>
      </c>
      <c r="O255" s="15" t="str">
        <f aca="false">IF(N(M255)=0,"",_xlfn.MAXIFS(ENSAYOS!$G$5:$G$3004,ENSAYOS!$C$5:$C$3004,F255,ENSAYOS!$Q$5:$Q$3004,"&gt;0"))</f>
        <v/>
      </c>
      <c r="P255" s="16" t="str">
        <f aca="false">IF(N(M255)=0,"",AVERAGEIFS(ENSAYOS!$Q$5:$Q$3004,ENSAYOS!$C$5:$C$3004,F255,ENSAYOS!$Q$5:$Q$3004,"&gt;0"))</f>
        <v/>
      </c>
      <c r="Q255" s="16" t="str">
        <f aca="false">IF(N(M255)=0,"",_xlfn.MINIFS(ENSAYOS!$Q$5:$Q$3004,ENSAYOS!$C$5:$C$3004,F255,ENSAYOS!$Q$5:$Q$3004,"&gt;0"))</f>
        <v/>
      </c>
      <c r="R255" s="16" t="str">
        <f aca="false">IF(N(M255)=0,"",_xlfn.MAXIFS(ENSAYOS!$Q$5:$Q$3004,ENSAYOS!$C$5:$C$3004,F255,ENSAYOS!$Q$5:$Q$3004,"&gt;0"))</f>
        <v/>
      </c>
      <c r="S255" s="16" t="str">
        <f aca="false">IF(N(M255)&lt;2,"",SQRT(MAX(0,(SUMIFS(ENSAYOS!$X$5:$X$3004,ENSAYOS!$C$5:$C$3004,F255,ENSAYOS!$Q$5:$Q$3004,"&gt;0")-M255*P255^2)/(M255-1))))</f>
        <v/>
      </c>
      <c r="T255" s="17" t="str">
        <f aca="false">IF(S255="","",S255/P255)</f>
        <v/>
      </c>
      <c r="U255" s="16" t="str">
        <f aca="false">IF(N(M255)=0,"",IF(N255&gt;=CONFIG!$B$27,"",AVERAGEIFS(ENSAYOS!$Q$5:$Q$3004,ENSAYOS!$C$5:$C$3004,F255,ENSAYOS!$Q$5:$Q$3004,"&gt;0",ENSAYOS!$G$5:$G$3004,N255)))</f>
        <v/>
      </c>
      <c r="V255" s="16" t="str">
        <f aca="false">IF(N(M255)=0,"",IF(COUNTIFS(ENSAYOS!$C$5:$C$3004,F255,ENSAYOS!$Q$5:$Q$3004,"&gt;0",ENSAYOS!$G$5:$G$3004,"&gt;="&amp;CONFIG!$B$27)=0,"",AVERAGEIFS(ENSAYOS!$Q$5:$Q$3004,ENSAYOS!$C$5:$C$3004,F255,ENSAYOS!$Q$5:$Q$3004,"&gt;0",ENSAYOS!$G$5:$G$3004,"&gt;="&amp;CONFIG!$B$27)))</f>
        <v/>
      </c>
      <c r="W255" s="18" t="str">
        <f aca="false">IF(AND(U255&lt;&gt;"",V255&lt;&gt;""),U255/V255,"")</f>
        <v/>
      </c>
      <c r="X255" s="18" t="str">
        <f aca="false">IF(U255="","",INDEX('CURVA EDAD'!$E$5:$E$32,MIN(28,MAX(1,N255))))</f>
        <v/>
      </c>
      <c r="Y255" s="16" t="str">
        <f aca="false">IF(V255&lt;&gt;"",V255,IF(U255="","",U255/X255))</f>
        <v/>
      </c>
      <c r="Z255" s="16" t="str">
        <f aca="false">IF(V255&lt;&gt;"",_xlfn.MINIFS(ENSAYOS!$Q$5:$Q$3004,ENSAYOS!$C$5:$C$3004,F255,ENSAYOS!$Q$5:$Q$3004,"&gt;0",ENSAYOS!$G$5:$G$3004,"&gt;="&amp;CONFIG!$B$27),IF(U255="","",_xlfn.MINIFS(ENSAYOS!$Q$5:$Q$3004,ENSAYOS!$C$5:$C$3004,F255,ENSAYOS!$Q$5:$Q$3004,"&gt;0",ENSAYOS!$G$5:$G$3004,N255)/X255))</f>
        <v/>
      </c>
      <c r="AA255" s="16" t="str">
        <f aca="false">IF(D255="","",IFERROR(1/(1/INDEX(CONFIG!$J$5:$J$14,MATCH(D255,CONFIG!$D$5:$D$14,0))),""))</f>
        <v/>
      </c>
      <c r="AB255" s="16" t="str">
        <f aca="false">IF(D255="","",IFERROR(1/(1/INDEX(CONFIG!$K$5:$K$14,MATCH(D255,CONFIG!$D$5:$D$14,0))),""))</f>
        <v/>
      </c>
      <c r="AC255" s="19" t="str">
        <f aca="false">IF(N(M255)=0,"",IF(AA255="","Sin spec",IF(AND(Y255&gt;=AA255,OR(AB255="",Z255&gt;=AB255)),"CUMPLE","NO CUMPLE")&amp;IF(V255=""," (est.)","")))</f>
        <v/>
      </c>
      <c r="AD255" s="20" t="str">
        <f aca="false">IF(F255="","",IF(COUNTIFS(ABSORCION!$C$5:$C$1004,F255,ABSORCION!$I$5:$I$1004,"&gt;0")=0,"",AVERAGEIFS(ABSORCION!$I$5:$I$1004,ABSORCION!$C$5:$C$1004,F255,ABSORCION!$I$5:$I$1004,"&gt;0")))</f>
        <v/>
      </c>
      <c r="AE255" s="20" t="str">
        <f aca="false">IF(F255="","",IF(COUNTIFS(ABSORCION!$C$5:$C$1004,F255,ABSORCION!$I$5:$I$1004,"&gt;0")=0,"",AVERAGEIFS(ABSORCION!$K$5:$K$1004,ABSORCION!$C$5:$C$1004,F255,ABSORCION!$I$5:$I$1004,"&gt;0")))</f>
        <v/>
      </c>
      <c r="AF255" s="20" t="str">
        <f aca="false">IF(AE255="","",IF(AE255&gt;=CONFIG!$E$21,CONFIG!$F$21,IF(AE255&gt;=CONFIG!$E$20,CONFIG!$F$20,CONFIG!$F$19)))</f>
        <v/>
      </c>
      <c r="AG255" s="21" t="str">
        <f aca="false">IF(F255="","",TRIM(IF(N(M255)=0,"Sin ensayos. ","")&amp;IF(AND(N(M255)&gt;0,N(M255)&lt;CONFIG!$B$26),"Menos de "&amp;CONFIG!$B$26&amp;" probetas. ","")&amp;IF(N(T255)&gt;CONFIG!$B$25,"CV alto. ","")&amp;IF(AND(N(AD255)&gt;0,N(AD255)&gt;N(AF255)),"Absorción alta. ","")))</f>
        <v/>
      </c>
      <c r="AH255" s="22" t="str">
        <f aca="false">IF(AND(N(M255)&gt;0,OR(CONTROL!$C$4="TODAS",C255=CONTROL!$C$4),D255=CONTROL!$C$5),MAX($AH$4:AH254)+1,"")</f>
        <v/>
      </c>
      <c r="AI255" s="22" t="str">
        <f aca="false">IF(AH255="","",P255^2)</f>
        <v/>
      </c>
    </row>
    <row r="256" customFormat="false" ht="15" hidden="false" customHeight="false" outlineLevel="0" collapsed="false">
      <c r="A256" s="11" t="str">
        <f aca="false">IF(B256="","",ROW()-4)</f>
        <v/>
      </c>
      <c r="B256" s="12"/>
      <c r="C256" s="13"/>
      <c r="D256" s="13"/>
      <c r="E256" s="13"/>
      <c r="F256" s="14" t="str">
        <f aca="false">IF(OR(B256="",C256="",D256=""),"",IFERROR(INDEX(CONFIG!$E$5:$E$14,MATCH(D256,CONFIG!$D$5:$D$14,0)),"?")&amp;RIGHT("0"&amp;DAY(B256),2)&amp;RIGHT("0"&amp;MONTH(B256),2)&amp;RIGHT(YEAR(B256),2)&amp;C256&amp;IF(E256="","","-"&amp;E256))</f>
        <v/>
      </c>
      <c r="G256" s="13"/>
      <c r="H256" s="13"/>
      <c r="I256" s="13"/>
      <c r="J256" s="13"/>
      <c r="K256" s="13"/>
      <c r="L256" s="13"/>
      <c r="M256" s="11" t="str">
        <f aca="false">IF(F256="","",COUNTIFS(ENSAYOS!$C$5:$C$3004,F256,ENSAYOS!$Q$5:$Q$3004,"&gt;0"))</f>
        <v/>
      </c>
      <c r="N256" s="15" t="str">
        <f aca="false">IF(N(M256)=0,"",_xlfn.MINIFS(ENSAYOS!$G$5:$G$3004,ENSAYOS!$C$5:$C$3004,F256,ENSAYOS!$Q$5:$Q$3004,"&gt;0"))</f>
        <v/>
      </c>
      <c r="O256" s="15" t="str">
        <f aca="false">IF(N(M256)=0,"",_xlfn.MAXIFS(ENSAYOS!$G$5:$G$3004,ENSAYOS!$C$5:$C$3004,F256,ENSAYOS!$Q$5:$Q$3004,"&gt;0"))</f>
        <v/>
      </c>
      <c r="P256" s="16" t="str">
        <f aca="false">IF(N(M256)=0,"",AVERAGEIFS(ENSAYOS!$Q$5:$Q$3004,ENSAYOS!$C$5:$C$3004,F256,ENSAYOS!$Q$5:$Q$3004,"&gt;0"))</f>
        <v/>
      </c>
      <c r="Q256" s="16" t="str">
        <f aca="false">IF(N(M256)=0,"",_xlfn.MINIFS(ENSAYOS!$Q$5:$Q$3004,ENSAYOS!$C$5:$C$3004,F256,ENSAYOS!$Q$5:$Q$3004,"&gt;0"))</f>
        <v/>
      </c>
      <c r="R256" s="16" t="str">
        <f aca="false">IF(N(M256)=0,"",_xlfn.MAXIFS(ENSAYOS!$Q$5:$Q$3004,ENSAYOS!$C$5:$C$3004,F256,ENSAYOS!$Q$5:$Q$3004,"&gt;0"))</f>
        <v/>
      </c>
      <c r="S256" s="16" t="str">
        <f aca="false">IF(N(M256)&lt;2,"",SQRT(MAX(0,(SUMIFS(ENSAYOS!$X$5:$X$3004,ENSAYOS!$C$5:$C$3004,F256,ENSAYOS!$Q$5:$Q$3004,"&gt;0")-M256*P256^2)/(M256-1))))</f>
        <v/>
      </c>
      <c r="T256" s="17" t="str">
        <f aca="false">IF(S256="","",S256/P256)</f>
        <v/>
      </c>
      <c r="U256" s="16" t="str">
        <f aca="false">IF(N(M256)=0,"",IF(N256&gt;=CONFIG!$B$27,"",AVERAGEIFS(ENSAYOS!$Q$5:$Q$3004,ENSAYOS!$C$5:$C$3004,F256,ENSAYOS!$Q$5:$Q$3004,"&gt;0",ENSAYOS!$G$5:$G$3004,N256)))</f>
        <v/>
      </c>
      <c r="V256" s="16" t="str">
        <f aca="false">IF(N(M256)=0,"",IF(COUNTIFS(ENSAYOS!$C$5:$C$3004,F256,ENSAYOS!$Q$5:$Q$3004,"&gt;0",ENSAYOS!$G$5:$G$3004,"&gt;="&amp;CONFIG!$B$27)=0,"",AVERAGEIFS(ENSAYOS!$Q$5:$Q$3004,ENSAYOS!$C$5:$C$3004,F256,ENSAYOS!$Q$5:$Q$3004,"&gt;0",ENSAYOS!$G$5:$G$3004,"&gt;="&amp;CONFIG!$B$27)))</f>
        <v/>
      </c>
      <c r="W256" s="18" t="str">
        <f aca="false">IF(AND(U256&lt;&gt;"",V256&lt;&gt;""),U256/V256,"")</f>
        <v/>
      </c>
      <c r="X256" s="18" t="str">
        <f aca="false">IF(U256="","",INDEX('CURVA EDAD'!$E$5:$E$32,MIN(28,MAX(1,N256))))</f>
        <v/>
      </c>
      <c r="Y256" s="16" t="str">
        <f aca="false">IF(V256&lt;&gt;"",V256,IF(U256="","",U256/X256))</f>
        <v/>
      </c>
      <c r="Z256" s="16" t="str">
        <f aca="false">IF(V256&lt;&gt;"",_xlfn.MINIFS(ENSAYOS!$Q$5:$Q$3004,ENSAYOS!$C$5:$C$3004,F256,ENSAYOS!$Q$5:$Q$3004,"&gt;0",ENSAYOS!$G$5:$G$3004,"&gt;="&amp;CONFIG!$B$27),IF(U256="","",_xlfn.MINIFS(ENSAYOS!$Q$5:$Q$3004,ENSAYOS!$C$5:$C$3004,F256,ENSAYOS!$Q$5:$Q$3004,"&gt;0",ENSAYOS!$G$5:$G$3004,N256)/X256))</f>
        <v/>
      </c>
      <c r="AA256" s="16" t="str">
        <f aca="false">IF(D256="","",IFERROR(1/(1/INDEX(CONFIG!$J$5:$J$14,MATCH(D256,CONFIG!$D$5:$D$14,0))),""))</f>
        <v/>
      </c>
      <c r="AB256" s="16" t="str">
        <f aca="false">IF(D256="","",IFERROR(1/(1/INDEX(CONFIG!$K$5:$K$14,MATCH(D256,CONFIG!$D$5:$D$14,0))),""))</f>
        <v/>
      </c>
      <c r="AC256" s="19" t="str">
        <f aca="false">IF(N(M256)=0,"",IF(AA256="","Sin spec",IF(AND(Y256&gt;=AA256,OR(AB256="",Z256&gt;=AB256)),"CUMPLE","NO CUMPLE")&amp;IF(V256=""," (est.)","")))</f>
        <v/>
      </c>
      <c r="AD256" s="20" t="str">
        <f aca="false">IF(F256="","",IF(COUNTIFS(ABSORCION!$C$5:$C$1004,F256,ABSORCION!$I$5:$I$1004,"&gt;0")=0,"",AVERAGEIFS(ABSORCION!$I$5:$I$1004,ABSORCION!$C$5:$C$1004,F256,ABSORCION!$I$5:$I$1004,"&gt;0")))</f>
        <v/>
      </c>
      <c r="AE256" s="20" t="str">
        <f aca="false">IF(F256="","",IF(COUNTIFS(ABSORCION!$C$5:$C$1004,F256,ABSORCION!$I$5:$I$1004,"&gt;0")=0,"",AVERAGEIFS(ABSORCION!$K$5:$K$1004,ABSORCION!$C$5:$C$1004,F256,ABSORCION!$I$5:$I$1004,"&gt;0")))</f>
        <v/>
      </c>
      <c r="AF256" s="20" t="str">
        <f aca="false">IF(AE256="","",IF(AE256&gt;=CONFIG!$E$21,CONFIG!$F$21,IF(AE256&gt;=CONFIG!$E$20,CONFIG!$F$20,CONFIG!$F$19)))</f>
        <v/>
      </c>
      <c r="AG256" s="21" t="str">
        <f aca="false">IF(F256="","",TRIM(IF(N(M256)=0,"Sin ensayos. ","")&amp;IF(AND(N(M256)&gt;0,N(M256)&lt;CONFIG!$B$26),"Menos de "&amp;CONFIG!$B$26&amp;" probetas. ","")&amp;IF(N(T256)&gt;CONFIG!$B$25,"CV alto. ","")&amp;IF(AND(N(AD256)&gt;0,N(AD256)&gt;N(AF256)),"Absorción alta. ","")))</f>
        <v/>
      </c>
      <c r="AH256" s="22" t="str">
        <f aca="false">IF(AND(N(M256)&gt;0,OR(CONTROL!$C$4="TODAS",C256=CONTROL!$C$4),D256=CONTROL!$C$5),MAX($AH$4:AH255)+1,"")</f>
        <v/>
      </c>
      <c r="AI256" s="22" t="str">
        <f aca="false">IF(AH256="","",P256^2)</f>
        <v/>
      </c>
    </row>
    <row r="257" customFormat="false" ht="15" hidden="false" customHeight="false" outlineLevel="0" collapsed="false">
      <c r="A257" s="11" t="str">
        <f aca="false">IF(B257="","",ROW()-4)</f>
        <v/>
      </c>
      <c r="B257" s="12"/>
      <c r="C257" s="13"/>
      <c r="D257" s="13"/>
      <c r="E257" s="13"/>
      <c r="F257" s="14" t="str">
        <f aca="false">IF(OR(B257="",C257="",D257=""),"",IFERROR(INDEX(CONFIG!$E$5:$E$14,MATCH(D257,CONFIG!$D$5:$D$14,0)),"?")&amp;RIGHT("0"&amp;DAY(B257),2)&amp;RIGHT("0"&amp;MONTH(B257),2)&amp;RIGHT(YEAR(B257),2)&amp;C257&amp;IF(E257="","","-"&amp;E257))</f>
        <v/>
      </c>
      <c r="G257" s="13"/>
      <c r="H257" s="13"/>
      <c r="I257" s="13"/>
      <c r="J257" s="13"/>
      <c r="K257" s="13"/>
      <c r="L257" s="13"/>
      <c r="M257" s="11" t="str">
        <f aca="false">IF(F257="","",COUNTIFS(ENSAYOS!$C$5:$C$3004,F257,ENSAYOS!$Q$5:$Q$3004,"&gt;0"))</f>
        <v/>
      </c>
      <c r="N257" s="15" t="str">
        <f aca="false">IF(N(M257)=0,"",_xlfn.MINIFS(ENSAYOS!$G$5:$G$3004,ENSAYOS!$C$5:$C$3004,F257,ENSAYOS!$Q$5:$Q$3004,"&gt;0"))</f>
        <v/>
      </c>
      <c r="O257" s="15" t="str">
        <f aca="false">IF(N(M257)=0,"",_xlfn.MAXIFS(ENSAYOS!$G$5:$G$3004,ENSAYOS!$C$5:$C$3004,F257,ENSAYOS!$Q$5:$Q$3004,"&gt;0"))</f>
        <v/>
      </c>
      <c r="P257" s="16" t="str">
        <f aca="false">IF(N(M257)=0,"",AVERAGEIFS(ENSAYOS!$Q$5:$Q$3004,ENSAYOS!$C$5:$C$3004,F257,ENSAYOS!$Q$5:$Q$3004,"&gt;0"))</f>
        <v/>
      </c>
      <c r="Q257" s="16" t="str">
        <f aca="false">IF(N(M257)=0,"",_xlfn.MINIFS(ENSAYOS!$Q$5:$Q$3004,ENSAYOS!$C$5:$C$3004,F257,ENSAYOS!$Q$5:$Q$3004,"&gt;0"))</f>
        <v/>
      </c>
      <c r="R257" s="16" t="str">
        <f aca="false">IF(N(M257)=0,"",_xlfn.MAXIFS(ENSAYOS!$Q$5:$Q$3004,ENSAYOS!$C$5:$C$3004,F257,ENSAYOS!$Q$5:$Q$3004,"&gt;0"))</f>
        <v/>
      </c>
      <c r="S257" s="16" t="str">
        <f aca="false">IF(N(M257)&lt;2,"",SQRT(MAX(0,(SUMIFS(ENSAYOS!$X$5:$X$3004,ENSAYOS!$C$5:$C$3004,F257,ENSAYOS!$Q$5:$Q$3004,"&gt;0")-M257*P257^2)/(M257-1))))</f>
        <v/>
      </c>
      <c r="T257" s="17" t="str">
        <f aca="false">IF(S257="","",S257/P257)</f>
        <v/>
      </c>
      <c r="U257" s="16" t="str">
        <f aca="false">IF(N(M257)=0,"",IF(N257&gt;=CONFIG!$B$27,"",AVERAGEIFS(ENSAYOS!$Q$5:$Q$3004,ENSAYOS!$C$5:$C$3004,F257,ENSAYOS!$Q$5:$Q$3004,"&gt;0",ENSAYOS!$G$5:$G$3004,N257)))</f>
        <v/>
      </c>
      <c r="V257" s="16" t="str">
        <f aca="false">IF(N(M257)=0,"",IF(COUNTIFS(ENSAYOS!$C$5:$C$3004,F257,ENSAYOS!$Q$5:$Q$3004,"&gt;0",ENSAYOS!$G$5:$G$3004,"&gt;="&amp;CONFIG!$B$27)=0,"",AVERAGEIFS(ENSAYOS!$Q$5:$Q$3004,ENSAYOS!$C$5:$C$3004,F257,ENSAYOS!$Q$5:$Q$3004,"&gt;0",ENSAYOS!$G$5:$G$3004,"&gt;="&amp;CONFIG!$B$27)))</f>
        <v/>
      </c>
      <c r="W257" s="18" t="str">
        <f aca="false">IF(AND(U257&lt;&gt;"",V257&lt;&gt;""),U257/V257,"")</f>
        <v/>
      </c>
      <c r="X257" s="18" t="str">
        <f aca="false">IF(U257="","",INDEX('CURVA EDAD'!$E$5:$E$32,MIN(28,MAX(1,N257))))</f>
        <v/>
      </c>
      <c r="Y257" s="16" t="str">
        <f aca="false">IF(V257&lt;&gt;"",V257,IF(U257="","",U257/X257))</f>
        <v/>
      </c>
      <c r="Z257" s="16" t="str">
        <f aca="false">IF(V257&lt;&gt;"",_xlfn.MINIFS(ENSAYOS!$Q$5:$Q$3004,ENSAYOS!$C$5:$C$3004,F257,ENSAYOS!$Q$5:$Q$3004,"&gt;0",ENSAYOS!$G$5:$G$3004,"&gt;="&amp;CONFIG!$B$27),IF(U257="","",_xlfn.MINIFS(ENSAYOS!$Q$5:$Q$3004,ENSAYOS!$C$5:$C$3004,F257,ENSAYOS!$Q$5:$Q$3004,"&gt;0",ENSAYOS!$G$5:$G$3004,N257)/X257))</f>
        <v/>
      </c>
      <c r="AA257" s="16" t="str">
        <f aca="false">IF(D257="","",IFERROR(1/(1/INDEX(CONFIG!$J$5:$J$14,MATCH(D257,CONFIG!$D$5:$D$14,0))),""))</f>
        <v/>
      </c>
      <c r="AB257" s="16" t="str">
        <f aca="false">IF(D257="","",IFERROR(1/(1/INDEX(CONFIG!$K$5:$K$14,MATCH(D257,CONFIG!$D$5:$D$14,0))),""))</f>
        <v/>
      </c>
      <c r="AC257" s="19" t="str">
        <f aca="false">IF(N(M257)=0,"",IF(AA257="","Sin spec",IF(AND(Y257&gt;=AA257,OR(AB257="",Z257&gt;=AB257)),"CUMPLE","NO CUMPLE")&amp;IF(V257=""," (est.)","")))</f>
        <v/>
      </c>
      <c r="AD257" s="20" t="str">
        <f aca="false">IF(F257="","",IF(COUNTIFS(ABSORCION!$C$5:$C$1004,F257,ABSORCION!$I$5:$I$1004,"&gt;0")=0,"",AVERAGEIFS(ABSORCION!$I$5:$I$1004,ABSORCION!$C$5:$C$1004,F257,ABSORCION!$I$5:$I$1004,"&gt;0")))</f>
        <v/>
      </c>
      <c r="AE257" s="20" t="str">
        <f aca="false">IF(F257="","",IF(COUNTIFS(ABSORCION!$C$5:$C$1004,F257,ABSORCION!$I$5:$I$1004,"&gt;0")=0,"",AVERAGEIFS(ABSORCION!$K$5:$K$1004,ABSORCION!$C$5:$C$1004,F257,ABSORCION!$I$5:$I$1004,"&gt;0")))</f>
        <v/>
      </c>
      <c r="AF257" s="20" t="str">
        <f aca="false">IF(AE257="","",IF(AE257&gt;=CONFIG!$E$21,CONFIG!$F$21,IF(AE257&gt;=CONFIG!$E$20,CONFIG!$F$20,CONFIG!$F$19)))</f>
        <v/>
      </c>
      <c r="AG257" s="21" t="str">
        <f aca="false">IF(F257="","",TRIM(IF(N(M257)=0,"Sin ensayos. ","")&amp;IF(AND(N(M257)&gt;0,N(M257)&lt;CONFIG!$B$26),"Menos de "&amp;CONFIG!$B$26&amp;" probetas. ","")&amp;IF(N(T257)&gt;CONFIG!$B$25,"CV alto. ","")&amp;IF(AND(N(AD257)&gt;0,N(AD257)&gt;N(AF257)),"Absorción alta. ","")))</f>
        <v/>
      </c>
      <c r="AH257" s="22" t="str">
        <f aca="false">IF(AND(N(M257)&gt;0,OR(CONTROL!$C$4="TODAS",C257=CONTROL!$C$4),D257=CONTROL!$C$5),MAX($AH$4:AH256)+1,"")</f>
        <v/>
      </c>
      <c r="AI257" s="22" t="str">
        <f aca="false">IF(AH257="","",P257^2)</f>
        <v/>
      </c>
    </row>
    <row r="258" customFormat="false" ht="15" hidden="false" customHeight="false" outlineLevel="0" collapsed="false">
      <c r="A258" s="11" t="str">
        <f aca="false">IF(B258="","",ROW()-4)</f>
        <v/>
      </c>
      <c r="B258" s="12"/>
      <c r="C258" s="13"/>
      <c r="D258" s="13"/>
      <c r="E258" s="13"/>
      <c r="F258" s="14" t="str">
        <f aca="false">IF(OR(B258="",C258="",D258=""),"",IFERROR(INDEX(CONFIG!$E$5:$E$14,MATCH(D258,CONFIG!$D$5:$D$14,0)),"?")&amp;RIGHT("0"&amp;DAY(B258),2)&amp;RIGHT("0"&amp;MONTH(B258),2)&amp;RIGHT(YEAR(B258),2)&amp;C258&amp;IF(E258="","","-"&amp;E258))</f>
        <v/>
      </c>
      <c r="G258" s="13"/>
      <c r="H258" s="13"/>
      <c r="I258" s="13"/>
      <c r="J258" s="13"/>
      <c r="K258" s="13"/>
      <c r="L258" s="13"/>
      <c r="M258" s="11" t="str">
        <f aca="false">IF(F258="","",COUNTIFS(ENSAYOS!$C$5:$C$3004,F258,ENSAYOS!$Q$5:$Q$3004,"&gt;0"))</f>
        <v/>
      </c>
      <c r="N258" s="15" t="str">
        <f aca="false">IF(N(M258)=0,"",_xlfn.MINIFS(ENSAYOS!$G$5:$G$3004,ENSAYOS!$C$5:$C$3004,F258,ENSAYOS!$Q$5:$Q$3004,"&gt;0"))</f>
        <v/>
      </c>
      <c r="O258" s="15" t="str">
        <f aca="false">IF(N(M258)=0,"",_xlfn.MAXIFS(ENSAYOS!$G$5:$G$3004,ENSAYOS!$C$5:$C$3004,F258,ENSAYOS!$Q$5:$Q$3004,"&gt;0"))</f>
        <v/>
      </c>
      <c r="P258" s="16" t="str">
        <f aca="false">IF(N(M258)=0,"",AVERAGEIFS(ENSAYOS!$Q$5:$Q$3004,ENSAYOS!$C$5:$C$3004,F258,ENSAYOS!$Q$5:$Q$3004,"&gt;0"))</f>
        <v/>
      </c>
      <c r="Q258" s="16" t="str">
        <f aca="false">IF(N(M258)=0,"",_xlfn.MINIFS(ENSAYOS!$Q$5:$Q$3004,ENSAYOS!$C$5:$C$3004,F258,ENSAYOS!$Q$5:$Q$3004,"&gt;0"))</f>
        <v/>
      </c>
      <c r="R258" s="16" t="str">
        <f aca="false">IF(N(M258)=0,"",_xlfn.MAXIFS(ENSAYOS!$Q$5:$Q$3004,ENSAYOS!$C$5:$C$3004,F258,ENSAYOS!$Q$5:$Q$3004,"&gt;0"))</f>
        <v/>
      </c>
      <c r="S258" s="16" t="str">
        <f aca="false">IF(N(M258)&lt;2,"",SQRT(MAX(0,(SUMIFS(ENSAYOS!$X$5:$X$3004,ENSAYOS!$C$5:$C$3004,F258,ENSAYOS!$Q$5:$Q$3004,"&gt;0")-M258*P258^2)/(M258-1))))</f>
        <v/>
      </c>
      <c r="T258" s="17" t="str">
        <f aca="false">IF(S258="","",S258/P258)</f>
        <v/>
      </c>
      <c r="U258" s="16" t="str">
        <f aca="false">IF(N(M258)=0,"",IF(N258&gt;=CONFIG!$B$27,"",AVERAGEIFS(ENSAYOS!$Q$5:$Q$3004,ENSAYOS!$C$5:$C$3004,F258,ENSAYOS!$Q$5:$Q$3004,"&gt;0",ENSAYOS!$G$5:$G$3004,N258)))</f>
        <v/>
      </c>
      <c r="V258" s="16" t="str">
        <f aca="false">IF(N(M258)=0,"",IF(COUNTIFS(ENSAYOS!$C$5:$C$3004,F258,ENSAYOS!$Q$5:$Q$3004,"&gt;0",ENSAYOS!$G$5:$G$3004,"&gt;="&amp;CONFIG!$B$27)=0,"",AVERAGEIFS(ENSAYOS!$Q$5:$Q$3004,ENSAYOS!$C$5:$C$3004,F258,ENSAYOS!$Q$5:$Q$3004,"&gt;0",ENSAYOS!$G$5:$G$3004,"&gt;="&amp;CONFIG!$B$27)))</f>
        <v/>
      </c>
      <c r="W258" s="18" t="str">
        <f aca="false">IF(AND(U258&lt;&gt;"",V258&lt;&gt;""),U258/V258,"")</f>
        <v/>
      </c>
      <c r="X258" s="18" t="str">
        <f aca="false">IF(U258="","",INDEX('CURVA EDAD'!$E$5:$E$32,MIN(28,MAX(1,N258))))</f>
        <v/>
      </c>
      <c r="Y258" s="16" t="str">
        <f aca="false">IF(V258&lt;&gt;"",V258,IF(U258="","",U258/X258))</f>
        <v/>
      </c>
      <c r="Z258" s="16" t="str">
        <f aca="false">IF(V258&lt;&gt;"",_xlfn.MINIFS(ENSAYOS!$Q$5:$Q$3004,ENSAYOS!$C$5:$C$3004,F258,ENSAYOS!$Q$5:$Q$3004,"&gt;0",ENSAYOS!$G$5:$G$3004,"&gt;="&amp;CONFIG!$B$27),IF(U258="","",_xlfn.MINIFS(ENSAYOS!$Q$5:$Q$3004,ENSAYOS!$C$5:$C$3004,F258,ENSAYOS!$Q$5:$Q$3004,"&gt;0",ENSAYOS!$G$5:$G$3004,N258)/X258))</f>
        <v/>
      </c>
      <c r="AA258" s="16" t="str">
        <f aca="false">IF(D258="","",IFERROR(1/(1/INDEX(CONFIG!$J$5:$J$14,MATCH(D258,CONFIG!$D$5:$D$14,0))),""))</f>
        <v/>
      </c>
      <c r="AB258" s="16" t="str">
        <f aca="false">IF(D258="","",IFERROR(1/(1/INDEX(CONFIG!$K$5:$K$14,MATCH(D258,CONFIG!$D$5:$D$14,0))),""))</f>
        <v/>
      </c>
      <c r="AC258" s="19" t="str">
        <f aca="false">IF(N(M258)=0,"",IF(AA258="","Sin spec",IF(AND(Y258&gt;=AA258,OR(AB258="",Z258&gt;=AB258)),"CUMPLE","NO CUMPLE")&amp;IF(V258=""," (est.)","")))</f>
        <v/>
      </c>
      <c r="AD258" s="20" t="str">
        <f aca="false">IF(F258="","",IF(COUNTIFS(ABSORCION!$C$5:$C$1004,F258,ABSORCION!$I$5:$I$1004,"&gt;0")=0,"",AVERAGEIFS(ABSORCION!$I$5:$I$1004,ABSORCION!$C$5:$C$1004,F258,ABSORCION!$I$5:$I$1004,"&gt;0")))</f>
        <v/>
      </c>
      <c r="AE258" s="20" t="str">
        <f aca="false">IF(F258="","",IF(COUNTIFS(ABSORCION!$C$5:$C$1004,F258,ABSORCION!$I$5:$I$1004,"&gt;0")=0,"",AVERAGEIFS(ABSORCION!$K$5:$K$1004,ABSORCION!$C$5:$C$1004,F258,ABSORCION!$I$5:$I$1004,"&gt;0")))</f>
        <v/>
      </c>
      <c r="AF258" s="20" t="str">
        <f aca="false">IF(AE258="","",IF(AE258&gt;=CONFIG!$E$21,CONFIG!$F$21,IF(AE258&gt;=CONFIG!$E$20,CONFIG!$F$20,CONFIG!$F$19)))</f>
        <v/>
      </c>
      <c r="AG258" s="21" t="str">
        <f aca="false">IF(F258="","",TRIM(IF(N(M258)=0,"Sin ensayos. ","")&amp;IF(AND(N(M258)&gt;0,N(M258)&lt;CONFIG!$B$26),"Menos de "&amp;CONFIG!$B$26&amp;" probetas. ","")&amp;IF(N(T258)&gt;CONFIG!$B$25,"CV alto. ","")&amp;IF(AND(N(AD258)&gt;0,N(AD258)&gt;N(AF258)),"Absorción alta. ","")))</f>
        <v/>
      </c>
      <c r="AH258" s="22" t="str">
        <f aca="false">IF(AND(N(M258)&gt;0,OR(CONTROL!$C$4="TODAS",C258=CONTROL!$C$4),D258=CONTROL!$C$5),MAX($AH$4:AH257)+1,"")</f>
        <v/>
      </c>
      <c r="AI258" s="22" t="str">
        <f aca="false">IF(AH258="","",P258^2)</f>
        <v/>
      </c>
    </row>
    <row r="259" customFormat="false" ht="15" hidden="false" customHeight="false" outlineLevel="0" collapsed="false">
      <c r="A259" s="11" t="str">
        <f aca="false">IF(B259="","",ROW()-4)</f>
        <v/>
      </c>
      <c r="B259" s="12"/>
      <c r="C259" s="13"/>
      <c r="D259" s="13"/>
      <c r="E259" s="13"/>
      <c r="F259" s="14" t="str">
        <f aca="false">IF(OR(B259="",C259="",D259=""),"",IFERROR(INDEX(CONFIG!$E$5:$E$14,MATCH(D259,CONFIG!$D$5:$D$14,0)),"?")&amp;RIGHT("0"&amp;DAY(B259),2)&amp;RIGHT("0"&amp;MONTH(B259),2)&amp;RIGHT(YEAR(B259),2)&amp;C259&amp;IF(E259="","","-"&amp;E259))</f>
        <v/>
      </c>
      <c r="G259" s="13"/>
      <c r="H259" s="13"/>
      <c r="I259" s="13"/>
      <c r="J259" s="13"/>
      <c r="K259" s="13"/>
      <c r="L259" s="13"/>
      <c r="M259" s="11" t="str">
        <f aca="false">IF(F259="","",COUNTIFS(ENSAYOS!$C$5:$C$3004,F259,ENSAYOS!$Q$5:$Q$3004,"&gt;0"))</f>
        <v/>
      </c>
      <c r="N259" s="15" t="str">
        <f aca="false">IF(N(M259)=0,"",_xlfn.MINIFS(ENSAYOS!$G$5:$G$3004,ENSAYOS!$C$5:$C$3004,F259,ENSAYOS!$Q$5:$Q$3004,"&gt;0"))</f>
        <v/>
      </c>
      <c r="O259" s="15" t="str">
        <f aca="false">IF(N(M259)=0,"",_xlfn.MAXIFS(ENSAYOS!$G$5:$G$3004,ENSAYOS!$C$5:$C$3004,F259,ENSAYOS!$Q$5:$Q$3004,"&gt;0"))</f>
        <v/>
      </c>
      <c r="P259" s="16" t="str">
        <f aca="false">IF(N(M259)=0,"",AVERAGEIFS(ENSAYOS!$Q$5:$Q$3004,ENSAYOS!$C$5:$C$3004,F259,ENSAYOS!$Q$5:$Q$3004,"&gt;0"))</f>
        <v/>
      </c>
      <c r="Q259" s="16" t="str">
        <f aca="false">IF(N(M259)=0,"",_xlfn.MINIFS(ENSAYOS!$Q$5:$Q$3004,ENSAYOS!$C$5:$C$3004,F259,ENSAYOS!$Q$5:$Q$3004,"&gt;0"))</f>
        <v/>
      </c>
      <c r="R259" s="16" t="str">
        <f aca="false">IF(N(M259)=0,"",_xlfn.MAXIFS(ENSAYOS!$Q$5:$Q$3004,ENSAYOS!$C$5:$C$3004,F259,ENSAYOS!$Q$5:$Q$3004,"&gt;0"))</f>
        <v/>
      </c>
      <c r="S259" s="16" t="str">
        <f aca="false">IF(N(M259)&lt;2,"",SQRT(MAX(0,(SUMIFS(ENSAYOS!$X$5:$X$3004,ENSAYOS!$C$5:$C$3004,F259,ENSAYOS!$Q$5:$Q$3004,"&gt;0")-M259*P259^2)/(M259-1))))</f>
        <v/>
      </c>
      <c r="T259" s="17" t="str">
        <f aca="false">IF(S259="","",S259/P259)</f>
        <v/>
      </c>
      <c r="U259" s="16" t="str">
        <f aca="false">IF(N(M259)=0,"",IF(N259&gt;=CONFIG!$B$27,"",AVERAGEIFS(ENSAYOS!$Q$5:$Q$3004,ENSAYOS!$C$5:$C$3004,F259,ENSAYOS!$Q$5:$Q$3004,"&gt;0",ENSAYOS!$G$5:$G$3004,N259)))</f>
        <v/>
      </c>
      <c r="V259" s="16" t="str">
        <f aca="false">IF(N(M259)=0,"",IF(COUNTIFS(ENSAYOS!$C$5:$C$3004,F259,ENSAYOS!$Q$5:$Q$3004,"&gt;0",ENSAYOS!$G$5:$G$3004,"&gt;="&amp;CONFIG!$B$27)=0,"",AVERAGEIFS(ENSAYOS!$Q$5:$Q$3004,ENSAYOS!$C$5:$C$3004,F259,ENSAYOS!$Q$5:$Q$3004,"&gt;0",ENSAYOS!$G$5:$G$3004,"&gt;="&amp;CONFIG!$B$27)))</f>
        <v/>
      </c>
      <c r="W259" s="18" t="str">
        <f aca="false">IF(AND(U259&lt;&gt;"",V259&lt;&gt;""),U259/V259,"")</f>
        <v/>
      </c>
      <c r="X259" s="18" t="str">
        <f aca="false">IF(U259="","",INDEX('CURVA EDAD'!$E$5:$E$32,MIN(28,MAX(1,N259))))</f>
        <v/>
      </c>
      <c r="Y259" s="16" t="str">
        <f aca="false">IF(V259&lt;&gt;"",V259,IF(U259="","",U259/X259))</f>
        <v/>
      </c>
      <c r="Z259" s="16" t="str">
        <f aca="false">IF(V259&lt;&gt;"",_xlfn.MINIFS(ENSAYOS!$Q$5:$Q$3004,ENSAYOS!$C$5:$C$3004,F259,ENSAYOS!$Q$5:$Q$3004,"&gt;0",ENSAYOS!$G$5:$G$3004,"&gt;="&amp;CONFIG!$B$27),IF(U259="","",_xlfn.MINIFS(ENSAYOS!$Q$5:$Q$3004,ENSAYOS!$C$5:$C$3004,F259,ENSAYOS!$Q$5:$Q$3004,"&gt;0",ENSAYOS!$G$5:$G$3004,N259)/X259))</f>
        <v/>
      </c>
      <c r="AA259" s="16" t="str">
        <f aca="false">IF(D259="","",IFERROR(1/(1/INDEX(CONFIG!$J$5:$J$14,MATCH(D259,CONFIG!$D$5:$D$14,0))),""))</f>
        <v/>
      </c>
      <c r="AB259" s="16" t="str">
        <f aca="false">IF(D259="","",IFERROR(1/(1/INDEX(CONFIG!$K$5:$K$14,MATCH(D259,CONFIG!$D$5:$D$14,0))),""))</f>
        <v/>
      </c>
      <c r="AC259" s="19" t="str">
        <f aca="false">IF(N(M259)=0,"",IF(AA259="","Sin spec",IF(AND(Y259&gt;=AA259,OR(AB259="",Z259&gt;=AB259)),"CUMPLE","NO CUMPLE")&amp;IF(V259=""," (est.)","")))</f>
        <v/>
      </c>
      <c r="AD259" s="20" t="str">
        <f aca="false">IF(F259="","",IF(COUNTIFS(ABSORCION!$C$5:$C$1004,F259,ABSORCION!$I$5:$I$1004,"&gt;0")=0,"",AVERAGEIFS(ABSORCION!$I$5:$I$1004,ABSORCION!$C$5:$C$1004,F259,ABSORCION!$I$5:$I$1004,"&gt;0")))</f>
        <v/>
      </c>
      <c r="AE259" s="20" t="str">
        <f aca="false">IF(F259="","",IF(COUNTIFS(ABSORCION!$C$5:$C$1004,F259,ABSORCION!$I$5:$I$1004,"&gt;0")=0,"",AVERAGEIFS(ABSORCION!$K$5:$K$1004,ABSORCION!$C$5:$C$1004,F259,ABSORCION!$I$5:$I$1004,"&gt;0")))</f>
        <v/>
      </c>
      <c r="AF259" s="20" t="str">
        <f aca="false">IF(AE259="","",IF(AE259&gt;=CONFIG!$E$21,CONFIG!$F$21,IF(AE259&gt;=CONFIG!$E$20,CONFIG!$F$20,CONFIG!$F$19)))</f>
        <v/>
      </c>
      <c r="AG259" s="21" t="str">
        <f aca="false">IF(F259="","",TRIM(IF(N(M259)=0,"Sin ensayos. ","")&amp;IF(AND(N(M259)&gt;0,N(M259)&lt;CONFIG!$B$26),"Menos de "&amp;CONFIG!$B$26&amp;" probetas. ","")&amp;IF(N(T259)&gt;CONFIG!$B$25,"CV alto. ","")&amp;IF(AND(N(AD259)&gt;0,N(AD259)&gt;N(AF259)),"Absorción alta. ","")))</f>
        <v/>
      </c>
      <c r="AH259" s="22" t="str">
        <f aca="false">IF(AND(N(M259)&gt;0,OR(CONTROL!$C$4="TODAS",C259=CONTROL!$C$4),D259=CONTROL!$C$5),MAX($AH$4:AH258)+1,"")</f>
        <v/>
      </c>
      <c r="AI259" s="22" t="str">
        <f aca="false">IF(AH259="","",P259^2)</f>
        <v/>
      </c>
    </row>
    <row r="260" customFormat="false" ht="15" hidden="false" customHeight="false" outlineLevel="0" collapsed="false">
      <c r="A260" s="11" t="str">
        <f aca="false">IF(B260="","",ROW()-4)</f>
        <v/>
      </c>
      <c r="B260" s="12"/>
      <c r="C260" s="13"/>
      <c r="D260" s="13"/>
      <c r="E260" s="13"/>
      <c r="F260" s="14" t="str">
        <f aca="false">IF(OR(B260="",C260="",D260=""),"",IFERROR(INDEX(CONFIG!$E$5:$E$14,MATCH(D260,CONFIG!$D$5:$D$14,0)),"?")&amp;RIGHT("0"&amp;DAY(B260),2)&amp;RIGHT("0"&amp;MONTH(B260),2)&amp;RIGHT(YEAR(B260),2)&amp;C260&amp;IF(E260="","","-"&amp;E260))</f>
        <v/>
      </c>
      <c r="G260" s="13"/>
      <c r="H260" s="13"/>
      <c r="I260" s="13"/>
      <c r="J260" s="13"/>
      <c r="K260" s="13"/>
      <c r="L260" s="13"/>
      <c r="M260" s="11" t="str">
        <f aca="false">IF(F260="","",COUNTIFS(ENSAYOS!$C$5:$C$3004,F260,ENSAYOS!$Q$5:$Q$3004,"&gt;0"))</f>
        <v/>
      </c>
      <c r="N260" s="15" t="str">
        <f aca="false">IF(N(M260)=0,"",_xlfn.MINIFS(ENSAYOS!$G$5:$G$3004,ENSAYOS!$C$5:$C$3004,F260,ENSAYOS!$Q$5:$Q$3004,"&gt;0"))</f>
        <v/>
      </c>
      <c r="O260" s="15" t="str">
        <f aca="false">IF(N(M260)=0,"",_xlfn.MAXIFS(ENSAYOS!$G$5:$G$3004,ENSAYOS!$C$5:$C$3004,F260,ENSAYOS!$Q$5:$Q$3004,"&gt;0"))</f>
        <v/>
      </c>
      <c r="P260" s="16" t="str">
        <f aca="false">IF(N(M260)=0,"",AVERAGEIFS(ENSAYOS!$Q$5:$Q$3004,ENSAYOS!$C$5:$C$3004,F260,ENSAYOS!$Q$5:$Q$3004,"&gt;0"))</f>
        <v/>
      </c>
      <c r="Q260" s="16" t="str">
        <f aca="false">IF(N(M260)=0,"",_xlfn.MINIFS(ENSAYOS!$Q$5:$Q$3004,ENSAYOS!$C$5:$C$3004,F260,ENSAYOS!$Q$5:$Q$3004,"&gt;0"))</f>
        <v/>
      </c>
      <c r="R260" s="16" t="str">
        <f aca="false">IF(N(M260)=0,"",_xlfn.MAXIFS(ENSAYOS!$Q$5:$Q$3004,ENSAYOS!$C$5:$C$3004,F260,ENSAYOS!$Q$5:$Q$3004,"&gt;0"))</f>
        <v/>
      </c>
      <c r="S260" s="16" t="str">
        <f aca="false">IF(N(M260)&lt;2,"",SQRT(MAX(0,(SUMIFS(ENSAYOS!$X$5:$X$3004,ENSAYOS!$C$5:$C$3004,F260,ENSAYOS!$Q$5:$Q$3004,"&gt;0")-M260*P260^2)/(M260-1))))</f>
        <v/>
      </c>
      <c r="T260" s="17" t="str">
        <f aca="false">IF(S260="","",S260/P260)</f>
        <v/>
      </c>
      <c r="U260" s="16" t="str">
        <f aca="false">IF(N(M260)=0,"",IF(N260&gt;=CONFIG!$B$27,"",AVERAGEIFS(ENSAYOS!$Q$5:$Q$3004,ENSAYOS!$C$5:$C$3004,F260,ENSAYOS!$Q$5:$Q$3004,"&gt;0",ENSAYOS!$G$5:$G$3004,N260)))</f>
        <v/>
      </c>
      <c r="V260" s="16" t="str">
        <f aca="false">IF(N(M260)=0,"",IF(COUNTIFS(ENSAYOS!$C$5:$C$3004,F260,ENSAYOS!$Q$5:$Q$3004,"&gt;0",ENSAYOS!$G$5:$G$3004,"&gt;="&amp;CONFIG!$B$27)=0,"",AVERAGEIFS(ENSAYOS!$Q$5:$Q$3004,ENSAYOS!$C$5:$C$3004,F260,ENSAYOS!$Q$5:$Q$3004,"&gt;0",ENSAYOS!$G$5:$G$3004,"&gt;="&amp;CONFIG!$B$27)))</f>
        <v/>
      </c>
      <c r="W260" s="18" t="str">
        <f aca="false">IF(AND(U260&lt;&gt;"",V260&lt;&gt;""),U260/V260,"")</f>
        <v/>
      </c>
      <c r="X260" s="18" t="str">
        <f aca="false">IF(U260="","",INDEX('CURVA EDAD'!$E$5:$E$32,MIN(28,MAX(1,N260))))</f>
        <v/>
      </c>
      <c r="Y260" s="16" t="str">
        <f aca="false">IF(V260&lt;&gt;"",V260,IF(U260="","",U260/X260))</f>
        <v/>
      </c>
      <c r="Z260" s="16" t="str">
        <f aca="false">IF(V260&lt;&gt;"",_xlfn.MINIFS(ENSAYOS!$Q$5:$Q$3004,ENSAYOS!$C$5:$C$3004,F260,ENSAYOS!$Q$5:$Q$3004,"&gt;0",ENSAYOS!$G$5:$G$3004,"&gt;="&amp;CONFIG!$B$27),IF(U260="","",_xlfn.MINIFS(ENSAYOS!$Q$5:$Q$3004,ENSAYOS!$C$5:$C$3004,F260,ENSAYOS!$Q$5:$Q$3004,"&gt;0",ENSAYOS!$G$5:$G$3004,N260)/X260))</f>
        <v/>
      </c>
      <c r="AA260" s="16" t="str">
        <f aca="false">IF(D260="","",IFERROR(1/(1/INDEX(CONFIG!$J$5:$J$14,MATCH(D260,CONFIG!$D$5:$D$14,0))),""))</f>
        <v/>
      </c>
      <c r="AB260" s="16" t="str">
        <f aca="false">IF(D260="","",IFERROR(1/(1/INDEX(CONFIG!$K$5:$K$14,MATCH(D260,CONFIG!$D$5:$D$14,0))),""))</f>
        <v/>
      </c>
      <c r="AC260" s="19" t="str">
        <f aca="false">IF(N(M260)=0,"",IF(AA260="","Sin spec",IF(AND(Y260&gt;=AA260,OR(AB260="",Z260&gt;=AB260)),"CUMPLE","NO CUMPLE")&amp;IF(V260=""," (est.)","")))</f>
        <v/>
      </c>
      <c r="AD260" s="20" t="str">
        <f aca="false">IF(F260="","",IF(COUNTIFS(ABSORCION!$C$5:$C$1004,F260,ABSORCION!$I$5:$I$1004,"&gt;0")=0,"",AVERAGEIFS(ABSORCION!$I$5:$I$1004,ABSORCION!$C$5:$C$1004,F260,ABSORCION!$I$5:$I$1004,"&gt;0")))</f>
        <v/>
      </c>
      <c r="AE260" s="20" t="str">
        <f aca="false">IF(F260="","",IF(COUNTIFS(ABSORCION!$C$5:$C$1004,F260,ABSORCION!$I$5:$I$1004,"&gt;0")=0,"",AVERAGEIFS(ABSORCION!$K$5:$K$1004,ABSORCION!$C$5:$C$1004,F260,ABSORCION!$I$5:$I$1004,"&gt;0")))</f>
        <v/>
      </c>
      <c r="AF260" s="20" t="str">
        <f aca="false">IF(AE260="","",IF(AE260&gt;=CONFIG!$E$21,CONFIG!$F$21,IF(AE260&gt;=CONFIG!$E$20,CONFIG!$F$20,CONFIG!$F$19)))</f>
        <v/>
      </c>
      <c r="AG260" s="21" t="str">
        <f aca="false">IF(F260="","",TRIM(IF(N(M260)=0,"Sin ensayos. ","")&amp;IF(AND(N(M260)&gt;0,N(M260)&lt;CONFIG!$B$26),"Menos de "&amp;CONFIG!$B$26&amp;" probetas. ","")&amp;IF(N(T260)&gt;CONFIG!$B$25,"CV alto. ","")&amp;IF(AND(N(AD260)&gt;0,N(AD260)&gt;N(AF260)),"Absorción alta. ","")))</f>
        <v/>
      </c>
      <c r="AH260" s="22" t="str">
        <f aca="false">IF(AND(N(M260)&gt;0,OR(CONTROL!$C$4="TODAS",C260=CONTROL!$C$4),D260=CONTROL!$C$5),MAX($AH$4:AH259)+1,"")</f>
        <v/>
      </c>
      <c r="AI260" s="22" t="str">
        <f aca="false">IF(AH260="","",P260^2)</f>
        <v/>
      </c>
    </row>
    <row r="261" customFormat="false" ht="15" hidden="false" customHeight="false" outlineLevel="0" collapsed="false">
      <c r="A261" s="11" t="str">
        <f aca="false">IF(B261="","",ROW()-4)</f>
        <v/>
      </c>
      <c r="B261" s="12"/>
      <c r="C261" s="13"/>
      <c r="D261" s="13"/>
      <c r="E261" s="13"/>
      <c r="F261" s="14" t="str">
        <f aca="false">IF(OR(B261="",C261="",D261=""),"",IFERROR(INDEX(CONFIG!$E$5:$E$14,MATCH(D261,CONFIG!$D$5:$D$14,0)),"?")&amp;RIGHT("0"&amp;DAY(B261),2)&amp;RIGHT("0"&amp;MONTH(B261),2)&amp;RIGHT(YEAR(B261),2)&amp;C261&amp;IF(E261="","","-"&amp;E261))</f>
        <v/>
      </c>
      <c r="G261" s="13"/>
      <c r="H261" s="13"/>
      <c r="I261" s="13"/>
      <c r="J261" s="13"/>
      <c r="K261" s="13"/>
      <c r="L261" s="13"/>
      <c r="M261" s="11" t="str">
        <f aca="false">IF(F261="","",COUNTIFS(ENSAYOS!$C$5:$C$3004,F261,ENSAYOS!$Q$5:$Q$3004,"&gt;0"))</f>
        <v/>
      </c>
      <c r="N261" s="15" t="str">
        <f aca="false">IF(N(M261)=0,"",_xlfn.MINIFS(ENSAYOS!$G$5:$G$3004,ENSAYOS!$C$5:$C$3004,F261,ENSAYOS!$Q$5:$Q$3004,"&gt;0"))</f>
        <v/>
      </c>
      <c r="O261" s="15" t="str">
        <f aca="false">IF(N(M261)=0,"",_xlfn.MAXIFS(ENSAYOS!$G$5:$G$3004,ENSAYOS!$C$5:$C$3004,F261,ENSAYOS!$Q$5:$Q$3004,"&gt;0"))</f>
        <v/>
      </c>
      <c r="P261" s="16" t="str">
        <f aca="false">IF(N(M261)=0,"",AVERAGEIFS(ENSAYOS!$Q$5:$Q$3004,ENSAYOS!$C$5:$C$3004,F261,ENSAYOS!$Q$5:$Q$3004,"&gt;0"))</f>
        <v/>
      </c>
      <c r="Q261" s="16" t="str">
        <f aca="false">IF(N(M261)=0,"",_xlfn.MINIFS(ENSAYOS!$Q$5:$Q$3004,ENSAYOS!$C$5:$C$3004,F261,ENSAYOS!$Q$5:$Q$3004,"&gt;0"))</f>
        <v/>
      </c>
      <c r="R261" s="16" t="str">
        <f aca="false">IF(N(M261)=0,"",_xlfn.MAXIFS(ENSAYOS!$Q$5:$Q$3004,ENSAYOS!$C$5:$C$3004,F261,ENSAYOS!$Q$5:$Q$3004,"&gt;0"))</f>
        <v/>
      </c>
      <c r="S261" s="16" t="str">
        <f aca="false">IF(N(M261)&lt;2,"",SQRT(MAX(0,(SUMIFS(ENSAYOS!$X$5:$X$3004,ENSAYOS!$C$5:$C$3004,F261,ENSAYOS!$Q$5:$Q$3004,"&gt;0")-M261*P261^2)/(M261-1))))</f>
        <v/>
      </c>
      <c r="T261" s="17" t="str">
        <f aca="false">IF(S261="","",S261/P261)</f>
        <v/>
      </c>
      <c r="U261" s="16" t="str">
        <f aca="false">IF(N(M261)=0,"",IF(N261&gt;=CONFIG!$B$27,"",AVERAGEIFS(ENSAYOS!$Q$5:$Q$3004,ENSAYOS!$C$5:$C$3004,F261,ENSAYOS!$Q$5:$Q$3004,"&gt;0",ENSAYOS!$G$5:$G$3004,N261)))</f>
        <v/>
      </c>
      <c r="V261" s="16" t="str">
        <f aca="false">IF(N(M261)=0,"",IF(COUNTIFS(ENSAYOS!$C$5:$C$3004,F261,ENSAYOS!$Q$5:$Q$3004,"&gt;0",ENSAYOS!$G$5:$G$3004,"&gt;="&amp;CONFIG!$B$27)=0,"",AVERAGEIFS(ENSAYOS!$Q$5:$Q$3004,ENSAYOS!$C$5:$C$3004,F261,ENSAYOS!$Q$5:$Q$3004,"&gt;0",ENSAYOS!$G$5:$G$3004,"&gt;="&amp;CONFIG!$B$27)))</f>
        <v/>
      </c>
      <c r="W261" s="18" t="str">
        <f aca="false">IF(AND(U261&lt;&gt;"",V261&lt;&gt;""),U261/V261,"")</f>
        <v/>
      </c>
      <c r="X261" s="18" t="str">
        <f aca="false">IF(U261="","",INDEX('CURVA EDAD'!$E$5:$E$32,MIN(28,MAX(1,N261))))</f>
        <v/>
      </c>
      <c r="Y261" s="16" t="str">
        <f aca="false">IF(V261&lt;&gt;"",V261,IF(U261="","",U261/X261))</f>
        <v/>
      </c>
      <c r="Z261" s="16" t="str">
        <f aca="false">IF(V261&lt;&gt;"",_xlfn.MINIFS(ENSAYOS!$Q$5:$Q$3004,ENSAYOS!$C$5:$C$3004,F261,ENSAYOS!$Q$5:$Q$3004,"&gt;0",ENSAYOS!$G$5:$G$3004,"&gt;="&amp;CONFIG!$B$27),IF(U261="","",_xlfn.MINIFS(ENSAYOS!$Q$5:$Q$3004,ENSAYOS!$C$5:$C$3004,F261,ENSAYOS!$Q$5:$Q$3004,"&gt;0",ENSAYOS!$G$5:$G$3004,N261)/X261))</f>
        <v/>
      </c>
      <c r="AA261" s="16" t="str">
        <f aca="false">IF(D261="","",IFERROR(1/(1/INDEX(CONFIG!$J$5:$J$14,MATCH(D261,CONFIG!$D$5:$D$14,0))),""))</f>
        <v/>
      </c>
      <c r="AB261" s="16" t="str">
        <f aca="false">IF(D261="","",IFERROR(1/(1/INDEX(CONFIG!$K$5:$K$14,MATCH(D261,CONFIG!$D$5:$D$14,0))),""))</f>
        <v/>
      </c>
      <c r="AC261" s="19" t="str">
        <f aca="false">IF(N(M261)=0,"",IF(AA261="","Sin spec",IF(AND(Y261&gt;=AA261,OR(AB261="",Z261&gt;=AB261)),"CUMPLE","NO CUMPLE")&amp;IF(V261=""," (est.)","")))</f>
        <v/>
      </c>
      <c r="AD261" s="20" t="str">
        <f aca="false">IF(F261="","",IF(COUNTIFS(ABSORCION!$C$5:$C$1004,F261,ABSORCION!$I$5:$I$1004,"&gt;0")=0,"",AVERAGEIFS(ABSORCION!$I$5:$I$1004,ABSORCION!$C$5:$C$1004,F261,ABSORCION!$I$5:$I$1004,"&gt;0")))</f>
        <v/>
      </c>
      <c r="AE261" s="20" t="str">
        <f aca="false">IF(F261="","",IF(COUNTIFS(ABSORCION!$C$5:$C$1004,F261,ABSORCION!$I$5:$I$1004,"&gt;0")=0,"",AVERAGEIFS(ABSORCION!$K$5:$K$1004,ABSORCION!$C$5:$C$1004,F261,ABSORCION!$I$5:$I$1004,"&gt;0")))</f>
        <v/>
      </c>
      <c r="AF261" s="20" t="str">
        <f aca="false">IF(AE261="","",IF(AE261&gt;=CONFIG!$E$21,CONFIG!$F$21,IF(AE261&gt;=CONFIG!$E$20,CONFIG!$F$20,CONFIG!$F$19)))</f>
        <v/>
      </c>
      <c r="AG261" s="21" t="str">
        <f aca="false">IF(F261="","",TRIM(IF(N(M261)=0,"Sin ensayos. ","")&amp;IF(AND(N(M261)&gt;0,N(M261)&lt;CONFIG!$B$26),"Menos de "&amp;CONFIG!$B$26&amp;" probetas. ","")&amp;IF(N(T261)&gt;CONFIG!$B$25,"CV alto. ","")&amp;IF(AND(N(AD261)&gt;0,N(AD261)&gt;N(AF261)),"Absorción alta. ","")))</f>
        <v/>
      </c>
      <c r="AH261" s="22" t="str">
        <f aca="false">IF(AND(N(M261)&gt;0,OR(CONTROL!$C$4="TODAS",C261=CONTROL!$C$4),D261=CONTROL!$C$5),MAX($AH$4:AH260)+1,"")</f>
        <v/>
      </c>
      <c r="AI261" s="22" t="str">
        <f aca="false">IF(AH261="","",P261^2)</f>
        <v/>
      </c>
    </row>
    <row r="262" customFormat="false" ht="15" hidden="false" customHeight="false" outlineLevel="0" collapsed="false">
      <c r="A262" s="11" t="str">
        <f aca="false">IF(B262="","",ROW()-4)</f>
        <v/>
      </c>
      <c r="B262" s="12"/>
      <c r="C262" s="13"/>
      <c r="D262" s="13"/>
      <c r="E262" s="13"/>
      <c r="F262" s="14" t="str">
        <f aca="false">IF(OR(B262="",C262="",D262=""),"",IFERROR(INDEX(CONFIG!$E$5:$E$14,MATCH(D262,CONFIG!$D$5:$D$14,0)),"?")&amp;RIGHT("0"&amp;DAY(B262),2)&amp;RIGHT("0"&amp;MONTH(B262),2)&amp;RIGHT(YEAR(B262),2)&amp;C262&amp;IF(E262="","","-"&amp;E262))</f>
        <v/>
      </c>
      <c r="G262" s="13"/>
      <c r="H262" s="13"/>
      <c r="I262" s="13"/>
      <c r="J262" s="13"/>
      <c r="K262" s="13"/>
      <c r="L262" s="13"/>
      <c r="M262" s="11" t="str">
        <f aca="false">IF(F262="","",COUNTIFS(ENSAYOS!$C$5:$C$3004,F262,ENSAYOS!$Q$5:$Q$3004,"&gt;0"))</f>
        <v/>
      </c>
      <c r="N262" s="15" t="str">
        <f aca="false">IF(N(M262)=0,"",_xlfn.MINIFS(ENSAYOS!$G$5:$G$3004,ENSAYOS!$C$5:$C$3004,F262,ENSAYOS!$Q$5:$Q$3004,"&gt;0"))</f>
        <v/>
      </c>
      <c r="O262" s="15" t="str">
        <f aca="false">IF(N(M262)=0,"",_xlfn.MAXIFS(ENSAYOS!$G$5:$G$3004,ENSAYOS!$C$5:$C$3004,F262,ENSAYOS!$Q$5:$Q$3004,"&gt;0"))</f>
        <v/>
      </c>
      <c r="P262" s="16" t="str">
        <f aca="false">IF(N(M262)=0,"",AVERAGEIFS(ENSAYOS!$Q$5:$Q$3004,ENSAYOS!$C$5:$C$3004,F262,ENSAYOS!$Q$5:$Q$3004,"&gt;0"))</f>
        <v/>
      </c>
      <c r="Q262" s="16" t="str">
        <f aca="false">IF(N(M262)=0,"",_xlfn.MINIFS(ENSAYOS!$Q$5:$Q$3004,ENSAYOS!$C$5:$C$3004,F262,ENSAYOS!$Q$5:$Q$3004,"&gt;0"))</f>
        <v/>
      </c>
      <c r="R262" s="16" t="str">
        <f aca="false">IF(N(M262)=0,"",_xlfn.MAXIFS(ENSAYOS!$Q$5:$Q$3004,ENSAYOS!$C$5:$C$3004,F262,ENSAYOS!$Q$5:$Q$3004,"&gt;0"))</f>
        <v/>
      </c>
      <c r="S262" s="16" t="str">
        <f aca="false">IF(N(M262)&lt;2,"",SQRT(MAX(0,(SUMIFS(ENSAYOS!$X$5:$X$3004,ENSAYOS!$C$5:$C$3004,F262,ENSAYOS!$Q$5:$Q$3004,"&gt;0")-M262*P262^2)/(M262-1))))</f>
        <v/>
      </c>
      <c r="T262" s="17" t="str">
        <f aca="false">IF(S262="","",S262/P262)</f>
        <v/>
      </c>
      <c r="U262" s="16" t="str">
        <f aca="false">IF(N(M262)=0,"",IF(N262&gt;=CONFIG!$B$27,"",AVERAGEIFS(ENSAYOS!$Q$5:$Q$3004,ENSAYOS!$C$5:$C$3004,F262,ENSAYOS!$Q$5:$Q$3004,"&gt;0",ENSAYOS!$G$5:$G$3004,N262)))</f>
        <v/>
      </c>
      <c r="V262" s="16" t="str">
        <f aca="false">IF(N(M262)=0,"",IF(COUNTIFS(ENSAYOS!$C$5:$C$3004,F262,ENSAYOS!$Q$5:$Q$3004,"&gt;0",ENSAYOS!$G$5:$G$3004,"&gt;="&amp;CONFIG!$B$27)=0,"",AVERAGEIFS(ENSAYOS!$Q$5:$Q$3004,ENSAYOS!$C$5:$C$3004,F262,ENSAYOS!$Q$5:$Q$3004,"&gt;0",ENSAYOS!$G$5:$G$3004,"&gt;="&amp;CONFIG!$B$27)))</f>
        <v/>
      </c>
      <c r="W262" s="18" t="str">
        <f aca="false">IF(AND(U262&lt;&gt;"",V262&lt;&gt;""),U262/V262,"")</f>
        <v/>
      </c>
      <c r="X262" s="18" t="str">
        <f aca="false">IF(U262="","",INDEX('CURVA EDAD'!$E$5:$E$32,MIN(28,MAX(1,N262))))</f>
        <v/>
      </c>
      <c r="Y262" s="16" t="str">
        <f aca="false">IF(V262&lt;&gt;"",V262,IF(U262="","",U262/X262))</f>
        <v/>
      </c>
      <c r="Z262" s="16" t="str">
        <f aca="false">IF(V262&lt;&gt;"",_xlfn.MINIFS(ENSAYOS!$Q$5:$Q$3004,ENSAYOS!$C$5:$C$3004,F262,ENSAYOS!$Q$5:$Q$3004,"&gt;0",ENSAYOS!$G$5:$G$3004,"&gt;="&amp;CONFIG!$B$27),IF(U262="","",_xlfn.MINIFS(ENSAYOS!$Q$5:$Q$3004,ENSAYOS!$C$5:$C$3004,F262,ENSAYOS!$Q$5:$Q$3004,"&gt;0",ENSAYOS!$G$5:$G$3004,N262)/X262))</f>
        <v/>
      </c>
      <c r="AA262" s="16" t="str">
        <f aca="false">IF(D262="","",IFERROR(1/(1/INDEX(CONFIG!$J$5:$J$14,MATCH(D262,CONFIG!$D$5:$D$14,0))),""))</f>
        <v/>
      </c>
      <c r="AB262" s="16" t="str">
        <f aca="false">IF(D262="","",IFERROR(1/(1/INDEX(CONFIG!$K$5:$K$14,MATCH(D262,CONFIG!$D$5:$D$14,0))),""))</f>
        <v/>
      </c>
      <c r="AC262" s="19" t="str">
        <f aca="false">IF(N(M262)=0,"",IF(AA262="","Sin spec",IF(AND(Y262&gt;=AA262,OR(AB262="",Z262&gt;=AB262)),"CUMPLE","NO CUMPLE")&amp;IF(V262=""," (est.)","")))</f>
        <v/>
      </c>
      <c r="AD262" s="20" t="str">
        <f aca="false">IF(F262="","",IF(COUNTIFS(ABSORCION!$C$5:$C$1004,F262,ABSORCION!$I$5:$I$1004,"&gt;0")=0,"",AVERAGEIFS(ABSORCION!$I$5:$I$1004,ABSORCION!$C$5:$C$1004,F262,ABSORCION!$I$5:$I$1004,"&gt;0")))</f>
        <v/>
      </c>
      <c r="AE262" s="20" t="str">
        <f aca="false">IF(F262="","",IF(COUNTIFS(ABSORCION!$C$5:$C$1004,F262,ABSORCION!$I$5:$I$1004,"&gt;0")=0,"",AVERAGEIFS(ABSORCION!$K$5:$K$1004,ABSORCION!$C$5:$C$1004,F262,ABSORCION!$I$5:$I$1004,"&gt;0")))</f>
        <v/>
      </c>
      <c r="AF262" s="20" t="str">
        <f aca="false">IF(AE262="","",IF(AE262&gt;=CONFIG!$E$21,CONFIG!$F$21,IF(AE262&gt;=CONFIG!$E$20,CONFIG!$F$20,CONFIG!$F$19)))</f>
        <v/>
      </c>
      <c r="AG262" s="21" t="str">
        <f aca="false">IF(F262="","",TRIM(IF(N(M262)=0,"Sin ensayos. ","")&amp;IF(AND(N(M262)&gt;0,N(M262)&lt;CONFIG!$B$26),"Menos de "&amp;CONFIG!$B$26&amp;" probetas. ","")&amp;IF(N(T262)&gt;CONFIG!$B$25,"CV alto. ","")&amp;IF(AND(N(AD262)&gt;0,N(AD262)&gt;N(AF262)),"Absorción alta. ","")))</f>
        <v/>
      </c>
      <c r="AH262" s="22" t="str">
        <f aca="false">IF(AND(N(M262)&gt;0,OR(CONTROL!$C$4="TODAS",C262=CONTROL!$C$4),D262=CONTROL!$C$5),MAX($AH$4:AH261)+1,"")</f>
        <v/>
      </c>
      <c r="AI262" s="22" t="str">
        <f aca="false">IF(AH262="","",P262^2)</f>
        <v/>
      </c>
    </row>
    <row r="263" customFormat="false" ht="15" hidden="false" customHeight="false" outlineLevel="0" collapsed="false">
      <c r="A263" s="11" t="str">
        <f aca="false">IF(B263="","",ROW()-4)</f>
        <v/>
      </c>
      <c r="B263" s="12"/>
      <c r="C263" s="13"/>
      <c r="D263" s="13"/>
      <c r="E263" s="13"/>
      <c r="F263" s="14" t="str">
        <f aca="false">IF(OR(B263="",C263="",D263=""),"",IFERROR(INDEX(CONFIG!$E$5:$E$14,MATCH(D263,CONFIG!$D$5:$D$14,0)),"?")&amp;RIGHT("0"&amp;DAY(B263),2)&amp;RIGHT("0"&amp;MONTH(B263),2)&amp;RIGHT(YEAR(B263),2)&amp;C263&amp;IF(E263="","","-"&amp;E263))</f>
        <v/>
      </c>
      <c r="G263" s="13"/>
      <c r="H263" s="13"/>
      <c r="I263" s="13"/>
      <c r="J263" s="13"/>
      <c r="K263" s="13"/>
      <c r="L263" s="13"/>
      <c r="M263" s="11" t="str">
        <f aca="false">IF(F263="","",COUNTIFS(ENSAYOS!$C$5:$C$3004,F263,ENSAYOS!$Q$5:$Q$3004,"&gt;0"))</f>
        <v/>
      </c>
      <c r="N263" s="15" t="str">
        <f aca="false">IF(N(M263)=0,"",_xlfn.MINIFS(ENSAYOS!$G$5:$G$3004,ENSAYOS!$C$5:$C$3004,F263,ENSAYOS!$Q$5:$Q$3004,"&gt;0"))</f>
        <v/>
      </c>
      <c r="O263" s="15" t="str">
        <f aca="false">IF(N(M263)=0,"",_xlfn.MAXIFS(ENSAYOS!$G$5:$G$3004,ENSAYOS!$C$5:$C$3004,F263,ENSAYOS!$Q$5:$Q$3004,"&gt;0"))</f>
        <v/>
      </c>
      <c r="P263" s="16" t="str">
        <f aca="false">IF(N(M263)=0,"",AVERAGEIFS(ENSAYOS!$Q$5:$Q$3004,ENSAYOS!$C$5:$C$3004,F263,ENSAYOS!$Q$5:$Q$3004,"&gt;0"))</f>
        <v/>
      </c>
      <c r="Q263" s="16" t="str">
        <f aca="false">IF(N(M263)=0,"",_xlfn.MINIFS(ENSAYOS!$Q$5:$Q$3004,ENSAYOS!$C$5:$C$3004,F263,ENSAYOS!$Q$5:$Q$3004,"&gt;0"))</f>
        <v/>
      </c>
      <c r="R263" s="16" t="str">
        <f aca="false">IF(N(M263)=0,"",_xlfn.MAXIFS(ENSAYOS!$Q$5:$Q$3004,ENSAYOS!$C$5:$C$3004,F263,ENSAYOS!$Q$5:$Q$3004,"&gt;0"))</f>
        <v/>
      </c>
      <c r="S263" s="16" t="str">
        <f aca="false">IF(N(M263)&lt;2,"",SQRT(MAX(0,(SUMIFS(ENSAYOS!$X$5:$X$3004,ENSAYOS!$C$5:$C$3004,F263,ENSAYOS!$Q$5:$Q$3004,"&gt;0")-M263*P263^2)/(M263-1))))</f>
        <v/>
      </c>
      <c r="T263" s="17" t="str">
        <f aca="false">IF(S263="","",S263/P263)</f>
        <v/>
      </c>
      <c r="U263" s="16" t="str">
        <f aca="false">IF(N(M263)=0,"",IF(N263&gt;=CONFIG!$B$27,"",AVERAGEIFS(ENSAYOS!$Q$5:$Q$3004,ENSAYOS!$C$5:$C$3004,F263,ENSAYOS!$Q$5:$Q$3004,"&gt;0",ENSAYOS!$G$5:$G$3004,N263)))</f>
        <v/>
      </c>
      <c r="V263" s="16" t="str">
        <f aca="false">IF(N(M263)=0,"",IF(COUNTIFS(ENSAYOS!$C$5:$C$3004,F263,ENSAYOS!$Q$5:$Q$3004,"&gt;0",ENSAYOS!$G$5:$G$3004,"&gt;="&amp;CONFIG!$B$27)=0,"",AVERAGEIFS(ENSAYOS!$Q$5:$Q$3004,ENSAYOS!$C$5:$C$3004,F263,ENSAYOS!$Q$5:$Q$3004,"&gt;0",ENSAYOS!$G$5:$G$3004,"&gt;="&amp;CONFIG!$B$27)))</f>
        <v/>
      </c>
      <c r="W263" s="18" t="str">
        <f aca="false">IF(AND(U263&lt;&gt;"",V263&lt;&gt;""),U263/V263,"")</f>
        <v/>
      </c>
      <c r="X263" s="18" t="str">
        <f aca="false">IF(U263="","",INDEX('CURVA EDAD'!$E$5:$E$32,MIN(28,MAX(1,N263))))</f>
        <v/>
      </c>
      <c r="Y263" s="16" t="str">
        <f aca="false">IF(V263&lt;&gt;"",V263,IF(U263="","",U263/X263))</f>
        <v/>
      </c>
      <c r="Z263" s="16" t="str">
        <f aca="false">IF(V263&lt;&gt;"",_xlfn.MINIFS(ENSAYOS!$Q$5:$Q$3004,ENSAYOS!$C$5:$C$3004,F263,ENSAYOS!$Q$5:$Q$3004,"&gt;0",ENSAYOS!$G$5:$G$3004,"&gt;="&amp;CONFIG!$B$27),IF(U263="","",_xlfn.MINIFS(ENSAYOS!$Q$5:$Q$3004,ENSAYOS!$C$5:$C$3004,F263,ENSAYOS!$Q$5:$Q$3004,"&gt;0",ENSAYOS!$G$5:$G$3004,N263)/X263))</f>
        <v/>
      </c>
      <c r="AA263" s="16" t="str">
        <f aca="false">IF(D263="","",IFERROR(1/(1/INDEX(CONFIG!$J$5:$J$14,MATCH(D263,CONFIG!$D$5:$D$14,0))),""))</f>
        <v/>
      </c>
      <c r="AB263" s="16" t="str">
        <f aca="false">IF(D263="","",IFERROR(1/(1/INDEX(CONFIG!$K$5:$K$14,MATCH(D263,CONFIG!$D$5:$D$14,0))),""))</f>
        <v/>
      </c>
      <c r="AC263" s="19" t="str">
        <f aca="false">IF(N(M263)=0,"",IF(AA263="","Sin spec",IF(AND(Y263&gt;=AA263,OR(AB263="",Z263&gt;=AB263)),"CUMPLE","NO CUMPLE")&amp;IF(V263=""," (est.)","")))</f>
        <v/>
      </c>
      <c r="AD263" s="20" t="str">
        <f aca="false">IF(F263="","",IF(COUNTIFS(ABSORCION!$C$5:$C$1004,F263,ABSORCION!$I$5:$I$1004,"&gt;0")=0,"",AVERAGEIFS(ABSORCION!$I$5:$I$1004,ABSORCION!$C$5:$C$1004,F263,ABSORCION!$I$5:$I$1004,"&gt;0")))</f>
        <v/>
      </c>
      <c r="AE263" s="20" t="str">
        <f aca="false">IF(F263="","",IF(COUNTIFS(ABSORCION!$C$5:$C$1004,F263,ABSORCION!$I$5:$I$1004,"&gt;0")=0,"",AVERAGEIFS(ABSORCION!$K$5:$K$1004,ABSORCION!$C$5:$C$1004,F263,ABSORCION!$I$5:$I$1004,"&gt;0")))</f>
        <v/>
      </c>
      <c r="AF263" s="20" t="str">
        <f aca="false">IF(AE263="","",IF(AE263&gt;=CONFIG!$E$21,CONFIG!$F$21,IF(AE263&gt;=CONFIG!$E$20,CONFIG!$F$20,CONFIG!$F$19)))</f>
        <v/>
      </c>
      <c r="AG263" s="21" t="str">
        <f aca="false">IF(F263="","",TRIM(IF(N(M263)=0,"Sin ensayos. ","")&amp;IF(AND(N(M263)&gt;0,N(M263)&lt;CONFIG!$B$26),"Menos de "&amp;CONFIG!$B$26&amp;" probetas. ","")&amp;IF(N(T263)&gt;CONFIG!$B$25,"CV alto. ","")&amp;IF(AND(N(AD263)&gt;0,N(AD263)&gt;N(AF263)),"Absorción alta. ","")))</f>
        <v/>
      </c>
      <c r="AH263" s="22" t="str">
        <f aca="false">IF(AND(N(M263)&gt;0,OR(CONTROL!$C$4="TODAS",C263=CONTROL!$C$4),D263=CONTROL!$C$5),MAX($AH$4:AH262)+1,"")</f>
        <v/>
      </c>
      <c r="AI263" s="22" t="str">
        <f aca="false">IF(AH263="","",P263^2)</f>
        <v/>
      </c>
    </row>
    <row r="264" customFormat="false" ht="15" hidden="false" customHeight="false" outlineLevel="0" collapsed="false">
      <c r="A264" s="11" t="str">
        <f aca="false">IF(B264="","",ROW()-4)</f>
        <v/>
      </c>
      <c r="B264" s="12"/>
      <c r="C264" s="13"/>
      <c r="D264" s="13"/>
      <c r="E264" s="13"/>
      <c r="F264" s="14" t="str">
        <f aca="false">IF(OR(B264="",C264="",D264=""),"",IFERROR(INDEX(CONFIG!$E$5:$E$14,MATCH(D264,CONFIG!$D$5:$D$14,0)),"?")&amp;RIGHT("0"&amp;DAY(B264),2)&amp;RIGHT("0"&amp;MONTH(B264),2)&amp;RIGHT(YEAR(B264),2)&amp;C264&amp;IF(E264="","","-"&amp;E264))</f>
        <v/>
      </c>
      <c r="G264" s="13"/>
      <c r="H264" s="13"/>
      <c r="I264" s="13"/>
      <c r="J264" s="13"/>
      <c r="K264" s="13"/>
      <c r="L264" s="13"/>
      <c r="M264" s="11" t="str">
        <f aca="false">IF(F264="","",COUNTIFS(ENSAYOS!$C$5:$C$3004,F264,ENSAYOS!$Q$5:$Q$3004,"&gt;0"))</f>
        <v/>
      </c>
      <c r="N264" s="15" t="str">
        <f aca="false">IF(N(M264)=0,"",_xlfn.MINIFS(ENSAYOS!$G$5:$G$3004,ENSAYOS!$C$5:$C$3004,F264,ENSAYOS!$Q$5:$Q$3004,"&gt;0"))</f>
        <v/>
      </c>
      <c r="O264" s="15" t="str">
        <f aca="false">IF(N(M264)=0,"",_xlfn.MAXIFS(ENSAYOS!$G$5:$G$3004,ENSAYOS!$C$5:$C$3004,F264,ENSAYOS!$Q$5:$Q$3004,"&gt;0"))</f>
        <v/>
      </c>
      <c r="P264" s="16" t="str">
        <f aca="false">IF(N(M264)=0,"",AVERAGEIFS(ENSAYOS!$Q$5:$Q$3004,ENSAYOS!$C$5:$C$3004,F264,ENSAYOS!$Q$5:$Q$3004,"&gt;0"))</f>
        <v/>
      </c>
      <c r="Q264" s="16" t="str">
        <f aca="false">IF(N(M264)=0,"",_xlfn.MINIFS(ENSAYOS!$Q$5:$Q$3004,ENSAYOS!$C$5:$C$3004,F264,ENSAYOS!$Q$5:$Q$3004,"&gt;0"))</f>
        <v/>
      </c>
      <c r="R264" s="16" t="str">
        <f aca="false">IF(N(M264)=0,"",_xlfn.MAXIFS(ENSAYOS!$Q$5:$Q$3004,ENSAYOS!$C$5:$C$3004,F264,ENSAYOS!$Q$5:$Q$3004,"&gt;0"))</f>
        <v/>
      </c>
      <c r="S264" s="16" t="str">
        <f aca="false">IF(N(M264)&lt;2,"",SQRT(MAX(0,(SUMIFS(ENSAYOS!$X$5:$X$3004,ENSAYOS!$C$5:$C$3004,F264,ENSAYOS!$Q$5:$Q$3004,"&gt;0")-M264*P264^2)/(M264-1))))</f>
        <v/>
      </c>
      <c r="T264" s="17" t="str">
        <f aca="false">IF(S264="","",S264/P264)</f>
        <v/>
      </c>
      <c r="U264" s="16" t="str">
        <f aca="false">IF(N(M264)=0,"",IF(N264&gt;=CONFIG!$B$27,"",AVERAGEIFS(ENSAYOS!$Q$5:$Q$3004,ENSAYOS!$C$5:$C$3004,F264,ENSAYOS!$Q$5:$Q$3004,"&gt;0",ENSAYOS!$G$5:$G$3004,N264)))</f>
        <v/>
      </c>
      <c r="V264" s="16" t="str">
        <f aca="false">IF(N(M264)=0,"",IF(COUNTIFS(ENSAYOS!$C$5:$C$3004,F264,ENSAYOS!$Q$5:$Q$3004,"&gt;0",ENSAYOS!$G$5:$G$3004,"&gt;="&amp;CONFIG!$B$27)=0,"",AVERAGEIFS(ENSAYOS!$Q$5:$Q$3004,ENSAYOS!$C$5:$C$3004,F264,ENSAYOS!$Q$5:$Q$3004,"&gt;0",ENSAYOS!$G$5:$G$3004,"&gt;="&amp;CONFIG!$B$27)))</f>
        <v/>
      </c>
      <c r="W264" s="18" t="str">
        <f aca="false">IF(AND(U264&lt;&gt;"",V264&lt;&gt;""),U264/V264,"")</f>
        <v/>
      </c>
      <c r="X264" s="18" t="str">
        <f aca="false">IF(U264="","",INDEX('CURVA EDAD'!$E$5:$E$32,MIN(28,MAX(1,N264))))</f>
        <v/>
      </c>
      <c r="Y264" s="16" t="str">
        <f aca="false">IF(V264&lt;&gt;"",V264,IF(U264="","",U264/X264))</f>
        <v/>
      </c>
      <c r="Z264" s="16" t="str">
        <f aca="false">IF(V264&lt;&gt;"",_xlfn.MINIFS(ENSAYOS!$Q$5:$Q$3004,ENSAYOS!$C$5:$C$3004,F264,ENSAYOS!$Q$5:$Q$3004,"&gt;0",ENSAYOS!$G$5:$G$3004,"&gt;="&amp;CONFIG!$B$27),IF(U264="","",_xlfn.MINIFS(ENSAYOS!$Q$5:$Q$3004,ENSAYOS!$C$5:$C$3004,F264,ENSAYOS!$Q$5:$Q$3004,"&gt;0",ENSAYOS!$G$5:$G$3004,N264)/X264))</f>
        <v/>
      </c>
      <c r="AA264" s="16" t="str">
        <f aca="false">IF(D264="","",IFERROR(1/(1/INDEX(CONFIG!$J$5:$J$14,MATCH(D264,CONFIG!$D$5:$D$14,0))),""))</f>
        <v/>
      </c>
      <c r="AB264" s="16" t="str">
        <f aca="false">IF(D264="","",IFERROR(1/(1/INDEX(CONFIG!$K$5:$K$14,MATCH(D264,CONFIG!$D$5:$D$14,0))),""))</f>
        <v/>
      </c>
      <c r="AC264" s="19" t="str">
        <f aca="false">IF(N(M264)=0,"",IF(AA264="","Sin spec",IF(AND(Y264&gt;=AA264,OR(AB264="",Z264&gt;=AB264)),"CUMPLE","NO CUMPLE")&amp;IF(V264=""," (est.)","")))</f>
        <v/>
      </c>
      <c r="AD264" s="20" t="str">
        <f aca="false">IF(F264="","",IF(COUNTIFS(ABSORCION!$C$5:$C$1004,F264,ABSORCION!$I$5:$I$1004,"&gt;0")=0,"",AVERAGEIFS(ABSORCION!$I$5:$I$1004,ABSORCION!$C$5:$C$1004,F264,ABSORCION!$I$5:$I$1004,"&gt;0")))</f>
        <v/>
      </c>
      <c r="AE264" s="20" t="str">
        <f aca="false">IF(F264="","",IF(COUNTIFS(ABSORCION!$C$5:$C$1004,F264,ABSORCION!$I$5:$I$1004,"&gt;0")=0,"",AVERAGEIFS(ABSORCION!$K$5:$K$1004,ABSORCION!$C$5:$C$1004,F264,ABSORCION!$I$5:$I$1004,"&gt;0")))</f>
        <v/>
      </c>
      <c r="AF264" s="20" t="str">
        <f aca="false">IF(AE264="","",IF(AE264&gt;=CONFIG!$E$21,CONFIG!$F$21,IF(AE264&gt;=CONFIG!$E$20,CONFIG!$F$20,CONFIG!$F$19)))</f>
        <v/>
      </c>
      <c r="AG264" s="21" t="str">
        <f aca="false">IF(F264="","",TRIM(IF(N(M264)=0,"Sin ensayos. ","")&amp;IF(AND(N(M264)&gt;0,N(M264)&lt;CONFIG!$B$26),"Menos de "&amp;CONFIG!$B$26&amp;" probetas. ","")&amp;IF(N(T264)&gt;CONFIG!$B$25,"CV alto. ","")&amp;IF(AND(N(AD264)&gt;0,N(AD264)&gt;N(AF264)),"Absorción alta. ","")))</f>
        <v/>
      </c>
      <c r="AH264" s="22" t="str">
        <f aca="false">IF(AND(N(M264)&gt;0,OR(CONTROL!$C$4="TODAS",C264=CONTROL!$C$4),D264=CONTROL!$C$5),MAX($AH$4:AH263)+1,"")</f>
        <v/>
      </c>
      <c r="AI264" s="22" t="str">
        <f aca="false">IF(AH264="","",P264^2)</f>
        <v/>
      </c>
    </row>
    <row r="265" customFormat="false" ht="15" hidden="false" customHeight="false" outlineLevel="0" collapsed="false">
      <c r="A265" s="11" t="str">
        <f aca="false">IF(B265="","",ROW()-4)</f>
        <v/>
      </c>
      <c r="B265" s="12"/>
      <c r="C265" s="13"/>
      <c r="D265" s="13"/>
      <c r="E265" s="13"/>
      <c r="F265" s="14" t="str">
        <f aca="false">IF(OR(B265="",C265="",D265=""),"",IFERROR(INDEX(CONFIG!$E$5:$E$14,MATCH(D265,CONFIG!$D$5:$D$14,0)),"?")&amp;RIGHT("0"&amp;DAY(B265),2)&amp;RIGHT("0"&amp;MONTH(B265),2)&amp;RIGHT(YEAR(B265),2)&amp;C265&amp;IF(E265="","","-"&amp;E265))</f>
        <v/>
      </c>
      <c r="G265" s="13"/>
      <c r="H265" s="13"/>
      <c r="I265" s="13"/>
      <c r="J265" s="13"/>
      <c r="K265" s="13"/>
      <c r="L265" s="13"/>
      <c r="M265" s="11" t="str">
        <f aca="false">IF(F265="","",COUNTIFS(ENSAYOS!$C$5:$C$3004,F265,ENSAYOS!$Q$5:$Q$3004,"&gt;0"))</f>
        <v/>
      </c>
      <c r="N265" s="15" t="str">
        <f aca="false">IF(N(M265)=0,"",_xlfn.MINIFS(ENSAYOS!$G$5:$G$3004,ENSAYOS!$C$5:$C$3004,F265,ENSAYOS!$Q$5:$Q$3004,"&gt;0"))</f>
        <v/>
      </c>
      <c r="O265" s="15" t="str">
        <f aca="false">IF(N(M265)=0,"",_xlfn.MAXIFS(ENSAYOS!$G$5:$G$3004,ENSAYOS!$C$5:$C$3004,F265,ENSAYOS!$Q$5:$Q$3004,"&gt;0"))</f>
        <v/>
      </c>
      <c r="P265" s="16" t="str">
        <f aca="false">IF(N(M265)=0,"",AVERAGEIFS(ENSAYOS!$Q$5:$Q$3004,ENSAYOS!$C$5:$C$3004,F265,ENSAYOS!$Q$5:$Q$3004,"&gt;0"))</f>
        <v/>
      </c>
      <c r="Q265" s="16" t="str">
        <f aca="false">IF(N(M265)=0,"",_xlfn.MINIFS(ENSAYOS!$Q$5:$Q$3004,ENSAYOS!$C$5:$C$3004,F265,ENSAYOS!$Q$5:$Q$3004,"&gt;0"))</f>
        <v/>
      </c>
      <c r="R265" s="16" t="str">
        <f aca="false">IF(N(M265)=0,"",_xlfn.MAXIFS(ENSAYOS!$Q$5:$Q$3004,ENSAYOS!$C$5:$C$3004,F265,ENSAYOS!$Q$5:$Q$3004,"&gt;0"))</f>
        <v/>
      </c>
      <c r="S265" s="16" t="str">
        <f aca="false">IF(N(M265)&lt;2,"",SQRT(MAX(0,(SUMIFS(ENSAYOS!$X$5:$X$3004,ENSAYOS!$C$5:$C$3004,F265,ENSAYOS!$Q$5:$Q$3004,"&gt;0")-M265*P265^2)/(M265-1))))</f>
        <v/>
      </c>
      <c r="T265" s="17" t="str">
        <f aca="false">IF(S265="","",S265/P265)</f>
        <v/>
      </c>
      <c r="U265" s="16" t="str">
        <f aca="false">IF(N(M265)=0,"",IF(N265&gt;=CONFIG!$B$27,"",AVERAGEIFS(ENSAYOS!$Q$5:$Q$3004,ENSAYOS!$C$5:$C$3004,F265,ENSAYOS!$Q$5:$Q$3004,"&gt;0",ENSAYOS!$G$5:$G$3004,N265)))</f>
        <v/>
      </c>
      <c r="V265" s="16" t="str">
        <f aca="false">IF(N(M265)=0,"",IF(COUNTIFS(ENSAYOS!$C$5:$C$3004,F265,ENSAYOS!$Q$5:$Q$3004,"&gt;0",ENSAYOS!$G$5:$G$3004,"&gt;="&amp;CONFIG!$B$27)=0,"",AVERAGEIFS(ENSAYOS!$Q$5:$Q$3004,ENSAYOS!$C$5:$C$3004,F265,ENSAYOS!$Q$5:$Q$3004,"&gt;0",ENSAYOS!$G$5:$G$3004,"&gt;="&amp;CONFIG!$B$27)))</f>
        <v/>
      </c>
      <c r="W265" s="18" t="str">
        <f aca="false">IF(AND(U265&lt;&gt;"",V265&lt;&gt;""),U265/V265,"")</f>
        <v/>
      </c>
      <c r="X265" s="18" t="str">
        <f aca="false">IF(U265="","",INDEX('CURVA EDAD'!$E$5:$E$32,MIN(28,MAX(1,N265))))</f>
        <v/>
      </c>
      <c r="Y265" s="16" t="str">
        <f aca="false">IF(V265&lt;&gt;"",V265,IF(U265="","",U265/X265))</f>
        <v/>
      </c>
      <c r="Z265" s="16" t="str">
        <f aca="false">IF(V265&lt;&gt;"",_xlfn.MINIFS(ENSAYOS!$Q$5:$Q$3004,ENSAYOS!$C$5:$C$3004,F265,ENSAYOS!$Q$5:$Q$3004,"&gt;0",ENSAYOS!$G$5:$G$3004,"&gt;="&amp;CONFIG!$B$27),IF(U265="","",_xlfn.MINIFS(ENSAYOS!$Q$5:$Q$3004,ENSAYOS!$C$5:$C$3004,F265,ENSAYOS!$Q$5:$Q$3004,"&gt;0",ENSAYOS!$G$5:$G$3004,N265)/X265))</f>
        <v/>
      </c>
      <c r="AA265" s="16" t="str">
        <f aca="false">IF(D265="","",IFERROR(1/(1/INDEX(CONFIG!$J$5:$J$14,MATCH(D265,CONFIG!$D$5:$D$14,0))),""))</f>
        <v/>
      </c>
      <c r="AB265" s="16" t="str">
        <f aca="false">IF(D265="","",IFERROR(1/(1/INDEX(CONFIG!$K$5:$K$14,MATCH(D265,CONFIG!$D$5:$D$14,0))),""))</f>
        <v/>
      </c>
      <c r="AC265" s="19" t="str">
        <f aca="false">IF(N(M265)=0,"",IF(AA265="","Sin spec",IF(AND(Y265&gt;=AA265,OR(AB265="",Z265&gt;=AB265)),"CUMPLE","NO CUMPLE")&amp;IF(V265=""," (est.)","")))</f>
        <v/>
      </c>
      <c r="AD265" s="20" t="str">
        <f aca="false">IF(F265="","",IF(COUNTIFS(ABSORCION!$C$5:$C$1004,F265,ABSORCION!$I$5:$I$1004,"&gt;0")=0,"",AVERAGEIFS(ABSORCION!$I$5:$I$1004,ABSORCION!$C$5:$C$1004,F265,ABSORCION!$I$5:$I$1004,"&gt;0")))</f>
        <v/>
      </c>
      <c r="AE265" s="20" t="str">
        <f aca="false">IF(F265="","",IF(COUNTIFS(ABSORCION!$C$5:$C$1004,F265,ABSORCION!$I$5:$I$1004,"&gt;0")=0,"",AVERAGEIFS(ABSORCION!$K$5:$K$1004,ABSORCION!$C$5:$C$1004,F265,ABSORCION!$I$5:$I$1004,"&gt;0")))</f>
        <v/>
      </c>
      <c r="AF265" s="20" t="str">
        <f aca="false">IF(AE265="","",IF(AE265&gt;=CONFIG!$E$21,CONFIG!$F$21,IF(AE265&gt;=CONFIG!$E$20,CONFIG!$F$20,CONFIG!$F$19)))</f>
        <v/>
      </c>
      <c r="AG265" s="21" t="str">
        <f aca="false">IF(F265="","",TRIM(IF(N(M265)=0,"Sin ensayos. ","")&amp;IF(AND(N(M265)&gt;0,N(M265)&lt;CONFIG!$B$26),"Menos de "&amp;CONFIG!$B$26&amp;" probetas. ","")&amp;IF(N(T265)&gt;CONFIG!$B$25,"CV alto. ","")&amp;IF(AND(N(AD265)&gt;0,N(AD265)&gt;N(AF265)),"Absorción alta. ","")))</f>
        <v/>
      </c>
      <c r="AH265" s="22" t="str">
        <f aca="false">IF(AND(N(M265)&gt;0,OR(CONTROL!$C$4="TODAS",C265=CONTROL!$C$4),D265=CONTROL!$C$5),MAX($AH$4:AH264)+1,"")</f>
        <v/>
      </c>
      <c r="AI265" s="22" t="str">
        <f aca="false">IF(AH265="","",P265^2)</f>
        <v/>
      </c>
    </row>
    <row r="266" customFormat="false" ht="15" hidden="false" customHeight="false" outlineLevel="0" collapsed="false">
      <c r="A266" s="11" t="str">
        <f aca="false">IF(B266="","",ROW()-4)</f>
        <v/>
      </c>
      <c r="B266" s="12"/>
      <c r="C266" s="13"/>
      <c r="D266" s="13"/>
      <c r="E266" s="13"/>
      <c r="F266" s="14" t="str">
        <f aca="false">IF(OR(B266="",C266="",D266=""),"",IFERROR(INDEX(CONFIG!$E$5:$E$14,MATCH(D266,CONFIG!$D$5:$D$14,0)),"?")&amp;RIGHT("0"&amp;DAY(B266),2)&amp;RIGHT("0"&amp;MONTH(B266),2)&amp;RIGHT(YEAR(B266),2)&amp;C266&amp;IF(E266="","","-"&amp;E266))</f>
        <v/>
      </c>
      <c r="G266" s="13"/>
      <c r="H266" s="13"/>
      <c r="I266" s="13"/>
      <c r="J266" s="13"/>
      <c r="K266" s="13"/>
      <c r="L266" s="13"/>
      <c r="M266" s="11" t="str">
        <f aca="false">IF(F266="","",COUNTIFS(ENSAYOS!$C$5:$C$3004,F266,ENSAYOS!$Q$5:$Q$3004,"&gt;0"))</f>
        <v/>
      </c>
      <c r="N266" s="15" t="str">
        <f aca="false">IF(N(M266)=0,"",_xlfn.MINIFS(ENSAYOS!$G$5:$G$3004,ENSAYOS!$C$5:$C$3004,F266,ENSAYOS!$Q$5:$Q$3004,"&gt;0"))</f>
        <v/>
      </c>
      <c r="O266" s="15" t="str">
        <f aca="false">IF(N(M266)=0,"",_xlfn.MAXIFS(ENSAYOS!$G$5:$G$3004,ENSAYOS!$C$5:$C$3004,F266,ENSAYOS!$Q$5:$Q$3004,"&gt;0"))</f>
        <v/>
      </c>
      <c r="P266" s="16" t="str">
        <f aca="false">IF(N(M266)=0,"",AVERAGEIFS(ENSAYOS!$Q$5:$Q$3004,ENSAYOS!$C$5:$C$3004,F266,ENSAYOS!$Q$5:$Q$3004,"&gt;0"))</f>
        <v/>
      </c>
      <c r="Q266" s="16" t="str">
        <f aca="false">IF(N(M266)=0,"",_xlfn.MINIFS(ENSAYOS!$Q$5:$Q$3004,ENSAYOS!$C$5:$C$3004,F266,ENSAYOS!$Q$5:$Q$3004,"&gt;0"))</f>
        <v/>
      </c>
      <c r="R266" s="16" t="str">
        <f aca="false">IF(N(M266)=0,"",_xlfn.MAXIFS(ENSAYOS!$Q$5:$Q$3004,ENSAYOS!$C$5:$C$3004,F266,ENSAYOS!$Q$5:$Q$3004,"&gt;0"))</f>
        <v/>
      </c>
      <c r="S266" s="16" t="str">
        <f aca="false">IF(N(M266)&lt;2,"",SQRT(MAX(0,(SUMIFS(ENSAYOS!$X$5:$X$3004,ENSAYOS!$C$5:$C$3004,F266,ENSAYOS!$Q$5:$Q$3004,"&gt;0")-M266*P266^2)/(M266-1))))</f>
        <v/>
      </c>
      <c r="T266" s="17" t="str">
        <f aca="false">IF(S266="","",S266/P266)</f>
        <v/>
      </c>
      <c r="U266" s="16" t="str">
        <f aca="false">IF(N(M266)=0,"",IF(N266&gt;=CONFIG!$B$27,"",AVERAGEIFS(ENSAYOS!$Q$5:$Q$3004,ENSAYOS!$C$5:$C$3004,F266,ENSAYOS!$Q$5:$Q$3004,"&gt;0",ENSAYOS!$G$5:$G$3004,N266)))</f>
        <v/>
      </c>
      <c r="V266" s="16" t="str">
        <f aca="false">IF(N(M266)=0,"",IF(COUNTIFS(ENSAYOS!$C$5:$C$3004,F266,ENSAYOS!$Q$5:$Q$3004,"&gt;0",ENSAYOS!$G$5:$G$3004,"&gt;="&amp;CONFIG!$B$27)=0,"",AVERAGEIFS(ENSAYOS!$Q$5:$Q$3004,ENSAYOS!$C$5:$C$3004,F266,ENSAYOS!$Q$5:$Q$3004,"&gt;0",ENSAYOS!$G$5:$G$3004,"&gt;="&amp;CONFIG!$B$27)))</f>
        <v/>
      </c>
      <c r="W266" s="18" t="str">
        <f aca="false">IF(AND(U266&lt;&gt;"",V266&lt;&gt;""),U266/V266,"")</f>
        <v/>
      </c>
      <c r="X266" s="18" t="str">
        <f aca="false">IF(U266="","",INDEX('CURVA EDAD'!$E$5:$E$32,MIN(28,MAX(1,N266))))</f>
        <v/>
      </c>
      <c r="Y266" s="16" t="str">
        <f aca="false">IF(V266&lt;&gt;"",V266,IF(U266="","",U266/X266))</f>
        <v/>
      </c>
      <c r="Z266" s="16" t="str">
        <f aca="false">IF(V266&lt;&gt;"",_xlfn.MINIFS(ENSAYOS!$Q$5:$Q$3004,ENSAYOS!$C$5:$C$3004,F266,ENSAYOS!$Q$5:$Q$3004,"&gt;0",ENSAYOS!$G$5:$G$3004,"&gt;="&amp;CONFIG!$B$27),IF(U266="","",_xlfn.MINIFS(ENSAYOS!$Q$5:$Q$3004,ENSAYOS!$C$5:$C$3004,F266,ENSAYOS!$Q$5:$Q$3004,"&gt;0",ENSAYOS!$G$5:$G$3004,N266)/X266))</f>
        <v/>
      </c>
      <c r="AA266" s="16" t="str">
        <f aca="false">IF(D266="","",IFERROR(1/(1/INDEX(CONFIG!$J$5:$J$14,MATCH(D266,CONFIG!$D$5:$D$14,0))),""))</f>
        <v/>
      </c>
      <c r="AB266" s="16" t="str">
        <f aca="false">IF(D266="","",IFERROR(1/(1/INDEX(CONFIG!$K$5:$K$14,MATCH(D266,CONFIG!$D$5:$D$14,0))),""))</f>
        <v/>
      </c>
      <c r="AC266" s="19" t="str">
        <f aca="false">IF(N(M266)=0,"",IF(AA266="","Sin spec",IF(AND(Y266&gt;=AA266,OR(AB266="",Z266&gt;=AB266)),"CUMPLE","NO CUMPLE")&amp;IF(V266=""," (est.)","")))</f>
        <v/>
      </c>
      <c r="AD266" s="20" t="str">
        <f aca="false">IF(F266="","",IF(COUNTIFS(ABSORCION!$C$5:$C$1004,F266,ABSORCION!$I$5:$I$1004,"&gt;0")=0,"",AVERAGEIFS(ABSORCION!$I$5:$I$1004,ABSORCION!$C$5:$C$1004,F266,ABSORCION!$I$5:$I$1004,"&gt;0")))</f>
        <v/>
      </c>
      <c r="AE266" s="20" t="str">
        <f aca="false">IF(F266="","",IF(COUNTIFS(ABSORCION!$C$5:$C$1004,F266,ABSORCION!$I$5:$I$1004,"&gt;0")=0,"",AVERAGEIFS(ABSORCION!$K$5:$K$1004,ABSORCION!$C$5:$C$1004,F266,ABSORCION!$I$5:$I$1004,"&gt;0")))</f>
        <v/>
      </c>
      <c r="AF266" s="20" t="str">
        <f aca="false">IF(AE266="","",IF(AE266&gt;=CONFIG!$E$21,CONFIG!$F$21,IF(AE266&gt;=CONFIG!$E$20,CONFIG!$F$20,CONFIG!$F$19)))</f>
        <v/>
      </c>
      <c r="AG266" s="21" t="str">
        <f aca="false">IF(F266="","",TRIM(IF(N(M266)=0,"Sin ensayos. ","")&amp;IF(AND(N(M266)&gt;0,N(M266)&lt;CONFIG!$B$26),"Menos de "&amp;CONFIG!$B$26&amp;" probetas. ","")&amp;IF(N(T266)&gt;CONFIG!$B$25,"CV alto. ","")&amp;IF(AND(N(AD266)&gt;0,N(AD266)&gt;N(AF266)),"Absorción alta. ","")))</f>
        <v/>
      </c>
      <c r="AH266" s="22" t="str">
        <f aca="false">IF(AND(N(M266)&gt;0,OR(CONTROL!$C$4="TODAS",C266=CONTROL!$C$4),D266=CONTROL!$C$5),MAX($AH$4:AH265)+1,"")</f>
        <v/>
      </c>
      <c r="AI266" s="22" t="str">
        <f aca="false">IF(AH266="","",P266^2)</f>
        <v/>
      </c>
    </row>
    <row r="267" customFormat="false" ht="15" hidden="false" customHeight="false" outlineLevel="0" collapsed="false">
      <c r="A267" s="11" t="str">
        <f aca="false">IF(B267="","",ROW()-4)</f>
        <v/>
      </c>
      <c r="B267" s="12"/>
      <c r="C267" s="13"/>
      <c r="D267" s="13"/>
      <c r="E267" s="13"/>
      <c r="F267" s="14" t="str">
        <f aca="false">IF(OR(B267="",C267="",D267=""),"",IFERROR(INDEX(CONFIG!$E$5:$E$14,MATCH(D267,CONFIG!$D$5:$D$14,0)),"?")&amp;RIGHT("0"&amp;DAY(B267),2)&amp;RIGHT("0"&amp;MONTH(B267),2)&amp;RIGHT(YEAR(B267),2)&amp;C267&amp;IF(E267="","","-"&amp;E267))</f>
        <v/>
      </c>
      <c r="G267" s="13"/>
      <c r="H267" s="13"/>
      <c r="I267" s="13"/>
      <c r="J267" s="13"/>
      <c r="K267" s="13"/>
      <c r="L267" s="13"/>
      <c r="M267" s="11" t="str">
        <f aca="false">IF(F267="","",COUNTIFS(ENSAYOS!$C$5:$C$3004,F267,ENSAYOS!$Q$5:$Q$3004,"&gt;0"))</f>
        <v/>
      </c>
      <c r="N267" s="15" t="str">
        <f aca="false">IF(N(M267)=0,"",_xlfn.MINIFS(ENSAYOS!$G$5:$G$3004,ENSAYOS!$C$5:$C$3004,F267,ENSAYOS!$Q$5:$Q$3004,"&gt;0"))</f>
        <v/>
      </c>
      <c r="O267" s="15" t="str">
        <f aca="false">IF(N(M267)=0,"",_xlfn.MAXIFS(ENSAYOS!$G$5:$G$3004,ENSAYOS!$C$5:$C$3004,F267,ENSAYOS!$Q$5:$Q$3004,"&gt;0"))</f>
        <v/>
      </c>
      <c r="P267" s="16" t="str">
        <f aca="false">IF(N(M267)=0,"",AVERAGEIFS(ENSAYOS!$Q$5:$Q$3004,ENSAYOS!$C$5:$C$3004,F267,ENSAYOS!$Q$5:$Q$3004,"&gt;0"))</f>
        <v/>
      </c>
      <c r="Q267" s="16" t="str">
        <f aca="false">IF(N(M267)=0,"",_xlfn.MINIFS(ENSAYOS!$Q$5:$Q$3004,ENSAYOS!$C$5:$C$3004,F267,ENSAYOS!$Q$5:$Q$3004,"&gt;0"))</f>
        <v/>
      </c>
      <c r="R267" s="16" t="str">
        <f aca="false">IF(N(M267)=0,"",_xlfn.MAXIFS(ENSAYOS!$Q$5:$Q$3004,ENSAYOS!$C$5:$C$3004,F267,ENSAYOS!$Q$5:$Q$3004,"&gt;0"))</f>
        <v/>
      </c>
      <c r="S267" s="16" t="str">
        <f aca="false">IF(N(M267)&lt;2,"",SQRT(MAX(0,(SUMIFS(ENSAYOS!$X$5:$X$3004,ENSAYOS!$C$5:$C$3004,F267,ENSAYOS!$Q$5:$Q$3004,"&gt;0")-M267*P267^2)/(M267-1))))</f>
        <v/>
      </c>
      <c r="T267" s="17" t="str">
        <f aca="false">IF(S267="","",S267/P267)</f>
        <v/>
      </c>
      <c r="U267" s="16" t="str">
        <f aca="false">IF(N(M267)=0,"",IF(N267&gt;=CONFIG!$B$27,"",AVERAGEIFS(ENSAYOS!$Q$5:$Q$3004,ENSAYOS!$C$5:$C$3004,F267,ENSAYOS!$Q$5:$Q$3004,"&gt;0",ENSAYOS!$G$5:$G$3004,N267)))</f>
        <v/>
      </c>
      <c r="V267" s="16" t="str">
        <f aca="false">IF(N(M267)=0,"",IF(COUNTIFS(ENSAYOS!$C$5:$C$3004,F267,ENSAYOS!$Q$5:$Q$3004,"&gt;0",ENSAYOS!$G$5:$G$3004,"&gt;="&amp;CONFIG!$B$27)=0,"",AVERAGEIFS(ENSAYOS!$Q$5:$Q$3004,ENSAYOS!$C$5:$C$3004,F267,ENSAYOS!$Q$5:$Q$3004,"&gt;0",ENSAYOS!$G$5:$G$3004,"&gt;="&amp;CONFIG!$B$27)))</f>
        <v/>
      </c>
      <c r="W267" s="18" t="str">
        <f aca="false">IF(AND(U267&lt;&gt;"",V267&lt;&gt;""),U267/V267,"")</f>
        <v/>
      </c>
      <c r="X267" s="18" t="str">
        <f aca="false">IF(U267="","",INDEX('CURVA EDAD'!$E$5:$E$32,MIN(28,MAX(1,N267))))</f>
        <v/>
      </c>
      <c r="Y267" s="16" t="str">
        <f aca="false">IF(V267&lt;&gt;"",V267,IF(U267="","",U267/X267))</f>
        <v/>
      </c>
      <c r="Z267" s="16" t="str">
        <f aca="false">IF(V267&lt;&gt;"",_xlfn.MINIFS(ENSAYOS!$Q$5:$Q$3004,ENSAYOS!$C$5:$C$3004,F267,ENSAYOS!$Q$5:$Q$3004,"&gt;0",ENSAYOS!$G$5:$G$3004,"&gt;="&amp;CONFIG!$B$27),IF(U267="","",_xlfn.MINIFS(ENSAYOS!$Q$5:$Q$3004,ENSAYOS!$C$5:$C$3004,F267,ENSAYOS!$Q$5:$Q$3004,"&gt;0",ENSAYOS!$G$5:$G$3004,N267)/X267))</f>
        <v/>
      </c>
      <c r="AA267" s="16" t="str">
        <f aca="false">IF(D267="","",IFERROR(1/(1/INDEX(CONFIG!$J$5:$J$14,MATCH(D267,CONFIG!$D$5:$D$14,0))),""))</f>
        <v/>
      </c>
      <c r="AB267" s="16" t="str">
        <f aca="false">IF(D267="","",IFERROR(1/(1/INDEX(CONFIG!$K$5:$K$14,MATCH(D267,CONFIG!$D$5:$D$14,0))),""))</f>
        <v/>
      </c>
      <c r="AC267" s="19" t="str">
        <f aca="false">IF(N(M267)=0,"",IF(AA267="","Sin spec",IF(AND(Y267&gt;=AA267,OR(AB267="",Z267&gt;=AB267)),"CUMPLE","NO CUMPLE")&amp;IF(V267=""," (est.)","")))</f>
        <v/>
      </c>
      <c r="AD267" s="20" t="str">
        <f aca="false">IF(F267="","",IF(COUNTIFS(ABSORCION!$C$5:$C$1004,F267,ABSORCION!$I$5:$I$1004,"&gt;0")=0,"",AVERAGEIFS(ABSORCION!$I$5:$I$1004,ABSORCION!$C$5:$C$1004,F267,ABSORCION!$I$5:$I$1004,"&gt;0")))</f>
        <v/>
      </c>
      <c r="AE267" s="20" t="str">
        <f aca="false">IF(F267="","",IF(COUNTIFS(ABSORCION!$C$5:$C$1004,F267,ABSORCION!$I$5:$I$1004,"&gt;0")=0,"",AVERAGEIFS(ABSORCION!$K$5:$K$1004,ABSORCION!$C$5:$C$1004,F267,ABSORCION!$I$5:$I$1004,"&gt;0")))</f>
        <v/>
      </c>
      <c r="AF267" s="20" t="str">
        <f aca="false">IF(AE267="","",IF(AE267&gt;=CONFIG!$E$21,CONFIG!$F$21,IF(AE267&gt;=CONFIG!$E$20,CONFIG!$F$20,CONFIG!$F$19)))</f>
        <v/>
      </c>
      <c r="AG267" s="21" t="str">
        <f aca="false">IF(F267="","",TRIM(IF(N(M267)=0,"Sin ensayos. ","")&amp;IF(AND(N(M267)&gt;0,N(M267)&lt;CONFIG!$B$26),"Menos de "&amp;CONFIG!$B$26&amp;" probetas. ","")&amp;IF(N(T267)&gt;CONFIG!$B$25,"CV alto. ","")&amp;IF(AND(N(AD267)&gt;0,N(AD267)&gt;N(AF267)),"Absorción alta. ","")))</f>
        <v/>
      </c>
      <c r="AH267" s="22" t="str">
        <f aca="false">IF(AND(N(M267)&gt;0,OR(CONTROL!$C$4="TODAS",C267=CONTROL!$C$4),D267=CONTROL!$C$5),MAX($AH$4:AH266)+1,"")</f>
        <v/>
      </c>
      <c r="AI267" s="22" t="str">
        <f aca="false">IF(AH267="","",P267^2)</f>
        <v/>
      </c>
    </row>
    <row r="268" customFormat="false" ht="15" hidden="false" customHeight="false" outlineLevel="0" collapsed="false">
      <c r="A268" s="11" t="str">
        <f aca="false">IF(B268="","",ROW()-4)</f>
        <v/>
      </c>
      <c r="B268" s="12"/>
      <c r="C268" s="13"/>
      <c r="D268" s="13"/>
      <c r="E268" s="13"/>
      <c r="F268" s="14" t="str">
        <f aca="false">IF(OR(B268="",C268="",D268=""),"",IFERROR(INDEX(CONFIG!$E$5:$E$14,MATCH(D268,CONFIG!$D$5:$D$14,0)),"?")&amp;RIGHT("0"&amp;DAY(B268),2)&amp;RIGHT("0"&amp;MONTH(B268),2)&amp;RIGHT(YEAR(B268),2)&amp;C268&amp;IF(E268="","","-"&amp;E268))</f>
        <v/>
      </c>
      <c r="G268" s="13"/>
      <c r="H268" s="13"/>
      <c r="I268" s="13"/>
      <c r="J268" s="13"/>
      <c r="K268" s="13"/>
      <c r="L268" s="13"/>
      <c r="M268" s="11" t="str">
        <f aca="false">IF(F268="","",COUNTIFS(ENSAYOS!$C$5:$C$3004,F268,ENSAYOS!$Q$5:$Q$3004,"&gt;0"))</f>
        <v/>
      </c>
      <c r="N268" s="15" t="str">
        <f aca="false">IF(N(M268)=0,"",_xlfn.MINIFS(ENSAYOS!$G$5:$G$3004,ENSAYOS!$C$5:$C$3004,F268,ENSAYOS!$Q$5:$Q$3004,"&gt;0"))</f>
        <v/>
      </c>
      <c r="O268" s="15" t="str">
        <f aca="false">IF(N(M268)=0,"",_xlfn.MAXIFS(ENSAYOS!$G$5:$G$3004,ENSAYOS!$C$5:$C$3004,F268,ENSAYOS!$Q$5:$Q$3004,"&gt;0"))</f>
        <v/>
      </c>
      <c r="P268" s="16" t="str">
        <f aca="false">IF(N(M268)=0,"",AVERAGEIFS(ENSAYOS!$Q$5:$Q$3004,ENSAYOS!$C$5:$C$3004,F268,ENSAYOS!$Q$5:$Q$3004,"&gt;0"))</f>
        <v/>
      </c>
      <c r="Q268" s="16" t="str">
        <f aca="false">IF(N(M268)=0,"",_xlfn.MINIFS(ENSAYOS!$Q$5:$Q$3004,ENSAYOS!$C$5:$C$3004,F268,ENSAYOS!$Q$5:$Q$3004,"&gt;0"))</f>
        <v/>
      </c>
      <c r="R268" s="16" t="str">
        <f aca="false">IF(N(M268)=0,"",_xlfn.MAXIFS(ENSAYOS!$Q$5:$Q$3004,ENSAYOS!$C$5:$C$3004,F268,ENSAYOS!$Q$5:$Q$3004,"&gt;0"))</f>
        <v/>
      </c>
      <c r="S268" s="16" t="str">
        <f aca="false">IF(N(M268)&lt;2,"",SQRT(MAX(0,(SUMIFS(ENSAYOS!$X$5:$X$3004,ENSAYOS!$C$5:$C$3004,F268,ENSAYOS!$Q$5:$Q$3004,"&gt;0")-M268*P268^2)/(M268-1))))</f>
        <v/>
      </c>
      <c r="T268" s="17" t="str">
        <f aca="false">IF(S268="","",S268/P268)</f>
        <v/>
      </c>
      <c r="U268" s="16" t="str">
        <f aca="false">IF(N(M268)=0,"",IF(N268&gt;=CONFIG!$B$27,"",AVERAGEIFS(ENSAYOS!$Q$5:$Q$3004,ENSAYOS!$C$5:$C$3004,F268,ENSAYOS!$Q$5:$Q$3004,"&gt;0",ENSAYOS!$G$5:$G$3004,N268)))</f>
        <v/>
      </c>
      <c r="V268" s="16" t="str">
        <f aca="false">IF(N(M268)=0,"",IF(COUNTIFS(ENSAYOS!$C$5:$C$3004,F268,ENSAYOS!$Q$5:$Q$3004,"&gt;0",ENSAYOS!$G$5:$G$3004,"&gt;="&amp;CONFIG!$B$27)=0,"",AVERAGEIFS(ENSAYOS!$Q$5:$Q$3004,ENSAYOS!$C$5:$C$3004,F268,ENSAYOS!$Q$5:$Q$3004,"&gt;0",ENSAYOS!$G$5:$G$3004,"&gt;="&amp;CONFIG!$B$27)))</f>
        <v/>
      </c>
      <c r="W268" s="18" t="str">
        <f aca="false">IF(AND(U268&lt;&gt;"",V268&lt;&gt;""),U268/V268,"")</f>
        <v/>
      </c>
      <c r="X268" s="18" t="str">
        <f aca="false">IF(U268="","",INDEX('CURVA EDAD'!$E$5:$E$32,MIN(28,MAX(1,N268))))</f>
        <v/>
      </c>
      <c r="Y268" s="16" t="str">
        <f aca="false">IF(V268&lt;&gt;"",V268,IF(U268="","",U268/X268))</f>
        <v/>
      </c>
      <c r="Z268" s="16" t="str">
        <f aca="false">IF(V268&lt;&gt;"",_xlfn.MINIFS(ENSAYOS!$Q$5:$Q$3004,ENSAYOS!$C$5:$C$3004,F268,ENSAYOS!$Q$5:$Q$3004,"&gt;0",ENSAYOS!$G$5:$G$3004,"&gt;="&amp;CONFIG!$B$27),IF(U268="","",_xlfn.MINIFS(ENSAYOS!$Q$5:$Q$3004,ENSAYOS!$C$5:$C$3004,F268,ENSAYOS!$Q$5:$Q$3004,"&gt;0",ENSAYOS!$G$5:$G$3004,N268)/X268))</f>
        <v/>
      </c>
      <c r="AA268" s="16" t="str">
        <f aca="false">IF(D268="","",IFERROR(1/(1/INDEX(CONFIG!$J$5:$J$14,MATCH(D268,CONFIG!$D$5:$D$14,0))),""))</f>
        <v/>
      </c>
      <c r="AB268" s="16" t="str">
        <f aca="false">IF(D268="","",IFERROR(1/(1/INDEX(CONFIG!$K$5:$K$14,MATCH(D268,CONFIG!$D$5:$D$14,0))),""))</f>
        <v/>
      </c>
      <c r="AC268" s="19" t="str">
        <f aca="false">IF(N(M268)=0,"",IF(AA268="","Sin spec",IF(AND(Y268&gt;=AA268,OR(AB268="",Z268&gt;=AB268)),"CUMPLE","NO CUMPLE")&amp;IF(V268=""," (est.)","")))</f>
        <v/>
      </c>
      <c r="AD268" s="20" t="str">
        <f aca="false">IF(F268="","",IF(COUNTIFS(ABSORCION!$C$5:$C$1004,F268,ABSORCION!$I$5:$I$1004,"&gt;0")=0,"",AVERAGEIFS(ABSORCION!$I$5:$I$1004,ABSORCION!$C$5:$C$1004,F268,ABSORCION!$I$5:$I$1004,"&gt;0")))</f>
        <v/>
      </c>
      <c r="AE268" s="20" t="str">
        <f aca="false">IF(F268="","",IF(COUNTIFS(ABSORCION!$C$5:$C$1004,F268,ABSORCION!$I$5:$I$1004,"&gt;0")=0,"",AVERAGEIFS(ABSORCION!$K$5:$K$1004,ABSORCION!$C$5:$C$1004,F268,ABSORCION!$I$5:$I$1004,"&gt;0")))</f>
        <v/>
      </c>
      <c r="AF268" s="20" t="str">
        <f aca="false">IF(AE268="","",IF(AE268&gt;=CONFIG!$E$21,CONFIG!$F$21,IF(AE268&gt;=CONFIG!$E$20,CONFIG!$F$20,CONFIG!$F$19)))</f>
        <v/>
      </c>
      <c r="AG268" s="21" t="str">
        <f aca="false">IF(F268="","",TRIM(IF(N(M268)=0,"Sin ensayos. ","")&amp;IF(AND(N(M268)&gt;0,N(M268)&lt;CONFIG!$B$26),"Menos de "&amp;CONFIG!$B$26&amp;" probetas. ","")&amp;IF(N(T268)&gt;CONFIG!$B$25,"CV alto. ","")&amp;IF(AND(N(AD268)&gt;0,N(AD268)&gt;N(AF268)),"Absorción alta. ","")))</f>
        <v/>
      </c>
      <c r="AH268" s="22" t="str">
        <f aca="false">IF(AND(N(M268)&gt;0,OR(CONTROL!$C$4="TODAS",C268=CONTROL!$C$4),D268=CONTROL!$C$5),MAX($AH$4:AH267)+1,"")</f>
        <v/>
      </c>
      <c r="AI268" s="22" t="str">
        <f aca="false">IF(AH268="","",P268^2)</f>
        <v/>
      </c>
    </row>
    <row r="269" customFormat="false" ht="15" hidden="false" customHeight="false" outlineLevel="0" collapsed="false">
      <c r="A269" s="11" t="str">
        <f aca="false">IF(B269="","",ROW()-4)</f>
        <v/>
      </c>
      <c r="B269" s="12"/>
      <c r="C269" s="13"/>
      <c r="D269" s="13"/>
      <c r="E269" s="13"/>
      <c r="F269" s="14" t="str">
        <f aca="false">IF(OR(B269="",C269="",D269=""),"",IFERROR(INDEX(CONFIG!$E$5:$E$14,MATCH(D269,CONFIG!$D$5:$D$14,0)),"?")&amp;RIGHT("0"&amp;DAY(B269),2)&amp;RIGHT("0"&amp;MONTH(B269),2)&amp;RIGHT(YEAR(B269),2)&amp;C269&amp;IF(E269="","","-"&amp;E269))</f>
        <v/>
      </c>
      <c r="G269" s="13"/>
      <c r="H269" s="13"/>
      <c r="I269" s="13"/>
      <c r="J269" s="13"/>
      <c r="K269" s="13"/>
      <c r="L269" s="13"/>
      <c r="M269" s="11" t="str">
        <f aca="false">IF(F269="","",COUNTIFS(ENSAYOS!$C$5:$C$3004,F269,ENSAYOS!$Q$5:$Q$3004,"&gt;0"))</f>
        <v/>
      </c>
      <c r="N269" s="15" t="str">
        <f aca="false">IF(N(M269)=0,"",_xlfn.MINIFS(ENSAYOS!$G$5:$G$3004,ENSAYOS!$C$5:$C$3004,F269,ENSAYOS!$Q$5:$Q$3004,"&gt;0"))</f>
        <v/>
      </c>
      <c r="O269" s="15" t="str">
        <f aca="false">IF(N(M269)=0,"",_xlfn.MAXIFS(ENSAYOS!$G$5:$G$3004,ENSAYOS!$C$5:$C$3004,F269,ENSAYOS!$Q$5:$Q$3004,"&gt;0"))</f>
        <v/>
      </c>
      <c r="P269" s="16" t="str">
        <f aca="false">IF(N(M269)=0,"",AVERAGEIFS(ENSAYOS!$Q$5:$Q$3004,ENSAYOS!$C$5:$C$3004,F269,ENSAYOS!$Q$5:$Q$3004,"&gt;0"))</f>
        <v/>
      </c>
      <c r="Q269" s="16" t="str">
        <f aca="false">IF(N(M269)=0,"",_xlfn.MINIFS(ENSAYOS!$Q$5:$Q$3004,ENSAYOS!$C$5:$C$3004,F269,ENSAYOS!$Q$5:$Q$3004,"&gt;0"))</f>
        <v/>
      </c>
      <c r="R269" s="16" t="str">
        <f aca="false">IF(N(M269)=0,"",_xlfn.MAXIFS(ENSAYOS!$Q$5:$Q$3004,ENSAYOS!$C$5:$C$3004,F269,ENSAYOS!$Q$5:$Q$3004,"&gt;0"))</f>
        <v/>
      </c>
      <c r="S269" s="16" t="str">
        <f aca="false">IF(N(M269)&lt;2,"",SQRT(MAX(0,(SUMIFS(ENSAYOS!$X$5:$X$3004,ENSAYOS!$C$5:$C$3004,F269,ENSAYOS!$Q$5:$Q$3004,"&gt;0")-M269*P269^2)/(M269-1))))</f>
        <v/>
      </c>
      <c r="T269" s="17" t="str">
        <f aca="false">IF(S269="","",S269/P269)</f>
        <v/>
      </c>
      <c r="U269" s="16" t="str">
        <f aca="false">IF(N(M269)=0,"",IF(N269&gt;=CONFIG!$B$27,"",AVERAGEIFS(ENSAYOS!$Q$5:$Q$3004,ENSAYOS!$C$5:$C$3004,F269,ENSAYOS!$Q$5:$Q$3004,"&gt;0",ENSAYOS!$G$5:$G$3004,N269)))</f>
        <v/>
      </c>
      <c r="V269" s="16" t="str">
        <f aca="false">IF(N(M269)=0,"",IF(COUNTIFS(ENSAYOS!$C$5:$C$3004,F269,ENSAYOS!$Q$5:$Q$3004,"&gt;0",ENSAYOS!$G$5:$G$3004,"&gt;="&amp;CONFIG!$B$27)=0,"",AVERAGEIFS(ENSAYOS!$Q$5:$Q$3004,ENSAYOS!$C$5:$C$3004,F269,ENSAYOS!$Q$5:$Q$3004,"&gt;0",ENSAYOS!$G$5:$G$3004,"&gt;="&amp;CONFIG!$B$27)))</f>
        <v/>
      </c>
      <c r="W269" s="18" t="str">
        <f aca="false">IF(AND(U269&lt;&gt;"",V269&lt;&gt;""),U269/V269,"")</f>
        <v/>
      </c>
      <c r="X269" s="18" t="str">
        <f aca="false">IF(U269="","",INDEX('CURVA EDAD'!$E$5:$E$32,MIN(28,MAX(1,N269))))</f>
        <v/>
      </c>
      <c r="Y269" s="16" t="str">
        <f aca="false">IF(V269&lt;&gt;"",V269,IF(U269="","",U269/X269))</f>
        <v/>
      </c>
      <c r="Z269" s="16" t="str">
        <f aca="false">IF(V269&lt;&gt;"",_xlfn.MINIFS(ENSAYOS!$Q$5:$Q$3004,ENSAYOS!$C$5:$C$3004,F269,ENSAYOS!$Q$5:$Q$3004,"&gt;0",ENSAYOS!$G$5:$G$3004,"&gt;="&amp;CONFIG!$B$27),IF(U269="","",_xlfn.MINIFS(ENSAYOS!$Q$5:$Q$3004,ENSAYOS!$C$5:$C$3004,F269,ENSAYOS!$Q$5:$Q$3004,"&gt;0",ENSAYOS!$G$5:$G$3004,N269)/X269))</f>
        <v/>
      </c>
      <c r="AA269" s="16" t="str">
        <f aca="false">IF(D269="","",IFERROR(1/(1/INDEX(CONFIG!$J$5:$J$14,MATCH(D269,CONFIG!$D$5:$D$14,0))),""))</f>
        <v/>
      </c>
      <c r="AB269" s="16" t="str">
        <f aca="false">IF(D269="","",IFERROR(1/(1/INDEX(CONFIG!$K$5:$K$14,MATCH(D269,CONFIG!$D$5:$D$14,0))),""))</f>
        <v/>
      </c>
      <c r="AC269" s="19" t="str">
        <f aca="false">IF(N(M269)=0,"",IF(AA269="","Sin spec",IF(AND(Y269&gt;=AA269,OR(AB269="",Z269&gt;=AB269)),"CUMPLE","NO CUMPLE")&amp;IF(V269=""," (est.)","")))</f>
        <v/>
      </c>
      <c r="AD269" s="20" t="str">
        <f aca="false">IF(F269="","",IF(COUNTIFS(ABSORCION!$C$5:$C$1004,F269,ABSORCION!$I$5:$I$1004,"&gt;0")=0,"",AVERAGEIFS(ABSORCION!$I$5:$I$1004,ABSORCION!$C$5:$C$1004,F269,ABSORCION!$I$5:$I$1004,"&gt;0")))</f>
        <v/>
      </c>
      <c r="AE269" s="20" t="str">
        <f aca="false">IF(F269="","",IF(COUNTIFS(ABSORCION!$C$5:$C$1004,F269,ABSORCION!$I$5:$I$1004,"&gt;0")=0,"",AVERAGEIFS(ABSORCION!$K$5:$K$1004,ABSORCION!$C$5:$C$1004,F269,ABSORCION!$I$5:$I$1004,"&gt;0")))</f>
        <v/>
      </c>
      <c r="AF269" s="20" t="str">
        <f aca="false">IF(AE269="","",IF(AE269&gt;=CONFIG!$E$21,CONFIG!$F$21,IF(AE269&gt;=CONFIG!$E$20,CONFIG!$F$20,CONFIG!$F$19)))</f>
        <v/>
      </c>
      <c r="AG269" s="21" t="str">
        <f aca="false">IF(F269="","",TRIM(IF(N(M269)=0,"Sin ensayos. ","")&amp;IF(AND(N(M269)&gt;0,N(M269)&lt;CONFIG!$B$26),"Menos de "&amp;CONFIG!$B$26&amp;" probetas. ","")&amp;IF(N(T269)&gt;CONFIG!$B$25,"CV alto. ","")&amp;IF(AND(N(AD269)&gt;0,N(AD269)&gt;N(AF269)),"Absorción alta. ","")))</f>
        <v/>
      </c>
      <c r="AH269" s="22" t="str">
        <f aca="false">IF(AND(N(M269)&gt;0,OR(CONTROL!$C$4="TODAS",C269=CONTROL!$C$4),D269=CONTROL!$C$5),MAX($AH$4:AH268)+1,"")</f>
        <v/>
      </c>
      <c r="AI269" s="22" t="str">
        <f aca="false">IF(AH269="","",P269^2)</f>
        <v/>
      </c>
    </row>
    <row r="270" customFormat="false" ht="15" hidden="false" customHeight="false" outlineLevel="0" collapsed="false">
      <c r="A270" s="11" t="str">
        <f aca="false">IF(B270="","",ROW()-4)</f>
        <v/>
      </c>
      <c r="B270" s="12"/>
      <c r="C270" s="13"/>
      <c r="D270" s="13"/>
      <c r="E270" s="13"/>
      <c r="F270" s="14" t="str">
        <f aca="false">IF(OR(B270="",C270="",D270=""),"",IFERROR(INDEX(CONFIG!$E$5:$E$14,MATCH(D270,CONFIG!$D$5:$D$14,0)),"?")&amp;RIGHT("0"&amp;DAY(B270),2)&amp;RIGHT("0"&amp;MONTH(B270),2)&amp;RIGHT(YEAR(B270),2)&amp;C270&amp;IF(E270="","","-"&amp;E270))</f>
        <v/>
      </c>
      <c r="G270" s="13"/>
      <c r="H270" s="13"/>
      <c r="I270" s="13"/>
      <c r="J270" s="13"/>
      <c r="K270" s="13"/>
      <c r="L270" s="13"/>
      <c r="M270" s="11" t="str">
        <f aca="false">IF(F270="","",COUNTIFS(ENSAYOS!$C$5:$C$3004,F270,ENSAYOS!$Q$5:$Q$3004,"&gt;0"))</f>
        <v/>
      </c>
      <c r="N270" s="15" t="str">
        <f aca="false">IF(N(M270)=0,"",_xlfn.MINIFS(ENSAYOS!$G$5:$G$3004,ENSAYOS!$C$5:$C$3004,F270,ENSAYOS!$Q$5:$Q$3004,"&gt;0"))</f>
        <v/>
      </c>
      <c r="O270" s="15" t="str">
        <f aca="false">IF(N(M270)=0,"",_xlfn.MAXIFS(ENSAYOS!$G$5:$G$3004,ENSAYOS!$C$5:$C$3004,F270,ENSAYOS!$Q$5:$Q$3004,"&gt;0"))</f>
        <v/>
      </c>
      <c r="P270" s="16" t="str">
        <f aca="false">IF(N(M270)=0,"",AVERAGEIFS(ENSAYOS!$Q$5:$Q$3004,ENSAYOS!$C$5:$C$3004,F270,ENSAYOS!$Q$5:$Q$3004,"&gt;0"))</f>
        <v/>
      </c>
      <c r="Q270" s="16" t="str">
        <f aca="false">IF(N(M270)=0,"",_xlfn.MINIFS(ENSAYOS!$Q$5:$Q$3004,ENSAYOS!$C$5:$C$3004,F270,ENSAYOS!$Q$5:$Q$3004,"&gt;0"))</f>
        <v/>
      </c>
      <c r="R270" s="16" t="str">
        <f aca="false">IF(N(M270)=0,"",_xlfn.MAXIFS(ENSAYOS!$Q$5:$Q$3004,ENSAYOS!$C$5:$C$3004,F270,ENSAYOS!$Q$5:$Q$3004,"&gt;0"))</f>
        <v/>
      </c>
      <c r="S270" s="16" t="str">
        <f aca="false">IF(N(M270)&lt;2,"",SQRT(MAX(0,(SUMIFS(ENSAYOS!$X$5:$X$3004,ENSAYOS!$C$5:$C$3004,F270,ENSAYOS!$Q$5:$Q$3004,"&gt;0")-M270*P270^2)/(M270-1))))</f>
        <v/>
      </c>
      <c r="T270" s="17" t="str">
        <f aca="false">IF(S270="","",S270/P270)</f>
        <v/>
      </c>
      <c r="U270" s="16" t="str">
        <f aca="false">IF(N(M270)=0,"",IF(N270&gt;=CONFIG!$B$27,"",AVERAGEIFS(ENSAYOS!$Q$5:$Q$3004,ENSAYOS!$C$5:$C$3004,F270,ENSAYOS!$Q$5:$Q$3004,"&gt;0",ENSAYOS!$G$5:$G$3004,N270)))</f>
        <v/>
      </c>
      <c r="V270" s="16" t="str">
        <f aca="false">IF(N(M270)=0,"",IF(COUNTIFS(ENSAYOS!$C$5:$C$3004,F270,ENSAYOS!$Q$5:$Q$3004,"&gt;0",ENSAYOS!$G$5:$G$3004,"&gt;="&amp;CONFIG!$B$27)=0,"",AVERAGEIFS(ENSAYOS!$Q$5:$Q$3004,ENSAYOS!$C$5:$C$3004,F270,ENSAYOS!$Q$5:$Q$3004,"&gt;0",ENSAYOS!$G$5:$G$3004,"&gt;="&amp;CONFIG!$B$27)))</f>
        <v/>
      </c>
      <c r="W270" s="18" t="str">
        <f aca="false">IF(AND(U270&lt;&gt;"",V270&lt;&gt;""),U270/V270,"")</f>
        <v/>
      </c>
      <c r="X270" s="18" t="str">
        <f aca="false">IF(U270="","",INDEX('CURVA EDAD'!$E$5:$E$32,MIN(28,MAX(1,N270))))</f>
        <v/>
      </c>
      <c r="Y270" s="16" t="str">
        <f aca="false">IF(V270&lt;&gt;"",V270,IF(U270="","",U270/X270))</f>
        <v/>
      </c>
      <c r="Z270" s="16" t="str">
        <f aca="false">IF(V270&lt;&gt;"",_xlfn.MINIFS(ENSAYOS!$Q$5:$Q$3004,ENSAYOS!$C$5:$C$3004,F270,ENSAYOS!$Q$5:$Q$3004,"&gt;0",ENSAYOS!$G$5:$G$3004,"&gt;="&amp;CONFIG!$B$27),IF(U270="","",_xlfn.MINIFS(ENSAYOS!$Q$5:$Q$3004,ENSAYOS!$C$5:$C$3004,F270,ENSAYOS!$Q$5:$Q$3004,"&gt;0",ENSAYOS!$G$5:$G$3004,N270)/X270))</f>
        <v/>
      </c>
      <c r="AA270" s="16" t="str">
        <f aca="false">IF(D270="","",IFERROR(1/(1/INDEX(CONFIG!$J$5:$J$14,MATCH(D270,CONFIG!$D$5:$D$14,0))),""))</f>
        <v/>
      </c>
      <c r="AB270" s="16" t="str">
        <f aca="false">IF(D270="","",IFERROR(1/(1/INDEX(CONFIG!$K$5:$K$14,MATCH(D270,CONFIG!$D$5:$D$14,0))),""))</f>
        <v/>
      </c>
      <c r="AC270" s="19" t="str">
        <f aca="false">IF(N(M270)=0,"",IF(AA270="","Sin spec",IF(AND(Y270&gt;=AA270,OR(AB270="",Z270&gt;=AB270)),"CUMPLE","NO CUMPLE")&amp;IF(V270=""," (est.)","")))</f>
        <v/>
      </c>
      <c r="AD270" s="20" t="str">
        <f aca="false">IF(F270="","",IF(COUNTIFS(ABSORCION!$C$5:$C$1004,F270,ABSORCION!$I$5:$I$1004,"&gt;0")=0,"",AVERAGEIFS(ABSORCION!$I$5:$I$1004,ABSORCION!$C$5:$C$1004,F270,ABSORCION!$I$5:$I$1004,"&gt;0")))</f>
        <v/>
      </c>
      <c r="AE270" s="20" t="str">
        <f aca="false">IF(F270="","",IF(COUNTIFS(ABSORCION!$C$5:$C$1004,F270,ABSORCION!$I$5:$I$1004,"&gt;0")=0,"",AVERAGEIFS(ABSORCION!$K$5:$K$1004,ABSORCION!$C$5:$C$1004,F270,ABSORCION!$I$5:$I$1004,"&gt;0")))</f>
        <v/>
      </c>
      <c r="AF270" s="20" t="str">
        <f aca="false">IF(AE270="","",IF(AE270&gt;=CONFIG!$E$21,CONFIG!$F$21,IF(AE270&gt;=CONFIG!$E$20,CONFIG!$F$20,CONFIG!$F$19)))</f>
        <v/>
      </c>
      <c r="AG270" s="21" t="str">
        <f aca="false">IF(F270="","",TRIM(IF(N(M270)=0,"Sin ensayos. ","")&amp;IF(AND(N(M270)&gt;0,N(M270)&lt;CONFIG!$B$26),"Menos de "&amp;CONFIG!$B$26&amp;" probetas. ","")&amp;IF(N(T270)&gt;CONFIG!$B$25,"CV alto. ","")&amp;IF(AND(N(AD270)&gt;0,N(AD270)&gt;N(AF270)),"Absorción alta. ","")))</f>
        <v/>
      </c>
      <c r="AH270" s="22" t="str">
        <f aca="false">IF(AND(N(M270)&gt;0,OR(CONTROL!$C$4="TODAS",C270=CONTROL!$C$4),D270=CONTROL!$C$5),MAX($AH$4:AH269)+1,"")</f>
        <v/>
      </c>
      <c r="AI270" s="22" t="str">
        <f aca="false">IF(AH270="","",P270^2)</f>
        <v/>
      </c>
    </row>
    <row r="271" customFormat="false" ht="15" hidden="false" customHeight="false" outlineLevel="0" collapsed="false">
      <c r="A271" s="11" t="str">
        <f aca="false">IF(B271="","",ROW()-4)</f>
        <v/>
      </c>
      <c r="B271" s="12"/>
      <c r="C271" s="13"/>
      <c r="D271" s="13"/>
      <c r="E271" s="13"/>
      <c r="F271" s="14" t="str">
        <f aca="false">IF(OR(B271="",C271="",D271=""),"",IFERROR(INDEX(CONFIG!$E$5:$E$14,MATCH(D271,CONFIG!$D$5:$D$14,0)),"?")&amp;RIGHT("0"&amp;DAY(B271),2)&amp;RIGHT("0"&amp;MONTH(B271),2)&amp;RIGHT(YEAR(B271),2)&amp;C271&amp;IF(E271="","","-"&amp;E271))</f>
        <v/>
      </c>
      <c r="G271" s="13"/>
      <c r="H271" s="13"/>
      <c r="I271" s="13"/>
      <c r="J271" s="13"/>
      <c r="K271" s="13"/>
      <c r="L271" s="13"/>
      <c r="M271" s="11" t="str">
        <f aca="false">IF(F271="","",COUNTIFS(ENSAYOS!$C$5:$C$3004,F271,ENSAYOS!$Q$5:$Q$3004,"&gt;0"))</f>
        <v/>
      </c>
      <c r="N271" s="15" t="str">
        <f aca="false">IF(N(M271)=0,"",_xlfn.MINIFS(ENSAYOS!$G$5:$G$3004,ENSAYOS!$C$5:$C$3004,F271,ENSAYOS!$Q$5:$Q$3004,"&gt;0"))</f>
        <v/>
      </c>
      <c r="O271" s="15" t="str">
        <f aca="false">IF(N(M271)=0,"",_xlfn.MAXIFS(ENSAYOS!$G$5:$G$3004,ENSAYOS!$C$5:$C$3004,F271,ENSAYOS!$Q$5:$Q$3004,"&gt;0"))</f>
        <v/>
      </c>
      <c r="P271" s="16" t="str">
        <f aca="false">IF(N(M271)=0,"",AVERAGEIFS(ENSAYOS!$Q$5:$Q$3004,ENSAYOS!$C$5:$C$3004,F271,ENSAYOS!$Q$5:$Q$3004,"&gt;0"))</f>
        <v/>
      </c>
      <c r="Q271" s="16" t="str">
        <f aca="false">IF(N(M271)=0,"",_xlfn.MINIFS(ENSAYOS!$Q$5:$Q$3004,ENSAYOS!$C$5:$C$3004,F271,ENSAYOS!$Q$5:$Q$3004,"&gt;0"))</f>
        <v/>
      </c>
      <c r="R271" s="16" t="str">
        <f aca="false">IF(N(M271)=0,"",_xlfn.MAXIFS(ENSAYOS!$Q$5:$Q$3004,ENSAYOS!$C$5:$C$3004,F271,ENSAYOS!$Q$5:$Q$3004,"&gt;0"))</f>
        <v/>
      </c>
      <c r="S271" s="16" t="str">
        <f aca="false">IF(N(M271)&lt;2,"",SQRT(MAX(0,(SUMIFS(ENSAYOS!$X$5:$X$3004,ENSAYOS!$C$5:$C$3004,F271,ENSAYOS!$Q$5:$Q$3004,"&gt;0")-M271*P271^2)/(M271-1))))</f>
        <v/>
      </c>
      <c r="T271" s="17" t="str">
        <f aca="false">IF(S271="","",S271/P271)</f>
        <v/>
      </c>
      <c r="U271" s="16" t="str">
        <f aca="false">IF(N(M271)=0,"",IF(N271&gt;=CONFIG!$B$27,"",AVERAGEIFS(ENSAYOS!$Q$5:$Q$3004,ENSAYOS!$C$5:$C$3004,F271,ENSAYOS!$Q$5:$Q$3004,"&gt;0",ENSAYOS!$G$5:$G$3004,N271)))</f>
        <v/>
      </c>
      <c r="V271" s="16" t="str">
        <f aca="false">IF(N(M271)=0,"",IF(COUNTIFS(ENSAYOS!$C$5:$C$3004,F271,ENSAYOS!$Q$5:$Q$3004,"&gt;0",ENSAYOS!$G$5:$G$3004,"&gt;="&amp;CONFIG!$B$27)=0,"",AVERAGEIFS(ENSAYOS!$Q$5:$Q$3004,ENSAYOS!$C$5:$C$3004,F271,ENSAYOS!$Q$5:$Q$3004,"&gt;0",ENSAYOS!$G$5:$G$3004,"&gt;="&amp;CONFIG!$B$27)))</f>
        <v/>
      </c>
      <c r="W271" s="18" t="str">
        <f aca="false">IF(AND(U271&lt;&gt;"",V271&lt;&gt;""),U271/V271,"")</f>
        <v/>
      </c>
      <c r="X271" s="18" t="str">
        <f aca="false">IF(U271="","",INDEX('CURVA EDAD'!$E$5:$E$32,MIN(28,MAX(1,N271))))</f>
        <v/>
      </c>
      <c r="Y271" s="16" t="str">
        <f aca="false">IF(V271&lt;&gt;"",V271,IF(U271="","",U271/X271))</f>
        <v/>
      </c>
      <c r="Z271" s="16" t="str">
        <f aca="false">IF(V271&lt;&gt;"",_xlfn.MINIFS(ENSAYOS!$Q$5:$Q$3004,ENSAYOS!$C$5:$C$3004,F271,ENSAYOS!$Q$5:$Q$3004,"&gt;0",ENSAYOS!$G$5:$G$3004,"&gt;="&amp;CONFIG!$B$27),IF(U271="","",_xlfn.MINIFS(ENSAYOS!$Q$5:$Q$3004,ENSAYOS!$C$5:$C$3004,F271,ENSAYOS!$Q$5:$Q$3004,"&gt;0",ENSAYOS!$G$5:$G$3004,N271)/X271))</f>
        <v/>
      </c>
      <c r="AA271" s="16" t="str">
        <f aca="false">IF(D271="","",IFERROR(1/(1/INDEX(CONFIG!$J$5:$J$14,MATCH(D271,CONFIG!$D$5:$D$14,0))),""))</f>
        <v/>
      </c>
      <c r="AB271" s="16" t="str">
        <f aca="false">IF(D271="","",IFERROR(1/(1/INDEX(CONFIG!$K$5:$K$14,MATCH(D271,CONFIG!$D$5:$D$14,0))),""))</f>
        <v/>
      </c>
      <c r="AC271" s="19" t="str">
        <f aca="false">IF(N(M271)=0,"",IF(AA271="","Sin spec",IF(AND(Y271&gt;=AA271,OR(AB271="",Z271&gt;=AB271)),"CUMPLE","NO CUMPLE")&amp;IF(V271=""," (est.)","")))</f>
        <v/>
      </c>
      <c r="AD271" s="20" t="str">
        <f aca="false">IF(F271="","",IF(COUNTIFS(ABSORCION!$C$5:$C$1004,F271,ABSORCION!$I$5:$I$1004,"&gt;0")=0,"",AVERAGEIFS(ABSORCION!$I$5:$I$1004,ABSORCION!$C$5:$C$1004,F271,ABSORCION!$I$5:$I$1004,"&gt;0")))</f>
        <v/>
      </c>
      <c r="AE271" s="20" t="str">
        <f aca="false">IF(F271="","",IF(COUNTIFS(ABSORCION!$C$5:$C$1004,F271,ABSORCION!$I$5:$I$1004,"&gt;0")=0,"",AVERAGEIFS(ABSORCION!$K$5:$K$1004,ABSORCION!$C$5:$C$1004,F271,ABSORCION!$I$5:$I$1004,"&gt;0")))</f>
        <v/>
      </c>
      <c r="AF271" s="20" t="str">
        <f aca="false">IF(AE271="","",IF(AE271&gt;=CONFIG!$E$21,CONFIG!$F$21,IF(AE271&gt;=CONFIG!$E$20,CONFIG!$F$20,CONFIG!$F$19)))</f>
        <v/>
      </c>
      <c r="AG271" s="21" t="str">
        <f aca="false">IF(F271="","",TRIM(IF(N(M271)=0,"Sin ensayos. ","")&amp;IF(AND(N(M271)&gt;0,N(M271)&lt;CONFIG!$B$26),"Menos de "&amp;CONFIG!$B$26&amp;" probetas. ","")&amp;IF(N(T271)&gt;CONFIG!$B$25,"CV alto. ","")&amp;IF(AND(N(AD271)&gt;0,N(AD271)&gt;N(AF271)),"Absorción alta. ","")))</f>
        <v/>
      </c>
      <c r="AH271" s="22" t="str">
        <f aca="false">IF(AND(N(M271)&gt;0,OR(CONTROL!$C$4="TODAS",C271=CONTROL!$C$4),D271=CONTROL!$C$5),MAX($AH$4:AH270)+1,"")</f>
        <v/>
      </c>
      <c r="AI271" s="22" t="str">
        <f aca="false">IF(AH271="","",P271^2)</f>
        <v/>
      </c>
    </row>
    <row r="272" customFormat="false" ht="15" hidden="false" customHeight="false" outlineLevel="0" collapsed="false">
      <c r="A272" s="11" t="str">
        <f aca="false">IF(B272="","",ROW()-4)</f>
        <v/>
      </c>
      <c r="B272" s="12"/>
      <c r="C272" s="13"/>
      <c r="D272" s="13"/>
      <c r="E272" s="13"/>
      <c r="F272" s="14" t="str">
        <f aca="false">IF(OR(B272="",C272="",D272=""),"",IFERROR(INDEX(CONFIG!$E$5:$E$14,MATCH(D272,CONFIG!$D$5:$D$14,0)),"?")&amp;RIGHT("0"&amp;DAY(B272),2)&amp;RIGHT("0"&amp;MONTH(B272),2)&amp;RIGHT(YEAR(B272),2)&amp;C272&amp;IF(E272="","","-"&amp;E272))</f>
        <v/>
      </c>
      <c r="G272" s="13"/>
      <c r="H272" s="13"/>
      <c r="I272" s="13"/>
      <c r="J272" s="13"/>
      <c r="K272" s="13"/>
      <c r="L272" s="13"/>
      <c r="M272" s="11" t="str">
        <f aca="false">IF(F272="","",COUNTIFS(ENSAYOS!$C$5:$C$3004,F272,ENSAYOS!$Q$5:$Q$3004,"&gt;0"))</f>
        <v/>
      </c>
      <c r="N272" s="15" t="str">
        <f aca="false">IF(N(M272)=0,"",_xlfn.MINIFS(ENSAYOS!$G$5:$G$3004,ENSAYOS!$C$5:$C$3004,F272,ENSAYOS!$Q$5:$Q$3004,"&gt;0"))</f>
        <v/>
      </c>
      <c r="O272" s="15" t="str">
        <f aca="false">IF(N(M272)=0,"",_xlfn.MAXIFS(ENSAYOS!$G$5:$G$3004,ENSAYOS!$C$5:$C$3004,F272,ENSAYOS!$Q$5:$Q$3004,"&gt;0"))</f>
        <v/>
      </c>
      <c r="P272" s="16" t="str">
        <f aca="false">IF(N(M272)=0,"",AVERAGEIFS(ENSAYOS!$Q$5:$Q$3004,ENSAYOS!$C$5:$C$3004,F272,ENSAYOS!$Q$5:$Q$3004,"&gt;0"))</f>
        <v/>
      </c>
      <c r="Q272" s="16" t="str">
        <f aca="false">IF(N(M272)=0,"",_xlfn.MINIFS(ENSAYOS!$Q$5:$Q$3004,ENSAYOS!$C$5:$C$3004,F272,ENSAYOS!$Q$5:$Q$3004,"&gt;0"))</f>
        <v/>
      </c>
      <c r="R272" s="16" t="str">
        <f aca="false">IF(N(M272)=0,"",_xlfn.MAXIFS(ENSAYOS!$Q$5:$Q$3004,ENSAYOS!$C$5:$C$3004,F272,ENSAYOS!$Q$5:$Q$3004,"&gt;0"))</f>
        <v/>
      </c>
      <c r="S272" s="16" t="str">
        <f aca="false">IF(N(M272)&lt;2,"",SQRT(MAX(0,(SUMIFS(ENSAYOS!$X$5:$X$3004,ENSAYOS!$C$5:$C$3004,F272,ENSAYOS!$Q$5:$Q$3004,"&gt;0")-M272*P272^2)/(M272-1))))</f>
        <v/>
      </c>
      <c r="T272" s="17" t="str">
        <f aca="false">IF(S272="","",S272/P272)</f>
        <v/>
      </c>
      <c r="U272" s="16" t="str">
        <f aca="false">IF(N(M272)=0,"",IF(N272&gt;=CONFIG!$B$27,"",AVERAGEIFS(ENSAYOS!$Q$5:$Q$3004,ENSAYOS!$C$5:$C$3004,F272,ENSAYOS!$Q$5:$Q$3004,"&gt;0",ENSAYOS!$G$5:$G$3004,N272)))</f>
        <v/>
      </c>
      <c r="V272" s="16" t="str">
        <f aca="false">IF(N(M272)=0,"",IF(COUNTIFS(ENSAYOS!$C$5:$C$3004,F272,ENSAYOS!$Q$5:$Q$3004,"&gt;0",ENSAYOS!$G$5:$G$3004,"&gt;="&amp;CONFIG!$B$27)=0,"",AVERAGEIFS(ENSAYOS!$Q$5:$Q$3004,ENSAYOS!$C$5:$C$3004,F272,ENSAYOS!$Q$5:$Q$3004,"&gt;0",ENSAYOS!$G$5:$G$3004,"&gt;="&amp;CONFIG!$B$27)))</f>
        <v/>
      </c>
      <c r="W272" s="18" t="str">
        <f aca="false">IF(AND(U272&lt;&gt;"",V272&lt;&gt;""),U272/V272,"")</f>
        <v/>
      </c>
      <c r="X272" s="18" t="str">
        <f aca="false">IF(U272="","",INDEX('CURVA EDAD'!$E$5:$E$32,MIN(28,MAX(1,N272))))</f>
        <v/>
      </c>
      <c r="Y272" s="16" t="str">
        <f aca="false">IF(V272&lt;&gt;"",V272,IF(U272="","",U272/X272))</f>
        <v/>
      </c>
      <c r="Z272" s="16" t="str">
        <f aca="false">IF(V272&lt;&gt;"",_xlfn.MINIFS(ENSAYOS!$Q$5:$Q$3004,ENSAYOS!$C$5:$C$3004,F272,ENSAYOS!$Q$5:$Q$3004,"&gt;0",ENSAYOS!$G$5:$G$3004,"&gt;="&amp;CONFIG!$B$27),IF(U272="","",_xlfn.MINIFS(ENSAYOS!$Q$5:$Q$3004,ENSAYOS!$C$5:$C$3004,F272,ENSAYOS!$Q$5:$Q$3004,"&gt;0",ENSAYOS!$G$5:$G$3004,N272)/X272))</f>
        <v/>
      </c>
      <c r="AA272" s="16" t="str">
        <f aca="false">IF(D272="","",IFERROR(1/(1/INDEX(CONFIG!$J$5:$J$14,MATCH(D272,CONFIG!$D$5:$D$14,0))),""))</f>
        <v/>
      </c>
      <c r="AB272" s="16" t="str">
        <f aca="false">IF(D272="","",IFERROR(1/(1/INDEX(CONFIG!$K$5:$K$14,MATCH(D272,CONFIG!$D$5:$D$14,0))),""))</f>
        <v/>
      </c>
      <c r="AC272" s="19" t="str">
        <f aca="false">IF(N(M272)=0,"",IF(AA272="","Sin spec",IF(AND(Y272&gt;=AA272,OR(AB272="",Z272&gt;=AB272)),"CUMPLE","NO CUMPLE")&amp;IF(V272=""," (est.)","")))</f>
        <v/>
      </c>
      <c r="AD272" s="20" t="str">
        <f aca="false">IF(F272="","",IF(COUNTIFS(ABSORCION!$C$5:$C$1004,F272,ABSORCION!$I$5:$I$1004,"&gt;0")=0,"",AVERAGEIFS(ABSORCION!$I$5:$I$1004,ABSORCION!$C$5:$C$1004,F272,ABSORCION!$I$5:$I$1004,"&gt;0")))</f>
        <v/>
      </c>
      <c r="AE272" s="20" t="str">
        <f aca="false">IF(F272="","",IF(COUNTIFS(ABSORCION!$C$5:$C$1004,F272,ABSORCION!$I$5:$I$1004,"&gt;0")=0,"",AVERAGEIFS(ABSORCION!$K$5:$K$1004,ABSORCION!$C$5:$C$1004,F272,ABSORCION!$I$5:$I$1004,"&gt;0")))</f>
        <v/>
      </c>
      <c r="AF272" s="20" t="str">
        <f aca="false">IF(AE272="","",IF(AE272&gt;=CONFIG!$E$21,CONFIG!$F$21,IF(AE272&gt;=CONFIG!$E$20,CONFIG!$F$20,CONFIG!$F$19)))</f>
        <v/>
      </c>
      <c r="AG272" s="21" t="str">
        <f aca="false">IF(F272="","",TRIM(IF(N(M272)=0,"Sin ensayos. ","")&amp;IF(AND(N(M272)&gt;0,N(M272)&lt;CONFIG!$B$26),"Menos de "&amp;CONFIG!$B$26&amp;" probetas. ","")&amp;IF(N(T272)&gt;CONFIG!$B$25,"CV alto. ","")&amp;IF(AND(N(AD272)&gt;0,N(AD272)&gt;N(AF272)),"Absorción alta. ","")))</f>
        <v/>
      </c>
      <c r="AH272" s="22" t="str">
        <f aca="false">IF(AND(N(M272)&gt;0,OR(CONTROL!$C$4="TODAS",C272=CONTROL!$C$4),D272=CONTROL!$C$5),MAX($AH$4:AH271)+1,"")</f>
        <v/>
      </c>
      <c r="AI272" s="22" t="str">
        <f aca="false">IF(AH272="","",P272^2)</f>
        <v/>
      </c>
    </row>
    <row r="273" customFormat="false" ht="15" hidden="false" customHeight="false" outlineLevel="0" collapsed="false">
      <c r="A273" s="11" t="str">
        <f aca="false">IF(B273="","",ROW()-4)</f>
        <v/>
      </c>
      <c r="B273" s="12"/>
      <c r="C273" s="13"/>
      <c r="D273" s="13"/>
      <c r="E273" s="13"/>
      <c r="F273" s="14" t="str">
        <f aca="false">IF(OR(B273="",C273="",D273=""),"",IFERROR(INDEX(CONFIG!$E$5:$E$14,MATCH(D273,CONFIG!$D$5:$D$14,0)),"?")&amp;RIGHT("0"&amp;DAY(B273),2)&amp;RIGHT("0"&amp;MONTH(B273),2)&amp;RIGHT(YEAR(B273),2)&amp;C273&amp;IF(E273="","","-"&amp;E273))</f>
        <v/>
      </c>
      <c r="G273" s="13"/>
      <c r="H273" s="13"/>
      <c r="I273" s="13"/>
      <c r="J273" s="13"/>
      <c r="K273" s="13"/>
      <c r="L273" s="13"/>
      <c r="M273" s="11" t="str">
        <f aca="false">IF(F273="","",COUNTIFS(ENSAYOS!$C$5:$C$3004,F273,ENSAYOS!$Q$5:$Q$3004,"&gt;0"))</f>
        <v/>
      </c>
      <c r="N273" s="15" t="str">
        <f aca="false">IF(N(M273)=0,"",_xlfn.MINIFS(ENSAYOS!$G$5:$G$3004,ENSAYOS!$C$5:$C$3004,F273,ENSAYOS!$Q$5:$Q$3004,"&gt;0"))</f>
        <v/>
      </c>
      <c r="O273" s="15" t="str">
        <f aca="false">IF(N(M273)=0,"",_xlfn.MAXIFS(ENSAYOS!$G$5:$G$3004,ENSAYOS!$C$5:$C$3004,F273,ENSAYOS!$Q$5:$Q$3004,"&gt;0"))</f>
        <v/>
      </c>
      <c r="P273" s="16" t="str">
        <f aca="false">IF(N(M273)=0,"",AVERAGEIFS(ENSAYOS!$Q$5:$Q$3004,ENSAYOS!$C$5:$C$3004,F273,ENSAYOS!$Q$5:$Q$3004,"&gt;0"))</f>
        <v/>
      </c>
      <c r="Q273" s="16" t="str">
        <f aca="false">IF(N(M273)=0,"",_xlfn.MINIFS(ENSAYOS!$Q$5:$Q$3004,ENSAYOS!$C$5:$C$3004,F273,ENSAYOS!$Q$5:$Q$3004,"&gt;0"))</f>
        <v/>
      </c>
      <c r="R273" s="16" t="str">
        <f aca="false">IF(N(M273)=0,"",_xlfn.MAXIFS(ENSAYOS!$Q$5:$Q$3004,ENSAYOS!$C$5:$C$3004,F273,ENSAYOS!$Q$5:$Q$3004,"&gt;0"))</f>
        <v/>
      </c>
      <c r="S273" s="16" t="str">
        <f aca="false">IF(N(M273)&lt;2,"",SQRT(MAX(0,(SUMIFS(ENSAYOS!$X$5:$X$3004,ENSAYOS!$C$5:$C$3004,F273,ENSAYOS!$Q$5:$Q$3004,"&gt;0")-M273*P273^2)/(M273-1))))</f>
        <v/>
      </c>
      <c r="T273" s="17" t="str">
        <f aca="false">IF(S273="","",S273/P273)</f>
        <v/>
      </c>
      <c r="U273" s="16" t="str">
        <f aca="false">IF(N(M273)=0,"",IF(N273&gt;=CONFIG!$B$27,"",AVERAGEIFS(ENSAYOS!$Q$5:$Q$3004,ENSAYOS!$C$5:$C$3004,F273,ENSAYOS!$Q$5:$Q$3004,"&gt;0",ENSAYOS!$G$5:$G$3004,N273)))</f>
        <v/>
      </c>
      <c r="V273" s="16" t="str">
        <f aca="false">IF(N(M273)=0,"",IF(COUNTIFS(ENSAYOS!$C$5:$C$3004,F273,ENSAYOS!$Q$5:$Q$3004,"&gt;0",ENSAYOS!$G$5:$G$3004,"&gt;="&amp;CONFIG!$B$27)=0,"",AVERAGEIFS(ENSAYOS!$Q$5:$Q$3004,ENSAYOS!$C$5:$C$3004,F273,ENSAYOS!$Q$5:$Q$3004,"&gt;0",ENSAYOS!$G$5:$G$3004,"&gt;="&amp;CONFIG!$B$27)))</f>
        <v/>
      </c>
      <c r="W273" s="18" t="str">
        <f aca="false">IF(AND(U273&lt;&gt;"",V273&lt;&gt;""),U273/V273,"")</f>
        <v/>
      </c>
      <c r="X273" s="18" t="str">
        <f aca="false">IF(U273="","",INDEX('CURVA EDAD'!$E$5:$E$32,MIN(28,MAX(1,N273))))</f>
        <v/>
      </c>
      <c r="Y273" s="16" t="str">
        <f aca="false">IF(V273&lt;&gt;"",V273,IF(U273="","",U273/X273))</f>
        <v/>
      </c>
      <c r="Z273" s="16" t="str">
        <f aca="false">IF(V273&lt;&gt;"",_xlfn.MINIFS(ENSAYOS!$Q$5:$Q$3004,ENSAYOS!$C$5:$C$3004,F273,ENSAYOS!$Q$5:$Q$3004,"&gt;0",ENSAYOS!$G$5:$G$3004,"&gt;="&amp;CONFIG!$B$27),IF(U273="","",_xlfn.MINIFS(ENSAYOS!$Q$5:$Q$3004,ENSAYOS!$C$5:$C$3004,F273,ENSAYOS!$Q$5:$Q$3004,"&gt;0",ENSAYOS!$G$5:$G$3004,N273)/X273))</f>
        <v/>
      </c>
      <c r="AA273" s="16" t="str">
        <f aca="false">IF(D273="","",IFERROR(1/(1/INDEX(CONFIG!$J$5:$J$14,MATCH(D273,CONFIG!$D$5:$D$14,0))),""))</f>
        <v/>
      </c>
      <c r="AB273" s="16" t="str">
        <f aca="false">IF(D273="","",IFERROR(1/(1/INDEX(CONFIG!$K$5:$K$14,MATCH(D273,CONFIG!$D$5:$D$14,0))),""))</f>
        <v/>
      </c>
      <c r="AC273" s="19" t="str">
        <f aca="false">IF(N(M273)=0,"",IF(AA273="","Sin spec",IF(AND(Y273&gt;=AA273,OR(AB273="",Z273&gt;=AB273)),"CUMPLE","NO CUMPLE")&amp;IF(V273=""," (est.)","")))</f>
        <v/>
      </c>
      <c r="AD273" s="20" t="str">
        <f aca="false">IF(F273="","",IF(COUNTIFS(ABSORCION!$C$5:$C$1004,F273,ABSORCION!$I$5:$I$1004,"&gt;0")=0,"",AVERAGEIFS(ABSORCION!$I$5:$I$1004,ABSORCION!$C$5:$C$1004,F273,ABSORCION!$I$5:$I$1004,"&gt;0")))</f>
        <v/>
      </c>
      <c r="AE273" s="20" t="str">
        <f aca="false">IF(F273="","",IF(COUNTIFS(ABSORCION!$C$5:$C$1004,F273,ABSORCION!$I$5:$I$1004,"&gt;0")=0,"",AVERAGEIFS(ABSORCION!$K$5:$K$1004,ABSORCION!$C$5:$C$1004,F273,ABSORCION!$I$5:$I$1004,"&gt;0")))</f>
        <v/>
      </c>
      <c r="AF273" s="20" t="str">
        <f aca="false">IF(AE273="","",IF(AE273&gt;=CONFIG!$E$21,CONFIG!$F$21,IF(AE273&gt;=CONFIG!$E$20,CONFIG!$F$20,CONFIG!$F$19)))</f>
        <v/>
      </c>
      <c r="AG273" s="21" t="str">
        <f aca="false">IF(F273="","",TRIM(IF(N(M273)=0,"Sin ensayos. ","")&amp;IF(AND(N(M273)&gt;0,N(M273)&lt;CONFIG!$B$26),"Menos de "&amp;CONFIG!$B$26&amp;" probetas. ","")&amp;IF(N(T273)&gt;CONFIG!$B$25,"CV alto. ","")&amp;IF(AND(N(AD273)&gt;0,N(AD273)&gt;N(AF273)),"Absorción alta. ","")))</f>
        <v/>
      </c>
      <c r="AH273" s="22" t="str">
        <f aca="false">IF(AND(N(M273)&gt;0,OR(CONTROL!$C$4="TODAS",C273=CONTROL!$C$4),D273=CONTROL!$C$5),MAX($AH$4:AH272)+1,"")</f>
        <v/>
      </c>
      <c r="AI273" s="22" t="str">
        <f aca="false">IF(AH273="","",P273^2)</f>
        <v/>
      </c>
    </row>
    <row r="274" customFormat="false" ht="15" hidden="false" customHeight="false" outlineLevel="0" collapsed="false">
      <c r="A274" s="11" t="str">
        <f aca="false">IF(B274="","",ROW()-4)</f>
        <v/>
      </c>
      <c r="B274" s="12"/>
      <c r="C274" s="13"/>
      <c r="D274" s="13"/>
      <c r="E274" s="13"/>
      <c r="F274" s="14" t="str">
        <f aca="false">IF(OR(B274="",C274="",D274=""),"",IFERROR(INDEX(CONFIG!$E$5:$E$14,MATCH(D274,CONFIG!$D$5:$D$14,0)),"?")&amp;RIGHT("0"&amp;DAY(B274),2)&amp;RIGHT("0"&amp;MONTH(B274),2)&amp;RIGHT(YEAR(B274),2)&amp;C274&amp;IF(E274="","","-"&amp;E274))</f>
        <v/>
      </c>
      <c r="G274" s="13"/>
      <c r="H274" s="13"/>
      <c r="I274" s="13"/>
      <c r="J274" s="13"/>
      <c r="K274" s="13"/>
      <c r="L274" s="13"/>
      <c r="M274" s="11" t="str">
        <f aca="false">IF(F274="","",COUNTIFS(ENSAYOS!$C$5:$C$3004,F274,ENSAYOS!$Q$5:$Q$3004,"&gt;0"))</f>
        <v/>
      </c>
      <c r="N274" s="15" t="str">
        <f aca="false">IF(N(M274)=0,"",_xlfn.MINIFS(ENSAYOS!$G$5:$G$3004,ENSAYOS!$C$5:$C$3004,F274,ENSAYOS!$Q$5:$Q$3004,"&gt;0"))</f>
        <v/>
      </c>
      <c r="O274" s="15" t="str">
        <f aca="false">IF(N(M274)=0,"",_xlfn.MAXIFS(ENSAYOS!$G$5:$G$3004,ENSAYOS!$C$5:$C$3004,F274,ENSAYOS!$Q$5:$Q$3004,"&gt;0"))</f>
        <v/>
      </c>
      <c r="P274" s="16" t="str">
        <f aca="false">IF(N(M274)=0,"",AVERAGEIFS(ENSAYOS!$Q$5:$Q$3004,ENSAYOS!$C$5:$C$3004,F274,ENSAYOS!$Q$5:$Q$3004,"&gt;0"))</f>
        <v/>
      </c>
      <c r="Q274" s="16" t="str">
        <f aca="false">IF(N(M274)=0,"",_xlfn.MINIFS(ENSAYOS!$Q$5:$Q$3004,ENSAYOS!$C$5:$C$3004,F274,ENSAYOS!$Q$5:$Q$3004,"&gt;0"))</f>
        <v/>
      </c>
      <c r="R274" s="16" t="str">
        <f aca="false">IF(N(M274)=0,"",_xlfn.MAXIFS(ENSAYOS!$Q$5:$Q$3004,ENSAYOS!$C$5:$C$3004,F274,ENSAYOS!$Q$5:$Q$3004,"&gt;0"))</f>
        <v/>
      </c>
      <c r="S274" s="16" t="str">
        <f aca="false">IF(N(M274)&lt;2,"",SQRT(MAX(0,(SUMIFS(ENSAYOS!$X$5:$X$3004,ENSAYOS!$C$5:$C$3004,F274,ENSAYOS!$Q$5:$Q$3004,"&gt;0")-M274*P274^2)/(M274-1))))</f>
        <v/>
      </c>
      <c r="T274" s="17" t="str">
        <f aca="false">IF(S274="","",S274/P274)</f>
        <v/>
      </c>
      <c r="U274" s="16" t="str">
        <f aca="false">IF(N(M274)=0,"",IF(N274&gt;=CONFIG!$B$27,"",AVERAGEIFS(ENSAYOS!$Q$5:$Q$3004,ENSAYOS!$C$5:$C$3004,F274,ENSAYOS!$Q$5:$Q$3004,"&gt;0",ENSAYOS!$G$5:$G$3004,N274)))</f>
        <v/>
      </c>
      <c r="V274" s="16" t="str">
        <f aca="false">IF(N(M274)=0,"",IF(COUNTIFS(ENSAYOS!$C$5:$C$3004,F274,ENSAYOS!$Q$5:$Q$3004,"&gt;0",ENSAYOS!$G$5:$G$3004,"&gt;="&amp;CONFIG!$B$27)=0,"",AVERAGEIFS(ENSAYOS!$Q$5:$Q$3004,ENSAYOS!$C$5:$C$3004,F274,ENSAYOS!$Q$5:$Q$3004,"&gt;0",ENSAYOS!$G$5:$G$3004,"&gt;="&amp;CONFIG!$B$27)))</f>
        <v/>
      </c>
      <c r="W274" s="18" t="str">
        <f aca="false">IF(AND(U274&lt;&gt;"",V274&lt;&gt;""),U274/V274,"")</f>
        <v/>
      </c>
      <c r="X274" s="18" t="str">
        <f aca="false">IF(U274="","",INDEX('CURVA EDAD'!$E$5:$E$32,MIN(28,MAX(1,N274))))</f>
        <v/>
      </c>
      <c r="Y274" s="16" t="str">
        <f aca="false">IF(V274&lt;&gt;"",V274,IF(U274="","",U274/X274))</f>
        <v/>
      </c>
      <c r="Z274" s="16" t="str">
        <f aca="false">IF(V274&lt;&gt;"",_xlfn.MINIFS(ENSAYOS!$Q$5:$Q$3004,ENSAYOS!$C$5:$C$3004,F274,ENSAYOS!$Q$5:$Q$3004,"&gt;0",ENSAYOS!$G$5:$G$3004,"&gt;="&amp;CONFIG!$B$27),IF(U274="","",_xlfn.MINIFS(ENSAYOS!$Q$5:$Q$3004,ENSAYOS!$C$5:$C$3004,F274,ENSAYOS!$Q$5:$Q$3004,"&gt;0",ENSAYOS!$G$5:$G$3004,N274)/X274))</f>
        <v/>
      </c>
      <c r="AA274" s="16" t="str">
        <f aca="false">IF(D274="","",IFERROR(1/(1/INDEX(CONFIG!$J$5:$J$14,MATCH(D274,CONFIG!$D$5:$D$14,0))),""))</f>
        <v/>
      </c>
      <c r="AB274" s="16" t="str">
        <f aca="false">IF(D274="","",IFERROR(1/(1/INDEX(CONFIG!$K$5:$K$14,MATCH(D274,CONFIG!$D$5:$D$14,0))),""))</f>
        <v/>
      </c>
      <c r="AC274" s="19" t="str">
        <f aca="false">IF(N(M274)=0,"",IF(AA274="","Sin spec",IF(AND(Y274&gt;=AA274,OR(AB274="",Z274&gt;=AB274)),"CUMPLE","NO CUMPLE")&amp;IF(V274=""," (est.)","")))</f>
        <v/>
      </c>
      <c r="AD274" s="20" t="str">
        <f aca="false">IF(F274="","",IF(COUNTIFS(ABSORCION!$C$5:$C$1004,F274,ABSORCION!$I$5:$I$1004,"&gt;0")=0,"",AVERAGEIFS(ABSORCION!$I$5:$I$1004,ABSORCION!$C$5:$C$1004,F274,ABSORCION!$I$5:$I$1004,"&gt;0")))</f>
        <v/>
      </c>
      <c r="AE274" s="20" t="str">
        <f aca="false">IF(F274="","",IF(COUNTIFS(ABSORCION!$C$5:$C$1004,F274,ABSORCION!$I$5:$I$1004,"&gt;0")=0,"",AVERAGEIFS(ABSORCION!$K$5:$K$1004,ABSORCION!$C$5:$C$1004,F274,ABSORCION!$I$5:$I$1004,"&gt;0")))</f>
        <v/>
      </c>
      <c r="AF274" s="20" t="str">
        <f aca="false">IF(AE274="","",IF(AE274&gt;=CONFIG!$E$21,CONFIG!$F$21,IF(AE274&gt;=CONFIG!$E$20,CONFIG!$F$20,CONFIG!$F$19)))</f>
        <v/>
      </c>
      <c r="AG274" s="21" t="str">
        <f aca="false">IF(F274="","",TRIM(IF(N(M274)=0,"Sin ensayos. ","")&amp;IF(AND(N(M274)&gt;0,N(M274)&lt;CONFIG!$B$26),"Menos de "&amp;CONFIG!$B$26&amp;" probetas. ","")&amp;IF(N(T274)&gt;CONFIG!$B$25,"CV alto. ","")&amp;IF(AND(N(AD274)&gt;0,N(AD274)&gt;N(AF274)),"Absorción alta. ","")))</f>
        <v/>
      </c>
      <c r="AH274" s="22" t="str">
        <f aca="false">IF(AND(N(M274)&gt;0,OR(CONTROL!$C$4="TODAS",C274=CONTROL!$C$4),D274=CONTROL!$C$5),MAX($AH$4:AH273)+1,"")</f>
        <v/>
      </c>
      <c r="AI274" s="22" t="str">
        <f aca="false">IF(AH274="","",P274^2)</f>
        <v/>
      </c>
    </row>
    <row r="275" customFormat="false" ht="15" hidden="false" customHeight="false" outlineLevel="0" collapsed="false">
      <c r="A275" s="11" t="str">
        <f aca="false">IF(B275="","",ROW()-4)</f>
        <v/>
      </c>
      <c r="B275" s="12"/>
      <c r="C275" s="13"/>
      <c r="D275" s="13"/>
      <c r="E275" s="13"/>
      <c r="F275" s="14" t="str">
        <f aca="false">IF(OR(B275="",C275="",D275=""),"",IFERROR(INDEX(CONFIG!$E$5:$E$14,MATCH(D275,CONFIG!$D$5:$D$14,0)),"?")&amp;RIGHT("0"&amp;DAY(B275),2)&amp;RIGHT("0"&amp;MONTH(B275),2)&amp;RIGHT(YEAR(B275),2)&amp;C275&amp;IF(E275="","","-"&amp;E275))</f>
        <v/>
      </c>
      <c r="G275" s="13"/>
      <c r="H275" s="13"/>
      <c r="I275" s="13"/>
      <c r="J275" s="13"/>
      <c r="K275" s="13"/>
      <c r="L275" s="13"/>
      <c r="M275" s="11" t="str">
        <f aca="false">IF(F275="","",COUNTIFS(ENSAYOS!$C$5:$C$3004,F275,ENSAYOS!$Q$5:$Q$3004,"&gt;0"))</f>
        <v/>
      </c>
      <c r="N275" s="15" t="str">
        <f aca="false">IF(N(M275)=0,"",_xlfn.MINIFS(ENSAYOS!$G$5:$G$3004,ENSAYOS!$C$5:$C$3004,F275,ENSAYOS!$Q$5:$Q$3004,"&gt;0"))</f>
        <v/>
      </c>
      <c r="O275" s="15" t="str">
        <f aca="false">IF(N(M275)=0,"",_xlfn.MAXIFS(ENSAYOS!$G$5:$G$3004,ENSAYOS!$C$5:$C$3004,F275,ENSAYOS!$Q$5:$Q$3004,"&gt;0"))</f>
        <v/>
      </c>
      <c r="P275" s="16" t="str">
        <f aca="false">IF(N(M275)=0,"",AVERAGEIFS(ENSAYOS!$Q$5:$Q$3004,ENSAYOS!$C$5:$C$3004,F275,ENSAYOS!$Q$5:$Q$3004,"&gt;0"))</f>
        <v/>
      </c>
      <c r="Q275" s="16" t="str">
        <f aca="false">IF(N(M275)=0,"",_xlfn.MINIFS(ENSAYOS!$Q$5:$Q$3004,ENSAYOS!$C$5:$C$3004,F275,ENSAYOS!$Q$5:$Q$3004,"&gt;0"))</f>
        <v/>
      </c>
      <c r="R275" s="16" t="str">
        <f aca="false">IF(N(M275)=0,"",_xlfn.MAXIFS(ENSAYOS!$Q$5:$Q$3004,ENSAYOS!$C$5:$C$3004,F275,ENSAYOS!$Q$5:$Q$3004,"&gt;0"))</f>
        <v/>
      </c>
      <c r="S275" s="16" t="str">
        <f aca="false">IF(N(M275)&lt;2,"",SQRT(MAX(0,(SUMIFS(ENSAYOS!$X$5:$X$3004,ENSAYOS!$C$5:$C$3004,F275,ENSAYOS!$Q$5:$Q$3004,"&gt;0")-M275*P275^2)/(M275-1))))</f>
        <v/>
      </c>
      <c r="T275" s="17" t="str">
        <f aca="false">IF(S275="","",S275/P275)</f>
        <v/>
      </c>
      <c r="U275" s="16" t="str">
        <f aca="false">IF(N(M275)=0,"",IF(N275&gt;=CONFIG!$B$27,"",AVERAGEIFS(ENSAYOS!$Q$5:$Q$3004,ENSAYOS!$C$5:$C$3004,F275,ENSAYOS!$Q$5:$Q$3004,"&gt;0",ENSAYOS!$G$5:$G$3004,N275)))</f>
        <v/>
      </c>
      <c r="V275" s="16" t="str">
        <f aca="false">IF(N(M275)=0,"",IF(COUNTIFS(ENSAYOS!$C$5:$C$3004,F275,ENSAYOS!$Q$5:$Q$3004,"&gt;0",ENSAYOS!$G$5:$G$3004,"&gt;="&amp;CONFIG!$B$27)=0,"",AVERAGEIFS(ENSAYOS!$Q$5:$Q$3004,ENSAYOS!$C$5:$C$3004,F275,ENSAYOS!$Q$5:$Q$3004,"&gt;0",ENSAYOS!$G$5:$G$3004,"&gt;="&amp;CONFIG!$B$27)))</f>
        <v/>
      </c>
      <c r="W275" s="18" t="str">
        <f aca="false">IF(AND(U275&lt;&gt;"",V275&lt;&gt;""),U275/V275,"")</f>
        <v/>
      </c>
      <c r="X275" s="18" t="str">
        <f aca="false">IF(U275="","",INDEX('CURVA EDAD'!$E$5:$E$32,MIN(28,MAX(1,N275))))</f>
        <v/>
      </c>
      <c r="Y275" s="16" t="str">
        <f aca="false">IF(V275&lt;&gt;"",V275,IF(U275="","",U275/X275))</f>
        <v/>
      </c>
      <c r="Z275" s="16" t="str">
        <f aca="false">IF(V275&lt;&gt;"",_xlfn.MINIFS(ENSAYOS!$Q$5:$Q$3004,ENSAYOS!$C$5:$C$3004,F275,ENSAYOS!$Q$5:$Q$3004,"&gt;0",ENSAYOS!$G$5:$G$3004,"&gt;="&amp;CONFIG!$B$27),IF(U275="","",_xlfn.MINIFS(ENSAYOS!$Q$5:$Q$3004,ENSAYOS!$C$5:$C$3004,F275,ENSAYOS!$Q$5:$Q$3004,"&gt;0",ENSAYOS!$G$5:$G$3004,N275)/X275))</f>
        <v/>
      </c>
      <c r="AA275" s="16" t="str">
        <f aca="false">IF(D275="","",IFERROR(1/(1/INDEX(CONFIG!$J$5:$J$14,MATCH(D275,CONFIG!$D$5:$D$14,0))),""))</f>
        <v/>
      </c>
      <c r="AB275" s="16" t="str">
        <f aca="false">IF(D275="","",IFERROR(1/(1/INDEX(CONFIG!$K$5:$K$14,MATCH(D275,CONFIG!$D$5:$D$14,0))),""))</f>
        <v/>
      </c>
      <c r="AC275" s="19" t="str">
        <f aca="false">IF(N(M275)=0,"",IF(AA275="","Sin spec",IF(AND(Y275&gt;=AA275,OR(AB275="",Z275&gt;=AB275)),"CUMPLE","NO CUMPLE")&amp;IF(V275=""," (est.)","")))</f>
        <v/>
      </c>
      <c r="AD275" s="20" t="str">
        <f aca="false">IF(F275="","",IF(COUNTIFS(ABSORCION!$C$5:$C$1004,F275,ABSORCION!$I$5:$I$1004,"&gt;0")=0,"",AVERAGEIFS(ABSORCION!$I$5:$I$1004,ABSORCION!$C$5:$C$1004,F275,ABSORCION!$I$5:$I$1004,"&gt;0")))</f>
        <v/>
      </c>
      <c r="AE275" s="20" t="str">
        <f aca="false">IF(F275="","",IF(COUNTIFS(ABSORCION!$C$5:$C$1004,F275,ABSORCION!$I$5:$I$1004,"&gt;0")=0,"",AVERAGEIFS(ABSORCION!$K$5:$K$1004,ABSORCION!$C$5:$C$1004,F275,ABSORCION!$I$5:$I$1004,"&gt;0")))</f>
        <v/>
      </c>
      <c r="AF275" s="20" t="str">
        <f aca="false">IF(AE275="","",IF(AE275&gt;=CONFIG!$E$21,CONFIG!$F$21,IF(AE275&gt;=CONFIG!$E$20,CONFIG!$F$20,CONFIG!$F$19)))</f>
        <v/>
      </c>
      <c r="AG275" s="21" t="str">
        <f aca="false">IF(F275="","",TRIM(IF(N(M275)=0,"Sin ensayos. ","")&amp;IF(AND(N(M275)&gt;0,N(M275)&lt;CONFIG!$B$26),"Menos de "&amp;CONFIG!$B$26&amp;" probetas. ","")&amp;IF(N(T275)&gt;CONFIG!$B$25,"CV alto. ","")&amp;IF(AND(N(AD275)&gt;0,N(AD275)&gt;N(AF275)),"Absorción alta. ","")))</f>
        <v/>
      </c>
      <c r="AH275" s="22" t="str">
        <f aca="false">IF(AND(N(M275)&gt;0,OR(CONTROL!$C$4="TODAS",C275=CONTROL!$C$4),D275=CONTROL!$C$5),MAX($AH$4:AH274)+1,"")</f>
        <v/>
      </c>
      <c r="AI275" s="22" t="str">
        <f aca="false">IF(AH275="","",P275^2)</f>
        <v/>
      </c>
    </row>
    <row r="276" customFormat="false" ht="15" hidden="false" customHeight="false" outlineLevel="0" collapsed="false">
      <c r="A276" s="11" t="str">
        <f aca="false">IF(B276="","",ROW()-4)</f>
        <v/>
      </c>
      <c r="B276" s="12"/>
      <c r="C276" s="13"/>
      <c r="D276" s="13"/>
      <c r="E276" s="13"/>
      <c r="F276" s="14" t="str">
        <f aca="false">IF(OR(B276="",C276="",D276=""),"",IFERROR(INDEX(CONFIG!$E$5:$E$14,MATCH(D276,CONFIG!$D$5:$D$14,0)),"?")&amp;RIGHT("0"&amp;DAY(B276),2)&amp;RIGHT("0"&amp;MONTH(B276),2)&amp;RIGHT(YEAR(B276),2)&amp;C276&amp;IF(E276="","","-"&amp;E276))</f>
        <v/>
      </c>
      <c r="G276" s="13"/>
      <c r="H276" s="13"/>
      <c r="I276" s="13"/>
      <c r="J276" s="13"/>
      <c r="K276" s="13"/>
      <c r="L276" s="13"/>
      <c r="M276" s="11" t="str">
        <f aca="false">IF(F276="","",COUNTIFS(ENSAYOS!$C$5:$C$3004,F276,ENSAYOS!$Q$5:$Q$3004,"&gt;0"))</f>
        <v/>
      </c>
      <c r="N276" s="15" t="str">
        <f aca="false">IF(N(M276)=0,"",_xlfn.MINIFS(ENSAYOS!$G$5:$G$3004,ENSAYOS!$C$5:$C$3004,F276,ENSAYOS!$Q$5:$Q$3004,"&gt;0"))</f>
        <v/>
      </c>
      <c r="O276" s="15" t="str">
        <f aca="false">IF(N(M276)=0,"",_xlfn.MAXIFS(ENSAYOS!$G$5:$G$3004,ENSAYOS!$C$5:$C$3004,F276,ENSAYOS!$Q$5:$Q$3004,"&gt;0"))</f>
        <v/>
      </c>
      <c r="P276" s="16" t="str">
        <f aca="false">IF(N(M276)=0,"",AVERAGEIFS(ENSAYOS!$Q$5:$Q$3004,ENSAYOS!$C$5:$C$3004,F276,ENSAYOS!$Q$5:$Q$3004,"&gt;0"))</f>
        <v/>
      </c>
      <c r="Q276" s="16" t="str">
        <f aca="false">IF(N(M276)=0,"",_xlfn.MINIFS(ENSAYOS!$Q$5:$Q$3004,ENSAYOS!$C$5:$C$3004,F276,ENSAYOS!$Q$5:$Q$3004,"&gt;0"))</f>
        <v/>
      </c>
      <c r="R276" s="16" t="str">
        <f aca="false">IF(N(M276)=0,"",_xlfn.MAXIFS(ENSAYOS!$Q$5:$Q$3004,ENSAYOS!$C$5:$C$3004,F276,ENSAYOS!$Q$5:$Q$3004,"&gt;0"))</f>
        <v/>
      </c>
      <c r="S276" s="16" t="str">
        <f aca="false">IF(N(M276)&lt;2,"",SQRT(MAX(0,(SUMIFS(ENSAYOS!$X$5:$X$3004,ENSAYOS!$C$5:$C$3004,F276,ENSAYOS!$Q$5:$Q$3004,"&gt;0")-M276*P276^2)/(M276-1))))</f>
        <v/>
      </c>
      <c r="T276" s="17" t="str">
        <f aca="false">IF(S276="","",S276/P276)</f>
        <v/>
      </c>
      <c r="U276" s="16" t="str">
        <f aca="false">IF(N(M276)=0,"",IF(N276&gt;=CONFIG!$B$27,"",AVERAGEIFS(ENSAYOS!$Q$5:$Q$3004,ENSAYOS!$C$5:$C$3004,F276,ENSAYOS!$Q$5:$Q$3004,"&gt;0",ENSAYOS!$G$5:$G$3004,N276)))</f>
        <v/>
      </c>
      <c r="V276" s="16" t="str">
        <f aca="false">IF(N(M276)=0,"",IF(COUNTIFS(ENSAYOS!$C$5:$C$3004,F276,ENSAYOS!$Q$5:$Q$3004,"&gt;0",ENSAYOS!$G$5:$G$3004,"&gt;="&amp;CONFIG!$B$27)=0,"",AVERAGEIFS(ENSAYOS!$Q$5:$Q$3004,ENSAYOS!$C$5:$C$3004,F276,ENSAYOS!$Q$5:$Q$3004,"&gt;0",ENSAYOS!$G$5:$G$3004,"&gt;="&amp;CONFIG!$B$27)))</f>
        <v/>
      </c>
      <c r="W276" s="18" t="str">
        <f aca="false">IF(AND(U276&lt;&gt;"",V276&lt;&gt;""),U276/V276,"")</f>
        <v/>
      </c>
      <c r="X276" s="18" t="str">
        <f aca="false">IF(U276="","",INDEX('CURVA EDAD'!$E$5:$E$32,MIN(28,MAX(1,N276))))</f>
        <v/>
      </c>
      <c r="Y276" s="16" t="str">
        <f aca="false">IF(V276&lt;&gt;"",V276,IF(U276="","",U276/X276))</f>
        <v/>
      </c>
      <c r="Z276" s="16" t="str">
        <f aca="false">IF(V276&lt;&gt;"",_xlfn.MINIFS(ENSAYOS!$Q$5:$Q$3004,ENSAYOS!$C$5:$C$3004,F276,ENSAYOS!$Q$5:$Q$3004,"&gt;0",ENSAYOS!$G$5:$G$3004,"&gt;="&amp;CONFIG!$B$27),IF(U276="","",_xlfn.MINIFS(ENSAYOS!$Q$5:$Q$3004,ENSAYOS!$C$5:$C$3004,F276,ENSAYOS!$Q$5:$Q$3004,"&gt;0",ENSAYOS!$G$5:$G$3004,N276)/X276))</f>
        <v/>
      </c>
      <c r="AA276" s="16" t="str">
        <f aca="false">IF(D276="","",IFERROR(1/(1/INDEX(CONFIG!$J$5:$J$14,MATCH(D276,CONFIG!$D$5:$D$14,0))),""))</f>
        <v/>
      </c>
      <c r="AB276" s="16" t="str">
        <f aca="false">IF(D276="","",IFERROR(1/(1/INDEX(CONFIG!$K$5:$K$14,MATCH(D276,CONFIG!$D$5:$D$14,0))),""))</f>
        <v/>
      </c>
      <c r="AC276" s="19" t="str">
        <f aca="false">IF(N(M276)=0,"",IF(AA276="","Sin spec",IF(AND(Y276&gt;=AA276,OR(AB276="",Z276&gt;=AB276)),"CUMPLE","NO CUMPLE")&amp;IF(V276=""," (est.)","")))</f>
        <v/>
      </c>
      <c r="AD276" s="20" t="str">
        <f aca="false">IF(F276="","",IF(COUNTIFS(ABSORCION!$C$5:$C$1004,F276,ABSORCION!$I$5:$I$1004,"&gt;0")=0,"",AVERAGEIFS(ABSORCION!$I$5:$I$1004,ABSORCION!$C$5:$C$1004,F276,ABSORCION!$I$5:$I$1004,"&gt;0")))</f>
        <v/>
      </c>
      <c r="AE276" s="20" t="str">
        <f aca="false">IF(F276="","",IF(COUNTIFS(ABSORCION!$C$5:$C$1004,F276,ABSORCION!$I$5:$I$1004,"&gt;0")=0,"",AVERAGEIFS(ABSORCION!$K$5:$K$1004,ABSORCION!$C$5:$C$1004,F276,ABSORCION!$I$5:$I$1004,"&gt;0")))</f>
        <v/>
      </c>
      <c r="AF276" s="20" t="str">
        <f aca="false">IF(AE276="","",IF(AE276&gt;=CONFIG!$E$21,CONFIG!$F$21,IF(AE276&gt;=CONFIG!$E$20,CONFIG!$F$20,CONFIG!$F$19)))</f>
        <v/>
      </c>
      <c r="AG276" s="21" t="str">
        <f aca="false">IF(F276="","",TRIM(IF(N(M276)=0,"Sin ensayos. ","")&amp;IF(AND(N(M276)&gt;0,N(M276)&lt;CONFIG!$B$26),"Menos de "&amp;CONFIG!$B$26&amp;" probetas. ","")&amp;IF(N(T276)&gt;CONFIG!$B$25,"CV alto. ","")&amp;IF(AND(N(AD276)&gt;0,N(AD276)&gt;N(AF276)),"Absorción alta. ","")))</f>
        <v/>
      </c>
      <c r="AH276" s="22" t="str">
        <f aca="false">IF(AND(N(M276)&gt;0,OR(CONTROL!$C$4="TODAS",C276=CONTROL!$C$4),D276=CONTROL!$C$5),MAX($AH$4:AH275)+1,"")</f>
        <v/>
      </c>
      <c r="AI276" s="22" t="str">
        <f aca="false">IF(AH276="","",P276^2)</f>
        <v/>
      </c>
    </row>
    <row r="277" customFormat="false" ht="15" hidden="false" customHeight="false" outlineLevel="0" collapsed="false">
      <c r="A277" s="11" t="str">
        <f aca="false">IF(B277="","",ROW()-4)</f>
        <v/>
      </c>
      <c r="B277" s="12"/>
      <c r="C277" s="13"/>
      <c r="D277" s="13"/>
      <c r="E277" s="13"/>
      <c r="F277" s="14" t="str">
        <f aca="false">IF(OR(B277="",C277="",D277=""),"",IFERROR(INDEX(CONFIG!$E$5:$E$14,MATCH(D277,CONFIG!$D$5:$D$14,0)),"?")&amp;RIGHT("0"&amp;DAY(B277),2)&amp;RIGHT("0"&amp;MONTH(B277),2)&amp;RIGHT(YEAR(B277),2)&amp;C277&amp;IF(E277="","","-"&amp;E277))</f>
        <v/>
      </c>
      <c r="G277" s="13"/>
      <c r="H277" s="13"/>
      <c r="I277" s="13"/>
      <c r="J277" s="13"/>
      <c r="K277" s="13"/>
      <c r="L277" s="13"/>
      <c r="M277" s="11" t="str">
        <f aca="false">IF(F277="","",COUNTIFS(ENSAYOS!$C$5:$C$3004,F277,ENSAYOS!$Q$5:$Q$3004,"&gt;0"))</f>
        <v/>
      </c>
      <c r="N277" s="15" t="str">
        <f aca="false">IF(N(M277)=0,"",_xlfn.MINIFS(ENSAYOS!$G$5:$G$3004,ENSAYOS!$C$5:$C$3004,F277,ENSAYOS!$Q$5:$Q$3004,"&gt;0"))</f>
        <v/>
      </c>
      <c r="O277" s="15" t="str">
        <f aca="false">IF(N(M277)=0,"",_xlfn.MAXIFS(ENSAYOS!$G$5:$G$3004,ENSAYOS!$C$5:$C$3004,F277,ENSAYOS!$Q$5:$Q$3004,"&gt;0"))</f>
        <v/>
      </c>
      <c r="P277" s="16" t="str">
        <f aca="false">IF(N(M277)=0,"",AVERAGEIFS(ENSAYOS!$Q$5:$Q$3004,ENSAYOS!$C$5:$C$3004,F277,ENSAYOS!$Q$5:$Q$3004,"&gt;0"))</f>
        <v/>
      </c>
      <c r="Q277" s="16" t="str">
        <f aca="false">IF(N(M277)=0,"",_xlfn.MINIFS(ENSAYOS!$Q$5:$Q$3004,ENSAYOS!$C$5:$C$3004,F277,ENSAYOS!$Q$5:$Q$3004,"&gt;0"))</f>
        <v/>
      </c>
      <c r="R277" s="16" t="str">
        <f aca="false">IF(N(M277)=0,"",_xlfn.MAXIFS(ENSAYOS!$Q$5:$Q$3004,ENSAYOS!$C$5:$C$3004,F277,ENSAYOS!$Q$5:$Q$3004,"&gt;0"))</f>
        <v/>
      </c>
      <c r="S277" s="16" t="str">
        <f aca="false">IF(N(M277)&lt;2,"",SQRT(MAX(0,(SUMIFS(ENSAYOS!$X$5:$X$3004,ENSAYOS!$C$5:$C$3004,F277,ENSAYOS!$Q$5:$Q$3004,"&gt;0")-M277*P277^2)/(M277-1))))</f>
        <v/>
      </c>
      <c r="T277" s="17" t="str">
        <f aca="false">IF(S277="","",S277/P277)</f>
        <v/>
      </c>
      <c r="U277" s="16" t="str">
        <f aca="false">IF(N(M277)=0,"",IF(N277&gt;=CONFIG!$B$27,"",AVERAGEIFS(ENSAYOS!$Q$5:$Q$3004,ENSAYOS!$C$5:$C$3004,F277,ENSAYOS!$Q$5:$Q$3004,"&gt;0",ENSAYOS!$G$5:$G$3004,N277)))</f>
        <v/>
      </c>
      <c r="V277" s="16" t="str">
        <f aca="false">IF(N(M277)=0,"",IF(COUNTIFS(ENSAYOS!$C$5:$C$3004,F277,ENSAYOS!$Q$5:$Q$3004,"&gt;0",ENSAYOS!$G$5:$G$3004,"&gt;="&amp;CONFIG!$B$27)=0,"",AVERAGEIFS(ENSAYOS!$Q$5:$Q$3004,ENSAYOS!$C$5:$C$3004,F277,ENSAYOS!$Q$5:$Q$3004,"&gt;0",ENSAYOS!$G$5:$G$3004,"&gt;="&amp;CONFIG!$B$27)))</f>
        <v/>
      </c>
      <c r="W277" s="18" t="str">
        <f aca="false">IF(AND(U277&lt;&gt;"",V277&lt;&gt;""),U277/V277,"")</f>
        <v/>
      </c>
      <c r="X277" s="18" t="str">
        <f aca="false">IF(U277="","",INDEX('CURVA EDAD'!$E$5:$E$32,MIN(28,MAX(1,N277))))</f>
        <v/>
      </c>
      <c r="Y277" s="16" t="str">
        <f aca="false">IF(V277&lt;&gt;"",V277,IF(U277="","",U277/X277))</f>
        <v/>
      </c>
      <c r="Z277" s="16" t="str">
        <f aca="false">IF(V277&lt;&gt;"",_xlfn.MINIFS(ENSAYOS!$Q$5:$Q$3004,ENSAYOS!$C$5:$C$3004,F277,ENSAYOS!$Q$5:$Q$3004,"&gt;0",ENSAYOS!$G$5:$G$3004,"&gt;="&amp;CONFIG!$B$27),IF(U277="","",_xlfn.MINIFS(ENSAYOS!$Q$5:$Q$3004,ENSAYOS!$C$5:$C$3004,F277,ENSAYOS!$Q$5:$Q$3004,"&gt;0",ENSAYOS!$G$5:$G$3004,N277)/X277))</f>
        <v/>
      </c>
      <c r="AA277" s="16" t="str">
        <f aca="false">IF(D277="","",IFERROR(1/(1/INDEX(CONFIG!$J$5:$J$14,MATCH(D277,CONFIG!$D$5:$D$14,0))),""))</f>
        <v/>
      </c>
      <c r="AB277" s="16" t="str">
        <f aca="false">IF(D277="","",IFERROR(1/(1/INDEX(CONFIG!$K$5:$K$14,MATCH(D277,CONFIG!$D$5:$D$14,0))),""))</f>
        <v/>
      </c>
      <c r="AC277" s="19" t="str">
        <f aca="false">IF(N(M277)=0,"",IF(AA277="","Sin spec",IF(AND(Y277&gt;=AA277,OR(AB277="",Z277&gt;=AB277)),"CUMPLE","NO CUMPLE")&amp;IF(V277=""," (est.)","")))</f>
        <v/>
      </c>
      <c r="AD277" s="20" t="str">
        <f aca="false">IF(F277="","",IF(COUNTIFS(ABSORCION!$C$5:$C$1004,F277,ABSORCION!$I$5:$I$1004,"&gt;0")=0,"",AVERAGEIFS(ABSORCION!$I$5:$I$1004,ABSORCION!$C$5:$C$1004,F277,ABSORCION!$I$5:$I$1004,"&gt;0")))</f>
        <v/>
      </c>
      <c r="AE277" s="20" t="str">
        <f aca="false">IF(F277="","",IF(COUNTIFS(ABSORCION!$C$5:$C$1004,F277,ABSORCION!$I$5:$I$1004,"&gt;0")=0,"",AVERAGEIFS(ABSORCION!$K$5:$K$1004,ABSORCION!$C$5:$C$1004,F277,ABSORCION!$I$5:$I$1004,"&gt;0")))</f>
        <v/>
      </c>
      <c r="AF277" s="20" t="str">
        <f aca="false">IF(AE277="","",IF(AE277&gt;=CONFIG!$E$21,CONFIG!$F$21,IF(AE277&gt;=CONFIG!$E$20,CONFIG!$F$20,CONFIG!$F$19)))</f>
        <v/>
      </c>
      <c r="AG277" s="21" t="str">
        <f aca="false">IF(F277="","",TRIM(IF(N(M277)=0,"Sin ensayos. ","")&amp;IF(AND(N(M277)&gt;0,N(M277)&lt;CONFIG!$B$26),"Menos de "&amp;CONFIG!$B$26&amp;" probetas. ","")&amp;IF(N(T277)&gt;CONFIG!$B$25,"CV alto. ","")&amp;IF(AND(N(AD277)&gt;0,N(AD277)&gt;N(AF277)),"Absorción alta. ","")))</f>
        <v/>
      </c>
      <c r="AH277" s="22" t="str">
        <f aca="false">IF(AND(N(M277)&gt;0,OR(CONTROL!$C$4="TODAS",C277=CONTROL!$C$4),D277=CONTROL!$C$5),MAX($AH$4:AH276)+1,"")</f>
        <v/>
      </c>
      <c r="AI277" s="22" t="str">
        <f aca="false">IF(AH277="","",P277^2)</f>
        <v/>
      </c>
    </row>
    <row r="278" customFormat="false" ht="15" hidden="false" customHeight="false" outlineLevel="0" collapsed="false">
      <c r="A278" s="11" t="str">
        <f aca="false">IF(B278="","",ROW()-4)</f>
        <v/>
      </c>
      <c r="B278" s="12"/>
      <c r="C278" s="13"/>
      <c r="D278" s="13"/>
      <c r="E278" s="13"/>
      <c r="F278" s="14" t="str">
        <f aca="false">IF(OR(B278="",C278="",D278=""),"",IFERROR(INDEX(CONFIG!$E$5:$E$14,MATCH(D278,CONFIG!$D$5:$D$14,0)),"?")&amp;RIGHT("0"&amp;DAY(B278),2)&amp;RIGHT("0"&amp;MONTH(B278),2)&amp;RIGHT(YEAR(B278),2)&amp;C278&amp;IF(E278="","","-"&amp;E278))</f>
        <v/>
      </c>
      <c r="G278" s="13"/>
      <c r="H278" s="13"/>
      <c r="I278" s="13"/>
      <c r="J278" s="13"/>
      <c r="K278" s="13"/>
      <c r="L278" s="13"/>
      <c r="M278" s="11" t="str">
        <f aca="false">IF(F278="","",COUNTIFS(ENSAYOS!$C$5:$C$3004,F278,ENSAYOS!$Q$5:$Q$3004,"&gt;0"))</f>
        <v/>
      </c>
      <c r="N278" s="15" t="str">
        <f aca="false">IF(N(M278)=0,"",_xlfn.MINIFS(ENSAYOS!$G$5:$G$3004,ENSAYOS!$C$5:$C$3004,F278,ENSAYOS!$Q$5:$Q$3004,"&gt;0"))</f>
        <v/>
      </c>
      <c r="O278" s="15" t="str">
        <f aca="false">IF(N(M278)=0,"",_xlfn.MAXIFS(ENSAYOS!$G$5:$G$3004,ENSAYOS!$C$5:$C$3004,F278,ENSAYOS!$Q$5:$Q$3004,"&gt;0"))</f>
        <v/>
      </c>
      <c r="P278" s="16" t="str">
        <f aca="false">IF(N(M278)=0,"",AVERAGEIFS(ENSAYOS!$Q$5:$Q$3004,ENSAYOS!$C$5:$C$3004,F278,ENSAYOS!$Q$5:$Q$3004,"&gt;0"))</f>
        <v/>
      </c>
      <c r="Q278" s="16" t="str">
        <f aca="false">IF(N(M278)=0,"",_xlfn.MINIFS(ENSAYOS!$Q$5:$Q$3004,ENSAYOS!$C$5:$C$3004,F278,ENSAYOS!$Q$5:$Q$3004,"&gt;0"))</f>
        <v/>
      </c>
      <c r="R278" s="16" t="str">
        <f aca="false">IF(N(M278)=0,"",_xlfn.MAXIFS(ENSAYOS!$Q$5:$Q$3004,ENSAYOS!$C$5:$C$3004,F278,ENSAYOS!$Q$5:$Q$3004,"&gt;0"))</f>
        <v/>
      </c>
      <c r="S278" s="16" t="str">
        <f aca="false">IF(N(M278)&lt;2,"",SQRT(MAX(0,(SUMIFS(ENSAYOS!$X$5:$X$3004,ENSAYOS!$C$5:$C$3004,F278,ENSAYOS!$Q$5:$Q$3004,"&gt;0")-M278*P278^2)/(M278-1))))</f>
        <v/>
      </c>
      <c r="T278" s="17" t="str">
        <f aca="false">IF(S278="","",S278/P278)</f>
        <v/>
      </c>
      <c r="U278" s="16" t="str">
        <f aca="false">IF(N(M278)=0,"",IF(N278&gt;=CONFIG!$B$27,"",AVERAGEIFS(ENSAYOS!$Q$5:$Q$3004,ENSAYOS!$C$5:$C$3004,F278,ENSAYOS!$Q$5:$Q$3004,"&gt;0",ENSAYOS!$G$5:$G$3004,N278)))</f>
        <v/>
      </c>
      <c r="V278" s="16" t="str">
        <f aca="false">IF(N(M278)=0,"",IF(COUNTIFS(ENSAYOS!$C$5:$C$3004,F278,ENSAYOS!$Q$5:$Q$3004,"&gt;0",ENSAYOS!$G$5:$G$3004,"&gt;="&amp;CONFIG!$B$27)=0,"",AVERAGEIFS(ENSAYOS!$Q$5:$Q$3004,ENSAYOS!$C$5:$C$3004,F278,ENSAYOS!$Q$5:$Q$3004,"&gt;0",ENSAYOS!$G$5:$G$3004,"&gt;="&amp;CONFIG!$B$27)))</f>
        <v/>
      </c>
      <c r="W278" s="18" t="str">
        <f aca="false">IF(AND(U278&lt;&gt;"",V278&lt;&gt;""),U278/V278,"")</f>
        <v/>
      </c>
      <c r="X278" s="18" t="str">
        <f aca="false">IF(U278="","",INDEX('CURVA EDAD'!$E$5:$E$32,MIN(28,MAX(1,N278))))</f>
        <v/>
      </c>
      <c r="Y278" s="16" t="str">
        <f aca="false">IF(V278&lt;&gt;"",V278,IF(U278="","",U278/X278))</f>
        <v/>
      </c>
      <c r="Z278" s="16" t="str">
        <f aca="false">IF(V278&lt;&gt;"",_xlfn.MINIFS(ENSAYOS!$Q$5:$Q$3004,ENSAYOS!$C$5:$C$3004,F278,ENSAYOS!$Q$5:$Q$3004,"&gt;0",ENSAYOS!$G$5:$G$3004,"&gt;="&amp;CONFIG!$B$27),IF(U278="","",_xlfn.MINIFS(ENSAYOS!$Q$5:$Q$3004,ENSAYOS!$C$5:$C$3004,F278,ENSAYOS!$Q$5:$Q$3004,"&gt;0",ENSAYOS!$G$5:$G$3004,N278)/X278))</f>
        <v/>
      </c>
      <c r="AA278" s="16" t="str">
        <f aca="false">IF(D278="","",IFERROR(1/(1/INDEX(CONFIG!$J$5:$J$14,MATCH(D278,CONFIG!$D$5:$D$14,0))),""))</f>
        <v/>
      </c>
      <c r="AB278" s="16" t="str">
        <f aca="false">IF(D278="","",IFERROR(1/(1/INDEX(CONFIG!$K$5:$K$14,MATCH(D278,CONFIG!$D$5:$D$14,0))),""))</f>
        <v/>
      </c>
      <c r="AC278" s="19" t="str">
        <f aca="false">IF(N(M278)=0,"",IF(AA278="","Sin spec",IF(AND(Y278&gt;=AA278,OR(AB278="",Z278&gt;=AB278)),"CUMPLE","NO CUMPLE")&amp;IF(V278=""," (est.)","")))</f>
        <v/>
      </c>
      <c r="AD278" s="20" t="str">
        <f aca="false">IF(F278="","",IF(COUNTIFS(ABSORCION!$C$5:$C$1004,F278,ABSORCION!$I$5:$I$1004,"&gt;0")=0,"",AVERAGEIFS(ABSORCION!$I$5:$I$1004,ABSORCION!$C$5:$C$1004,F278,ABSORCION!$I$5:$I$1004,"&gt;0")))</f>
        <v/>
      </c>
      <c r="AE278" s="20" t="str">
        <f aca="false">IF(F278="","",IF(COUNTIFS(ABSORCION!$C$5:$C$1004,F278,ABSORCION!$I$5:$I$1004,"&gt;0")=0,"",AVERAGEIFS(ABSORCION!$K$5:$K$1004,ABSORCION!$C$5:$C$1004,F278,ABSORCION!$I$5:$I$1004,"&gt;0")))</f>
        <v/>
      </c>
      <c r="AF278" s="20" t="str">
        <f aca="false">IF(AE278="","",IF(AE278&gt;=CONFIG!$E$21,CONFIG!$F$21,IF(AE278&gt;=CONFIG!$E$20,CONFIG!$F$20,CONFIG!$F$19)))</f>
        <v/>
      </c>
      <c r="AG278" s="21" t="str">
        <f aca="false">IF(F278="","",TRIM(IF(N(M278)=0,"Sin ensayos. ","")&amp;IF(AND(N(M278)&gt;0,N(M278)&lt;CONFIG!$B$26),"Menos de "&amp;CONFIG!$B$26&amp;" probetas. ","")&amp;IF(N(T278)&gt;CONFIG!$B$25,"CV alto. ","")&amp;IF(AND(N(AD278)&gt;0,N(AD278)&gt;N(AF278)),"Absorción alta. ","")))</f>
        <v/>
      </c>
      <c r="AH278" s="22" t="str">
        <f aca="false">IF(AND(N(M278)&gt;0,OR(CONTROL!$C$4="TODAS",C278=CONTROL!$C$4),D278=CONTROL!$C$5),MAX($AH$4:AH277)+1,"")</f>
        <v/>
      </c>
      <c r="AI278" s="22" t="str">
        <f aca="false">IF(AH278="","",P278^2)</f>
        <v/>
      </c>
    </row>
    <row r="279" customFormat="false" ht="15" hidden="false" customHeight="false" outlineLevel="0" collapsed="false">
      <c r="A279" s="11" t="str">
        <f aca="false">IF(B279="","",ROW()-4)</f>
        <v/>
      </c>
      <c r="B279" s="12"/>
      <c r="C279" s="13"/>
      <c r="D279" s="13"/>
      <c r="E279" s="13"/>
      <c r="F279" s="14" t="str">
        <f aca="false">IF(OR(B279="",C279="",D279=""),"",IFERROR(INDEX(CONFIG!$E$5:$E$14,MATCH(D279,CONFIG!$D$5:$D$14,0)),"?")&amp;RIGHT("0"&amp;DAY(B279),2)&amp;RIGHT("0"&amp;MONTH(B279),2)&amp;RIGHT(YEAR(B279),2)&amp;C279&amp;IF(E279="","","-"&amp;E279))</f>
        <v/>
      </c>
      <c r="G279" s="13"/>
      <c r="H279" s="13"/>
      <c r="I279" s="13"/>
      <c r="J279" s="13"/>
      <c r="K279" s="13"/>
      <c r="L279" s="13"/>
      <c r="M279" s="11" t="str">
        <f aca="false">IF(F279="","",COUNTIFS(ENSAYOS!$C$5:$C$3004,F279,ENSAYOS!$Q$5:$Q$3004,"&gt;0"))</f>
        <v/>
      </c>
      <c r="N279" s="15" t="str">
        <f aca="false">IF(N(M279)=0,"",_xlfn.MINIFS(ENSAYOS!$G$5:$G$3004,ENSAYOS!$C$5:$C$3004,F279,ENSAYOS!$Q$5:$Q$3004,"&gt;0"))</f>
        <v/>
      </c>
      <c r="O279" s="15" t="str">
        <f aca="false">IF(N(M279)=0,"",_xlfn.MAXIFS(ENSAYOS!$G$5:$G$3004,ENSAYOS!$C$5:$C$3004,F279,ENSAYOS!$Q$5:$Q$3004,"&gt;0"))</f>
        <v/>
      </c>
      <c r="P279" s="16" t="str">
        <f aca="false">IF(N(M279)=0,"",AVERAGEIFS(ENSAYOS!$Q$5:$Q$3004,ENSAYOS!$C$5:$C$3004,F279,ENSAYOS!$Q$5:$Q$3004,"&gt;0"))</f>
        <v/>
      </c>
      <c r="Q279" s="16" t="str">
        <f aca="false">IF(N(M279)=0,"",_xlfn.MINIFS(ENSAYOS!$Q$5:$Q$3004,ENSAYOS!$C$5:$C$3004,F279,ENSAYOS!$Q$5:$Q$3004,"&gt;0"))</f>
        <v/>
      </c>
      <c r="R279" s="16" t="str">
        <f aca="false">IF(N(M279)=0,"",_xlfn.MAXIFS(ENSAYOS!$Q$5:$Q$3004,ENSAYOS!$C$5:$C$3004,F279,ENSAYOS!$Q$5:$Q$3004,"&gt;0"))</f>
        <v/>
      </c>
      <c r="S279" s="16" t="str">
        <f aca="false">IF(N(M279)&lt;2,"",SQRT(MAX(0,(SUMIFS(ENSAYOS!$X$5:$X$3004,ENSAYOS!$C$5:$C$3004,F279,ENSAYOS!$Q$5:$Q$3004,"&gt;0")-M279*P279^2)/(M279-1))))</f>
        <v/>
      </c>
      <c r="T279" s="17" t="str">
        <f aca="false">IF(S279="","",S279/P279)</f>
        <v/>
      </c>
      <c r="U279" s="16" t="str">
        <f aca="false">IF(N(M279)=0,"",IF(N279&gt;=CONFIG!$B$27,"",AVERAGEIFS(ENSAYOS!$Q$5:$Q$3004,ENSAYOS!$C$5:$C$3004,F279,ENSAYOS!$Q$5:$Q$3004,"&gt;0",ENSAYOS!$G$5:$G$3004,N279)))</f>
        <v/>
      </c>
      <c r="V279" s="16" t="str">
        <f aca="false">IF(N(M279)=0,"",IF(COUNTIFS(ENSAYOS!$C$5:$C$3004,F279,ENSAYOS!$Q$5:$Q$3004,"&gt;0",ENSAYOS!$G$5:$G$3004,"&gt;="&amp;CONFIG!$B$27)=0,"",AVERAGEIFS(ENSAYOS!$Q$5:$Q$3004,ENSAYOS!$C$5:$C$3004,F279,ENSAYOS!$Q$5:$Q$3004,"&gt;0",ENSAYOS!$G$5:$G$3004,"&gt;="&amp;CONFIG!$B$27)))</f>
        <v/>
      </c>
      <c r="W279" s="18" t="str">
        <f aca="false">IF(AND(U279&lt;&gt;"",V279&lt;&gt;""),U279/V279,"")</f>
        <v/>
      </c>
      <c r="X279" s="18" t="str">
        <f aca="false">IF(U279="","",INDEX('CURVA EDAD'!$E$5:$E$32,MIN(28,MAX(1,N279))))</f>
        <v/>
      </c>
      <c r="Y279" s="16" t="str">
        <f aca="false">IF(V279&lt;&gt;"",V279,IF(U279="","",U279/X279))</f>
        <v/>
      </c>
      <c r="Z279" s="16" t="str">
        <f aca="false">IF(V279&lt;&gt;"",_xlfn.MINIFS(ENSAYOS!$Q$5:$Q$3004,ENSAYOS!$C$5:$C$3004,F279,ENSAYOS!$Q$5:$Q$3004,"&gt;0",ENSAYOS!$G$5:$G$3004,"&gt;="&amp;CONFIG!$B$27),IF(U279="","",_xlfn.MINIFS(ENSAYOS!$Q$5:$Q$3004,ENSAYOS!$C$5:$C$3004,F279,ENSAYOS!$Q$5:$Q$3004,"&gt;0",ENSAYOS!$G$5:$G$3004,N279)/X279))</f>
        <v/>
      </c>
      <c r="AA279" s="16" t="str">
        <f aca="false">IF(D279="","",IFERROR(1/(1/INDEX(CONFIG!$J$5:$J$14,MATCH(D279,CONFIG!$D$5:$D$14,0))),""))</f>
        <v/>
      </c>
      <c r="AB279" s="16" t="str">
        <f aca="false">IF(D279="","",IFERROR(1/(1/INDEX(CONFIG!$K$5:$K$14,MATCH(D279,CONFIG!$D$5:$D$14,0))),""))</f>
        <v/>
      </c>
      <c r="AC279" s="19" t="str">
        <f aca="false">IF(N(M279)=0,"",IF(AA279="","Sin spec",IF(AND(Y279&gt;=AA279,OR(AB279="",Z279&gt;=AB279)),"CUMPLE","NO CUMPLE")&amp;IF(V279=""," (est.)","")))</f>
        <v/>
      </c>
      <c r="AD279" s="20" t="str">
        <f aca="false">IF(F279="","",IF(COUNTIFS(ABSORCION!$C$5:$C$1004,F279,ABSORCION!$I$5:$I$1004,"&gt;0")=0,"",AVERAGEIFS(ABSORCION!$I$5:$I$1004,ABSORCION!$C$5:$C$1004,F279,ABSORCION!$I$5:$I$1004,"&gt;0")))</f>
        <v/>
      </c>
      <c r="AE279" s="20" t="str">
        <f aca="false">IF(F279="","",IF(COUNTIFS(ABSORCION!$C$5:$C$1004,F279,ABSORCION!$I$5:$I$1004,"&gt;0")=0,"",AVERAGEIFS(ABSORCION!$K$5:$K$1004,ABSORCION!$C$5:$C$1004,F279,ABSORCION!$I$5:$I$1004,"&gt;0")))</f>
        <v/>
      </c>
      <c r="AF279" s="20" t="str">
        <f aca="false">IF(AE279="","",IF(AE279&gt;=CONFIG!$E$21,CONFIG!$F$21,IF(AE279&gt;=CONFIG!$E$20,CONFIG!$F$20,CONFIG!$F$19)))</f>
        <v/>
      </c>
      <c r="AG279" s="21" t="str">
        <f aca="false">IF(F279="","",TRIM(IF(N(M279)=0,"Sin ensayos. ","")&amp;IF(AND(N(M279)&gt;0,N(M279)&lt;CONFIG!$B$26),"Menos de "&amp;CONFIG!$B$26&amp;" probetas. ","")&amp;IF(N(T279)&gt;CONFIG!$B$25,"CV alto. ","")&amp;IF(AND(N(AD279)&gt;0,N(AD279)&gt;N(AF279)),"Absorción alta. ","")))</f>
        <v/>
      </c>
      <c r="AH279" s="22" t="str">
        <f aca="false">IF(AND(N(M279)&gt;0,OR(CONTROL!$C$4="TODAS",C279=CONTROL!$C$4),D279=CONTROL!$C$5),MAX($AH$4:AH278)+1,"")</f>
        <v/>
      </c>
      <c r="AI279" s="22" t="str">
        <f aca="false">IF(AH279="","",P279^2)</f>
        <v/>
      </c>
    </row>
    <row r="280" customFormat="false" ht="15" hidden="false" customHeight="false" outlineLevel="0" collapsed="false">
      <c r="A280" s="11" t="str">
        <f aca="false">IF(B280="","",ROW()-4)</f>
        <v/>
      </c>
      <c r="B280" s="12"/>
      <c r="C280" s="13"/>
      <c r="D280" s="13"/>
      <c r="E280" s="13"/>
      <c r="F280" s="14" t="str">
        <f aca="false">IF(OR(B280="",C280="",D280=""),"",IFERROR(INDEX(CONFIG!$E$5:$E$14,MATCH(D280,CONFIG!$D$5:$D$14,0)),"?")&amp;RIGHT("0"&amp;DAY(B280),2)&amp;RIGHT("0"&amp;MONTH(B280),2)&amp;RIGHT(YEAR(B280),2)&amp;C280&amp;IF(E280="","","-"&amp;E280))</f>
        <v/>
      </c>
      <c r="G280" s="13"/>
      <c r="H280" s="13"/>
      <c r="I280" s="13"/>
      <c r="J280" s="13"/>
      <c r="K280" s="13"/>
      <c r="L280" s="13"/>
      <c r="M280" s="11" t="str">
        <f aca="false">IF(F280="","",COUNTIFS(ENSAYOS!$C$5:$C$3004,F280,ENSAYOS!$Q$5:$Q$3004,"&gt;0"))</f>
        <v/>
      </c>
      <c r="N280" s="15" t="str">
        <f aca="false">IF(N(M280)=0,"",_xlfn.MINIFS(ENSAYOS!$G$5:$G$3004,ENSAYOS!$C$5:$C$3004,F280,ENSAYOS!$Q$5:$Q$3004,"&gt;0"))</f>
        <v/>
      </c>
      <c r="O280" s="15" t="str">
        <f aca="false">IF(N(M280)=0,"",_xlfn.MAXIFS(ENSAYOS!$G$5:$G$3004,ENSAYOS!$C$5:$C$3004,F280,ENSAYOS!$Q$5:$Q$3004,"&gt;0"))</f>
        <v/>
      </c>
      <c r="P280" s="16" t="str">
        <f aca="false">IF(N(M280)=0,"",AVERAGEIFS(ENSAYOS!$Q$5:$Q$3004,ENSAYOS!$C$5:$C$3004,F280,ENSAYOS!$Q$5:$Q$3004,"&gt;0"))</f>
        <v/>
      </c>
      <c r="Q280" s="16" t="str">
        <f aca="false">IF(N(M280)=0,"",_xlfn.MINIFS(ENSAYOS!$Q$5:$Q$3004,ENSAYOS!$C$5:$C$3004,F280,ENSAYOS!$Q$5:$Q$3004,"&gt;0"))</f>
        <v/>
      </c>
      <c r="R280" s="16" t="str">
        <f aca="false">IF(N(M280)=0,"",_xlfn.MAXIFS(ENSAYOS!$Q$5:$Q$3004,ENSAYOS!$C$5:$C$3004,F280,ENSAYOS!$Q$5:$Q$3004,"&gt;0"))</f>
        <v/>
      </c>
      <c r="S280" s="16" t="str">
        <f aca="false">IF(N(M280)&lt;2,"",SQRT(MAX(0,(SUMIFS(ENSAYOS!$X$5:$X$3004,ENSAYOS!$C$5:$C$3004,F280,ENSAYOS!$Q$5:$Q$3004,"&gt;0")-M280*P280^2)/(M280-1))))</f>
        <v/>
      </c>
      <c r="T280" s="17" t="str">
        <f aca="false">IF(S280="","",S280/P280)</f>
        <v/>
      </c>
      <c r="U280" s="16" t="str">
        <f aca="false">IF(N(M280)=0,"",IF(N280&gt;=CONFIG!$B$27,"",AVERAGEIFS(ENSAYOS!$Q$5:$Q$3004,ENSAYOS!$C$5:$C$3004,F280,ENSAYOS!$Q$5:$Q$3004,"&gt;0",ENSAYOS!$G$5:$G$3004,N280)))</f>
        <v/>
      </c>
      <c r="V280" s="16" t="str">
        <f aca="false">IF(N(M280)=0,"",IF(COUNTIFS(ENSAYOS!$C$5:$C$3004,F280,ENSAYOS!$Q$5:$Q$3004,"&gt;0",ENSAYOS!$G$5:$G$3004,"&gt;="&amp;CONFIG!$B$27)=0,"",AVERAGEIFS(ENSAYOS!$Q$5:$Q$3004,ENSAYOS!$C$5:$C$3004,F280,ENSAYOS!$Q$5:$Q$3004,"&gt;0",ENSAYOS!$G$5:$G$3004,"&gt;="&amp;CONFIG!$B$27)))</f>
        <v/>
      </c>
      <c r="W280" s="18" t="str">
        <f aca="false">IF(AND(U280&lt;&gt;"",V280&lt;&gt;""),U280/V280,"")</f>
        <v/>
      </c>
      <c r="X280" s="18" t="str">
        <f aca="false">IF(U280="","",INDEX('CURVA EDAD'!$E$5:$E$32,MIN(28,MAX(1,N280))))</f>
        <v/>
      </c>
      <c r="Y280" s="16" t="str">
        <f aca="false">IF(V280&lt;&gt;"",V280,IF(U280="","",U280/X280))</f>
        <v/>
      </c>
      <c r="Z280" s="16" t="str">
        <f aca="false">IF(V280&lt;&gt;"",_xlfn.MINIFS(ENSAYOS!$Q$5:$Q$3004,ENSAYOS!$C$5:$C$3004,F280,ENSAYOS!$Q$5:$Q$3004,"&gt;0",ENSAYOS!$G$5:$G$3004,"&gt;="&amp;CONFIG!$B$27),IF(U280="","",_xlfn.MINIFS(ENSAYOS!$Q$5:$Q$3004,ENSAYOS!$C$5:$C$3004,F280,ENSAYOS!$Q$5:$Q$3004,"&gt;0",ENSAYOS!$G$5:$G$3004,N280)/X280))</f>
        <v/>
      </c>
      <c r="AA280" s="16" t="str">
        <f aca="false">IF(D280="","",IFERROR(1/(1/INDEX(CONFIG!$J$5:$J$14,MATCH(D280,CONFIG!$D$5:$D$14,0))),""))</f>
        <v/>
      </c>
      <c r="AB280" s="16" t="str">
        <f aca="false">IF(D280="","",IFERROR(1/(1/INDEX(CONFIG!$K$5:$K$14,MATCH(D280,CONFIG!$D$5:$D$14,0))),""))</f>
        <v/>
      </c>
      <c r="AC280" s="19" t="str">
        <f aca="false">IF(N(M280)=0,"",IF(AA280="","Sin spec",IF(AND(Y280&gt;=AA280,OR(AB280="",Z280&gt;=AB280)),"CUMPLE","NO CUMPLE")&amp;IF(V280=""," (est.)","")))</f>
        <v/>
      </c>
      <c r="AD280" s="20" t="str">
        <f aca="false">IF(F280="","",IF(COUNTIFS(ABSORCION!$C$5:$C$1004,F280,ABSORCION!$I$5:$I$1004,"&gt;0")=0,"",AVERAGEIFS(ABSORCION!$I$5:$I$1004,ABSORCION!$C$5:$C$1004,F280,ABSORCION!$I$5:$I$1004,"&gt;0")))</f>
        <v/>
      </c>
      <c r="AE280" s="20" t="str">
        <f aca="false">IF(F280="","",IF(COUNTIFS(ABSORCION!$C$5:$C$1004,F280,ABSORCION!$I$5:$I$1004,"&gt;0")=0,"",AVERAGEIFS(ABSORCION!$K$5:$K$1004,ABSORCION!$C$5:$C$1004,F280,ABSORCION!$I$5:$I$1004,"&gt;0")))</f>
        <v/>
      </c>
      <c r="AF280" s="20" t="str">
        <f aca="false">IF(AE280="","",IF(AE280&gt;=CONFIG!$E$21,CONFIG!$F$21,IF(AE280&gt;=CONFIG!$E$20,CONFIG!$F$20,CONFIG!$F$19)))</f>
        <v/>
      </c>
      <c r="AG280" s="21" t="str">
        <f aca="false">IF(F280="","",TRIM(IF(N(M280)=0,"Sin ensayos. ","")&amp;IF(AND(N(M280)&gt;0,N(M280)&lt;CONFIG!$B$26),"Menos de "&amp;CONFIG!$B$26&amp;" probetas. ","")&amp;IF(N(T280)&gt;CONFIG!$B$25,"CV alto. ","")&amp;IF(AND(N(AD280)&gt;0,N(AD280)&gt;N(AF280)),"Absorción alta. ","")))</f>
        <v/>
      </c>
      <c r="AH280" s="22" t="str">
        <f aca="false">IF(AND(N(M280)&gt;0,OR(CONTROL!$C$4="TODAS",C280=CONTROL!$C$4),D280=CONTROL!$C$5),MAX($AH$4:AH279)+1,"")</f>
        <v/>
      </c>
      <c r="AI280" s="22" t="str">
        <f aca="false">IF(AH280="","",P280^2)</f>
        <v/>
      </c>
    </row>
    <row r="281" customFormat="false" ht="15" hidden="false" customHeight="false" outlineLevel="0" collapsed="false">
      <c r="A281" s="11" t="str">
        <f aca="false">IF(B281="","",ROW()-4)</f>
        <v/>
      </c>
      <c r="B281" s="12"/>
      <c r="C281" s="13"/>
      <c r="D281" s="13"/>
      <c r="E281" s="13"/>
      <c r="F281" s="14" t="str">
        <f aca="false">IF(OR(B281="",C281="",D281=""),"",IFERROR(INDEX(CONFIG!$E$5:$E$14,MATCH(D281,CONFIG!$D$5:$D$14,0)),"?")&amp;RIGHT("0"&amp;DAY(B281),2)&amp;RIGHT("0"&amp;MONTH(B281),2)&amp;RIGHT(YEAR(B281),2)&amp;C281&amp;IF(E281="","","-"&amp;E281))</f>
        <v/>
      </c>
      <c r="G281" s="13"/>
      <c r="H281" s="13"/>
      <c r="I281" s="13"/>
      <c r="J281" s="13"/>
      <c r="K281" s="13"/>
      <c r="L281" s="13"/>
      <c r="M281" s="11" t="str">
        <f aca="false">IF(F281="","",COUNTIFS(ENSAYOS!$C$5:$C$3004,F281,ENSAYOS!$Q$5:$Q$3004,"&gt;0"))</f>
        <v/>
      </c>
      <c r="N281" s="15" t="str">
        <f aca="false">IF(N(M281)=0,"",_xlfn.MINIFS(ENSAYOS!$G$5:$G$3004,ENSAYOS!$C$5:$C$3004,F281,ENSAYOS!$Q$5:$Q$3004,"&gt;0"))</f>
        <v/>
      </c>
      <c r="O281" s="15" t="str">
        <f aca="false">IF(N(M281)=0,"",_xlfn.MAXIFS(ENSAYOS!$G$5:$G$3004,ENSAYOS!$C$5:$C$3004,F281,ENSAYOS!$Q$5:$Q$3004,"&gt;0"))</f>
        <v/>
      </c>
      <c r="P281" s="16" t="str">
        <f aca="false">IF(N(M281)=0,"",AVERAGEIFS(ENSAYOS!$Q$5:$Q$3004,ENSAYOS!$C$5:$C$3004,F281,ENSAYOS!$Q$5:$Q$3004,"&gt;0"))</f>
        <v/>
      </c>
      <c r="Q281" s="16" t="str">
        <f aca="false">IF(N(M281)=0,"",_xlfn.MINIFS(ENSAYOS!$Q$5:$Q$3004,ENSAYOS!$C$5:$C$3004,F281,ENSAYOS!$Q$5:$Q$3004,"&gt;0"))</f>
        <v/>
      </c>
      <c r="R281" s="16" t="str">
        <f aca="false">IF(N(M281)=0,"",_xlfn.MAXIFS(ENSAYOS!$Q$5:$Q$3004,ENSAYOS!$C$5:$C$3004,F281,ENSAYOS!$Q$5:$Q$3004,"&gt;0"))</f>
        <v/>
      </c>
      <c r="S281" s="16" t="str">
        <f aca="false">IF(N(M281)&lt;2,"",SQRT(MAX(0,(SUMIFS(ENSAYOS!$X$5:$X$3004,ENSAYOS!$C$5:$C$3004,F281,ENSAYOS!$Q$5:$Q$3004,"&gt;0")-M281*P281^2)/(M281-1))))</f>
        <v/>
      </c>
      <c r="T281" s="17" t="str">
        <f aca="false">IF(S281="","",S281/P281)</f>
        <v/>
      </c>
      <c r="U281" s="16" t="str">
        <f aca="false">IF(N(M281)=0,"",IF(N281&gt;=CONFIG!$B$27,"",AVERAGEIFS(ENSAYOS!$Q$5:$Q$3004,ENSAYOS!$C$5:$C$3004,F281,ENSAYOS!$Q$5:$Q$3004,"&gt;0",ENSAYOS!$G$5:$G$3004,N281)))</f>
        <v/>
      </c>
      <c r="V281" s="16" t="str">
        <f aca="false">IF(N(M281)=0,"",IF(COUNTIFS(ENSAYOS!$C$5:$C$3004,F281,ENSAYOS!$Q$5:$Q$3004,"&gt;0",ENSAYOS!$G$5:$G$3004,"&gt;="&amp;CONFIG!$B$27)=0,"",AVERAGEIFS(ENSAYOS!$Q$5:$Q$3004,ENSAYOS!$C$5:$C$3004,F281,ENSAYOS!$Q$5:$Q$3004,"&gt;0",ENSAYOS!$G$5:$G$3004,"&gt;="&amp;CONFIG!$B$27)))</f>
        <v/>
      </c>
      <c r="W281" s="18" t="str">
        <f aca="false">IF(AND(U281&lt;&gt;"",V281&lt;&gt;""),U281/V281,"")</f>
        <v/>
      </c>
      <c r="X281" s="18" t="str">
        <f aca="false">IF(U281="","",INDEX('CURVA EDAD'!$E$5:$E$32,MIN(28,MAX(1,N281))))</f>
        <v/>
      </c>
      <c r="Y281" s="16" t="str">
        <f aca="false">IF(V281&lt;&gt;"",V281,IF(U281="","",U281/X281))</f>
        <v/>
      </c>
      <c r="Z281" s="16" t="str">
        <f aca="false">IF(V281&lt;&gt;"",_xlfn.MINIFS(ENSAYOS!$Q$5:$Q$3004,ENSAYOS!$C$5:$C$3004,F281,ENSAYOS!$Q$5:$Q$3004,"&gt;0",ENSAYOS!$G$5:$G$3004,"&gt;="&amp;CONFIG!$B$27),IF(U281="","",_xlfn.MINIFS(ENSAYOS!$Q$5:$Q$3004,ENSAYOS!$C$5:$C$3004,F281,ENSAYOS!$Q$5:$Q$3004,"&gt;0",ENSAYOS!$G$5:$G$3004,N281)/X281))</f>
        <v/>
      </c>
      <c r="AA281" s="16" t="str">
        <f aca="false">IF(D281="","",IFERROR(1/(1/INDEX(CONFIG!$J$5:$J$14,MATCH(D281,CONFIG!$D$5:$D$14,0))),""))</f>
        <v/>
      </c>
      <c r="AB281" s="16" t="str">
        <f aca="false">IF(D281="","",IFERROR(1/(1/INDEX(CONFIG!$K$5:$K$14,MATCH(D281,CONFIG!$D$5:$D$14,0))),""))</f>
        <v/>
      </c>
      <c r="AC281" s="19" t="str">
        <f aca="false">IF(N(M281)=0,"",IF(AA281="","Sin spec",IF(AND(Y281&gt;=AA281,OR(AB281="",Z281&gt;=AB281)),"CUMPLE","NO CUMPLE")&amp;IF(V281=""," (est.)","")))</f>
        <v/>
      </c>
      <c r="AD281" s="20" t="str">
        <f aca="false">IF(F281="","",IF(COUNTIFS(ABSORCION!$C$5:$C$1004,F281,ABSORCION!$I$5:$I$1004,"&gt;0")=0,"",AVERAGEIFS(ABSORCION!$I$5:$I$1004,ABSORCION!$C$5:$C$1004,F281,ABSORCION!$I$5:$I$1004,"&gt;0")))</f>
        <v/>
      </c>
      <c r="AE281" s="20" t="str">
        <f aca="false">IF(F281="","",IF(COUNTIFS(ABSORCION!$C$5:$C$1004,F281,ABSORCION!$I$5:$I$1004,"&gt;0")=0,"",AVERAGEIFS(ABSORCION!$K$5:$K$1004,ABSORCION!$C$5:$C$1004,F281,ABSORCION!$I$5:$I$1004,"&gt;0")))</f>
        <v/>
      </c>
      <c r="AF281" s="20" t="str">
        <f aca="false">IF(AE281="","",IF(AE281&gt;=CONFIG!$E$21,CONFIG!$F$21,IF(AE281&gt;=CONFIG!$E$20,CONFIG!$F$20,CONFIG!$F$19)))</f>
        <v/>
      </c>
      <c r="AG281" s="21" t="str">
        <f aca="false">IF(F281="","",TRIM(IF(N(M281)=0,"Sin ensayos. ","")&amp;IF(AND(N(M281)&gt;0,N(M281)&lt;CONFIG!$B$26),"Menos de "&amp;CONFIG!$B$26&amp;" probetas. ","")&amp;IF(N(T281)&gt;CONFIG!$B$25,"CV alto. ","")&amp;IF(AND(N(AD281)&gt;0,N(AD281)&gt;N(AF281)),"Absorción alta. ","")))</f>
        <v/>
      </c>
      <c r="AH281" s="22" t="str">
        <f aca="false">IF(AND(N(M281)&gt;0,OR(CONTROL!$C$4="TODAS",C281=CONTROL!$C$4),D281=CONTROL!$C$5),MAX($AH$4:AH280)+1,"")</f>
        <v/>
      </c>
      <c r="AI281" s="22" t="str">
        <f aca="false">IF(AH281="","",P281^2)</f>
        <v/>
      </c>
    </row>
    <row r="282" customFormat="false" ht="15" hidden="false" customHeight="false" outlineLevel="0" collapsed="false">
      <c r="A282" s="11" t="str">
        <f aca="false">IF(B282="","",ROW()-4)</f>
        <v/>
      </c>
      <c r="B282" s="12"/>
      <c r="C282" s="13"/>
      <c r="D282" s="13"/>
      <c r="E282" s="13"/>
      <c r="F282" s="14" t="str">
        <f aca="false">IF(OR(B282="",C282="",D282=""),"",IFERROR(INDEX(CONFIG!$E$5:$E$14,MATCH(D282,CONFIG!$D$5:$D$14,0)),"?")&amp;RIGHT("0"&amp;DAY(B282),2)&amp;RIGHT("0"&amp;MONTH(B282),2)&amp;RIGHT(YEAR(B282),2)&amp;C282&amp;IF(E282="","","-"&amp;E282))</f>
        <v/>
      </c>
      <c r="G282" s="13"/>
      <c r="H282" s="13"/>
      <c r="I282" s="13"/>
      <c r="J282" s="13"/>
      <c r="K282" s="13"/>
      <c r="L282" s="13"/>
      <c r="M282" s="11" t="str">
        <f aca="false">IF(F282="","",COUNTIFS(ENSAYOS!$C$5:$C$3004,F282,ENSAYOS!$Q$5:$Q$3004,"&gt;0"))</f>
        <v/>
      </c>
      <c r="N282" s="15" t="str">
        <f aca="false">IF(N(M282)=0,"",_xlfn.MINIFS(ENSAYOS!$G$5:$G$3004,ENSAYOS!$C$5:$C$3004,F282,ENSAYOS!$Q$5:$Q$3004,"&gt;0"))</f>
        <v/>
      </c>
      <c r="O282" s="15" t="str">
        <f aca="false">IF(N(M282)=0,"",_xlfn.MAXIFS(ENSAYOS!$G$5:$G$3004,ENSAYOS!$C$5:$C$3004,F282,ENSAYOS!$Q$5:$Q$3004,"&gt;0"))</f>
        <v/>
      </c>
      <c r="P282" s="16" t="str">
        <f aca="false">IF(N(M282)=0,"",AVERAGEIFS(ENSAYOS!$Q$5:$Q$3004,ENSAYOS!$C$5:$C$3004,F282,ENSAYOS!$Q$5:$Q$3004,"&gt;0"))</f>
        <v/>
      </c>
      <c r="Q282" s="16" t="str">
        <f aca="false">IF(N(M282)=0,"",_xlfn.MINIFS(ENSAYOS!$Q$5:$Q$3004,ENSAYOS!$C$5:$C$3004,F282,ENSAYOS!$Q$5:$Q$3004,"&gt;0"))</f>
        <v/>
      </c>
      <c r="R282" s="16" t="str">
        <f aca="false">IF(N(M282)=0,"",_xlfn.MAXIFS(ENSAYOS!$Q$5:$Q$3004,ENSAYOS!$C$5:$C$3004,F282,ENSAYOS!$Q$5:$Q$3004,"&gt;0"))</f>
        <v/>
      </c>
      <c r="S282" s="16" t="str">
        <f aca="false">IF(N(M282)&lt;2,"",SQRT(MAX(0,(SUMIFS(ENSAYOS!$X$5:$X$3004,ENSAYOS!$C$5:$C$3004,F282,ENSAYOS!$Q$5:$Q$3004,"&gt;0")-M282*P282^2)/(M282-1))))</f>
        <v/>
      </c>
      <c r="T282" s="17" t="str">
        <f aca="false">IF(S282="","",S282/P282)</f>
        <v/>
      </c>
      <c r="U282" s="16" t="str">
        <f aca="false">IF(N(M282)=0,"",IF(N282&gt;=CONFIG!$B$27,"",AVERAGEIFS(ENSAYOS!$Q$5:$Q$3004,ENSAYOS!$C$5:$C$3004,F282,ENSAYOS!$Q$5:$Q$3004,"&gt;0",ENSAYOS!$G$5:$G$3004,N282)))</f>
        <v/>
      </c>
      <c r="V282" s="16" t="str">
        <f aca="false">IF(N(M282)=0,"",IF(COUNTIFS(ENSAYOS!$C$5:$C$3004,F282,ENSAYOS!$Q$5:$Q$3004,"&gt;0",ENSAYOS!$G$5:$G$3004,"&gt;="&amp;CONFIG!$B$27)=0,"",AVERAGEIFS(ENSAYOS!$Q$5:$Q$3004,ENSAYOS!$C$5:$C$3004,F282,ENSAYOS!$Q$5:$Q$3004,"&gt;0",ENSAYOS!$G$5:$G$3004,"&gt;="&amp;CONFIG!$B$27)))</f>
        <v/>
      </c>
      <c r="W282" s="18" t="str">
        <f aca="false">IF(AND(U282&lt;&gt;"",V282&lt;&gt;""),U282/V282,"")</f>
        <v/>
      </c>
      <c r="X282" s="18" t="str">
        <f aca="false">IF(U282="","",INDEX('CURVA EDAD'!$E$5:$E$32,MIN(28,MAX(1,N282))))</f>
        <v/>
      </c>
      <c r="Y282" s="16" t="str">
        <f aca="false">IF(V282&lt;&gt;"",V282,IF(U282="","",U282/X282))</f>
        <v/>
      </c>
      <c r="Z282" s="16" t="str">
        <f aca="false">IF(V282&lt;&gt;"",_xlfn.MINIFS(ENSAYOS!$Q$5:$Q$3004,ENSAYOS!$C$5:$C$3004,F282,ENSAYOS!$Q$5:$Q$3004,"&gt;0",ENSAYOS!$G$5:$G$3004,"&gt;="&amp;CONFIG!$B$27),IF(U282="","",_xlfn.MINIFS(ENSAYOS!$Q$5:$Q$3004,ENSAYOS!$C$5:$C$3004,F282,ENSAYOS!$Q$5:$Q$3004,"&gt;0",ENSAYOS!$G$5:$G$3004,N282)/X282))</f>
        <v/>
      </c>
      <c r="AA282" s="16" t="str">
        <f aca="false">IF(D282="","",IFERROR(1/(1/INDEX(CONFIG!$J$5:$J$14,MATCH(D282,CONFIG!$D$5:$D$14,0))),""))</f>
        <v/>
      </c>
      <c r="AB282" s="16" t="str">
        <f aca="false">IF(D282="","",IFERROR(1/(1/INDEX(CONFIG!$K$5:$K$14,MATCH(D282,CONFIG!$D$5:$D$14,0))),""))</f>
        <v/>
      </c>
      <c r="AC282" s="19" t="str">
        <f aca="false">IF(N(M282)=0,"",IF(AA282="","Sin spec",IF(AND(Y282&gt;=AA282,OR(AB282="",Z282&gt;=AB282)),"CUMPLE","NO CUMPLE")&amp;IF(V282=""," (est.)","")))</f>
        <v/>
      </c>
      <c r="AD282" s="20" t="str">
        <f aca="false">IF(F282="","",IF(COUNTIFS(ABSORCION!$C$5:$C$1004,F282,ABSORCION!$I$5:$I$1004,"&gt;0")=0,"",AVERAGEIFS(ABSORCION!$I$5:$I$1004,ABSORCION!$C$5:$C$1004,F282,ABSORCION!$I$5:$I$1004,"&gt;0")))</f>
        <v/>
      </c>
      <c r="AE282" s="20" t="str">
        <f aca="false">IF(F282="","",IF(COUNTIFS(ABSORCION!$C$5:$C$1004,F282,ABSORCION!$I$5:$I$1004,"&gt;0")=0,"",AVERAGEIFS(ABSORCION!$K$5:$K$1004,ABSORCION!$C$5:$C$1004,F282,ABSORCION!$I$5:$I$1004,"&gt;0")))</f>
        <v/>
      </c>
      <c r="AF282" s="20" t="str">
        <f aca="false">IF(AE282="","",IF(AE282&gt;=CONFIG!$E$21,CONFIG!$F$21,IF(AE282&gt;=CONFIG!$E$20,CONFIG!$F$20,CONFIG!$F$19)))</f>
        <v/>
      </c>
      <c r="AG282" s="21" t="str">
        <f aca="false">IF(F282="","",TRIM(IF(N(M282)=0,"Sin ensayos. ","")&amp;IF(AND(N(M282)&gt;0,N(M282)&lt;CONFIG!$B$26),"Menos de "&amp;CONFIG!$B$26&amp;" probetas. ","")&amp;IF(N(T282)&gt;CONFIG!$B$25,"CV alto. ","")&amp;IF(AND(N(AD282)&gt;0,N(AD282)&gt;N(AF282)),"Absorción alta. ","")))</f>
        <v/>
      </c>
      <c r="AH282" s="22" t="str">
        <f aca="false">IF(AND(N(M282)&gt;0,OR(CONTROL!$C$4="TODAS",C282=CONTROL!$C$4),D282=CONTROL!$C$5),MAX($AH$4:AH281)+1,"")</f>
        <v/>
      </c>
      <c r="AI282" s="22" t="str">
        <f aca="false">IF(AH282="","",P282^2)</f>
        <v/>
      </c>
    </row>
    <row r="283" customFormat="false" ht="15" hidden="false" customHeight="false" outlineLevel="0" collapsed="false">
      <c r="A283" s="11" t="str">
        <f aca="false">IF(B283="","",ROW()-4)</f>
        <v/>
      </c>
      <c r="B283" s="12"/>
      <c r="C283" s="13"/>
      <c r="D283" s="13"/>
      <c r="E283" s="13"/>
      <c r="F283" s="14" t="str">
        <f aca="false">IF(OR(B283="",C283="",D283=""),"",IFERROR(INDEX(CONFIG!$E$5:$E$14,MATCH(D283,CONFIG!$D$5:$D$14,0)),"?")&amp;RIGHT("0"&amp;DAY(B283),2)&amp;RIGHT("0"&amp;MONTH(B283),2)&amp;RIGHT(YEAR(B283),2)&amp;C283&amp;IF(E283="","","-"&amp;E283))</f>
        <v/>
      </c>
      <c r="G283" s="13"/>
      <c r="H283" s="13"/>
      <c r="I283" s="13"/>
      <c r="J283" s="13"/>
      <c r="K283" s="13"/>
      <c r="L283" s="13"/>
      <c r="M283" s="11" t="str">
        <f aca="false">IF(F283="","",COUNTIFS(ENSAYOS!$C$5:$C$3004,F283,ENSAYOS!$Q$5:$Q$3004,"&gt;0"))</f>
        <v/>
      </c>
      <c r="N283" s="15" t="str">
        <f aca="false">IF(N(M283)=0,"",_xlfn.MINIFS(ENSAYOS!$G$5:$G$3004,ENSAYOS!$C$5:$C$3004,F283,ENSAYOS!$Q$5:$Q$3004,"&gt;0"))</f>
        <v/>
      </c>
      <c r="O283" s="15" t="str">
        <f aca="false">IF(N(M283)=0,"",_xlfn.MAXIFS(ENSAYOS!$G$5:$G$3004,ENSAYOS!$C$5:$C$3004,F283,ENSAYOS!$Q$5:$Q$3004,"&gt;0"))</f>
        <v/>
      </c>
      <c r="P283" s="16" t="str">
        <f aca="false">IF(N(M283)=0,"",AVERAGEIFS(ENSAYOS!$Q$5:$Q$3004,ENSAYOS!$C$5:$C$3004,F283,ENSAYOS!$Q$5:$Q$3004,"&gt;0"))</f>
        <v/>
      </c>
      <c r="Q283" s="16" t="str">
        <f aca="false">IF(N(M283)=0,"",_xlfn.MINIFS(ENSAYOS!$Q$5:$Q$3004,ENSAYOS!$C$5:$C$3004,F283,ENSAYOS!$Q$5:$Q$3004,"&gt;0"))</f>
        <v/>
      </c>
      <c r="R283" s="16" t="str">
        <f aca="false">IF(N(M283)=0,"",_xlfn.MAXIFS(ENSAYOS!$Q$5:$Q$3004,ENSAYOS!$C$5:$C$3004,F283,ENSAYOS!$Q$5:$Q$3004,"&gt;0"))</f>
        <v/>
      </c>
      <c r="S283" s="16" t="str">
        <f aca="false">IF(N(M283)&lt;2,"",SQRT(MAX(0,(SUMIFS(ENSAYOS!$X$5:$X$3004,ENSAYOS!$C$5:$C$3004,F283,ENSAYOS!$Q$5:$Q$3004,"&gt;0")-M283*P283^2)/(M283-1))))</f>
        <v/>
      </c>
      <c r="T283" s="17" t="str">
        <f aca="false">IF(S283="","",S283/P283)</f>
        <v/>
      </c>
      <c r="U283" s="16" t="str">
        <f aca="false">IF(N(M283)=0,"",IF(N283&gt;=CONFIG!$B$27,"",AVERAGEIFS(ENSAYOS!$Q$5:$Q$3004,ENSAYOS!$C$5:$C$3004,F283,ENSAYOS!$Q$5:$Q$3004,"&gt;0",ENSAYOS!$G$5:$G$3004,N283)))</f>
        <v/>
      </c>
      <c r="V283" s="16" t="str">
        <f aca="false">IF(N(M283)=0,"",IF(COUNTIFS(ENSAYOS!$C$5:$C$3004,F283,ENSAYOS!$Q$5:$Q$3004,"&gt;0",ENSAYOS!$G$5:$G$3004,"&gt;="&amp;CONFIG!$B$27)=0,"",AVERAGEIFS(ENSAYOS!$Q$5:$Q$3004,ENSAYOS!$C$5:$C$3004,F283,ENSAYOS!$Q$5:$Q$3004,"&gt;0",ENSAYOS!$G$5:$G$3004,"&gt;="&amp;CONFIG!$B$27)))</f>
        <v/>
      </c>
      <c r="W283" s="18" t="str">
        <f aca="false">IF(AND(U283&lt;&gt;"",V283&lt;&gt;""),U283/V283,"")</f>
        <v/>
      </c>
      <c r="X283" s="18" t="str">
        <f aca="false">IF(U283="","",INDEX('CURVA EDAD'!$E$5:$E$32,MIN(28,MAX(1,N283))))</f>
        <v/>
      </c>
      <c r="Y283" s="16" t="str">
        <f aca="false">IF(V283&lt;&gt;"",V283,IF(U283="","",U283/X283))</f>
        <v/>
      </c>
      <c r="Z283" s="16" t="str">
        <f aca="false">IF(V283&lt;&gt;"",_xlfn.MINIFS(ENSAYOS!$Q$5:$Q$3004,ENSAYOS!$C$5:$C$3004,F283,ENSAYOS!$Q$5:$Q$3004,"&gt;0",ENSAYOS!$G$5:$G$3004,"&gt;="&amp;CONFIG!$B$27),IF(U283="","",_xlfn.MINIFS(ENSAYOS!$Q$5:$Q$3004,ENSAYOS!$C$5:$C$3004,F283,ENSAYOS!$Q$5:$Q$3004,"&gt;0",ENSAYOS!$G$5:$G$3004,N283)/X283))</f>
        <v/>
      </c>
      <c r="AA283" s="16" t="str">
        <f aca="false">IF(D283="","",IFERROR(1/(1/INDEX(CONFIG!$J$5:$J$14,MATCH(D283,CONFIG!$D$5:$D$14,0))),""))</f>
        <v/>
      </c>
      <c r="AB283" s="16" t="str">
        <f aca="false">IF(D283="","",IFERROR(1/(1/INDEX(CONFIG!$K$5:$K$14,MATCH(D283,CONFIG!$D$5:$D$14,0))),""))</f>
        <v/>
      </c>
      <c r="AC283" s="19" t="str">
        <f aca="false">IF(N(M283)=0,"",IF(AA283="","Sin spec",IF(AND(Y283&gt;=AA283,OR(AB283="",Z283&gt;=AB283)),"CUMPLE","NO CUMPLE")&amp;IF(V283=""," (est.)","")))</f>
        <v/>
      </c>
      <c r="AD283" s="20" t="str">
        <f aca="false">IF(F283="","",IF(COUNTIFS(ABSORCION!$C$5:$C$1004,F283,ABSORCION!$I$5:$I$1004,"&gt;0")=0,"",AVERAGEIFS(ABSORCION!$I$5:$I$1004,ABSORCION!$C$5:$C$1004,F283,ABSORCION!$I$5:$I$1004,"&gt;0")))</f>
        <v/>
      </c>
      <c r="AE283" s="20" t="str">
        <f aca="false">IF(F283="","",IF(COUNTIFS(ABSORCION!$C$5:$C$1004,F283,ABSORCION!$I$5:$I$1004,"&gt;0")=0,"",AVERAGEIFS(ABSORCION!$K$5:$K$1004,ABSORCION!$C$5:$C$1004,F283,ABSORCION!$I$5:$I$1004,"&gt;0")))</f>
        <v/>
      </c>
      <c r="AF283" s="20" t="str">
        <f aca="false">IF(AE283="","",IF(AE283&gt;=CONFIG!$E$21,CONFIG!$F$21,IF(AE283&gt;=CONFIG!$E$20,CONFIG!$F$20,CONFIG!$F$19)))</f>
        <v/>
      </c>
      <c r="AG283" s="21" t="str">
        <f aca="false">IF(F283="","",TRIM(IF(N(M283)=0,"Sin ensayos. ","")&amp;IF(AND(N(M283)&gt;0,N(M283)&lt;CONFIG!$B$26),"Menos de "&amp;CONFIG!$B$26&amp;" probetas. ","")&amp;IF(N(T283)&gt;CONFIG!$B$25,"CV alto. ","")&amp;IF(AND(N(AD283)&gt;0,N(AD283)&gt;N(AF283)),"Absorción alta. ","")))</f>
        <v/>
      </c>
      <c r="AH283" s="22" t="str">
        <f aca="false">IF(AND(N(M283)&gt;0,OR(CONTROL!$C$4="TODAS",C283=CONTROL!$C$4),D283=CONTROL!$C$5),MAX($AH$4:AH282)+1,"")</f>
        <v/>
      </c>
      <c r="AI283" s="22" t="str">
        <f aca="false">IF(AH283="","",P283^2)</f>
        <v/>
      </c>
    </row>
    <row r="284" customFormat="false" ht="15" hidden="false" customHeight="false" outlineLevel="0" collapsed="false">
      <c r="A284" s="11" t="str">
        <f aca="false">IF(B284="","",ROW()-4)</f>
        <v/>
      </c>
      <c r="B284" s="12"/>
      <c r="C284" s="13"/>
      <c r="D284" s="13"/>
      <c r="E284" s="13"/>
      <c r="F284" s="14" t="str">
        <f aca="false">IF(OR(B284="",C284="",D284=""),"",IFERROR(INDEX(CONFIG!$E$5:$E$14,MATCH(D284,CONFIG!$D$5:$D$14,0)),"?")&amp;RIGHT("0"&amp;DAY(B284),2)&amp;RIGHT("0"&amp;MONTH(B284),2)&amp;RIGHT(YEAR(B284),2)&amp;C284&amp;IF(E284="","","-"&amp;E284))</f>
        <v/>
      </c>
      <c r="G284" s="13"/>
      <c r="H284" s="13"/>
      <c r="I284" s="13"/>
      <c r="J284" s="13"/>
      <c r="K284" s="13"/>
      <c r="L284" s="13"/>
      <c r="M284" s="11" t="str">
        <f aca="false">IF(F284="","",COUNTIFS(ENSAYOS!$C$5:$C$3004,F284,ENSAYOS!$Q$5:$Q$3004,"&gt;0"))</f>
        <v/>
      </c>
      <c r="N284" s="15" t="str">
        <f aca="false">IF(N(M284)=0,"",_xlfn.MINIFS(ENSAYOS!$G$5:$G$3004,ENSAYOS!$C$5:$C$3004,F284,ENSAYOS!$Q$5:$Q$3004,"&gt;0"))</f>
        <v/>
      </c>
      <c r="O284" s="15" t="str">
        <f aca="false">IF(N(M284)=0,"",_xlfn.MAXIFS(ENSAYOS!$G$5:$G$3004,ENSAYOS!$C$5:$C$3004,F284,ENSAYOS!$Q$5:$Q$3004,"&gt;0"))</f>
        <v/>
      </c>
      <c r="P284" s="16" t="str">
        <f aca="false">IF(N(M284)=0,"",AVERAGEIFS(ENSAYOS!$Q$5:$Q$3004,ENSAYOS!$C$5:$C$3004,F284,ENSAYOS!$Q$5:$Q$3004,"&gt;0"))</f>
        <v/>
      </c>
      <c r="Q284" s="16" t="str">
        <f aca="false">IF(N(M284)=0,"",_xlfn.MINIFS(ENSAYOS!$Q$5:$Q$3004,ENSAYOS!$C$5:$C$3004,F284,ENSAYOS!$Q$5:$Q$3004,"&gt;0"))</f>
        <v/>
      </c>
      <c r="R284" s="16" t="str">
        <f aca="false">IF(N(M284)=0,"",_xlfn.MAXIFS(ENSAYOS!$Q$5:$Q$3004,ENSAYOS!$C$5:$C$3004,F284,ENSAYOS!$Q$5:$Q$3004,"&gt;0"))</f>
        <v/>
      </c>
      <c r="S284" s="16" t="str">
        <f aca="false">IF(N(M284)&lt;2,"",SQRT(MAX(0,(SUMIFS(ENSAYOS!$X$5:$X$3004,ENSAYOS!$C$5:$C$3004,F284,ENSAYOS!$Q$5:$Q$3004,"&gt;0")-M284*P284^2)/(M284-1))))</f>
        <v/>
      </c>
      <c r="T284" s="17" t="str">
        <f aca="false">IF(S284="","",S284/P284)</f>
        <v/>
      </c>
      <c r="U284" s="16" t="str">
        <f aca="false">IF(N(M284)=0,"",IF(N284&gt;=CONFIG!$B$27,"",AVERAGEIFS(ENSAYOS!$Q$5:$Q$3004,ENSAYOS!$C$5:$C$3004,F284,ENSAYOS!$Q$5:$Q$3004,"&gt;0",ENSAYOS!$G$5:$G$3004,N284)))</f>
        <v/>
      </c>
      <c r="V284" s="16" t="str">
        <f aca="false">IF(N(M284)=0,"",IF(COUNTIFS(ENSAYOS!$C$5:$C$3004,F284,ENSAYOS!$Q$5:$Q$3004,"&gt;0",ENSAYOS!$G$5:$G$3004,"&gt;="&amp;CONFIG!$B$27)=0,"",AVERAGEIFS(ENSAYOS!$Q$5:$Q$3004,ENSAYOS!$C$5:$C$3004,F284,ENSAYOS!$Q$5:$Q$3004,"&gt;0",ENSAYOS!$G$5:$G$3004,"&gt;="&amp;CONFIG!$B$27)))</f>
        <v/>
      </c>
      <c r="W284" s="18" t="str">
        <f aca="false">IF(AND(U284&lt;&gt;"",V284&lt;&gt;""),U284/V284,"")</f>
        <v/>
      </c>
      <c r="X284" s="18" t="str">
        <f aca="false">IF(U284="","",INDEX('CURVA EDAD'!$E$5:$E$32,MIN(28,MAX(1,N284))))</f>
        <v/>
      </c>
      <c r="Y284" s="16" t="str">
        <f aca="false">IF(V284&lt;&gt;"",V284,IF(U284="","",U284/X284))</f>
        <v/>
      </c>
      <c r="Z284" s="16" t="str">
        <f aca="false">IF(V284&lt;&gt;"",_xlfn.MINIFS(ENSAYOS!$Q$5:$Q$3004,ENSAYOS!$C$5:$C$3004,F284,ENSAYOS!$Q$5:$Q$3004,"&gt;0",ENSAYOS!$G$5:$G$3004,"&gt;="&amp;CONFIG!$B$27),IF(U284="","",_xlfn.MINIFS(ENSAYOS!$Q$5:$Q$3004,ENSAYOS!$C$5:$C$3004,F284,ENSAYOS!$Q$5:$Q$3004,"&gt;0",ENSAYOS!$G$5:$G$3004,N284)/X284))</f>
        <v/>
      </c>
      <c r="AA284" s="16" t="str">
        <f aca="false">IF(D284="","",IFERROR(1/(1/INDEX(CONFIG!$J$5:$J$14,MATCH(D284,CONFIG!$D$5:$D$14,0))),""))</f>
        <v/>
      </c>
      <c r="AB284" s="16" t="str">
        <f aca="false">IF(D284="","",IFERROR(1/(1/INDEX(CONFIG!$K$5:$K$14,MATCH(D284,CONFIG!$D$5:$D$14,0))),""))</f>
        <v/>
      </c>
      <c r="AC284" s="19" t="str">
        <f aca="false">IF(N(M284)=0,"",IF(AA284="","Sin spec",IF(AND(Y284&gt;=AA284,OR(AB284="",Z284&gt;=AB284)),"CUMPLE","NO CUMPLE")&amp;IF(V284=""," (est.)","")))</f>
        <v/>
      </c>
      <c r="AD284" s="20" t="str">
        <f aca="false">IF(F284="","",IF(COUNTIFS(ABSORCION!$C$5:$C$1004,F284,ABSORCION!$I$5:$I$1004,"&gt;0")=0,"",AVERAGEIFS(ABSORCION!$I$5:$I$1004,ABSORCION!$C$5:$C$1004,F284,ABSORCION!$I$5:$I$1004,"&gt;0")))</f>
        <v/>
      </c>
      <c r="AE284" s="20" t="str">
        <f aca="false">IF(F284="","",IF(COUNTIFS(ABSORCION!$C$5:$C$1004,F284,ABSORCION!$I$5:$I$1004,"&gt;0")=0,"",AVERAGEIFS(ABSORCION!$K$5:$K$1004,ABSORCION!$C$5:$C$1004,F284,ABSORCION!$I$5:$I$1004,"&gt;0")))</f>
        <v/>
      </c>
      <c r="AF284" s="20" t="str">
        <f aca="false">IF(AE284="","",IF(AE284&gt;=CONFIG!$E$21,CONFIG!$F$21,IF(AE284&gt;=CONFIG!$E$20,CONFIG!$F$20,CONFIG!$F$19)))</f>
        <v/>
      </c>
      <c r="AG284" s="21" t="str">
        <f aca="false">IF(F284="","",TRIM(IF(N(M284)=0,"Sin ensayos. ","")&amp;IF(AND(N(M284)&gt;0,N(M284)&lt;CONFIG!$B$26),"Menos de "&amp;CONFIG!$B$26&amp;" probetas. ","")&amp;IF(N(T284)&gt;CONFIG!$B$25,"CV alto. ","")&amp;IF(AND(N(AD284)&gt;0,N(AD284)&gt;N(AF284)),"Absorción alta. ","")))</f>
        <v/>
      </c>
      <c r="AH284" s="22" t="str">
        <f aca="false">IF(AND(N(M284)&gt;0,OR(CONTROL!$C$4="TODAS",C284=CONTROL!$C$4),D284=CONTROL!$C$5),MAX($AH$4:AH283)+1,"")</f>
        <v/>
      </c>
      <c r="AI284" s="22" t="str">
        <f aca="false">IF(AH284="","",P284^2)</f>
        <v/>
      </c>
    </row>
    <row r="285" customFormat="false" ht="15" hidden="false" customHeight="false" outlineLevel="0" collapsed="false">
      <c r="A285" s="11" t="str">
        <f aca="false">IF(B285="","",ROW()-4)</f>
        <v/>
      </c>
      <c r="B285" s="12"/>
      <c r="C285" s="13"/>
      <c r="D285" s="13"/>
      <c r="E285" s="13"/>
      <c r="F285" s="14" t="str">
        <f aca="false">IF(OR(B285="",C285="",D285=""),"",IFERROR(INDEX(CONFIG!$E$5:$E$14,MATCH(D285,CONFIG!$D$5:$D$14,0)),"?")&amp;RIGHT("0"&amp;DAY(B285),2)&amp;RIGHT("0"&amp;MONTH(B285),2)&amp;RIGHT(YEAR(B285),2)&amp;C285&amp;IF(E285="","","-"&amp;E285))</f>
        <v/>
      </c>
      <c r="G285" s="13"/>
      <c r="H285" s="13"/>
      <c r="I285" s="13"/>
      <c r="J285" s="13"/>
      <c r="K285" s="13"/>
      <c r="L285" s="13"/>
      <c r="M285" s="11" t="str">
        <f aca="false">IF(F285="","",COUNTIFS(ENSAYOS!$C$5:$C$3004,F285,ENSAYOS!$Q$5:$Q$3004,"&gt;0"))</f>
        <v/>
      </c>
      <c r="N285" s="15" t="str">
        <f aca="false">IF(N(M285)=0,"",_xlfn.MINIFS(ENSAYOS!$G$5:$G$3004,ENSAYOS!$C$5:$C$3004,F285,ENSAYOS!$Q$5:$Q$3004,"&gt;0"))</f>
        <v/>
      </c>
      <c r="O285" s="15" t="str">
        <f aca="false">IF(N(M285)=0,"",_xlfn.MAXIFS(ENSAYOS!$G$5:$G$3004,ENSAYOS!$C$5:$C$3004,F285,ENSAYOS!$Q$5:$Q$3004,"&gt;0"))</f>
        <v/>
      </c>
      <c r="P285" s="16" t="str">
        <f aca="false">IF(N(M285)=0,"",AVERAGEIFS(ENSAYOS!$Q$5:$Q$3004,ENSAYOS!$C$5:$C$3004,F285,ENSAYOS!$Q$5:$Q$3004,"&gt;0"))</f>
        <v/>
      </c>
      <c r="Q285" s="16" t="str">
        <f aca="false">IF(N(M285)=0,"",_xlfn.MINIFS(ENSAYOS!$Q$5:$Q$3004,ENSAYOS!$C$5:$C$3004,F285,ENSAYOS!$Q$5:$Q$3004,"&gt;0"))</f>
        <v/>
      </c>
      <c r="R285" s="16" t="str">
        <f aca="false">IF(N(M285)=0,"",_xlfn.MAXIFS(ENSAYOS!$Q$5:$Q$3004,ENSAYOS!$C$5:$C$3004,F285,ENSAYOS!$Q$5:$Q$3004,"&gt;0"))</f>
        <v/>
      </c>
      <c r="S285" s="16" t="str">
        <f aca="false">IF(N(M285)&lt;2,"",SQRT(MAX(0,(SUMIFS(ENSAYOS!$X$5:$X$3004,ENSAYOS!$C$5:$C$3004,F285,ENSAYOS!$Q$5:$Q$3004,"&gt;0")-M285*P285^2)/(M285-1))))</f>
        <v/>
      </c>
      <c r="T285" s="17" t="str">
        <f aca="false">IF(S285="","",S285/P285)</f>
        <v/>
      </c>
      <c r="U285" s="16" t="str">
        <f aca="false">IF(N(M285)=0,"",IF(N285&gt;=CONFIG!$B$27,"",AVERAGEIFS(ENSAYOS!$Q$5:$Q$3004,ENSAYOS!$C$5:$C$3004,F285,ENSAYOS!$Q$5:$Q$3004,"&gt;0",ENSAYOS!$G$5:$G$3004,N285)))</f>
        <v/>
      </c>
      <c r="V285" s="16" t="str">
        <f aca="false">IF(N(M285)=0,"",IF(COUNTIFS(ENSAYOS!$C$5:$C$3004,F285,ENSAYOS!$Q$5:$Q$3004,"&gt;0",ENSAYOS!$G$5:$G$3004,"&gt;="&amp;CONFIG!$B$27)=0,"",AVERAGEIFS(ENSAYOS!$Q$5:$Q$3004,ENSAYOS!$C$5:$C$3004,F285,ENSAYOS!$Q$5:$Q$3004,"&gt;0",ENSAYOS!$G$5:$G$3004,"&gt;="&amp;CONFIG!$B$27)))</f>
        <v/>
      </c>
      <c r="W285" s="18" t="str">
        <f aca="false">IF(AND(U285&lt;&gt;"",V285&lt;&gt;""),U285/V285,"")</f>
        <v/>
      </c>
      <c r="X285" s="18" t="str">
        <f aca="false">IF(U285="","",INDEX('CURVA EDAD'!$E$5:$E$32,MIN(28,MAX(1,N285))))</f>
        <v/>
      </c>
      <c r="Y285" s="16" t="str">
        <f aca="false">IF(V285&lt;&gt;"",V285,IF(U285="","",U285/X285))</f>
        <v/>
      </c>
      <c r="Z285" s="16" t="str">
        <f aca="false">IF(V285&lt;&gt;"",_xlfn.MINIFS(ENSAYOS!$Q$5:$Q$3004,ENSAYOS!$C$5:$C$3004,F285,ENSAYOS!$Q$5:$Q$3004,"&gt;0",ENSAYOS!$G$5:$G$3004,"&gt;="&amp;CONFIG!$B$27),IF(U285="","",_xlfn.MINIFS(ENSAYOS!$Q$5:$Q$3004,ENSAYOS!$C$5:$C$3004,F285,ENSAYOS!$Q$5:$Q$3004,"&gt;0",ENSAYOS!$G$5:$G$3004,N285)/X285))</f>
        <v/>
      </c>
      <c r="AA285" s="16" t="str">
        <f aca="false">IF(D285="","",IFERROR(1/(1/INDEX(CONFIG!$J$5:$J$14,MATCH(D285,CONFIG!$D$5:$D$14,0))),""))</f>
        <v/>
      </c>
      <c r="AB285" s="16" t="str">
        <f aca="false">IF(D285="","",IFERROR(1/(1/INDEX(CONFIG!$K$5:$K$14,MATCH(D285,CONFIG!$D$5:$D$14,0))),""))</f>
        <v/>
      </c>
      <c r="AC285" s="19" t="str">
        <f aca="false">IF(N(M285)=0,"",IF(AA285="","Sin spec",IF(AND(Y285&gt;=AA285,OR(AB285="",Z285&gt;=AB285)),"CUMPLE","NO CUMPLE")&amp;IF(V285=""," (est.)","")))</f>
        <v/>
      </c>
      <c r="AD285" s="20" t="str">
        <f aca="false">IF(F285="","",IF(COUNTIFS(ABSORCION!$C$5:$C$1004,F285,ABSORCION!$I$5:$I$1004,"&gt;0")=0,"",AVERAGEIFS(ABSORCION!$I$5:$I$1004,ABSORCION!$C$5:$C$1004,F285,ABSORCION!$I$5:$I$1004,"&gt;0")))</f>
        <v/>
      </c>
      <c r="AE285" s="20" t="str">
        <f aca="false">IF(F285="","",IF(COUNTIFS(ABSORCION!$C$5:$C$1004,F285,ABSORCION!$I$5:$I$1004,"&gt;0")=0,"",AVERAGEIFS(ABSORCION!$K$5:$K$1004,ABSORCION!$C$5:$C$1004,F285,ABSORCION!$I$5:$I$1004,"&gt;0")))</f>
        <v/>
      </c>
      <c r="AF285" s="20" t="str">
        <f aca="false">IF(AE285="","",IF(AE285&gt;=CONFIG!$E$21,CONFIG!$F$21,IF(AE285&gt;=CONFIG!$E$20,CONFIG!$F$20,CONFIG!$F$19)))</f>
        <v/>
      </c>
      <c r="AG285" s="21" t="str">
        <f aca="false">IF(F285="","",TRIM(IF(N(M285)=0,"Sin ensayos. ","")&amp;IF(AND(N(M285)&gt;0,N(M285)&lt;CONFIG!$B$26),"Menos de "&amp;CONFIG!$B$26&amp;" probetas. ","")&amp;IF(N(T285)&gt;CONFIG!$B$25,"CV alto. ","")&amp;IF(AND(N(AD285)&gt;0,N(AD285)&gt;N(AF285)),"Absorción alta. ","")))</f>
        <v/>
      </c>
      <c r="AH285" s="22" t="str">
        <f aca="false">IF(AND(N(M285)&gt;0,OR(CONTROL!$C$4="TODAS",C285=CONTROL!$C$4),D285=CONTROL!$C$5),MAX($AH$4:AH284)+1,"")</f>
        <v/>
      </c>
      <c r="AI285" s="22" t="str">
        <f aca="false">IF(AH285="","",P285^2)</f>
        <v/>
      </c>
    </row>
    <row r="286" customFormat="false" ht="15" hidden="false" customHeight="false" outlineLevel="0" collapsed="false">
      <c r="A286" s="11" t="str">
        <f aca="false">IF(B286="","",ROW()-4)</f>
        <v/>
      </c>
      <c r="B286" s="12"/>
      <c r="C286" s="13"/>
      <c r="D286" s="13"/>
      <c r="E286" s="13"/>
      <c r="F286" s="14" t="str">
        <f aca="false">IF(OR(B286="",C286="",D286=""),"",IFERROR(INDEX(CONFIG!$E$5:$E$14,MATCH(D286,CONFIG!$D$5:$D$14,0)),"?")&amp;RIGHT("0"&amp;DAY(B286),2)&amp;RIGHT("0"&amp;MONTH(B286),2)&amp;RIGHT(YEAR(B286),2)&amp;C286&amp;IF(E286="","","-"&amp;E286))</f>
        <v/>
      </c>
      <c r="G286" s="13"/>
      <c r="H286" s="13"/>
      <c r="I286" s="13"/>
      <c r="J286" s="13"/>
      <c r="K286" s="13"/>
      <c r="L286" s="13"/>
      <c r="M286" s="11" t="str">
        <f aca="false">IF(F286="","",COUNTIFS(ENSAYOS!$C$5:$C$3004,F286,ENSAYOS!$Q$5:$Q$3004,"&gt;0"))</f>
        <v/>
      </c>
      <c r="N286" s="15" t="str">
        <f aca="false">IF(N(M286)=0,"",_xlfn.MINIFS(ENSAYOS!$G$5:$G$3004,ENSAYOS!$C$5:$C$3004,F286,ENSAYOS!$Q$5:$Q$3004,"&gt;0"))</f>
        <v/>
      </c>
      <c r="O286" s="15" t="str">
        <f aca="false">IF(N(M286)=0,"",_xlfn.MAXIFS(ENSAYOS!$G$5:$G$3004,ENSAYOS!$C$5:$C$3004,F286,ENSAYOS!$Q$5:$Q$3004,"&gt;0"))</f>
        <v/>
      </c>
      <c r="P286" s="16" t="str">
        <f aca="false">IF(N(M286)=0,"",AVERAGEIFS(ENSAYOS!$Q$5:$Q$3004,ENSAYOS!$C$5:$C$3004,F286,ENSAYOS!$Q$5:$Q$3004,"&gt;0"))</f>
        <v/>
      </c>
      <c r="Q286" s="16" t="str">
        <f aca="false">IF(N(M286)=0,"",_xlfn.MINIFS(ENSAYOS!$Q$5:$Q$3004,ENSAYOS!$C$5:$C$3004,F286,ENSAYOS!$Q$5:$Q$3004,"&gt;0"))</f>
        <v/>
      </c>
      <c r="R286" s="16" t="str">
        <f aca="false">IF(N(M286)=0,"",_xlfn.MAXIFS(ENSAYOS!$Q$5:$Q$3004,ENSAYOS!$C$5:$C$3004,F286,ENSAYOS!$Q$5:$Q$3004,"&gt;0"))</f>
        <v/>
      </c>
      <c r="S286" s="16" t="str">
        <f aca="false">IF(N(M286)&lt;2,"",SQRT(MAX(0,(SUMIFS(ENSAYOS!$X$5:$X$3004,ENSAYOS!$C$5:$C$3004,F286,ENSAYOS!$Q$5:$Q$3004,"&gt;0")-M286*P286^2)/(M286-1))))</f>
        <v/>
      </c>
      <c r="T286" s="17" t="str">
        <f aca="false">IF(S286="","",S286/P286)</f>
        <v/>
      </c>
      <c r="U286" s="16" t="str">
        <f aca="false">IF(N(M286)=0,"",IF(N286&gt;=CONFIG!$B$27,"",AVERAGEIFS(ENSAYOS!$Q$5:$Q$3004,ENSAYOS!$C$5:$C$3004,F286,ENSAYOS!$Q$5:$Q$3004,"&gt;0",ENSAYOS!$G$5:$G$3004,N286)))</f>
        <v/>
      </c>
      <c r="V286" s="16" t="str">
        <f aca="false">IF(N(M286)=0,"",IF(COUNTIFS(ENSAYOS!$C$5:$C$3004,F286,ENSAYOS!$Q$5:$Q$3004,"&gt;0",ENSAYOS!$G$5:$G$3004,"&gt;="&amp;CONFIG!$B$27)=0,"",AVERAGEIFS(ENSAYOS!$Q$5:$Q$3004,ENSAYOS!$C$5:$C$3004,F286,ENSAYOS!$Q$5:$Q$3004,"&gt;0",ENSAYOS!$G$5:$G$3004,"&gt;="&amp;CONFIG!$B$27)))</f>
        <v/>
      </c>
      <c r="W286" s="18" t="str">
        <f aca="false">IF(AND(U286&lt;&gt;"",V286&lt;&gt;""),U286/V286,"")</f>
        <v/>
      </c>
      <c r="X286" s="18" t="str">
        <f aca="false">IF(U286="","",INDEX('CURVA EDAD'!$E$5:$E$32,MIN(28,MAX(1,N286))))</f>
        <v/>
      </c>
      <c r="Y286" s="16" t="str">
        <f aca="false">IF(V286&lt;&gt;"",V286,IF(U286="","",U286/X286))</f>
        <v/>
      </c>
      <c r="Z286" s="16" t="str">
        <f aca="false">IF(V286&lt;&gt;"",_xlfn.MINIFS(ENSAYOS!$Q$5:$Q$3004,ENSAYOS!$C$5:$C$3004,F286,ENSAYOS!$Q$5:$Q$3004,"&gt;0",ENSAYOS!$G$5:$G$3004,"&gt;="&amp;CONFIG!$B$27),IF(U286="","",_xlfn.MINIFS(ENSAYOS!$Q$5:$Q$3004,ENSAYOS!$C$5:$C$3004,F286,ENSAYOS!$Q$5:$Q$3004,"&gt;0",ENSAYOS!$G$5:$G$3004,N286)/X286))</f>
        <v/>
      </c>
      <c r="AA286" s="16" t="str">
        <f aca="false">IF(D286="","",IFERROR(1/(1/INDEX(CONFIG!$J$5:$J$14,MATCH(D286,CONFIG!$D$5:$D$14,0))),""))</f>
        <v/>
      </c>
      <c r="AB286" s="16" t="str">
        <f aca="false">IF(D286="","",IFERROR(1/(1/INDEX(CONFIG!$K$5:$K$14,MATCH(D286,CONFIG!$D$5:$D$14,0))),""))</f>
        <v/>
      </c>
      <c r="AC286" s="19" t="str">
        <f aca="false">IF(N(M286)=0,"",IF(AA286="","Sin spec",IF(AND(Y286&gt;=AA286,OR(AB286="",Z286&gt;=AB286)),"CUMPLE","NO CUMPLE")&amp;IF(V286=""," (est.)","")))</f>
        <v/>
      </c>
      <c r="AD286" s="20" t="str">
        <f aca="false">IF(F286="","",IF(COUNTIFS(ABSORCION!$C$5:$C$1004,F286,ABSORCION!$I$5:$I$1004,"&gt;0")=0,"",AVERAGEIFS(ABSORCION!$I$5:$I$1004,ABSORCION!$C$5:$C$1004,F286,ABSORCION!$I$5:$I$1004,"&gt;0")))</f>
        <v/>
      </c>
      <c r="AE286" s="20" t="str">
        <f aca="false">IF(F286="","",IF(COUNTIFS(ABSORCION!$C$5:$C$1004,F286,ABSORCION!$I$5:$I$1004,"&gt;0")=0,"",AVERAGEIFS(ABSORCION!$K$5:$K$1004,ABSORCION!$C$5:$C$1004,F286,ABSORCION!$I$5:$I$1004,"&gt;0")))</f>
        <v/>
      </c>
      <c r="AF286" s="20" t="str">
        <f aca="false">IF(AE286="","",IF(AE286&gt;=CONFIG!$E$21,CONFIG!$F$21,IF(AE286&gt;=CONFIG!$E$20,CONFIG!$F$20,CONFIG!$F$19)))</f>
        <v/>
      </c>
      <c r="AG286" s="21" t="str">
        <f aca="false">IF(F286="","",TRIM(IF(N(M286)=0,"Sin ensayos. ","")&amp;IF(AND(N(M286)&gt;0,N(M286)&lt;CONFIG!$B$26),"Menos de "&amp;CONFIG!$B$26&amp;" probetas. ","")&amp;IF(N(T286)&gt;CONFIG!$B$25,"CV alto. ","")&amp;IF(AND(N(AD286)&gt;0,N(AD286)&gt;N(AF286)),"Absorción alta. ","")))</f>
        <v/>
      </c>
      <c r="AH286" s="22" t="str">
        <f aca="false">IF(AND(N(M286)&gt;0,OR(CONTROL!$C$4="TODAS",C286=CONTROL!$C$4),D286=CONTROL!$C$5),MAX($AH$4:AH285)+1,"")</f>
        <v/>
      </c>
      <c r="AI286" s="22" t="str">
        <f aca="false">IF(AH286="","",P286^2)</f>
        <v/>
      </c>
    </row>
    <row r="287" customFormat="false" ht="15" hidden="false" customHeight="false" outlineLevel="0" collapsed="false">
      <c r="A287" s="11" t="str">
        <f aca="false">IF(B287="","",ROW()-4)</f>
        <v/>
      </c>
      <c r="B287" s="12"/>
      <c r="C287" s="13"/>
      <c r="D287" s="13"/>
      <c r="E287" s="13"/>
      <c r="F287" s="14" t="str">
        <f aca="false">IF(OR(B287="",C287="",D287=""),"",IFERROR(INDEX(CONFIG!$E$5:$E$14,MATCH(D287,CONFIG!$D$5:$D$14,0)),"?")&amp;RIGHT("0"&amp;DAY(B287),2)&amp;RIGHT("0"&amp;MONTH(B287),2)&amp;RIGHT(YEAR(B287),2)&amp;C287&amp;IF(E287="","","-"&amp;E287))</f>
        <v/>
      </c>
      <c r="G287" s="13"/>
      <c r="H287" s="13"/>
      <c r="I287" s="13"/>
      <c r="J287" s="13"/>
      <c r="K287" s="13"/>
      <c r="L287" s="13"/>
      <c r="M287" s="11" t="str">
        <f aca="false">IF(F287="","",COUNTIFS(ENSAYOS!$C$5:$C$3004,F287,ENSAYOS!$Q$5:$Q$3004,"&gt;0"))</f>
        <v/>
      </c>
      <c r="N287" s="15" t="str">
        <f aca="false">IF(N(M287)=0,"",_xlfn.MINIFS(ENSAYOS!$G$5:$G$3004,ENSAYOS!$C$5:$C$3004,F287,ENSAYOS!$Q$5:$Q$3004,"&gt;0"))</f>
        <v/>
      </c>
      <c r="O287" s="15" t="str">
        <f aca="false">IF(N(M287)=0,"",_xlfn.MAXIFS(ENSAYOS!$G$5:$G$3004,ENSAYOS!$C$5:$C$3004,F287,ENSAYOS!$Q$5:$Q$3004,"&gt;0"))</f>
        <v/>
      </c>
      <c r="P287" s="16" t="str">
        <f aca="false">IF(N(M287)=0,"",AVERAGEIFS(ENSAYOS!$Q$5:$Q$3004,ENSAYOS!$C$5:$C$3004,F287,ENSAYOS!$Q$5:$Q$3004,"&gt;0"))</f>
        <v/>
      </c>
      <c r="Q287" s="16" t="str">
        <f aca="false">IF(N(M287)=0,"",_xlfn.MINIFS(ENSAYOS!$Q$5:$Q$3004,ENSAYOS!$C$5:$C$3004,F287,ENSAYOS!$Q$5:$Q$3004,"&gt;0"))</f>
        <v/>
      </c>
      <c r="R287" s="16" t="str">
        <f aca="false">IF(N(M287)=0,"",_xlfn.MAXIFS(ENSAYOS!$Q$5:$Q$3004,ENSAYOS!$C$5:$C$3004,F287,ENSAYOS!$Q$5:$Q$3004,"&gt;0"))</f>
        <v/>
      </c>
      <c r="S287" s="16" t="str">
        <f aca="false">IF(N(M287)&lt;2,"",SQRT(MAX(0,(SUMIFS(ENSAYOS!$X$5:$X$3004,ENSAYOS!$C$5:$C$3004,F287,ENSAYOS!$Q$5:$Q$3004,"&gt;0")-M287*P287^2)/(M287-1))))</f>
        <v/>
      </c>
      <c r="T287" s="17" t="str">
        <f aca="false">IF(S287="","",S287/P287)</f>
        <v/>
      </c>
      <c r="U287" s="16" t="str">
        <f aca="false">IF(N(M287)=0,"",IF(N287&gt;=CONFIG!$B$27,"",AVERAGEIFS(ENSAYOS!$Q$5:$Q$3004,ENSAYOS!$C$5:$C$3004,F287,ENSAYOS!$Q$5:$Q$3004,"&gt;0",ENSAYOS!$G$5:$G$3004,N287)))</f>
        <v/>
      </c>
      <c r="V287" s="16" t="str">
        <f aca="false">IF(N(M287)=0,"",IF(COUNTIFS(ENSAYOS!$C$5:$C$3004,F287,ENSAYOS!$Q$5:$Q$3004,"&gt;0",ENSAYOS!$G$5:$G$3004,"&gt;="&amp;CONFIG!$B$27)=0,"",AVERAGEIFS(ENSAYOS!$Q$5:$Q$3004,ENSAYOS!$C$5:$C$3004,F287,ENSAYOS!$Q$5:$Q$3004,"&gt;0",ENSAYOS!$G$5:$G$3004,"&gt;="&amp;CONFIG!$B$27)))</f>
        <v/>
      </c>
      <c r="W287" s="18" t="str">
        <f aca="false">IF(AND(U287&lt;&gt;"",V287&lt;&gt;""),U287/V287,"")</f>
        <v/>
      </c>
      <c r="X287" s="18" t="str">
        <f aca="false">IF(U287="","",INDEX('CURVA EDAD'!$E$5:$E$32,MIN(28,MAX(1,N287))))</f>
        <v/>
      </c>
      <c r="Y287" s="16" t="str">
        <f aca="false">IF(V287&lt;&gt;"",V287,IF(U287="","",U287/X287))</f>
        <v/>
      </c>
      <c r="Z287" s="16" t="str">
        <f aca="false">IF(V287&lt;&gt;"",_xlfn.MINIFS(ENSAYOS!$Q$5:$Q$3004,ENSAYOS!$C$5:$C$3004,F287,ENSAYOS!$Q$5:$Q$3004,"&gt;0",ENSAYOS!$G$5:$G$3004,"&gt;="&amp;CONFIG!$B$27),IF(U287="","",_xlfn.MINIFS(ENSAYOS!$Q$5:$Q$3004,ENSAYOS!$C$5:$C$3004,F287,ENSAYOS!$Q$5:$Q$3004,"&gt;0",ENSAYOS!$G$5:$G$3004,N287)/X287))</f>
        <v/>
      </c>
      <c r="AA287" s="16" t="str">
        <f aca="false">IF(D287="","",IFERROR(1/(1/INDEX(CONFIG!$J$5:$J$14,MATCH(D287,CONFIG!$D$5:$D$14,0))),""))</f>
        <v/>
      </c>
      <c r="AB287" s="16" t="str">
        <f aca="false">IF(D287="","",IFERROR(1/(1/INDEX(CONFIG!$K$5:$K$14,MATCH(D287,CONFIG!$D$5:$D$14,0))),""))</f>
        <v/>
      </c>
      <c r="AC287" s="19" t="str">
        <f aca="false">IF(N(M287)=0,"",IF(AA287="","Sin spec",IF(AND(Y287&gt;=AA287,OR(AB287="",Z287&gt;=AB287)),"CUMPLE","NO CUMPLE")&amp;IF(V287=""," (est.)","")))</f>
        <v/>
      </c>
      <c r="AD287" s="20" t="str">
        <f aca="false">IF(F287="","",IF(COUNTIFS(ABSORCION!$C$5:$C$1004,F287,ABSORCION!$I$5:$I$1004,"&gt;0")=0,"",AVERAGEIFS(ABSORCION!$I$5:$I$1004,ABSORCION!$C$5:$C$1004,F287,ABSORCION!$I$5:$I$1004,"&gt;0")))</f>
        <v/>
      </c>
      <c r="AE287" s="20" t="str">
        <f aca="false">IF(F287="","",IF(COUNTIFS(ABSORCION!$C$5:$C$1004,F287,ABSORCION!$I$5:$I$1004,"&gt;0")=0,"",AVERAGEIFS(ABSORCION!$K$5:$K$1004,ABSORCION!$C$5:$C$1004,F287,ABSORCION!$I$5:$I$1004,"&gt;0")))</f>
        <v/>
      </c>
      <c r="AF287" s="20" t="str">
        <f aca="false">IF(AE287="","",IF(AE287&gt;=CONFIG!$E$21,CONFIG!$F$21,IF(AE287&gt;=CONFIG!$E$20,CONFIG!$F$20,CONFIG!$F$19)))</f>
        <v/>
      </c>
      <c r="AG287" s="21" t="str">
        <f aca="false">IF(F287="","",TRIM(IF(N(M287)=0,"Sin ensayos. ","")&amp;IF(AND(N(M287)&gt;0,N(M287)&lt;CONFIG!$B$26),"Menos de "&amp;CONFIG!$B$26&amp;" probetas. ","")&amp;IF(N(T287)&gt;CONFIG!$B$25,"CV alto. ","")&amp;IF(AND(N(AD287)&gt;0,N(AD287)&gt;N(AF287)),"Absorción alta. ","")))</f>
        <v/>
      </c>
      <c r="AH287" s="22" t="str">
        <f aca="false">IF(AND(N(M287)&gt;0,OR(CONTROL!$C$4="TODAS",C287=CONTROL!$C$4),D287=CONTROL!$C$5),MAX($AH$4:AH286)+1,"")</f>
        <v/>
      </c>
      <c r="AI287" s="22" t="str">
        <f aca="false">IF(AH287="","",P287^2)</f>
        <v/>
      </c>
    </row>
    <row r="288" customFormat="false" ht="15" hidden="false" customHeight="false" outlineLevel="0" collapsed="false">
      <c r="A288" s="11" t="str">
        <f aca="false">IF(B288="","",ROW()-4)</f>
        <v/>
      </c>
      <c r="B288" s="12"/>
      <c r="C288" s="13"/>
      <c r="D288" s="13"/>
      <c r="E288" s="13"/>
      <c r="F288" s="14" t="str">
        <f aca="false">IF(OR(B288="",C288="",D288=""),"",IFERROR(INDEX(CONFIG!$E$5:$E$14,MATCH(D288,CONFIG!$D$5:$D$14,0)),"?")&amp;RIGHT("0"&amp;DAY(B288),2)&amp;RIGHT("0"&amp;MONTH(B288),2)&amp;RIGHT(YEAR(B288),2)&amp;C288&amp;IF(E288="","","-"&amp;E288))</f>
        <v/>
      </c>
      <c r="G288" s="13"/>
      <c r="H288" s="13"/>
      <c r="I288" s="13"/>
      <c r="J288" s="13"/>
      <c r="K288" s="13"/>
      <c r="L288" s="13"/>
      <c r="M288" s="11" t="str">
        <f aca="false">IF(F288="","",COUNTIFS(ENSAYOS!$C$5:$C$3004,F288,ENSAYOS!$Q$5:$Q$3004,"&gt;0"))</f>
        <v/>
      </c>
      <c r="N288" s="15" t="str">
        <f aca="false">IF(N(M288)=0,"",_xlfn.MINIFS(ENSAYOS!$G$5:$G$3004,ENSAYOS!$C$5:$C$3004,F288,ENSAYOS!$Q$5:$Q$3004,"&gt;0"))</f>
        <v/>
      </c>
      <c r="O288" s="15" t="str">
        <f aca="false">IF(N(M288)=0,"",_xlfn.MAXIFS(ENSAYOS!$G$5:$G$3004,ENSAYOS!$C$5:$C$3004,F288,ENSAYOS!$Q$5:$Q$3004,"&gt;0"))</f>
        <v/>
      </c>
      <c r="P288" s="16" t="str">
        <f aca="false">IF(N(M288)=0,"",AVERAGEIFS(ENSAYOS!$Q$5:$Q$3004,ENSAYOS!$C$5:$C$3004,F288,ENSAYOS!$Q$5:$Q$3004,"&gt;0"))</f>
        <v/>
      </c>
      <c r="Q288" s="16" t="str">
        <f aca="false">IF(N(M288)=0,"",_xlfn.MINIFS(ENSAYOS!$Q$5:$Q$3004,ENSAYOS!$C$5:$C$3004,F288,ENSAYOS!$Q$5:$Q$3004,"&gt;0"))</f>
        <v/>
      </c>
      <c r="R288" s="16" t="str">
        <f aca="false">IF(N(M288)=0,"",_xlfn.MAXIFS(ENSAYOS!$Q$5:$Q$3004,ENSAYOS!$C$5:$C$3004,F288,ENSAYOS!$Q$5:$Q$3004,"&gt;0"))</f>
        <v/>
      </c>
      <c r="S288" s="16" t="str">
        <f aca="false">IF(N(M288)&lt;2,"",SQRT(MAX(0,(SUMIFS(ENSAYOS!$X$5:$X$3004,ENSAYOS!$C$5:$C$3004,F288,ENSAYOS!$Q$5:$Q$3004,"&gt;0")-M288*P288^2)/(M288-1))))</f>
        <v/>
      </c>
      <c r="T288" s="17" t="str">
        <f aca="false">IF(S288="","",S288/P288)</f>
        <v/>
      </c>
      <c r="U288" s="16" t="str">
        <f aca="false">IF(N(M288)=0,"",IF(N288&gt;=CONFIG!$B$27,"",AVERAGEIFS(ENSAYOS!$Q$5:$Q$3004,ENSAYOS!$C$5:$C$3004,F288,ENSAYOS!$Q$5:$Q$3004,"&gt;0",ENSAYOS!$G$5:$G$3004,N288)))</f>
        <v/>
      </c>
      <c r="V288" s="16" t="str">
        <f aca="false">IF(N(M288)=0,"",IF(COUNTIFS(ENSAYOS!$C$5:$C$3004,F288,ENSAYOS!$Q$5:$Q$3004,"&gt;0",ENSAYOS!$G$5:$G$3004,"&gt;="&amp;CONFIG!$B$27)=0,"",AVERAGEIFS(ENSAYOS!$Q$5:$Q$3004,ENSAYOS!$C$5:$C$3004,F288,ENSAYOS!$Q$5:$Q$3004,"&gt;0",ENSAYOS!$G$5:$G$3004,"&gt;="&amp;CONFIG!$B$27)))</f>
        <v/>
      </c>
      <c r="W288" s="18" t="str">
        <f aca="false">IF(AND(U288&lt;&gt;"",V288&lt;&gt;""),U288/V288,"")</f>
        <v/>
      </c>
      <c r="X288" s="18" t="str">
        <f aca="false">IF(U288="","",INDEX('CURVA EDAD'!$E$5:$E$32,MIN(28,MAX(1,N288))))</f>
        <v/>
      </c>
      <c r="Y288" s="16" t="str">
        <f aca="false">IF(V288&lt;&gt;"",V288,IF(U288="","",U288/X288))</f>
        <v/>
      </c>
      <c r="Z288" s="16" t="str">
        <f aca="false">IF(V288&lt;&gt;"",_xlfn.MINIFS(ENSAYOS!$Q$5:$Q$3004,ENSAYOS!$C$5:$C$3004,F288,ENSAYOS!$Q$5:$Q$3004,"&gt;0",ENSAYOS!$G$5:$G$3004,"&gt;="&amp;CONFIG!$B$27),IF(U288="","",_xlfn.MINIFS(ENSAYOS!$Q$5:$Q$3004,ENSAYOS!$C$5:$C$3004,F288,ENSAYOS!$Q$5:$Q$3004,"&gt;0",ENSAYOS!$G$5:$G$3004,N288)/X288))</f>
        <v/>
      </c>
      <c r="AA288" s="16" t="str">
        <f aca="false">IF(D288="","",IFERROR(1/(1/INDEX(CONFIG!$J$5:$J$14,MATCH(D288,CONFIG!$D$5:$D$14,0))),""))</f>
        <v/>
      </c>
      <c r="AB288" s="16" t="str">
        <f aca="false">IF(D288="","",IFERROR(1/(1/INDEX(CONFIG!$K$5:$K$14,MATCH(D288,CONFIG!$D$5:$D$14,0))),""))</f>
        <v/>
      </c>
      <c r="AC288" s="19" t="str">
        <f aca="false">IF(N(M288)=0,"",IF(AA288="","Sin spec",IF(AND(Y288&gt;=AA288,OR(AB288="",Z288&gt;=AB288)),"CUMPLE","NO CUMPLE")&amp;IF(V288=""," (est.)","")))</f>
        <v/>
      </c>
      <c r="AD288" s="20" t="str">
        <f aca="false">IF(F288="","",IF(COUNTIFS(ABSORCION!$C$5:$C$1004,F288,ABSORCION!$I$5:$I$1004,"&gt;0")=0,"",AVERAGEIFS(ABSORCION!$I$5:$I$1004,ABSORCION!$C$5:$C$1004,F288,ABSORCION!$I$5:$I$1004,"&gt;0")))</f>
        <v/>
      </c>
      <c r="AE288" s="20" t="str">
        <f aca="false">IF(F288="","",IF(COUNTIFS(ABSORCION!$C$5:$C$1004,F288,ABSORCION!$I$5:$I$1004,"&gt;0")=0,"",AVERAGEIFS(ABSORCION!$K$5:$K$1004,ABSORCION!$C$5:$C$1004,F288,ABSORCION!$I$5:$I$1004,"&gt;0")))</f>
        <v/>
      </c>
      <c r="AF288" s="20" t="str">
        <f aca="false">IF(AE288="","",IF(AE288&gt;=CONFIG!$E$21,CONFIG!$F$21,IF(AE288&gt;=CONFIG!$E$20,CONFIG!$F$20,CONFIG!$F$19)))</f>
        <v/>
      </c>
      <c r="AG288" s="21" t="str">
        <f aca="false">IF(F288="","",TRIM(IF(N(M288)=0,"Sin ensayos. ","")&amp;IF(AND(N(M288)&gt;0,N(M288)&lt;CONFIG!$B$26),"Menos de "&amp;CONFIG!$B$26&amp;" probetas. ","")&amp;IF(N(T288)&gt;CONFIG!$B$25,"CV alto. ","")&amp;IF(AND(N(AD288)&gt;0,N(AD288)&gt;N(AF288)),"Absorción alta. ","")))</f>
        <v/>
      </c>
      <c r="AH288" s="22" t="str">
        <f aca="false">IF(AND(N(M288)&gt;0,OR(CONTROL!$C$4="TODAS",C288=CONTROL!$C$4),D288=CONTROL!$C$5),MAX($AH$4:AH287)+1,"")</f>
        <v/>
      </c>
      <c r="AI288" s="22" t="str">
        <f aca="false">IF(AH288="","",P288^2)</f>
        <v/>
      </c>
    </row>
    <row r="289" customFormat="false" ht="15" hidden="false" customHeight="false" outlineLevel="0" collapsed="false">
      <c r="A289" s="11" t="str">
        <f aca="false">IF(B289="","",ROW()-4)</f>
        <v/>
      </c>
      <c r="B289" s="12"/>
      <c r="C289" s="13"/>
      <c r="D289" s="13"/>
      <c r="E289" s="13"/>
      <c r="F289" s="14" t="str">
        <f aca="false">IF(OR(B289="",C289="",D289=""),"",IFERROR(INDEX(CONFIG!$E$5:$E$14,MATCH(D289,CONFIG!$D$5:$D$14,0)),"?")&amp;RIGHT("0"&amp;DAY(B289),2)&amp;RIGHT("0"&amp;MONTH(B289),2)&amp;RIGHT(YEAR(B289),2)&amp;C289&amp;IF(E289="","","-"&amp;E289))</f>
        <v/>
      </c>
      <c r="G289" s="13"/>
      <c r="H289" s="13"/>
      <c r="I289" s="13"/>
      <c r="J289" s="13"/>
      <c r="K289" s="13"/>
      <c r="L289" s="13"/>
      <c r="M289" s="11" t="str">
        <f aca="false">IF(F289="","",COUNTIFS(ENSAYOS!$C$5:$C$3004,F289,ENSAYOS!$Q$5:$Q$3004,"&gt;0"))</f>
        <v/>
      </c>
      <c r="N289" s="15" t="str">
        <f aca="false">IF(N(M289)=0,"",_xlfn.MINIFS(ENSAYOS!$G$5:$G$3004,ENSAYOS!$C$5:$C$3004,F289,ENSAYOS!$Q$5:$Q$3004,"&gt;0"))</f>
        <v/>
      </c>
      <c r="O289" s="15" t="str">
        <f aca="false">IF(N(M289)=0,"",_xlfn.MAXIFS(ENSAYOS!$G$5:$G$3004,ENSAYOS!$C$5:$C$3004,F289,ENSAYOS!$Q$5:$Q$3004,"&gt;0"))</f>
        <v/>
      </c>
      <c r="P289" s="16" t="str">
        <f aca="false">IF(N(M289)=0,"",AVERAGEIFS(ENSAYOS!$Q$5:$Q$3004,ENSAYOS!$C$5:$C$3004,F289,ENSAYOS!$Q$5:$Q$3004,"&gt;0"))</f>
        <v/>
      </c>
      <c r="Q289" s="16" t="str">
        <f aca="false">IF(N(M289)=0,"",_xlfn.MINIFS(ENSAYOS!$Q$5:$Q$3004,ENSAYOS!$C$5:$C$3004,F289,ENSAYOS!$Q$5:$Q$3004,"&gt;0"))</f>
        <v/>
      </c>
      <c r="R289" s="16" t="str">
        <f aca="false">IF(N(M289)=0,"",_xlfn.MAXIFS(ENSAYOS!$Q$5:$Q$3004,ENSAYOS!$C$5:$C$3004,F289,ENSAYOS!$Q$5:$Q$3004,"&gt;0"))</f>
        <v/>
      </c>
      <c r="S289" s="16" t="str">
        <f aca="false">IF(N(M289)&lt;2,"",SQRT(MAX(0,(SUMIFS(ENSAYOS!$X$5:$X$3004,ENSAYOS!$C$5:$C$3004,F289,ENSAYOS!$Q$5:$Q$3004,"&gt;0")-M289*P289^2)/(M289-1))))</f>
        <v/>
      </c>
      <c r="T289" s="17" t="str">
        <f aca="false">IF(S289="","",S289/P289)</f>
        <v/>
      </c>
      <c r="U289" s="16" t="str">
        <f aca="false">IF(N(M289)=0,"",IF(N289&gt;=CONFIG!$B$27,"",AVERAGEIFS(ENSAYOS!$Q$5:$Q$3004,ENSAYOS!$C$5:$C$3004,F289,ENSAYOS!$Q$5:$Q$3004,"&gt;0",ENSAYOS!$G$5:$G$3004,N289)))</f>
        <v/>
      </c>
      <c r="V289" s="16" t="str">
        <f aca="false">IF(N(M289)=0,"",IF(COUNTIFS(ENSAYOS!$C$5:$C$3004,F289,ENSAYOS!$Q$5:$Q$3004,"&gt;0",ENSAYOS!$G$5:$G$3004,"&gt;="&amp;CONFIG!$B$27)=0,"",AVERAGEIFS(ENSAYOS!$Q$5:$Q$3004,ENSAYOS!$C$5:$C$3004,F289,ENSAYOS!$Q$5:$Q$3004,"&gt;0",ENSAYOS!$G$5:$G$3004,"&gt;="&amp;CONFIG!$B$27)))</f>
        <v/>
      </c>
      <c r="W289" s="18" t="str">
        <f aca="false">IF(AND(U289&lt;&gt;"",V289&lt;&gt;""),U289/V289,"")</f>
        <v/>
      </c>
      <c r="X289" s="18" t="str">
        <f aca="false">IF(U289="","",INDEX('CURVA EDAD'!$E$5:$E$32,MIN(28,MAX(1,N289))))</f>
        <v/>
      </c>
      <c r="Y289" s="16" t="str">
        <f aca="false">IF(V289&lt;&gt;"",V289,IF(U289="","",U289/X289))</f>
        <v/>
      </c>
      <c r="Z289" s="16" t="str">
        <f aca="false">IF(V289&lt;&gt;"",_xlfn.MINIFS(ENSAYOS!$Q$5:$Q$3004,ENSAYOS!$C$5:$C$3004,F289,ENSAYOS!$Q$5:$Q$3004,"&gt;0",ENSAYOS!$G$5:$G$3004,"&gt;="&amp;CONFIG!$B$27),IF(U289="","",_xlfn.MINIFS(ENSAYOS!$Q$5:$Q$3004,ENSAYOS!$C$5:$C$3004,F289,ENSAYOS!$Q$5:$Q$3004,"&gt;0",ENSAYOS!$G$5:$G$3004,N289)/X289))</f>
        <v/>
      </c>
      <c r="AA289" s="16" t="str">
        <f aca="false">IF(D289="","",IFERROR(1/(1/INDEX(CONFIG!$J$5:$J$14,MATCH(D289,CONFIG!$D$5:$D$14,0))),""))</f>
        <v/>
      </c>
      <c r="AB289" s="16" t="str">
        <f aca="false">IF(D289="","",IFERROR(1/(1/INDEX(CONFIG!$K$5:$K$14,MATCH(D289,CONFIG!$D$5:$D$14,0))),""))</f>
        <v/>
      </c>
      <c r="AC289" s="19" t="str">
        <f aca="false">IF(N(M289)=0,"",IF(AA289="","Sin spec",IF(AND(Y289&gt;=AA289,OR(AB289="",Z289&gt;=AB289)),"CUMPLE","NO CUMPLE")&amp;IF(V289=""," (est.)","")))</f>
        <v/>
      </c>
      <c r="AD289" s="20" t="str">
        <f aca="false">IF(F289="","",IF(COUNTIFS(ABSORCION!$C$5:$C$1004,F289,ABSORCION!$I$5:$I$1004,"&gt;0")=0,"",AVERAGEIFS(ABSORCION!$I$5:$I$1004,ABSORCION!$C$5:$C$1004,F289,ABSORCION!$I$5:$I$1004,"&gt;0")))</f>
        <v/>
      </c>
      <c r="AE289" s="20" t="str">
        <f aca="false">IF(F289="","",IF(COUNTIFS(ABSORCION!$C$5:$C$1004,F289,ABSORCION!$I$5:$I$1004,"&gt;0")=0,"",AVERAGEIFS(ABSORCION!$K$5:$K$1004,ABSORCION!$C$5:$C$1004,F289,ABSORCION!$I$5:$I$1004,"&gt;0")))</f>
        <v/>
      </c>
      <c r="AF289" s="20" t="str">
        <f aca="false">IF(AE289="","",IF(AE289&gt;=CONFIG!$E$21,CONFIG!$F$21,IF(AE289&gt;=CONFIG!$E$20,CONFIG!$F$20,CONFIG!$F$19)))</f>
        <v/>
      </c>
      <c r="AG289" s="21" t="str">
        <f aca="false">IF(F289="","",TRIM(IF(N(M289)=0,"Sin ensayos. ","")&amp;IF(AND(N(M289)&gt;0,N(M289)&lt;CONFIG!$B$26),"Menos de "&amp;CONFIG!$B$26&amp;" probetas. ","")&amp;IF(N(T289)&gt;CONFIG!$B$25,"CV alto. ","")&amp;IF(AND(N(AD289)&gt;0,N(AD289)&gt;N(AF289)),"Absorción alta. ","")))</f>
        <v/>
      </c>
      <c r="AH289" s="22" t="str">
        <f aca="false">IF(AND(N(M289)&gt;0,OR(CONTROL!$C$4="TODAS",C289=CONTROL!$C$4),D289=CONTROL!$C$5),MAX($AH$4:AH288)+1,"")</f>
        <v/>
      </c>
      <c r="AI289" s="22" t="str">
        <f aca="false">IF(AH289="","",P289^2)</f>
        <v/>
      </c>
    </row>
    <row r="290" customFormat="false" ht="15" hidden="false" customHeight="false" outlineLevel="0" collapsed="false">
      <c r="A290" s="11" t="str">
        <f aca="false">IF(B290="","",ROW()-4)</f>
        <v/>
      </c>
      <c r="B290" s="12"/>
      <c r="C290" s="13"/>
      <c r="D290" s="13"/>
      <c r="E290" s="13"/>
      <c r="F290" s="14" t="str">
        <f aca="false">IF(OR(B290="",C290="",D290=""),"",IFERROR(INDEX(CONFIG!$E$5:$E$14,MATCH(D290,CONFIG!$D$5:$D$14,0)),"?")&amp;RIGHT("0"&amp;DAY(B290),2)&amp;RIGHT("0"&amp;MONTH(B290),2)&amp;RIGHT(YEAR(B290),2)&amp;C290&amp;IF(E290="","","-"&amp;E290))</f>
        <v/>
      </c>
      <c r="G290" s="13"/>
      <c r="H290" s="13"/>
      <c r="I290" s="13"/>
      <c r="J290" s="13"/>
      <c r="K290" s="13"/>
      <c r="L290" s="13"/>
      <c r="M290" s="11" t="str">
        <f aca="false">IF(F290="","",COUNTIFS(ENSAYOS!$C$5:$C$3004,F290,ENSAYOS!$Q$5:$Q$3004,"&gt;0"))</f>
        <v/>
      </c>
      <c r="N290" s="15" t="str">
        <f aca="false">IF(N(M290)=0,"",_xlfn.MINIFS(ENSAYOS!$G$5:$G$3004,ENSAYOS!$C$5:$C$3004,F290,ENSAYOS!$Q$5:$Q$3004,"&gt;0"))</f>
        <v/>
      </c>
      <c r="O290" s="15" t="str">
        <f aca="false">IF(N(M290)=0,"",_xlfn.MAXIFS(ENSAYOS!$G$5:$G$3004,ENSAYOS!$C$5:$C$3004,F290,ENSAYOS!$Q$5:$Q$3004,"&gt;0"))</f>
        <v/>
      </c>
      <c r="P290" s="16" t="str">
        <f aca="false">IF(N(M290)=0,"",AVERAGEIFS(ENSAYOS!$Q$5:$Q$3004,ENSAYOS!$C$5:$C$3004,F290,ENSAYOS!$Q$5:$Q$3004,"&gt;0"))</f>
        <v/>
      </c>
      <c r="Q290" s="16" t="str">
        <f aca="false">IF(N(M290)=0,"",_xlfn.MINIFS(ENSAYOS!$Q$5:$Q$3004,ENSAYOS!$C$5:$C$3004,F290,ENSAYOS!$Q$5:$Q$3004,"&gt;0"))</f>
        <v/>
      </c>
      <c r="R290" s="16" t="str">
        <f aca="false">IF(N(M290)=0,"",_xlfn.MAXIFS(ENSAYOS!$Q$5:$Q$3004,ENSAYOS!$C$5:$C$3004,F290,ENSAYOS!$Q$5:$Q$3004,"&gt;0"))</f>
        <v/>
      </c>
      <c r="S290" s="16" t="str">
        <f aca="false">IF(N(M290)&lt;2,"",SQRT(MAX(0,(SUMIFS(ENSAYOS!$X$5:$X$3004,ENSAYOS!$C$5:$C$3004,F290,ENSAYOS!$Q$5:$Q$3004,"&gt;0")-M290*P290^2)/(M290-1))))</f>
        <v/>
      </c>
      <c r="T290" s="17" t="str">
        <f aca="false">IF(S290="","",S290/P290)</f>
        <v/>
      </c>
      <c r="U290" s="16" t="str">
        <f aca="false">IF(N(M290)=0,"",IF(N290&gt;=CONFIG!$B$27,"",AVERAGEIFS(ENSAYOS!$Q$5:$Q$3004,ENSAYOS!$C$5:$C$3004,F290,ENSAYOS!$Q$5:$Q$3004,"&gt;0",ENSAYOS!$G$5:$G$3004,N290)))</f>
        <v/>
      </c>
      <c r="V290" s="16" t="str">
        <f aca="false">IF(N(M290)=0,"",IF(COUNTIFS(ENSAYOS!$C$5:$C$3004,F290,ENSAYOS!$Q$5:$Q$3004,"&gt;0",ENSAYOS!$G$5:$G$3004,"&gt;="&amp;CONFIG!$B$27)=0,"",AVERAGEIFS(ENSAYOS!$Q$5:$Q$3004,ENSAYOS!$C$5:$C$3004,F290,ENSAYOS!$Q$5:$Q$3004,"&gt;0",ENSAYOS!$G$5:$G$3004,"&gt;="&amp;CONFIG!$B$27)))</f>
        <v/>
      </c>
      <c r="W290" s="18" t="str">
        <f aca="false">IF(AND(U290&lt;&gt;"",V290&lt;&gt;""),U290/V290,"")</f>
        <v/>
      </c>
      <c r="X290" s="18" t="str">
        <f aca="false">IF(U290="","",INDEX('CURVA EDAD'!$E$5:$E$32,MIN(28,MAX(1,N290))))</f>
        <v/>
      </c>
      <c r="Y290" s="16" t="str">
        <f aca="false">IF(V290&lt;&gt;"",V290,IF(U290="","",U290/X290))</f>
        <v/>
      </c>
      <c r="Z290" s="16" t="str">
        <f aca="false">IF(V290&lt;&gt;"",_xlfn.MINIFS(ENSAYOS!$Q$5:$Q$3004,ENSAYOS!$C$5:$C$3004,F290,ENSAYOS!$Q$5:$Q$3004,"&gt;0",ENSAYOS!$G$5:$G$3004,"&gt;="&amp;CONFIG!$B$27),IF(U290="","",_xlfn.MINIFS(ENSAYOS!$Q$5:$Q$3004,ENSAYOS!$C$5:$C$3004,F290,ENSAYOS!$Q$5:$Q$3004,"&gt;0",ENSAYOS!$G$5:$G$3004,N290)/X290))</f>
        <v/>
      </c>
      <c r="AA290" s="16" t="str">
        <f aca="false">IF(D290="","",IFERROR(1/(1/INDEX(CONFIG!$J$5:$J$14,MATCH(D290,CONFIG!$D$5:$D$14,0))),""))</f>
        <v/>
      </c>
      <c r="AB290" s="16" t="str">
        <f aca="false">IF(D290="","",IFERROR(1/(1/INDEX(CONFIG!$K$5:$K$14,MATCH(D290,CONFIG!$D$5:$D$14,0))),""))</f>
        <v/>
      </c>
      <c r="AC290" s="19" t="str">
        <f aca="false">IF(N(M290)=0,"",IF(AA290="","Sin spec",IF(AND(Y290&gt;=AA290,OR(AB290="",Z290&gt;=AB290)),"CUMPLE","NO CUMPLE")&amp;IF(V290=""," (est.)","")))</f>
        <v/>
      </c>
      <c r="AD290" s="20" t="str">
        <f aca="false">IF(F290="","",IF(COUNTIFS(ABSORCION!$C$5:$C$1004,F290,ABSORCION!$I$5:$I$1004,"&gt;0")=0,"",AVERAGEIFS(ABSORCION!$I$5:$I$1004,ABSORCION!$C$5:$C$1004,F290,ABSORCION!$I$5:$I$1004,"&gt;0")))</f>
        <v/>
      </c>
      <c r="AE290" s="20" t="str">
        <f aca="false">IF(F290="","",IF(COUNTIFS(ABSORCION!$C$5:$C$1004,F290,ABSORCION!$I$5:$I$1004,"&gt;0")=0,"",AVERAGEIFS(ABSORCION!$K$5:$K$1004,ABSORCION!$C$5:$C$1004,F290,ABSORCION!$I$5:$I$1004,"&gt;0")))</f>
        <v/>
      </c>
      <c r="AF290" s="20" t="str">
        <f aca="false">IF(AE290="","",IF(AE290&gt;=CONFIG!$E$21,CONFIG!$F$21,IF(AE290&gt;=CONFIG!$E$20,CONFIG!$F$20,CONFIG!$F$19)))</f>
        <v/>
      </c>
      <c r="AG290" s="21" t="str">
        <f aca="false">IF(F290="","",TRIM(IF(N(M290)=0,"Sin ensayos. ","")&amp;IF(AND(N(M290)&gt;0,N(M290)&lt;CONFIG!$B$26),"Menos de "&amp;CONFIG!$B$26&amp;" probetas. ","")&amp;IF(N(T290)&gt;CONFIG!$B$25,"CV alto. ","")&amp;IF(AND(N(AD290)&gt;0,N(AD290)&gt;N(AF290)),"Absorción alta. ","")))</f>
        <v/>
      </c>
      <c r="AH290" s="22" t="str">
        <f aca="false">IF(AND(N(M290)&gt;0,OR(CONTROL!$C$4="TODAS",C290=CONTROL!$C$4),D290=CONTROL!$C$5),MAX($AH$4:AH289)+1,"")</f>
        <v/>
      </c>
      <c r="AI290" s="22" t="str">
        <f aca="false">IF(AH290="","",P290^2)</f>
        <v/>
      </c>
    </row>
    <row r="291" customFormat="false" ht="15" hidden="false" customHeight="false" outlineLevel="0" collapsed="false">
      <c r="A291" s="11" t="str">
        <f aca="false">IF(B291="","",ROW()-4)</f>
        <v/>
      </c>
      <c r="B291" s="12"/>
      <c r="C291" s="13"/>
      <c r="D291" s="13"/>
      <c r="E291" s="13"/>
      <c r="F291" s="14" t="str">
        <f aca="false">IF(OR(B291="",C291="",D291=""),"",IFERROR(INDEX(CONFIG!$E$5:$E$14,MATCH(D291,CONFIG!$D$5:$D$14,0)),"?")&amp;RIGHT("0"&amp;DAY(B291),2)&amp;RIGHT("0"&amp;MONTH(B291),2)&amp;RIGHT(YEAR(B291),2)&amp;C291&amp;IF(E291="","","-"&amp;E291))</f>
        <v/>
      </c>
      <c r="G291" s="13"/>
      <c r="H291" s="13"/>
      <c r="I291" s="13"/>
      <c r="J291" s="13"/>
      <c r="K291" s="13"/>
      <c r="L291" s="13"/>
      <c r="M291" s="11" t="str">
        <f aca="false">IF(F291="","",COUNTIFS(ENSAYOS!$C$5:$C$3004,F291,ENSAYOS!$Q$5:$Q$3004,"&gt;0"))</f>
        <v/>
      </c>
      <c r="N291" s="15" t="str">
        <f aca="false">IF(N(M291)=0,"",_xlfn.MINIFS(ENSAYOS!$G$5:$G$3004,ENSAYOS!$C$5:$C$3004,F291,ENSAYOS!$Q$5:$Q$3004,"&gt;0"))</f>
        <v/>
      </c>
      <c r="O291" s="15" t="str">
        <f aca="false">IF(N(M291)=0,"",_xlfn.MAXIFS(ENSAYOS!$G$5:$G$3004,ENSAYOS!$C$5:$C$3004,F291,ENSAYOS!$Q$5:$Q$3004,"&gt;0"))</f>
        <v/>
      </c>
      <c r="P291" s="16" t="str">
        <f aca="false">IF(N(M291)=0,"",AVERAGEIFS(ENSAYOS!$Q$5:$Q$3004,ENSAYOS!$C$5:$C$3004,F291,ENSAYOS!$Q$5:$Q$3004,"&gt;0"))</f>
        <v/>
      </c>
      <c r="Q291" s="16" t="str">
        <f aca="false">IF(N(M291)=0,"",_xlfn.MINIFS(ENSAYOS!$Q$5:$Q$3004,ENSAYOS!$C$5:$C$3004,F291,ENSAYOS!$Q$5:$Q$3004,"&gt;0"))</f>
        <v/>
      </c>
      <c r="R291" s="16" t="str">
        <f aca="false">IF(N(M291)=0,"",_xlfn.MAXIFS(ENSAYOS!$Q$5:$Q$3004,ENSAYOS!$C$5:$C$3004,F291,ENSAYOS!$Q$5:$Q$3004,"&gt;0"))</f>
        <v/>
      </c>
      <c r="S291" s="16" t="str">
        <f aca="false">IF(N(M291)&lt;2,"",SQRT(MAX(0,(SUMIFS(ENSAYOS!$X$5:$X$3004,ENSAYOS!$C$5:$C$3004,F291,ENSAYOS!$Q$5:$Q$3004,"&gt;0")-M291*P291^2)/(M291-1))))</f>
        <v/>
      </c>
      <c r="T291" s="17" t="str">
        <f aca="false">IF(S291="","",S291/P291)</f>
        <v/>
      </c>
      <c r="U291" s="16" t="str">
        <f aca="false">IF(N(M291)=0,"",IF(N291&gt;=CONFIG!$B$27,"",AVERAGEIFS(ENSAYOS!$Q$5:$Q$3004,ENSAYOS!$C$5:$C$3004,F291,ENSAYOS!$Q$5:$Q$3004,"&gt;0",ENSAYOS!$G$5:$G$3004,N291)))</f>
        <v/>
      </c>
      <c r="V291" s="16" t="str">
        <f aca="false">IF(N(M291)=0,"",IF(COUNTIFS(ENSAYOS!$C$5:$C$3004,F291,ENSAYOS!$Q$5:$Q$3004,"&gt;0",ENSAYOS!$G$5:$G$3004,"&gt;="&amp;CONFIG!$B$27)=0,"",AVERAGEIFS(ENSAYOS!$Q$5:$Q$3004,ENSAYOS!$C$5:$C$3004,F291,ENSAYOS!$Q$5:$Q$3004,"&gt;0",ENSAYOS!$G$5:$G$3004,"&gt;="&amp;CONFIG!$B$27)))</f>
        <v/>
      </c>
      <c r="W291" s="18" t="str">
        <f aca="false">IF(AND(U291&lt;&gt;"",V291&lt;&gt;""),U291/V291,"")</f>
        <v/>
      </c>
      <c r="X291" s="18" t="str">
        <f aca="false">IF(U291="","",INDEX('CURVA EDAD'!$E$5:$E$32,MIN(28,MAX(1,N291))))</f>
        <v/>
      </c>
      <c r="Y291" s="16" t="str">
        <f aca="false">IF(V291&lt;&gt;"",V291,IF(U291="","",U291/X291))</f>
        <v/>
      </c>
      <c r="Z291" s="16" t="str">
        <f aca="false">IF(V291&lt;&gt;"",_xlfn.MINIFS(ENSAYOS!$Q$5:$Q$3004,ENSAYOS!$C$5:$C$3004,F291,ENSAYOS!$Q$5:$Q$3004,"&gt;0",ENSAYOS!$G$5:$G$3004,"&gt;="&amp;CONFIG!$B$27),IF(U291="","",_xlfn.MINIFS(ENSAYOS!$Q$5:$Q$3004,ENSAYOS!$C$5:$C$3004,F291,ENSAYOS!$Q$5:$Q$3004,"&gt;0",ENSAYOS!$G$5:$G$3004,N291)/X291))</f>
        <v/>
      </c>
      <c r="AA291" s="16" t="str">
        <f aca="false">IF(D291="","",IFERROR(1/(1/INDEX(CONFIG!$J$5:$J$14,MATCH(D291,CONFIG!$D$5:$D$14,0))),""))</f>
        <v/>
      </c>
      <c r="AB291" s="16" t="str">
        <f aca="false">IF(D291="","",IFERROR(1/(1/INDEX(CONFIG!$K$5:$K$14,MATCH(D291,CONFIG!$D$5:$D$14,0))),""))</f>
        <v/>
      </c>
      <c r="AC291" s="19" t="str">
        <f aca="false">IF(N(M291)=0,"",IF(AA291="","Sin spec",IF(AND(Y291&gt;=AA291,OR(AB291="",Z291&gt;=AB291)),"CUMPLE","NO CUMPLE")&amp;IF(V291=""," (est.)","")))</f>
        <v/>
      </c>
      <c r="AD291" s="20" t="str">
        <f aca="false">IF(F291="","",IF(COUNTIFS(ABSORCION!$C$5:$C$1004,F291,ABSORCION!$I$5:$I$1004,"&gt;0")=0,"",AVERAGEIFS(ABSORCION!$I$5:$I$1004,ABSORCION!$C$5:$C$1004,F291,ABSORCION!$I$5:$I$1004,"&gt;0")))</f>
        <v/>
      </c>
      <c r="AE291" s="20" t="str">
        <f aca="false">IF(F291="","",IF(COUNTIFS(ABSORCION!$C$5:$C$1004,F291,ABSORCION!$I$5:$I$1004,"&gt;0")=0,"",AVERAGEIFS(ABSORCION!$K$5:$K$1004,ABSORCION!$C$5:$C$1004,F291,ABSORCION!$I$5:$I$1004,"&gt;0")))</f>
        <v/>
      </c>
      <c r="AF291" s="20" t="str">
        <f aca="false">IF(AE291="","",IF(AE291&gt;=CONFIG!$E$21,CONFIG!$F$21,IF(AE291&gt;=CONFIG!$E$20,CONFIG!$F$20,CONFIG!$F$19)))</f>
        <v/>
      </c>
      <c r="AG291" s="21" t="str">
        <f aca="false">IF(F291="","",TRIM(IF(N(M291)=0,"Sin ensayos. ","")&amp;IF(AND(N(M291)&gt;0,N(M291)&lt;CONFIG!$B$26),"Menos de "&amp;CONFIG!$B$26&amp;" probetas. ","")&amp;IF(N(T291)&gt;CONFIG!$B$25,"CV alto. ","")&amp;IF(AND(N(AD291)&gt;0,N(AD291)&gt;N(AF291)),"Absorción alta. ","")))</f>
        <v/>
      </c>
      <c r="AH291" s="22" t="str">
        <f aca="false">IF(AND(N(M291)&gt;0,OR(CONTROL!$C$4="TODAS",C291=CONTROL!$C$4),D291=CONTROL!$C$5),MAX($AH$4:AH290)+1,"")</f>
        <v/>
      </c>
      <c r="AI291" s="22" t="str">
        <f aca="false">IF(AH291="","",P291^2)</f>
        <v/>
      </c>
    </row>
    <row r="292" customFormat="false" ht="15" hidden="false" customHeight="false" outlineLevel="0" collapsed="false">
      <c r="A292" s="11" t="str">
        <f aca="false">IF(B292="","",ROW()-4)</f>
        <v/>
      </c>
      <c r="B292" s="12"/>
      <c r="C292" s="13"/>
      <c r="D292" s="13"/>
      <c r="E292" s="13"/>
      <c r="F292" s="14" t="str">
        <f aca="false">IF(OR(B292="",C292="",D292=""),"",IFERROR(INDEX(CONFIG!$E$5:$E$14,MATCH(D292,CONFIG!$D$5:$D$14,0)),"?")&amp;RIGHT("0"&amp;DAY(B292),2)&amp;RIGHT("0"&amp;MONTH(B292),2)&amp;RIGHT(YEAR(B292),2)&amp;C292&amp;IF(E292="","","-"&amp;E292))</f>
        <v/>
      </c>
      <c r="G292" s="13"/>
      <c r="H292" s="13"/>
      <c r="I292" s="13"/>
      <c r="J292" s="13"/>
      <c r="K292" s="13"/>
      <c r="L292" s="13"/>
      <c r="M292" s="11" t="str">
        <f aca="false">IF(F292="","",COUNTIFS(ENSAYOS!$C$5:$C$3004,F292,ENSAYOS!$Q$5:$Q$3004,"&gt;0"))</f>
        <v/>
      </c>
      <c r="N292" s="15" t="str">
        <f aca="false">IF(N(M292)=0,"",_xlfn.MINIFS(ENSAYOS!$G$5:$G$3004,ENSAYOS!$C$5:$C$3004,F292,ENSAYOS!$Q$5:$Q$3004,"&gt;0"))</f>
        <v/>
      </c>
      <c r="O292" s="15" t="str">
        <f aca="false">IF(N(M292)=0,"",_xlfn.MAXIFS(ENSAYOS!$G$5:$G$3004,ENSAYOS!$C$5:$C$3004,F292,ENSAYOS!$Q$5:$Q$3004,"&gt;0"))</f>
        <v/>
      </c>
      <c r="P292" s="16" t="str">
        <f aca="false">IF(N(M292)=0,"",AVERAGEIFS(ENSAYOS!$Q$5:$Q$3004,ENSAYOS!$C$5:$C$3004,F292,ENSAYOS!$Q$5:$Q$3004,"&gt;0"))</f>
        <v/>
      </c>
      <c r="Q292" s="16" t="str">
        <f aca="false">IF(N(M292)=0,"",_xlfn.MINIFS(ENSAYOS!$Q$5:$Q$3004,ENSAYOS!$C$5:$C$3004,F292,ENSAYOS!$Q$5:$Q$3004,"&gt;0"))</f>
        <v/>
      </c>
      <c r="R292" s="16" t="str">
        <f aca="false">IF(N(M292)=0,"",_xlfn.MAXIFS(ENSAYOS!$Q$5:$Q$3004,ENSAYOS!$C$5:$C$3004,F292,ENSAYOS!$Q$5:$Q$3004,"&gt;0"))</f>
        <v/>
      </c>
      <c r="S292" s="16" t="str">
        <f aca="false">IF(N(M292)&lt;2,"",SQRT(MAX(0,(SUMIFS(ENSAYOS!$X$5:$X$3004,ENSAYOS!$C$5:$C$3004,F292,ENSAYOS!$Q$5:$Q$3004,"&gt;0")-M292*P292^2)/(M292-1))))</f>
        <v/>
      </c>
      <c r="T292" s="17" t="str">
        <f aca="false">IF(S292="","",S292/P292)</f>
        <v/>
      </c>
      <c r="U292" s="16" t="str">
        <f aca="false">IF(N(M292)=0,"",IF(N292&gt;=CONFIG!$B$27,"",AVERAGEIFS(ENSAYOS!$Q$5:$Q$3004,ENSAYOS!$C$5:$C$3004,F292,ENSAYOS!$Q$5:$Q$3004,"&gt;0",ENSAYOS!$G$5:$G$3004,N292)))</f>
        <v/>
      </c>
      <c r="V292" s="16" t="str">
        <f aca="false">IF(N(M292)=0,"",IF(COUNTIFS(ENSAYOS!$C$5:$C$3004,F292,ENSAYOS!$Q$5:$Q$3004,"&gt;0",ENSAYOS!$G$5:$G$3004,"&gt;="&amp;CONFIG!$B$27)=0,"",AVERAGEIFS(ENSAYOS!$Q$5:$Q$3004,ENSAYOS!$C$5:$C$3004,F292,ENSAYOS!$Q$5:$Q$3004,"&gt;0",ENSAYOS!$G$5:$G$3004,"&gt;="&amp;CONFIG!$B$27)))</f>
        <v/>
      </c>
      <c r="W292" s="18" t="str">
        <f aca="false">IF(AND(U292&lt;&gt;"",V292&lt;&gt;""),U292/V292,"")</f>
        <v/>
      </c>
      <c r="X292" s="18" t="str">
        <f aca="false">IF(U292="","",INDEX('CURVA EDAD'!$E$5:$E$32,MIN(28,MAX(1,N292))))</f>
        <v/>
      </c>
      <c r="Y292" s="16" t="str">
        <f aca="false">IF(V292&lt;&gt;"",V292,IF(U292="","",U292/X292))</f>
        <v/>
      </c>
      <c r="Z292" s="16" t="str">
        <f aca="false">IF(V292&lt;&gt;"",_xlfn.MINIFS(ENSAYOS!$Q$5:$Q$3004,ENSAYOS!$C$5:$C$3004,F292,ENSAYOS!$Q$5:$Q$3004,"&gt;0",ENSAYOS!$G$5:$G$3004,"&gt;="&amp;CONFIG!$B$27),IF(U292="","",_xlfn.MINIFS(ENSAYOS!$Q$5:$Q$3004,ENSAYOS!$C$5:$C$3004,F292,ENSAYOS!$Q$5:$Q$3004,"&gt;0",ENSAYOS!$G$5:$G$3004,N292)/X292))</f>
        <v/>
      </c>
      <c r="AA292" s="16" t="str">
        <f aca="false">IF(D292="","",IFERROR(1/(1/INDEX(CONFIG!$J$5:$J$14,MATCH(D292,CONFIG!$D$5:$D$14,0))),""))</f>
        <v/>
      </c>
      <c r="AB292" s="16" t="str">
        <f aca="false">IF(D292="","",IFERROR(1/(1/INDEX(CONFIG!$K$5:$K$14,MATCH(D292,CONFIG!$D$5:$D$14,0))),""))</f>
        <v/>
      </c>
      <c r="AC292" s="19" t="str">
        <f aca="false">IF(N(M292)=0,"",IF(AA292="","Sin spec",IF(AND(Y292&gt;=AA292,OR(AB292="",Z292&gt;=AB292)),"CUMPLE","NO CUMPLE")&amp;IF(V292=""," (est.)","")))</f>
        <v/>
      </c>
      <c r="AD292" s="20" t="str">
        <f aca="false">IF(F292="","",IF(COUNTIFS(ABSORCION!$C$5:$C$1004,F292,ABSORCION!$I$5:$I$1004,"&gt;0")=0,"",AVERAGEIFS(ABSORCION!$I$5:$I$1004,ABSORCION!$C$5:$C$1004,F292,ABSORCION!$I$5:$I$1004,"&gt;0")))</f>
        <v/>
      </c>
      <c r="AE292" s="20" t="str">
        <f aca="false">IF(F292="","",IF(COUNTIFS(ABSORCION!$C$5:$C$1004,F292,ABSORCION!$I$5:$I$1004,"&gt;0")=0,"",AVERAGEIFS(ABSORCION!$K$5:$K$1004,ABSORCION!$C$5:$C$1004,F292,ABSORCION!$I$5:$I$1004,"&gt;0")))</f>
        <v/>
      </c>
      <c r="AF292" s="20" t="str">
        <f aca="false">IF(AE292="","",IF(AE292&gt;=CONFIG!$E$21,CONFIG!$F$21,IF(AE292&gt;=CONFIG!$E$20,CONFIG!$F$20,CONFIG!$F$19)))</f>
        <v/>
      </c>
      <c r="AG292" s="21" t="str">
        <f aca="false">IF(F292="","",TRIM(IF(N(M292)=0,"Sin ensayos. ","")&amp;IF(AND(N(M292)&gt;0,N(M292)&lt;CONFIG!$B$26),"Menos de "&amp;CONFIG!$B$26&amp;" probetas. ","")&amp;IF(N(T292)&gt;CONFIG!$B$25,"CV alto. ","")&amp;IF(AND(N(AD292)&gt;0,N(AD292)&gt;N(AF292)),"Absorción alta. ","")))</f>
        <v/>
      </c>
      <c r="AH292" s="22" t="str">
        <f aca="false">IF(AND(N(M292)&gt;0,OR(CONTROL!$C$4="TODAS",C292=CONTROL!$C$4),D292=CONTROL!$C$5),MAX($AH$4:AH291)+1,"")</f>
        <v/>
      </c>
      <c r="AI292" s="22" t="str">
        <f aca="false">IF(AH292="","",P292^2)</f>
        <v/>
      </c>
    </row>
    <row r="293" customFormat="false" ht="15" hidden="false" customHeight="false" outlineLevel="0" collapsed="false">
      <c r="A293" s="11" t="str">
        <f aca="false">IF(B293="","",ROW()-4)</f>
        <v/>
      </c>
      <c r="B293" s="12"/>
      <c r="C293" s="13"/>
      <c r="D293" s="13"/>
      <c r="E293" s="13"/>
      <c r="F293" s="14" t="str">
        <f aca="false">IF(OR(B293="",C293="",D293=""),"",IFERROR(INDEX(CONFIG!$E$5:$E$14,MATCH(D293,CONFIG!$D$5:$D$14,0)),"?")&amp;RIGHT("0"&amp;DAY(B293),2)&amp;RIGHT("0"&amp;MONTH(B293),2)&amp;RIGHT(YEAR(B293),2)&amp;C293&amp;IF(E293="","","-"&amp;E293))</f>
        <v/>
      </c>
      <c r="G293" s="13"/>
      <c r="H293" s="13"/>
      <c r="I293" s="13"/>
      <c r="J293" s="13"/>
      <c r="K293" s="13"/>
      <c r="L293" s="13"/>
      <c r="M293" s="11" t="str">
        <f aca="false">IF(F293="","",COUNTIFS(ENSAYOS!$C$5:$C$3004,F293,ENSAYOS!$Q$5:$Q$3004,"&gt;0"))</f>
        <v/>
      </c>
      <c r="N293" s="15" t="str">
        <f aca="false">IF(N(M293)=0,"",_xlfn.MINIFS(ENSAYOS!$G$5:$G$3004,ENSAYOS!$C$5:$C$3004,F293,ENSAYOS!$Q$5:$Q$3004,"&gt;0"))</f>
        <v/>
      </c>
      <c r="O293" s="15" t="str">
        <f aca="false">IF(N(M293)=0,"",_xlfn.MAXIFS(ENSAYOS!$G$5:$G$3004,ENSAYOS!$C$5:$C$3004,F293,ENSAYOS!$Q$5:$Q$3004,"&gt;0"))</f>
        <v/>
      </c>
      <c r="P293" s="16" t="str">
        <f aca="false">IF(N(M293)=0,"",AVERAGEIFS(ENSAYOS!$Q$5:$Q$3004,ENSAYOS!$C$5:$C$3004,F293,ENSAYOS!$Q$5:$Q$3004,"&gt;0"))</f>
        <v/>
      </c>
      <c r="Q293" s="16" t="str">
        <f aca="false">IF(N(M293)=0,"",_xlfn.MINIFS(ENSAYOS!$Q$5:$Q$3004,ENSAYOS!$C$5:$C$3004,F293,ENSAYOS!$Q$5:$Q$3004,"&gt;0"))</f>
        <v/>
      </c>
      <c r="R293" s="16" t="str">
        <f aca="false">IF(N(M293)=0,"",_xlfn.MAXIFS(ENSAYOS!$Q$5:$Q$3004,ENSAYOS!$C$5:$C$3004,F293,ENSAYOS!$Q$5:$Q$3004,"&gt;0"))</f>
        <v/>
      </c>
      <c r="S293" s="16" t="str">
        <f aca="false">IF(N(M293)&lt;2,"",SQRT(MAX(0,(SUMIFS(ENSAYOS!$X$5:$X$3004,ENSAYOS!$C$5:$C$3004,F293,ENSAYOS!$Q$5:$Q$3004,"&gt;0")-M293*P293^2)/(M293-1))))</f>
        <v/>
      </c>
      <c r="T293" s="17" t="str">
        <f aca="false">IF(S293="","",S293/P293)</f>
        <v/>
      </c>
      <c r="U293" s="16" t="str">
        <f aca="false">IF(N(M293)=0,"",IF(N293&gt;=CONFIG!$B$27,"",AVERAGEIFS(ENSAYOS!$Q$5:$Q$3004,ENSAYOS!$C$5:$C$3004,F293,ENSAYOS!$Q$5:$Q$3004,"&gt;0",ENSAYOS!$G$5:$G$3004,N293)))</f>
        <v/>
      </c>
      <c r="V293" s="16" t="str">
        <f aca="false">IF(N(M293)=0,"",IF(COUNTIFS(ENSAYOS!$C$5:$C$3004,F293,ENSAYOS!$Q$5:$Q$3004,"&gt;0",ENSAYOS!$G$5:$G$3004,"&gt;="&amp;CONFIG!$B$27)=0,"",AVERAGEIFS(ENSAYOS!$Q$5:$Q$3004,ENSAYOS!$C$5:$C$3004,F293,ENSAYOS!$Q$5:$Q$3004,"&gt;0",ENSAYOS!$G$5:$G$3004,"&gt;="&amp;CONFIG!$B$27)))</f>
        <v/>
      </c>
      <c r="W293" s="18" t="str">
        <f aca="false">IF(AND(U293&lt;&gt;"",V293&lt;&gt;""),U293/V293,"")</f>
        <v/>
      </c>
      <c r="X293" s="18" t="str">
        <f aca="false">IF(U293="","",INDEX('CURVA EDAD'!$E$5:$E$32,MIN(28,MAX(1,N293))))</f>
        <v/>
      </c>
      <c r="Y293" s="16" t="str">
        <f aca="false">IF(V293&lt;&gt;"",V293,IF(U293="","",U293/X293))</f>
        <v/>
      </c>
      <c r="Z293" s="16" t="str">
        <f aca="false">IF(V293&lt;&gt;"",_xlfn.MINIFS(ENSAYOS!$Q$5:$Q$3004,ENSAYOS!$C$5:$C$3004,F293,ENSAYOS!$Q$5:$Q$3004,"&gt;0",ENSAYOS!$G$5:$G$3004,"&gt;="&amp;CONFIG!$B$27),IF(U293="","",_xlfn.MINIFS(ENSAYOS!$Q$5:$Q$3004,ENSAYOS!$C$5:$C$3004,F293,ENSAYOS!$Q$5:$Q$3004,"&gt;0",ENSAYOS!$G$5:$G$3004,N293)/X293))</f>
        <v/>
      </c>
      <c r="AA293" s="16" t="str">
        <f aca="false">IF(D293="","",IFERROR(1/(1/INDEX(CONFIG!$J$5:$J$14,MATCH(D293,CONFIG!$D$5:$D$14,0))),""))</f>
        <v/>
      </c>
      <c r="AB293" s="16" t="str">
        <f aca="false">IF(D293="","",IFERROR(1/(1/INDEX(CONFIG!$K$5:$K$14,MATCH(D293,CONFIG!$D$5:$D$14,0))),""))</f>
        <v/>
      </c>
      <c r="AC293" s="19" t="str">
        <f aca="false">IF(N(M293)=0,"",IF(AA293="","Sin spec",IF(AND(Y293&gt;=AA293,OR(AB293="",Z293&gt;=AB293)),"CUMPLE","NO CUMPLE")&amp;IF(V293=""," (est.)","")))</f>
        <v/>
      </c>
      <c r="AD293" s="20" t="str">
        <f aca="false">IF(F293="","",IF(COUNTIFS(ABSORCION!$C$5:$C$1004,F293,ABSORCION!$I$5:$I$1004,"&gt;0")=0,"",AVERAGEIFS(ABSORCION!$I$5:$I$1004,ABSORCION!$C$5:$C$1004,F293,ABSORCION!$I$5:$I$1004,"&gt;0")))</f>
        <v/>
      </c>
      <c r="AE293" s="20" t="str">
        <f aca="false">IF(F293="","",IF(COUNTIFS(ABSORCION!$C$5:$C$1004,F293,ABSORCION!$I$5:$I$1004,"&gt;0")=0,"",AVERAGEIFS(ABSORCION!$K$5:$K$1004,ABSORCION!$C$5:$C$1004,F293,ABSORCION!$I$5:$I$1004,"&gt;0")))</f>
        <v/>
      </c>
      <c r="AF293" s="20" t="str">
        <f aca="false">IF(AE293="","",IF(AE293&gt;=CONFIG!$E$21,CONFIG!$F$21,IF(AE293&gt;=CONFIG!$E$20,CONFIG!$F$20,CONFIG!$F$19)))</f>
        <v/>
      </c>
      <c r="AG293" s="21" t="str">
        <f aca="false">IF(F293="","",TRIM(IF(N(M293)=0,"Sin ensayos. ","")&amp;IF(AND(N(M293)&gt;0,N(M293)&lt;CONFIG!$B$26),"Menos de "&amp;CONFIG!$B$26&amp;" probetas. ","")&amp;IF(N(T293)&gt;CONFIG!$B$25,"CV alto. ","")&amp;IF(AND(N(AD293)&gt;0,N(AD293)&gt;N(AF293)),"Absorción alta. ","")))</f>
        <v/>
      </c>
      <c r="AH293" s="22" t="str">
        <f aca="false">IF(AND(N(M293)&gt;0,OR(CONTROL!$C$4="TODAS",C293=CONTROL!$C$4),D293=CONTROL!$C$5),MAX($AH$4:AH292)+1,"")</f>
        <v/>
      </c>
      <c r="AI293" s="22" t="str">
        <f aca="false">IF(AH293="","",P293^2)</f>
        <v/>
      </c>
    </row>
    <row r="294" customFormat="false" ht="15" hidden="false" customHeight="false" outlineLevel="0" collapsed="false">
      <c r="A294" s="11" t="str">
        <f aca="false">IF(B294="","",ROW()-4)</f>
        <v/>
      </c>
      <c r="B294" s="12"/>
      <c r="C294" s="13"/>
      <c r="D294" s="13"/>
      <c r="E294" s="13"/>
      <c r="F294" s="14" t="str">
        <f aca="false">IF(OR(B294="",C294="",D294=""),"",IFERROR(INDEX(CONFIG!$E$5:$E$14,MATCH(D294,CONFIG!$D$5:$D$14,0)),"?")&amp;RIGHT("0"&amp;DAY(B294),2)&amp;RIGHT("0"&amp;MONTH(B294),2)&amp;RIGHT(YEAR(B294),2)&amp;C294&amp;IF(E294="","","-"&amp;E294))</f>
        <v/>
      </c>
      <c r="G294" s="13"/>
      <c r="H294" s="13"/>
      <c r="I294" s="13"/>
      <c r="J294" s="13"/>
      <c r="K294" s="13"/>
      <c r="L294" s="13"/>
      <c r="M294" s="11" t="str">
        <f aca="false">IF(F294="","",COUNTIFS(ENSAYOS!$C$5:$C$3004,F294,ENSAYOS!$Q$5:$Q$3004,"&gt;0"))</f>
        <v/>
      </c>
      <c r="N294" s="15" t="str">
        <f aca="false">IF(N(M294)=0,"",_xlfn.MINIFS(ENSAYOS!$G$5:$G$3004,ENSAYOS!$C$5:$C$3004,F294,ENSAYOS!$Q$5:$Q$3004,"&gt;0"))</f>
        <v/>
      </c>
      <c r="O294" s="15" t="str">
        <f aca="false">IF(N(M294)=0,"",_xlfn.MAXIFS(ENSAYOS!$G$5:$G$3004,ENSAYOS!$C$5:$C$3004,F294,ENSAYOS!$Q$5:$Q$3004,"&gt;0"))</f>
        <v/>
      </c>
      <c r="P294" s="16" t="str">
        <f aca="false">IF(N(M294)=0,"",AVERAGEIFS(ENSAYOS!$Q$5:$Q$3004,ENSAYOS!$C$5:$C$3004,F294,ENSAYOS!$Q$5:$Q$3004,"&gt;0"))</f>
        <v/>
      </c>
      <c r="Q294" s="16" t="str">
        <f aca="false">IF(N(M294)=0,"",_xlfn.MINIFS(ENSAYOS!$Q$5:$Q$3004,ENSAYOS!$C$5:$C$3004,F294,ENSAYOS!$Q$5:$Q$3004,"&gt;0"))</f>
        <v/>
      </c>
      <c r="R294" s="16" t="str">
        <f aca="false">IF(N(M294)=0,"",_xlfn.MAXIFS(ENSAYOS!$Q$5:$Q$3004,ENSAYOS!$C$5:$C$3004,F294,ENSAYOS!$Q$5:$Q$3004,"&gt;0"))</f>
        <v/>
      </c>
      <c r="S294" s="16" t="str">
        <f aca="false">IF(N(M294)&lt;2,"",SQRT(MAX(0,(SUMIFS(ENSAYOS!$X$5:$X$3004,ENSAYOS!$C$5:$C$3004,F294,ENSAYOS!$Q$5:$Q$3004,"&gt;0")-M294*P294^2)/(M294-1))))</f>
        <v/>
      </c>
      <c r="T294" s="17" t="str">
        <f aca="false">IF(S294="","",S294/P294)</f>
        <v/>
      </c>
      <c r="U294" s="16" t="str">
        <f aca="false">IF(N(M294)=0,"",IF(N294&gt;=CONFIG!$B$27,"",AVERAGEIFS(ENSAYOS!$Q$5:$Q$3004,ENSAYOS!$C$5:$C$3004,F294,ENSAYOS!$Q$5:$Q$3004,"&gt;0",ENSAYOS!$G$5:$G$3004,N294)))</f>
        <v/>
      </c>
      <c r="V294" s="16" t="str">
        <f aca="false">IF(N(M294)=0,"",IF(COUNTIFS(ENSAYOS!$C$5:$C$3004,F294,ENSAYOS!$Q$5:$Q$3004,"&gt;0",ENSAYOS!$G$5:$G$3004,"&gt;="&amp;CONFIG!$B$27)=0,"",AVERAGEIFS(ENSAYOS!$Q$5:$Q$3004,ENSAYOS!$C$5:$C$3004,F294,ENSAYOS!$Q$5:$Q$3004,"&gt;0",ENSAYOS!$G$5:$G$3004,"&gt;="&amp;CONFIG!$B$27)))</f>
        <v/>
      </c>
      <c r="W294" s="18" t="str">
        <f aca="false">IF(AND(U294&lt;&gt;"",V294&lt;&gt;""),U294/V294,"")</f>
        <v/>
      </c>
      <c r="X294" s="18" t="str">
        <f aca="false">IF(U294="","",INDEX('CURVA EDAD'!$E$5:$E$32,MIN(28,MAX(1,N294))))</f>
        <v/>
      </c>
      <c r="Y294" s="16" t="str">
        <f aca="false">IF(V294&lt;&gt;"",V294,IF(U294="","",U294/X294))</f>
        <v/>
      </c>
      <c r="Z294" s="16" t="str">
        <f aca="false">IF(V294&lt;&gt;"",_xlfn.MINIFS(ENSAYOS!$Q$5:$Q$3004,ENSAYOS!$C$5:$C$3004,F294,ENSAYOS!$Q$5:$Q$3004,"&gt;0",ENSAYOS!$G$5:$G$3004,"&gt;="&amp;CONFIG!$B$27),IF(U294="","",_xlfn.MINIFS(ENSAYOS!$Q$5:$Q$3004,ENSAYOS!$C$5:$C$3004,F294,ENSAYOS!$Q$5:$Q$3004,"&gt;0",ENSAYOS!$G$5:$G$3004,N294)/X294))</f>
        <v/>
      </c>
      <c r="AA294" s="16" t="str">
        <f aca="false">IF(D294="","",IFERROR(1/(1/INDEX(CONFIG!$J$5:$J$14,MATCH(D294,CONFIG!$D$5:$D$14,0))),""))</f>
        <v/>
      </c>
      <c r="AB294" s="16" t="str">
        <f aca="false">IF(D294="","",IFERROR(1/(1/INDEX(CONFIG!$K$5:$K$14,MATCH(D294,CONFIG!$D$5:$D$14,0))),""))</f>
        <v/>
      </c>
      <c r="AC294" s="19" t="str">
        <f aca="false">IF(N(M294)=0,"",IF(AA294="","Sin spec",IF(AND(Y294&gt;=AA294,OR(AB294="",Z294&gt;=AB294)),"CUMPLE","NO CUMPLE")&amp;IF(V294=""," (est.)","")))</f>
        <v/>
      </c>
      <c r="AD294" s="20" t="str">
        <f aca="false">IF(F294="","",IF(COUNTIFS(ABSORCION!$C$5:$C$1004,F294,ABSORCION!$I$5:$I$1004,"&gt;0")=0,"",AVERAGEIFS(ABSORCION!$I$5:$I$1004,ABSORCION!$C$5:$C$1004,F294,ABSORCION!$I$5:$I$1004,"&gt;0")))</f>
        <v/>
      </c>
      <c r="AE294" s="20" t="str">
        <f aca="false">IF(F294="","",IF(COUNTIFS(ABSORCION!$C$5:$C$1004,F294,ABSORCION!$I$5:$I$1004,"&gt;0")=0,"",AVERAGEIFS(ABSORCION!$K$5:$K$1004,ABSORCION!$C$5:$C$1004,F294,ABSORCION!$I$5:$I$1004,"&gt;0")))</f>
        <v/>
      </c>
      <c r="AF294" s="20" t="str">
        <f aca="false">IF(AE294="","",IF(AE294&gt;=CONFIG!$E$21,CONFIG!$F$21,IF(AE294&gt;=CONFIG!$E$20,CONFIG!$F$20,CONFIG!$F$19)))</f>
        <v/>
      </c>
      <c r="AG294" s="21" t="str">
        <f aca="false">IF(F294="","",TRIM(IF(N(M294)=0,"Sin ensayos. ","")&amp;IF(AND(N(M294)&gt;0,N(M294)&lt;CONFIG!$B$26),"Menos de "&amp;CONFIG!$B$26&amp;" probetas. ","")&amp;IF(N(T294)&gt;CONFIG!$B$25,"CV alto. ","")&amp;IF(AND(N(AD294)&gt;0,N(AD294)&gt;N(AF294)),"Absorción alta. ","")))</f>
        <v/>
      </c>
      <c r="AH294" s="22" t="str">
        <f aca="false">IF(AND(N(M294)&gt;0,OR(CONTROL!$C$4="TODAS",C294=CONTROL!$C$4),D294=CONTROL!$C$5),MAX($AH$4:AH293)+1,"")</f>
        <v/>
      </c>
      <c r="AI294" s="22" t="str">
        <f aca="false">IF(AH294="","",P294^2)</f>
        <v/>
      </c>
    </row>
    <row r="295" customFormat="false" ht="15" hidden="false" customHeight="false" outlineLevel="0" collapsed="false">
      <c r="A295" s="11" t="str">
        <f aca="false">IF(B295="","",ROW()-4)</f>
        <v/>
      </c>
      <c r="B295" s="12"/>
      <c r="C295" s="13"/>
      <c r="D295" s="13"/>
      <c r="E295" s="13"/>
      <c r="F295" s="14" t="str">
        <f aca="false">IF(OR(B295="",C295="",D295=""),"",IFERROR(INDEX(CONFIG!$E$5:$E$14,MATCH(D295,CONFIG!$D$5:$D$14,0)),"?")&amp;RIGHT("0"&amp;DAY(B295),2)&amp;RIGHT("0"&amp;MONTH(B295),2)&amp;RIGHT(YEAR(B295),2)&amp;C295&amp;IF(E295="","","-"&amp;E295))</f>
        <v/>
      </c>
      <c r="G295" s="13"/>
      <c r="H295" s="13"/>
      <c r="I295" s="13"/>
      <c r="J295" s="13"/>
      <c r="K295" s="13"/>
      <c r="L295" s="13"/>
      <c r="M295" s="11" t="str">
        <f aca="false">IF(F295="","",COUNTIFS(ENSAYOS!$C$5:$C$3004,F295,ENSAYOS!$Q$5:$Q$3004,"&gt;0"))</f>
        <v/>
      </c>
      <c r="N295" s="15" t="str">
        <f aca="false">IF(N(M295)=0,"",_xlfn.MINIFS(ENSAYOS!$G$5:$G$3004,ENSAYOS!$C$5:$C$3004,F295,ENSAYOS!$Q$5:$Q$3004,"&gt;0"))</f>
        <v/>
      </c>
      <c r="O295" s="15" t="str">
        <f aca="false">IF(N(M295)=0,"",_xlfn.MAXIFS(ENSAYOS!$G$5:$G$3004,ENSAYOS!$C$5:$C$3004,F295,ENSAYOS!$Q$5:$Q$3004,"&gt;0"))</f>
        <v/>
      </c>
      <c r="P295" s="16" t="str">
        <f aca="false">IF(N(M295)=0,"",AVERAGEIFS(ENSAYOS!$Q$5:$Q$3004,ENSAYOS!$C$5:$C$3004,F295,ENSAYOS!$Q$5:$Q$3004,"&gt;0"))</f>
        <v/>
      </c>
      <c r="Q295" s="16" t="str">
        <f aca="false">IF(N(M295)=0,"",_xlfn.MINIFS(ENSAYOS!$Q$5:$Q$3004,ENSAYOS!$C$5:$C$3004,F295,ENSAYOS!$Q$5:$Q$3004,"&gt;0"))</f>
        <v/>
      </c>
      <c r="R295" s="16" t="str">
        <f aca="false">IF(N(M295)=0,"",_xlfn.MAXIFS(ENSAYOS!$Q$5:$Q$3004,ENSAYOS!$C$5:$C$3004,F295,ENSAYOS!$Q$5:$Q$3004,"&gt;0"))</f>
        <v/>
      </c>
      <c r="S295" s="16" t="str">
        <f aca="false">IF(N(M295)&lt;2,"",SQRT(MAX(0,(SUMIFS(ENSAYOS!$X$5:$X$3004,ENSAYOS!$C$5:$C$3004,F295,ENSAYOS!$Q$5:$Q$3004,"&gt;0")-M295*P295^2)/(M295-1))))</f>
        <v/>
      </c>
      <c r="T295" s="17" t="str">
        <f aca="false">IF(S295="","",S295/P295)</f>
        <v/>
      </c>
      <c r="U295" s="16" t="str">
        <f aca="false">IF(N(M295)=0,"",IF(N295&gt;=CONFIG!$B$27,"",AVERAGEIFS(ENSAYOS!$Q$5:$Q$3004,ENSAYOS!$C$5:$C$3004,F295,ENSAYOS!$Q$5:$Q$3004,"&gt;0",ENSAYOS!$G$5:$G$3004,N295)))</f>
        <v/>
      </c>
      <c r="V295" s="16" t="str">
        <f aca="false">IF(N(M295)=0,"",IF(COUNTIFS(ENSAYOS!$C$5:$C$3004,F295,ENSAYOS!$Q$5:$Q$3004,"&gt;0",ENSAYOS!$G$5:$G$3004,"&gt;="&amp;CONFIG!$B$27)=0,"",AVERAGEIFS(ENSAYOS!$Q$5:$Q$3004,ENSAYOS!$C$5:$C$3004,F295,ENSAYOS!$Q$5:$Q$3004,"&gt;0",ENSAYOS!$G$5:$G$3004,"&gt;="&amp;CONFIG!$B$27)))</f>
        <v/>
      </c>
      <c r="W295" s="18" t="str">
        <f aca="false">IF(AND(U295&lt;&gt;"",V295&lt;&gt;""),U295/V295,"")</f>
        <v/>
      </c>
      <c r="X295" s="18" t="str">
        <f aca="false">IF(U295="","",INDEX('CURVA EDAD'!$E$5:$E$32,MIN(28,MAX(1,N295))))</f>
        <v/>
      </c>
      <c r="Y295" s="16" t="str">
        <f aca="false">IF(V295&lt;&gt;"",V295,IF(U295="","",U295/X295))</f>
        <v/>
      </c>
      <c r="Z295" s="16" t="str">
        <f aca="false">IF(V295&lt;&gt;"",_xlfn.MINIFS(ENSAYOS!$Q$5:$Q$3004,ENSAYOS!$C$5:$C$3004,F295,ENSAYOS!$Q$5:$Q$3004,"&gt;0",ENSAYOS!$G$5:$G$3004,"&gt;="&amp;CONFIG!$B$27),IF(U295="","",_xlfn.MINIFS(ENSAYOS!$Q$5:$Q$3004,ENSAYOS!$C$5:$C$3004,F295,ENSAYOS!$Q$5:$Q$3004,"&gt;0",ENSAYOS!$G$5:$G$3004,N295)/X295))</f>
        <v/>
      </c>
      <c r="AA295" s="16" t="str">
        <f aca="false">IF(D295="","",IFERROR(1/(1/INDEX(CONFIG!$J$5:$J$14,MATCH(D295,CONFIG!$D$5:$D$14,0))),""))</f>
        <v/>
      </c>
      <c r="AB295" s="16" t="str">
        <f aca="false">IF(D295="","",IFERROR(1/(1/INDEX(CONFIG!$K$5:$K$14,MATCH(D295,CONFIG!$D$5:$D$14,0))),""))</f>
        <v/>
      </c>
      <c r="AC295" s="19" t="str">
        <f aca="false">IF(N(M295)=0,"",IF(AA295="","Sin spec",IF(AND(Y295&gt;=AA295,OR(AB295="",Z295&gt;=AB295)),"CUMPLE","NO CUMPLE")&amp;IF(V295=""," (est.)","")))</f>
        <v/>
      </c>
      <c r="AD295" s="20" t="str">
        <f aca="false">IF(F295="","",IF(COUNTIFS(ABSORCION!$C$5:$C$1004,F295,ABSORCION!$I$5:$I$1004,"&gt;0")=0,"",AVERAGEIFS(ABSORCION!$I$5:$I$1004,ABSORCION!$C$5:$C$1004,F295,ABSORCION!$I$5:$I$1004,"&gt;0")))</f>
        <v/>
      </c>
      <c r="AE295" s="20" t="str">
        <f aca="false">IF(F295="","",IF(COUNTIFS(ABSORCION!$C$5:$C$1004,F295,ABSORCION!$I$5:$I$1004,"&gt;0")=0,"",AVERAGEIFS(ABSORCION!$K$5:$K$1004,ABSORCION!$C$5:$C$1004,F295,ABSORCION!$I$5:$I$1004,"&gt;0")))</f>
        <v/>
      </c>
      <c r="AF295" s="20" t="str">
        <f aca="false">IF(AE295="","",IF(AE295&gt;=CONFIG!$E$21,CONFIG!$F$21,IF(AE295&gt;=CONFIG!$E$20,CONFIG!$F$20,CONFIG!$F$19)))</f>
        <v/>
      </c>
      <c r="AG295" s="21" t="str">
        <f aca="false">IF(F295="","",TRIM(IF(N(M295)=0,"Sin ensayos. ","")&amp;IF(AND(N(M295)&gt;0,N(M295)&lt;CONFIG!$B$26),"Menos de "&amp;CONFIG!$B$26&amp;" probetas. ","")&amp;IF(N(T295)&gt;CONFIG!$B$25,"CV alto. ","")&amp;IF(AND(N(AD295)&gt;0,N(AD295)&gt;N(AF295)),"Absorción alta. ","")))</f>
        <v/>
      </c>
      <c r="AH295" s="22" t="str">
        <f aca="false">IF(AND(N(M295)&gt;0,OR(CONTROL!$C$4="TODAS",C295=CONTROL!$C$4),D295=CONTROL!$C$5),MAX($AH$4:AH294)+1,"")</f>
        <v/>
      </c>
      <c r="AI295" s="22" t="str">
        <f aca="false">IF(AH295="","",P295^2)</f>
        <v/>
      </c>
    </row>
    <row r="296" customFormat="false" ht="15" hidden="false" customHeight="false" outlineLevel="0" collapsed="false">
      <c r="A296" s="11" t="str">
        <f aca="false">IF(B296="","",ROW()-4)</f>
        <v/>
      </c>
      <c r="B296" s="12"/>
      <c r="C296" s="13"/>
      <c r="D296" s="13"/>
      <c r="E296" s="13"/>
      <c r="F296" s="14" t="str">
        <f aca="false">IF(OR(B296="",C296="",D296=""),"",IFERROR(INDEX(CONFIG!$E$5:$E$14,MATCH(D296,CONFIG!$D$5:$D$14,0)),"?")&amp;RIGHT("0"&amp;DAY(B296),2)&amp;RIGHT("0"&amp;MONTH(B296),2)&amp;RIGHT(YEAR(B296),2)&amp;C296&amp;IF(E296="","","-"&amp;E296))</f>
        <v/>
      </c>
      <c r="G296" s="13"/>
      <c r="H296" s="13"/>
      <c r="I296" s="13"/>
      <c r="J296" s="13"/>
      <c r="K296" s="13"/>
      <c r="L296" s="13"/>
      <c r="M296" s="11" t="str">
        <f aca="false">IF(F296="","",COUNTIFS(ENSAYOS!$C$5:$C$3004,F296,ENSAYOS!$Q$5:$Q$3004,"&gt;0"))</f>
        <v/>
      </c>
      <c r="N296" s="15" t="str">
        <f aca="false">IF(N(M296)=0,"",_xlfn.MINIFS(ENSAYOS!$G$5:$G$3004,ENSAYOS!$C$5:$C$3004,F296,ENSAYOS!$Q$5:$Q$3004,"&gt;0"))</f>
        <v/>
      </c>
      <c r="O296" s="15" t="str">
        <f aca="false">IF(N(M296)=0,"",_xlfn.MAXIFS(ENSAYOS!$G$5:$G$3004,ENSAYOS!$C$5:$C$3004,F296,ENSAYOS!$Q$5:$Q$3004,"&gt;0"))</f>
        <v/>
      </c>
      <c r="P296" s="16" t="str">
        <f aca="false">IF(N(M296)=0,"",AVERAGEIFS(ENSAYOS!$Q$5:$Q$3004,ENSAYOS!$C$5:$C$3004,F296,ENSAYOS!$Q$5:$Q$3004,"&gt;0"))</f>
        <v/>
      </c>
      <c r="Q296" s="16" t="str">
        <f aca="false">IF(N(M296)=0,"",_xlfn.MINIFS(ENSAYOS!$Q$5:$Q$3004,ENSAYOS!$C$5:$C$3004,F296,ENSAYOS!$Q$5:$Q$3004,"&gt;0"))</f>
        <v/>
      </c>
      <c r="R296" s="16" t="str">
        <f aca="false">IF(N(M296)=0,"",_xlfn.MAXIFS(ENSAYOS!$Q$5:$Q$3004,ENSAYOS!$C$5:$C$3004,F296,ENSAYOS!$Q$5:$Q$3004,"&gt;0"))</f>
        <v/>
      </c>
      <c r="S296" s="16" t="str">
        <f aca="false">IF(N(M296)&lt;2,"",SQRT(MAX(0,(SUMIFS(ENSAYOS!$X$5:$X$3004,ENSAYOS!$C$5:$C$3004,F296,ENSAYOS!$Q$5:$Q$3004,"&gt;0")-M296*P296^2)/(M296-1))))</f>
        <v/>
      </c>
      <c r="T296" s="17" t="str">
        <f aca="false">IF(S296="","",S296/P296)</f>
        <v/>
      </c>
      <c r="U296" s="16" t="str">
        <f aca="false">IF(N(M296)=0,"",IF(N296&gt;=CONFIG!$B$27,"",AVERAGEIFS(ENSAYOS!$Q$5:$Q$3004,ENSAYOS!$C$5:$C$3004,F296,ENSAYOS!$Q$5:$Q$3004,"&gt;0",ENSAYOS!$G$5:$G$3004,N296)))</f>
        <v/>
      </c>
      <c r="V296" s="16" t="str">
        <f aca="false">IF(N(M296)=0,"",IF(COUNTIFS(ENSAYOS!$C$5:$C$3004,F296,ENSAYOS!$Q$5:$Q$3004,"&gt;0",ENSAYOS!$G$5:$G$3004,"&gt;="&amp;CONFIG!$B$27)=0,"",AVERAGEIFS(ENSAYOS!$Q$5:$Q$3004,ENSAYOS!$C$5:$C$3004,F296,ENSAYOS!$Q$5:$Q$3004,"&gt;0",ENSAYOS!$G$5:$G$3004,"&gt;="&amp;CONFIG!$B$27)))</f>
        <v/>
      </c>
      <c r="W296" s="18" t="str">
        <f aca="false">IF(AND(U296&lt;&gt;"",V296&lt;&gt;""),U296/V296,"")</f>
        <v/>
      </c>
      <c r="X296" s="18" t="str">
        <f aca="false">IF(U296="","",INDEX('CURVA EDAD'!$E$5:$E$32,MIN(28,MAX(1,N296))))</f>
        <v/>
      </c>
      <c r="Y296" s="16" t="str">
        <f aca="false">IF(V296&lt;&gt;"",V296,IF(U296="","",U296/X296))</f>
        <v/>
      </c>
      <c r="Z296" s="16" t="str">
        <f aca="false">IF(V296&lt;&gt;"",_xlfn.MINIFS(ENSAYOS!$Q$5:$Q$3004,ENSAYOS!$C$5:$C$3004,F296,ENSAYOS!$Q$5:$Q$3004,"&gt;0",ENSAYOS!$G$5:$G$3004,"&gt;="&amp;CONFIG!$B$27),IF(U296="","",_xlfn.MINIFS(ENSAYOS!$Q$5:$Q$3004,ENSAYOS!$C$5:$C$3004,F296,ENSAYOS!$Q$5:$Q$3004,"&gt;0",ENSAYOS!$G$5:$G$3004,N296)/X296))</f>
        <v/>
      </c>
      <c r="AA296" s="16" t="str">
        <f aca="false">IF(D296="","",IFERROR(1/(1/INDEX(CONFIG!$J$5:$J$14,MATCH(D296,CONFIG!$D$5:$D$14,0))),""))</f>
        <v/>
      </c>
      <c r="AB296" s="16" t="str">
        <f aca="false">IF(D296="","",IFERROR(1/(1/INDEX(CONFIG!$K$5:$K$14,MATCH(D296,CONFIG!$D$5:$D$14,0))),""))</f>
        <v/>
      </c>
      <c r="AC296" s="19" t="str">
        <f aca="false">IF(N(M296)=0,"",IF(AA296="","Sin spec",IF(AND(Y296&gt;=AA296,OR(AB296="",Z296&gt;=AB296)),"CUMPLE","NO CUMPLE")&amp;IF(V296=""," (est.)","")))</f>
        <v/>
      </c>
      <c r="AD296" s="20" t="str">
        <f aca="false">IF(F296="","",IF(COUNTIFS(ABSORCION!$C$5:$C$1004,F296,ABSORCION!$I$5:$I$1004,"&gt;0")=0,"",AVERAGEIFS(ABSORCION!$I$5:$I$1004,ABSORCION!$C$5:$C$1004,F296,ABSORCION!$I$5:$I$1004,"&gt;0")))</f>
        <v/>
      </c>
      <c r="AE296" s="20" t="str">
        <f aca="false">IF(F296="","",IF(COUNTIFS(ABSORCION!$C$5:$C$1004,F296,ABSORCION!$I$5:$I$1004,"&gt;0")=0,"",AVERAGEIFS(ABSORCION!$K$5:$K$1004,ABSORCION!$C$5:$C$1004,F296,ABSORCION!$I$5:$I$1004,"&gt;0")))</f>
        <v/>
      </c>
      <c r="AF296" s="20" t="str">
        <f aca="false">IF(AE296="","",IF(AE296&gt;=CONFIG!$E$21,CONFIG!$F$21,IF(AE296&gt;=CONFIG!$E$20,CONFIG!$F$20,CONFIG!$F$19)))</f>
        <v/>
      </c>
      <c r="AG296" s="21" t="str">
        <f aca="false">IF(F296="","",TRIM(IF(N(M296)=0,"Sin ensayos. ","")&amp;IF(AND(N(M296)&gt;0,N(M296)&lt;CONFIG!$B$26),"Menos de "&amp;CONFIG!$B$26&amp;" probetas. ","")&amp;IF(N(T296)&gt;CONFIG!$B$25,"CV alto. ","")&amp;IF(AND(N(AD296)&gt;0,N(AD296)&gt;N(AF296)),"Absorción alta. ","")))</f>
        <v/>
      </c>
      <c r="AH296" s="22" t="str">
        <f aca="false">IF(AND(N(M296)&gt;0,OR(CONTROL!$C$4="TODAS",C296=CONTROL!$C$4),D296=CONTROL!$C$5),MAX($AH$4:AH295)+1,"")</f>
        <v/>
      </c>
      <c r="AI296" s="22" t="str">
        <f aca="false">IF(AH296="","",P296^2)</f>
        <v/>
      </c>
    </row>
    <row r="297" customFormat="false" ht="15" hidden="false" customHeight="false" outlineLevel="0" collapsed="false">
      <c r="A297" s="11" t="str">
        <f aca="false">IF(B297="","",ROW()-4)</f>
        <v/>
      </c>
      <c r="B297" s="12"/>
      <c r="C297" s="13"/>
      <c r="D297" s="13"/>
      <c r="E297" s="13"/>
      <c r="F297" s="14" t="str">
        <f aca="false">IF(OR(B297="",C297="",D297=""),"",IFERROR(INDEX(CONFIG!$E$5:$E$14,MATCH(D297,CONFIG!$D$5:$D$14,0)),"?")&amp;RIGHT("0"&amp;DAY(B297),2)&amp;RIGHT("0"&amp;MONTH(B297),2)&amp;RIGHT(YEAR(B297),2)&amp;C297&amp;IF(E297="","","-"&amp;E297))</f>
        <v/>
      </c>
      <c r="G297" s="13"/>
      <c r="H297" s="13"/>
      <c r="I297" s="13"/>
      <c r="J297" s="13"/>
      <c r="K297" s="13"/>
      <c r="L297" s="13"/>
      <c r="M297" s="11" t="str">
        <f aca="false">IF(F297="","",COUNTIFS(ENSAYOS!$C$5:$C$3004,F297,ENSAYOS!$Q$5:$Q$3004,"&gt;0"))</f>
        <v/>
      </c>
      <c r="N297" s="15" t="str">
        <f aca="false">IF(N(M297)=0,"",_xlfn.MINIFS(ENSAYOS!$G$5:$G$3004,ENSAYOS!$C$5:$C$3004,F297,ENSAYOS!$Q$5:$Q$3004,"&gt;0"))</f>
        <v/>
      </c>
      <c r="O297" s="15" t="str">
        <f aca="false">IF(N(M297)=0,"",_xlfn.MAXIFS(ENSAYOS!$G$5:$G$3004,ENSAYOS!$C$5:$C$3004,F297,ENSAYOS!$Q$5:$Q$3004,"&gt;0"))</f>
        <v/>
      </c>
      <c r="P297" s="16" t="str">
        <f aca="false">IF(N(M297)=0,"",AVERAGEIFS(ENSAYOS!$Q$5:$Q$3004,ENSAYOS!$C$5:$C$3004,F297,ENSAYOS!$Q$5:$Q$3004,"&gt;0"))</f>
        <v/>
      </c>
      <c r="Q297" s="16" t="str">
        <f aca="false">IF(N(M297)=0,"",_xlfn.MINIFS(ENSAYOS!$Q$5:$Q$3004,ENSAYOS!$C$5:$C$3004,F297,ENSAYOS!$Q$5:$Q$3004,"&gt;0"))</f>
        <v/>
      </c>
      <c r="R297" s="16" t="str">
        <f aca="false">IF(N(M297)=0,"",_xlfn.MAXIFS(ENSAYOS!$Q$5:$Q$3004,ENSAYOS!$C$5:$C$3004,F297,ENSAYOS!$Q$5:$Q$3004,"&gt;0"))</f>
        <v/>
      </c>
      <c r="S297" s="16" t="str">
        <f aca="false">IF(N(M297)&lt;2,"",SQRT(MAX(0,(SUMIFS(ENSAYOS!$X$5:$X$3004,ENSAYOS!$C$5:$C$3004,F297,ENSAYOS!$Q$5:$Q$3004,"&gt;0")-M297*P297^2)/(M297-1))))</f>
        <v/>
      </c>
      <c r="T297" s="17" t="str">
        <f aca="false">IF(S297="","",S297/P297)</f>
        <v/>
      </c>
      <c r="U297" s="16" t="str">
        <f aca="false">IF(N(M297)=0,"",IF(N297&gt;=CONFIG!$B$27,"",AVERAGEIFS(ENSAYOS!$Q$5:$Q$3004,ENSAYOS!$C$5:$C$3004,F297,ENSAYOS!$Q$5:$Q$3004,"&gt;0",ENSAYOS!$G$5:$G$3004,N297)))</f>
        <v/>
      </c>
      <c r="V297" s="16" t="str">
        <f aca="false">IF(N(M297)=0,"",IF(COUNTIFS(ENSAYOS!$C$5:$C$3004,F297,ENSAYOS!$Q$5:$Q$3004,"&gt;0",ENSAYOS!$G$5:$G$3004,"&gt;="&amp;CONFIG!$B$27)=0,"",AVERAGEIFS(ENSAYOS!$Q$5:$Q$3004,ENSAYOS!$C$5:$C$3004,F297,ENSAYOS!$Q$5:$Q$3004,"&gt;0",ENSAYOS!$G$5:$G$3004,"&gt;="&amp;CONFIG!$B$27)))</f>
        <v/>
      </c>
      <c r="W297" s="18" t="str">
        <f aca="false">IF(AND(U297&lt;&gt;"",V297&lt;&gt;""),U297/V297,"")</f>
        <v/>
      </c>
      <c r="X297" s="18" t="str">
        <f aca="false">IF(U297="","",INDEX('CURVA EDAD'!$E$5:$E$32,MIN(28,MAX(1,N297))))</f>
        <v/>
      </c>
      <c r="Y297" s="16" t="str">
        <f aca="false">IF(V297&lt;&gt;"",V297,IF(U297="","",U297/X297))</f>
        <v/>
      </c>
      <c r="Z297" s="16" t="str">
        <f aca="false">IF(V297&lt;&gt;"",_xlfn.MINIFS(ENSAYOS!$Q$5:$Q$3004,ENSAYOS!$C$5:$C$3004,F297,ENSAYOS!$Q$5:$Q$3004,"&gt;0",ENSAYOS!$G$5:$G$3004,"&gt;="&amp;CONFIG!$B$27),IF(U297="","",_xlfn.MINIFS(ENSAYOS!$Q$5:$Q$3004,ENSAYOS!$C$5:$C$3004,F297,ENSAYOS!$Q$5:$Q$3004,"&gt;0",ENSAYOS!$G$5:$G$3004,N297)/X297))</f>
        <v/>
      </c>
      <c r="AA297" s="16" t="str">
        <f aca="false">IF(D297="","",IFERROR(1/(1/INDEX(CONFIG!$J$5:$J$14,MATCH(D297,CONFIG!$D$5:$D$14,0))),""))</f>
        <v/>
      </c>
      <c r="AB297" s="16" t="str">
        <f aca="false">IF(D297="","",IFERROR(1/(1/INDEX(CONFIG!$K$5:$K$14,MATCH(D297,CONFIG!$D$5:$D$14,0))),""))</f>
        <v/>
      </c>
      <c r="AC297" s="19" t="str">
        <f aca="false">IF(N(M297)=0,"",IF(AA297="","Sin spec",IF(AND(Y297&gt;=AA297,OR(AB297="",Z297&gt;=AB297)),"CUMPLE","NO CUMPLE")&amp;IF(V297=""," (est.)","")))</f>
        <v/>
      </c>
      <c r="AD297" s="20" t="str">
        <f aca="false">IF(F297="","",IF(COUNTIFS(ABSORCION!$C$5:$C$1004,F297,ABSORCION!$I$5:$I$1004,"&gt;0")=0,"",AVERAGEIFS(ABSORCION!$I$5:$I$1004,ABSORCION!$C$5:$C$1004,F297,ABSORCION!$I$5:$I$1004,"&gt;0")))</f>
        <v/>
      </c>
      <c r="AE297" s="20" t="str">
        <f aca="false">IF(F297="","",IF(COUNTIFS(ABSORCION!$C$5:$C$1004,F297,ABSORCION!$I$5:$I$1004,"&gt;0")=0,"",AVERAGEIFS(ABSORCION!$K$5:$K$1004,ABSORCION!$C$5:$C$1004,F297,ABSORCION!$I$5:$I$1004,"&gt;0")))</f>
        <v/>
      </c>
      <c r="AF297" s="20" t="str">
        <f aca="false">IF(AE297="","",IF(AE297&gt;=CONFIG!$E$21,CONFIG!$F$21,IF(AE297&gt;=CONFIG!$E$20,CONFIG!$F$20,CONFIG!$F$19)))</f>
        <v/>
      </c>
      <c r="AG297" s="21" t="str">
        <f aca="false">IF(F297="","",TRIM(IF(N(M297)=0,"Sin ensayos. ","")&amp;IF(AND(N(M297)&gt;0,N(M297)&lt;CONFIG!$B$26),"Menos de "&amp;CONFIG!$B$26&amp;" probetas. ","")&amp;IF(N(T297)&gt;CONFIG!$B$25,"CV alto. ","")&amp;IF(AND(N(AD297)&gt;0,N(AD297)&gt;N(AF297)),"Absorción alta. ","")))</f>
        <v/>
      </c>
      <c r="AH297" s="22" t="str">
        <f aca="false">IF(AND(N(M297)&gt;0,OR(CONTROL!$C$4="TODAS",C297=CONTROL!$C$4),D297=CONTROL!$C$5),MAX($AH$4:AH296)+1,"")</f>
        <v/>
      </c>
      <c r="AI297" s="22" t="str">
        <f aca="false">IF(AH297="","",P297^2)</f>
        <v/>
      </c>
    </row>
    <row r="298" customFormat="false" ht="15" hidden="false" customHeight="false" outlineLevel="0" collapsed="false">
      <c r="A298" s="11" t="str">
        <f aca="false">IF(B298="","",ROW()-4)</f>
        <v/>
      </c>
      <c r="B298" s="12"/>
      <c r="C298" s="13"/>
      <c r="D298" s="13"/>
      <c r="E298" s="13"/>
      <c r="F298" s="14" t="str">
        <f aca="false">IF(OR(B298="",C298="",D298=""),"",IFERROR(INDEX(CONFIG!$E$5:$E$14,MATCH(D298,CONFIG!$D$5:$D$14,0)),"?")&amp;RIGHT("0"&amp;DAY(B298),2)&amp;RIGHT("0"&amp;MONTH(B298),2)&amp;RIGHT(YEAR(B298),2)&amp;C298&amp;IF(E298="","","-"&amp;E298))</f>
        <v/>
      </c>
      <c r="G298" s="13"/>
      <c r="H298" s="13"/>
      <c r="I298" s="13"/>
      <c r="J298" s="13"/>
      <c r="K298" s="13"/>
      <c r="L298" s="13"/>
      <c r="M298" s="11" t="str">
        <f aca="false">IF(F298="","",COUNTIFS(ENSAYOS!$C$5:$C$3004,F298,ENSAYOS!$Q$5:$Q$3004,"&gt;0"))</f>
        <v/>
      </c>
      <c r="N298" s="15" t="str">
        <f aca="false">IF(N(M298)=0,"",_xlfn.MINIFS(ENSAYOS!$G$5:$G$3004,ENSAYOS!$C$5:$C$3004,F298,ENSAYOS!$Q$5:$Q$3004,"&gt;0"))</f>
        <v/>
      </c>
      <c r="O298" s="15" t="str">
        <f aca="false">IF(N(M298)=0,"",_xlfn.MAXIFS(ENSAYOS!$G$5:$G$3004,ENSAYOS!$C$5:$C$3004,F298,ENSAYOS!$Q$5:$Q$3004,"&gt;0"))</f>
        <v/>
      </c>
      <c r="P298" s="16" t="str">
        <f aca="false">IF(N(M298)=0,"",AVERAGEIFS(ENSAYOS!$Q$5:$Q$3004,ENSAYOS!$C$5:$C$3004,F298,ENSAYOS!$Q$5:$Q$3004,"&gt;0"))</f>
        <v/>
      </c>
      <c r="Q298" s="16" t="str">
        <f aca="false">IF(N(M298)=0,"",_xlfn.MINIFS(ENSAYOS!$Q$5:$Q$3004,ENSAYOS!$C$5:$C$3004,F298,ENSAYOS!$Q$5:$Q$3004,"&gt;0"))</f>
        <v/>
      </c>
      <c r="R298" s="16" t="str">
        <f aca="false">IF(N(M298)=0,"",_xlfn.MAXIFS(ENSAYOS!$Q$5:$Q$3004,ENSAYOS!$C$5:$C$3004,F298,ENSAYOS!$Q$5:$Q$3004,"&gt;0"))</f>
        <v/>
      </c>
      <c r="S298" s="16" t="str">
        <f aca="false">IF(N(M298)&lt;2,"",SQRT(MAX(0,(SUMIFS(ENSAYOS!$X$5:$X$3004,ENSAYOS!$C$5:$C$3004,F298,ENSAYOS!$Q$5:$Q$3004,"&gt;0")-M298*P298^2)/(M298-1))))</f>
        <v/>
      </c>
      <c r="T298" s="17" t="str">
        <f aca="false">IF(S298="","",S298/P298)</f>
        <v/>
      </c>
      <c r="U298" s="16" t="str">
        <f aca="false">IF(N(M298)=0,"",IF(N298&gt;=CONFIG!$B$27,"",AVERAGEIFS(ENSAYOS!$Q$5:$Q$3004,ENSAYOS!$C$5:$C$3004,F298,ENSAYOS!$Q$5:$Q$3004,"&gt;0",ENSAYOS!$G$5:$G$3004,N298)))</f>
        <v/>
      </c>
      <c r="V298" s="16" t="str">
        <f aca="false">IF(N(M298)=0,"",IF(COUNTIFS(ENSAYOS!$C$5:$C$3004,F298,ENSAYOS!$Q$5:$Q$3004,"&gt;0",ENSAYOS!$G$5:$G$3004,"&gt;="&amp;CONFIG!$B$27)=0,"",AVERAGEIFS(ENSAYOS!$Q$5:$Q$3004,ENSAYOS!$C$5:$C$3004,F298,ENSAYOS!$Q$5:$Q$3004,"&gt;0",ENSAYOS!$G$5:$G$3004,"&gt;="&amp;CONFIG!$B$27)))</f>
        <v/>
      </c>
      <c r="W298" s="18" t="str">
        <f aca="false">IF(AND(U298&lt;&gt;"",V298&lt;&gt;""),U298/V298,"")</f>
        <v/>
      </c>
      <c r="X298" s="18" t="str">
        <f aca="false">IF(U298="","",INDEX('CURVA EDAD'!$E$5:$E$32,MIN(28,MAX(1,N298))))</f>
        <v/>
      </c>
      <c r="Y298" s="16" t="str">
        <f aca="false">IF(V298&lt;&gt;"",V298,IF(U298="","",U298/X298))</f>
        <v/>
      </c>
      <c r="Z298" s="16" t="str">
        <f aca="false">IF(V298&lt;&gt;"",_xlfn.MINIFS(ENSAYOS!$Q$5:$Q$3004,ENSAYOS!$C$5:$C$3004,F298,ENSAYOS!$Q$5:$Q$3004,"&gt;0",ENSAYOS!$G$5:$G$3004,"&gt;="&amp;CONFIG!$B$27),IF(U298="","",_xlfn.MINIFS(ENSAYOS!$Q$5:$Q$3004,ENSAYOS!$C$5:$C$3004,F298,ENSAYOS!$Q$5:$Q$3004,"&gt;0",ENSAYOS!$G$5:$G$3004,N298)/X298))</f>
        <v/>
      </c>
      <c r="AA298" s="16" t="str">
        <f aca="false">IF(D298="","",IFERROR(1/(1/INDEX(CONFIG!$J$5:$J$14,MATCH(D298,CONFIG!$D$5:$D$14,0))),""))</f>
        <v/>
      </c>
      <c r="AB298" s="16" t="str">
        <f aca="false">IF(D298="","",IFERROR(1/(1/INDEX(CONFIG!$K$5:$K$14,MATCH(D298,CONFIG!$D$5:$D$14,0))),""))</f>
        <v/>
      </c>
      <c r="AC298" s="19" t="str">
        <f aca="false">IF(N(M298)=0,"",IF(AA298="","Sin spec",IF(AND(Y298&gt;=AA298,OR(AB298="",Z298&gt;=AB298)),"CUMPLE","NO CUMPLE")&amp;IF(V298=""," (est.)","")))</f>
        <v/>
      </c>
      <c r="AD298" s="20" t="str">
        <f aca="false">IF(F298="","",IF(COUNTIFS(ABSORCION!$C$5:$C$1004,F298,ABSORCION!$I$5:$I$1004,"&gt;0")=0,"",AVERAGEIFS(ABSORCION!$I$5:$I$1004,ABSORCION!$C$5:$C$1004,F298,ABSORCION!$I$5:$I$1004,"&gt;0")))</f>
        <v/>
      </c>
      <c r="AE298" s="20" t="str">
        <f aca="false">IF(F298="","",IF(COUNTIFS(ABSORCION!$C$5:$C$1004,F298,ABSORCION!$I$5:$I$1004,"&gt;0")=0,"",AVERAGEIFS(ABSORCION!$K$5:$K$1004,ABSORCION!$C$5:$C$1004,F298,ABSORCION!$I$5:$I$1004,"&gt;0")))</f>
        <v/>
      </c>
      <c r="AF298" s="20" t="str">
        <f aca="false">IF(AE298="","",IF(AE298&gt;=CONFIG!$E$21,CONFIG!$F$21,IF(AE298&gt;=CONFIG!$E$20,CONFIG!$F$20,CONFIG!$F$19)))</f>
        <v/>
      </c>
      <c r="AG298" s="21" t="str">
        <f aca="false">IF(F298="","",TRIM(IF(N(M298)=0,"Sin ensayos. ","")&amp;IF(AND(N(M298)&gt;0,N(M298)&lt;CONFIG!$B$26),"Menos de "&amp;CONFIG!$B$26&amp;" probetas. ","")&amp;IF(N(T298)&gt;CONFIG!$B$25,"CV alto. ","")&amp;IF(AND(N(AD298)&gt;0,N(AD298)&gt;N(AF298)),"Absorción alta. ","")))</f>
        <v/>
      </c>
      <c r="AH298" s="22" t="str">
        <f aca="false">IF(AND(N(M298)&gt;0,OR(CONTROL!$C$4="TODAS",C298=CONTROL!$C$4),D298=CONTROL!$C$5),MAX($AH$4:AH297)+1,"")</f>
        <v/>
      </c>
      <c r="AI298" s="22" t="str">
        <f aca="false">IF(AH298="","",P298^2)</f>
        <v/>
      </c>
    </row>
    <row r="299" customFormat="false" ht="15" hidden="false" customHeight="false" outlineLevel="0" collapsed="false">
      <c r="A299" s="11" t="str">
        <f aca="false">IF(B299="","",ROW()-4)</f>
        <v/>
      </c>
      <c r="B299" s="12"/>
      <c r="C299" s="13"/>
      <c r="D299" s="13"/>
      <c r="E299" s="13"/>
      <c r="F299" s="14" t="str">
        <f aca="false">IF(OR(B299="",C299="",D299=""),"",IFERROR(INDEX(CONFIG!$E$5:$E$14,MATCH(D299,CONFIG!$D$5:$D$14,0)),"?")&amp;RIGHT("0"&amp;DAY(B299),2)&amp;RIGHT("0"&amp;MONTH(B299),2)&amp;RIGHT(YEAR(B299),2)&amp;C299&amp;IF(E299="","","-"&amp;E299))</f>
        <v/>
      </c>
      <c r="G299" s="13"/>
      <c r="H299" s="13"/>
      <c r="I299" s="13"/>
      <c r="J299" s="13"/>
      <c r="K299" s="13"/>
      <c r="L299" s="13"/>
      <c r="M299" s="11" t="str">
        <f aca="false">IF(F299="","",COUNTIFS(ENSAYOS!$C$5:$C$3004,F299,ENSAYOS!$Q$5:$Q$3004,"&gt;0"))</f>
        <v/>
      </c>
      <c r="N299" s="15" t="str">
        <f aca="false">IF(N(M299)=0,"",_xlfn.MINIFS(ENSAYOS!$G$5:$G$3004,ENSAYOS!$C$5:$C$3004,F299,ENSAYOS!$Q$5:$Q$3004,"&gt;0"))</f>
        <v/>
      </c>
      <c r="O299" s="15" t="str">
        <f aca="false">IF(N(M299)=0,"",_xlfn.MAXIFS(ENSAYOS!$G$5:$G$3004,ENSAYOS!$C$5:$C$3004,F299,ENSAYOS!$Q$5:$Q$3004,"&gt;0"))</f>
        <v/>
      </c>
      <c r="P299" s="16" t="str">
        <f aca="false">IF(N(M299)=0,"",AVERAGEIFS(ENSAYOS!$Q$5:$Q$3004,ENSAYOS!$C$5:$C$3004,F299,ENSAYOS!$Q$5:$Q$3004,"&gt;0"))</f>
        <v/>
      </c>
      <c r="Q299" s="16" t="str">
        <f aca="false">IF(N(M299)=0,"",_xlfn.MINIFS(ENSAYOS!$Q$5:$Q$3004,ENSAYOS!$C$5:$C$3004,F299,ENSAYOS!$Q$5:$Q$3004,"&gt;0"))</f>
        <v/>
      </c>
      <c r="R299" s="16" t="str">
        <f aca="false">IF(N(M299)=0,"",_xlfn.MAXIFS(ENSAYOS!$Q$5:$Q$3004,ENSAYOS!$C$5:$C$3004,F299,ENSAYOS!$Q$5:$Q$3004,"&gt;0"))</f>
        <v/>
      </c>
      <c r="S299" s="16" t="str">
        <f aca="false">IF(N(M299)&lt;2,"",SQRT(MAX(0,(SUMIFS(ENSAYOS!$X$5:$X$3004,ENSAYOS!$C$5:$C$3004,F299,ENSAYOS!$Q$5:$Q$3004,"&gt;0")-M299*P299^2)/(M299-1))))</f>
        <v/>
      </c>
      <c r="T299" s="17" t="str">
        <f aca="false">IF(S299="","",S299/P299)</f>
        <v/>
      </c>
      <c r="U299" s="16" t="str">
        <f aca="false">IF(N(M299)=0,"",IF(N299&gt;=CONFIG!$B$27,"",AVERAGEIFS(ENSAYOS!$Q$5:$Q$3004,ENSAYOS!$C$5:$C$3004,F299,ENSAYOS!$Q$5:$Q$3004,"&gt;0",ENSAYOS!$G$5:$G$3004,N299)))</f>
        <v/>
      </c>
      <c r="V299" s="16" t="str">
        <f aca="false">IF(N(M299)=0,"",IF(COUNTIFS(ENSAYOS!$C$5:$C$3004,F299,ENSAYOS!$Q$5:$Q$3004,"&gt;0",ENSAYOS!$G$5:$G$3004,"&gt;="&amp;CONFIG!$B$27)=0,"",AVERAGEIFS(ENSAYOS!$Q$5:$Q$3004,ENSAYOS!$C$5:$C$3004,F299,ENSAYOS!$Q$5:$Q$3004,"&gt;0",ENSAYOS!$G$5:$G$3004,"&gt;="&amp;CONFIG!$B$27)))</f>
        <v/>
      </c>
      <c r="W299" s="18" t="str">
        <f aca="false">IF(AND(U299&lt;&gt;"",V299&lt;&gt;""),U299/V299,"")</f>
        <v/>
      </c>
      <c r="X299" s="18" t="str">
        <f aca="false">IF(U299="","",INDEX('CURVA EDAD'!$E$5:$E$32,MIN(28,MAX(1,N299))))</f>
        <v/>
      </c>
      <c r="Y299" s="16" t="str">
        <f aca="false">IF(V299&lt;&gt;"",V299,IF(U299="","",U299/X299))</f>
        <v/>
      </c>
      <c r="Z299" s="16" t="str">
        <f aca="false">IF(V299&lt;&gt;"",_xlfn.MINIFS(ENSAYOS!$Q$5:$Q$3004,ENSAYOS!$C$5:$C$3004,F299,ENSAYOS!$Q$5:$Q$3004,"&gt;0",ENSAYOS!$G$5:$G$3004,"&gt;="&amp;CONFIG!$B$27),IF(U299="","",_xlfn.MINIFS(ENSAYOS!$Q$5:$Q$3004,ENSAYOS!$C$5:$C$3004,F299,ENSAYOS!$Q$5:$Q$3004,"&gt;0",ENSAYOS!$G$5:$G$3004,N299)/X299))</f>
        <v/>
      </c>
      <c r="AA299" s="16" t="str">
        <f aca="false">IF(D299="","",IFERROR(1/(1/INDEX(CONFIG!$J$5:$J$14,MATCH(D299,CONFIG!$D$5:$D$14,0))),""))</f>
        <v/>
      </c>
      <c r="AB299" s="16" t="str">
        <f aca="false">IF(D299="","",IFERROR(1/(1/INDEX(CONFIG!$K$5:$K$14,MATCH(D299,CONFIG!$D$5:$D$14,0))),""))</f>
        <v/>
      </c>
      <c r="AC299" s="19" t="str">
        <f aca="false">IF(N(M299)=0,"",IF(AA299="","Sin spec",IF(AND(Y299&gt;=AA299,OR(AB299="",Z299&gt;=AB299)),"CUMPLE","NO CUMPLE")&amp;IF(V299=""," (est.)","")))</f>
        <v/>
      </c>
      <c r="AD299" s="20" t="str">
        <f aca="false">IF(F299="","",IF(COUNTIFS(ABSORCION!$C$5:$C$1004,F299,ABSORCION!$I$5:$I$1004,"&gt;0")=0,"",AVERAGEIFS(ABSORCION!$I$5:$I$1004,ABSORCION!$C$5:$C$1004,F299,ABSORCION!$I$5:$I$1004,"&gt;0")))</f>
        <v/>
      </c>
      <c r="AE299" s="20" t="str">
        <f aca="false">IF(F299="","",IF(COUNTIFS(ABSORCION!$C$5:$C$1004,F299,ABSORCION!$I$5:$I$1004,"&gt;0")=0,"",AVERAGEIFS(ABSORCION!$K$5:$K$1004,ABSORCION!$C$5:$C$1004,F299,ABSORCION!$I$5:$I$1004,"&gt;0")))</f>
        <v/>
      </c>
      <c r="AF299" s="20" t="str">
        <f aca="false">IF(AE299="","",IF(AE299&gt;=CONFIG!$E$21,CONFIG!$F$21,IF(AE299&gt;=CONFIG!$E$20,CONFIG!$F$20,CONFIG!$F$19)))</f>
        <v/>
      </c>
      <c r="AG299" s="21" t="str">
        <f aca="false">IF(F299="","",TRIM(IF(N(M299)=0,"Sin ensayos. ","")&amp;IF(AND(N(M299)&gt;0,N(M299)&lt;CONFIG!$B$26),"Menos de "&amp;CONFIG!$B$26&amp;" probetas. ","")&amp;IF(N(T299)&gt;CONFIG!$B$25,"CV alto. ","")&amp;IF(AND(N(AD299)&gt;0,N(AD299)&gt;N(AF299)),"Absorción alta. ","")))</f>
        <v/>
      </c>
      <c r="AH299" s="22" t="str">
        <f aca="false">IF(AND(N(M299)&gt;0,OR(CONTROL!$C$4="TODAS",C299=CONTROL!$C$4),D299=CONTROL!$C$5),MAX($AH$4:AH298)+1,"")</f>
        <v/>
      </c>
      <c r="AI299" s="22" t="str">
        <f aca="false">IF(AH299="","",P299^2)</f>
        <v/>
      </c>
    </row>
    <row r="300" customFormat="false" ht="15" hidden="false" customHeight="false" outlineLevel="0" collapsed="false">
      <c r="A300" s="11" t="str">
        <f aca="false">IF(B300="","",ROW()-4)</f>
        <v/>
      </c>
      <c r="B300" s="12"/>
      <c r="C300" s="13"/>
      <c r="D300" s="13"/>
      <c r="E300" s="13"/>
      <c r="F300" s="14" t="str">
        <f aca="false">IF(OR(B300="",C300="",D300=""),"",IFERROR(INDEX(CONFIG!$E$5:$E$14,MATCH(D300,CONFIG!$D$5:$D$14,0)),"?")&amp;RIGHT("0"&amp;DAY(B300),2)&amp;RIGHT("0"&amp;MONTH(B300),2)&amp;RIGHT(YEAR(B300),2)&amp;C300&amp;IF(E300="","","-"&amp;E300))</f>
        <v/>
      </c>
      <c r="G300" s="13"/>
      <c r="H300" s="13"/>
      <c r="I300" s="13"/>
      <c r="J300" s="13"/>
      <c r="K300" s="13"/>
      <c r="L300" s="13"/>
      <c r="M300" s="11" t="str">
        <f aca="false">IF(F300="","",COUNTIFS(ENSAYOS!$C$5:$C$3004,F300,ENSAYOS!$Q$5:$Q$3004,"&gt;0"))</f>
        <v/>
      </c>
      <c r="N300" s="15" t="str">
        <f aca="false">IF(N(M300)=0,"",_xlfn.MINIFS(ENSAYOS!$G$5:$G$3004,ENSAYOS!$C$5:$C$3004,F300,ENSAYOS!$Q$5:$Q$3004,"&gt;0"))</f>
        <v/>
      </c>
      <c r="O300" s="15" t="str">
        <f aca="false">IF(N(M300)=0,"",_xlfn.MAXIFS(ENSAYOS!$G$5:$G$3004,ENSAYOS!$C$5:$C$3004,F300,ENSAYOS!$Q$5:$Q$3004,"&gt;0"))</f>
        <v/>
      </c>
      <c r="P300" s="16" t="str">
        <f aca="false">IF(N(M300)=0,"",AVERAGEIFS(ENSAYOS!$Q$5:$Q$3004,ENSAYOS!$C$5:$C$3004,F300,ENSAYOS!$Q$5:$Q$3004,"&gt;0"))</f>
        <v/>
      </c>
      <c r="Q300" s="16" t="str">
        <f aca="false">IF(N(M300)=0,"",_xlfn.MINIFS(ENSAYOS!$Q$5:$Q$3004,ENSAYOS!$C$5:$C$3004,F300,ENSAYOS!$Q$5:$Q$3004,"&gt;0"))</f>
        <v/>
      </c>
      <c r="R300" s="16" t="str">
        <f aca="false">IF(N(M300)=0,"",_xlfn.MAXIFS(ENSAYOS!$Q$5:$Q$3004,ENSAYOS!$C$5:$C$3004,F300,ENSAYOS!$Q$5:$Q$3004,"&gt;0"))</f>
        <v/>
      </c>
      <c r="S300" s="16" t="str">
        <f aca="false">IF(N(M300)&lt;2,"",SQRT(MAX(0,(SUMIFS(ENSAYOS!$X$5:$X$3004,ENSAYOS!$C$5:$C$3004,F300,ENSAYOS!$Q$5:$Q$3004,"&gt;0")-M300*P300^2)/(M300-1))))</f>
        <v/>
      </c>
      <c r="T300" s="17" t="str">
        <f aca="false">IF(S300="","",S300/P300)</f>
        <v/>
      </c>
      <c r="U300" s="16" t="str">
        <f aca="false">IF(N(M300)=0,"",IF(N300&gt;=CONFIG!$B$27,"",AVERAGEIFS(ENSAYOS!$Q$5:$Q$3004,ENSAYOS!$C$5:$C$3004,F300,ENSAYOS!$Q$5:$Q$3004,"&gt;0",ENSAYOS!$G$5:$G$3004,N300)))</f>
        <v/>
      </c>
      <c r="V300" s="16" t="str">
        <f aca="false">IF(N(M300)=0,"",IF(COUNTIFS(ENSAYOS!$C$5:$C$3004,F300,ENSAYOS!$Q$5:$Q$3004,"&gt;0",ENSAYOS!$G$5:$G$3004,"&gt;="&amp;CONFIG!$B$27)=0,"",AVERAGEIFS(ENSAYOS!$Q$5:$Q$3004,ENSAYOS!$C$5:$C$3004,F300,ENSAYOS!$Q$5:$Q$3004,"&gt;0",ENSAYOS!$G$5:$G$3004,"&gt;="&amp;CONFIG!$B$27)))</f>
        <v/>
      </c>
      <c r="W300" s="18" t="str">
        <f aca="false">IF(AND(U300&lt;&gt;"",V300&lt;&gt;""),U300/V300,"")</f>
        <v/>
      </c>
      <c r="X300" s="18" t="str">
        <f aca="false">IF(U300="","",INDEX('CURVA EDAD'!$E$5:$E$32,MIN(28,MAX(1,N300))))</f>
        <v/>
      </c>
      <c r="Y300" s="16" t="str">
        <f aca="false">IF(V300&lt;&gt;"",V300,IF(U300="","",U300/X300))</f>
        <v/>
      </c>
      <c r="Z300" s="16" t="str">
        <f aca="false">IF(V300&lt;&gt;"",_xlfn.MINIFS(ENSAYOS!$Q$5:$Q$3004,ENSAYOS!$C$5:$C$3004,F300,ENSAYOS!$Q$5:$Q$3004,"&gt;0",ENSAYOS!$G$5:$G$3004,"&gt;="&amp;CONFIG!$B$27),IF(U300="","",_xlfn.MINIFS(ENSAYOS!$Q$5:$Q$3004,ENSAYOS!$C$5:$C$3004,F300,ENSAYOS!$Q$5:$Q$3004,"&gt;0",ENSAYOS!$G$5:$G$3004,N300)/X300))</f>
        <v/>
      </c>
      <c r="AA300" s="16" t="str">
        <f aca="false">IF(D300="","",IFERROR(1/(1/INDEX(CONFIG!$J$5:$J$14,MATCH(D300,CONFIG!$D$5:$D$14,0))),""))</f>
        <v/>
      </c>
      <c r="AB300" s="16" t="str">
        <f aca="false">IF(D300="","",IFERROR(1/(1/INDEX(CONFIG!$K$5:$K$14,MATCH(D300,CONFIG!$D$5:$D$14,0))),""))</f>
        <v/>
      </c>
      <c r="AC300" s="19" t="str">
        <f aca="false">IF(N(M300)=0,"",IF(AA300="","Sin spec",IF(AND(Y300&gt;=AA300,OR(AB300="",Z300&gt;=AB300)),"CUMPLE","NO CUMPLE")&amp;IF(V300=""," (est.)","")))</f>
        <v/>
      </c>
      <c r="AD300" s="20" t="str">
        <f aca="false">IF(F300="","",IF(COUNTIFS(ABSORCION!$C$5:$C$1004,F300,ABSORCION!$I$5:$I$1004,"&gt;0")=0,"",AVERAGEIFS(ABSORCION!$I$5:$I$1004,ABSORCION!$C$5:$C$1004,F300,ABSORCION!$I$5:$I$1004,"&gt;0")))</f>
        <v/>
      </c>
      <c r="AE300" s="20" t="str">
        <f aca="false">IF(F300="","",IF(COUNTIFS(ABSORCION!$C$5:$C$1004,F300,ABSORCION!$I$5:$I$1004,"&gt;0")=0,"",AVERAGEIFS(ABSORCION!$K$5:$K$1004,ABSORCION!$C$5:$C$1004,F300,ABSORCION!$I$5:$I$1004,"&gt;0")))</f>
        <v/>
      </c>
      <c r="AF300" s="20" t="str">
        <f aca="false">IF(AE300="","",IF(AE300&gt;=CONFIG!$E$21,CONFIG!$F$21,IF(AE300&gt;=CONFIG!$E$20,CONFIG!$F$20,CONFIG!$F$19)))</f>
        <v/>
      </c>
      <c r="AG300" s="21" t="str">
        <f aca="false">IF(F300="","",TRIM(IF(N(M300)=0,"Sin ensayos. ","")&amp;IF(AND(N(M300)&gt;0,N(M300)&lt;CONFIG!$B$26),"Menos de "&amp;CONFIG!$B$26&amp;" probetas. ","")&amp;IF(N(T300)&gt;CONFIG!$B$25,"CV alto. ","")&amp;IF(AND(N(AD300)&gt;0,N(AD300)&gt;N(AF300)),"Absorción alta. ","")))</f>
        <v/>
      </c>
      <c r="AH300" s="22" t="str">
        <f aca="false">IF(AND(N(M300)&gt;0,OR(CONTROL!$C$4="TODAS",C300=CONTROL!$C$4),D300=CONTROL!$C$5),MAX($AH$4:AH299)+1,"")</f>
        <v/>
      </c>
      <c r="AI300" s="22" t="str">
        <f aca="false">IF(AH300="","",P300^2)</f>
        <v/>
      </c>
    </row>
    <row r="301" customFormat="false" ht="15" hidden="false" customHeight="false" outlineLevel="0" collapsed="false">
      <c r="A301" s="11" t="str">
        <f aca="false">IF(B301="","",ROW()-4)</f>
        <v/>
      </c>
      <c r="B301" s="12"/>
      <c r="C301" s="13"/>
      <c r="D301" s="13"/>
      <c r="E301" s="13"/>
      <c r="F301" s="14" t="str">
        <f aca="false">IF(OR(B301="",C301="",D301=""),"",IFERROR(INDEX(CONFIG!$E$5:$E$14,MATCH(D301,CONFIG!$D$5:$D$14,0)),"?")&amp;RIGHT("0"&amp;DAY(B301),2)&amp;RIGHT("0"&amp;MONTH(B301),2)&amp;RIGHT(YEAR(B301),2)&amp;C301&amp;IF(E301="","","-"&amp;E301))</f>
        <v/>
      </c>
      <c r="G301" s="13"/>
      <c r="H301" s="13"/>
      <c r="I301" s="13"/>
      <c r="J301" s="13"/>
      <c r="K301" s="13"/>
      <c r="L301" s="13"/>
      <c r="M301" s="11" t="str">
        <f aca="false">IF(F301="","",COUNTIFS(ENSAYOS!$C$5:$C$3004,F301,ENSAYOS!$Q$5:$Q$3004,"&gt;0"))</f>
        <v/>
      </c>
      <c r="N301" s="15" t="str">
        <f aca="false">IF(N(M301)=0,"",_xlfn.MINIFS(ENSAYOS!$G$5:$G$3004,ENSAYOS!$C$5:$C$3004,F301,ENSAYOS!$Q$5:$Q$3004,"&gt;0"))</f>
        <v/>
      </c>
      <c r="O301" s="15" t="str">
        <f aca="false">IF(N(M301)=0,"",_xlfn.MAXIFS(ENSAYOS!$G$5:$G$3004,ENSAYOS!$C$5:$C$3004,F301,ENSAYOS!$Q$5:$Q$3004,"&gt;0"))</f>
        <v/>
      </c>
      <c r="P301" s="16" t="str">
        <f aca="false">IF(N(M301)=0,"",AVERAGEIFS(ENSAYOS!$Q$5:$Q$3004,ENSAYOS!$C$5:$C$3004,F301,ENSAYOS!$Q$5:$Q$3004,"&gt;0"))</f>
        <v/>
      </c>
      <c r="Q301" s="16" t="str">
        <f aca="false">IF(N(M301)=0,"",_xlfn.MINIFS(ENSAYOS!$Q$5:$Q$3004,ENSAYOS!$C$5:$C$3004,F301,ENSAYOS!$Q$5:$Q$3004,"&gt;0"))</f>
        <v/>
      </c>
      <c r="R301" s="16" t="str">
        <f aca="false">IF(N(M301)=0,"",_xlfn.MAXIFS(ENSAYOS!$Q$5:$Q$3004,ENSAYOS!$C$5:$C$3004,F301,ENSAYOS!$Q$5:$Q$3004,"&gt;0"))</f>
        <v/>
      </c>
      <c r="S301" s="16" t="str">
        <f aca="false">IF(N(M301)&lt;2,"",SQRT(MAX(0,(SUMIFS(ENSAYOS!$X$5:$X$3004,ENSAYOS!$C$5:$C$3004,F301,ENSAYOS!$Q$5:$Q$3004,"&gt;0")-M301*P301^2)/(M301-1))))</f>
        <v/>
      </c>
      <c r="T301" s="17" t="str">
        <f aca="false">IF(S301="","",S301/P301)</f>
        <v/>
      </c>
      <c r="U301" s="16" t="str">
        <f aca="false">IF(N(M301)=0,"",IF(N301&gt;=CONFIG!$B$27,"",AVERAGEIFS(ENSAYOS!$Q$5:$Q$3004,ENSAYOS!$C$5:$C$3004,F301,ENSAYOS!$Q$5:$Q$3004,"&gt;0",ENSAYOS!$G$5:$G$3004,N301)))</f>
        <v/>
      </c>
      <c r="V301" s="16" t="str">
        <f aca="false">IF(N(M301)=0,"",IF(COUNTIFS(ENSAYOS!$C$5:$C$3004,F301,ENSAYOS!$Q$5:$Q$3004,"&gt;0",ENSAYOS!$G$5:$G$3004,"&gt;="&amp;CONFIG!$B$27)=0,"",AVERAGEIFS(ENSAYOS!$Q$5:$Q$3004,ENSAYOS!$C$5:$C$3004,F301,ENSAYOS!$Q$5:$Q$3004,"&gt;0",ENSAYOS!$G$5:$G$3004,"&gt;="&amp;CONFIG!$B$27)))</f>
        <v/>
      </c>
      <c r="W301" s="18" t="str">
        <f aca="false">IF(AND(U301&lt;&gt;"",V301&lt;&gt;""),U301/V301,"")</f>
        <v/>
      </c>
      <c r="X301" s="18" t="str">
        <f aca="false">IF(U301="","",INDEX('CURVA EDAD'!$E$5:$E$32,MIN(28,MAX(1,N301))))</f>
        <v/>
      </c>
      <c r="Y301" s="16" t="str">
        <f aca="false">IF(V301&lt;&gt;"",V301,IF(U301="","",U301/X301))</f>
        <v/>
      </c>
      <c r="Z301" s="16" t="str">
        <f aca="false">IF(V301&lt;&gt;"",_xlfn.MINIFS(ENSAYOS!$Q$5:$Q$3004,ENSAYOS!$C$5:$C$3004,F301,ENSAYOS!$Q$5:$Q$3004,"&gt;0",ENSAYOS!$G$5:$G$3004,"&gt;="&amp;CONFIG!$B$27),IF(U301="","",_xlfn.MINIFS(ENSAYOS!$Q$5:$Q$3004,ENSAYOS!$C$5:$C$3004,F301,ENSAYOS!$Q$5:$Q$3004,"&gt;0",ENSAYOS!$G$5:$G$3004,N301)/X301))</f>
        <v/>
      </c>
      <c r="AA301" s="16" t="str">
        <f aca="false">IF(D301="","",IFERROR(1/(1/INDEX(CONFIG!$J$5:$J$14,MATCH(D301,CONFIG!$D$5:$D$14,0))),""))</f>
        <v/>
      </c>
      <c r="AB301" s="16" t="str">
        <f aca="false">IF(D301="","",IFERROR(1/(1/INDEX(CONFIG!$K$5:$K$14,MATCH(D301,CONFIG!$D$5:$D$14,0))),""))</f>
        <v/>
      </c>
      <c r="AC301" s="19" t="str">
        <f aca="false">IF(N(M301)=0,"",IF(AA301="","Sin spec",IF(AND(Y301&gt;=AA301,OR(AB301="",Z301&gt;=AB301)),"CUMPLE","NO CUMPLE")&amp;IF(V301=""," (est.)","")))</f>
        <v/>
      </c>
      <c r="AD301" s="20" t="str">
        <f aca="false">IF(F301="","",IF(COUNTIFS(ABSORCION!$C$5:$C$1004,F301,ABSORCION!$I$5:$I$1004,"&gt;0")=0,"",AVERAGEIFS(ABSORCION!$I$5:$I$1004,ABSORCION!$C$5:$C$1004,F301,ABSORCION!$I$5:$I$1004,"&gt;0")))</f>
        <v/>
      </c>
      <c r="AE301" s="20" t="str">
        <f aca="false">IF(F301="","",IF(COUNTIFS(ABSORCION!$C$5:$C$1004,F301,ABSORCION!$I$5:$I$1004,"&gt;0")=0,"",AVERAGEIFS(ABSORCION!$K$5:$K$1004,ABSORCION!$C$5:$C$1004,F301,ABSORCION!$I$5:$I$1004,"&gt;0")))</f>
        <v/>
      </c>
      <c r="AF301" s="20" t="str">
        <f aca="false">IF(AE301="","",IF(AE301&gt;=CONFIG!$E$21,CONFIG!$F$21,IF(AE301&gt;=CONFIG!$E$20,CONFIG!$F$20,CONFIG!$F$19)))</f>
        <v/>
      </c>
      <c r="AG301" s="21" t="str">
        <f aca="false">IF(F301="","",TRIM(IF(N(M301)=0,"Sin ensayos. ","")&amp;IF(AND(N(M301)&gt;0,N(M301)&lt;CONFIG!$B$26),"Menos de "&amp;CONFIG!$B$26&amp;" probetas. ","")&amp;IF(N(T301)&gt;CONFIG!$B$25,"CV alto. ","")&amp;IF(AND(N(AD301)&gt;0,N(AD301)&gt;N(AF301)),"Absorción alta. ","")))</f>
        <v/>
      </c>
      <c r="AH301" s="22" t="str">
        <f aca="false">IF(AND(N(M301)&gt;0,OR(CONTROL!$C$4="TODAS",C301=CONTROL!$C$4),D301=CONTROL!$C$5),MAX($AH$4:AH300)+1,"")</f>
        <v/>
      </c>
      <c r="AI301" s="22" t="str">
        <f aca="false">IF(AH301="","",P301^2)</f>
        <v/>
      </c>
    </row>
    <row r="302" customFormat="false" ht="15" hidden="false" customHeight="false" outlineLevel="0" collapsed="false">
      <c r="A302" s="11" t="str">
        <f aca="false">IF(B302="","",ROW()-4)</f>
        <v/>
      </c>
      <c r="B302" s="12"/>
      <c r="C302" s="13"/>
      <c r="D302" s="13"/>
      <c r="E302" s="13"/>
      <c r="F302" s="14" t="str">
        <f aca="false">IF(OR(B302="",C302="",D302=""),"",IFERROR(INDEX(CONFIG!$E$5:$E$14,MATCH(D302,CONFIG!$D$5:$D$14,0)),"?")&amp;RIGHT("0"&amp;DAY(B302),2)&amp;RIGHT("0"&amp;MONTH(B302),2)&amp;RIGHT(YEAR(B302),2)&amp;C302&amp;IF(E302="","","-"&amp;E302))</f>
        <v/>
      </c>
      <c r="G302" s="13"/>
      <c r="H302" s="13"/>
      <c r="I302" s="13"/>
      <c r="J302" s="13"/>
      <c r="K302" s="13"/>
      <c r="L302" s="13"/>
      <c r="M302" s="11" t="str">
        <f aca="false">IF(F302="","",COUNTIFS(ENSAYOS!$C$5:$C$3004,F302,ENSAYOS!$Q$5:$Q$3004,"&gt;0"))</f>
        <v/>
      </c>
      <c r="N302" s="15" t="str">
        <f aca="false">IF(N(M302)=0,"",_xlfn.MINIFS(ENSAYOS!$G$5:$G$3004,ENSAYOS!$C$5:$C$3004,F302,ENSAYOS!$Q$5:$Q$3004,"&gt;0"))</f>
        <v/>
      </c>
      <c r="O302" s="15" t="str">
        <f aca="false">IF(N(M302)=0,"",_xlfn.MAXIFS(ENSAYOS!$G$5:$G$3004,ENSAYOS!$C$5:$C$3004,F302,ENSAYOS!$Q$5:$Q$3004,"&gt;0"))</f>
        <v/>
      </c>
      <c r="P302" s="16" t="str">
        <f aca="false">IF(N(M302)=0,"",AVERAGEIFS(ENSAYOS!$Q$5:$Q$3004,ENSAYOS!$C$5:$C$3004,F302,ENSAYOS!$Q$5:$Q$3004,"&gt;0"))</f>
        <v/>
      </c>
      <c r="Q302" s="16" t="str">
        <f aca="false">IF(N(M302)=0,"",_xlfn.MINIFS(ENSAYOS!$Q$5:$Q$3004,ENSAYOS!$C$5:$C$3004,F302,ENSAYOS!$Q$5:$Q$3004,"&gt;0"))</f>
        <v/>
      </c>
      <c r="R302" s="16" t="str">
        <f aca="false">IF(N(M302)=0,"",_xlfn.MAXIFS(ENSAYOS!$Q$5:$Q$3004,ENSAYOS!$C$5:$C$3004,F302,ENSAYOS!$Q$5:$Q$3004,"&gt;0"))</f>
        <v/>
      </c>
      <c r="S302" s="16" t="str">
        <f aca="false">IF(N(M302)&lt;2,"",SQRT(MAX(0,(SUMIFS(ENSAYOS!$X$5:$X$3004,ENSAYOS!$C$5:$C$3004,F302,ENSAYOS!$Q$5:$Q$3004,"&gt;0")-M302*P302^2)/(M302-1))))</f>
        <v/>
      </c>
      <c r="T302" s="17" t="str">
        <f aca="false">IF(S302="","",S302/P302)</f>
        <v/>
      </c>
      <c r="U302" s="16" t="str">
        <f aca="false">IF(N(M302)=0,"",IF(N302&gt;=CONFIG!$B$27,"",AVERAGEIFS(ENSAYOS!$Q$5:$Q$3004,ENSAYOS!$C$5:$C$3004,F302,ENSAYOS!$Q$5:$Q$3004,"&gt;0",ENSAYOS!$G$5:$G$3004,N302)))</f>
        <v/>
      </c>
      <c r="V302" s="16" t="str">
        <f aca="false">IF(N(M302)=0,"",IF(COUNTIFS(ENSAYOS!$C$5:$C$3004,F302,ENSAYOS!$Q$5:$Q$3004,"&gt;0",ENSAYOS!$G$5:$G$3004,"&gt;="&amp;CONFIG!$B$27)=0,"",AVERAGEIFS(ENSAYOS!$Q$5:$Q$3004,ENSAYOS!$C$5:$C$3004,F302,ENSAYOS!$Q$5:$Q$3004,"&gt;0",ENSAYOS!$G$5:$G$3004,"&gt;="&amp;CONFIG!$B$27)))</f>
        <v/>
      </c>
      <c r="W302" s="18" t="str">
        <f aca="false">IF(AND(U302&lt;&gt;"",V302&lt;&gt;""),U302/V302,"")</f>
        <v/>
      </c>
      <c r="X302" s="18" t="str">
        <f aca="false">IF(U302="","",INDEX('CURVA EDAD'!$E$5:$E$32,MIN(28,MAX(1,N302))))</f>
        <v/>
      </c>
      <c r="Y302" s="16" t="str">
        <f aca="false">IF(V302&lt;&gt;"",V302,IF(U302="","",U302/X302))</f>
        <v/>
      </c>
      <c r="Z302" s="16" t="str">
        <f aca="false">IF(V302&lt;&gt;"",_xlfn.MINIFS(ENSAYOS!$Q$5:$Q$3004,ENSAYOS!$C$5:$C$3004,F302,ENSAYOS!$Q$5:$Q$3004,"&gt;0",ENSAYOS!$G$5:$G$3004,"&gt;="&amp;CONFIG!$B$27),IF(U302="","",_xlfn.MINIFS(ENSAYOS!$Q$5:$Q$3004,ENSAYOS!$C$5:$C$3004,F302,ENSAYOS!$Q$5:$Q$3004,"&gt;0",ENSAYOS!$G$5:$G$3004,N302)/X302))</f>
        <v/>
      </c>
      <c r="AA302" s="16" t="str">
        <f aca="false">IF(D302="","",IFERROR(1/(1/INDEX(CONFIG!$J$5:$J$14,MATCH(D302,CONFIG!$D$5:$D$14,0))),""))</f>
        <v/>
      </c>
      <c r="AB302" s="16" t="str">
        <f aca="false">IF(D302="","",IFERROR(1/(1/INDEX(CONFIG!$K$5:$K$14,MATCH(D302,CONFIG!$D$5:$D$14,0))),""))</f>
        <v/>
      </c>
      <c r="AC302" s="19" t="str">
        <f aca="false">IF(N(M302)=0,"",IF(AA302="","Sin spec",IF(AND(Y302&gt;=AA302,OR(AB302="",Z302&gt;=AB302)),"CUMPLE","NO CUMPLE")&amp;IF(V302=""," (est.)","")))</f>
        <v/>
      </c>
      <c r="AD302" s="20" t="str">
        <f aca="false">IF(F302="","",IF(COUNTIFS(ABSORCION!$C$5:$C$1004,F302,ABSORCION!$I$5:$I$1004,"&gt;0")=0,"",AVERAGEIFS(ABSORCION!$I$5:$I$1004,ABSORCION!$C$5:$C$1004,F302,ABSORCION!$I$5:$I$1004,"&gt;0")))</f>
        <v/>
      </c>
      <c r="AE302" s="20" t="str">
        <f aca="false">IF(F302="","",IF(COUNTIFS(ABSORCION!$C$5:$C$1004,F302,ABSORCION!$I$5:$I$1004,"&gt;0")=0,"",AVERAGEIFS(ABSORCION!$K$5:$K$1004,ABSORCION!$C$5:$C$1004,F302,ABSORCION!$I$5:$I$1004,"&gt;0")))</f>
        <v/>
      </c>
      <c r="AF302" s="20" t="str">
        <f aca="false">IF(AE302="","",IF(AE302&gt;=CONFIG!$E$21,CONFIG!$F$21,IF(AE302&gt;=CONFIG!$E$20,CONFIG!$F$20,CONFIG!$F$19)))</f>
        <v/>
      </c>
      <c r="AG302" s="21" t="str">
        <f aca="false">IF(F302="","",TRIM(IF(N(M302)=0,"Sin ensayos. ","")&amp;IF(AND(N(M302)&gt;0,N(M302)&lt;CONFIG!$B$26),"Menos de "&amp;CONFIG!$B$26&amp;" probetas. ","")&amp;IF(N(T302)&gt;CONFIG!$B$25,"CV alto. ","")&amp;IF(AND(N(AD302)&gt;0,N(AD302)&gt;N(AF302)),"Absorción alta. ","")))</f>
        <v/>
      </c>
      <c r="AH302" s="22" t="str">
        <f aca="false">IF(AND(N(M302)&gt;0,OR(CONTROL!$C$4="TODAS",C302=CONTROL!$C$4),D302=CONTROL!$C$5),MAX($AH$4:AH301)+1,"")</f>
        <v/>
      </c>
      <c r="AI302" s="22" t="str">
        <f aca="false">IF(AH302="","",P302^2)</f>
        <v/>
      </c>
    </row>
    <row r="303" customFormat="false" ht="15" hidden="false" customHeight="false" outlineLevel="0" collapsed="false">
      <c r="A303" s="11" t="str">
        <f aca="false">IF(B303="","",ROW()-4)</f>
        <v/>
      </c>
      <c r="B303" s="12"/>
      <c r="C303" s="13"/>
      <c r="D303" s="13"/>
      <c r="E303" s="13"/>
      <c r="F303" s="14" t="str">
        <f aca="false">IF(OR(B303="",C303="",D303=""),"",IFERROR(INDEX(CONFIG!$E$5:$E$14,MATCH(D303,CONFIG!$D$5:$D$14,0)),"?")&amp;RIGHT("0"&amp;DAY(B303),2)&amp;RIGHT("0"&amp;MONTH(B303),2)&amp;RIGHT(YEAR(B303),2)&amp;C303&amp;IF(E303="","","-"&amp;E303))</f>
        <v/>
      </c>
      <c r="G303" s="13"/>
      <c r="H303" s="13"/>
      <c r="I303" s="13"/>
      <c r="J303" s="13"/>
      <c r="K303" s="13"/>
      <c r="L303" s="13"/>
      <c r="M303" s="11" t="str">
        <f aca="false">IF(F303="","",COUNTIFS(ENSAYOS!$C$5:$C$3004,F303,ENSAYOS!$Q$5:$Q$3004,"&gt;0"))</f>
        <v/>
      </c>
      <c r="N303" s="15" t="str">
        <f aca="false">IF(N(M303)=0,"",_xlfn.MINIFS(ENSAYOS!$G$5:$G$3004,ENSAYOS!$C$5:$C$3004,F303,ENSAYOS!$Q$5:$Q$3004,"&gt;0"))</f>
        <v/>
      </c>
      <c r="O303" s="15" t="str">
        <f aca="false">IF(N(M303)=0,"",_xlfn.MAXIFS(ENSAYOS!$G$5:$G$3004,ENSAYOS!$C$5:$C$3004,F303,ENSAYOS!$Q$5:$Q$3004,"&gt;0"))</f>
        <v/>
      </c>
      <c r="P303" s="16" t="str">
        <f aca="false">IF(N(M303)=0,"",AVERAGEIFS(ENSAYOS!$Q$5:$Q$3004,ENSAYOS!$C$5:$C$3004,F303,ENSAYOS!$Q$5:$Q$3004,"&gt;0"))</f>
        <v/>
      </c>
      <c r="Q303" s="16" t="str">
        <f aca="false">IF(N(M303)=0,"",_xlfn.MINIFS(ENSAYOS!$Q$5:$Q$3004,ENSAYOS!$C$5:$C$3004,F303,ENSAYOS!$Q$5:$Q$3004,"&gt;0"))</f>
        <v/>
      </c>
      <c r="R303" s="16" t="str">
        <f aca="false">IF(N(M303)=0,"",_xlfn.MAXIFS(ENSAYOS!$Q$5:$Q$3004,ENSAYOS!$C$5:$C$3004,F303,ENSAYOS!$Q$5:$Q$3004,"&gt;0"))</f>
        <v/>
      </c>
      <c r="S303" s="16" t="str">
        <f aca="false">IF(N(M303)&lt;2,"",SQRT(MAX(0,(SUMIFS(ENSAYOS!$X$5:$X$3004,ENSAYOS!$C$5:$C$3004,F303,ENSAYOS!$Q$5:$Q$3004,"&gt;0")-M303*P303^2)/(M303-1))))</f>
        <v/>
      </c>
      <c r="T303" s="17" t="str">
        <f aca="false">IF(S303="","",S303/P303)</f>
        <v/>
      </c>
      <c r="U303" s="16" t="str">
        <f aca="false">IF(N(M303)=0,"",IF(N303&gt;=CONFIG!$B$27,"",AVERAGEIFS(ENSAYOS!$Q$5:$Q$3004,ENSAYOS!$C$5:$C$3004,F303,ENSAYOS!$Q$5:$Q$3004,"&gt;0",ENSAYOS!$G$5:$G$3004,N303)))</f>
        <v/>
      </c>
      <c r="V303" s="16" t="str">
        <f aca="false">IF(N(M303)=0,"",IF(COUNTIFS(ENSAYOS!$C$5:$C$3004,F303,ENSAYOS!$Q$5:$Q$3004,"&gt;0",ENSAYOS!$G$5:$G$3004,"&gt;="&amp;CONFIG!$B$27)=0,"",AVERAGEIFS(ENSAYOS!$Q$5:$Q$3004,ENSAYOS!$C$5:$C$3004,F303,ENSAYOS!$Q$5:$Q$3004,"&gt;0",ENSAYOS!$G$5:$G$3004,"&gt;="&amp;CONFIG!$B$27)))</f>
        <v/>
      </c>
      <c r="W303" s="18" t="str">
        <f aca="false">IF(AND(U303&lt;&gt;"",V303&lt;&gt;""),U303/V303,"")</f>
        <v/>
      </c>
      <c r="X303" s="18" t="str">
        <f aca="false">IF(U303="","",INDEX('CURVA EDAD'!$E$5:$E$32,MIN(28,MAX(1,N303))))</f>
        <v/>
      </c>
      <c r="Y303" s="16" t="str">
        <f aca="false">IF(V303&lt;&gt;"",V303,IF(U303="","",U303/X303))</f>
        <v/>
      </c>
      <c r="Z303" s="16" t="str">
        <f aca="false">IF(V303&lt;&gt;"",_xlfn.MINIFS(ENSAYOS!$Q$5:$Q$3004,ENSAYOS!$C$5:$C$3004,F303,ENSAYOS!$Q$5:$Q$3004,"&gt;0",ENSAYOS!$G$5:$G$3004,"&gt;="&amp;CONFIG!$B$27),IF(U303="","",_xlfn.MINIFS(ENSAYOS!$Q$5:$Q$3004,ENSAYOS!$C$5:$C$3004,F303,ENSAYOS!$Q$5:$Q$3004,"&gt;0",ENSAYOS!$G$5:$G$3004,N303)/X303))</f>
        <v/>
      </c>
      <c r="AA303" s="16" t="str">
        <f aca="false">IF(D303="","",IFERROR(1/(1/INDEX(CONFIG!$J$5:$J$14,MATCH(D303,CONFIG!$D$5:$D$14,0))),""))</f>
        <v/>
      </c>
      <c r="AB303" s="16" t="str">
        <f aca="false">IF(D303="","",IFERROR(1/(1/INDEX(CONFIG!$K$5:$K$14,MATCH(D303,CONFIG!$D$5:$D$14,0))),""))</f>
        <v/>
      </c>
      <c r="AC303" s="19" t="str">
        <f aca="false">IF(N(M303)=0,"",IF(AA303="","Sin spec",IF(AND(Y303&gt;=AA303,OR(AB303="",Z303&gt;=AB303)),"CUMPLE","NO CUMPLE")&amp;IF(V303=""," (est.)","")))</f>
        <v/>
      </c>
      <c r="AD303" s="20" t="str">
        <f aca="false">IF(F303="","",IF(COUNTIFS(ABSORCION!$C$5:$C$1004,F303,ABSORCION!$I$5:$I$1004,"&gt;0")=0,"",AVERAGEIFS(ABSORCION!$I$5:$I$1004,ABSORCION!$C$5:$C$1004,F303,ABSORCION!$I$5:$I$1004,"&gt;0")))</f>
        <v/>
      </c>
      <c r="AE303" s="20" t="str">
        <f aca="false">IF(F303="","",IF(COUNTIFS(ABSORCION!$C$5:$C$1004,F303,ABSORCION!$I$5:$I$1004,"&gt;0")=0,"",AVERAGEIFS(ABSORCION!$K$5:$K$1004,ABSORCION!$C$5:$C$1004,F303,ABSORCION!$I$5:$I$1004,"&gt;0")))</f>
        <v/>
      </c>
      <c r="AF303" s="20" t="str">
        <f aca="false">IF(AE303="","",IF(AE303&gt;=CONFIG!$E$21,CONFIG!$F$21,IF(AE303&gt;=CONFIG!$E$20,CONFIG!$F$20,CONFIG!$F$19)))</f>
        <v/>
      </c>
      <c r="AG303" s="21" t="str">
        <f aca="false">IF(F303="","",TRIM(IF(N(M303)=0,"Sin ensayos. ","")&amp;IF(AND(N(M303)&gt;0,N(M303)&lt;CONFIG!$B$26),"Menos de "&amp;CONFIG!$B$26&amp;" probetas. ","")&amp;IF(N(T303)&gt;CONFIG!$B$25,"CV alto. ","")&amp;IF(AND(N(AD303)&gt;0,N(AD303)&gt;N(AF303)),"Absorción alta. ","")))</f>
        <v/>
      </c>
      <c r="AH303" s="22" t="str">
        <f aca="false">IF(AND(N(M303)&gt;0,OR(CONTROL!$C$4="TODAS",C303=CONTROL!$C$4),D303=CONTROL!$C$5),MAX($AH$4:AH302)+1,"")</f>
        <v/>
      </c>
      <c r="AI303" s="22" t="str">
        <f aca="false">IF(AH303="","",P303^2)</f>
        <v/>
      </c>
    </row>
    <row r="304" customFormat="false" ht="15" hidden="false" customHeight="false" outlineLevel="0" collapsed="false">
      <c r="A304" s="11" t="str">
        <f aca="false">IF(B304="","",ROW()-4)</f>
        <v/>
      </c>
      <c r="B304" s="12"/>
      <c r="C304" s="13"/>
      <c r="D304" s="13"/>
      <c r="E304" s="13"/>
      <c r="F304" s="14" t="str">
        <f aca="false">IF(OR(B304="",C304="",D304=""),"",IFERROR(INDEX(CONFIG!$E$5:$E$14,MATCH(D304,CONFIG!$D$5:$D$14,0)),"?")&amp;RIGHT("0"&amp;DAY(B304),2)&amp;RIGHT("0"&amp;MONTH(B304),2)&amp;RIGHT(YEAR(B304),2)&amp;C304&amp;IF(E304="","","-"&amp;E304))</f>
        <v/>
      </c>
      <c r="G304" s="13"/>
      <c r="H304" s="13"/>
      <c r="I304" s="13"/>
      <c r="J304" s="13"/>
      <c r="K304" s="13"/>
      <c r="L304" s="13"/>
      <c r="M304" s="11" t="str">
        <f aca="false">IF(F304="","",COUNTIFS(ENSAYOS!$C$5:$C$3004,F304,ENSAYOS!$Q$5:$Q$3004,"&gt;0"))</f>
        <v/>
      </c>
      <c r="N304" s="15" t="str">
        <f aca="false">IF(N(M304)=0,"",_xlfn.MINIFS(ENSAYOS!$G$5:$G$3004,ENSAYOS!$C$5:$C$3004,F304,ENSAYOS!$Q$5:$Q$3004,"&gt;0"))</f>
        <v/>
      </c>
      <c r="O304" s="15" t="str">
        <f aca="false">IF(N(M304)=0,"",_xlfn.MAXIFS(ENSAYOS!$G$5:$G$3004,ENSAYOS!$C$5:$C$3004,F304,ENSAYOS!$Q$5:$Q$3004,"&gt;0"))</f>
        <v/>
      </c>
      <c r="P304" s="16" t="str">
        <f aca="false">IF(N(M304)=0,"",AVERAGEIFS(ENSAYOS!$Q$5:$Q$3004,ENSAYOS!$C$5:$C$3004,F304,ENSAYOS!$Q$5:$Q$3004,"&gt;0"))</f>
        <v/>
      </c>
      <c r="Q304" s="16" t="str">
        <f aca="false">IF(N(M304)=0,"",_xlfn.MINIFS(ENSAYOS!$Q$5:$Q$3004,ENSAYOS!$C$5:$C$3004,F304,ENSAYOS!$Q$5:$Q$3004,"&gt;0"))</f>
        <v/>
      </c>
      <c r="R304" s="16" t="str">
        <f aca="false">IF(N(M304)=0,"",_xlfn.MAXIFS(ENSAYOS!$Q$5:$Q$3004,ENSAYOS!$C$5:$C$3004,F304,ENSAYOS!$Q$5:$Q$3004,"&gt;0"))</f>
        <v/>
      </c>
      <c r="S304" s="16" t="str">
        <f aca="false">IF(N(M304)&lt;2,"",SQRT(MAX(0,(SUMIFS(ENSAYOS!$X$5:$X$3004,ENSAYOS!$C$5:$C$3004,F304,ENSAYOS!$Q$5:$Q$3004,"&gt;0")-M304*P304^2)/(M304-1))))</f>
        <v/>
      </c>
      <c r="T304" s="17" t="str">
        <f aca="false">IF(S304="","",S304/P304)</f>
        <v/>
      </c>
      <c r="U304" s="16" t="str">
        <f aca="false">IF(N(M304)=0,"",IF(N304&gt;=CONFIG!$B$27,"",AVERAGEIFS(ENSAYOS!$Q$5:$Q$3004,ENSAYOS!$C$5:$C$3004,F304,ENSAYOS!$Q$5:$Q$3004,"&gt;0",ENSAYOS!$G$5:$G$3004,N304)))</f>
        <v/>
      </c>
      <c r="V304" s="16" t="str">
        <f aca="false">IF(N(M304)=0,"",IF(COUNTIFS(ENSAYOS!$C$5:$C$3004,F304,ENSAYOS!$Q$5:$Q$3004,"&gt;0",ENSAYOS!$G$5:$G$3004,"&gt;="&amp;CONFIG!$B$27)=0,"",AVERAGEIFS(ENSAYOS!$Q$5:$Q$3004,ENSAYOS!$C$5:$C$3004,F304,ENSAYOS!$Q$5:$Q$3004,"&gt;0",ENSAYOS!$G$5:$G$3004,"&gt;="&amp;CONFIG!$B$27)))</f>
        <v/>
      </c>
      <c r="W304" s="18" t="str">
        <f aca="false">IF(AND(U304&lt;&gt;"",V304&lt;&gt;""),U304/V304,"")</f>
        <v/>
      </c>
      <c r="X304" s="18" t="str">
        <f aca="false">IF(U304="","",INDEX('CURVA EDAD'!$E$5:$E$32,MIN(28,MAX(1,N304))))</f>
        <v/>
      </c>
      <c r="Y304" s="16" t="str">
        <f aca="false">IF(V304&lt;&gt;"",V304,IF(U304="","",U304/X304))</f>
        <v/>
      </c>
      <c r="Z304" s="16" t="str">
        <f aca="false">IF(V304&lt;&gt;"",_xlfn.MINIFS(ENSAYOS!$Q$5:$Q$3004,ENSAYOS!$C$5:$C$3004,F304,ENSAYOS!$Q$5:$Q$3004,"&gt;0",ENSAYOS!$G$5:$G$3004,"&gt;="&amp;CONFIG!$B$27),IF(U304="","",_xlfn.MINIFS(ENSAYOS!$Q$5:$Q$3004,ENSAYOS!$C$5:$C$3004,F304,ENSAYOS!$Q$5:$Q$3004,"&gt;0",ENSAYOS!$G$5:$G$3004,N304)/X304))</f>
        <v/>
      </c>
      <c r="AA304" s="16" t="str">
        <f aca="false">IF(D304="","",IFERROR(1/(1/INDEX(CONFIG!$J$5:$J$14,MATCH(D304,CONFIG!$D$5:$D$14,0))),""))</f>
        <v/>
      </c>
      <c r="AB304" s="16" t="str">
        <f aca="false">IF(D304="","",IFERROR(1/(1/INDEX(CONFIG!$K$5:$K$14,MATCH(D304,CONFIG!$D$5:$D$14,0))),""))</f>
        <v/>
      </c>
      <c r="AC304" s="19" t="str">
        <f aca="false">IF(N(M304)=0,"",IF(AA304="","Sin spec",IF(AND(Y304&gt;=AA304,OR(AB304="",Z304&gt;=AB304)),"CUMPLE","NO CUMPLE")&amp;IF(V304=""," (est.)","")))</f>
        <v/>
      </c>
      <c r="AD304" s="20" t="str">
        <f aca="false">IF(F304="","",IF(COUNTIFS(ABSORCION!$C$5:$C$1004,F304,ABSORCION!$I$5:$I$1004,"&gt;0")=0,"",AVERAGEIFS(ABSORCION!$I$5:$I$1004,ABSORCION!$C$5:$C$1004,F304,ABSORCION!$I$5:$I$1004,"&gt;0")))</f>
        <v/>
      </c>
      <c r="AE304" s="20" t="str">
        <f aca="false">IF(F304="","",IF(COUNTIFS(ABSORCION!$C$5:$C$1004,F304,ABSORCION!$I$5:$I$1004,"&gt;0")=0,"",AVERAGEIFS(ABSORCION!$K$5:$K$1004,ABSORCION!$C$5:$C$1004,F304,ABSORCION!$I$5:$I$1004,"&gt;0")))</f>
        <v/>
      </c>
      <c r="AF304" s="20" t="str">
        <f aca="false">IF(AE304="","",IF(AE304&gt;=CONFIG!$E$21,CONFIG!$F$21,IF(AE304&gt;=CONFIG!$E$20,CONFIG!$F$20,CONFIG!$F$19)))</f>
        <v/>
      </c>
      <c r="AG304" s="21" t="str">
        <f aca="false">IF(F304="","",TRIM(IF(N(M304)=0,"Sin ensayos. ","")&amp;IF(AND(N(M304)&gt;0,N(M304)&lt;CONFIG!$B$26),"Menos de "&amp;CONFIG!$B$26&amp;" probetas. ","")&amp;IF(N(T304)&gt;CONFIG!$B$25,"CV alto. ","")&amp;IF(AND(N(AD304)&gt;0,N(AD304)&gt;N(AF304)),"Absorción alta. ","")))</f>
        <v/>
      </c>
      <c r="AH304" s="22" t="str">
        <f aca="false">IF(AND(N(M304)&gt;0,OR(CONTROL!$C$4="TODAS",C304=CONTROL!$C$4),D304=CONTROL!$C$5),MAX($AH$4:AH303)+1,"")</f>
        <v/>
      </c>
      <c r="AI304" s="22" t="str">
        <f aca="false">IF(AH304="","",P304^2)</f>
        <v/>
      </c>
    </row>
    <row r="305" customFormat="false" ht="15" hidden="false" customHeight="false" outlineLevel="0" collapsed="false">
      <c r="A305" s="11" t="str">
        <f aca="false">IF(B305="","",ROW()-4)</f>
        <v/>
      </c>
      <c r="B305" s="12"/>
      <c r="C305" s="13"/>
      <c r="D305" s="13"/>
      <c r="E305" s="13"/>
      <c r="F305" s="14" t="str">
        <f aca="false">IF(OR(B305="",C305="",D305=""),"",IFERROR(INDEX(CONFIG!$E$5:$E$14,MATCH(D305,CONFIG!$D$5:$D$14,0)),"?")&amp;RIGHT("0"&amp;DAY(B305),2)&amp;RIGHT("0"&amp;MONTH(B305),2)&amp;RIGHT(YEAR(B305),2)&amp;C305&amp;IF(E305="","","-"&amp;E305))</f>
        <v/>
      </c>
      <c r="G305" s="13"/>
      <c r="H305" s="13"/>
      <c r="I305" s="13"/>
      <c r="J305" s="13"/>
      <c r="K305" s="13"/>
      <c r="L305" s="13"/>
      <c r="M305" s="11" t="str">
        <f aca="false">IF(F305="","",COUNTIFS(ENSAYOS!$C$5:$C$3004,F305,ENSAYOS!$Q$5:$Q$3004,"&gt;0"))</f>
        <v/>
      </c>
      <c r="N305" s="15" t="str">
        <f aca="false">IF(N(M305)=0,"",_xlfn.MINIFS(ENSAYOS!$G$5:$G$3004,ENSAYOS!$C$5:$C$3004,F305,ENSAYOS!$Q$5:$Q$3004,"&gt;0"))</f>
        <v/>
      </c>
      <c r="O305" s="15" t="str">
        <f aca="false">IF(N(M305)=0,"",_xlfn.MAXIFS(ENSAYOS!$G$5:$G$3004,ENSAYOS!$C$5:$C$3004,F305,ENSAYOS!$Q$5:$Q$3004,"&gt;0"))</f>
        <v/>
      </c>
      <c r="P305" s="16" t="str">
        <f aca="false">IF(N(M305)=0,"",AVERAGEIFS(ENSAYOS!$Q$5:$Q$3004,ENSAYOS!$C$5:$C$3004,F305,ENSAYOS!$Q$5:$Q$3004,"&gt;0"))</f>
        <v/>
      </c>
      <c r="Q305" s="16" t="str">
        <f aca="false">IF(N(M305)=0,"",_xlfn.MINIFS(ENSAYOS!$Q$5:$Q$3004,ENSAYOS!$C$5:$C$3004,F305,ENSAYOS!$Q$5:$Q$3004,"&gt;0"))</f>
        <v/>
      </c>
      <c r="R305" s="16" t="str">
        <f aca="false">IF(N(M305)=0,"",_xlfn.MAXIFS(ENSAYOS!$Q$5:$Q$3004,ENSAYOS!$C$5:$C$3004,F305,ENSAYOS!$Q$5:$Q$3004,"&gt;0"))</f>
        <v/>
      </c>
      <c r="S305" s="16" t="str">
        <f aca="false">IF(N(M305)&lt;2,"",SQRT(MAX(0,(SUMIFS(ENSAYOS!$X$5:$X$3004,ENSAYOS!$C$5:$C$3004,F305,ENSAYOS!$Q$5:$Q$3004,"&gt;0")-M305*P305^2)/(M305-1))))</f>
        <v/>
      </c>
      <c r="T305" s="17" t="str">
        <f aca="false">IF(S305="","",S305/P305)</f>
        <v/>
      </c>
      <c r="U305" s="16" t="str">
        <f aca="false">IF(N(M305)=0,"",IF(N305&gt;=CONFIG!$B$27,"",AVERAGEIFS(ENSAYOS!$Q$5:$Q$3004,ENSAYOS!$C$5:$C$3004,F305,ENSAYOS!$Q$5:$Q$3004,"&gt;0",ENSAYOS!$G$5:$G$3004,N305)))</f>
        <v/>
      </c>
      <c r="V305" s="16" t="str">
        <f aca="false">IF(N(M305)=0,"",IF(COUNTIFS(ENSAYOS!$C$5:$C$3004,F305,ENSAYOS!$Q$5:$Q$3004,"&gt;0",ENSAYOS!$G$5:$G$3004,"&gt;="&amp;CONFIG!$B$27)=0,"",AVERAGEIFS(ENSAYOS!$Q$5:$Q$3004,ENSAYOS!$C$5:$C$3004,F305,ENSAYOS!$Q$5:$Q$3004,"&gt;0",ENSAYOS!$G$5:$G$3004,"&gt;="&amp;CONFIG!$B$27)))</f>
        <v/>
      </c>
      <c r="W305" s="18" t="str">
        <f aca="false">IF(AND(U305&lt;&gt;"",V305&lt;&gt;""),U305/V305,"")</f>
        <v/>
      </c>
      <c r="X305" s="18" t="str">
        <f aca="false">IF(U305="","",INDEX('CURVA EDAD'!$E$5:$E$32,MIN(28,MAX(1,N305))))</f>
        <v/>
      </c>
      <c r="Y305" s="16" t="str">
        <f aca="false">IF(V305&lt;&gt;"",V305,IF(U305="","",U305/X305))</f>
        <v/>
      </c>
      <c r="Z305" s="16" t="str">
        <f aca="false">IF(V305&lt;&gt;"",_xlfn.MINIFS(ENSAYOS!$Q$5:$Q$3004,ENSAYOS!$C$5:$C$3004,F305,ENSAYOS!$Q$5:$Q$3004,"&gt;0",ENSAYOS!$G$5:$G$3004,"&gt;="&amp;CONFIG!$B$27),IF(U305="","",_xlfn.MINIFS(ENSAYOS!$Q$5:$Q$3004,ENSAYOS!$C$5:$C$3004,F305,ENSAYOS!$Q$5:$Q$3004,"&gt;0",ENSAYOS!$G$5:$G$3004,N305)/X305))</f>
        <v/>
      </c>
      <c r="AA305" s="16" t="str">
        <f aca="false">IF(D305="","",IFERROR(1/(1/INDEX(CONFIG!$J$5:$J$14,MATCH(D305,CONFIG!$D$5:$D$14,0))),""))</f>
        <v/>
      </c>
      <c r="AB305" s="16" t="str">
        <f aca="false">IF(D305="","",IFERROR(1/(1/INDEX(CONFIG!$K$5:$K$14,MATCH(D305,CONFIG!$D$5:$D$14,0))),""))</f>
        <v/>
      </c>
      <c r="AC305" s="19" t="str">
        <f aca="false">IF(N(M305)=0,"",IF(AA305="","Sin spec",IF(AND(Y305&gt;=AA305,OR(AB305="",Z305&gt;=AB305)),"CUMPLE","NO CUMPLE")&amp;IF(V305=""," (est.)","")))</f>
        <v/>
      </c>
      <c r="AD305" s="20" t="str">
        <f aca="false">IF(F305="","",IF(COUNTIFS(ABSORCION!$C$5:$C$1004,F305,ABSORCION!$I$5:$I$1004,"&gt;0")=0,"",AVERAGEIFS(ABSORCION!$I$5:$I$1004,ABSORCION!$C$5:$C$1004,F305,ABSORCION!$I$5:$I$1004,"&gt;0")))</f>
        <v/>
      </c>
      <c r="AE305" s="20" t="str">
        <f aca="false">IF(F305="","",IF(COUNTIFS(ABSORCION!$C$5:$C$1004,F305,ABSORCION!$I$5:$I$1004,"&gt;0")=0,"",AVERAGEIFS(ABSORCION!$K$5:$K$1004,ABSORCION!$C$5:$C$1004,F305,ABSORCION!$I$5:$I$1004,"&gt;0")))</f>
        <v/>
      </c>
      <c r="AF305" s="20" t="str">
        <f aca="false">IF(AE305="","",IF(AE305&gt;=CONFIG!$E$21,CONFIG!$F$21,IF(AE305&gt;=CONFIG!$E$20,CONFIG!$F$20,CONFIG!$F$19)))</f>
        <v/>
      </c>
      <c r="AG305" s="21" t="str">
        <f aca="false">IF(F305="","",TRIM(IF(N(M305)=0,"Sin ensayos. ","")&amp;IF(AND(N(M305)&gt;0,N(M305)&lt;CONFIG!$B$26),"Menos de "&amp;CONFIG!$B$26&amp;" probetas. ","")&amp;IF(N(T305)&gt;CONFIG!$B$25,"CV alto. ","")&amp;IF(AND(N(AD305)&gt;0,N(AD305)&gt;N(AF305)),"Absorción alta. ","")))</f>
        <v/>
      </c>
      <c r="AH305" s="22" t="str">
        <f aca="false">IF(AND(N(M305)&gt;0,OR(CONTROL!$C$4="TODAS",C305=CONTROL!$C$4),D305=CONTROL!$C$5),MAX($AH$4:AH304)+1,"")</f>
        <v/>
      </c>
      <c r="AI305" s="22" t="str">
        <f aca="false">IF(AH305="","",P305^2)</f>
        <v/>
      </c>
    </row>
    <row r="306" customFormat="false" ht="15" hidden="false" customHeight="false" outlineLevel="0" collapsed="false">
      <c r="A306" s="11" t="str">
        <f aca="false">IF(B306="","",ROW()-4)</f>
        <v/>
      </c>
      <c r="B306" s="12"/>
      <c r="C306" s="13"/>
      <c r="D306" s="13"/>
      <c r="E306" s="13"/>
      <c r="F306" s="14" t="str">
        <f aca="false">IF(OR(B306="",C306="",D306=""),"",IFERROR(INDEX(CONFIG!$E$5:$E$14,MATCH(D306,CONFIG!$D$5:$D$14,0)),"?")&amp;RIGHT("0"&amp;DAY(B306),2)&amp;RIGHT("0"&amp;MONTH(B306),2)&amp;RIGHT(YEAR(B306),2)&amp;C306&amp;IF(E306="","","-"&amp;E306))</f>
        <v/>
      </c>
      <c r="G306" s="13"/>
      <c r="H306" s="13"/>
      <c r="I306" s="13"/>
      <c r="J306" s="13"/>
      <c r="K306" s="13"/>
      <c r="L306" s="13"/>
      <c r="M306" s="11" t="str">
        <f aca="false">IF(F306="","",COUNTIFS(ENSAYOS!$C$5:$C$3004,F306,ENSAYOS!$Q$5:$Q$3004,"&gt;0"))</f>
        <v/>
      </c>
      <c r="N306" s="15" t="str">
        <f aca="false">IF(N(M306)=0,"",_xlfn.MINIFS(ENSAYOS!$G$5:$G$3004,ENSAYOS!$C$5:$C$3004,F306,ENSAYOS!$Q$5:$Q$3004,"&gt;0"))</f>
        <v/>
      </c>
      <c r="O306" s="15" t="str">
        <f aca="false">IF(N(M306)=0,"",_xlfn.MAXIFS(ENSAYOS!$G$5:$G$3004,ENSAYOS!$C$5:$C$3004,F306,ENSAYOS!$Q$5:$Q$3004,"&gt;0"))</f>
        <v/>
      </c>
      <c r="P306" s="16" t="str">
        <f aca="false">IF(N(M306)=0,"",AVERAGEIFS(ENSAYOS!$Q$5:$Q$3004,ENSAYOS!$C$5:$C$3004,F306,ENSAYOS!$Q$5:$Q$3004,"&gt;0"))</f>
        <v/>
      </c>
      <c r="Q306" s="16" t="str">
        <f aca="false">IF(N(M306)=0,"",_xlfn.MINIFS(ENSAYOS!$Q$5:$Q$3004,ENSAYOS!$C$5:$C$3004,F306,ENSAYOS!$Q$5:$Q$3004,"&gt;0"))</f>
        <v/>
      </c>
      <c r="R306" s="16" t="str">
        <f aca="false">IF(N(M306)=0,"",_xlfn.MAXIFS(ENSAYOS!$Q$5:$Q$3004,ENSAYOS!$C$5:$C$3004,F306,ENSAYOS!$Q$5:$Q$3004,"&gt;0"))</f>
        <v/>
      </c>
      <c r="S306" s="16" t="str">
        <f aca="false">IF(N(M306)&lt;2,"",SQRT(MAX(0,(SUMIFS(ENSAYOS!$X$5:$X$3004,ENSAYOS!$C$5:$C$3004,F306,ENSAYOS!$Q$5:$Q$3004,"&gt;0")-M306*P306^2)/(M306-1))))</f>
        <v/>
      </c>
      <c r="T306" s="17" t="str">
        <f aca="false">IF(S306="","",S306/P306)</f>
        <v/>
      </c>
      <c r="U306" s="16" t="str">
        <f aca="false">IF(N(M306)=0,"",IF(N306&gt;=CONFIG!$B$27,"",AVERAGEIFS(ENSAYOS!$Q$5:$Q$3004,ENSAYOS!$C$5:$C$3004,F306,ENSAYOS!$Q$5:$Q$3004,"&gt;0",ENSAYOS!$G$5:$G$3004,N306)))</f>
        <v/>
      </c>
      <c r="V306" s="16" t="str">
        <f aca="false">IF(N(M306)=0,"",IF(COUNTIFS(ENSAYOS!$C$5:$C$3004,F306,ENSAYOS!$Q$5:$Q$3004,"&gt;0",ENSAYOS!$G$5:$G$3004,"&gt;="&amp;CONFIG!$B$27)=0,"",AVERAGEIFS(ENSAYOS!$Q$5:$Q$3004,ENSAYOS!$C$5:$C$3004,F306,ENSAYOS!$Q$5:$Q$3004,"&gt;0",ENSAYOS!$G$5:$G$3004,"&gt;="&amp;CONFIG!$B$27)))</f>
        <v/>
      </c>
      <c r="W306" s="18" t="str">
        <f aca="false">IF(AND(U306&lt;&gt;"",V306&lt;&gt;""),U306/V306,"")</f>
        <v/>
      </c>
      <c r="X306" s="18" t="str">
        <f aca="false">IF(U306="","",INDEX('CURVA EDAD'!$E$5:$E$32,MIN(28,MAX(1,N306))))</f>
        <v/>
      </c>
      <c r="Y306" s="16" t="str">
        <f aca="false">IF(V306&lt;&gt;"",V306,IF(U306="","",U306/X306))</f>
        <v/>
      </c>
      <c r="Z306" s="16" t="str">
        <f aca="false">IF(V306&lt;&gt;"",_xlfn.MINIFS(ENSAYOS!$Q$5:$Q$3004,ENSAYOS!$C$5:$C$3004,F306,ENSAYOS!$Q$5:$Q$3004,"&gt;0",ENSAYOS!$G$5:$G$3004,"&gt;="&amp;CONFIG!$B$27),IF(U306="","",_xlfn.MINIFS(ENSAYOS!$Q$5:$Q$3004,ENSAYOS!$C$5:$C$3004,F306,ENSAYOS!$Q$5:$Q$3004,"&gt;0",ENSAYOS!$G$5:$G$3004,N306)/X306))</f>
        <v/>
      </c>
      <c r="AA306" s="16" t="str">
        <f aca="false">IF(D306="","",IFERROR(1/(1/INDEX(CONFIG!$J$5:$J$14,MATCH(D306,CONFIG!$D$5:$D$14,0))),""))</f>
        <v/>
      </c>
      <c r="AB306" s="16" t="str">
        <f aca="false">IF(D306="","",IFERROR(1/(1/INDEX(CONFIG!$K$5:$K$14,MATCH(D306,CONFIG!$D$5:$D$14,0))),""))</f>
        <v/>
      </c>
      <c r="AC306" s="19" t="str">
        <f aca="false">IF(N(M306)=0,"",IF(AA306="","Sin spec",IF(AND(Y306&gt;=AA306,OR(AB306="",Z306&gt;=AB306)),"CUMPLE","NO CUMPLE")&amp;IF(V306=""," (est.)","")))</f>
        <v/>
      </c>
      <c r="AD306" s="20" t="str">
        <f aca="false">IF(F306="","",IF(COUNTIFS(ABSORCION!$C$5:$C$1004,F306,ABSORCION!$I$5:$I$1004,"&gt;0")=0,"",AVERAGEIFS(ABSORCION!$I$5:$I$1004,ABSORCION!$C$5:$C$1004,F306,ABSORCION!$I$5:$I$1004,"&gt;0")))</f>
        <v/>
      </c>
      <c r="AE306" s="20" t="str">
        <f aca="false">IF(F306="","",IF(COUNTIFS(ABSORCION!$C$5:$C$1004,F306,ABSORCION!$I$5:$I$1004,"&gt;0")=0,"",AVERAGEIFS(ABSORCION!$K$5:$K$1004,ABSORCION!$C$5:$C$1004,F306,ABSORCION!$I$5:$I$1004,"&gt;0")))</f>
        <v/>
      </c>
      <c r="AF306" s="20" t="str">
        <f aca="false">IF(AE306="","",IF(AE306&gt;=CONFIG!$E$21,CONFIG!$F$21,IF(AE306&gt;=CONFIG!$E$20,CONFIG!$F$20,CONFIG!$F$19)))</f>
        <v/>
      </c>
      <c r="AG306" s="21" t="str">
        <f aca="false">IF(F306="","",TRIM(IF(N(M306)=0,"Sin ensayos. ","")&amp;IF(AND(N(M306)&gt;0,N(M306)&lt;CONFIG!$B$26),"Menos de "&amp;CONFIG!$B$26&amp;" probetas. ","")&amp;IF(N(T306)&gt;CONFIG!$B$25,"CV alto. ","")&amp;IF(AND(N(AD306)&gt;0,N(AD306)&gt;N(AF306)),"Absorción alta. ","")))</f>
        <v/>
      </c>
      <c r="AH306" s="22" t="str">
        <f aca="false">IF(AND(N(M306)&gt;0,OR(CONTROL!$C$4="TODAS",C306=CONTROL!$C$4),D306=CONTROL!$C$5),MAX($AH$4:AH305)+1,"")</f>
        <v/>
      </c>
      <c r="AI306" s="22" t="str">
        <f aca="false">IF(AH306="","",P306^2)</f>
        <v/>
      </c>
    </row>
    <row r="307" customFormat="false" ht="15" hidden="false" customHeight="false" outlineLevel="0" collapsed="false">
      <c r="A307" s="11" t="str">
        <f aca="false">IF(B307="","",ROW()-4)</f>
        <v/>
      </c>
      <c r="B307" s="12"/>
      <c r="C307" s="13"/>
      <c r="D307" s="13"/>
      <c r="E307" s="13"/>
      <c r="F307" s="14" t="str">
        <f aca="false">IF(OR(B307="",C307="",D307=""),"",IFERROR(INDEX(CONFIG!$E$5:$E$14,MATCH(D307,CONFIG!$D$5:$D$14,0)),"?")&amp;RIGHT("0"&amp;DAY(B307),2)&amp;RIGHT("0"&amp;MONTH(B307),2)&amp;RIGHT(YEAR(B307),2)&amp;C307&amp;IF(E307="","","-"&amp;E307))</f>
        <v/>
      </c>
      <c r="G307" s="13"/>
      <c r="H307" s="13"/>
      <c r="I307" s="13"/>
      <c r="J307" s="13"/>
      <c r="K307" s="13"/>
      <c r="L307" s="13"/>
      <c r="M307" s="11" t="str">
        <f aca="false">IF(F307="","",COUNTIFS(ENSAYOS!$C$5:$C$3004,F307,ENSAYOS!$Q$5:$Q$3004,"&gt;0"))</f>
        <v/>
      </c>
      <c r="N307" s="15" t="str">
        <f aca="false">IF(N(M307)=0,"",_xlfn.MINIFS(ENSAYOS!$G$5:$G$3004,ENSAYOS!$C$5:$C$3004,F307,ENSAYOS!$Q$5:$Q$3004,"&gt;0"))</f>
        <v/>
      </c>
      <c r="O307" s="15" t="str">
        <f aca="false">IF(N(M307)=0,"",_xlfn.MAXIFS(ENSAYOS!$G$5:$G$3004,ENSAYOS!$C$5:$C$3004,F307,ENSAYOS!$Q$5:$Q$3004,"&gt;0"))</f>
        <v/>
      </c>
      <c r="P307" s="16" t="str">
        <f aca="false">IF(N(M307)=0,"",AVERAGEIFS(ENSAYOS!$Q$5:$Q$3004,ENSAYOS!$C$5:$C$3004,F307,ENSAYOS!$Q$5:$Q$3004,"&gt;0"))</f>
        <v/>
      </c>
      <c r="Q307" s="16" t="str">
        <f aca="false">IF(N(M307)=0,"",_xlfn.MINIFS(ENSAYOS!$Q$5:$Q$3004,ENSAYOS!$C$5:$C$3004,F307,ENSAYOS!$Q$5:$Q$3004,"&gt;0"))</f>
        <v/>
      </c>
      <c r="R307" s="16" t="str">
        <f aca="false">IF(N(M307)=0,"",_xlfn.MAXIFS(ENSAYOS!$Q$5:$Q$3004,ENSAYOS!$C$5:$C$3004,F307,ENSAYOS!$Q$5:$Q$3004,"&gt;0"))</f>
        <v/>
      </c>
      <c r="S307" s="16" t="str">
        <f aca="false">IF(N(M307)&lt;2,"",SQRT(MAX(0,(SUMIFS(ENSAYOS!$X$5:$X$3004,ENSAYOS!$C$5:$C$3004,F307,ENSAYOS!$Q$5:$Q$3004,"&gt;0")-M307*P307^2)/(M307-1))))</f>
        <v/>
      </c>
      <c r="T307" s="17" t="str">
        <f aca="false">IF(S307="","",S307/P307)</f>
        <v/>
      </c>
      <c r="U307" s="16" t="str">
        <f aca="false">IF(N(M307)=0,"",IF(N307&gt;=CONFIG!$B$27,"",AVERAGEIFS(ENSAYOS!$Q$5:$Q$3004,ENSAYOS!$C$5:$C$3004,F307,ENSAYOS!$Q$5:$Q$3004,"&gt;0",ENSAYOS!$G$5:$G$3004,N307)))</f>
        <v/>
      </c>
      <c r="V307" s="16" t="str">
        <f aca="false">IF(N(M307)=0,"",IF(COUNTIFS(ENSAYOS!$C$5:$C$3004,F307,ENSAYOS!$Q$5:$Q$3004,"&gt;0",ENSAYOS!$G$5:$G$3004,"&gt;="&amp;CONFIG!$B$27)=0,"",AVERAGEIFS(ENSAYOS!$Q$5:$Q$3004,ENSAYOS!$C$5:$C$3004,F307,ENSAYOS!$Q$5:$Q$3004,"&gt;0",ENSAYOS!$G$5:$G$3004,"&gt;="&amp;CONFIG!$B$27)))</f>
        <v/>
      </c>
      <c r="W307" s="18" t="str">
        <f aca="false">IF(AND(U307&lt;&gt;"",V307&lt;&gt;""),U307/V307,"")</f>
        <v/>
      </c>
      <c r="X307" s="18" t="str">
        <f aca="false">IF(U307="","",INDEX('CURVA EDAD'!$E$5:$E$32,MIN(28,MAX(1,N307))))</f>
        <v/>
      </c>
      <c r="Y307" s="16" t="str">
        <f aca="false">IF(V307&lt;&gt;"",V307,IF(U307="","",U307/X307))</f>
        <v/>
      </c>
      <c r="Z307" s="16" t="str">
        <f aca="false">IF(V307&lt;&gt;"",_xlfn.MINIFS(ENSAYOS!$Q$5:$Q$3004,ENSAYOS!$C$5:$C$3004,F307,ENSAYOS!$Q$5:$Q$3004,"&gt;0",ENSAYOS!$G$5:$G$3004,"&gt;="&amp;CONFIG!$B$27),IF(U307="","",_xlfn.MINIFS(ENSAYOS!$Q$5:$Q$3004,ENSAYOS!$C$5:$C$3004,F307,ENSAYOS!$Q$5:$Q$3004,"&gt;0",ENSAYOS!$G$5:$G$3004,N307)/X307))</f>
        <v/>
      </c>
      <c r="AA307" s="16" t="str">
        <f aca="false">IF(D307="","",IFERROR(1/(1/INDEX(CONFIG!$J$5:$J$14,MATCH(D307,CONFIG!$D$5:$D$14,0))),""))</f>
        <v/>
      </c>
      <c r="AB307" s="16" t="str">
        <f aca="false">IF(D307="","",IFERROR(1/(1/INDEX(CONFIG!$K$5:$K$14,MATCH(D307,CONFIG!$D$5:$D$14,0))),""))</f>
        <v/>
      </c>
      <c r="AC307" s="19" t="str">
        <f aca="false">IF(N(M307)=0,"",IF(AA307="","Sin spec",IF(AND(Y307&gt;=AA307,OR(AB307="",Z307&gt;=AB307)),"CUMPLE","NO CUMPLE")&amp;IF(V307=""," (est.)","")))</f>
        <v/>
      </c>
      <c r="AD307" s="20" t="str">
        <f aca="false">IF(F307="","",IF(COUNTIFS(ABSORCION!$C$5:$C$1004,F307,ABSORCION!$I$5:$I$1004,"&gt;0")=0,"",AVERAGEIFS(ABSORCION!$I$5:$I$1004,ABSORCION!$C$5:$C$1004,F307,ABSORCION!$I$5:$I$1004,"&gt;0")))</f>
        <v/>
      </c>
      <c r="AE307" s="20" t="str">
        <f aca="false">IF(F307="","",IF(COUNTIFS(ABSORCION!$C$5:$C$1004,F307,ABSORCION!$I$5:$I$1004,"&gt;0")=0,"",AVERAGEIFS(ABSORCION!$K$5:$K$1004,ABSORCION!$C$5:$C$1004,F307,ABSORCION!$I$5:$I$1004,"&gt;0")))</f>
        <v/>
      </c>
      <c r="AF307" s="20" t="str">
        <f aca="false">IF(AE307="","",IF(AE307&gt;=CONFIG!$E$21,CONFIG!$F$21,IF(AE307&gt;=CONFIG!$E$20,CONFIG!$F$20,CONFIG!$F$19)))</f>
        <v/>
      </c>
      <c r="AG307" s="21" t="str">
        <f aca="false">IF(F307="","",TRIM(IF(N(M307)=0,"Sin ensayos. ","")&amp;IF(AND(N(M307)&gt;0,N(M307)&lt;CONFIG!$B$26),"Menos de "&amp;CONFIG!$B$26&amp;" probetas. ","")&amp;IF(N(T307)&gt;CONFIG!$B$25,"CV alto. ","")&amp;IF(AND(N(AD307)&gt;0,N(AD307)&gt;N(AF307)),"Absorción alta. ","")))</f>
        <v/>
      </c>
      <c r="AH307" s="22" t="str">
        <f aca="false">IF(AND(N(M307)&gt;0,OR(CONTROL!$C$4="TODAS",C307=CONTROL!$C$4),D307=CONTROL!$C$5),MAX($AH$4:AH306)+1,"")</f>
        <v/>
      </c>
      <c r="AI307" s="22" t="str">
        <f aca="false">IF(AH307="","",P307^2)</f>
        <v/>
      </c>
    </row>
    <row r="308" customFormat="false" ht="15" hidden="false" customHeight="false" outlineLevel="0" collapsed="false">
      <c r="A308" s="11" t="str">
        <f aca="false">IF(B308="","",ROW()-4)</f>
        <v/>
      </c>
      <c r="B308" s="12"/>
      <c r="C308" s="13"/>
      <c r="D308" s="13"/>
      <c r="E308" s="13"/>
      <c r="F308" s="14" t="str">
        <f aca="false">IF(OR(B308="",C308="",D308=""),"",IFERROR(INDEX(CONFIG!$E$5:$E$14,MATCH(D308,CONFIG!$D$5:$D$14,0)),"?")&amp;RIGHT("0"&amp;DAY(B308),2)&amp;RIGHT("0"&amp;MONTH(B308),2)&amp;RIGHT(YEAR(B308),2)&amp;C308&amp;IF(E308="","","-"&amp;E308))</f>
        <v/>
      </c>
      <c r="G308" s="13"/>
      <c r="H308" s="13"/>
      <c r="I308" s="13"/>
      <c r="J308" s="13"/>
      <c r="K308" s="13"/>
      <c r="L308" s="13"/>
      <c r="M308" s="11" t="str">
        <f aca="false">IF(F308="","",COUNTIFS(ENSAYOS!$C$5:$C$3004,F308,ENSAYOS!$Q$5:$Q$3004,"&gt;0"))</f>
        <v/>
      </c>
      <c r="N308" s="15" t="str">
        <f aca="false">IF(N(M308)=0,"",_xlfn.MINIFS(ENSAYOS!$G$5:$G$3004,ENSAYOS!$C$5:$C$3004,F308,ENSAYOS!$Q$5:$Q$3004,"&gt;0"))</f>
        <v/>
      </c>
      <c r="O308" s="15" t="str">
        <f aca="false">IF(N(M308)=0,"",_xlfn.MAXIFS(ENSAYOS!$G$5:$G$3004,ENSAYOS!$C$5:$C$3004,F308,ENSAYOS!$Q$5:$Q$3004,"&gt;0"))</f>
        <v/>
      </c>
      <c r="P308" s="16" t="str">
        <f aca="false">IF(N(M308)=0,"",AVERAGEIFS(ENSAYOS!$Q$5:$Q$3004,ENSAYOS!$C$5:$C$3004,F308,ENSAYOS!$Q$5:$Q$3004,"&gt;0"))</f>
        <v/>
      </c>
      <c r="Q308" s="16" t="str">
        <f aca="false">IF(N(M308)=0,"",_xlfn.MINIFS(ENSAYOS!$Q$5:$Q$3004,ENSAYOS!$C$5:$C$3004,F308,ENSAYOS!$Q$5:$Q$3004,"&gt;0"))</f>
        <v/>
      </c>
      <c r="R308" s="16" t="str">
        <f aca="false">IF(N(M308)=0,"",_xlfn.MAXIFS(ENSAYOS!$Q$5:$Q$3004,ENSAYOS!$C$5:$C$3004,F308,ENSAYOS!$Q$5:$Q$3004,"&gt;0"))</f>
        <v/>
      </c>
      <c r="S308" s="16" t="str">
        <f aca="false">IF(N(M308)&lt;2,"",SQRT(MAX(0,(SUMIFS(ENSAYOS!$X$5:$X$3004,ENSAYOS!$C$5:$C$3004,F308,ENSAYOS!$Q$5:$Q$3004,"&gt;0")-M308*P308^2)/(M308-1))))</f>
        <v/>
      </c>
      <c r="T308" s="17" t="str">
        <f aca="false">IF(S308="","",S308/P308)</f>
        <v/>
      </c>
      <c r="U308" s="16" t="str">
        <f aca="false">IF(N(M308)=0,"",IF(N308&gt;=CONFIG!$B$27,"",AVERAGEIFS(ENSAYOS!$Q$5:$Q$3004,ENSAYOS!$C$5:$C$3004,F308,ENSAYOS!$Q$5:$Q$3004,"&gt;0",ENSAYOS!$G$5:$G$3004,N308)))</f>
        <v/>
      </c>
      <c r="V308" s="16" t="str">
        <f aca="false">IF(N(M308)=0,"",IF(COUNTIFS(ENSAYOS!$C$5:$C$3004,F308,ENSAYOS!$Q$5:$Q$3004,"&gt;0",ENSAYOS!$G$5:$G$3004,"&gt;="&amp;CONFIG!$B$27)=0,"",AVERAGEIFS(ENSAYOS!$Q$5:$Q$3004,ENSAYOS!$C$5:$C$3004,F308,ENSAYOS!$Q$5:$Q$3004,"&gt;0",ENSAYOS!$G$5:$G$3004,"&gt;="&amp;CONFIG!$B$27)))</f>
        <v/>
      </c>
      <c r="W308" s="18" t="str">
        <f aca="false">IF(AND(U308&lt;&gt;"",V308&lt;&gt;""),U308/V308,"")</f>
        <v/>
      </c>
      <c r="X308" s="18" t="str">
        <f aca="false">IF(U308="","",INDEX('CURVA EDAD'!$E$5:$E$32,MIN(28,MAX(1,N308))))</f>
        <v/>
      </c>
      <c r="Y308" s="16" t="str">
        <f aca="false">IF(V308&lt;&gt;"",V308,IF(U308="","",U308/X308))</f>
        <v/>
      </c>
      <c r="Z308" s="16" t="str">
        <f aca="false">IF(V308&lt;&gt;"",_xlfn.MINIFS(ENSAYOS!$Q$5:$Q$3004,ENSAYOS!$C$5:$C$3004,F308,ENSAYOS!$Q$5:$Q$3004,"&gt;0",ENSAYOS!$G$5:$G$3004,"&gt;="&amp;CONFIG!$B$27),IF(U308="","",_xlfn.MINIFS(ENSAYOS!$Q$5:$Q$3004,ENSAYOS!$C$5:$C$3004,F308,ENSAYOS!$Q$5:$Q$3004,"&gt;0",ENSAYOS!$G$5:$G$3004,N308)/X308))</f>
        <v/>
      </c>
      <c r="AA308" s="16" t="str">
        <f aca="false">IF(D308="","",IFERROR(1/(1/INDEX(CONFIG!$J$5:$J$14,MATCH(D308,CONFIG!$D$5:$D$14,0))),""))</f>
        <v/>
      </c>
      <c r="AB308" s="16" t="str">
        <f aca="false">IF(D308="","",IFERROR(1/(1/INDEX(CONFIG!$K$5:$K$14,MATCH(D308,CONFIG!$D$5:$D$14,0))),""))</f>
        <v/>
      </c>
      <c r="AC308" s="19" t="str">
        <f aca="false">IF(N(M308)=0,"",IF(AA308="","Sin spec",IF(AND(Y308&gt;=AA308,OR(AB308="",Z308&gt;=AB308)),"CUMPLE","NO CUMPLE")&amp;IF(V308=""," (est.)","")))</f>
        <v/>
      </c>
      <c r="AD308" s="20" t="str">
        <f aca="false">IF(F308="","",IF(COUNTIFS(ABSORCION!$C$5:$C$1004,F308,ABSORCION!$I$5:$I$1004,"&gt;0")=0,"",AVERAGEIFS(ABSORCION!$I$5:$I$1004,ABSORCION!$C$5:$C$1004,F308,ABSORCION!$I$5:$I$1004,"&gt;0")))</f>
        <v/>
      </c>
      <c r="AE308" s="20" t="str">
        <f aca="false">IF(F308="","",IF(COUNTIFS(ABSORCION!$C$5:$C$1004,F308,ABSORCION!$I$5:$I$1004,"&gt;0")=0,"",AVERAGEIFS(ABSORCION!$K$5:$K$1004,ABSORCION!$C$5:$C$1004,F308,ABSORCION!$I$5:$I$1004,"&gt;0")))</f>
        <v/>
      </c>
      <c r="AF308" s="20" t="str">
        <f aca="false">IF(AE308="","",IF(AE308&gt;=CONFIG!$E$21,CONFIG!$F$21,IF(AE308&gt;=CONFIG!$E$20,CONFIG!$F$20,CONFIG!$F$19)))</f>
        <v/>
      </c>
      <c r="AG308" s="21" t="str">
        <f aca="false">IF(F308="","",TRIM(IF(N(M308)=0,"Sin ensayos. ","")&amp;IF(AND(N(M308)&gt;0,N(M308)&lt;CONFIG!$B$26),"Menos de "&amp;CONFIG!$B$26&amp;" probetas. ","")&amp;IF(N(T308)&gt;CONFIG!$B$25,"CV alto. ","")&amp;IF(AND(N(AD308)&gt;0,N(AD308)&gt;N(AF308)),"Absorción alta. ","")))</f>
        <v/>
      </c>
      <c r="AH308" s="22" t="str">
        <f aca="false">IF(AND(N(M308)&gt;0,OR(CONTROL!$C$4="TODAS",C308=CONTROL!$C$4),D308=CONTROL!$C$5),MAX($AH$4:AH307)+1,"")</f>
        <v/>
      </c>
      <c r="AI308" s="22" t="str">
        <f aca="false">IF(AH308="","",P308^2)</f>
        <v/>
      </c>
    </row>
    <row r="309" customFormat="false" ht="15" hidden="false" customHeight="false" outlineLevel="0" collapsed="false">
      <c r="A309" s="11" t="str">
        <f aca="false">IF(B309="","",ROW()-4)</f>
        <v/>
      </c>
      <c r="B309" s="12"/>
      <c r="C309" s="13"/>
      <c r="D309" s="13"/>
      <c r="E309" s="13"/>
      <c r="F309" s="14" t="str">
        <f aca="false">IF(OR(B309="",C309="",D309=""),"",IFERROR(INDEX(CONFIG!$E$5:$E$14,MATCH(D309,CONFIG!$D$5:$D$14,0)),"?")&amp;RIGHT("0"&amp;DAY(B309),2)&amp;RIGHT("0"&amp;MONTH(B309),2)&amp;RIGHT(YEAR(B309),2)&amp;C309&amp;IF(E309="","","-"&amp;E309))</f>
        <v/>
      </c>
      <c r="G309" s="13"/>
      <c r="H309" s="13"/>
      <c r="I309" s="13"/>
      <c r="J309" s="13"/>
      <c r="K309" s="13"/>
      <c r="L309" s="13"/>
      <c r="M309" s="11" t="str">
        <f aca="false">IF(F309="","",COUNTIFS(ENSAYOS!$C$5:$C$3004,F309,ENSAYOS!$Q$5:$Q$3004,"&gt;0"))</f>
        <v/>
      </c>
      <c r="N309" s="15" t="str">
        <f aca="false">IF(N(M309)=0,"",_xlfn.MINIFS(ENSAYOS!$G$5:$G$3004,ENSAYOS!$C$5:$C$3004,F309,ENSAYOS!$Q$5:$Q$3004,"&gt;0"))</f>
        <v/>
      </c>
      <c r="O309" s="15" t="str">
        <f aca="false">IF(N(M309)=0,"",_xlfn.MAXIFS(ENSAYOS!$G$5:$G$3004,ENSAYOS!$C$5:$C$3004,F309,ENSAYOS!$Q$5:$Q$3004,"&gt;0"))</f>
        <v/>
      </c>
      <c r="P309" s="16" t="str">
        <f aca="false">IF(N(M309)=0,"",AVERAGEIFS(ENSAYOS!$Q$5:$Q$3004,ENSAYOS!$C$5:$C$3004,F309,ENSAYOS!$Q$5:$Q$3004,"&gt;0"))</f>
        <v/>
      </c>
      <c r="Q309" s="16" t="str">
        <f aca="false">IF(N(M309)=0,"",_xlfn.MINIFS(ENSAYOS!$Q$5:$Q$3004,ENSAYOS!$C$5:$C$3004,F309,ENSAYOS!$Q$5:$Q$3004,"&gt;0"))</f>
        <v/>
      </c>
      <c r="R309" s="16" t="str">
        <f aca="false">IF(N(M309)=0,"",_xlfn.MAXIFS(ENSAYOS!$Q$5:$Q$3004,ENSAYOS!$C$5:$C$3004,F309,ENSAYOS!$Q$5:$Q$3004,"&gt;0"))</f>
        <v/>
      </c>
      <c r="S309" s="16" t="str">
        <f aca="false">IF(N(M309)&lt;2,"",SQRT(MAX(0,(SUMIFS(ENSAYOS!$X$5:$X$3004,ENSAYOS!$C$5:$C$3004,F309,ENSAYOS!$Q$5:$Q$3004,"&gt;0")-M309*P309^2)/(M309-1))))</f>
        <v/>
      </c>
      <c r="T309" s="17" t="str">
        <f aca="false">IF(S309="","",S309/P309)</f>
        <v/>
      </c>
      <c r="U309" s="16" t="str">
        <f aca="false">IF(N(M309)=0,"",IF(N309&gt;=CONFIG!$B$27,"",AVERAGEIFS(ENSAYOS!$Q$5:$Q$3004,ENSAYOS!$C$5:$C$3004,F309,ENSAYOS!$Q$5:$Q$3004,"&gt;0",ENSAYOS!$G$5:$G$3004,N309)))</f>
        <v/>
      </c>
      <c r="V309" s="16" t="str">
        <f aca="false">IF(N(M309)=0,"",IF(COUNTIFS(ENSAYOS!$C$5:$C$3004,F309,ENSAYOS!$Q$5:$Q$3004,"&gt;0",ENSAYOS!$G$5:$G$3004,"&gt;="&amp;CONFIG!$B$27)=0,"",AVERAGEIFS(ENSAYOS!$Q$5:$Q$3004,ENSAYOS!$C$5:$C$3004,F309,ENSAYOS!$Q$5:$Q$3004,"&gt;0",ENSAYOS!$G$5:$G$3004,"&gt;="&amp;CONFIG!$B$27)))</f>
        <v/>
      </c>
      <c r="W309" s="18" t="str">
        <f aca="false">IF(AND(U309&lt;&gt;"",V309&lt;&gt;""),U309/V309,"")</f>
        <v/>
      </c>
      <c r="X309" s="18" t="str">
        <f aca="false">IF(U309="","",INDEX('CURVA EDAD'!$E$5:$E$32,MIN(28,MAX(1,N309))))</f>
        <v/>
      </c>
      <c r="Y309" s="16" t="str">
        <f aca="false">IF(V309&lt;&gt;"",V309,IF(U309="","",U309/X309))</f>
        <v/>
      </c>
      <c r="Z309" s="16" t="str">
        <f aca="false">IF(V309&lt;&gt;"",_xlfn.MINIFS(ENSAYOS!$Q$5:$Q$3004,ENSAYOS!$C$5:$C$3004,F309,ENSAYOS!$Q$5:$Q$3004,"&gt;0",ENSAYOS!$G$5:$G$3004,"&gt;="&amp;CONFIG!$B$27),IF(U309="","",_xlfn.MINIFS(ENSAYOS!$Q$5:$Q$3004,ENSAYOS!$C$5:$C$3004,F309,ENSAYOS!$Q$5:$Q$3004,"&gt;0",ENSAYOS!$G$5:$G$3004,N309)/X309))</f>
        <v/>
      </c>
      <c r="AA309" s="16" t="str">
        <f aca="false">IF(D309="","",IFERROR(1/(1/INDEX(CONFIG!$J$5:$J$14,MATCH(D309,CONFIG!$D$5:$D$14,0))),""))</f>
        <v/>
      </c>
      <c r="AB309" s="16" t="str">
        <f aca="false">IF(D309="","",IFERROR(1/(1/INDEX(CONFIG!$K$5:$K$14,MATCH(D309,CONFIG!$D$5:$D$14,0))),""))</f>
        <v/>
      </c>
      <c r="AC309" s="19" t="str">
        <f aca="false">IF(N(M309)=0,"",IF(AA309="","Sin spec",IF(AND(Y309&gt;=AA309,OR(AB309="",Z309&gt;=AB309)),"CUMPLE","NO CUMPLE")&amp;IF(V309=""," (est.)","")))</f>
        <v/>
      </c>
      <c r="AD309" s="20" t="str">
        <f aca="false">IF(F309="","",IF(COUNTIFS(ABSORCION!$C$5:$C$1004,F309,ABSORCION!$I$5:$I$1004,"&gt;0")=0,"",AVERAGEIFS(ABSORCION!$I$5:$I$1004,ABSORCION!$C$5:$C$1004,F309,ABSORCION!$I$5:$I$1004,"&gt;0")))</f>
        <v/>
      </c>
      <c r="AE309" s="20" t="str">
        <f aca="false">IF(F309="","",IF(COUNTIFS(ABSORCION!$C$5:$C$1004,F309,ABSORCION!$I$5:$I$1004,"&gt;0")=0,"",AVERAGEIFS(ABSORCION!$K$5:$K$1004,ABSORCION!$C$5:$C$1004,F309,ABSORCION!$I$5:$I$1004,"&gt;0")))</f>
        <v/>
      </c>
      <c r="AF309" s="20" t="str">
        <f aca="false">IF(AE309="","",IF(AE309&gt;=CONFIG!$E$21,CONFIG!$F$21,IF(AE309&gt;=CONFIG!$E$20,CONFIG!$F$20,CONFIG!$F$19)))</f>
        <v/>
      </c>
      <c r="AG309" s="21" t="str">
        <f aca="false">IF(F309="","",TRIM(IF(N(M309)=0,"Sin ensayos. ","")&amp;IF(AND(N(M309)&gt;0,N(M309)&lt;CONFIG!$B$26),"Menos de "&amp;CONFIG!$B$26&amp;" probetas. ","")&amp;IF(N(T309)&gt;CONFIG!$B$25,"CV alto. ","")&amp;IF(AND(N(AD309)&gt;0,N(AD309)&gt;N(AF309)),"Absorción alta. ","")))</f>
        <v/>
      </c>
      <c r="AH309" s="22" t="str">
        <f aca="false">IF(AND(N(M309)&gt;0,OR(CONTROL!$C$4="TODAS",C309=CONTROL!$C$4),D309=CONTROL!$C$5),MAX($AH$4:AH308)+1,"")</f>
        <v/>
      </c>
      <c r="AI309" s="22" t="str">
        <f aca="false">IF(AH309="","",P309^2)</f>
        <v/>
      </c>
    </row>
    <row r="310" customFormat="false" ht="15" hidden="false" customHeight="false" outlineLevel="0" collapsed="false">
      <c r="A310" s="11" t="str">
        <f aca="false">IF(B310="","",ROW()-4)</f>
        <v/>
      </c>
      <c r="B310" s="12"/>
      <c r="C310" s="13"/>
      <c r="D310" s="13"/>
      <c r="E310" s="13"/>
      <c r="F310" s="14" t="str">
        <f aca="false">IF(OR(B310="",C310="",D310=""),"",IFERROR(INDEX(CONFIG!$E$5:$E$14,MATCH(D310,CONFIG!$D$5:$D$14,0)),"?")&amp;RIGHT("0"&amp;DAY(B310),2)&amp;RIGHT("0"&amp;MONTH(B310),2)&amp;RIGHT(YEAR(B310),2)&amp;C310&amp;IF(E310="","","-"&amp;E310))</f>
        <v/>
      </c>
      <c r="G310" s="13"/>
      <c r="H310" s="13"/>
      <c r="I310" s="13"/>
      <c r="J310" s="13"/>
      <c r="K310" s="13"/>
      <c r="L310" s="13"/>
      <c r="M310" s="11" t="str">
        <f aca="false">IF(F310="","",COUNTIFS(ENSAYOS!$C$5:$C$3004,F310,ENSAYOS!$Q$5:$Q$3004,"&gt;0"))</f>
        <v/>
      </c>
      <c r="N310" s="15" t="str">
        <f aca="false">IF(N(M310)=0,"",_xlfn.MINIFS(ENSAYOS!$G$5:$G$3004,ENSAYOS!$C$5:$C$3004,F310,ENSAYOS!$Q$5:$Q$3004,"&gt;0"))</f>
        <v/>
      </c>
      <c r="O310" s="15" t="str">
        <f aca="false">IF(N(M310)=0,"",_xlfn.MAXIFS(ENSAYOS!$G$5:$G$3004,ENSAYOS!$C$5:$C$3004,F310,ENSAYOS!$Q$5:$Q$3004,"&gt;0"))</f>
        <v/>
      </c>
      <c r="P310" s="16" t="str">
        <f aca="false">IF(N(M310)=0,"",AVERAGEIFS(ENSAYOS!$Q$5:$Q$3004,ENSAYOS!$C$5:$C$3004,F310,ENSAYOS!$Q$5:$Q$3004,"&gt;0"))</f>
        <v/>
      </c>
      <c r="Q310" s="16" t="str">
        <f aca="false">IF(N(M310)=0,"",_xlfn.MINIFS(ENSAYOS!$Q$5:$Q$3004,ENSAYOS!$C$5:$C$3004,F310,ENSAYOS!$Q$5:$Q$3004,"&gt;0"))</f>
        <v/>
      </c>
      <c r="R310" s="16" t="str">
        <f aca="false">IF(N(M310)=0,"",_xlfn.MAXIFS(ENSAYOS!$Q$5:$Q$3004,ENSAYOS!$C$5:$C$3004,F310,ENSAYOS!$Q$5:$Q$3004,"&gt;0"))</f>
        <v/>
      </c>
      <c r="S310" s="16" t="str">
        <f aca="false">IF(N(M310)&lt;2,"",SQRT(MAX(0,(SUMIFS(ENSAYOS!$X$5:$X$3004,ENSAYOS!$C$5:$C$3004,F310,ENSAYOS!$Q$5:$Q$3004,"&gt;0")-M310*P310^2)/(M310-1))))</f>
        <v/>
      </c>
      <c r="T310" s="17" t="str">
        <f aca="false">IF(S310="","",S310/P310)</f>
        <v/>
      </c>
      <c r="U310" s="16" t="str">
        <f aca="false">IF(N(M310)=0,"",IF(N310&gt;=CONFIG!$B$27,"",AVERAGEIFS(ENSAYOS!$Q$5:$Q$3004,ENSAYOS!$C$5:$C$3004,F310,ENSAYOS!$Q$5:$Q$3004,"&gt;0",ENSAYOS!$G$5:$G$3004,N310)))</f>
        <v/>
      </c>
      <c r="V310" s="16" t="str">
        <f aca="false">IF(N(M310)=0,"",IF(COUNTIFS(ENSAYOS!$C$5:$C$3004,F310,ENSAYOS!$Q$5:$Q$3004,"&gt;0",ENSAYOS!$G$5:$G$3004,"&gt;="&amp;CONFIG!$B$27)=0,"",AVERAGEIFS(ENSAYOS!$Q$5:$Q$3004,ENSAYOS!$C$5:$C$3004,F310,ENSAYOS!$Q$5:$Q$3004,"&gt;0",ENSAYOS!$G$5:$G$3004,"&gt;="&amp;CONFIG!$B$27)))</f>
        <v/>
      </c>
      <c r="W310" s="18" t="str">
        <f aca="false">IF(AND(U310&lt;&gt;"",V310&lt;&gt;""),U310/V310,"")</f>
        <v/>
      </c>
      <c r="X310" s="18" t="str">
        <f aca="false">IF(U310="","",INDEX('CURVA EDAD'!$E$5:$E$32,MIN(28,MAX(1,N310))))</f>
        <v/>
      </c>
      <c r="Y310" s="16" t="str">
        <f aca="false">IF(V310&lt;&gt;"",V310,IF(U310="","",U310/X310))</f>
        <v/>
      </c>
      <c r="Z310" s="16" t="str">
        <f aca="false">IF(V310&lt;&gt;"",_xlfn.MINIFS(ENSAYOS!$Q$5:$Q$3004,ENSAYOS!$C$5:$C$3004,F310,ENSAYOS!$Q$5:$Q$3004,"&gt;0",ENSAYOS!$G$5:$G$3004,"&gt;="&amp;CONFIG!$B$27),IF(U310="","",_xlfn.MINIFS(ENSAYOS!$Q$5:$Q$3004,ENSAYOS!$C$5:$C$3004,F310,ENSAYOS!$Q$5:$Q$3004,"&gt;0",ENSAYOS!$G$5:$G$3004,N310)/X310))</f>
        <v/>
      </c>
      <c r="AA310" s="16" t="str">
        <f aca="false">IF(D310="","",IFERROR(1/(1/INDEX(CONFIG!$J$5:$J$14,MATCH(D310,CONFIG!$D$5:$D$14,0))),""))</f>
        <v/>
      </c>
      <c r="AB310" s="16" t="str">
        <f aca="false">IF(D310="","",IFERROR(1/(1/INDEX(CONFIG!$K$5:$K$14,MATCH(D310,CONFIG!$D$5:$D$14,0))),""))</f>
        <v/>
      </c>
      <c r="AC310" s="19" t="str">
        <f aca="false">IF(N(M310)=0,"",IF(AA310="","Sin spec",IF(AND(Y310&gt;=AA310,OR(AB310="",Z310&gt;=AB310)),"CUMPLE","NO CUMPLE")&amp;IF(V310=""," (est.)","")))</f>
        <v/>
      </c>
      <c r="AD310" s="20" t="str">
        <f aca="false">IF(F310="","",IF(COUNTIFS(ABSORCION!$C$5:$C$1004,F310,ABSORCION!$I$5:$I$1004,"&gt;0")=0,"",AVERAGEIFS(ABSORCION!$I$5:$I$1004,ABSORCION!$C$5:$C$1004,F310,ABSORCION!$I$5:$I$1004,"&gt;0")))</f>
        <v/>
      </c>
      <c r="AE310" s="20" t="str">
        <f aca="false">IF(F310="","",IF(COUNTIFS(ABSORCION!$C$5:$C$1004,F310,ABSORCION!$I$5:$I$1004,"&gt;0")=0,"",AVERAGEIFS(ABSORCION!$K$5:$K$1004,ABSORCION!$C$5:$C$1004,F310,ABSORCION!$I$5:$I$1004,"&gt;0")))</f>
        <v/>
      </c>
      <c r="AF310" s="20" t="str">
        <f aca="false">IF(AE310="","",IF(AE310&gt;=CONFIG!$E$21,CONFIG!$F$21,IF(AE310&gt;=CONFIG!$E$20,CONFIG!$F$20,CONFIG!$F$19)))</f>
        <v/>
      </c>
      <c r="AG310" s="21" t="str">
        <f aca="false">IF(F310="","",TRIM(IF(N(M310)=0,"Sin ensayos. ","")&amp;IF(AND(N(M310)&gt;0,N(M310)&lt;CONFIG!$B$26),"Menos de "&amp;CONFIG!$B$26&amp;" probetas. ","")&amp;IF(N(T310)&gt;CONFIG!$B$25,"CV alto. ","")&amp;IF(AND(N(AD310)&gt;0,N(AD310)&gt;N(AF310)),"Absorción alta. ","")))</f>
        <v/>
      </c>
      <c r="AH310" s="22" t="str">
        <f aca="false">IF(AND(N(M310)&gt;0,OR(CONTROL!$C$4="TODAS",C310=CONTROL!$C$4),D310=CONTROL!$C$5),MAX($AH$4:AH309)+1,"")</f>
        <v/>
      </c>
      <c r="AI310" s="22" t="str">
        <f aca="false">IF(AH310="","",P310^2)</f>
        <v/>
      </c>
    </row>
    <row r="311" customFormat="false" ht="15" hidden="false" customHeight="false" outlineLevel="0" collapsed="false">
      <c r="A311" s="11" t="str">
        <f aca="false">IF(B311="","",ROW()-4)</f>
        <v/>
      </c>
      <c r="B311" s="12"/>
      <c r="C311" s="13"/>
      <c r="D311" s="13"/>
      <c r="E311" s="13"/>
      <c r="F311" s="14" t="str">
        <f aca="false">IF(OR(B311="",C311="",D311=""),"",IFERROR(INDEX(CONFIG!$E$5:$E$14,MATCH(D311,CONFIG!$D$5:$D$14,0)),"?")&amp;RIGHT("0"&amp;DAY(B311),2)&amp;RIGHT("0"&amp;MONTH(B311),2)&amp;RIGHT(YEAR(B311),2)&amp;C311&amp;IF(E311="","","-"&amp;E311))</f>
        <v/>
      </c>
      <c r="G311" s="13"/>
      <c r="H311" s="13"/>
      <c r="I311" s="13"/>
      <c r="J311" s="13"/>
      <c r="K311" s="13"/>
      <c r="L311" s="13"/>
      <c r="M311" s="11" t="str">
        <f aca="false">IF(F311="","",COUNTIFS(ENSAYOS!$C$5:$C$3004,F311,ENSAYOS!$Q$5:$Q$3004,"&gt;0"))</f>
        <v/>
      </c>
      <c r="N311" s="15" t="str">
        <f aca="false">IF(N(M311)=0,"",_xlfn.MINIFS(ENSAYOS!$G$5:$G$3004,ENSAYOS!$C$5:$C$3004,F311,ENSAYOS!$Q$5:$Q$3004,"&gt;0"))</f>
        <v/>
      </c>
      <c r="O311" s="15" t="str">
        <f aca="false">IF(N(M311)=0,"",_xlfn.MAXIFS(ENSAYOS!$G$5:$G$3004,ENSAYOS!$C$5:$C$3004,F311,ENSAYOS!$Q$5:$Q$3004,"&gt;0"))</f>
        <v/>
      </c>
      <c r="P311" s="16" t="str">
        <f aca="false">IF(N(M311)=0,"",AVERAGEIFS(ENSAYOS!$Q$5:$Q$3004,ENSAYOS!$C$5:$C$3004,F311,ENSAYOS!$Q$5:$Q$3004,"&gt;0"))</f>
        <v/>
      </c>
      <c r="Q311" s="16" t="str">
        <f aca="false">IF(N(M311)=0,"",_xlfn.MINIFS(ENSAYOS!$Q$5:$Q$3004,ENSAYOS!$C$5:$C$3004,F311,ENSAYOS!$Q$5:$Q$3004,"&gt;0"))</f>
        <v/>
      </c>
      <c r="R311" s="16" t="str">
        <f aca="false">IF(N(M311)=0,"",_xlfn.MAXIFS(ENSAYOS!$Q$5:$Q$3004,ENSAYOS!$C$5:$C$3004,F311,ENSAYOS!$Q$5:$Q$3004,"&gt;0"))</f>
        <v/>
      </c>
      <c r="S311" s="16" t="str">
        <f aca="false">IF(N(M311)&lt;2,"",SQRT(MAX(0,(SUMIFS(ENSAYOS!$X$5:$X$3004,ENSAYOS!$C$5:$C$3004,F311,ENSAYOS!$Q$5:$Q$3004,"&gt;0")-M311*P311^2)/(M311-1))))</f>
        <v/>
      </c>
      <c r="T311" s="17" t="str">
        <f aca="false">IF(S311="","",S311/P311)</f>
        <v/>
      </c>
      <c r="U311" s="16" t="str">
        <f aca="false">IF(N(M311)=0,"",IF(N311&gt;=CONFIG!$B$27,"",AVERAGEIFS(ENSAYOS!$Q$5:$Q$3004,ENSAYOS!$C$5:$C$3004,F311,ENSAYOS!$Q$5:$Q$3004,"&gt;0",ENSAYOS!$G$5:$G$3004,N311)))</f>
        <v/>
      </c>
      <c r="V311" s="16" t="str">
        <f aca="false">IF(N(M311)=0,"",IF(COUNTIFS(ENSAYOS!$C$5:$C$3004,F311,ENSAYOS!$Q$5:$Q$3004,"&gt;0",ENSAYOS!$G$5:$G$3004,"&gt;="&amp;CONFIG!$B$27)=0,"",AVERAGEIFS(ENSAYOS!$Q$5:$Q$3004,ENSAYOS!$C$5:$C$3004,F311,ENSAYOS!$Q$5:$Q$3004,"&gt;0",ENSAYOS!$G$5:$G$3004,"&gt;="&amp;CONFIG!$B$27)))</f>
        <v/>
      </c>
      <c r="W311" s="18" t="str">
        <f aca="false">IF(AND(U311&lt;&gt;"",V311&lt;&gt;""),U311/V311,"")</f>
        <v/>
      </c>
      <c r="X311" s="18" t="str">
        <f aca="false">IF(U311="","",INDEX('CURVA EDAD'!$E$5:$E$32,MIN(28,MAX(1,N311))))</f>
        <v/>
      </c>
      <c r="Y311" s="16" t="str">
        <f aca="false">IF(V311&lt;&gt;"",V311,IF(U311="","",U311/X311))</f>
        <v/>
      </c>
      <c r="Z311" s="16" t="str">
        <f aca="false">IF(V311&lt;&gt;"",_xlfn.MINIFS(ENSAYOS!$Q$5:$Q$3004,ENSAYOS!$C$5:$C$3004,F311,ENSAYOS!$Q$5:$Q$3004,"&gt;0",ENSAYOS!$G$5:$G$3004,"&gt;="&amp;CONFIG!$B$27),IF(U311="","",_xlfn.MINIFS(ENSAYOS!$Q$5:$Q$3004,ENSAYOS!$C$5:$C$3004,F311,ENSAYOS!$Q$5:$Q$3004,"&gt;0",ENSAYOS!$G$5:$G$3004,N311)/X311))</f>
        <v/>
      </c>
      <c r="AA311" s="16" t="str">
        <f aca="false">IF(D311="","",IFERROR(1/(1/INDEX(CONFIG!$J$5:$J$14,MATCH(D311,CONFIG!$D$5:$D$14,0))),""))</f>
        <v/>
      </c>
      <c r="AB311" s="16" t="str">
        <f aca="false">IF(D311="","",IFERROR(1/(1/INDEX(CONFIG!$K$5:$K$14,MATCH(D311,CONFIG!$D$5:$D$14,0))),""))</f>
        <v/>
      </c>
      <c r="AC311" s="19" t="str">
        <f aca="false">IF(N(M311)=0,"",IF(AA311="","Sin spec",IF(AND(Y311&gt;=AA311,OR(AB311="",Z311&gt;=AB311)),"CUMPLE","NO CUMPLE")&amp;IF(V311=""," (est.)","")))</f>
        <v/>
      </c>
      <c r="AD311" s="20" t="str">
        <f aca="false">IF(F311="","",IF(COUNTIFS(ABSORCION!$C$5:$C$1004,F311,ABSORCION!$I$5:$I$1004,"&gt;0")=0,"",AVERAGEIFS(ABSORCION!$I$5:$I$1004,ABSORCION!$C$5:$C$1004,F311,ABSORCION!$I$5:$I$1004,"&gt;0")))</f>
        <v/>
      </c>
      <c r="AE311" s="20" t="str">
        <f aca="false">IF(F311="","",IF(COUNTIFS(ABSORCION!$C$5:$C$1004,F311,ABSORCION!$I$5:$I$1004,"&gt;0")=0,"",AVERAGEIFS(ABSORCION!$K$5:$K$1004,ABSORCION!$C$5:$C$1004,F311,ABSORCION!$I$5:$I$1004,"&gt;0")))</f>
        <v/>
      </c>
      <c r="AF311" s="20" t="str">
        <f aca="false">IF(AE311="","",IF(AE311&gt;=CONFIG!$E$21,CONFIG!$F$21,IF(AE311&gt;=CONFIG!$E$20,CONFIG!$F$20,CONFIG!$F$19)))</f>
        <v/>
      </c>
      <c r="AG311" s="21" t="str">
        <f aca="false">IF(F311="","",TRIM(IF(N(M311)=0,"Sin ensayos. ","")&amp;IF(AND(N(M311)&gt;0,N(M311)&lt;CONFIG!$B$26),"Menos de "&amp;CONFIG!$B$26&amp;" probetas. ","")&amp;IF(N(T311)&gt;CONFIG!$B$25,"CV alto. ","")&amp;IF(AND(N(AD311)&gt;0,N(AD311)&gt;N(AF311)),"Absorción alta. ","")))</f>
        <v/>
      </c>
      <c r="AH311" s="22" t="str">
        <f aca="false">IF(AND(N(M311)&gt;0,OR(CONTROL!$C$4="TODAS",C311=CONTROL!$C$4),D311=CONTROL!$C$5),MAX($AH$4:AH310)+1,"")</f>
        <v/>
      </c>
      <c r="AI311" s="22" t="str">
        <f aca="false">IF(AH311="","",P311^2)</f>
        <v/>
      </c>
    </row>
    <row r="312" customFormat="false" ht="15" hidden="false" customHeight="false" outlineLevel="0" collapsed="false">
      <c r="A312" s="11" t="str">
        <f aca="false">IF(B312="","",ROW()-4)</f>
        <v/>
      </c>
      <c r="B312" s="12"/>
      <c r="C312" s="13"/>
      <c r="D312" s="13"/>
      <c r="E312" s="13"/>
      <c r="F312" s="14" t="str">
        <f aca="false">IF(OR(B312="",C312="",D312=""),"",IFERROR(INDEX(CONFIG!$E$5:$E$14,MATCH(D312,CONFIG!$D$5:$D$14,0)),"?")&amp;RIGHT("0"&amp;DAY(B312),2)&amp;RIGHT("0"&amp;MONTH(B312),2)&amp;RIGHT(YEAR(B312),2)&amp;C312&amp;IF(E312="","","-"&amp;E312))</f>
        <v/>
      </c>
      <c r="G312" s="13"/>
      <c r="H312" s="13"/>
      <c r="I312" s="13"/>
      <c r="J312" s="13"/>
      <c r="K312" s="13"/>
      <c r="L312" s="13"/>
      <c r="M312" s="11" t="str">
        <f aca="false">IF(F312="","",COUNTIFS(ENSAYOS!$C$5:$C$3004,F312,ENSAYOS!$Q$5:$Q$3004,"&gt;0"))</f>
        <v/>
      </c>
      <c r="N312" s="15" t="str">
        <f aca="false">IF(N(M312)=0,"",_xlfn.MINIFS(ENSAYOS!$G$5:$G$3004,ENSAYOS!$C$5:$C$3004,F312,ENSAYOS!$Q$5:$Q$3004,"&gt;0"))</f>
        <v/>
      </c>
      <c r="O312" s="15" t="str">
        <f aca="false">IF(N(M312)=0,"",_xlfn.MAXIFS(ENSAYOS!$G$5:$G$3004,ENSAYOS!$C$5:$C$3004,F312,ENSAYOS!$Q$5:$Q$3004,"&gt;0"))</f>
        <v/>
      </c>
      <c r="P312" s="16" t="str">
        <f aca="false">IF(N(M312)=0,"",AVERAGEIFS(ENSAYOS!$Q$5:$Q$3004,ENSAYOS!$C$5:$C$3004,F312,ENSAYOS!$Q$5:$Q$3004,"&gt;0"))</f>
        <v/>
      </c>
      <c r="Q312" s="16" t="str">
        <f aca="false">IF(N(M312)=0,"",_xlfn.MINIFS(ENSAYOS!$Q$5:$Q$3004,ENSAYOS!$C$5:$C$3004,F312,ENSAYOS!$Q$5:$Q$3004,"&gt;0"))</f>
        <v/>
      </c>
      <c r="R312" s="16" t="str">
        <f aca="false">IF(N(M312)=0,"",_xlfn.MAXIFS(ENSAYOS!$Q$5:$Q$3004,ENSAYOS!$C$5:$C$3004,F312,ENSAYOS!$Q$5:$Q$3004,"&gt;0"))</f>
        <v/>
      </c>
      <c r="S312" s="16" t="str">
        <f aca="false">IF(N(M312)&lt;2,"",SQRT(MAX(0,(SUMIFS(ENSAYOS!$X$5:$X$3004,ENSAYOS!$C$5:$C$3004,F312,ENSAYOS!$Q$5:$Q$3004,"&gt;0")-M312*P312^2)/(M312-1))))</f>
        <v/>
      </c>
      <c r="T312" s="17" t="str">
        <f aca="false">IF(S312="","",S312/P312)</f>
        <v/>
      </c>
      <c r="U312" s="16" t="str">
        <f aca="false">IF(N(M312)=0,"",IF(N312&gt;=CONFIG!$B$27,"",AVERAGEIFS(ENSAYOS!$Q$5:$Q$3004,ENSAYOS!$C$5:$C$3004,F312,ENSAYOS!$Q$5:$Q$3004,"&gt;0",ENSAYOS!$G$5:$G$3004,N312)))</f>
        <v/>
      </c>
      <c r="V312" s="16" t="str">
        <f aca="false">IF(N(M312)=0,"",IF(COUNTIFS(ENSAYOS!$C$5:$C$3004,F312,ENSAYOS!$Q$5:$Q$3004,"&gt;0",ENSAYOS!$G$5:$G$3004,"&gt;="&amp;CONFIG!$B$27)=0,"",AVERAGEIFS(ENSAYOS!$Q$5:$Q$3004,ENSAYOS!$C$5:$C$3004,F312,ENSAYOS!$Q$5:$Q$3004,"&gt;0",ENSAYOS!$G$5:$G$3004,"&gt;="&amp;CONFIG!$B$27)))</f>
        <v/>
      </c>
      <c r="W312" s="18" t="str">
        <f aca="false">IF(AND(U312&lt;&gt;"",V312&lt;&gt;""),U312/V312,"")</f>
        <v/>
      </c>
      <c r="X312" s="18" t="str">
        <f aca="false">IF(U312="","",INDEX('CURVA EDAD'!$E$5:$E$32,MIN(28,MAX(1,N312))))</f>
        <v/>
      </c>
      <c r="Y312" s="16" t="str">
        <f aca="false">IF(V312&lt;&gt;"",V312,IF(U312="","",U312/X312))</f>
        <v/>
      </c>
      <c r="Z312" s="16" t="str">
        <f aca="false">IF(V312&lt;&gt;"",_xlfn.MINIFS(ENSAYOS!$Q$5:$Q$3004,ENSAYOS!$C$5:$C$3004,F312,ENSAYOS!$Q$5:$Q$3004,"&gt;0",ENSAYOS!$G$5:$G$3004,"&gt;="&amp;CONFIG!$B$27),IF(U312="","",_xlfn.MINIFS(ENSAYOS!$Q$5:$Q$3004,ENSAYOS!$C$5:$C$3004,F312,ENSAYOS!$Q$5:$Q$3004,"&gt;0",ENSAYOS!$G$5:$G$3004,N312)/X312))</f>
        <v/>
      </c>
      <c r="AA312" s="16" t="str">
        <f aca="false">IF(D312="","",IFERROR(1/(1/INDEX(CONFIG!$J$5:$J$14,MATCH(D312,CONFIG!$D$5:$D$14,0))),""))</f>
        <v/>
      </c>
      <c r="AB312" s="16" t="str">
        <f aca="false">IF(D312="","",IFERROR(1/(1/INDEX(CONFIG!$K$5:$K$14,MATCH(D312,CONFIG!$D$5:$D$14,0))),""))</f>
        <v/>
      </c>
      <c r="AC312" s="19" t="str">
        <f aca="false">IF(N(M312)=0,"",IF(AA312="","Sin spec",IF(AND(Y312&gt;=AA312,OR(AB312="",Z312&gt;=AB312)),"CUMPLE","NO CUMPLE")&amp;IF(V312=""," (est.)","")))</f>
        <v/>
      </c>
      <c r="AD312" s="20" t="str">
        <f aca="false">IF(F312="","",IF(COUNTIFS(ABSORCION!$C$5:$C$1004,F312,ABSORCION!$I$5:$I$1004,"&gt;0")=0,"",AVERAGEIFS(ABSORCION!$I$5:$I$1004,ABSORCION!$C$5:$C$1004,F312,ABSORCION!$I$5:$I$1004,"&gt;0")))</f>
        <v/>
      </c>
      <c r="AE312" s="20" t="str">
        <f aca="false">IF(F312="","",IF(COUNTIFS(ABSORCION!$C$5:$C$1004,F312,ABSORCION!$I$5:$I$1004,"&gt;0")=0,"",AVERAGEIFS(ABSORCION!$K$5:$K$1004,ABSORCION!$C$5:$C$1004,F312,ABSORCION!$I$5:$I$1004,"&gt;0")))</f>
        <v/>
      </c>
      <c r="AF312" s="20" t="str">
        <f aca="false">IF(AE312="","",IF(AE312&gt;=CONFIG!$E$21,CONFIG!$F$21,IF(AE312&gt;=CONFIG!$E$20,CONFIG!$F$20,CONFIG!$F$19)))</f>
        <v/>
      </c>
      <c r="AG312" s="21" t="str">
        <f aca="false">IF(F312="","",TRIM(IF(N(M312)=0,"Sin ensayos. ","")&amp;IF(AND(N(M312)&gt;0,N(M312)&lt;CONFIG!$B$26),"Menos de "&amp;CONFIG!$B$26&amp;" probetas. ","")&amp;IF(N(T312)&gt;CONFIG!$B$25,"CV alto. ","")&amp;IF(AND(N(AD312)&gt;0,N(AD312)&gt;N(AF312)),"Absorción alta. ","")))</f>
        <v/>
      </c>
      <c r="AH312" s="22" t="str">
        <f aca="false">IF(AND(N(M312)&gt;0,OR(CONTROL!$C$4="TODAS",C312=CONTROL!$C$4),D312=CONTROL!$C$5),MAX($AH$4:AH311)+1,"")</f>
        <v/>
      </c>
      <c r="AI312" s="22" t="str">
        <f aca="false">IF(AH312="","",P312^2)</f>
        <v/>
      </c>
    </row>
    <row r="313" customFormat="false" ht="15" hidden="false" customHeight="false" outlineLevel="0" collapsed="false">
      <c r="A313" s="11" t="str">
        <f aca="false">IF(B313="","",ROW()-4)</f>
        <v/>
      </c>
      <c r="B313" s="12"/>
      <c r="C313" s="13"/>
      <c r="D313" s="13"/>
      <c r="E313" s="13"/>
      <c r="F313" s="14" t="str">
        <f aca="false">IF(OR(B313="",C313="",D313=""),"",IFERROR(INDEX(CONFIG!$E$5:$E$14,MATCH(D313,CONFIG!$D$5:$D$14,0)),"?")&amp;RIGHT("0"&amp;DAY(B313),2)&amp;RIGHT("0"&amp;MONTH(B313),2)&amp;RIGHT(YEAR(B313),2)&amp;C313&amp;IF(E313="","","-"&amp;E313))</f>
        <v/>
      </c>
      <c r="G313" s="13"/>
      <c r="H313" s="13"/>
      <c r="I313" s="13"/>
      <c r="J313" s="13"/>
      <c r="K313" s="13"/>
      <c r="L313" s="13"/>
      <c r="M313" s="11" t="str">
        <f aca="false">IF(F313="","",COUNTIFS(ENSAYOS!$C$5:$C$3004,F313,ENSAYOS!$Q$5:$Q$3004,"&gt;0"))</f>
        <v/>
      </c>
      <c r="N313" s="15" t="str">
        <f aca="false">IF(N(M313)=0,"",_xlfn.MINIFS(ENSAYOS!$G$5:$G$3004,ENSAYOS!$C$5:$C$3004,F313,ENSAYOS!$Q$5:$Q$3004,"&gt;0"))</f>
        <v/>
      </c>
      <c r="O313" s="15" t="str">
        <f aca="false">IF(N(M313)=0,"",_xlfn.MAXIFS(ENSAYOS!$G$5:$G$3004,ENSAYOS!$C$5:$C$3004,F313,ENSAYOS!$Q$5:$Q$3004,"&gt;0"))</f>
        <v/>
      </c>
      <c r="P313" s="16" t="str">
        <f aca="false">IF(N(M313)=0,"",AVERAGEIFS(ENSAYOS!$Q$5:$Q$3004,ENSAYOS!$C$5:$C$3004,F313,ENSAYOS!$Q$5:$Q$3004,"&gt;0"))</f>
        <v/>
      </c>
      <c r="Q313" s="16" t="str">
        <f aca="false">IF(N(M313)=0,"",_xlfn.MINIFS(ENSAYOS!$Q$5:$Q$3004,ENSAYOS!$C$5:$C$3004,F313,ENSAYOS!$Q$5:$Q$3004,"&gt;0"))</f>
        <v/>
      </c>
      <c r="R313" s="16" t="str">
        <f aca="false">IF(N(M313)=0,"",_xlfn.MAXIFS(ENSAYOS!$Q$5:$Q$3004,ENSAYOS!$C$5:$C$3004,F313,ENSAYOS!$Q$5:$Q$3004,"&gt;0"))</f>
        <v/>
      </c>
      <c r="S313" s="16" t="str">
        <f aca="false">IF(N(M313)&lt;2,"",SQRT(MAX(0,(SUMIFS(ENSAYOS!$X$5:$X$3004,ENSAYOS!$C$5:$C$3004,F313,ENSAYOS!$Q$5:$Q$3004,"&gt;0")-M313*P313^2)/(M313-1))))</f>
        <v/>
      </c>
      <c r="T313" s="17" t="str">
        <f aca="false">IF(S313="","",S313/P313)</f>
        <v/>
      </c>
      <c r="U313" s="16" t="str">
        <f aca="false">IF(N(M313)=0,"",IF(N313&gt;=CONFIG!$B$27,"",AVERAGEIFS(ENSAYOS!$Q$5:$Q$3004,ENSAYOS!$C$5:$C$3004,F313,ENSAYOS!$Q$5:$Q$3004,"&gt;0",ENSAYOS!$G$5:$G$3004,N313)))</f>
        <v/>
      </c>
      <c r="V313" s="16" t="str">
        <f aca="false">IF(N(M313)=0,"",IF(COUNTIFS(ENSAYOS!$C$5:$C$3004,F313,ENSAYOS!$Q$5:$Q$3004,"&gt;0",ENSAYOS!$G$5:$G$3004,"&gt;="&amp;CONFIG!$B$27)=0,"",AVERAGEIFS(ENSAYOS!$Q$5:$Q$3004,ENSAYOS!$C$5:$C$3004,F313,ENSAYOS!$Q$5:$Q$3004,"&gt;0",ENSAYOS!$G$5:$G$3004,"&gt;="&amp;CONFIG!$B$27)))</f>
        <v/>
      </c>
      <c r="W313" s="18" t="str">
        <f aca="false">IF(AND(U313&lt;&gt;"",V313&lt;&gt;""),U313/V313,"")</f>
        <v/>
      </c>
      <c r="X313" s="18" t="str">
        <f aca="false">IF(U313="","",INDEX('CURVA EDAD'!$E$5:$E$32,MIN(28,MAX(1,N313))))</f>
        <v/>
      </c>
      <c r="Y313" s="16" t="str">
        <f aca="false">IF(V313&lt;&gt;"",V313,IF(U313="","",U313/X313))</f>
        <v/>
      </c>
      <c r="Z313" s="16" t="str">
        <f aca="false">IF(V313&lt;&gt;"",_xlfn.MINIFS(ENSAYOS!$Q$5:$Q$3004,ENSAYOS!$C$5:$C$3004,F313,ENSAYOS!$Q$5:$Q$3004,"&gt;0",ENSAYOS!$G$5:$G$3004,"&gt;="&amp;CONFIG!$B$27),IF(U313="","",_xlfn.MINIFS(ENSAYOS!$Q$5:$Q$3004,ENSAYOS!$C$5:$C$3004,F313,ENSAYOS!$Q$5:$Q$3004,"&gt;0",ENSAYOS!$G$5:$G$3004,N313)/X313))</f>
        <v/>
      </c>
      <c r="AA313" s="16" t="str">
        <f aca="false">IF(D313="","",IFERROR(1/(1/INDEX(CONFIG!$J$5:$J$14,MATCH(D313,CONFIG!$D$5:$D$14,0))),""))</f>
        <v/>
      </c>
      <c r="AB313" s="16" t="str">
        <f aca="false">IF(D313="","",IFERROR(1/(1/INDEX(CONFIG!$K$5:$K$14,MATCH(D313,CONFIG!$D$5:$D$14,0))),""))</f>
        <v/>
      </c>
      <c r="AC313" s="19" t="str">
        <f aca="false">IF(N(M313)=0,"",IF(AA313="","Sin spec",IF(AND(Y313&gt;=AA313,OR(AB313="",Z313&gt;=AB313)),"CUMPLE","NO CUMPLE")&amp;IF(V313=""," (est.)","")))</f>
        <v/>
      </c>
      <c r="AD313" s="20" t="str">
        <f aca="false">IF(F313="","",IF(COUNTIFS(ABSORCION!$C$5:$C$1004,F313,ABSORCION!$I$5:$I$1004,"&gt;0")=0,"",AVERAGEIFS(ABSORCION!$I$5:$I$1004,ABSORCION!$C$5:$C$1004,F313,ABSORCION!$I$5:$I$1004,"&gt;0")))</f>
        <v/>
      </c>
      <c r="AE313" s="20" t="str">
        <f aca="false">IF(F313="","",IF(COUNTIFS(ABSORCION!$C$5:$C$1004,F313,ABSORCION!$I$5:$I$1004,"&gt;0")=0,"",AVERAGEIFS(ABSORCION!$K$5:$K$1004,ABSORCION!$C$5:$C$1004,F313,ABSORCION!$I$5:$I$1004,"&gt;0")))</f>
        <v/>
      </c>
      <c r="AF313" s="20" t="str">
        <f aca="false">IF(AE313="","",IF(AE313&gt;=CONFIG!$E$21,CONFIG!$F$21,IF(AE313&gt;=CONFIG!$E$20,CONFIG!$F$20,CONFIG!$F$19)))</f>
        <v/>
      </c>
      <c r="AG313" s="21" t="str">
        <f aca="false">IF(F313="","",TRIM(IF(N(M313)=0,"Sin ensayos. ","")&amp;IF(AND(N(M313)&gt;0,N(M313)&lt;CONFIG!$B$26),"Menos de "&amp;CONFIG!$B$26&amp;" probetas. ","")&amp;IF(N(T313)&gt;CONFIG!$B$25,"CV alto. ","")&amp;IF(AND(N(AD313)&gt;0,N(AD313)&gt;N(AF313)),"Absorción alta. ","")))</f>
        <v/>
      </c>
      <c r="AH313" s="22" t="str">
        <f aca="false">IF(AND(N(M313)&gt;0,OR(CONTROL!$C$4="TODAS",C313=CONTROL!$C$4),D313=CONTROL!$C$5),MAX($AH$4:AH312)+1,"")</f>
        <v/>
      </c>
      <c r="AI313" s="22" t="str">
        <f aca="false">IF(AH313="","",P313^2)</f>
        <v/>
      </c>
    </row>
    <row r="314" customFormat="false" ht="15" hidden="false" customHeight="false" outlineLevel="0" collapsed="false">
      <c r="A314" s="11" t="str">
        <f aca="false">IF(B314="","",ROW()-4)</f>
        <v/>
      </c>
      <c r="B314" s="12"/>
      <c r="C314" s="13"/>
      <c r="D314" s="13"/>
      <c r="E314" s="13"/>
      <c r="F314" s="14" t="str">
        <f aca="false">IF(OR(B314="",C314="",D314=""),"",IFERROR(INDEX(CONFIG!$E$5:$E$14,MATCH(D314,CONFIG!$D$5:$D$14,0)),"?")&amp;RIGHT("0"&amp;DAY(B314),2)&amp;RIGHT("0"&amp;MONTH(B314),2)&amp;RIGHT(YEAR(B314),2)&amp;C314&amp;IF(E314="","","-"&amp;E314))</f>
        <v/>
      </c>
      <c r="G314" s="13"/>
      <c r="H314" s="13"/>
      <c r="I314" s="13"/>
      <c r="J314" s="13"/>
      <c r="K314" s="13"/>
      <c r="L314" s="13"/>
      <c r="M314" s="11" t="str">
        <f aca="false">IF(F314="","",COUNTIFS(ENSAYOS!$C$5:$C$3004,F314,ENSAYOS!$Q$5:$Q$3004,"&gt;0"))</f>
        <v/>
      </c>
      <c r="N314" s="15" t="str">
        <f aca="false">IF(N(M314)=0,"",_xlfn.MINIFS(ENSAYOS!$G$5:$G$3004,ENSAYOS!$C$5:$C$3004,F314,ENSAYOS!$Q$5:$Q$3004,"&gt;0"))</f>
        <v/>
      </c>
      <c r="O314" s="15" t="str">
        <f aca="false">IF(N(M314)=0,"",_xlfn.MAXIFS(ENSAYOS!$G$5:$G$3004,ENSAYOS!$C$5:$C$3004,F314,ENSAYOS!$Q$5:$Q$3004,"&gt;0"))</f>
        <v/>
      </c>
      <c r="P314" s="16" t="str">
        <f aca="false">IF(N(M314)=0,"",AVERAGEIFS(ENSAYOS!$Q$5:$Q$3004,ENSAYOS!$C$5:$C$3004,F314,ENSAYOS!$Q$5:$Q$3004,"&gt;0"))</f>
        <v/>
      </c>
      <c r="Q314" s="16" t="str">
        <f aca="false">IF(N(M314)=0,"",_xlfn.MINIFS(ENSAYOS!$Q$5:$Q$3004,ENSAYOS!$C$5:$C$3004,F314,ENSAYOS!$Q$5:$Q$3004,"&gt;0"))</f>
        <v/>
      </c>
      <c r="R314" s="16" t="str">
        <f aca="false">IF(N(M314)=0,"",_xlfn.MAXIFS(ENSAYOS!$Q$5:$Q$3004,ENSAYOS!$C$5:$C$3004,F314,ENSAYOS!$Q$5:$Q$3004,"&gt;0"))</f>
        <v/>
      </c>
      <c r="S314" s="16" t="str">
        <f aca="false">IF(N(M314)&lt;2,"",SQRT(MAX(0,(SUMIFS(ENSAYOS!$X$5:$X$3004,ENSAYOS!$C$5:$C$3004,F314,ENSAYOS!$Q$5:$Q$3004,"&gt;0")-M314*P314^2)/(M314-1))))</f>
        <v/>
      </c>
      <c r="T314" s="17" t="str">
        <f aca="false">IF(S314="","",S314/P314)</f>
        <v/>
      </c>
      <c r="U314" s="16" t="str">
        <f aca="false">IF(N(M314)=0,"",IF(N314&gt;=CONFIG!$B$27,"",AVERAGEIFS(ENSAYOS!$Q$5:$Q$3004,ENSAYOS!$C$5:$C$3004,F314,ENSAYOS!$Q$5:$Q$3004,"&gt;0",ENSAYOS!$G$5:$G$3004,N314)))</f>
        <v/>
      </c>
      <c r="V314" s="16" t="str">
        <f aca="false">IF(N(M314)=0,"",IF(COUNTIFS(ENSAYOS!$C$5:$C$3004,F314,ENSAYOS!$Q$5:$Q$3004,"&gt;0",ENSAYOS!$G$5:$G$3004,"&gt;="&amp;CONFIG!$B$27)=0,"",AVERAGEIFS(ENSAYOS!$Q$5:$Q$3004,ENSAYOS!$C$5:$C$3004,F314,ENSAYOS!$Q$5:$Q$3004,"&gt;0",ENSAYOS!$G$5:$G$3004,"&gt;="&amp;CONFIG!$B$27)))</f>
        <v/>
      </c>
      <c r="W314" s="18" t="str">
        <f aca="false">IF(AND(U314&lt;&gt;"",V314&lt;&gt;""),U314/V314,"")</f>
        <v/>
      </c>
      <c r="X314" s="18" t="str">
        <f aca="false">IF(U314="","",INDEX('CURVA EDAD'!$E$5:$E$32,MIN(28,MAX(1,N314))))</f>
        <v/>
      </c>
      <c r="Y314" s="16" t="str">
        <f aca="false">IF(V314&lt;&gt;"",V314,IF(U314="","",U314/X314))</f>
        <v/>
      </c>
      <c r="Z314" s="16" t="str">
        <f aca="false">IF(V314&lt;&gt;"",_xlfn.MINIFS(ENSAYOS!$Q$5:$Q$3004,ENSAYOS!$C$5:$C$3004,F314,ENSAYOS!$Q$5:$Q$3004,"&gt;0",ENSAYOS!$G$5:$G$3004,"&gt;="&amp;CONFIG!$B$27),IF(U314="","",_xlfn.MINIFS(ENSAYOS!$Q$5:$Q$3004,ENSAYOS!$C$5:$C$3004,F314,ENSAYOS!$Q$5:$Q$3004,"&gt;0",ENSAYOS!$G$5:$G$3004,N314)/X314))</f>
        <v/>
      </c>
      <c r="AA314" s="16" t="str">
        <f aca="false">IF(D314="","",IFERROR(1/(1/INDEX(CONFIG!$J$5:$J$14,MATCH(D314,CONFIG!$D$5:$D$14,0))),""))</f>
        <v/>
      </c>
      <c r="AB314" s="16" t="str">
        <f aca="false">IF(D314="","",IFERROR(1/(1/INDEX(CONFIG!$K$5:$K$14,MATCH(D314,CONFIG!$D$5:$D$14,0))),""))</f>
        <v/>
      </c>
      <c r="AC314" s="19" t="str">
        <f aca="false">IF(N(M314)=0,"",IF(AA314="","Sin spec",IF(AND(Y314&gt;=AA314,OR(AB314="",Z314&gt;=AB314)),"CUMPLE","NO CUMPLE")&amp;IF(V314=""," (est.)","")))</f>
        <v/>
      </c>
      <c r="AD314" s="20" t="str">
        <f aca="false">IF(F314="","",IF(COUNTIFS(ABSORCION!$C$5:$C$1004,F314,ABSORCION!$I$5:$I$1004,"&gt;0")=0,"",AVERAGEIFS(ABSORCION!$I$5:$I$1004,ABSORCION!$C$5:$C$1004,F314,ABSORCION!$I$5:$I$1004,"&gt;0")))</f>
        <v/>
      </c>
      <c r="AE314" s="20" t="str">
        <f aca="false">IF(F314="","",IF(COUNTIFS(ABSORCION!$C$5:$C$1004,F314,ABSORCION!$I$5:$I$1004,"&gt;0")=0,"",AVERAGEIFS(ABSORCION!$K$5:$K$1004,ABSORCION!$C$5:$C$1004,F314,ABSORCION!$I$5:$I$1004,"&gt;0")))</f>
        <v/>
      </c>
      <c r="AF314" s="20" t="str">
        <f aca="false">IF(AE314="","",IF(AE314&gt;=CONFIG!$E$21,CONFIG!$F$21,IF(AE314&gt;=CONFIG!$E$20,CONFIG!$F$20,CONFIG!$F$19)))</f>
        <v/>
      </c>
      <c r="AG314" s="21" t="str">
        <f aca="false">IF(F314="","",TRIM(IF(N(M314)=0,"Sin ensayos. ","")&amp;IF(AND(N(M314)&gt;0,N(M314)&lt;CONFIG!$B$26),"Menos de "&amp;CONFIG!$B$26&amp;" probetas. ","")&amp;IF(N(T314)&gt;CONFIG!$B$25,"CV alto. ","")&amp;IF(AND(N(AD314)&gt;0,N(AD314)&gt;N(AF314)),"Absorción alta. ","")))</f>
        <v/>
      </c>
      <c r="AH314" s="22" t="str">
        <f aca="false">IF(AND(N(M314)&gt;0,OR(CONTROL!$C$4="TODAS",C314=CONTROL!$C$4),D314=CONTROL!$C$5),MAX($AH$4:AH313)+1,"")</f>
        <v/>
      </c>
      <c r="AI314" s="22" t="str">
        <f aca="false">IF(AH314="","",P314^2)</f>
        <v/>
      </c>
    </row>
    <row r="315" customFormat="false" ht="15" hidden="false" customHeight="false" outlineLevel="0" collapsed="false">
      <c r="A315" s="11" t="str">
        <f aca="false">IF(B315="","",ROW()-4)</f>
        <v/>
      </c>
      <c r="B315" s="12"/>
      <c r="C315" s="13"/>
      <c r="D315" s="13"/>
      <c r="E315" s="13"/>
      <c r="F315" s="14" t="str">
        <f aca="false">IF(OR(B315="",C315="",D315=""),"",IFERROR(INDEX(CONFIG!$E$5:$E$14,MATCH(D315,CONFIG!$D$5:$D$14,0)),"?")&amp;RIGHT("0"&amp;DAY(B315),2)&amp;RIGHT("0"&amp;MONTH(B315),2)&amp;RIGHT(YEAR(B315),2)&amp;C315&amp;IF(E315="","","-"&amp;E315))</f>
        <v/>
      </c>
      <c r="G315" s="13"/>
      <c r="H315" s="13"/>
      <c r="I315" s="13"/>
      <c r="J315" s="13"/>
      <c r="K315" s="13"/>
      <c r="L315" s="13"/>
      <c r="M315" s="11" t="str">
        <f aca="false">IF(F315="","",COUNTIFS(ENSAYOS!$C$5:$C$3004,F315,ENSAYOS!$Q$5:$Q$3004,"&gt;0"))</f>
        <v/>
      </c>
      <c r="N315" s="15" t="str">
        <f aca="false">IF(N(M315)=0,"",_xlfn.MINIFS(ENSAYOS!$G$5:$G$3004,ENSAYOS!$C$5:$C$3004,F315,ENSAYOS!$Q$5:$Q$3004,"&gt;0"))</f>
        <v/>
      </c>
      <c r="O315" s="15" t="str">
        <f aca="false">IF(N(M315)=0,"",_xlfn.MAXIFS(ENSAYOS!$G$5:$G$3004,ENSAYOS!$C$5:$C$3004,F315,ENSAYOS!$Q$5:$Q$3004,"&gt;0"))</f>
        <v/>
      </c>
      <c r="P315" s="16" t="str">
        <f aca="false">IF(N(M315)=0,"",AVERAGEIFS(ENSAYOS!$Q$5:$Q$3004,ENSAYOS!$C$5:$C$3004,F315,ENSAYOS!$Q$5:$Q$3004,"&gt;0"))</f>
        <v/>
      </c>
      <c r="Q315" s="16" t="str">
        <f aca="false">IF(N(M315)=0,"",_xlfn.MINIFS(ENSAYOS!$Q$5:$Q$3004,ENSAYOS!$C$5:$C$3004,F315,ENSAYOS!$Q$5:$Q$3004,"&gt;0"))</f>
        <v/>
      </c>
      <c r="R315" s="16" t="str">
        <f aca="false">IF(N(M315)=0,"",_xlfn.MAXIFS(ENSAYOS!$Q$5:$Q$3004,ENSAYOS!$C$5:$C$3004,F315,ENSAYOS!$Q$5:$Q$3004,"&gt;0"))</f>
        <v/>
      </c>
      <c r="S315" s="16" t="str">
        <f aca="false">IF(N(M315)&lt;2,"",SQRT(MAX(0,(SUMIFS(ENSAYOS!$X$5:$X$3004,ENSAYOS!$C$5:$C$3004,F315,ENSAYOS!$Q$5:$Q$3004,"&gt;0")-M315*P315^2)/(M315-1))))</f>
        <v/>
      </c>
      <c r="T315" s="17" t="str">
        <f aca="false">IF(S315="","",S315/P315)</f>
        <v/>
      </c>
      <c r="U315" s="16" t="str">
        <f aca="false">IF(N(M315)=0,"",IF(N315&gt;=CONFIG!$B$27,"",AVERAGEIFS(ENSAYOS!$Q$5:$Q$3004,ENSAYOS!$C$5:$C$3004,F315,ENSAYOS!$Q$5:$Q$3004,"&gt;0",ENSAYOS!$G$5:$G$3004,N315)))</f>
        <v/>
      </c>
      <c r="V315" s="16" t="str">
        <f aca="false">IF(N(M315)=0,"",IF(COUNTIFS(ENSAYOS!$C$5:$C$3004,F315,ENSAYOS!$Q$5:$Q$3004,"&gt;0",ENSAYOS!$G$5:$G$3004,"&gt;="&amp;CONFIG!$B$27)=0,"",AVERAGEIFS(ENSAYOS!$Q$5:$Q$3004,ENSAYOS!$C$5:$C$3004,F315,ENSAYOS!$Q$5:$Q$3004,"&gt;0",ENSAYOS!$G$5:$G$3004,"&gt;="&amp;CONFIG!$B$27)))</f>
        <v/>
      </c>
      <c r="W315" s="18" t="str">
        <f aca="false">IF(AND(U315&lt;&gt;"",V315&lt;&gt;""),U315/V315,"")</f>
        <v/>
      </c>
      <c r="X315" s="18" t="str">
        <f aca="false">IF(U315="","",INDEX('CURVA EDAD'!$E$5:$E$32,MIN(28,MAX(1,N315))))</f>
        <v/>
      </c>
      <c r="Y315" s="16" t="str">
        <f aca="false">IF(V315&lt;&gt;"",V315,IF(U315="","",U315/X315))</f>
        <v/>
      </c>
      <c r="Z315" s="16" t="str">
        <f aca="false">IF(V315&lt;&gt;"",_xlfn.MINIFS(ENSAYOS!$Q$5:$Q$3004,ENSAYOS!$C$5:$C$3004,F315,ENSAYOS!$Q$5:$Q$3004,"&gt;0",ENSAYOS!$G$5:$G$3004,"&gt;="&amp;CONFIG!$B$27),IF(U315="","",_xlfn.MINIFS(ENSAYOS!$Q$5:$Q$3004,ENSAYOS!$C$5:$C$3004,F315,ENSAYOS!$Q$5:$Q$3004,"&gt;0",ENSAYOS!$G$5:$G$3004,N315)/X315))</f>
        <v/>
      </c>
      <c r="AA315" s="16" t="str">
        <f aca="false">IF(D315="","",IFERROR(1/(1/INDEX(CONFIG!$J$5:$J$14,MATCH(D315,CONFIG!$D$5:$D$14,0))),""))</f>
        <v/>
      </c>
      <c r="AB315" s="16" t="str">
        <f aca="false">IF(D315="","",IFERROR(1/(1/INDEX(CONFIG!$K$5:$K$14,MATCH(D315,CONFIG!$D$5:$D$14,0))),""))</f>
        <v/>
      </c>
      <c r="AC315" s="19" t="str">
        <f aca="false">IF(N(M315)=0,"",IF(AA315="","Sin spec",IF(AND(Y315&gt;=AA315,OR(AB315="",Z315&gt;=AB315)),"CUMPLE","NO CUMPLE")&amp;IF(V315=""," (est.)","")))</f>
        <v/>
      </c>
      <c r="AD315" s="20" t="str">
        <f aca="false">IF(F315="","",IF(COUNTIFS(ABSORCION!$C$5:$C$1004,F315,ABSORCION!$I$5:$I$1004,"&gt;0")=0,"",AVERAGEIFS(ABSORCION!$I$5:$I$1004,ABSORCION!$C$5:$C$1004,F315,ABSORCION!$I$5:$I$1004,"&gt;0")))</f>
        <v/>
      </c>
      <c r="AE315" s="20" t="str">
        <f aca="false">IF(F315="","",IF(COUNTIFS(ABSORCION!$C$5:$C$1004,F315,ABSORCION!$I$5:$I$1004,"&gt;0")=0,"",AVERAGEIFS(ABSORCION!$K$5:$K$1004,ABSORCION!$C$5:$C$1004,F315,ABSORCION!$I$5:$I$1004,"&gt;0")))</f>
        <v/>
      </c>
      <c r="AF315" s="20" t="str">
        <f aca="false">IF(AE315="","",IF(AE315&gt;=CONFIG!$E$21,CONFIG!$F$21,IF(AE315&gt;=CONFIG!$E$20,CONFIG!$F$20,CONFIG!$F$19)))</f>
        <v/>
      </c>
      <c r="AG315" s="21" t="str">
        <f aca="false">IF(F315="","",TRIM(IF(N(M315)=0,"Sin ensayos. ","")&amp;IF(AND(N(M315)&gt;0,N(M315)&lt;CONFIG!$B$26),"Menos de "&amp;CONFIG!$B$26&amp;" probetas. ","")&amp;IF(N(T315)&gt;CONFIG!$B$25,"CV alto. ","")&amp;IF(AND(N(AD315)&gt;0,N(AD315)&gt;N(AF315)),"Absorción alta. ","")))</f>
        <v/>
      </c>
      <c r="AH315" s="22" t="str">
        <f aca="false">IF(AND(N(M315)&gt;0,OR(CONTROL!$C$4="TODAS",C315=CONTROL!$C$4),D315=CONTROL!$C$5),MAX($AH$4:AH314)+1,"")</f>
        <v/>
      </c>
      <c r="AI315" s="22" t="str">
        <f aca="false">IF(AH315="","",P315^2)</f>
        <v/>
      </c>
    </row>
    <row r="316" customFormat="false" ht="15" hidden="false" customHeight="false" outlineLevel="0" collapsed="false">
      <c r="A316" s="11" t="str">
        <f aca="false">IF(B316="","",ROW()-4)</f>
        <v/>
      </c>
      <c r="B316" s="12"/>
      <c r="C316" s="13"/>
      <c r="D316" s="13"/>
      <c r="E316" s="13"/>
      <c r="F316" s="14" t="str">
        <f aca="false">IF(OR(B316="",C316="",D316=""),"",IFERROR(INDEX(CONFIG!$E$5:$E$14,MATCH(D316,CONFIG!$D$5:$D$14,0)),"?")&amp;RIGHT("0"&amp;DAY(B316),2)&amp;RIGHT("0"&amp;MONTH(B316),2)&amp;RIGHT(YEAR(B316),2)&amp;C316&amp;IF(E316="","","-"&amp;E316))</f>
        <v/>
      </c>
      <c r="G316" s="13"/>
      <c r="H316" s="13"/>
      <c r="I316" s="13"/>
      <c r="J316" s="13"/>
      <c r="K316" s="13"/>
      <c r="L316" s="13"/>
      <c r="M316" s="11" t="str">
        <f aca="false">IF(F316="","",COUNTIFS(ENSAYOS!$C$5:$C$3004,F316,ENSAYOS!$Q$5:$Q$3004,"&gt;0"))</f>
        <v/>
      </c>
      <c r="N316" s="15" t="str">
        <f aca="false">IF(N(M316)=0,"",_xlfn.MINIFS(ENSAYOS!$G$5:$G$3004,ENSAYOS!$C$5:$C$3004,F316,ENSAYOS!$Q$5:$Q$3004,"&gt;0"))</f>
        <v/>
      </c>
      <c r="O316" s="15" t="str">
        <f aca="false">IF(N(M316)=0,"",_xlfn.MAXIFS(ENSAYOS!$G$5:$G$3004,ENSAYOS!$C$5:$C$3004,F316,ENSAYOS!$Q$5:$Q$3004,"&gt;0"))</f>
        <v/>
      </c>
      <c r="P316" s="16" t="str">
        <f aca="false">IF(N(M316)=0,"",AVERAGEIFS(ENSAYOS!$Q$5:$Q$3004,ENSAYOS!$C$5:$C$3004,F316,ENSAYOS!$Q$5:$Q$3004,"&gt;0"))</f>
        <v/>
      </c>
      <c r="Q316" s="16" t="str">
        <f aca="false">IF(N(M316)=0,"",_xlfn.MINIFS(ENSAYOS!$Q$5:$Q$3004,ENSAYOS!$C$5:$C$3004,F316,ENSAYOS!$Q$5:$Q$3004,"&gt;0"))</f>
        <v/>
      </c>
      <c r="R316" s="16" t="str">
        <f aca="false">IF(N(M316)=0,"",_xlfn.MAXIFS(ENSAYOS!$Q$5:$Q$3004,ENSAYOS!$C$5:$C$3004,F316,ENSAYOS!$Q$5:$Q$3004,"&gt;0"))</f>
        <v/>
      </c>
      <c r="S316" s="16" t="str">
        <f aca="false">IF(N(M316)&lt;2,"",SQRT(MAX(0,(SUMIFS(ENSAYOS!$X$5:$X$3004,ENSAYOS!$C$5:$C$3004,F316,ENSAYOS!$Q$5:$Q$3004,"&gt;0")-M316*P316^2)/(M316-1))))</f>
        <v/>
      </c>
      <c r="T316" s="17" t="str">
        <f aca="false">IF(S316="","",S316/P316)</f>
        <v/>
      </c>
      <c r="U316" s="16" t="str">
        <f aca="false">IF(N(M316)=0,"",IF(N316&gt;=CONFIG!$B$27,"",AVERAGEIFS(ENSAYOS!$Q$5:$Q$3004,ENSAYOS!$C$5:$C$3004,F316,ENSAYOS!$Q$5:$Q$3004,"&gt;0",ENSAYOS!$G$5:$G$3004,N316)))</f>
        <v/>
      </c>
      <c r="V316" s="16" t="str">
        <f aca="false">IF(N(M316)=0,"",IF(COUNTIFS(ENSAYOS!$C$5:$C$3004,F316,ENSAYOS!$Q$5:$Q$3004,"&gt;0",ENSAYOS!$G$5:$G$3004,"&gt;="&amp;CONFIG!$B$27)=0,"",AVERAGEIFS(ENSAYOS!$Q$5:$Q$3004,ENSAYOS!$C$5:$C$3004,F316,ENSAYOS!$Q$5:$Q$3004,"&gt;0",ENSAYOS!$G$5:$G$3004,"&gt;="&amp;CONFIG!$B$27)))</f>
        <v/>
      </c>
      <c r="W316" s="18" t="str">
        <f aca="false">IF(AND(U316&lt;&gt;"",V316&lt;&gt;""),U316/V316,"")</f>
        <v/>
      </c>
      <c r="X316" s="18" t="str">
        <f aca="false">IF(U316="","",INDEX('CURVA EDAD'!$E$5:$E$32,MIN(28,MAX(1,N316))))</f>
        <v/>
      </c>
      <c r="Y316" s="16" t="str">
        <f aca="false">IF(V316&lt;&gt;"",V316,IF(U316="","",U316/X316))</f>
        <v/>
      </c>
      <c r="Z316" s="16" t="str">
        <f aca="false">IF(V316&lt;&gt;"",_xlfn.MINIFS(ENSAYOS!$Q$5:$Q$3004,ENSAYOS!$C$5:$C$3004,F316,ENSAYOS!$Q$5:$Q$3004,"&gt;0",ENSAYOS!$G$5:$G$3004,"&gt;="&amp;CONFIG!$B$27),IF(U316="","",_xlfn.MINIFS(ENSAYOS!$Q$5:$Q$3004,ENSAYOS!$C$5:$C$3004,F316,ENSAYOS!$Q$5:$Q$3004,"&gt;0",ENSAYOS!$G$5:$G$3004,N316)/X316))</f>
        <v/>
      </c>
      <c r="AA316" s="16" t="str">
        <f aca="false">IF(D316="","",IFERROR(1/(1/INDEX(CONFIG!$J$5:$J$14,MATCH(D316,CONFIG!$D$5:$D$14,0))),""))</f>
        <v/>
      </c>
      <c r="AB316" s="16" t="str">
        <f aca="false">IF(D316="","",IFERROR(1/(1/INDEX(CONFIG!$K$5:$K$14,MATCH(D316,CONFIG!$D$5:$D$14,0))),""))</f>
        <v/>
      </c>
      <c r="AC316" s="19" t="str">
        <f aca="false">IF(N(M316)=0,"",IF(AA316="","Sin spec",IF(AND(Y316&gt;=AA316,OR(AB316="",Z316&gt;=AB316)),"CUMPLE","NO CUMPLE")&amp;IF(V316=""," (est.)","")))</f>
        <v/>
      </c>
      <c r="AD316" s="20" t="str">
        <f aca="false">IF(F316="","",IF(COUNTIFS(ABSORCION!$C$5:$C$1004,F316,ABSORCION!$I$5:$I$1004,"&gt;0")=0,"",AVERAGEIFS(ABSORCION!$I$5:$I$1004,ABSORCION!$C$5:$C$1004,F316,ABSORCION!$I$5:$I$1004,"&gt;0")))</f>
        <v/>
      </c>
      <c r="AE316" s="20" t="str">
        <f aca="false">IF(F316="","",IF(COUNTIFS(ABSORCION!$C$5:$C$1004,F316,ABSORCION!$I$5:$I$1004,"&gt;0")=0,"",AVERAGEIFS(ABSORCION!$K$5:$K$1004,ABSORCION!$C$5:$C$1004,F316,ABSORCION!$I$5:$I$1004,"&gt;0")))</f>
        <v/>
      </c>
      <c r="AF316" s="20" t="str">
        <f aca="false">IF(AE316="","",IF(AE316&gt;=CONFIG!$E$21,CONFIG!$F$21,IF(AE316&gt;=CONFIG!$E$20,CONFIG!$F$20,CONFIG!$F$19)))</f>
        <v/>
      </c>
      <c r="AG316" s="21" t="str">
        <f aca="false">IF(F316="","",TRIM(IF(N(M316)=0,"Sin ensayos. ","")&amp;IF(AND(N(M316)&gt;0,N(M316)&lt;CONFIG!$B$26),"Menos de "&amp;CONFIG!$B$26&amp;" probetas. ","")&amp;IF(N(T316)&gt;CONFIG!$B$25,"CV alto. ","")&amp;IF(AND(N(AD316)&gt;0,N(AD316)&gt;N(AF316)),"Absorción alta. ","")))</f>
        <v/>
      </c>
      <c r="AH316" s="22" t="str">
        <f aca="false">IF(AND(N(M316)&gt;0,OR(CONTROL!$C$4="TODAS",C316=CONTROL!$C$4),D316=CONTROL!$C$5),MAX($AH$4:AH315)+1,"")</f>
        <v/>
      </c>
      <c r="AI316" s="22" t="str">
        <f aca="false">IF(AH316="","",P316^2)</f>
        <v/>
      </c>
    </row>
    <row r="317" customFormat="false" ht="15" hidden="false" customHeight="false" outlineLevel="0" collapsed="false">
      <c r="A317" s="11" t="str">
        <f aca="false">IF(B317="","",ROW()-4)</f>
        <v/>
      </c>
      <c r="B317" s="12"/>
      <c r="C317" s="13"/>
      <c r="D317" s="13"/>
      <c r="E317" s="13"/>
      <c r="F317" s="14" t="str">
        <f aca="false">IF(OR(B317="",C317="",D317=""),"",IFERROR(INDEX(CONFIG!$E$5:$E$14,MATCH(D317,CONFIG!$D$5:$D$14,0)),"?")&amp;RIGHT("0"&amp;DAY(B317),2)&amp;RIGHT("0"&amp;MONTH(B317),2)&amp;RIGHT(YEAR(B317),2)&amp;C317&amp;IF(E317="","","-"&amp;E317))</f>
        <v/>
      </c>
      <c r="G317" s="13"/>
      <c r="H317" s="13"/>
      <c r="I317" s="13"/>
      <c r="J317" s="13"/>
      <c r="K317" s="13"/>
      <c r="L317" s="13"/>
      <c r="M317" s="11" t="str">
        <f aca="false">IF(F317="","",COUNTIFS(ENSAYOS!$C$5:$C$3004,F317,ENSAYOS!$Q$5:$Q$3004,"&gt;0"))</f>
        <v/>
      </c>
      <c r="N317" s="15" t="str">
        <f aca="false">IF(N(M317)=0,"",_xlfn.MINIFS(ENSAYOS!$G$5:$G$3004,ENSAYOS!$C$5:$C$3004,F317,ENSAYOS!$Q$5:$Q$3004,"&gt;0"))</f>
        <v/>
      </c>
      <c r="O317" s="15" t="str">
        <f aca="false">IF(N(M317)=0,"",_xlfn.MAXIFS(ENSAYOS!$G$5:$G$3004,ENSAYOS!$C$5:$C$3004,F317,ENSAYOS!$Q$5:$Q$3004,"&gt;0"))</f>
        <v/>
      </c>
      <c r="P317" s="16" t="str">
        <f aca="false">IF(N(M317)=0,"",AVERAGEIFS(ENSAYOS!$Q$5:$Q$3004,ENSAYOS!$C$5:$C$3004,F317,ENSAYOS!$Q$5:$Q$3004,"&gt;0"))</f>
        <v/>
      </c>
      <c r="Q317" s="16" t="str">
        <f aca="false">IF(N(M317)=0,"",_xlfn.MINIFS(ENSAYOS!$Q$5:$Q$3004,ENSAYOS!$C$5:$C$3004,F317,ENSAYOS!$Q$5:$Q$3004,"&gt;0"))</f>
        <v/>
      </c>
      <c r="R317" s="16" t="str">
        <f aca="false">IF(N(M317)=0,"",_xlfn.MAXIFS(ENSAYOS!$Q$5:$Q$3004,ENSAYOS!$C$5:$C$3004,F317,ENSAYOS!$Q$5:$Q$3004,"&gt;0"))</f>
        <v/>
      </c>
      <c r="S317" s="16" t="str">
        <f aca="false">IF(N(M317)&lt;2,"",SQRT(MAX(0,(SUMIFS(ENSAYOS!$X$5:$X$3004,ENSAYOS!$C$5:$C$3004,F317,ENSAYOS!$Q$5:$Q$3004,"&gt;0")-M317*P317^2)/(M317-1))))</f>
        <v/>
      </c>
      <c r="T317" s="17" t="str">
        <f aca="false">IF(S317="","",S317/P317)</f>
        <v/>
      </c>
      <c r="U317" s="16" t="str">
        <f aca="false">IF(N(M317)=0,"",IF(N317&gt;=CONFIG!$B$27,"",AVERAGEIFS(ENSAYOS!$Q$5:$Q$3004,ENSAYOS!$C$5:$C$3004,F317,ENSAYOS!$Q$5:$Q$3004,"&gt;0",ENSAYOS!$G$5:$G$3004,N317)))</f>
        <v/>
      </c>
      <c r="V317" s="16" t="str">
        <f aca="false">IF(N(M317)=0,"",IF(COUNTIFS(ENSAYOS!$C$5:$C$3004,F317,ENSAYOS!$Q$5:$Q$3004,"&gt;0",ENSAYOS!$G$5:$G$3004,"&gt;="&amp;CONFIG!$B$27)=0,"",AVERAGEIFS(ENSAYOS!$Q$5:$Q$3004,ENSAYOS!$C$5:$C$3004,F317,ENSAYOS!$Q$5:$Q$3004,"&gt;0",ENSAYOS!$G$5:$G$3004,"&gt;="&amp;CONFIG!$B$27)))</f>
        <v/>
      </c>
      <c r="W317" s="18" t="str">
        <f aca="false">IF(AND(U317&lt;&gt;"",V317&lt;&gt;""),U317/V317,"")</f>
        <v/>
      </c>
      <c r="X317" s="18" t="str">
        <f aca="false">IF(U317="","",INDEX('CURVA EDAD'!$E$5:$E$32,MIN(28,MAX(1,N317))))</f>
        <v/>
      </c>
      <c r="Y317" s="16" t="str">
        <f aca="false">IF(V317&lt;&gt;"",V317,IF(U317="","",U317/X317))</f>
        <v/>
      </c>
      <c r="Z317" s="16" t="str">
        <f aca="false">IF(V317&lt;&gt;"",_xlfn.MINIFS(ENSAYOS!$Q$5:$Q$3004,ENSAYOS!$C$5:$C$3004,F317,ENSAYOS!$Q$5:$Q$3004,"&gt;0",ENSAYOS!$G$5:$G$3004,"&gt;="&amp;CONFIG!$B$27),IF(U317="","",_xlfn.MINIFS(ENSAYOS!$Q$5:$Q$3004,ENSAYOS!$C$5:$C$3004,F317,ENSAYOS!$Q$5:$Q$3004,"&gt;0",ENSAYOS!$G$5:$G$3004,N317)/X317))</f>
        <v/>
      </c>
      <c r="AA317" s="16" t="str">
        <f aca="false">IF(D317="","",IFERROR(1/(1/INDEX(CONFIG!$J$5:$J$14,MATCH(D317,CONFIG!$D$5:$D$14,0))),""))</f>
        <v/>
      </c>
      <c r="AB317" s="16" t="str">
        <f aca="false">IF(D317="","",IFERROR(1/(1/INDEX(CONFIG!$K$5:$K$14,MATCH(D317,CONFIG!$D$5:$D$14,0))),""))</f>
        <v/>
      </c>
      <c r="AC317" s="19" t="str">
        <f aca="false">IF(N(M317)=0,"",IF(AA317="","Sin spec",IF(AND(Y317&gt;=AA317,OR(AB317="",Z317&gt;=AB317)),"CUMPLE","NO CUMPLE")&amp;IF(V317=""," (est.)","")))</f>
        <v/>
      </c>
      <c r="AD317" s="20" t="str">
        <f aca="false">IF(F317="","",IF(COUNTIFS(ABSORCION!$C$5:$C$1004,F317,ABSORCION!$I$5:$I$1004,"&gt;0")=0,"",AVERAGEIFS(ABSORCION!$I$5:$I$1004,ABSORCION!$C$5:$C$1004,F317,ABSORCION!$I$5:$I$1004,"&gt;0")))</f>
        <v/>
      </c>
      <c r="AE317" s="20" t="str">
        <f aca="false">IF(F317="","",IF(COUNTIFS(ABSORCION!$C$5:$C$1004,F317,ABSORCION!$I$5:$I$1004,"&gt;0")=0,"",AVERAGEIFS(ABSORCION!$K$5:$K$1004,ABSORCION!$C$5:$C$1004,F317,ABSORCION!$I$5:$I$1004,"&gt;0")))</f>
        <v/>
      </c>
      <c r="AF317" s="20" t="str">
        <f aca="false">IF(AE317="","",IF(AE317&gt;=CONFIG!$E$21,CONFIG!$F$21,IF(AE317&gt;=CONFIG!$E$20,CONFIG!$F$20,CONFIG!$F$19)))</f>
        <v/>
      </c>
      <c r="AG317" s="21" t="str">
        <f aca="false">IF(F317="","",TRIM(IF(N(M317)=0,"Sin ensayos. ","")&amp;IF(AND(N(M317)&gt;0,N(M317)&lt;CONFIG!$B$26),"Menos de "&amp;CONFIG!$B$26&amp;" probetas. ","")&amp;IF(N(T317)&gt;CONFIG!$B$25,"CV alto. ","")&amp;IF(AND(N(AD317)&gt;0,N(AD317)&gt;N(AF317)),"Absorción alta. ","")))</f>
        <v/>
      </c>
      <c r="AH317" s="22" t="str">
        <f aca="false">IF(AND(N(M317)&gt;0,OR(CONTROL!$C$4="TODAS",C317=CONTROL!$C$4),D317=CONTROL!$C$5),MAX($AH$4:AH316)+1,"")</f>
        <v/>
      </c>
      <c r="AI317" s="22" t="str">
        <f aca="false">IF(AH317="","",P317^2)</f>
        <v/>
      </c>
    </row>
    <row r="318" customFormat="false" ht="15" hidden="false" customHeight="false" outlineLevel="0" collapsed="false">
      <c r="A318" s="11" t="str">
        <f aca="false">IF(B318="","",ROW()-4)</f>
        <v/>
      </c>
      <c r="B318" s="12"/>
      <c r="C318" s="13"/>
      <c r="D318" s="13"/>
      <c r="E318" s="13"/>
      <c r="F318" s="14" t="str">
        <f aca="false">IF(OR(B318="",C318="",D318=""),"",IFERROR(INDEX(CONFIG!$E$5:$E$14,MATCH(D318,CONFIG!$D$5:$D$14,0)),"?")&amp;RIGHT("0"&amp;DAY(B318),2)&amp;RIGHT("0"&amp;MONTH(B318),2)&amp;RIGHT(YEAR(B318),2)&amp;C318&amp;IF(E318="","","-"&amp;E318))</f>
        <v/>
      </c>
      <c r="G318" s="13"/>
      <c r="H318" s="13"/>
      <c r="I318" s="13"/>
      <c r="J318" s="13"/>
      <c r="K318" s="13"/>
      <c r="L318" s="13"/>
      <c r="M318" s="11" t="str">
        <f aca="false">IF(F318="","",COUNTIFS(ENSAYOS!$C$5:$C$3004,F318,ENSAYOS!$Q$5:$Q$3004,"&gt;0"))</f>
        <v/>
      </c>
      <c r="N318" s="15" t="str">
        <f aca="false">IF(N(M318)=0,"",_xlfn.MINIFS(ENSAYOS!$G$5:$G$3004,ENSAYOS!$C$5:$C$3004,F318,ENSAYOS!$Q$5:$Q$3004,"&gt;0"))</f>
        <v/>
      </c>
      <c r="O318" s="15" t="str">
        <f aca="false">IF(N(M318)=0,"",_xlfn.MAXIFS(ENSAYOS!$G$5:$G$3004,ENSAYOS!$C$5:$C$3004,F318,ENSAYOS!$Q$5:$Q$3004,"&gt;0"))</f>
        <v/>
      </c>
      <c r="P318" s="16" t="str">
        <f aca="false">IF(N(M318)=0,"",AVERAGEIFS(ENSAYOS!$Q$5:$Q$3004,ENSAYOS!$C$5:$C$3004,F318,ENSAYOS!$Q$5:$Q$3004,"&gt;0"))</f>
        <v/>
      </c>
      <c r="Q318" s="16" t="str">
        <f aca="false">IF(N(M318)=0,"",_xlfn.MINIFS(ENSAYOS!$Q$5:$Q$3004,ENSAYOS!$C$5:$C$3004,F318,ENSAYOS!$Q$5:$Q$3004,"&gt;0"))</f>
        <v/>
      </c>
      <c r="R318" s="16" t="str">
        <f aca="false">IF(N(M318)=0,"",_xlfn.MAXIFS(ENSAYOS!$Q$5:$Q$3004,ENSAYOS!$C$5:$C$3004,F318,ENSAYOS!$Q$5:$Q$3004,"&gt;0"))</f>
        <v/>
      </c>
      <c r="S318" s="16" t="str">
        <f aca="false">IF(N(M318)&lt;2,"",SQRT(MAX(0,(SUMIFS(ENSAYOS!$X$5:$X$3004,ENSAYOS!$C$5:$C$3004,F318,ENSAYOS!$Q$5:$Q$3004,"&gt;0")-M318*P318^2)/(M318-1))))</f>
        <v/>
      </c>
      <c r="T318" s="17" t="str">
        <f aca="false">IF(S318="","",S318/P318)</f>
        <v/>
      </c>
      <c r="U318" s="16" t="str">
        <f aca="false">IF(N(M318)=0,"",IF(N318&gt;=CONFIG!$B$27,"",AVERAGEIFS(ENSAYOS!$Q$5:$Q$3004,ENSAYOS!$C$5:$C$3004,F318,ENSAYOS!$Q$5:$Q$3004,"&gt;0",ENSAYOS!$G$5:$G$3004,N318)))</f>
        <v/>
      </c>
      <c r="V318" s="16" t="str">
        <f aca="false">IF(N(M318)=0,"",IF(COUNTIFS(ENSAYOS!$C$5:$C$3004,F318,ENSAYOS!$Q$5:$Q$3004,"&gt;0",ENSAYOS!$G$5:$G$3004,"&gt;="&amp;CONFIG!$B$27)=0,"",AVERAGEIFS(ENSAYOS!$Q$5:$Q$3004,ENSAYOS!$C$5:$C$3004,F318,ENSAYOS!$Q$5:$Q$3004,"&gt;0",ENSAYOS!$G$5:$G$3004,"&gt;="&amp;CONFIG!$B$27)))</f>
        <v/>
      </c>
      <c r="W318" s="18" t="str">
        <f aca="false">IF(AND(U318&lt;&gt;"",V318&lt;&gt;""),U318/V318,"")</f>
        <v/>
      </c>
      <c r="X318" s="18" t="str">
        <f aca="false">IF(U318="","",INDEX('CURVA EDAD'!$E$5:$E$32,MIN(28,MAX(1,N318))))</f>
        <v/>
      </c>
      <c r="Y318" s="16" t="str">
        <f aca="false">IF(V318&lt;&gt;"",V318,IF(U318="","",U318/X318))</f>
        <v/>
      </c>
      <c r="Z318" s="16" t="str">
        <f aca="false">IF(V318&lt;&gt;"",_xlfn.MINIFS(ENSAYOS!$Q$5:$Q$3004,ENSAYOS!$C$5:$C$3004,F318,ENSAYOS!$Q$5:$Q$3004,"&gt;0",ENSAYOS!$G$5:$G$3004,"&gt;="&amp;CONFIG!$B$27),IF(U318="","",_xlfn.MINIFS(ENSAYOS!$Q$5:$Q$3004,ENSAYOS!$C$5:$C$3004,F318,ENSAYOS!$Q$5:$Q$3004,"&gt;0",ENSAYOS!$G$5:$G$3004,N318)/X318))</f>
        <v/>
      </c>
      <c r="AA318" s="16" t="str">
        <f aca="false">IF(D318="","",IFERROR(1/(1/INDEX(CONFIG!$J$5:$J$14,MATCH(D318,CONFIG!$D$5:$D$14,0))),""))</f>
        <v/>
      </c>
      <c r="AB318" s="16" t="str">
        <f aca="false">IF(D318="","",IFERROR(1/(1/INDEX(CONFIG!$K$5:$K$14,MATCH(D318,CONFIG!$D$5:$D$14,0))),""))</f>
        <v/>
      </c>
      <c r="AC318" s="19" t="str">
        <f aca="false">IF(N(M318)=0,"",IF(AA318="","Sin spec",IF(AND(Y318&gt;=AA318,OR(AB318="",Z318&gt;=AB318)),"CUMPLE","NO CUMPLE")&amp;IF(V318=""," (est.)","")))</f>
        <v/>
      </c>
      <c r="AD318" s="20" t="str">
        <f aca="false">IF(F318="","",IF(COUNTIFS(ABSORCION!$C$5:$C$1004,F318,ABSORCION!$I$5:$I$1004,"&gt;0")=0,"",AVERAGEIFS(ABSORCION!$I$5:$I$1004,ABSORCION!$C$5:$C$1004,F318,ABSORCION!$I$5:$I$1004,"&gt;0")))</f>
        <v/>
      </c>
      <c r="AE318" s="20" t="str">
        <f aca="false">IF(F318="","",IF(COUNTIFS(ABSORCION!$C$5:$C$1004,F318,ABSORCION!$I$5:$I$1004,"&gt;0")=0,"",AVERAGEIFS(ABSORCION!$K$5:$K$1004,ABSORCION!$C$5:$C$1004,F318,ABSORCION!$I$5:$I$1004,"&gt;0")))</f>
        <v/>
      </c>
      <c r="AF318" s="20" t="str">
        <f aca="false">IF(AE318="","",IF(AE318&gt;=CONFIG!$E$21,CONFIG!$F$21,IF(AE318&gt;=CONFIG!$E$20,CONFIG!$F$20,CONFIG!$F$19)))</f>
        <v/>
      </c>
      <c r="AG318" s="21" t="str">
        <f aca="false">IF(F318="","",TRIM(IF(N(M318)=0,"Sin ensayos. ","")&amp;IF(AND(N(M318)&gt;0,N(M318)&lt;CONFIG!$B$26),"Menos de "&amp;CONFIG!$B$26&amp;" probetas. ","")&amp;IF(N(T318)&gt;CONFIG!$B$25,"CV alto. ","")&amp;IF(AND(N(AD318)&gt;0,N(AD318)&gt;N(AF318)),"Absorción alta. ","")))</f>
        <v/>
      </c>
      <c r="AH318" s="22" t="str">
        <f aca="false">IF(AND(N(M318)&gt;0,OR(CONTROL!$C$4="TODAS",C318=CONTROL!$C$4),D318=CONTROL!$C$5),MAX($AH$4:AH317)+1,"")</f>
        <v/>
      </c>
      <c r="AI318" s="22" t="str">
        <f aca="false">IF(AH318="","",P318^2)</f>
        <v/>
      </c>
    </row>
    <row r="319" customFormat="false" ht="15" hidden="false" customHeight="false" outlineLevel="0" collapsed="false">
      <c r="A319" s="11" t="str">
        <f aca="false">IF(B319="","",ROW()-4)</f>
        <v/>
      </c>
      <c r="B319" s="12"/>
      <c r="C319" s="13"/>
      <c r="D319" s="13"/>
      <c r="E319" s="13"/>
      <c r="F319" s="14" t="str">
        <f aca="false">IF(OR(B319="",C319="",D319=""),"",IFERROR(INDEX(CONFIG!$E$5:$E$14,MATCH(D319,CONFIG!$D$5:$D$14,0)),"?")&amp;RIGHT("0"&amp;DAY(B319),2)&amp;RIGHT("0"&amp;MONTH(B319),2)&amp;RIGHT(YEAR(B319),2)&amp;C319&amp;IF(E319="","","-"&amp;E319))</f>
        <v/>
      </c>
      <c r="G319" s="13"/>
      <c r="H319" s="13"/>
      <c r="I319" s="13"/>
      <c r="J319" s="13"/>
      <c r="K319" s="13"/>
      <c r="L319" s="13"/>
      <c r="M319" s="11" t="str">
        <f aca="false">IF(F319="","",COUNTIFS(ENSAYOS!$C$5:$C$3004,F319,ENSAYOS!$Q$5:$Q$3004,"&gt;0"))</f>
        <v/>
      </c>
      <c r="N319" s="15" t="str">
        <f aca="false">IF(N(M319)=0,"",_xlfn.MINIFS(ENSAYOS!$G$5:$G$3004,ENSAYOS!$C$5:$C$3004,F319,ENSAYOS!$Q$5:$Q$3004,"&gt;0"))</f>
        <v/>
      </c>
      <c r="O319" s="15" t="str">
        <f aca="false">IF(N(M319)=0,"",_xlfn.MAXIFS(ENSAYOS!$G$5:$G$3004,ENSAYOS!$C$5:$C$3004,F319,ENSAYOS!$Q$5:$Q$3004,"&gt;0"))</f>
        <v/>
      </c>
      <c r="P319" s="16" t="str">
        <f aca="false">IF(N(M319)=0,"",AVERAGEIFS(ENSAYOS!$Q$5:$Q$3004,ENSAYOS!$C$5:$C$3004,F319,ENSAYOS!$Q$5:$Q$3004,"&gt;0"))</f>
        <v/>
      </c>
      <c r="Q319" s="16" t="str">
        <f aca="false">IF(N(M319)=0,"",_xlfn.MINIFS(ENSAYOS!$Q$5:$Q$3004,ENSAYOS!$C$5:$C$3004,F319,ENSAYOS!$Q$5:$Q$3004,"&gt;0"))</f>
        <v/>
      </c>
      <c r="R319" s="16" t="str">
        <f aca="false">IF(N(M319)=0,"",_xlfn.MAXIFS(ENSAYOS!$Q$5:$Q$3004,ENSAYOS!$C$5:$C$3004,F319,ENSAYOS!$Q$5:$Q$3004,"&gt;0"))</f>
        <v/>
      </c>
      <c r="S319" s="16" t="str">
        <f aca="false">IF(N(M319)&lt;2,"",SQRT(MAX(0,(SUMIFS(ENSAYOS!$X$5:$X$3004,ENSAYOS!$C$5:$C$3004,F319,ENSAYOS!$Q$5:$Q$3004,"&gt;0")-M319*P319^2)/(M319-1))))</f>
        <v/>
      </c>
      <c r="T319" s="17" t="str">
        <f aca="false">IF(S319="","",S319/P319)</f>
        <v/>
      </c>
      <c r="U319" s="16" t="str">
        <f aca="false">IF(N(M319)=0,"",IF(N319&gt;=CONFIG!$B$27,"",AVERAGEIFS(ENSAYOS!$Q$5:$Q$3004,ENSAYOS!$C$5:$C$3004,F319,ENSAYOS!$Q$5:$Q$3004,"&gt;0",ENSAYOS!$G$5:$G$3004,N319)))</f>
        <v/>
      </c>
      <c r="V319" s="16" t="str">
        <f aca="false">IF(N(M319)=0,"",IF(COUNTIFS(ENSAYOS!$C$5:$C$3004,F319,ENSAYOS!$Q$5:$Q$3004,"&gt;0",ENSAYOS!$G$5:$G$3004,"&gt;="&amp;CONFIG!$B$27)=0,"",AVERAGEIFS(ENSAYOS!$Q$5:$Q$3004,ENSAYOS!$C$5:$C$3004,F319,ENSAYOS!$Q$5:$Q$3004,"&gt;0",ENSAYOS!$G$5:$G$3004,"&gt;="&amp;CONFIG!$B$27)))</f>
        <v/>
      </c>
      <c r="W319" s="18" t="str">
        <f aca="false">IF(AND(U319&lt;&gt;"",V319&lt;&gt;""),U319/V319,"")</f>
        <v/>
      </c>
      <c r="X319" s="18" t="str">
        <f aca="false">IF(U319="","",INDEX('CURVA EDAD'!$E$5:$E$32,MIN(28,MAX(1,N319))))</f>
        <v/>
      </c>
      <c r="Y319" s="16" t="str">
        <f aca="false">IF(V319&lt;&gt;"",V319,IF(U319="","",U319/X319))</f>
        <v/>
      </c>
      <c r="Z319" s="16" t="str">
        <f aca="false">IF(V319&lt;&gt;"",_xlfn.MINIFS(ENSAYOS!$Q$5:$Q$3004,ENSAYOS!$C$5:$C$3004,F319,ENSAYOS!$Q$5:$Q$3004,"&gt;0",ENSAYOS!$G$5:$G$3004,"&gt;="&amp;CONFIG!$B$27),IF(U319="","",_xlfn.MINIFS(ENSAYOS!$Q$5:$Q$3004,ENSAYOS!$C$5:$C$3004,F319,ENSAYOS!$Q$5:$Q$3004,"&gt;0",ENSAYOS!$G$5:$G$3004,N319)/X319))</f>
        <v/>
      </c>
      <c r="AA319" s="16" t="str">
        <f aca="false">IF(D319="","",IFERROR(1/(1/INDEX(CONFIG!$J$5:$J$14,MATCH(D319,CONFIG!$D$5:$D$14,0))),""))</f>
        <v/>
      </c>
      <c r="AB319" s="16" t="str">
        <f aca="false">IF(D319="","",IFERROR(1/(1/INDEX(CONFIG!$K$5:$K$14,MATCH(D319,CONFIG!$D$5:$D$14,0))),""))</f>
        <v/>
      </c>
      <c r="AC319" s="19" t="str">
        <f aca="false">IF(N(M319)=0,"",IF(AA319="","Sin spec",IF(AND(Y319&gt;=AA319,OR(AB319="",Z319&gt;=AB319)),"CUMPLE","NO CUMPLE")&amp;IF(V319=""," (est.)","")))</f>
        <v/>
      </c>
      <c r="AD319" s="20" t="str">
        <f aca="false">IF(F319="","",IF(COUNTIFS(ABSORCION!$C$5:$C$1004,F319,ABSORCION!$I$5:$I$1004,"&gt;0")=0,"",AVERAGEIFS(ABSORCION!$I$5:$I$1004,ABSORCION!$C$5:$C$1004,F319,ABSORCION!$I$5:$I$1004,"&gt;0")))</f>
        <v/>
      </c>
      <c r="AE319" s="20" t="str">
        <f aca="false">IF(F319="","",IF(COUNTIFS(ABSORCION!$C$5:$C$1004,F319,ABSORCION!$I$5:$I$1004,"&gt;0")=0,"",AVERAGEIFS(ABSORCION!$K$5:$K$1004,ABSORCION!$C$5:$C$1004,F319,ABSORCION!$I$5:$I$1004,"&gt;0")))</f>
        <v/>
      </c>
      <c r="AF319" s="20" t="str">
        <f aca="false">IF(AE319="","",IF(AE319&gt;=CONFIG!$E$21,CONFIG!$F$21,IF(AE319&gt;=CONFIG!$E$20,CONFIG!$F$20,CONFIG!$F$19)))</f>
        <v/>
      </c>
      <c r="AG319" s="21" t="str">
        <f aca="false">IF(F319="","",TRIM(IF(N(M319)=0,"Sin ensayos. ","")&amp;IF(AND(N(M319)&gt;0,N(M319)&lt;CONFIG!$B$26),"Menos de "&amp;CONFIG!$B$26&amp;" probetas. ","")&amp;IF(N(T319)&gt;CONFIG!$B$25,"CV alto. ","")&amp;IF(AND(N(AD319)&gt;0,N(AD319)&gt;N(AF319)),"Absorción alta. ","")))</f>
        <v/>
      </c>
      <c r="AH319" s="22" t="str">
        <f aca="false">IF(AND(N(M319)&gt;0,OR(CONTROL!$C$4="TODAS",C319=CONTROL!$C$4),D319=CONTROL!$C$5),MAX($AH$4:AH318)+1,"")</f>
        <v/>
      </c>
      <c r="AI319" s="22" t="str">
        <f aca="false">IF(AH319="","",P319^2)</f>
        <v/>
      </c>
    </row>
    <row r="320" customFormat="false" ht="15" hidden="false" customHeight="false" outlineLevel="0" collapsed="false">
      <c r="A320" s="11" t="str">
        <f aca="false">IF(B320="","",ROW()-4)</f>
        <v/>
      </c>
      <c r="B320" s="12"/>
      <c r="C320" s="13"/>
      <c r="D320" s="13"/>
      <c r="E320" s="13"/>
      <c r="F320" s="14" t="str">
        <f aca="false">IF(OR(B320="",C320="",D320=""),"",IFERROR(INDEX(CONFIG!$E$5:$E$14,MATCH(D320,CONFIG!$D$5:$D$14,0)),"?")&amp;RIGHT("0"&amp;DAY(B320),2)&amp;RIGHT("0"&amp;MONTH(B320),2)&amp;RIGHT(YEAR(B320),2)&amp;C320&amp;IF(E320="","","-"&amp;E320))</f>
        <v/>
      </c>
      <c r="G320" s="13"/>
      <c r="H320" s="13"/>
      <c r="I320" s="13"/>
      <c r="J320" s="13"/>
      <c r="K320" s="13"/>
      <c r="L320" s="13"/>
      <c r="M320" s="11" t="str">
        <f aca="false">IF(F320="","",COUNTIFS(ENSAYOS!$C$5:$C$3004,F320,ENSAYOS!$Q$5:$Q$3004,"&gt;0"))</f>
        <v/>
      </c>
      <c r="N320" s="15" t="str">
        <f aca="false">IF(N(M320)=0,"",_xlfn.MINIFS(ENSAYOS!$G$5:$G$3004,ENSAYOS!$C$5:$C$3004,F320,ENSAYOS!$Q$5:$Q$3004,"&gt;0"))</f>
        <v/>
      </c>
      <c r="O320" s="15" t="str">
        <f aca="false">IF(N(M320)=0,"",_xlfn.MAXIFS(ENSAYOS!$G$5:$G$3004,ENSAYOS!$C$5:$C$3004,F320,ENSAYOS!$Q$5:$Q$3004,"&gt;0"))</f>
        <v/>
      </c>
      <c r="P320" s="16" t="str">
        <f aca="false">IF(N(M320)=0,"",AVERAGEIFS(ENSAYOS!$Q$5:$Q$3004,ENSAYOS!$C$5:$C$3004,F320,ENSAYOS!$Q$5:$Q$3004,"&gt;0"))</f>
        <v/>
      </c>
      <c r="Q320" s="16" t="str">
        <f aca="false">IF(N(M320)=0,"",_xlfn.MINIFS(ENSAYOS!$Q$5:$Q$3004,ENSAYOS!$C$5:$C$3004,F320,ENSAYOS!$Q$5:$Q$3004,"&gt;0"))</f>
        <v/>
      </c>
      <c r="R320" s="16" t="str">
        <f aca="false">IF(N(M320)=0,"",_xlfn.MAXIFS(ENSAYOS!$Q$5:$Q$3004,ENSAYOS!$C$5:$C$3004,F320,ENSAYOS!$Q$5:$Q$3004,"&gt;0"))</f>
        <v/>
      </c>
      <c r="S320" s="16" t="str">
        <f aca="false">IF(N(M320)&lt;2,"",SQRT(MAX(0,(SUMIFS(ENSAYOS!$X$5:$X$3004,ENSAYOS!$C$5:$C$3004,F320,ENSAYOS!$Q$5:$Q$3004,"&gt;0")-M320*P320^2)/(M320-1))))</f>
        <v/>
      </c>
      <c r="T320" s="17" t="str">
        <f aca="false">IF(S320="","",S320/P320)</f>
        <v/>
      </c>
      <c r="U320" s="16" t="str">
        <f aca="false">IF(N(M320)=0,"",IF(N320&gt;=CONFIG!$B$27,"",AVERAGEIFS(ENSAYOS!$Q$5:$Q$3004,ENSAYOS!$C$5:$C$3004,F320,ENSAYOS!$Q$5:$Q$3004,"&gt;0",ENSAYOS!$G$5:$G$3004,N320)))</f>
        <v/>
      </c>
      <c r="V320" s="16" t="str">
        <f aca="false">IF(N(M320)=0,"",IF(COUNTIFS(ENSAYOS!$C$5:$C$3004,F320,ENSAYOS!$Q$5:$Q$3004,"&gt;0",ENSAYOS!$G$5:$G$3004,"&gt;="&amp;CONFIG!$B$27)=0,"",AVERAGEIFS(ENSAYOS!$Q$5:$Q$3004,ENSAYOS!$C$5:$C$3004,F320,ENSAYOS!$Q$5:$Q$3004,"&gt;0",ENSAYOS!$G$5:$G$3004,"&gt;="&amp;CONFIG!$B$27)))</f>
        <v/>
      </c>
      <c r="W320" s="18" t="str">
        <f aca="false">IF(AND(U320&lt;&gt;"",V320&lt;&gt;""),U320/V320,"")</f>
        <v/>
      </c>
      <c r="X320" s="18" t="str">
        <f aca="false">IF(U320="","",INDEX('CURVA EDAD'!$E$5:$E$32,MIN(28,MAX(1,N320))))</f>
        <v/>
      </c>
      <c r="Y320" s="16" t="str">
        <f aca="false">IF(V320&lt;&gt;"",V320,IF(U320="","",U320/X320))</f>
        <v/>
      </c>
      <c r="Z320" s="16" t="str">
        <f aca="false">IF(V320&lt;&gt;"",_xlfn.MINIFS(ENSAYOS!$Q$5:$Q$3004,ENSAYOS!$C$5:$C$3004,F320,ENSAYOS!$Q$5:$Q$3004,"&gt;0",ENSAYOS!$G$5:$G$3004,"&gt;="&amp;CONFIG!$B$27),IF(U320="","",_xlfn.MINIFS(ENSAYOS!$Q$5:$Q$3004,ENSAYOS!$C$5:$C$3004,F320,ENSAYOS!$Q$5:$Q$3004,"&gt;0",ENSAYOS!$G$5:$G$3004,N320)/X320))</f>
        <v/>
      </c>
      <c r="AA320" s="16" t="str">
        <f aca="false">IF(D320="","",IFERROR(1/(1/INDEX(CONFIG!$J$5:$J$14,MATCH(D320,CONFIG!$D$5:$D$14,0))),""))</f>
        <v/>
      </c>
      <c r="AB320" s="16" t="str">
        <f aca="false">IF(D320="","",IFERROR(1/(1/INDEX(CONFIG!$K$5:$K$14,MATCH(D320,CONFIG!$D$5:$D$14,0))),""))</f>
        <v/>
      </c>
      <c r="AC320" s="19" t="str">
        <f aca="false">IF(N(M320)=0,"",IF(AA320="","Sin spec",IF(AND(Y320&gt;=AA320,OR(AB320="",Z320&gt;=AB320)),"CUMPLE","NO CUMPLE")&amp;IF(V320=""," (est.)","")))</f>
        <v/>
      </c>
      <c r="AD320" s="20" t="str">
        <f aca="false">IF(F320="","",IF(COUNTIFS(ABSORCION!$C$5:$C$1004,F320,ABSORCION!$I$5:$I$1004,"&gt;0")=0,"",AVERAGEIFS(ABSORCION!$I$5:$I$1004,ABSORCION!$C$5:$C$1004,F320,ABSORCION!$I$5:$I$1004,"&gt;0")))</f>
        <v/>
      </c>
      <c r="AE320" s="20" t="str">
        <f aca="false">IF(F320="","",IF(COUNTIFS(ABSORCION!$C$5:$C$1004,F320,ABSORCION!$I$5:$I$1004,"&gt;0")=0,"",AVERAGEIFS(ABSORCION!$K$5:$K$1004,ABSORCION!$C$5:$C$1004,F320,ABSORCION!$I$5:$I$1004,"&gt;0")))</f>
        <v/>
      </c>
      <c r="AF320" s="20" t="str">
        <f aca="false">IF(AE320="","",IF(AE320&gt;=CONFIG!$E$21,CONFIG!$F$21,IF(AE320&gt;=CONFIG!$E$20,CONFIG!$F$20,CONFIG!$F$19)))</f>
        <v/>
      </c>
      <c r="AG320" s="21" t="str">
        <f aca="false">IF(F320="","",TRIM(IF(N(M320)=0,"Sin ensayos. ","")&amp;IF(AND(N(M320)&gt;0,N(M320)&lt;CONFIG!$B$26),"Menos de "&amp;CONFIG!$B$26&amp;" probetas. ","")&amp;IF(N(T320)&gt;CONFIG!$B$25,"CV alto. ","")&amp;IF(AND(N(AD320)&gt;0,N(AD320)&gt;N(AF320)),"Absorción alta. ","")))</f>
        <v/>
      </c>
      <c r="AH320" s="22" t="str">
        <f aca="false">IF(AND(N(M320)&gt;0,OR(CONTROL!$C$4="TODAS",C320=CONTROL!$C$4),D320=CONTROL!$C$5),MAX($AH$4:AH319)+1,"")</f>
        <v/>
      </c>
      <c r="AI320" s="22" t="str">
        <f aca="false">IF(AH320="","",P320^2)</f>
        <v/>
      </c>
    </row>
    <row r="321" customFormat="false" ht="15" hidden="false" customHeight="false" outlineLevel="0" collapsed="false">
      <c r="A321" s="11" t="str">
        <f aca="false">IF(B321="","",ROW()-4)</f>
        <v/>
      </c>
      <c r="B321" s="12"/>
      <c r="C321" s="13"/>
      <c r="D321" s="13"/>
      <c r="E321" s="13"/>
      <c r="F321" s="14" t="str">
        <f aca="false">IF(OR(B321="",C321="",D321=""),"",IFERROR(INDEX(CONFIG!$E$5:$E$14,MATCH(D321,CONFIG!$D$5:$D$14,0)),"?")&amp;RIGHT("0"&amp;DAY(B321),2)&amp;RIGHT("0"&amp;MONTH(B321),2)&amp;RIGHT(YEAR(B321),2)&amp;C321&amp;IF(E321="","","-"&amp;E321))</f>
        <v/>
      </c>
      <c r="G321" s="13"/>
      <c r="H321" s="13"/>
      <c r="I321" s="13"/>
      <c r="J321" s="13"/>
      <c r="K321" s="13"/>
      <c r="L321" s="13"/>
      <c r="M321" s="11" t="str">
        <f aca="false">IF(F321="","",COUNTIFS(ENSAYOS!$C$5:$C$3004,F321,ENSAYOS!$Q$5:$Q$3004,"&gt;0"))</f>
        <v/>
      </c>
      <c r="N321" s="15" t="str">
        <f aca="false">IF(N(M321)=0,"",_xlfn.MINIFS(ENSAYOS!$G$5:$G$3004,ENSAYOS!$C$5:$C$3004,F321,ENSAYOS!$Q$5:$Q$3004,"&gt;0"))</f>
        <v/>
      </c>
      <c r="O321" s="15" t="str">
        <f aca="false">IF(N(M321)=0,"",_xlfn.MAXIFS(ENSAYOS!$G$5:$G$3004,ENSAYOS!$C$5:$C$3004,F321,ENSAYOS!$Q$5:$Q$3004,"&gt;0"))</f>
        <v/>
      </c>
      <c r="P321" s="16" t="str">
        <f aca="false">IF(N(M321)=0,"",AVERAGEIFS(ENSAYOS!$Q$5:$Q$3004,ENSAYOS!$C$5:$C$3004,F321,ENSAYOS!$Q$5:$Q$3004,"&gt;0"))</f>
        <v/>
      </c>
      <c r="Q321" s="16" t="str">
        <f aca="false">IF(N(M321)=0,"",_xlfn.MINIFS(ENSAYOS!$Q$5:$Q$3004,ENSAYOS!$C$5:$C$3004,F321,ENSAYOS!$Q$5:$Q$3004,"&gt;0"))</f>
        <v/>
      </c>
      <c r="R321" s="16" t="str">
        <f aca="false">IF(N(M321)=0,"",_xlfn.MAXIFS(ENSAYOS!$Q$5:$Q$3004,ENSAYOS!$C$5:$C$3004,F321,ENSAYOS!$Q$5:$Q$3004,"&gt;0"))</f>
        <v/>
      </c>
      <c r="S321" s="16" t="str">
        <f aca="false">IF(N(M321)&lt;2,"",SQRT(MAX(0,(SUMIFS(ENSAYOS!$X$5:$X$3004,ENSAYOS!$C$5:$C$3004,F321,ENSAYOS!$Q$5:$Q$3004,"&gt;0")-M321*P321^2)/(M321-1))))</f>
        <v/>
      </c>
      <c r="T321" s="17" t="str">
        <f aca="false">IF(S321="","",S321/P321)</f>
        <v/>
      </c>
      <c r="U321" s="16" t="str">
        <f aca="false">IF(N(M321)=0,"",IF(N321&gt;=CONFIG!$B$27,"",AVERAGEIFS(ENSAYOS!$Q$5:$Q$3004,ENSAYOS!$C$5:$C$3004,F321,ENSAYOS!$Q$5:$Q$3004,"&gt;0",ENSAYOS!$G$5:$G$3004,N321)))</f>
        <v/>
      </c>
      <c r="V321" s="16" t="str">
        <f aca="false">IF(N(M321)=0,"",IF(COUNTIFS(ENSAYOS!$C$5:$C$3004,F321,ENSAYOS!$Q$5:$Q$3004,"&gt;0",ENSAYOS!$G$5:$G$3004,"&gt;="&amp;CONFIG!$B$27)=0,"",AVERAGEIFS(ENSAYOS!$Q$5:$Q$3004,ENSAYOS!$C$5:$C$3004,F321,ENSAYOS!$Q$5:$Q$3004,"&gt;0",ENSAYOS!$G$5:$G$3004,"&gt;="&amp;CONFIG!$B$27)))</f>
        <v/>
      </c>
      <c r="W321" s="18" t="str">
        <f aca="false">IF(AND(U321&lt;&gt;"",V321&lt;&gt;""),U321/V321,"")</f>
        <v/>
      </c>
      <c r="X321" s="18" t="str">
        <f aca="false">IF(U321="","",INDEX('CURVA EDAD'!$E$5:$E$32,MIN(28,MAX(1,N321))))</f>
        <v/>
      </c>
      <c r="Y321" s="16" t="str">
        <f aca="false">IF(V321&lt;&gt;"",V321,IF(U321="","",U321/X321))</f>
        <v/>
      </c>
      <c r="Z321" s="16" t="str">
        <f aca="false">IF(V321&lt;&gt;"",_xlfn.MINIFS(ENSAYOS!$Q$5:$Q$3004,ENSAYOS!$C$5:$C$3004,F321,ENSAYOS!$Q$5:$Q$3004,"&gt;0",ENSAYOS!$G$5:$G$3004,"&gt;="&amp;CONFIG!$B$27),IF(U321="","",_xlfn.MINIFS(ENSAYOS!$Q$5:$Q$3004,ENSAYOS!$C$5:$C$3004,F321,ENSAYOS!$Q$5:$Q$3004,"&gt;0",ENSAYOS!$G$5:$G$3004,N321)/X321))</f>
        <v/>
      </c>
      <c r="AA321" s="16" t="str">
        <f aca="false">IF(D321="","",IFERROR(1/(1/INDEX(CONFIG!$J$5:$J$14,MATCH(D321,CONFIG!$D$5:$D$14,0))),""))</f>
        <v/>
      </c>
      <c r="AB321" s="16" t="str">
        <f aca="false">IF(D321="","",IFERROR(1/(1/INDEX(CONFIG!$K$5:$K$14,MATCH(D321,CONFIG!$D$5:$D$14,0))),""))</f>
        <v/>
      </c>
      <c r="AC321" s="19" t="str">
        <f aca="false">IF(N(M321)=0,"",IF(AA321="","Sin spec",IF(AND(Y321&gt;=AA321,OR(AB321="",Z321&gt;=AB321)),"CUMPLE","NO CUMPLE")&amp;IF(V321=""," (est.)","")))</f>
        <v/>
      </c>
      <c r="AD321" s="20" t="str">
        <f aca="false">IF(F321="","",IF(COUNTIFS(ABSORCION!$C$5:$C$1004,F321,ABSORCION!$I$5:$I$1004,"&gt;0")=0,"",AVERAGEIFS(ABSORCION!$I$5:$I$1004,ABSORCION!$C$5:$C$1004,F321,ABSORCION!$I$5:$I$1004,"&gt;0")))</f>
        <v/>
      </c>
      <c r="AE321" s="20" t="str">
        <f aca="false">IF(F321="","",IF(COUNTIFS(ABSORCION!$C$5:$C$1004,F321,ABSORCION!$I$5:$I$1004,"&gt;0")=0,"",AVERAGEIFS(ABSORCION!$K$5:$K$1004,ABSORCION!$C$5:$C$1004,F321,ABSORCION!$I$5:$I$1004,"&gt;0")))</f>
        <v/>
      </c>
      <c r="AF321" s="20" t="str">
        <f aca="false">IF(AE321="","",IF(AE321&gt;=CONFIG!$E$21,CONFIG!$F$21,IF(AE321&gt;=CONFIG!$E$20,CONFIG!$F$20,CONFIG!$F$19)))</f>
        <v/>
      </c>
      <c r="AG321" s="21" t="str">
        <f aca="false">IF(F321="","",TRIM(IF(N(M321)=0,"Sin ensayos. ","")&amp;IF(AND(N(M321)&gt;0,N(M321)&lt;CONFIG!$B$26),"Menos de "&amp;CONFIG!$B$26&amp;" probetas. ","")&amp;IF(N(T321)&gt;CONFIG!$B$25,"CV alto. ","")&amp;IF(AND(N(AD321)&gt;0,N(AD321)&gt;N(AF321)),"Absorción alta. ","")))</f>
        <v/>
      </c>
      <c r="AH321" s="22" t="str">
        <f aca="false">IF(AND(N(M321)&gt;0,OR(CONTROL!$C$4="TODAS",C321=CONTROL!$C$4),D321=CONTROL!$C$5),MAX($AH$4:AH320)+1,"")</f>
        <v/>
      </c>
      <c r="AI321" s="22" t="str">
        <f aca="false">IF(AH321="","",P321^2)</f>
        <v/>
      </c>
    </row>
    <row r="322" customFormat="false" ht="15" hidden="false" customHeight="false" outlineLevel="0" collapsed="false">
      <c r="A322" s="11" t="str">
        <f aca="false">IF(B322="","",ROW()-4)</f>
        <v/>
      </c>
      <c r="B322" s="12"/>
      <c r="C322" s="13"/>
      <c r="D322" s="13"/>
      <c r="E322" s="13"/>
      <c r="F322" s="14" t="str">
        <f aca="false">IF(OR(B322="",C322="",D322=""),"",IFERROR(INDEX(CONFIG!$E$5:$E$14,MATCH(D322,CONFIG!$D$5:$D$14,0)),"?")&amp;RIGHT("0"&amp;DAY(B322),2)&amp;RIGHT("0"&amp;MONTH(B322),2)&amp;RIGHT(YEAR(B322),2)&amp;C322&amp;IF(E322="","","-"&amp;E322))</f>
        <v/>
      </c>
      <c r="G322" s="13"/>
      <c r="H322" s="13"/>
      <c r="I322" s="13"/>
      <c r="J322" s="13"/>
      <c r="K322" s="13"/>
      <c r="L322" s="13"/>
      <c r="M322" s="11" t="str">
        <f aca="false">IF(F322="","",COUNTIFS(ENSAYOS!$C$5:$C$3004,F322,ENSAYOS!$Q$5:$Q$3004,"&gt;0"))</f>
        <v/>
      </c>
      <c r="N322" s="15" t="str">
        <f aca="false">IF(N(M322)=0,"",_xlfn.MINIFS(ENSAYOS!$G$5:$G$3004,ENSAYOS!$C$5:$C$3004,F322,ENSAYOS!$Q$5:$Q$3004,"&gt;0"))</f>
        <v/>
      </c>
      <c r="O322" s="15" t="str">
        <f aca="false">IF(N(M322)=0,"",_xlfn.MAXIFS(ENSAYOS!$G$5:$G$3004,ENSAYOS!$C$5:$C$3004,F322,ENSAYOS!$Q$5:$Q$3004,"&gt;0"))</f>
        <v/>
      </c>
      <c r="P322" s="16" t="str">
        <f aca="false">IF(N(M322)=0,"",AVERAGEIFS(ENSAYOS!$Q$5:$Q$3004,ENSAYOS!$C$5:$C$3004,F322,ENSAYOS!$Q$5:$Q$3004,"&gt;0"))</f>
        <v/>
      </c>
      <c r="Q322" s="16" t="str">
        <f aca="false">IF(N(M322)=0,"",_xlfn.MINIFS(ENSAYOS!$Q$5:$Q$3004,ENSAYOS!$C$5:$C$3004,F322,ENSAYOS!$Q$5:$Q$3004,"&gt;0"))</f>
        <v/>
      </c>
      <c r="R322" s="16" t="str">
        <f aca="false">IF(N(M322)=0,"",_xlfn.MAXIFS(ENSAYOS!$Q$5:$Q$3004,ENSAYOS!$C$5:$C$3004,F322,ENSAYOS!$Q$5:$Q$3004,"&gt;0"))</f>
        <v/>
      </c>
      <c r="S322" s="16" t="str">
        <f aca="false">IF(N(M322)&lt;2,"",SQRT(MAX(0,(SUMIFS(ENSAYOS!$X$5:$X$3004,ENSAYOS!$C$5:$C$3004,F322,ENSAYOS!$Q$5:$Q$3004,"&gt;0")-M322*P322^2)/(M322-1))))</f>
        <v/>
      </c>
      <c r="T322" s="17" t="str">
        <f aca="false">IF(S322="","",S322/P322)</f>
        <v/>
      </c>
      <c r="U322" s="16" t="str">
        <f aca="false">IF(N(M322)=0,"",IF(N322&gt;=CONFIG!$B$27,"",AVERAGEIFS(ENSAYOS!$Q$5:$Q$3004,ENSAYOS!$C$5:$C$3004,F322,ENSAYOS!$Q$5:$Q$3004,"&gt;0",ENSAYOS!$G$5:$G$3004,N322)))</f>
        <v/>
      </c>
      <c r="V322" s="16" t="str">
        <f aca="false">IF(N(M322)=0,"",IF(COUNTIFS(ENSAYOS!$C$5:$C$3004,F322,ENSAYOS!$Q$5:$Q$3004,"&gt;0",ENSAYOS!$G$5:$G$3004,"&gt;="&amp;CONFIG!$B$27)=0,"",AVERAGEIFS(ENSAYOS!$Q$5:$Q$3004,ENSAYOS!$C$5:$C$3004,F322,ENSAYOS!$Q$5:$Q$3004,"&gt;0",ENSAYOS!$G$5:$G$3004,"&gt;="&amp;CONFIG!$B$27)))</f>
        <v/>
      </c>
      <c r="W322" s="18" t="str">
        <f aca="false">IF(AND(U322&lt;&gt;"",V322&lt;&gt;""),U322/V322,"")</f>
        <v/>
      </c>
      <c r="X322" s="18" t="str">
        <f aca="false">IF(U322="","",INDEX('CURVA EDAD'!$E$5:$E$32,MIN(28,MAX(1,N322))))</f>
        <v/>
      </c>
      <c r="Y322" s="16" t="str">
        <f aca="false">IF(V322&lt;&gt;"",V322,IF(U322="","",U322/X322))</f>
        <v/>
      </c>
      <c r="Z322" s="16" t="str">
        <f aca="false">IF(V322&lt;&gt;"",_xlfn.MINIFS(ENSAYOS!$Q$5:$Q$3004,ENSAYOS!$C$5:$C$3004,F322,ENSAYOS!$Q$5:$Q$3004,"&gt;0",ENSAYOS!$G$5:$G$3004,"&gt;="&amp;CONFIG!$B$27),IF(U322="","",_xlfn.MINIFS(ENSAYOS!$Q$5:$Q$3004,ENSAYOS!$C$5:$C$3004,F322,ENSAYOS!$Q$5:$Q$3004,"&gt;0",ENSAYOS!$G$5:$G$3004,N322)/X322))</f>
        <v/>
      </c>
      <c r="AA322" s="16" t="str">
        <f aca="false">IF(D322="","",IFERROR(1/(1/INDEX(CONFIG!$J$5:$J$14,MATCH(D322,CONFIG!$D$5:$D$14,0))),""))</f>
        <v/>
      </c>
      <c r="AB322" s="16" t="str">
        <f aca="false">IF(D322="","",IFERROR(1/(1/INDEX(CONFIG!$K$5:$K$14,MATCH(D322,CONFIG!$D$5:$D$14,0))),""))</f>
        <v/>
      </c>
      <c r="AC322" s="19" t="str">
        <f aca="false">IF(N(M322)=0,"",IF(AA322="","Sin spec",IF(AND(Y322&gt;=AA322,OR(AB322="",Z322&gt;=AB322)),"CUMPLE","NO CUMPLE")&amp;IF(V322=""," (est.)","")))</f>
        <v/>
      </c>
      <c r="AD322" s="20" t="str">
        <f aca="false">IF(F322="","",IF(COUNTIFS(ABSORCION!$C$5:$C$1004,F322,ABSORCION!$I$5:$I$1004,"&gt;0")=0,"",AVERAGEIFS(ABSORCION!$I$5:$I$1004,ABSORCION!$C$5:$C$1004,F322,ABSORCION!$I$5:$I$1004,"&gt;0")))</f>
        <v/>
      </c>
      <c r="AE322" s="20" t="str">
        <f aca="false">IF(F322="","",IF(COUNTIFS(ABSORCION!$C$5:$C$1004,F322,ABSORCION!$I$5:$I$1004,"&gt;0")=0,"",AVERAGEIFS(ABSORCION!$K$5:$K$1004,ABSORCION!$C$5:$C$1004,F322,ABSORCION!$I$5:$I$1004,"&gt;0")))</f>
        <v/>
      </c>
      <c r="AF322" s="20" t="str">
        <f aca="false">IF(AE322="","",IF(AE322&gt;=CONFIG!$E$21,CONFIG!$F$21,IF(AE322&gt;=CONFIG!$E$20,CONFIG!$F$20,CONFIG!$F$19)))</f>
        <v/>
      </c>
      <c r="AG322" s="21" t="str">
        <f aca="false">IF(F322="","",TRIM(IF(N(M322)=0,"Sin ensayos. ","")&amp;IF(AND(N(M322)&gt;0,N(M322)&lt;CONFIG!$B$26),"Menos de "&amp;CONFIG!$B$26&amp;" probetas. ","")&amp;IF(N(T322)&gt;CONFIG!$B$25,"CV alto. ","")&amp;IF(AND(N(AD322)&gt;0,N(AD322)&gt;N(AF322)),"Absorción alta. ","")))</f>
        <v/>
      </c>
      <c r="AH322" s="22" t="str">
        <f aca="false">IF(AND(N(M322)&gt;0,OR(CONTROL!$C$4="TODAS",C322=CONTROL!$C$4),D322=CONTROL!$C$5),MAX($AH$4:AH321)+1,"")</f>
        <v/>
      </c>
      <c r="AI322" s="22" t="str">
        <f aca="false">IF(AH322="","",P322^2)</f>
        <v/>
      </c>
    </row>
    <row r="323" customFormat="false" ht="15" hidden="false" customHeight="false" outlineLevel="0" collapsed="false">
      <c r="A323" s="11" t="str">
        <f aca="false">IF(B323="","",ROW()-4)</f>
        <v/>
      </c>
      <c r="B323" s="12"/>
      <c r="C323" s="13"/>
      <c r="D323" s="13"/>
      <c r="E323" s="13"/>
      <c r="F323" s="14" t="str">
        <f aca="false">IF(OR(B323="",C323="",D323=""),"",IFERROR(INDEX(CONFIG!$E$5:$E$14,MATCH(D323,CONFIG!$D$5:$D$14,0)),"?")&amp;RIGHT("0"&amp;DAY(B323),2)&amp;RIGHT("0"&amp;MONTH(B323),2)&amp;RIGHT(YEAR(B323),2)&amp;C323&amp;IF(E323="","","-"&amp;E323))</f>
        <v/>
      </c>
      <c r="G323" s="13"/>
      <c r="H323" s="13"/>
      <c r="I323" s="13"/>
      <c r="J323" s="13"/>
      <c r="K323" s="13"/>
      <c r="L323" s="13"/>
      <c r="M323" s="11" t="str">
        <f aca="false">IF(F323="","",COUNTIFS(ENSAYOS!$C$5:$C$3004,F323,ENSAYOS!$Q$5:$Q$3004,"&gt;0"))</f>
        <v/>
      </c>
      <c r="N323" s="15" t="str">
        <f aca="false">IF(N(M323)=0,"",_xlfn.MINIFS(ENSAYOS!$G$5:$G$3004,ENSAYOS!$C$5:$C$3004,F323,ENSAYOS!$Q$5:$Q$3004,"&gt;0"))</f>
        <v/>
      </c>
      <c r="O323" s="15" t="str">
        <f aca="false">IF(N(M323)=0,"",_xlfn.MAXIFS(ENSAYOS!$G$5:$G$3004,ENSAYOS!$C$5:$C$3004,F323,ENSAYOS!$Q$5:$Q$3004,"&gt;0"))</f>
        <v/>
      </c>
      <c r="P323" s="16" t="str">
        <f aca="false">IF(N(M323)=0,"",AVERAGEIFS(ENSAYOS!$Q$5:$Q$3004,ENSAYOS!$C$5:$C$3004,F323,ENSAYOS!$Q$5:$Q$3004,"&gt;0"))</f>
        <v/>
      </c>
      <c r="Q323" s="16" t="str">
        <f aca="false">IF(N(M323)=0,"",_xlfn.MINIFS(ENSAYOS!$Q$5:$Q$3004,ENSAYOS!$C$5:$C$3004,F323,ENSAYOS!$Q$5:$Q$3004,"&gt;0"))</f>
        <v/>
      </c>
      <c r="R323" s="16" t="str">
        <f aca="false">IF(N(M323)=0,"",_xlfn.MAXIFS(ENSAYOS!$Q$5:$Q$3004,ENSAYOS!$C$5:$C$3004,F323,ENSAYOS!$Q$5:$Q$3004,"&gt;0"))</f>
        <v/>
      </c>
      <c r="S323" s="16" t="str">
        <f aca="false">IF(N(M323)&lt;2,"",SQRT(MAX(0,(SUMIFS(ENSAYOS!$X$5:$X$3004,ENSAYOS!$C$5:$C$3004,F323,ENSAYOS!$Q$5:$Q$3004,"&gt;0")-M323*P323^2)/(M323-1))))</f>
        <v/>
      </c>
      <c r="T323" s="17" t="str">
        <f aca="false">IF(S323="","",S323/P323)</f>
        <v/>
      </c>
      <c r="U323" s="16" t="str">
        <f aca="false">IF(N(M323)=0,"",IF(N323&gt;=CONFIG!$B$27,"",AVERAGEIFS(ENSAYOS!$Q$5:$Q$3004,ENSAYOS!$C$5:$C$3004,F323,ENSAYOS!$Q$5:$Q$3004,"&gt;0",ENSAYOS!$G$5:$G$3004,N323)))</f>
        <v/>
      </c>
      <c r="V323" s="16" t="str">
        <f aca="false">IF(N(M323)=0,"",IF(COUNTIFS(ENSAYOS!$C$5:$C$3004,F323,ENSAYOS!$Q$5:$Q$3004,"&gt;0",ENSAYOS!$G$5:$G$3004,"&gt;="&amp;CONFIG!$B$27)=0,"",AVERAGEIFS(ENSAYOS!$Q$5:$Q$3004,ENSAYOS!$C$5:$C$3004,F323,ENSAYOS!$Q$5:$Q$3004,"&gt;0",ENSAYOS!$G$5:$G$3004,"&gt;="&amp;CONFIG!$B$27)))</f>
        <v/>
      </c>
      <c r="W323" s="18" t="str">
        <f aca="false">IF(AND(U323&lt;&gt;"",V323&lt;&gt;""),U323/V323,"")</f>
        <v/>
      </c>
      <c r="X323" s="18" t="str">
        <f aca="false">IF(U323="","",INDEX('CURVA EDAD'!$E$5:$E$32,MIN(28,MAX(1,N323))))</f>
        <v/>
      </c>
      <c r="Y323" s="16" t="str">
        <f aca="false">IF(V323&lt;&gt;"",V323,IF(U323="","",U323/X323))</f>
        <v/>
      </c>
      <c r="Z323" s="16" t="str">
        <f aca="false">IF(V323&lt;&gt;"",_xlfn.MINIFS(ENSAYOS!$Q$5:$Q$3004,ENSAYOS!$C$5:$C$3004,F323,ENSAYOS!$Q$5:$Q$3004,"&gt;0",ENSAYOS!$G$5:$G$3004,"&gt;="&amp;CONFIG!$B$27),IF(U323="","",_xlfn.MINIFS(ENSAYOS!$Q$5:$Q$3004,ENSAYOS!$C$5:$C$3004,F323,ENSAYOS!$Q$5:$Q$3004,"&gt;0",ENSAYOS!$G$5:$G$3004,N323)/X323))</f>
        <v/>
      </c>
      <c r="AA323" s="16" t="str">
        <f aca="false">IF(D323="","",IFERROR(1/(1/INDEX(CONFIG!$J$5:$J$14,MATCH(D323,CONFIG!$D$5:$D$14,0))),""))</f>
        <v/>
      </c>
      <c r="AB323" s="16" t="str">
        <f aca="false">IF(D323="","",IFERROR(1/(1/INDEX(CONFIG!$K$5:$K$14,MATCH(D323,CONFIG!$D$5:$D$14,0))),""))</f>
        <v/>
      </c>
      <c r="AC323" s="19" t="str">
        <f aca="false">IF(N(M323)=0,"",IF(AA323="","Sin spec",IF(AND(Y323&gt;=AA323,OR(AB323="",Z323&gt;=AB323)),"CUMPLE","NO CUMPLE")&amp;IF(V323=""," (est.)","")))</f>
        <v/>
      </c>
      <c r="AD323" s="20" t="str">
        <f aca="false">IF(F323="","",IF(COUNTIFS(ABSORCION!$C$5:$C$1004,F323,ABSORCION!$I$5:$I$1004,"&gt;0")=0,"",AVERAGEIFS(ABSORCION!$I$5:$I$1004,ABSORCION!$C$5:$C$1004,F323,ABSORCION!$I$5:$I$1004,"&gt;0")))</f>
        <v/>
      </c>
      <c r="AE323" s="20" t="str">
        <f aca="false">IF(F323="","",IF(COUNTIFS(ABSORCION!$C$5:$C$1004,F323,ABSORCION!$I$5:$I$1004,"&gt;0")=0,"",AVERAGEIFS(ABSORCION!$K$5:$K$1004,ABSORCION!$C$5:$C$1004,F323,ABSORCION!$I$5:$I$1004,"&gt;0")))</f>
        <v/>
      </c>
      <c r="AF323" s="20" t="str">
        <f aca="false">IF(AE323="","",IF(AE323&gt;=CONFIG!$E$21,CONFIG!$F$21,IF(AE323&gt;=CONFIG!$E$20,CONFIG!$F$20,CONFIG!$F$19)))</f>
        <v/>
      </c>
      <c r="AG323" s="21" t="str">
        <f aca="false">IF(F323="","",TRIM(IF(N(M323)=0,"Sin ensayos. ","")&amp;IF(AND(N(M323)&gt;0,N(M323)&lt;CONFIG!$B$26),"Menos de "&amp;CONFIG!$B$26&amp;" probetas. ","")&amp;IF(N(T323)&gt;CONFIG!$B$25,"CV alto. ","")&amp;IF(AND(N(AD323)&gt;0,N(AD323)&gt;N(AF323)),"Absorción alta. ","")))</f>
        <v/>
      </c>
      <c r="AH323" s="22" t="str">
        <f aca="false">IF(AND(N(M323)&gt;0,OR(CONTROL!$C$4="TODAS",C323=CONTROL!$C$4),D323=CONTROL!$C$5),MAX($AH$4:AH322)+1,"")</f>
        <v/>
      </c>
      <c r="AI323" s="22" t="str">
        <f aca="false">IF(AH323="","",P323^2)</f>
        <v/>
      </c>
    </row>
    <row r="324" customFormat="false" ht="15" hidden="false" customHeight="false" outlineLevel="0" collapsed="false">
      <c r="A324" s="11" t="str">
        <f aca="false">IF(B324="","",ROW()-4)</f>
        <v/>
      </c>
      <c r="B324" s="12"/>
      <c r="C324" s="13"/>
      <c r="D324" s="13"/>
      <c r="E324" s="13"/>
      <c r="F324" s="14" t="str">
        <f aca="false">IF(OR(B324="",C324="",D324=""),"",IFERROR(INDEX(CONFIG!$E$5:$E$14,MATCH(D324,CONFIG!$D$5:$D$14,0)),"?")&amp;RIGHT("0"&amp;DAY(B324),2)&amp;RIGHT("0"&amp;MONTH(B324),2)&amp;RIGHT(YEAR(B324),2)&amp;C324&amp;IF(E324="","","-"&amp;E324))</f>
        <v/>
      </c>
      <c r="G324" s="13"/>
      <c r="H324" s="13"/>
      <c r="I324" s="13"/>
      <c r="J324" s="13"/>
      <c r="K324" s="13"/>
      <c r="L324" s="13"/>
      <c r="M324" s="11" t="str">
        <f aca="false">IF(F324="","",COUNTIFS(ENSAYOS!$C$5:$C$3004,F324,ENSAYOS!$Q$5:$Q$3004,"&gt;0"))</f>
        <v/>
      </c>
      <c r="N324" s="15" t="str">
        <f aca="false">IF(N(M324)=0,"",_xlfn.MINIFS(ENSAYOS!$G$5:$G$3004,ENSAYOS!$C$5:$C$3004,F324,ENSAYOS!$Q$5:$Q$3004,"&gt;0"))</f>
        <v/>
      </c>
      <c r="O324" s="15" t="str">
        <f aca="false">IF(N(M324)=0,"",_xlfn.MAXIFS(ENSAYOS!$G$5:$G$3004,ENSAYOS!$C$5:$C$3004,F324,ENSAYOS!$Q$5:$Q$3004,"&gt;0"))</f>
        <v/>
      </c>
      <c r="P324" s="16" t="str">
        <f aca="false">IF(N(M324)=0,"",AVERAGEIFS(ENSAYOS!$Q$5:$Q$3004,ENSAYOS!$C$5:$C$3004,F324,ENSAYOS!$Q$5:$Q$3004,"&gt;0"))</f>
        <v/>
      </c>
      <c r="Q324" s="16" t="str">
        <f aca="false">IF(N(M324)=0,"",_xlfn.MINIFS(ENSAYOS!$Q$5:$Q$3004,ENSAYOS!$C$5:$C$3004,F324,ENSAYOS!$Q$5:$Q$3004,"&gt;0"))</f>
        <v/>
      </c>
      <c r="R324" s="16" t="str">
        <f aca="false">IF(N(M324)=0,"",_xlfn.MAXIFS(ENSAYOS!$Q$5:$Q$3004,ENSAYOS!$C$5:$C$3004,F324,ENSAYOS!$Q$5:$Q$3004,"&gt;0"))</f>
        <v/>
      </c>
      <c r="S324" s="16" t="str">
        <f aca="false">IF(N(M324)&lt;2,"",SQRT(MAX(0,(SUMIFS(ENSAYOS!$X$5:$X$3004,ENSAYOS!$C$5:$C$3004,F324,ENSAYOS!$Q$5:$Q$3004,"&gt;0")-M324*P324^2)/(M324-1))))</f>
        <v/>
      </c>
      <c r="T324" s="17" t="str">
        <f aca="false">IF(S324="","",S324/P324)</f>
        <v/>
      </c>
      <c r="U324" s="16" t="str">
        <f aca="false">IF(N(M324)=0,"",IF(N324&gt;=CONFIG!$B$27,"",AVERAGEIFS(ENSAYOS!$Q$5:$Q$3004,ENSAYOS!$C$5:$C$3004,F324,ENSAYOS!$Q$5:$Q$3004,"&gt;0",ENSAYOS!$G$5:$G$3004,N324)))</f>
        <v/>
      </c>
      <c r="V324" s="16" t="str">
        <f aca="false">IF(N(M324)=0,"",IF(COUNTIFS(ENSAYOS!$C$5:$C$3004,F324,ENSAYOS!$Q$5:$Q$3004,"&gt;0",ENSAYOS!$G$5:$G$3004,"&gt;="&amp;CONFIG!$B$27)=0,"",AVERAGEIFS(ENSAYOS!$Q$5:$Q$3004,ENSAYOS!$C$5:$C$3004,F324,ENSAYOS!$Q$5:$Q$3004,"&gt;0",ENSAYOS!$G$5:$G$3004,"&gt;="&amp;CONFIG!$B$27)))</f>
        <v/>
      </c>
      <c r="W324" s="18" t="str">
        <f aca="false">IF(AND(U324&lt;&gt;"",V324&lt;&gt;""),U324/V324,"")</f>
        <v/>
      </c>
      <c r="X324" s="18" t="str">
        <f aca="false">IF(U324="","",INDEX('CURVA EDAD'!$E$5:$E$32,MIN(28,MAX(1,N324))))</f>
        <v/>
      </c>
      <c r="Y324" s="16" t="str">
        <f aca="false">IF(V324&lt;&gt;"",V324,IF(U324="","",U324/X324))</f>
        <v/>
      </c>
      <c r="Z324" s="16" t="str">
        <f aca="false">IF(V324&lt;&gt;"",_xlfn.MINIFS(ENSAYOS!$Q$5:$Q$3004,ENSAYOS!$C$5:$C$3004,F324,ENSAYOS!$Q$5:$Q$3004,"&gt;0",ENSAYOS!$G$5:$G$3004,"&gt;="&amp;CONFIG!$B$27),IF(U324="","",_xlfn.MINIFS(ENSAYOS!$Q$5:$Q$3004,ENSAYOS!$C$5:$C$3004,F324,ENSAYOS!$Q$5:$Q$3004,"&gt;0",ENSAYOS!$G$5:$G$3004,N324)/X324))</f>
        <v/>
      </c>
      <c r="AA324" s="16" t="str">
        <f aca="false">IF(D324="","",IFERROR(1/(1/INDEX(CONFIG!$J$5:$J$14,MATCH(D324,CONFIG!$D$5:$D$14,0))),""))</f>
        <v/>
      </c>
      <c r="AB324" s="16" t="str">
        <f aca="false">IF(D324="","",IFERROR(1/(1/INDEX(CONFIG!$K$5:$K$14,MATCH(D324,CONFIG!$D$5:$D$14,0))),""))</f>
        <v/>
      </c>
      <c r="AC324" s="19" t="str">
        <f aca="false">IF(N(M324)=0,"",IF(AA324="","Sin spec",IF(AND(Y324&gt;=AA324,OR(AB324="",Z324&gt;=AB324)),"CUMPLE","NO CUMPLE")&amp;IF(V324=""," (est.)","")))</f>
        <v/>
      </c>
      <c r="AD324" s="20" t="str">
        <f aca="false">IF(F324="","",IF(COUNTIFS(ABSORCION!$C$5:$C$1004,F324,ABSORCION!$I$5:$I$1004,"&gt;0")=0,"",AVERAGEIFS(ABSORCION!$I$5:$I$1004,ABSORCION!$C$5:$C$1004,F324,ABSORCION!$I$5:$I$1004,"&gt;0")))</f>
        <v/>
      </c>
      <c r="AE324" s="20" t="str">
        <f aca="false">IF(F324="","",IF(COUNTIFS(ABSORCION!$C$5:$C$1004,F324,ABSORCION!$I$5:$I$1004,"&gt;0")=0,"",AVERAGEIFS(ABSORCION!$K$5:$K$1004,ABSORCION!$C$5:$C$1004,F324,ABSORCION!$I$5:$I$1004,"&gt;0")))</f>
        <v/>
      </c>
      <c r="AF324" s="20" t="str">
        <f aca="false">IF(AE324="","",IF(AE324&gt;=CONFIG!$E$21,CONFIG!$F$21,IF(AE324&gt;=CONFIG!$E$20,CONFIG!$F$20,CONFIG!$F$19)))</f>
        <v/>
      </c>
      <c r="AG324" s="21" t="str">
        <f aca="false">IF(F324="","",TRIM(IF(N(M324)=0,"Sin ensayos. ","")&amp;IF(AND(N(M324)&gt;0,N(M324)&lt;CONFIG!$B$26),"Menos de "&amp;CONFIG!$B$26&amp;" probetas. ","")&amp;IF(N(T324)&gt;CONFIG!$B$25,"CV alto. ","")&amp;IF(AND(N(AD324)&gt;0,N(AD324)&gt;N(AF324)),"Absorción alta. ","")))</f>
        <v/>
      </c>
      <c r="AH324" s="22" t="str">
        <f aca="false">IF(AND(N(M324)&gt;0,OR(CONTROL!$C$4="TODAS",C324=CONTROL!$C$4),D324=CONTROL!$C$5),MAX($AH$4:AH323)+1,"")</f>
        <v/>
      </c>
      <c r="AI324" s="22" t="str">
        <f aca="false">IF(AH324="","",P324^2)</f>
        <v/>
      </c>
    </row>
    <row r="325" customFormat="false" ht="15" hidden="false" customHeight="false" outlineLevel="0" collapsed="false">
      <c r="A325" s="11" t="str">
        <f aca="false">IF(B325="","",ROW()-4)</f>
        <v/>
      </c>
      <c r="B325" s="12"/>
      <c r="C325" s="13"/>
      <c r="D325" s="13"/>
      <c r="E325" s="13"/>
      <c r="F325" s="14" t="str">
        <f aca="false">IF(OR(B325="",C325="",D325=""),"",IFERROR(INDEX(CONFIG!$E$5:$E$14,MATCH(D325,CONFIG!$D$5:$D$14,0)),"?")&amp;RIGHT("0"&amp;DAY(B325),2)&amp;RIGHT("0"&amp;MONTH(B325),2)&amp;RIGHT(YEAR(B325),2)&amp;C325&amp;IF(E325="","","-"&amp;E325))</f>
        <v/>
      </c>
      <c r="G325" s="13"/>
      <c r="H325" s="13"/>
      <c r="I325" s="13"/>
      <c r="J325" s="13"/>
      <c r="K325" s="13"/>
      <c r="L325" s="13"/>
      <c r="M325" s="11" t="str">
        <f aca="false">IF(F325="","",COUNTIFS(ENSAYOS!$C$5:$C$3004,F325,ENSAYOS!$Q$5:$Q$3004,"&gt;0"))</f>
        <v/>
      </c>
      <c r="N325" s="15" t="str">
        <f aca="false">IF(N(M325)=0,"",_xlfn.MINIFS(ENSAYOS!$G$5:$G$3004,ENSAYOS!$C$5:$C$3004,F325,ENSAYOS!$Q$5:$Q$3004,"&gt;0"))</f>
        <v/>
      </c>
      <c r="O325" s="15" t="str">
        <f aca="false">IF(N(M325)=0,"",_xlfn.MAXIFS(ENSAYOS!$G$5:$G$3004,ENSAYOS!$C$5:$C$3004,F325,ENSAYOS!$Q$5:$Q$3004,"&gt;0"))</f>
        <v/>
      </c>
      <c r="P325" s="16" t="str">
        <f aca="false">IF(N(M325)=0,"",AVERAGEIFS(ENSAYOS!$Q$5:$Q$3004,ENSAYOS!$C$5:$C$3004,F325,ENSAYOS!$Q$5:$Q$3004,"&gt;0"))</f>
        <v/>
      </c>
      <c r="Q325" s="16" t="str">
        <f aca="false">IF(N(M325)=0,"",_xlfn.MINIFS(ENSAYOS!$Q$5:$Q$3004,ENSAYOS!$C$5:$C$3004,F325,ENSAYOS!$Q$5:$Q$3004,"&gt;0"))</f>
        <v/>
      </c>
      <c r="R325" s="16" t="str">
        <f aca="false">IF(N(M325)=0,"",_xlfn.MAXIFS(ENSAYOS!$Q$5:$Q$3004,ENSAYOS!$C$5:$C$3004,F325,ENSAYOS!$Q$5:$Q$3004,"&gt;0"))</f>
        <v/>
      </c>
      <c r="S325" s="16" t="str">
        <f aca="false">IF(N(M325)&lt;2,"",SQRT(MAX(0,(SUMIFS(ENSAYOS!$X$5:$X$3004,ENSAYOS!$C$5:$C$3004,F325,ENSAYOS!$Q$5:$Q$3004,"&gt;0")-M325*P325^2)/(M325-1))))</f>
        <v/>
      </c>
      <c r="T325" s="17" t="str">
        <f aca="false">IF(S325="","",S325/P325)</f>
        <v/>
      </c>
      <c r="U325" s="16" t="str">
        <f aca="false">IF(N(M325)=0,"",IF(N325&gt;=CONFIG!$B$27,"",AVERAGEIFS(ENSAYOS!$Q$5:$Q$3004,ENSAYOS!$C$5:$C$3004,F325,ENSAYOS!$Q$5:$Q$3004,"&gt;0",ENSAYOS!$G$5:$G$3004,N325)))</f>
        <v/>
      </c>
      <c r="V325" s="16" t="str">
        <f aca="false">IF(N(M325)=0,"",IF(COUNTIFS(ENSAYOS!$C$5:$C$3004,F325,ENSAYOS!$Q$5:$Q$3004,"&gt;0",ENSAYOS!$G$5:$G$3004,"&gt;="&amp;CONFIG!$B$27)=0,"",AVERAGEIFS(ENSAYOS!$Q$5:$Q$3004,ENSAYOS!$C$5:$C$3004,F325,ENSAYOS!$Q$5:$Q$3004,"&gt;0",ENSAYOS!$G$5:$G$3004,"&gt;="&amp;CONFIG!$B$27)))</f>
        <v/>
      </c>
      <c r="W325" s="18" t="str">
        <f aca="false">IF(AND(U325&lt;&gt;"",V325&lt;&gt;""),U325/V325,"")</f>
        <v/>
      </c>
      <c r="X325" s="18" t="str">
        <f aca="false">IF(U325="","",INDEX('CURVA EDAD'!$E$5:$E$32,MIN(28,MAX(1,N325))))</f>
        <v/>
      </c>
      <c r="Y325" s="16" t="str">
        <f aca="false">IF(V325&lt;&gt;"",V325,IF(U325="","",U325/X325))</f>
        <v/>
      </c>
      <c r="Z325" s="16" t="str">
        <f aca="false">IF(V325&lt;&gt;"",_xlfn.MINIFS(ENSAYOS!$Q$5:$Q$3004,ENSAYOS!$C$5:$C$3004,F325,ENSAYOS!$Q$5:$Q$3004,"&gt;0",ENSAYOS!$G$5:$G$3004,"&gt;="&amp;CONFIG!$B$27),IF(U325="","",_xlfn.MINIFS(ENSAYOS!$Q$5:$Q$3004,ENSAYOS!$C$5:$C$3004,F325,ENSAYOS!$Q$5:$Q$3004,"&gt;0",ENSAYOS!$G$5:$G$3004,N325)/X325))</f>
        <v/>
      </c>
      <c r="AA325" s="16" t="str">
        <f aca="false">IF(D325="","",IFERROR(1/(1/INDEX(CONFIG!$J$5:$J$14,MATCH(D325,CONFIG!$D$5:$D$14,0))),""))</f>
        <v/>
      </c>
      <c r="AB325" s="16" t="str">
        <f aca="false">IF(D325="","",IFERROR(1/(1/INDEX(CONFIG!$K$5:$K$14,MATCH(D325,CONFIG!$D$5:$D$14,0))),""))</f>
        <v/>
      </c>
      <c r="AC325" s="19" t="str">
        <f aca="false">IF(N(M325)=0,"",IF(AA325="","Sin spec",IF(AND(Y325&gt;=AA325,OR(AB325="",Z325&gt;=AB325)),"CUMPLE","NO CUMPLE")&amp;IF(V325=""," (est.)","")))</f>
        <v/>
      </c>
      <c r="AD325" s="20" t="str">
        <f aca="false">IF(F325="","",IF(COUNTIFS(ABSORCION!$C$5:$C$1004,F325,ABSORCION!$I$5:$I$1004,"&gt;0")=0,"",AVERAGEIFS(ABSORCION!$I$5:$I$1004,ABSORCION!$C$5:$C$1004,F325,ABSORCION!$I$5:$I$1004,"&gt;0")))</f>
        <v/>
      </c>
      <c r="AE325" s="20" t="str">
        <f aca="false">IF(F325="","",IF(COUNTIFS(ABSORCION!$C$5:$C$1004,F325,ABSORCION!$I$5:$I$1004,"&gt;0")=0,"",AVERAGEIFS(ABSORCION!$K$5:$K$1004,ABSORCION!$C$5:$C$1004,F325,ABSORCION!$I$5:$I$1004,"&gt;0")))</f>
        <v/>
      </c>
      <c r="AF325" s="20" t="str">
        <f aca="false">IF(AE325="","",IF(AE325&gt;=CONFIG!$E$21,CONFIG!$F$21,IF(AE325&gt;=CONFIG!$E$20,CONFIG!$F$20,CONFIG!$F$19)))</f>
        <v/>
      </c>
      <c r="AG325" s="21" t="str">
        <f aca="false">IF(F325="","",TRIM(IF(N(M325)=0,"Sin ensayos. ","")&amp;IF(AND(N(M325)&gt;0,N(M325)&lt;CONFIG!$B$26),"Menos de "&amp;CONFIG!$B$26&amp;" probetas. ","")&amp;IF(N(T325)&gt;CONFIG!$B$25,"CV alto. ","")&amp;IF(AND(N(AD325)&gt;0,N(AD325)&gt;N(AF325)),"Absorción alta. ","")))</f>
        <v/>
      </c>
      <c r="AH325" s="22" t="str">
        <f aca="false">IF(AND(N(M325)&gt;0,OR(CONTROL!$C$4="TODAS",C325=CONTROL!$C$4),D325=CONTROL!$C$5),MAX($AH$4:AH324)+1,"")</f>
        <v/>
      </c>
      <c r="AI325" s="22" t="str">
        <f aca="false">IF(AH325="","",P325^2)</f>
        <v/>
      </c>
    </row>
    <row r="326" customFormat="false" ht="15" hidden="false" customHeight="false" outlineLevel="0" collapsed="false">
      <c r="A326" s="11" t="str">
        <f aca="false">IF(B326="","",ROW()-4)</f>
        <v/>
      </c>
      <c r="B326" s="12"/>
      <c r="C326" s="13"/>
      <c r="D326" s="13"/>
      <c r="E326" s="13"/>
      <c r="F326" s="14" t="str">
        <f aca="false">IF(OR(B326="",C326="",D326=""),"",IFERROR(INDEX(CONFIG!$E$5:$E$14,MATCH(D326,CONFIG!$D$5:$D$14,0)),"?")&amp;RIGHT("0"&amp;DAY(B326),2)&amp;RIGHT("0"&amp;MONTH(B326),2)&amp;RIGHT(YEAR(B326),2)&amp;C326&amp;IF(E326="","","-"&amp;E326))</f>
        <v/>
      </c>
      <c r="G326" s="13"/>
      <c r="H326" s="13"/>
      <c r="I326" s="13"/>
      <c r="J326" s="13"/>
      <c r="K326" s="13"/>
      <c r="L326" s="13"/>
      <c r="M326" s="11" t="str">
        <f aca="false">IF(F326="","",COUNTIFS(ENSAYOS!$C$5:$C$3004,F326,ENSAYOS!$Q$5:$Q$3004,"&gt;0"))</f>
        <v/>
      </c>
      <c r="N326" s="15" t="str">
        <f aca="false">IF(N(M326)=0,"",_xlfn.MINIFS(ENSAYOS!$G$5:$G$3004,ENSAYOS!$C$5:$C$3004,F326,ENSAYOS!$Q$5:$Q$3004,"&gt;0"))</f>
        <v/>
      </c>
      <c r="O326" s="15" t="str">
        <f aca="false">IF(N(M326)=0,"",_xlfn.MAXIFS(ENSAYOS!$G$5:$G$3004,ENSAYOS!$C$5:$C$3004,F326,ENSAYOS!$Q$5:$Q$3004,"&gt;0"))</f>
        <v/>
      </c>
      <c r="P326" s="16" t="str">
        <f aca="false">IF(N(M326)=0,"",AVERAGEIFS(ENSAYOS!$Q$5:$Q$3004,ENSAYOS!$C$5:$C$3004,F326,ENSAYOS!$Q$5:$Q$3004,"&gt;0"))</f>
        <v/>
      </c>
      <c r="Q326" s="16" t="str">
        <f aca="false">IF(N(M326)=0,"",_xlfn.MINIFS(ENSAYOS!$Q$5:$Q$3004,ENSAYOS!$C$5:$C$3004,F326,ENSAYOS!$Q$5:$Q$3004,"&gt;0"))</f>
        <v/>
      </c>
      <c r="R326" s="16" t="str">
        <f aca="false">IF(N(M326)=0,"",_xlfn.MAXIFS(ENSAYOS!$Q$5:$Q$3004,ENSAYOS!$C$5:$C$3004,F326,ENSAYOS!$Q$5:$Q$3004,"&gt;0"))</f>
        <v/>
      </c>
      <c r="S326" s="16" t="str">
        <f aca="false">IF(N(M326)&lt;2,"",SQRT(MAX(0,(SUMIFS(ENSAYOS!$X$5:$X$3004,ENSAYOS!$C$5:$C$3004,F326,ENSAYOS!$Q$5:$Q$3004,"&gt;0")-M326*P326^2)/(M326-1))))</f>
        <v/>
      </c>
      <c r="T326" s="17" t="str">
        <f aca="false">IF(S326="","",S326/P326)</f>
        <v/>
      </c>
      <c r="U326" s="16" t="str">
        <f aca="false">IF(N(M326)=0,"",IF(N326&gt;=CONFIG!$B$27,"",AVERAGEIFS(ENSAYOS!$Q$5:$Q$3004,ENSAYOS!$C$5:$C$3004,F326,ENSAYOS!$Q$5:$Q$3004,"&gt;0",ENSAYOS!$G$5:$G$3004,N326)))</f>
        <v/>
      </c>
      <c r="V326" s="16" t="str">
        <f aca="false">IF(N(M326)=0,"",IF(COUNTIFS(ENSAYOS!$C$5:$C$3004,F326,ENSAYOS!$Q$5:$Q$3004,"&gt;0",ENSAYOS!$G$5:$G$3004,"&gt;="&amp;CONFIG!$B$27)=0,"",AVERAGEIFS(ENSAYOS!$Q$5:$Q$3004,ENSAYOS!$C$5:$C$3004,F326,ENSAYOS!$Q$5:$Q$3004,"&gt;0",ENSAYOS!$G$5:$G$3004,"&gt;="&amp;CONFIG!$B$27)))</f>
        <v/>
      </c>
      <c r="W326" s="18" t="str">
        <f aca="false">IF(AND(U326&lt;&gt;"",V326&lt;&gt;""),U326/V326,"")</f>
        <v/>
      </c>
      <c r="X326" s="18" t="str">
        <f aca="false">IF(U326="","",INDEX('CURVA EDAD'!$E$5:$E$32,MIN(28,MAX(1,N326))))</f>
        <v/>
      </c>
      <c r="Y326" s="16" t="str">
        <f aca="false">IF(V326&lt;&gt;"",V326,IF(U326="","",U326/X326))</f>
        <v/>
      </c>
      <c r="Z326" s="16" t="str">
        <f aca="false">IF(V326&lt;&gt;"",_xlfn.MINIFS(ENSAYOS!$Q$5:$Q$3004,ENSAYOS!$C$5:$C$3004,F326,ENSAYOS!$Q$5:$Q$3004,"&gt;0",ENSAYOS!$G$5:$G$3004,"&gt;="&amp;CONFIG!$B$27),IF(U326="","",_xlfn.MINIFS(ENSAYOS!$Q$5:$Q$3004,ENSAYOS!$C$5:$C$3004,F326,ENSAYOS!$Q$5:$Q$3004,"&gt;0",ENSAYOS!$G$5:$G$3004,N326)/X326))</f>
        <v/>
      </c>
      <c r="AA326" s="16" t="str">
        <f aca="false">IF(D326="","",IFERROR(1/(1/INDEX(CONFIG!$J$5:$J$14,MATCH(D326,CONFIG!$D$5:$D$14,0))),""))</f>
        <v/>
      </c>
      <c r="AB326" s="16" t="str">
        <f aca="false">IF(D326="","",IFERROR(1/(1/INDEX(CONFIG!$K$5:$K$14,MATCH(D326,CONFIG!$D$5:$D$14,0))),""))</f>
        <v/>
      </c>
      <c r="AC326" s="19" t="str">
        <f aca="false">IF(N(M326)=0,"",IF(AA326="","Sin spec",IF(AND(Y326&gt;=AA326,OR(AB326="",Z326&gt;=AB326)),"CUMPLE","NO CUMPLE")&amp;IF(V326=""," (est.)","")))</f>
        <v/>
      </c>
      <c r="AD326" s="20" t="str">
        <f aca="false">IF(F326="","",IF(COUNTIFS(ABSORCION!$C$5:$C$1004,F326,ABSORCION!$I$5:$I$1004,"&gt;0")=0,"",AVERAGEIFS(ABSORCION!$I$5:$I$1004,ABSORCION!$C$5:$C$1004,F326,ABSORCION!$I$5:$I$1004,"&gt;0")))</f>
        <v/>
      </c>
      <c r="AE326" s="20" t="str">
        <f aca="false">IF(F326="","",IF(COUNTIFS(ABSORCION!$C$5:$C$1004,F326,ABSORCION!$I$5:$I$1004,"&gt;0")=0,"",AVERAGEIFS(ABSORCION!$K$5:$K$1004,ABSORCION!$C$5:$C$1004,F326,ABSORCION!$I$5:$I$1004,"&gt;0")))</f>
        <v/>
      </c>
      <c r="AF326" s="20" t="str">
        <f aca="false">IF(AE326="","",IF(AE326&gt;=CONFIG!$E$21,CONFIG!$F$21,IF(AE326&gt;=CONFIG!$E$20,CONFIG!$F$20,CONFIG!$F$19)))</f>
        <v/>
      </c>
      <c r="AG326" s="21" t="str">
        <f aca="false">IF(F326="","",TRIM(IF(N(M326)=0,"Sin ensayos. ","")&amp;IF(AND(N(M326)&gt;0,N(M326)&lt;CONFIG!$B$26),"Menos de "&amp;CONFIG!$B$26&amp;" probetas. ","")&amp;IF(N(T326)&gt;CONFIG!$B$25,"CV alto. ","")&amp;IF(AND(N(AD326)&gt;0,N(AD326)&gt;N(AF326)),"Absorción alta. ","")))</f>
        <v/>
      </c>
      <c r="AH326" s="22" t="str">
        <f aca="false">IF(AND(N(M326)&gt;0,OR(CONTROL!$C$4="TODAS",C326=CONTROL!$C$4),D326=CONTROL!$C$5),MAX($AH$4:AH325)+1,"")</f>
        <v/>
      </c>
      <c r="AI326" s="22" t="str">
        <f aca="false">IF(AH326="","",P326^2)</f>
        <v/>
      </c>
    </row>
    <row r="327" customFormat="false" ht="15" hidden="false" customHeight="false" outlineLevel="0" collapsed="false">
      <c r="A327" s="11" t="str">
        <f aca="false">IF(B327="","",ROW()-4)</f>
        <v/>
      </c>
      <c r="B327" s="12"/>
      <c r="C327" s="13"/>
      <c r="D327" s="13"/>
      <c r="E327" s="13"/>
      <c r="F327" s="14" t="str">
        <f aca="false">IF(OR(B327="",C327="",D327=""),"",IFERROR(INDEX(CONFIG!$E$5:$E$14,MATCH(D327,CONFIG!$D$5:$D$14,0)),"?")&amp;RIGHT("0"&amp;DAY(B327),2)&amp;RIGHT("0"&amp;MONTH(B327),2)&amp;RIGHT(YEAR(B327),2)&amp;C327&amp;IF(E327="","","-"&amp;E327))</f>
        <v/>
      </c>
      <c r="G327" s="13"/>
      <c r="H327" s="13"/>
      <c r="I327" s="13"/>
      <c r="J327" s="13"/>
      <c r="K327" s="13"/>
      <c r="L327" s="13"/>
      <c r="M327" s="11" t="str">
        <f aca="false">IF(F327="","",COUNTIFS(ENSAYOS!$C$5:$C$3004,F327,ENSAYOS!$Q$5:$Q$3004,"&gt;0"))</f>
        <v/>
      </c>
      <c r="N327" s="15" t="str">
        <f aca="false">IF(N(M327)=0,"",_xlfn.MINIFS(ENSAYOS!$G$5:$G$3004,ENSAYOS!$C$5:$C$3004,F327,ENSAYOS!$Q$5:$Q$3004,"&gt;0"))</f>
        <v/>
      </c>
      <c r="O327" s="15" t="str">
        <f aca="false">IF(N(M327)=0,"",_xlfn.MAXIFS(ENSAYOS!$G$5:$G$3004,ENSAYOS!$C$5:$C$3004,F327,ENSAYOS!$Q$5:$Q$3004,"&gt;0"))</f>
        <v/>
      </c>
      <c r="P327" s="16" t="str">
        <f aca="false">IF(N(M327)=0,"",AVERAGEIFS(ENSAYOS!$Q$5:$Q$3004,ENSAYOS!$C$5:$C$3004,F327,ENSAYOS!$Q$5:$Q$3004,"&gt;0"))</f>
        <v/>
      </c>
      <c r="Q327" s="16" t="str">
        <f aca="false">IF(N(M327)=0,"",_xlfn.MINIFS(ENSAYOS!$Q$5:$Q$3004,ENSAYOS!$C$5:$C$3004,F327,ENSAYOS!$Q$5:$Q$3004,"&gt;0"))</f>
        <v/>
      </c>
      <c r="R327" s="16" t="str">
        <f aca="false">IF(N(M327)=0,"",_xlfn.MAXIFS(ENSAYOS!$Q$5:$Q$3004,ENSAYOS!$C$5:$C$3004,F327,ENSAYOS!$Q$5:$Q$3004,"&gt;0"))</f>
        <v/>
      </c>
      <c r="S327" s="16" t="str">
        <f aca="false">IF(N(M327)&lt;2,"",SQRT(MAX(0,(SUMIFS(ENSAYOS!$X$5:$X$3004,ENSAYOS!$C$5:$C$3004,F327,ENSAYOS!$Q$5:$Q$3004,"&gt;0")-M327*P327^2)/(M327-1))))</f>
        <v/>
      </c>
      <c r="T327" s="17" t="str">
        <f aca="false">IF(S327="","",S327/P327)</f>
        <v/>
      </c>
      <c r="U327" s="16" t="str">
        <f aca="false">IF(N(M327)=0,"",IF(N327&gt;=CONFIG!$B$27,"",AVERAGEIFS(ENSAYOS!$Q$5:$Q$3004,ENSAYOS!$C$5:$C$3004,F327,ENSAYOS!$Q$5:$Q$3004,"&gt;0",ENSAYOS!$G$5:$G$3004,N327)))</f>
        <v/>
      </c>
      <c r="V327" s="16" t="str">
        <f aca="false">IF(N(M327)=0,"",IF(COUNTIFS(ENSAYOS!$C$5:$C$3004,F327,ENSAYOS!$Q$5:$Q$3004,"&gt;0",ENSAYOS!$G$5:$G$3004,"&gt;="&amp;CONFIG!$B$27)=0,"",AVERAGEIFS(ENSAYOS!$Q$5:$Q$3004,ENSAYOS!$C$5:$C$3004,F327,ENSAYOS!$Q$5:$Q$3004,"&gt;0",ENSAYOS!$G$5:$G$3004,"&gt;="&amp;CONFIG!$B$27)))</f>
        <v/>
      </c>
      <c r="W327" s="18" t="str">
        <f aca="false">IF(AND(U327&lt;&gt;"",V327&lt;&gt;""),U327/V327,"")</f>
        <v/>
      </c>
      <c r="X327" s="18" t="str">
        <f aca="false">IF(U327="","",INDEX('CURVA EDAD'!$E$5:$E$32,MIN(28,MAX(1,N327))))</f>
        <v/>
      </c>
      <c r="Y327" s="16" t="str">
        <f aca="false">IF(V327&lt;&gt;"",V327,IF(U327="","",U327/X327))</f>
        <v/>
      </c>
      <c r="Z327" s="16" t="str">
        <f aca="false">IF(V327&lt;&gt;"",_xlfn.MINIFS(ENSAYOS!$Q$5:$Q$3004,ENSAYOS!$C$5:$C$3004,F327,ENSAYOS!$Q$5:$Q$3004,"&gt;0",ENSAYOS!$G$5:$G$3004,"&gt;="&amp;CONFIG!$B$27),IF(U327="","",_xlfn.MINIFS(ENSAYOS!$Q$5:$Q$3004,ENSAYOS!$C$5:$C$3004,F327,ENSAYOS!$Q$5:$Q$3004,"&gt;0",ENSAYOS!$G$5:$G$3004,N327)/X327))</f>
        <v/>
      </c>
      <c r="AA327" s="16" t="str">
        <f aca="false">IF(D327="","",IFERROR(1/(1/INDEX(CONFIG!$J$5:$J$14,MATCH(D327,CONFIG!$D$5:$D$14,0))),""))</f>
        <v/>
      </c>
      <c r="AB327" s="16" t="str">
        <f aca="false">IF(D327="","",IFERROR(1/(1/INDEX(CONFIG!$K$5:$K$14,MATCH(D327,CONFIG!$D$5:$D$14,0))),""))</f>
        <v/>
      </c>
      <c r="AC327" s="19" t="str">
        <f aca="false">IF(N(M327)=0,"",IF(AA327="","Sin spec",IF(AND(Y327&gt;=AA327,OR(AB327="",Z327&gt;=AB327)),"CUMPLE","NO CUMPLE")&amp;IF(V327=""," (est.)","")))</f>
        <v/>
      </c>
      <c r="AD327" s="20" t="str">
        <f aca="false">IF(F327="","",IF(COUNTIFS(ABSORCION!$C$5:$C$1004,F327,ABSORCION!$I$5:$I$1004,"&gt;0")=0,"",AVERAGEIFS(ABSORCION!$I$5:$I$1004,ABSORCION!$C$5:$C$1004,F327,ABSORCION!$I$5:$I$1004,"&gt;0")))</f>
        <v/>
      </c>
      <c r="AE327" s="20" t="str">
        <f aca="false">IF(F327="","",IF(COUNTIFS(ABSORCION!$C$5:$C$1004,F327,ABSORCION!$I$5:$I$1004,"&gt;0")=0,"",AVERAGEIFS(ABSORCION!$K$5:$K$1004,ABSORCION!$C$5:$C$1004,F327,ABSORCION!$I$5:$I$1004,"&gt;0")))</f>
        <v/>
      </c>
      <c r="AF327" s="20" t="str">
        <f aca="false">IF(AE327="","",IF(AE327&gt;=CONFIG!$E$21,CONFIG!$F$21,IF(AE327&gt;=CONFIG!$E$20,CONFIG!$F$20,CONFIG!$F$19)))</f>
        <v/>
      </c>
      <c r="AG327" s="21" t="str">
        <f aca="false">IF(F327="","",TRIM(IF(N(M327)=0,"Sin ensayos. ","")&amp;IF(AND(N(M327)&gt;0,N(M327)&lt;CONFIG!$B$26),"Menos de "&amp;CONFIG!$B$26&amp;" probetas. ","")&amp;IF(N(T327)&gt;CONFIG!$B$25,"CV alto. ","")&amp;IF(AND(N(AD327)&gt;0,N(AD327)&gt;N(AF327)),"Absorción alta. ","")))</f>
        <v/>
      </c>
      <c r="AH327" s="22" t="str">
        <f aca="false">IF(AND(N(M327)&gt;0,OR(CONTROL!$C$4="TODAS",C327=CONTROL!$C$4),D327=CONTROL!$C$5),MAX($AH$4:AH326)+1,"")</f>
        <v/>
      </c>
      <c r="AI327" s="22" t="str">
        <f aca="false">IF(AH327="","",P327^2)</f>
        <v/>
      </c>
    </row>
    <row r="328" customFormat="false" ht="15" hidden="false" customHeight="false" outlineLevel="0" collapsed="false">
      <c r="A328" s="11" t="str">
        <f aca="false">IF(B328="","",ROW()-4)</f>
        <v/>
      </c>
      <c r="B328" s="12"/>
      <c r="C328" s="13"/>
      <c r="D328" s="13"/>
      <c r="E328" s="13"/>
      <c r="F328" s="14" t="str">
        <f aca="false">IF(OR(B328="",C328="",D328=""),"",IFERROR(INDEX(CONFIG!$E$5:$E$14,MATCH(D328,CONFIG!$D$5:$D$14,0)),"?")&amp;RIGHT("0"&amp;DAY(B328),2)&amp;RIGHT("0"&amp;MONTH(B328),2)&amp;RIGHT(YEAR(B328),2)&amp;C328&amp;IF(E328="","","-"&amp;E328))</f>
        <v/>
      </c>
      <c r="G328" s="13"/>
      <c r="H328" s="13"/>
      <c r="I328" s="13"/>
      <c r="J328" s="13"/>
      <c r="K328" s="13"/>
      <c r="L328" s="13"/>
      <c r="M328" s="11" t="str">
        <f aca="false">IF(F328="","",COUNTIFS(ENSAYOS!$C$5:$C$3004,F328,ENSAYOS!$Q$5:$Q$3004,"&gt;0"))</f>
        <v/>
      </c>
      <c r="N328" s="15" t="str">
        <f aca="false">IF(N(M328)=0,"",_xlfn.MINIFS(ENSAYOS!$G$5:$G$3004,ENSAYOS!$C$5:$C$3004,F328,ENSAYOS!$Q$5:$Q$3004,"&gt;0"))</f>
        <v/>
      </c>
      <c r="O328" s="15" t="str">
        <f aca="false">IF(N(M328)=0,"",_xlfn.MAXIFS(ENSAYOS!$G$5:$G$3004,ENSAYOS!$C$5:$C$3004,F328,ENSAYOS!$Q$5:$Q$3004,"&gt;0"))</f>
        <v/>
      </c>
      <c r="P328" s="16" t="str">
        <f aca="false">IF(N(M328)=0,"",AVERAGEIFS(ENSAYOS!$Q$5:$Q$3004,ENSAYOS!$C$5:$C$3004,F328,ENSAYOS!$Q$5:$Q$3004,"&gt;0"))</f>
        <v/>
      </c>
      <c r="Q328" s="16" t="str">
        <f aca="false">IF(N(M328)=0,"",_xlfn.MINIFS(ENSAYOS!$Q$5:$Q$3004,ENSAYOS!$C$5:$C$3004,F328,ENSAYOS!$Q$5:$Q$3004,"&gt;0"))</f>
        <v/>
      </c>
      <c r="R328" s="16" t="str">
        <f aca="false">IF(N(M328)=0,"",_xlfn.MAXIFS(ENSAYOS!$Q$5:$Q$3004,ENSAYOS!$C$5:$C$3004,F328,ENSAYOS!$Q$5:$Q$3004,"&gt;0"))</f>
        <v/>
      </c>
      <c r="S328" s="16" t="str">
        <f aca="false">IF(N(M328)&lt;2,"",SQRT(MAX(0,(SUMIFS(ENSAYOS!$X$5:$X$3004,ENSAYOS!$C$5:$C$3004,F328,ENSAYOS!$Q$5:$Q$3004,"&gt;0")-M328*P328^2)/(M328-1))))</f>
        <v/>
      </c>
      <c r="T328" s="17" t="str">
        <f aca="false">IF(S328="","",S328/P328)</f>
        <v/>
      </c>
      <c r="U328" s="16" t="str">
        <f aca="false">IF(N(M328)=0,"",IF(N328&gt;=CONFIG!$B$27,"",AVERAGEIFS(ENSAYOS!$Q$5:$Q$3004,ENSAYOS!$C$5:$C$3004,F328,ENSAYOS!$Q$5:$Q$3004,"&gt;0",ENSAYOS!$G$5:$G$3004,N328)))</f>
        <v/>
      </c>
      <c r="V328" s="16" t="str">
        <f aca="false">IF(N(M328)=0,"",IF(COUNTIFS(ENSAYOS!$C$5:$C$3004,F328,ENSAYOS!$Q$5:$Q$3004,"&gt;0",ENSAYOS!$G$5:$G$3004,"&gt;="&amp;CONFIG!$B$27)=0,"",AVERAGEIFS(ENSAYOS!$Q$5:$Q$3004,ENSAYOS!$C$5:$C$3004,F328,ENSAYOS!$Q$5:$Q$3004,"&gt;0",ENSAYOS!$G$5:$G$3004,"&gt;="&amp;CONFIG!$B$27)))</f>
        <v/>
      </c>
      <c r="W328" s="18" t="str">
        <f aca="false">IF(AND(U328&lt;&gt;"",V328&lt;&gt;""),U328/V328,"")</f>
        <v/>
      </c>
      <c r="X328" s="18" t="str">
        <f aca="false">IF(U328="","",INDEX('CURVA EDAD'!$E$5:$E$32,MIN(28,MAX(1,N328))))</f>
        <v/>
      </c>
      <c r="Y328" s="16" t="str">
        <f aca="false">IF(V328&lt;&gt;"",V328,IF(U328="","",U328/X328))</f>
        <v/>
      </c>
      <c r="Z328" s="16" t="str">
        <f aca="false">IF(V328&lt;&gt;"",_xlfn.MINIFS(ENSAYOS!$Q$5:$Q$3004,ENSAYOS!$C$5:$C$3004,F328,ENSAYOS!$Q$5:$Q$3004,"&gt;0",ENSAYOS!$G$5:$G$3004,"&gt;="&amp;CONFIG!$B$27),IF(U328="","",_xlfn.MINIFS(ENSAYOS!$Q$5:$Q$3004,ENSAYOS!$C$5:$C$3004,F328,ENSAYOS!$Q$5:$Q$3004,"&gt;0",ENSAYOS!$G$5:$G$3004,N328)/X328))</f>
        <v/>
      </c>
      <c r="AA328" s="16" t="str">
        <f aca="false">IF(D328="","",IFERROR(1/(1/INDEX(CONFIG!$J$5:$J$14,MATCH(D328,CONFIG!$D$5:$D$14,0))),""))</f>
        <v/>
      </c>
      <c r="AB328" s="16" t="str">
        <f aca="false">IF(D328="","",IFERROR(1/(1/INDEX(CONFIG!$K$5:$K$14,MATCH(D328,CONFIG!$D$5:$D$14,0))),""))</f>
        <v/>
      </c>
      <c r="AC328" s="19" t="str">
        <f aca="false">IF(N(M328)=0,"",IF(AA328="","Sin spec",IF(AND(Y328&gt;=AA328,OR(AB328="",Z328&gt;=AB328)),"CUMPLE","NO CUMPLE")&amp;IF(V328=""," (est.)","")))</f>
        <v/>
      </c>
      <c r="AD328" s="20" t="str">
        <f aca="false">IF(F328="","",IF(COUNTIFS(ABSORCION!$C$5:$C$1004,F328,ABSORCION!$I$5:$I$1004,"&gt;0")=0,"",AVERAGEIFS(ABSORCION!$I$5:$I$1004,ABSORCION!$C$5:$C$1004,F328,ABSORCION!$I$5:$I$1004,"&gt;0")))</f>
        <v/>
      </c>
      <c r="AE328" s="20" t="str">
        <f aca="false">IF(F328="","",IF(COUNTIFS(ABSORCION!$C$5:$C$1004,F328,ABSORCION!$I$5:$I$1004,"&gt;0")=0,"",AVERAGEIFS(ABSORCION!$K$5:$K$1004,ABSORCION!$C$5:$C$1004,F328,ABSORCION!$I$5:$I$1004,"&gt;0")))</f>
        <v/>
      </c>
      <c r="AF328" s="20" t="str">
        <f aca="false">IF(AE328="","",IF(AE328&gt;=CONFIG!$E$21,CONFIG!$F$21,IF(AE328&gt;=CONFIG!$E$20,CONFIG!$F$20,CONFIG!$F$19)))</f>
        <v/>
      </c>
      <c r="AG328" s="21" t="str">
        <f aca="false">IF(F328="","",TRIM(IF(N(M328)=0,"Sin ensayos. ","")&amp;IF(AND(N(M328)&gt;0,N(M328)&lt;CONFIG!$B$26),"Menos de "&amp;CONFIG!$B$26&amp;" probetas. ","")&amp;IF(N(T328)&gt;CONFIG!$B$25,"CV alto. ","")&amp;IF(AND(N(AD328)&gt;0,N(AD328)&gt;N(AF328)),"Absorción alta. ","")))</f>
        <v/>
      </c>
      <c r="AH328" s="22" t="str">
        <f aca="false">IF(AND(N(M328)&gt;0,OR(CONTROL!$C$4="TODAS",C328=CONTROL!$C$4),D328=CONTROL!$C$5),MAX($AH$4:AH327)+1,"")</f>
        <v/>
      </c>
      <c r="AI328" s="22" t="str">
        <f aca="false">IF(AH328="","",P328^2)</f>
        <v/>
      </c>
    </row>
    <row r="329" customFormat="false" ht="15" hidden="false" customHeight="false" outlineLevel="0" collapsed="false">
      <c r="A329" s="11" t="str">
        <f aca="false">IF(B329="","",ROW()-4)</f>
        <v/>
      </c>
      <c r="B329" s="12"/>
      <c r="C329" s="13"/>
      <c r="D329" s="13"/>
      <c r="E329" s="13"/>
      <c r="F329" s="14" t="str">
        <f aca="false">IF(OR(B329="",C329="",D329=""),"",IFERROR(INDEX(CONFIG!$E$5:$E$14,MATCH(D329,CONFIG!$D$5:$D$14,0)),"?")&amp;RIGHT("0"&amp;DAY(B329),2)&amp;RIGHT("0"&amp;MONTH(B329),2)&amp;RIGHT(YEAR(B329),2)&amp;C329&amp;IF(E329="","","-"&amp;E329))</f>
        <v/>
      </c>
      <c r="G329" s="13"/>
      <c r="H329" s="13"/>
      <c r="I329" s="13"/>
      <c r="J329" s="13"/>
      <c r="K329" s="13"/>
      <c r="L329" s="13"/>
      <c r="M329" s="11" t="str">
        <f aca="false">IF(F329="","",COUNTIFS(ENSAYOS!$C$5:$C$3004,F329,ENSAYOS!$Q$5:$Q$3004,"&gt;0"))</f>
        <v/>
      </c>
      <c r="N329" s="15" t="str">
        <f aca="false">IF(N(M329)=0,"",_xlfn.MINIFS(ENSAYOS!$G$5:$G$3004,ENSAYOS!$C$5:$C$3004,F329,ENSAYOS!$Q$5:$Q$3004,"&gt;0"))</f>
        <v/>
      </c>
      <c r="O329" s="15" t="str">
        <f aca="false">IF(N(M329)=0,"",_xlfn.MAXIFS(ENSAYOS!$G$5:$G$3004,ENSAYOS!$C$5:$C$3004,F329,ENSAYOS!$Q$5:$Q$3004,"&gt;0"))</f>
        <v/>
      </c>
      <c r="P329" s="16" t="str">
        <f aca="false">IF(N(M329)=0,"",AVERAGEIFS(ENSAYOS!$Q$5:$Q$3004,ENSAYOS!$C$5:$C$3004,F329,ENSAYOS!$Q$5:$Q$3004,"&gt;0"))</f>
        <v/>
      </c>
      <c r="Q329" s="16" t="str">
        <f aca="false">IF(N(M329)=0,"",_xlfn.MINIFS(ENSAYOS!$Q$5:$Q$3004,ENSAYOS!$C$5:$C$3004,F329,ENSAYOS!$Q$5:$Q$3004,"&gt;0"))</f>
        <v/>
      </c>
      <c r="R329" s="16" t="str">
        <f aca="false">IF(N(M329)=0,"",_xlfn.MAXIFS(ENSAYOS!$Q$5:$Q$3004,ENSAYOS!$C$5:$C$3004,F329,ENSAYOS!$Q$5:$Q$3004,"&gt;0"))</f>
        <v/>
      </c>
      <c r="S329" s="16" t="str">
        <f aca="false">IF(N(M329)&lt;2,"",SQRT(MAX(0,(SUMIFS(ENSAYOS!$X$5:$X$3004,ENSAYOS!$C$5:$C$3004,F329,ENSAYOS!$Q$5:$Q$3004,"&gt;0")-M329*P329^2)/(M329-1))))</f>
        <v/>
      </c>
      <c r="T329" s="17" t="str">
        <f aca="false">IF(S329="","",S329/P329)</f>
        <v/>
      </c>
      <c r="U329" s="16" t="str">
        <f aca="false">IF(N(M329)=0,"",IF(N329&gt;=CONFIG!$B$27,"",AVERAGEIFS(ENSAYOS!$Q$5:$Q$3004,ENSAYOS!$C$5:$C$3004,F329,ENSAYOS!$Q$5:$Q$3004,"&gt;0",ENSAYOS!$G$5:$G$3004,N329)))</f>
        <v/>
      </c>
      <c r="V329" s="16" t="str">
        <f aca="false">IF(N(M329)=0,"",IF(COUNTIFS(ENSAYOS!$C$5:$C$3004,F329,ENSAYOS!$Q$5:$Q$3004,"&gt;0",ENSAYOS!$G$5:$G$3004,"&gt;="&amp;CONFIG!$B$27)=0,"",AVERAGEIFS(ENSAYOS!$Q$5:$Q$3004,ENSAYOS!$C$5:$C$3004,F329,ENSAYOS!$Q$5:$Q$3004,"&gt;0",ENSAYOS!$G$5:$G$3004,"&gt;="&amp;CONFIG!$B$27)))</f>
        <v/>
      </c>
      <c r="W329" s="18" t="str">
        <f aca="false">IF(AND(U329&lt;&gt;"",V329&lt;&gt;""),U329/V329,"")</f>
        <v/>
      </c>
      <c r="X329" s="18" t="str">
        <f aca="false">IF(U329="","",INDEX('CURVA EDAD'!$E$5:$E$32,MIN(28,MAX(1,N329))))</f>
        <v/>
      </c>
      <c r="Y329" s="16" t="str">
        <f aca="false">IF(V329&lt;&gt;"",V329,IF(U329="","",U329/X329))</f>
        <v/>
      </c>
      <c r="Z329" s="16" t="str">
        <f aca="false">IF(V329&lt;&gt;"",_xlfn.MINIFS(ENSAYOS!$Q$5:$Q$3004,ENSAYOS!$C$5:$C$3004,F329,ENSAYOS!$Q$5:$Q$3004,"&gt;0",ENSAYOS!$G$5:$G$3004,"&gt;="&amp;CONFIG!$B$27),IF(U329="","",_xlfn.MINIFS(ENSAYOS!$Q$5:$Q$3004,ENSAYOS!$C$5:$C$3004,F329,ENSAYOS!$Q$5:$Q$3004,"&gt;0",ENSAYOS!$G$5:$G$3004,N329)/X329))</f>
        <v/>
      </c>
      <c r="AA329" s="16" t="str">
        <f aca="false">IF(D329="","",IFERROR(1/(1/INDEX(CONFIG!$J$5:$J$14,MATCH(D329,CONFIG!$D$5:$D$14,0))),""))</f>
        <v/>
      </c>
      <c r="AB329" s="16" t="str">
        <f aca="false">IF(D329="","",IFERROR(1/(1/INDEX(CONFIG!$K$5:$K$14,MATCH(D329,CONFIG!$D$5:$D$14,0))),""))</f>
        <v/>
      </c>
      <c r="AC329" s="19" t="str">
        <f aca="false">IF(N(M329)=0,"",IF(AA329="","Sin spec",IF(AND(Y329&gt;=AA329,OR(AB329="",Z329&gt;=AB329)),"CUMPLE","NO CUMPLE")&amp;IF(V329=""," (est.)","")))</f>
        <v/>
      </c>
      <c r="AD329" s="20" t="str">
        <f aca="false">IF(F329="","",IF(COUNTIFS(ABSORCION!$C$5:$C$1004,F329,ABSORCION!$I$5:$I$1004,"&gt;0")=0,"",AVERAGEIFS(ABSORCION!$I$5:$I$1004,ABSORCION!$C$5:$C$1004,F329,ABSORCION!$I$5:$I$1004,"&gt;0")))</f>
        <v/>
      </c>
      <c r="AE329" s="20" t="str">
        <f aca="false">IF(F329="","",IF(COUNTIFS(ABSORCION!$C$5:$C$1004,F329,ABSORCION!$I$5:$I$1004,"&gt;0")=0,"",AVERAGEIFS(ABSORCION!$K$5:$K$1004,ABSORCION!$C$5:$C$1004,F329,ABSORCION!$I$5:$I$1004,"&gt;0")))</f>
        <v/>
      </c>
      <c r="AF329" s="20" t="str">
        <f aca="false">IF(AE329="","",IF(AE329&gt;=CONFIG!$E$21,CONFIG!$F$21,IF(AE329&gt;=CONFIG!$E$20,CONFIG!$F$20,CONFIG!$F$19)))</f>
        <v/>
      </c>
      <c r="AG329" s="21" t="str">
        <f aca="false">IF(F329="","",TRIM(IF(N(M329)=0,"Sin ensayos. ","")&amp;IF(AND(N(M329)&gt;0,N(M329)&lt;CONFIG!$B$26),"Menos de "&amp;CONFIG!$B$26&amp;" probetas. ","")&amp;IF(N(T329)&gt;CONFIG!$B$25,"CV alto. ","")&amp;IF(AND(N(AD329)&gt;0,N(AD329)&gt;N(AF329)),"Absorción alta. ","")))</f>
        <v/>
      </c>
      <c r="AH329" s="22" t="str">
        <f aca="false">IF(AND(N(M329)&gt;0,OR(CONTROL!$C$4="TODAS",C329=CONTROL!$C$4),D329=CONTROL!$C$5),MAX($AH$4:AH328)+1,"")</f>
        <v/>
      </c>
      <c r="AI329" s="22" t="str">
        <f aca="false">IF(AH329="","",P329^2)</f>
        <v/>
      </c>
    </row>
    <row r="330" customFormat="false" ht="15" hidden="false" customHeight="false" outlineLevel="0" collapsed="false">
      <c r="A330" s="11" t="str">
        <f aca="false">IF(B330="","",ROW()-4)</f>
        <v/>
      </c>
      <c r="B330" s="12"/>
      <c r="C330" s="13"/>
      <c r="D330" s="13"/>
      <c r="E330" s="13"/>
      <c r="F330" s="14" t="str">
        <f aca="false">IF(OR(B330="",C330="",D330=""),"",IFERROR(INDEX(CONFIG!$E$5:$E$14,MATCH(D330,CONFIG!$D$5:$D$14,0)),"?")&amp;RIGHT("0"&amp;DAY(B330),2)&amp;RIGHT("0"&amp;MONTH(B330),2)&amp;RIGHT(YEAR(B330),2)&amp;C330&amp;IF(E330="","","-"&amp;E330))</f>
        <v/>
      </c>
      <c r="G330" s="13"/>
      <c r="H330" s="13"/>
      <c r="I330" s="13"/>
      <c r="J330" s="13"/>
      <c r="K330" s="13"/>
      <c r="L330" s="13"/>
      <c r="M330" s="11" t="str">
        <f aca="false">IF(F330="","",COUNTIFS(ENSAYOS!$C$5:$C$3004,F330,ENSAYOS!$Q$5:$Q$3004,"&gt;0"))</f>
        <v/>
      </c>
      <c r="N330" s="15" t="str">
        <f aca="false">IF(N(M330)=0,"",_xlfn.MINIFS(ENSAYOS!$G$5:$G$3004,ENSAYOS!$C$5:$C$3004,F330,ENSAYOS!$Q$5:$Q$3004,"&gt;0"))</f>
        <v/>
      </c>
      <c r="O330" s="15" t="str">
        <f aca="false">IF(N(M330)=0,"",_xlfn.MAXIFS(ENSAYOS!$G$5:$G$3004,ENSAYOS!$C$5:$C$3004,F330,ENSAYOS!$Q$5:$Q$3004,"&gt;0"))</f>
        <v/>
      </c>
      <c r="P330" s="16" t="str">
        <f aca="false">IF(N(M330)=0,"",AVERAGEIFS(ENSAYOS!$Q$5:$Q$3004,ENSAYOS!$C$5:$C$3004,F330,ENSAYOS!$Q$5:$Q$3004,"&gt;0"))</f>
        <v/>
      </c>
      <c r="Q330" s="16" t="str">
        <f aca="false">IF(N(M330)=0,"",_xlfn.MINIFS(ENSAYOS!$Q$5:$Q$3004,ENSAYOS!$C$5:$C$3004,F330,ENSAYOS!$Q$5:$Q$3004,"&gt;0"))</f>
        <v/>
      </c>
      <c r="R330" s="16" t="str">
        <f aca="false">IF(N(M330)=0,"",_xlfn.MAXIFS(ENSAYOS!$Q$5:$Q$3004,ENSAYOS!$C$5:$C$3004,F330,ENSAYOS!$Q$5:$Q$3004,"&gt;0"))</f>
        <v/>
      </c>
      <c r="S330" s="16" t="str">
        <f aca="false">IF(N(M330)&lt;2,"",SQRT(MAX(0,(SUMIFS(ENSAYOS!$X$5:$X$3004,ENSAYOS!$C$5:$C$3004,F330,ENSAYOS!$Q$5:$Q$3004,"&gt;0")-M330*P330^2)/(M330-1))))</f>
        <v/>
      </c>
      <c r="T330" s="17" t="str">
        <f aca="false">IF(S330="","",S330/P330)</f>
        <v/>
      </c>
      <c r="U330" s="16" t="str">
        <f aca="false">IF(N(M330)=0,"",IF(N330&gt;=CONFIG!$B$27,"",AVERAGEIFS(ENSAYOS!$Q$5:$Q$3004,ENSAYOS!$C$5:$C$3004,F330,ENSAYOS!$Q$5:$Q$3004,"&gt;0",ENSAYOS!$G$5:$G$3004,N330)))</f>
        <v/>
      </c>
      <c r="V330" s="16" t="str">
        <f aca="false">IF(N(M330)=0,"",IF(COUNTIFS(ENSAYOS!$C$5:$C$3004,F330,ENSAYOS!$Q$5:$Q$3004,"&gt;0",ENSAYOS!$G$5:$G$3004,"&gt;="&amp;CONFIG!$B$27)=0,"",AVERAGEIFS(ENSAYOS!$Q$5:$Q$3004,ENSAYOS!$C$5:$C$3004,F330,ENSAYOS!$Q$5:$Q$3004,"&gt;0",ENSAYOS!$G$5:$G$3004,"&gt;="&amp;CONFIG!$B$27)))</f>
        <v/>
      </c>
      <c r="W330" s="18" t="str">
        <f aca="false">IF(AND(U330&lt;&gt;"",V330&lt;&gt;""),U330/V330,"")</f>
        <v/>
      </c>
      <c r="X330" s="18" t="str">
        <f aca="false">IF(U330="","",INDEX('CURVA EDAD'!$E$5:$E$32,MIN(28,MAX(1,N330))))</f>
        <v/>
      </c>
      <c r="Y330" s="16" t="str">
        <f aca="false">IF(V330&lt;&gt;"",V330,IF(U330="","",U330/X330))</f>
        <v/>
      </c>
      <c r="Z330" s="16" t="str">
        <f aca="false">IF(V330&lt;&gt;"",_xlfn.MINIFS(ENSAYOS!$Q$5:$Q$3004,ENSAYOS!$C$5:$C$3004,F330,ENSAYOS!$Q$5:$Q$3004,"&gt;0",ENSAYOS!$G$5:$G$3004,"&gt;="&amp;CONFIG!$B$27),IF(U330="","",_xlfn.MINIFS(ENSAYOS!$Q$5:$Q$3004,ENSAYOS!$C$5:$C$3004,F330,ENSAYOS!$Q$5:$Q$3004,"&gt;0",ENSAYOS!$G$5:$G$3004,N330)/X330))</f>
        <v/>
      </c>
      <c r="AA330" s="16" t="str">
        <f aca="false">IF(D330="","",IFERROR(1/(1/INDEX(CONFIG!$J$5:$J$14,MATCH(D330,CONFIG!$D$5:$D$14,0))),""))</f>
        <v/>
      </c>
      <c r="AB330" s="16" t="str">
        <f aca="false">IF(D330="","",IFERROR(1/(1/INDEX(CONFIG!$K$5:$K$14,MATCH(D330,CONFIG!$D$5:$D$14,0))),""))</f>
        <v/>
      </c>
      <c r="AC330" s="19" t="str">
        <f aca="false">IF(N(M330)=0,"",IF(AA330="","Sin spec",IF(AND(Y330&gt;=AA330,OR(AB330="",Z330&gt;=AB330)),"CUMPLE","NO CUMPLE")&amp;IF(V330=""," (est.)","")))</f>
        <v/>
      </c>
      <c r="AD330" s="20" t="str">
        <f aca="false">IF(F330="","",IF(COUNTIFS(ABSORCION!$C$5:$C$1004,F330,ABSORCION!$I$5:$I$1004,"&gt;0")=0,"",AVERAGEIFS(ABSORCION!$I$5:$I$1004,ABSORCION!$C$5:$C$1004,F330,ABSORCION!$I$5:$I$1004,"&gt;0")))</f>
        <v/>
      </c>
      <c r="AE330" s="20" t="str">
        <f aca="false">IF(F330="","",IF(COUNTIFS(ABSORCION!$C$5:$C$1004,F330,ABSORCION!$I$5:$I$1004,"&gt;0")=0,"",AVERAGEIFS(ABSORCION!$K$5:$K$1004,ABSORCION!$C$5:$C$1004,F330,ABSORCION!$I$5:$I$1004,"&gt;0")))</f>
        <v/>
      </c>
      <c r="AF330" s="20" t="str">
        <f aca="false">IF(AE330="","",IF(AE330&gt;=CONFIG!$E$21,CONFIG!$F$21,IF(AE330&gt;=CONFIG!$E$20,CONFIG!$F$20,CONFIG!$F$19)))</f>
        <v/>
      </c>
      <c r="AG330" s="21" t="str">
        <f aca="false">IF(F330="","",TRIM(IF(N(M330)=0,"Sin ensayos. ","")&amp;IF(AND(N(M330)&gt;0,N(M330)&lt;CONFIG!$B$26),"Menos de "&amp;CONFIG!$B$26&amp;" probetas. ","")&amp;IF(N(T330)&gt;CONFIG!$B$25,"CV alto. ","")&amp;IF(AND(N(AD330)&gt;0,N(AD330)&gt;N(AF330)),"Absorción alta. ","")))</f>
        <v/>
      </c>
      <c r="AH330" s="22" t="str">
        <f aca="false">IF(AND(N(M330)&gt;0,OR(CONTROL!$C$4="TODAS",C330=CONTROL!$C$4),D330=CONTROL!$C$5),MAX($AH$4:AH329)+1,"")</f>
        <v/>
      </c>
      <c r="AI330" s="22" t="str">
        <f aca="false">IF(AH330="","",P330^2)</f>
        <v/>
      </c>
    </row>
    <row r="331" customFormat="false" ht="15" hidden="false" customHeight="false" outlineLevel="0" collapsed="false">
      <c r="A331" s="11" t="str">
        <f aca="false">IF(B331="","",ROW()-4)</f>
        <v/>
      </c>
      <c r="B331" s="12"/>
      <c r="C331" s="13"/>
      <c r="D331" s="13"/>
      <c r="E331" s="13"/>
      <c r="F331" s="14" t="str">
        <f aca="false">IF(OR(B331="",C331="",D331=""),"",IFERROR(INDEX(CONFIG!$E$5:$E$14,MATCH(D331,CONFIG!$D$5:$D$14,0)),"?")&amp;RIGHT("0"&amp;DAY(B331),2)&amp;RIGHT("0"&amp;MONTH(B331),2)&amp;RIGHT(YEAR(B331),2)&amp;C331&amp;IF(E331="","","-"&amp;E331))</f>
        <v/>
      </c>
      <c r="G331" s="13"/>
      <c r="H331" s="13"/>
      <c r="I331" s="13"/>
      <c r="J331" s="13"/>
      <c r="K331" s="13"/>
      <c r="L331" s="13"/>
      <c r="M331" s="11" t="str">
        <f aca="false">IF(F331="","",COUNTIFS(ENSAYOS!$C$5:$C$3004,F331,ENSAYOS!$Q$5:$Q$3004,"&gt;0"))</f>
        <v/>
      </c>
      <c r="N331" s="15" t="str">
        <f aca="false">IF(N(M331)=0,"",_xlfn.MINIFS(ENSAYOS!$G$5:$G$3004,ENSAYOS!$C$5:$C$3004,F331,ENSAYOS!$Q$5:$Q$3004,"&gt;0"))</f>
        <v/>
      </c>
      <c r="O331" s="15" t="str">
        <f aca="false">IF(N(M331)=0,"",_xlfn.MAXIFS(ENSAYOS!$G$5:$G$3004,ENSAYOS!$C$5:$C$3004,F331,ENSAYOS!$Q$5:$Q$3004,"&gt;0"))</f>
        <v/>
      </c>
      <c r="P331" s="16" t="str">
        <f aca="false">IF(N(M331)=0,"",AVERAGEIFS(ENSAYOS!$Q$5:$Q$3004,ENSAYOS!$C$5:$C$3004,F331,ENSAYOS!$Q$5:$Q$3004,"&gt;0"))</f>
        <v/>
      </c>
      <c r="Q331" s="16" t="str">
        <f aca="false">IF(N(M331)=0,"",_xlfn.MINIFS(ENSAYOS!$Q$5:$Q$3004,ENSAYOS!$C$5:$C$3004,F331,ENSAYOS!$Q$5:$Q$3004,"&gt;0"))</f>
        <v/>
      </c>
      <c r="R331" s="16" t="str">
        <f aca="false">IF(N(M331)=0,"",_xlfn.MAXIFS(ENSAYOS!$Q$5:$Q$3004,ENSAYOS!$C$5:$C$3004,F331,ENSAYOS!$Q$5:$Q$3004,"&gt;0"))</f>
        <v/>
      </c>
      <c r="S331" s="16" t="str">
        <f aca="false">IF(N(M331)&lt;2,"",SQRT(MAX(0,(SUMIFS(ENSAYOS!$X$5:$X$3004,ENSAYOS!$C$5:$C$3004,F331,ENSAYOS!$Q$5:$Q$3004,"&gt;0")-M331*P331^2)/(M331-1))))</f>
        <v/>
      </c>
      <c r="T331" s="17" t="str">
        <f aca="false">IF(S331="","",S331/P331)</f>
        <v/>
      </c>
      <c r="U331" s="16" t="str">
        <f aca="false">IF(N(M331)=0,"",IF(N331&gt;=CONFIG!$B$27,"",AVERAGEIFS(ENSAYOS!$Q$5:$Q$3004,ENSAYOS!$C$5:$C$3004,F331,ENSAYOS!$Q$5:$Q$3004,"&gt;0",ENSAYOS!$G$5:$G$3004,N331)))</f>
        <v/>
      </c>
      <c r="V331" s="16" t="str">
        <f aca="false">IF(N(M331)=0,"",IF(COUNTIFS(ENSAYOS!$C$5:$C$3004,F331,ENSAYOS!$Q$5:$Q$3004,"&gt;0",ENSAYOS!$G$5:$G$3004,"&gt;="&amp;CONFIG!$B$27)=0,"",AVERAGEIFS(ENSAYOS!$Q$5:$Q$3004,ENSAYOS!$C$5:$C$3004,F331,ENSAYOS!$Q$5:$Q$3004,"&gt;0",ENSAYOS!$G$5:$G$3004,"&gt;="&amp;CONFIG!$B$27)))</f>
        <v/>
      </c>
      <c r="W331" s="18" t="str">
        <f aca="false">IF(AND(U331&lt;&gt;"",V331&lt;&gt;""),U331/V331,"")</f>
        <v/>
      </c>
      <c r="X331" s="18" t="str">
        <f aca="false">IF(U331="","",INDEX('CURVA EDAD'!$E$5:$E$32,MIN(28,MAX(1,N331))))</f>
        <v/>
      </c>
      <c r="Y331" s="16" t="str">
        <f aca="false">IF(V331&lt;&gt;"",V331,IF(U331="","",U331/X331))</f>
        <v/>
      </c>
      <c r="Z331" s="16" t="str">
        <f aca="false">IF(V331&lt;&gt;"",_xlfn.MINIFS(ENSAYOS!$Q$5:$Q$3004,ENSAYOS!$C$5:$C$3004,F331,ENSAYOS!$Q$5:$Q$3004,"&gt;0",ENSAYOS!$G$5:$G$3004,"&gt;="&amp;CONFIG!$B$27),IF(U331="","",_xlfn.MINIFS(ENSAYOS!$Q$5:$Q$3004,ENSAYOS!$C$5:$C$3004,F331,ENSAYOS!$Q$5:$Q$3004,"&gt;0",ENSAYOS!$G$5:$G$3004,N331)/X331))</f>
        <v/>
      </c>
      <c r="AA331" s="16" t="str">
        <f aca="false">IF(D331="","",IFERROR(1/(1/INDEX(CONFIG!$J$5:$J$14,MATCH(D331,CONFIG!$D$5:$D$14,0))),""))</f>
        <v/>
      </c>
      <c r="AB331" s="16" t="str">
        <f aca="false">IF(D331="","",IFERROR(1/(1/INDEX(CONFIG!$K$5:$K$14,MATCH(D331,CONFIG!$D$5:$D$14,0))),""))</f>
        <v/>
      </c>
      <c r="AC331" s="19" t="str">
        <f aca="false">IF(N(M331)=0,"",IF(AA331="","Sin spec",IF(AND(Y331&gt;=AA331,OR(AB331="",Z331&gt;=AB331)),"CUMPLE","NO CUMPLE")&amp;IF(V331=""," (est.)","")))</f>
        <v/>
      </c>
      <c r="AD331" s="20" t="str">
        <f aca="false">IF(F331="","",IF(COUNTIFS(ABSORCION!$C$5:$C$1004,F331,ABSORCION!$I$5:$I$1004,"&gt;0")=0,"",AVERAGEIFS(ABSORCION!$I$5:$I$1004,ABSORCION!$C$5:$C$1004,F331,ABSORCION!$I$5:$I$1004,"&gt;0")))</f>
        <v/>
      </c>
      <c r="AE331" s="20" t="str">
        <f aca="false">IF(F331="","",IF(COUNTIFS(ABSORCION!$C$5:$C$1004,F331,ABSORCION!$I$5:$I$1004,"&gt;0")=0,"",AVERAGEIFS(ABSORCION!$K$5:$K$1004,ABSORCION!$C$5:$C$1004,F331,ABSORCION!$I$5:$I$1004,"&gt;0")))</f>
        <v/>
      </c>
      <c r="AF331" s="20" t="str">
        <f aca="false">IF(AE331="","",IF(AE331&gt;=CONFIG!$E$21,CONFIG!$F$21,IF(AE331&gt;=CONFIG!$E$20,CONFIG!$F$20,CONFIG!$F$19)))</f>
        <v/>
      </c>
      <c r="AG331" s="21" t="str">
        <f aca="false">IF(F331="","",TRIM(IF(N(M331)=0,"Sin ensayos. ","")&amp;IF(AND(N(M331)&gt;0,N(M331)&lt;CONFIG!$B$26),"Menos de "&amp;CONFIG!$B$26&amp;" probetas. ","")&amp;IF(N(T331)&gt;CONFIG!$B$25,"CV alto. ","")&amp;IF(AND(N(AD331)&gt;0,N(AD331)&gt;N(AF331)),"Absorción alta. ","")))</f>
        <v/>
      </c>
      <c r="AH331" s="22" t="str">
        <f aca="false">IF(AND(N(M331)&gt;0,OR(CONTROL!$C$4="TODAS",C331=CONTROL!$C$4),D331=CONTROL!$C$5),MAX($AH$4:AH330)+1,"")</f>
        <v/>
      </c>
      <c r="AI331" s="22" t="str">
        <f aca="false">IF(AH331="","",P331^2)</f>
        <v/>
      </c>
    </row>
    <row r="332" customFormat="false" ht="15" hidden="false" customHeight="false" outlineLevel="0" collapsed="false">
      <c r="A332" s="11" t="str">
        <f aca="false">IF(B332="","",ROW()-4)</f>
        <v/>
      </c>
      <c r="B332" s="12"/>
      <c r="C332" s="13"/>
      <c r="D332" s="13"/>
      <c r="E332" s="13"/>
      <c r="F332" s="14" t="str">
        <f aca="false">IF(OR(B332="",C332="",D332=""),"",IFERROR(INDEX(CONFIG!$E$5:$E$14,MATCH(D332,CONFIG!$D$5:$D$14,0)),"?")&amp;RIGHT("0"&amp;DAY(B332),2)&amp;RIGHT("0"&amp;MONTH(B332),2)&amp;RIGHT(YEAR(B332),2)&amp;C332&amp;IF(E332="","","-"&amp;E332))</f>
        <v/>
      </c>
      <c r="G332" s="13"/>
      <c r="H332" s="13"/>
      <c r="I332" s="13"/>
      <c r="J332" s="13"/>
      <c r="K332" s="13"/>
      <c r="L332" s="13"/>
      <c r="M332" s="11" t="str">
        <f aca="false">IF(F332="","",COUNTIFS(ENSAYOS!$C$5:$C$3004,F332,ENSAYOS!$Q$5:$Q$3004,"&gt;0"))</f>
        <v/>
      </c>
      <c r="N332" s="15" t="str">
        <f aca="false">IF(N(M332)=0,"",_xlfn.MINIFS(ENSAYOS!$G$5:$G$3004,ENSAYOS!$C$5:$C$3004,F332,ENSAYOS!$Q$5:$Q$3004,"&gt;0"))</f>
        <v/>
      </c>
      <c r="O332" s="15" t="str">
        <f aca="false">IF(N(M332)=0,"",_xlfn.MAXIFS(ENSAYOS!$G$5:$G$3004,ENSAYOS!$C$5:$C$3004,F332,ENSAYOS!$Q$5:$Q$3004,"&gt;0"))</f>
        <v/>
      </c>
      <c r="P332" s="16" t="str">
        <f aca="false">IF(N(M332)=0,"",AVERAGEIFS(ENSAYOS!$Q$5:$Q$3004,ENSAYOS!$C$5:$C$3004,F332,ENSAYOS!$Q$5:$Q$3004,"&gt;0"))</f>
        <v/>
      </c>
      <c r="Q332" s="16" t="str">
        <f aca="false">IF(N(M332)=0,"",_xlfn.MINIFS(ENSAYOS!$Q$5:$Q$3004,ENSAYOS!$C$5:$C$3004,F332,ENSAYOS!$Q$5:$Q$3004,"&gt;0"))</f>
        <v/>
      </c>
      <c r="R332" s="16" t="str">
        <f aca="false">IF(N(M332)=0,"",_xlfn.MAXIFS(ENSAYOS!$Q$5:$Q$3004,ENSAYOS!$C$5:$C$3004,F332,ENSAYOS!$Q$5:$Q$3004,"&gt;0"))</f>
        <v/>
      </c>
      <c r="S332" s="16" t="str">
        <f aca="false">IF(N(M332)&lt;2,"",SQRT(MAX(0,(SUMIFS(ENSAYOS!$X$5:$X$3004,ENSAYOS!$C$5:$C$3004,F332,ENSAYOS!$Q$5:$Q$3004,"&gt;0")-M332*P332^2)/(M332-1))))</f>
        <v/>
      </c>
      <c r="T332" s="17" t="str">
        <f aca="false">IF(S332="","",S332/P332)</f>
        <v/>
      </c>
      <c r="U332" s="16" t="str">
        <f aca="false">IF(N(M332)=0,"",IF(N332&gt;=CONFIG!$B$27,"",AVERAGEIFS(ENSAYOS!$Q$5:$Q$3004,ENSAYOS!$C$5:$C$3004,F332,ENSAYOS!$Q$5:$Q$3004,"&gt;0",ENSAYOS!$G$5:$G$3004,N332)))</f>
        <v/>
      </c>
      <c r="V332" s="16" t="str">
        <f aca="false">IF(N(M332)=0,"",IF(COUNTIFS(ENSAYOS!$C$5:$C$3004,F332,ENSAYOS!$Q$5:$Q$3004,"&gt;0",ENSAYOS!$G$5:$G$3004,"&gt;="&amp;CONFIG!$B$27)=0,"",AVERAGEIFS(ENSAYOS!$Q$5:$Q$3004,ENSAYOS!$C$5:$C$3004,F332,ENSAYOS!$Q$5:$Q$3004,"&gt;0",ENSAYOS!$G$5:$G$3004,"&gt;="&amp;CONFIG!$B$27)))</f>
        <v/>
      </c>
      <c r="W332" s="18" t="str">
        <f aca="false">IF(AND(U332&lt;&gt;"",V332&lt;&gt;""),U332/V332,"")</f>
        <v/>
      </c>
      <c r="X332" s="18" t="str">
        <f aca="false">IF(U332="","",INDEX('CURVA EDAD'!$E$5:$E$32,MIN(28,MAX(1,N332))))</f>
        <v/>
      </c>
      <c r="Y332" s="16" t="str">
        <f aca="false">IF(V332&lt;&gt;"",V332,IF(U332="","",U332/X332))</f>
        <v/>
      </c>
      <c r="Z332" s="16" t="str">
        <f aca="false">IF(V332&lt;&gt;"",_xlfn.MINIFS(ENSAYOS!$Q$5:$Q$3004,ENSAYOS!$C$5:$C$3004,F332,ENSAYOS!$Q$5:$Q$3004,"&gt;0",ENSAYOS!$G$5:$G$3004,"&gt;="&amp;CONFIG!$B$27),IF(U332="","",_xlfn.MINIFS(ENSAYOS!$Q$5:$Q$3004,ENSAYOS!$C$5:$C$3004,F332,ENSAYOS!$Q$5:$Q$3004,"&gt;0",ENSAYOS!$G$5:$G$3004,N332)/X332))</f>
        <v/>
      </c>
      <c r="AA332" s="16" t="str">
        <f aca="false">IF(D332="","",IFERROR(1/(1/INDEX(CONFIG!$J$5:$J$14,MATCH(D332,CONFIG!$D$5:$D$14,0))),""))</f>
        <v/>
      </c>
      <c r="AB332" s="16" t="str">
        <f aca="false">IF(D332="","",IFERROR(1/(1/INDEX(CONFIG!$K$5:$K$14,MATCH(D332,CONFIG!$D$5:$D$14,0))),""))</f>
        <v/>
      </c>
      <c r="AC332" s="19" t="str">
        <f aca="false">IF(N(M332)=0,"",IF(AA332="","Sin spec",IF(AND(Y332&gt;=AA332,OR(AB332="",Z332&gt;=AB332)),"CUMPLE","NO CUMPLE")&amp;IF(V332=""," (est.)","")))</f>
        <v/>
      </c>
      <c r="AD332" s="20" t="str">
        <f aca="false">IF(F332="","",IF(COUNTIFS(ABSORCION!$C$5:$C$1004,F332,ABSORCION!$I$5:$I$1004,"&gt;0")=0,"",AVERAGEIFS(ABSORCION!$I$5:$I$1004,ABSORCION!$C$5:$C$1004,F332,ABSORCION!$I$5:$I$1004,"&gt;0")))</f>
        <v/>
      </c>
      <c r="AE332" s="20" t="str">
        <f aca="false">IF(F332="","",IF(COUNTIFS(ABSORCION!$C$5:$C$1004,F332,ABSORCION!$I$5:$I$1004,"&gt;0")=0,"",AVERAGEIFS(ABSORCION!$K$5:$K$1004,ABSORCION!$C$5:$C$1004,F332,ABSORCION!$I$5:$I$1004,"&gt;0")))</f>
        <v/>
      </c>
      <c r="AF332" s="20" t="str">
        <f aca="false">IF(AE332="","",IF(AE332&gt;=CONFIG!$E$21,CONFIG!$F$21,IF(AE332&gt;=CONFIG!$E$20,CONFIG!$F$20,CONFIG!$F$19)))</f>
        <v/>
      </c>
      <c r="AG332" s="21" t="str">
        <f aca="false">IF(F332="","",TRIM(IF(N(M332)=0,"Sin ensayos. ","")&amp;IF(AND(N(M332)&gt;0,N(M332)&lt;CONFIG!$B$26),"Menos de "&amp;CONFIG!$B$26&amp;" probetas. ","")&amp;IF(N(T332)&gt;CONFIG!$B$25,"CV alto. ","")&amp;IF(AND(N(AD332)&gt;0,N(AD332)&gt;N(AF332)),"Absorción alta. ","")))</f>
        <v/>
      </c>
      <c r="AH332" s="22" t="str">
        <f aca="false">IF(AND(N(M332)&gt;0,OR(CONTROL!$C$4="TODAS",C332=CONTROL!$C$4),D332=CONTROL!$C$5),MAX($AH$4:AH331)+1,"")</f>
        <v/>
      </c>
      <c r="AI332" s="22" t="str">
        <f aca="false">IF(AH332="","",P332^2)</f>
        <v/>
      </c>
    </row>
    <row r="333" customFormat="false" ht="15" hidden="false" customHeight="false" outlineLevel="0" collapsed="false">
      <c r="A333" s="11" t="str">
        <f aca="false">IF(B333="","",ROW()-4)</f>
        <v/>
      </c>
      <c r="B333" s="12"/>
      <c r="C333" s="13"/>
      <c r="D333" s="13"/>
      <c r="E333" s="13"/>
      <c r="F333" s="14" t="str">
        <f aca="false">IF(OR(B333="",C333="",D333=""),"",IFERROR(INDEX(CONFIG!$E$5:$E$14,MATCH(D333,CONFIG!$D$5:$D$14,0)),"?")&amp;RIGHT("0"&amp;DAY(B333),2)&amp;RIGHT("0"&amp;MONTH(B333),2)&amp;RIGHT(YEAR(B333),2)&amp;C333&amp;IF(E333="","","-"&amp;E333))</f>
        <v/>
      </c>
      <c r="G333" s="13"/>
      <c r="H333" s="13"/>
      <c r="I333" s="13"/>
      <c r="J333" s="13"/>
      <c r="K333" s="13"/>
      <c r="L333" s="13"/>
      <c r="M333" s="11" t="str">
        <f aca="false">IF(F333="","",COUNTIFS(ENSAYOS!$C$5:$C$3004,F333,ENSAYOS!$Q$5:$Q$3004,"&gt;0"))</f>
        <v/>
      </c>
      <c r="N333" s="15" t="str">
        <f aca="false">IF(N(M333)=0,"",_xlfn.MINIFS(ENSAYOS!$G$5:$G$3004,ENSAYOS!$C$5:$C$3004,F333,ENSAYOS!$Q$5:$Q$3004,"&gt;0"))</f>
        <v/>
      </c>
      <c r="O333" s="15" t="str">
        <f aca="false">IF(N(M333)=0,"",_xlfn.MAXIFS(ENSAYOS!$G$5:$G$3004,ENSAYOS!$C$5:$C$3004,F333,ENSAYOS!$Q$5:$Q$3004,"&gt;0"))</f>
        <v/>
      </c>
      <c r="P333" s="16" t="str">
        <f aca="false">IF(N(M333)=0,"",AVERAGEIFS(ENSAYOS!$Q$5:$Q$3004,ENSAYOS!$C$5:$C$3004,F333,ENSAYOS!$Q$5:$Q$3004,"&gt;0"))</f>
        <v/>
      </c>
      <c r="Q333" s="16" t="str">
        <f aca="false">IF(N(M333)=0,"",_xlfn.MINIFS(ENSAYOS!$Q$5:$Q$3004,ENSAYOS!$C$5:$C$3004,F333,ENSAYOS!$Q$5:$Q$3004,"&gt;0"))</f>
        <v/>
      </c>
      <c r="R333" s="16" t="str">
        <f aca="false">IF(N(M333)=0,"",_xlfn.MAXIFS(ENSAYOS!$Q$5:$Q$3004,ENSAYOS!$C$5:$C$3004,F333,ENSAYOS!$Q$5:$Q$3004,"&gt;0"))</f>
        <v/>
      </c>
      <c r="S333" s="16" t="str">
        <f aca="false">IF(N(M333)&lt;2,"",SQRT(MAX(0,(SUMIFS(ENSAYOS!$X$5:$X$3004,ENSAYOS!$C$5:$C$3004,F333,ENSAYOS!$Q$5:$Q$3004,"&gt;0")-M333*P333^2)/(M333-1))))</f>
        <v/>
      </c>
      <c r="T333" s="17" t="str">
        <f aca="false">IF(S333="","",S333/P333)</f>
        <v/>
      </c>
      <c r="U333" s="16" t="str">
        <f aca="false">IF(N(M333)=0,"",IF(N333&gt;=CONFIG!$B$27,"",AVERAGEIFS(ENSAYOS!$Q$5:$Q$3004,ENSAYOS!$C$5:$C$3004,F333,ENSAYOS!$Q$5:$Q$3004,"&gt;0",ENSAYOS!$G$5:$G$3004,N333)))</f>
        <v/>
      </c>
      <c r="V333" s="16" t="str">
        <f aca="false">IF(N(M333)=0,"",IF(COUNTIFS(ENSAYOS!$C$5:$C$3004,F333,ENSAYOS!$Q$5:$Q$3004,"&gt;0",ENSAYOS!$G$5:$G$3004,"&gt;="&amp;CONFIG!$B$27)=0,"",AVERAGEIFS(ENSAYOS!$Q$5:$Q$3004,ENSAYOS!$C$5:$C$3004,F333,ENSAYOS!$Q$5:$Q$3004,"&gt;0",ENSAYOS!$G$5:$G$3004,"&gt;="&amp;CONFIG!$B$27)))</f>
        <v/>
      </c>
      <c r="W333" s="18" t="str">
        <f aca="false">IF(AND(U333&lt;&gt;"",V333&lt;&gt;""),U333/V333,"")</f>
        <v/>
      </c>
      <c r="X333" s="18" t="str">
        <f aca="false">IF(U333="","",INDEX('CURVA EDAD'!$E$5:$E$32,MIN(28,MAX(1,N333))))</f>
        <v/>
      </c>
      <c r="Y333" s="16" t="str">
        <f aca="false">IF(V333&lt;&gt;"",V333,IF(U333="","",U333/X333))</f>
        <v/>
      </c>
      <c r="Z333" s="16" t="str">
        <f aca="false">IF(V333&lt;&gt;"",_xlfn.MINIFS(ENSAYOS!$Q$5:$Q$3004,ENSAYOS!$C$5:$C$3004,F333,ENSAYOS!$Q$5:$Q$3004,"&gt;0",ENSAYOS!$G$5:$G$3004,"&gt;="&amp;CONFIG!$B$27),IF(U333="","",_xlfn.MINIFS(ENSAYOS!$Q$5:$Q$3004,ENSAYOS!$C$5:$C$3004,F333,ENSAYOS!$Q$5:$Q$3004,"&gt;0",ENSAYOS!$G$5:$G$3004,N333)/X333))</f>
        <v/>
      </c>
      <c r="AA333" s="16" t="str">
        <f aca="false">IF(D333="","",IFERROR(1/(1/INDEX(CONFIG!$J$5:$J$14,MATCH(D333,CONFIG!$D$5:$D$14,0))),""))</f>
        <v/>
      </c>
      <c r="AB333" s="16" t="str">
        <f aca="false">IF(D333="","",IFERROR(1/(1/INDEX(CONFIG!$K$5:$K$14,MATCH(D333,CONFIG!$D$5:$D$14,0))),""))</f>
        <v/>
      </c>
      <c r="AC333" s="19" t="str">
        <f aca="false">IF(N(M333)=0,"",IF(AA333="","Sin spec",IF(AND(Y333&gt;=AA333,OR(AB333="",Z333&gt;=AB333)),"CUMPLE","NO CUMPLE")&amp;IF(V333=""," (est.)","")))</f>
        <v/>
      </c>
      <c r="AD333" s="20" t="str">
        <f aca="false">IF(F333="","",IF(COUNTIFS(ABSORCION!$C$5:$C$1004,F333,ABSORCION!$I$5:$I$1004,"&gt;0")=0,"",AVERAGEIFS(ABSORCION!$I$5:$I$1004,ABSORCION!$C$5:$C$1004,F333,ABSORCION!$I$5:$I$1004,"&gt;0")))</f>
        <v/>
      </c>
      <c r="AE333" s="20" t="str">
        <f aca="false">IF(F333="","",IF(COUNTIFS(ABSORCION!$C$5:$C$1004,F333,ABSORCION!$I$5:$I$1004,"&gt;0")=0,"",AVERAGEIFS(ABSORCION!$K$5:$K$1004,ABSORCION!$C$5:$C$1004,F333,ABSORCION!$I$5:$I$1004,"&gt;0")))</f>
        <v/>
      </c>
      <c r="AF333" s="20" t="str">
        <f aca="false">IF(AE333="","",IF(AE333&gt;=CONFIG!$E$21,CONFIG!$F$21,IF(AE333&gt;=CONFIG!$E$20,CONFIG!$F$20,CONFIG!$F$19)))</f>
        <v/>
      </c>
      <c r="AG333" s="21" t="str">
        <f aca="false">IF(F333="","",TRIM(IF(N(M333)=0,"Sin ensayos. ","")&amp;IF(AND(N(M333)&gt;0,N(M333)&lt;CONFIG!$B$26),"Menos de "&amp;CONFIG!$B$26&amp;" probetas. ","")&amp;IF(N(T333)&gt;CONFIG!$B$25,"CV alto. ","")&amp;IF(AND(N(AD333)&gt;0,N(AD333)&gt;N(AF333)),"Absorción alta. ","")))</f>
        <v/>
      </c>
      <c r="AH333" s="22" t="str">
        <f aca="false">IF(AND(N(M333)&gt;0,OR(CONTROL!$C$4="TODAS",C333=CONTROL!$C$4),D333=CONTROL!$C$5),MAX($AH$4:AH332)+1,"")</f>
        <v/>
      </c>
      <c r="AI333" s="22" t="str">
        <f aca="false">IF(AH333="","",P333^2)</f>
        <v/>
      </c>
    </row>
    <row r="334" customFormat="false" ht="15" hidden="false" customHeight="false" outlineLevel="0" collapsed="false">
      <c r="A334" s="11" t="str">
        <f aca="false">IF(B334="","",ROW()-4)</f>
        <v/>
      </c>
      <c r="B334" s="12"/>
      <c r="C334" s="13"/>
      <c r="D334" s="13"/>
      <c r="E334" s="13"/>
      <c r="F334" s="14" t="str">
        <f aca="false">IF(OR(B334="",C334="",D334=""),"",IFERROR(INDEX(CONFIG!$E$5:$E$14,MATCH(D334,CONFIG!$D$5:$D$14,0)),"?")&amp;RIGHT("0"&amp;DAY(B334),2)&amp;RIGHT("0"&amp;MONTH(B334),2)&amp;RIGHT(YEAR(B334),2)&amp;C334&amp;IF(E334="","","-"&amp;E334))</f>
        <v/>
      </c>
      <c r="G334" s="13"/>
      <c r="H334" s="13"/>
      <c r="I334" s="13"/>
      <c r="J334" s="13"/>
      <c r="K334" s="13"/>
      <c r="L334" s="13"/>
      <c r="M334" s="11" t="str">
        <f aca="false">IF(F334="","",COUNTIFS(ENSAYOS!$C$5:$C$3004,F334,ENSAYOS!$Q$5:$Q$3004,"&gt;0"))</f>
        <v/>
      </c>
      <c r="N334" s="15" t="str">
        <f aca="false">IF(N(M334)=0,"",_xlfn.MINIFS(ENSAYOS!$G$5:$G$3004,ENSAYOS!$C$5:$C$3004,F334,ENSAYOS!$Q$5:$Q$3004,"&gt;0"))</f>
        <v/>
      </c>
      <c r="O334" s="15" t="str">
        <f aca="false">IF(N(M334)=0,"",_xlfn.MAXIFS(ENSAYOS!$G$5:$G$3004,ENSAYOS!$C$5:$C$3004,F334,ENSAYOS!$Q$5:$Q$3004,"&gt;0"))</f>
        <v/>
      </c>
      <c r="P334" s="16" t="str">
        <f aca="false">IF(N(M334)=0,"",AVERAGEIFS(ENSAYOS!$Q$5:$Q$3004,ENSAYOS!$C$5:$C$3004,F334,ENSAYOS!$Q$5:$Q$3004,"&gt;0"))</f>
        <v/>
      </c>
      <c r="Q334" s="16" t="str">
        <f aca="false">IF(N(M334)=0,"",_xlfn.MINIFS(ENSAYOS!$Q$5:$Q$3004,ENSAYOS!$C$5:$C$3004,F334,ENSAYOS!$Q$5:$Q$3004,"&gt;0"))</f>
        <v/>
      </c>
      <c r="R334" s="16" t="str">
        <f aca="false">IF(N(M334)=0,"",_xlfn.MAXIFS(ENSAYOS!$Q$5:$Q$3004,ENSAYOS!$C$5:$C$3004,F334,ENSAYOS!$Q$5:$Q$3004,"&gt;0"))</f>
        <v/>
      </c>
      <c r="S334" s="16" t="str">
        <f aca="false">IF(N(M334)&lt;2,"",SQRT(MAX(0,(SUMIFS(ENSAYOS!$X$5:$X$3004,ENSAYOS!$C$5:$C$3004,F334,ENSAYOS!$Q$5:$Q$3004,"&gt;0")-M334*P334^2)/(M334-1))))</f>
        <v/>
      </c>
      <c r="T334" s="17" t="str">
        <f aca="false">IF(S334="","",S334/P334)</f>
        <v/>
      </c>
      <c r="U334" s="16" t="str">
        <f aca="false">IF(N(M334)=0,"",IF(N334&gt;=CONFIG!$B$27,"",AVERAGEIFS(ENSAYOS!$Q$5:$Q$3004,ENSAYOS!$C$5:$C$3004,F334,ENSAYOS!$Q$5:$Q$3004,"&gt;0",ENSAYOS!$G$5:$G$3004,N334)))</f>
        <v/>
      </c>
      <c r="V334" s="16" t="str">
        <f aca="false">IF(N(M334)=0,"",IF(COUNTIFS(ENSAYOS!$C$5:$C$3004,F334,ENSAYOS!$Q$5:$Q$3004,"&gt;0",ENSAYOS!$G$5:$G$3004,"&gt;="&amp;CONFIG!$B$27)=0,"",AVERAGEIFS(ENSAYOS!$Q$5:$Q$3004,ENSAYOS!$C$5:$C$3004,F334,ENSAYOS!$Q$5:$Q$3004,"&gt;0",ENSAYOS!$G$5:$G$3004,"&gt;="&amp;CONFIG!$B$27)))</f>
        <v/>
      </c>
      <c r="W334" s="18" t="str">
        <f aca="false">IF(AND(U334&lt;&gt;"",V334&lt;&gt;""),U334/V334,"")</f>
        <v/>
      </c>
      <c r="X334" s="18" t="str">
        <f aca="false">IF(U334="","",INDEX('CURVA EDAD'!$E$5:$E$32,MIN(28,MAX(1,N334))))</f>
        <v/>
      </c>
      <c r="Y334" s="16" t="str">
        <f aca="false">IF(V334&lt;&gt;"",V334,IF(U334="","",U334/X334))</f>
        <v/>
      </c>
      <c r="Z334" s="16" t="str">
        <f aca="false">IF(V334&lt;&gt;"",_xlfn.MINIFS(ENSAYOS!$Q$5:$Q$3004,ENSAYOS!$C$5:$C$3004,F334,ENSAYOS!$Q$5:$Q$3004,"&gt;0",ENSAYOS!$G$5:$G$3004,"&gt;="&amp;CONFIG!$B$27),IF(U334="","",_xlfn.MINIFS(ENSAYOS!$Q$5:$Q$3004,ENSAYOS!$C$5:$C$3004,F334,ENSAYOS!$Q$5:$Q$3004,"&gt;0",ENSAYOS!$G$5:$G$3004,N334)/X334))</f>
        <v/>
      </c>
      <c r="AA334" s="16" t="str">
        <f aca="false">IF(D334="","",IFERROR(1/(1/INDEX(CONFIG!$J$5:$J$14,MATCH(D334,CONFIG!$D$5:$D$14,0))),""))</f>
        <v/>
      </c>
      <c r="AB334" s="16" t="str">
        <f aca="false">IF(D334="","",IFERROR(1/(1/INDEX(CONFIG!$K$5:$K$14,MATCH(D334,CONFIG!$D$5:$D$14,0))),""))</f>
        <v/>
      </c>
      <c r="AC334" s="19" t="str">
        <f aca="false">IF(N(M334)=0,"",IF(AA334="","Sin spec",IF(AND(Y334&gt;=AA334,OR(AB334="",Z334&gt;=AB334)),"CUMPLE","NO CUMPLE")&amp;IF(V334=""," (est.)","")))</f>
        <v/>
      </c>
      <c r="AD334" s="20" t="str">
        <f aca="false">IF(F334="","",IF(COUNTIFS(ABSORCION!$C$5:$C$1004,F334,ABSORCION!$I$5:$I$1004,"&gt;0")=0,"",AVERAGEIFS(ABSORCION!$I$5:$I$1004,ABSORCION!$C$5:$C$1004,F334,ABSORCION!$I$5:$I$1004,"&gt;0")))</f>
        <v/>
      </c>
      <c r="AE334" s="20" t="str">
        <f aca="false">IF(F334="","",IF(COUNTIFS(ABSORCION!$C$5:$C$1004,F334,ABSORCION!$I$5:$I$1004,"&gt;0")=0,"",AVERAGEIFS(ABSORCION!$K$5:$K$1004,ABSORCION!$C$5:$C$1004,F334,ABSORCION!$I$5:$I$1004,"&gt;0")))</f>
        <v/>
      </c>
      <c r="AF334" s="20" t="str">
        <f aca="false">IF(AE334="","",IF(AE334&gt;=CONFIG!$E$21,CONFIG!$F$21,IF(AE334&gt;=CONFIG!$E$20,CONFIG!$F$20,CONFIG!$F$19)))</f>
        <v/>
      </c>
      <c r="AG334" s="21" t="str">
        <f aca="false">IF(F334="","",TRIM(IF(N(M334)=0,"Sin ensayos. ","")&amp;IF(AND(N(M334)&gt;0,N(M334)&lt;CONFIG!$B$26),"Menos de "&amp;CONFIG!$B$26&amp;" probetas. ","")&amp;IF(N(T334)&gt;CONFIG!$B$25,"CV alto. ","")&amp;IF(AND(N(AD334)&gt;0,N(AD334)&gt;N(AF334)),"Absorción alta. ","")))</f>
        <v/>
      </c>
      <c r="AH334" s="22" t="str">
        <f aca="false">IF(AND(N(M334)&gt;0,OR(CONTROL!$C$4="TODAS",C334=CONTROL!$C$4),D334=CONTROL!$C$5),MAX($AH$4:AH333)+1,"")</f>
        <v/>
      </c>
      <c r="AI334" s="22" t="str">
        <f aca="false">IF(AH334="","",P334^2)</f>
        <v/>
      </c>
    </row>
    <row r="335" customFormat="false" ht="15" hidden="false" customHeight="false" outlineLevel="0" collapsed="false">
      <c r="A335" s="11" t="str">
        <f aca="false">IF(B335="","",ROW()-4)</f>
        <v/>
      </c>
      <c r="B335" s="12"/>
      <c r="C335" s="13"/>
      <c r="D335" s="13"/>
      <c r="E335" s="13"/>
      <c r="F335" s="14" t="str">
        <f aca="false">IF(OR(B335="",C335="",D335=""),"",IFERROR(INDEX(CONFIG!$E$5:$E$14,MATCH(D335,CONFIG!$D$5:$D$14,0)),"?")&amp;RIGHT("0"&amp;DAY(B335),2)&amp;RIGHT("0"&amp;MONTH(B335),2)&amp;RIGHT(YEAR(B335),2)&amp;C335&amp;IF(E335="","","-"&amp;E335))</f>
        <v/>
      </c>
      <c r="G335" s="13"/>
      <c r="H335" s="13"/>
      <c r="I335" s="13"/>
      <c r="J335" s="13"/>
      <c r="K335" s="13"/>
      <c r="L335" s="13"/>
      <c r="M335" s="11" t="str">
        <f aca="false">IF(F335="","",COUNTIFS(ENSAYOS!$C$5:$C$3004,F335,ENSAYOS!$Q$5:$Q$3004,"&gt;0"))</f>
        <v/>
      </c>
      <c r="N335" s="15" t="str">
        <f aca="false">IF(N(M335)=0,"",_xlfn.MINIFS(ENSAYOS!$G$5:$G$3004,ENSAYOS!$C$5:$C$3004,F335,ENSAYOS!$Q$5:$Q$3004,"&gt;0"))</f>
        <v/>
      </c>
      <c r="O335" s="15" t="str">
        <f aca="false">IF(N(M335)=0,"",_xlfn.MAXIFS(ENSAYOS!$G$5:$G$3004,ENSAYOS!$C$5:$C$3004,F335,ENSAYOS!$Q$5:$Q$3004,"&gt;0"))</f>
        <v/>
      </c>
      <c r="P335" s="16" t="str">
        <f aca="false">IF(N(M335)=0,"",AVERAGEIFS(ENSAYOS!$Q$5:$Q$3004,ENSAYOS!$C$5:$C$3004,F335,ENSAYOS!$Q$5:$Q$3004,"&gt;0"))</f>
        <v/>
      </c>
      <c r="Q335" s="16" t="str">
        <f aca="false">IF(N(M335)=0,"",_xlfn.MINIFS(ENSAYOS!$Q$5:$Q$3004,ENSAYOS!$C$5:$C$3004,F335,ENSAYOS!$Q$5:$Q$3004,"&gt;0"))</f>
        <v/>
      </c>
      <c r="R335" s="16" t="str">
        <f aca="false">IF(N(M335)=0,"",_xlfn.MAXIFS(ENSAYOS!$Q$5:$Q$3004,ENSAYOS!$C$5:$C$3004,F335,ENSAYOS!$Q$5:$Q$3004,"&gt;0"))</f>
        <v/>
      </c>
      <c r="S335" s="16" t="str">
        <f aca="false">IF(N(M335)&lt;2,"",SQRT(MAX(0,(SUMIFS(ENSAYOS!$X$5:$X$3004,ENSAYOS!$C$5:$C$3004,F335,ENSAYOS!$Q$5:$Q$3004,"&gt;0")-M335*P335^2)/(M335-1))))</f>
        <v/>
      </c>
      <c r="T335" s="17" t="str">
        <f aca="false">IF(S335="","",S335/P335)</f>
        <v/>
      </c>
      <c r="U335" s="16" t="str">
        <f aca="false">IF(N(M335)=0,"",IF(N335&gt;=CONFIG!$B$27,"",AVERAGEIFS(ENSAYOS!$Q$5:$Q$3004,ENSAYOS!$C$5:$C$3004,F335,ENSAYOS!$Q$5:$Q$3004,"&gt;0",ENSAYOS!$G$5:$G$3004,N335)))</f>
        <v/>
      </c>
      <c r="V335" s="16" t="str">
        <f aca="false">IF(N(M335)=0,"",IF(COUNTIFS(ENSAYOS!$C$5:$C$3004,F335,ENSAYOS!$Q$5:$Q$3004,"&gt;0",ENSAYOS!$G$5:$G$3004,"&gt;="&amp;CONFIG!$B$27)=0,"",AVERAGEIFS(ENSAYOS!$Q$5:$Q$3004,ENSAYOS!$C$5:$C$3004,F335,ENSAYOS!$Q$5:$Q$3004,"&gt;0",ENSAYOS!$G$5:$G$3004,"&gt;="&amp;CONFIG!$B$27)))</f>
        <v/>
      </c>
      <c r="W335" s="18" t="str">
        <f aca="false">IF(AND(U335&lt;&gt;"",V335&lt;&gt;""),U335/V335,"")</f>
        <v/>
      </c>
      <c r="X335" s="18" t="str">
        <f aca="false">IF(U335="","",INDEX('CURVA EDAD'!$E$5:$E$32,MIN(28,MAX(1,N335))))</f>
        <v/>
      </c>
      <c r="Y335" s="16" t="str">
        <f aca="false">IF(V335&lt;&gt;"",V335,IF(U335="","",U335/X335))</f>
        <v/>
      </c>
      <c r="Z335" s="16" t="str">
        <f aca="false">IF(V335&lt;&gt;"",_xlfn.MINIFS(ENSAYOS!$Q$5:$Q$3004,ENSAYOS!$C$5:$C$3004,F335,ENSAYOS!$Q$5:$Q$3004,"&gt;0",ENSAYOS!$G$5:$G$3004,"&gt;="&amp;CONFIG!$B$27),IF(U335="","",_xlfn.MINIFS(ENSAYOS!$Q$5:$Q$3004,ENSAYOS!$C$5:$C$3004,F335,ENSAYOS!$Q$5:$Q$3004,"&gt;0",ENSAYOS!$G$5:$G$3004,N335)/X335))</f>
        <v/>
      </c>
      <c r="AA335" s="16" t="str">
        <f aca="false">IF(D335="","",IFERROR(1/(1/INDEX(CONFIG!$J$5:$J$14,MATCH(D335,CONFIG!$D$5:$D$14,0))),""))</f>
        <v/>
      </c>
      <c r="AB335" s="16" t="str">
        <f aca="false">IF(D335="","",IFERROR(1/(1/INDEX(CONFIG!$K$5:$K$14,MATCH(D335,CONFIG!$D$5:$D$14,0))),""))</f>
        <v/>
      </c>
      <c r="AC335" s="19" t="str">
        <f aca="false">IF(N(M335)=0,"",IF(AA335="","Sin spec",IF(AND(Y335&gt;=AA335,OR(AB335="",Z335&gt;=AB335)),"CUMPLE","NO CUMPLE")&amp;IF(V335=""," (est.)","")))</f>
        <v/>
      </c>
      <c r="AD335" s="20" t="str">
        <f aca="false">IF(F335="","",IF(COUNTIFS(ABSORCION!$C$5:$C$1004,F335,ABSORCION!$I$5:$I$1004,"&gt;0")=0,"",AVERAGEIFS(ABSORCION!$I$5:$I$1004,ABSORCION!$C$5:$C$1004,F335,ABSORCION!$I$5:$I$1004,"&gt;0")))</f>
        <v/>
      </c>
      <c r="AE335" s="20" t="str">
        <f aca="false">IF(F335="","",IF(COUNTIFS(ABSORCION!$C$5:$C$1004,F335,ABSORCION!$I$5:$I$1004,"&gt;0")=0,"",AVERAGEIFS(ABSORCION!$K$5:$K$1004,ABSORCION!$C$5:$C$1004,F335,ABSORCION!$I$5:$I$1004,"&gt;0")))</f>
        <v/>
      </c>
      <c r="AF335" s="20" t="str">
        <f aca="false">IF(AE335="","",IF(AE335&gt;=CONFIG!$E$21,CONFIG!$F$21,IF(AE335&gt;=CONFIG!$E$20,CONFIG!$F$20,CONFIG!$F$19)))</f>
        <v/>
      </c>
      <c r="AG335" s="21" t="str">
        <f aca="false">IF(F335="","",TRIM(IF(N(M335)=0,"Sin ensayos. ","")&amp;IF(AND(N(M335)&gt;0,N(M335)&lt;CONFIG!$B$26),"Menos de "&amp;CONFIG!$B$26&amp;" probetas. ","")&amp;IF(N(T335)&gt;CONFIG!$B$25,"CV alto. ","")&amp;IF(AND(N(AD335)&gt;0,N(AD335)&gt;N(AF335)),"Absorción alta. ","")))</f>
        <v/>
      </c>
      <c r="AH335" s="22" t="str">
        <f aca="false">IF(AND(N(M335)&gt;0,OR(CONTROL!$C$4="TODAS",C335=CONTROL!$C$4),D335=CONTROL!$C$5),MAX($AH$4:AH334)+1,"")</f>
        <v/>
      </c>
      <c r="AI335" s="22" t="str">
        <f aca="false">IF(AH335="","",P335^2)</f>
        <v/>
      </c>
    </row>
    <row r="336" customFormat="false" ht="15" hidden="false" customHeight="false" outlineLevel="0" collapsed="false">
      <c r="A336" s="11" t="str">
        <f aca="false">IF(B336="","",ROW()-4)</f>
        <v/>
      </c>
      <c r="B336" s="12"/>
      <c r="C336" s="13"/>
      <c r="D336" s="13"/>
      <c r="E336" s="13"/>
      <c r="F336" s="14" t="str">
        <f aca="false">IF(OR(B336="",C336="",D336=""),"",IFERROR(INDEX(CONFIG!$E$5:$E$14,MATCH(D336,CONFIG!$D$5:$D$14,0)),"?")&amp;RIGHT("0"&amp;DAY(B336),2)&amp;RIGHT("0"&amp;MONTH(B336),2)&amp;RIGHT(YEAR(B336),2)&amp;C336&amp;IF(E336="","","-"&amp;E336))</f>
        <v/>
      </c>
      <c r="G336" s="13"/>
      <c r="H336" s="13"/>
      <c r="I336" s="13"/>
      <c r="J336" s="13"/>
      <c r="K336" s="13"/>
      <c r="L336" s="13"/>
      <c r="M336" s="11" t="str">
        <f aca="false">IF(F336="","",COUNTIFS(ENSAYOS!$C$5:$C$3004,F336,ENSAYOS!$Q$5:$Q$3004,"&gt;0"))</f>
        <v/>
      </c>
      <c r="N336" s="15" t="str">
        <f aca="false">IF(N(M336)=0,"",_xlfn.MINIFS(ENSAYOS!$G$5:$G$3004,ENSAYOS!$C$5:$C$3004,F336,ENSAYOS!$Q$5:$Q$3004,"&gt;0"))</f>
        <v/>
      </c>
      <c r="O336" s="15" t="str">
        <f aca="false">IF(N(M336)=0,"",_xlfn.MAXIFS(ENSAYOS!$G$5:$G$3004,ENSAYOS!$C$5:$C$3004,F336,ENSAYOS!$Q$5:$Q$3004,"&gt;0"))</f>
        <v/>
      </c>
      <c r="P336" s="16" t="str">
        <f aca="false">IF(N(M336)=0,"",AVERAGEIFS(ENSAYOS!$Q$5:$Q$3004,ENSAYOS!$C$5:$C$3004,F336,ENSAYOS!$Q$5:$Q$3004,"&gt;0"))</f>
        <v/>
      </c>
      <c r="Q336" s="16" t="str">
        <f aca="false">IF(N(M336)=0,"",_xlfn.MINIFS(ENSAYOS!$Q$5:$Q$3004,ENSAYOS!$C$5:$C$3004,F336,ENSAYOS!$Q$5:$Q$3004,"&gt;0"))</f>
        <v/>
      </c>
      <c r="R336" s="16" t="str">
        <f aca="false">IF(N(M336)=0,"",_xlfn.MAXIFS(ENSAYOS!$Q$5:$Q$3004,ENSAYOS!$C$5:$C$3004,F336,ENSAYOS!$Q$5:$Q$3004,"&gt;0"))</f>
        <v/>
      </c>
      <c r="S336" s="16" t="str">
        <f aca="false">IF(N(M336)&lt;2,"",SQRT(MAX(0,(SUMIFS(ENSAYOS!$X$5:$X$3004,ENSAYOS!$C$5:$C$3004,F336,ENSAYOS!$Q$5:$Q$3004,"&gt;0")-M336*P336^2)/(M336-1))))</f>
        <v/>
      </c>
      <c r="T336" s="17" t="str">
        <f aca="false">IF(S336="","",S336/P336)</f>
        <v/>
      </c>
      <c r="U336" s="16" t="str">
        <f aca="false">IF(N(M336)=0,"",IF(N336&gt;=CONFIG!$B$27,"",AVERAGEIFS(ENSAYOS!$Q$5:$Q$3004,ENSAYOS!$C$5:$C$3004,F336,ENSAYOS!$Q$5:$Q$3004,"&gt;0",ENSAYOS!$G$5:$G$3004,N336)))</f>
        <v/>
      </c>
      <c r="V336" s="16" t="str">
        <f aca="false">IF(N(M336)=0,"",IF(COUNTIFS(ENSAYOS!$C$5:$C$3004,F336,ENSAYOS!$Q$5:$Q$3004,"&gt;0",ENSAYOS!$G$5:$G$3004,"&gt;="&amp;CONFIG!$B$27)=0,"",AVERAGEIFS(ENSAYOS!$Q$5:$Q$3004,ENSAYOS!$C$5:$C$3004,F336,ENSAYOS!$Q$5:$Q$3004,"&gt;0",ENSAYOS!$G$5:$G$3004,"&gt;="&amp;CONFIG!$B$27)))</f>
        <v/>
      </c>
      <c r="W336" s="18" t="str">
        <f aca="false">IF(AND(U336&lt;&gt;"",V336&lt;&gt;""),U336/V336,"")</f>
        <v/>
      </c>
      <c r="X336" s="18" t="str">
        <f aca="false">IF(U336="","",INDEX('CURVA EDAD'!$E$5:$E$32,MIN(28,MAX(1,N336))))</f>
        <v/>
      </c>
      <c r="Y336" s="16" t="str">
        <f aca="false">IF(V336&lt;&gt;"",V336,IF(U336="","",U336/X336))</f>
        <v/>
      </c>
      <c r="Z336" s="16" t="str">
        <f aca="false">IF(V336&lt;&gt;"",_xlfn.MINIFS(ENSAYOS!$Q$5:$Q$3004,ENSAYOS!$C$5:$C$3004,F336,ENSAYOS!$Q$5:$Q$3004,"&gt;0",ENSAYOS!$G$5:$G$3004,"&gt;="&amp;CONFIG!$B$27),IF(U336="","",_xlfn.MINIFS(ENSAYOS!$Q$5:$Q$3004,ENSAYOS!$C$5:$C$3004,F336,ENSAYOS!$Q$5:$Q$3004,"&gt;0",ENSAYOS!$G$5:$G$3004,N336)/X336))</f>
        <v/>
      </c>
      <c r="AA336" s="16" t="str">
        <f aca="false">IF(D336="","",IFERROR(1/(1/INDEX(CONFIG!$J$5:$J$14,MATCH(D336,CONFIG!$D$5:$D$14,0))),""))</f>
        <v/>
      </c>
      <c r="AB336" s="16" t="str">
        <f aca="false">IF(D336="","",IFERROR(1/(1/INDEX(CONFIG!$K$5:$K$14,MATCH(D336,CONFIG!$D$5:$D$14,0))),""))</f>
        <v/>
      </c>
      <c r="AC336" s="19" t="str">
        <f aca="false">IF(N(M336)=0,"",IF(AA336="","Sin spec",IF(AND(Y336&gt;=AA336,OR(AB336="",Z336&gt;=AB336)),"CUMPLE","NO CUMPLE")&amp;IF(V336=""," (est.)","")))</f>
        <v/>
      </c>
      <c r="AD336" s="20" t="str">
        <f aca="false">IF(F336="","",IF(COUNTIFS(ABSORCION!$C$5:$C$1004,F336,ABSORCION!$I$5:$I$1004,"&gt;0")=0,"",AVERAGEIFS(ABSORCION!$I$5:$I$1004,ABSORCION!$C$5:$C$1004,F336,ABSORCION!$I$5:$I$1004,"&gt;0")))</f>
        <v/>
      </c>
      <c r="AE336" s="20" t="str">
        <f aca="false">IF(F336="","",IF(COUNTIFS(ABSORCION!$C$5:$C$1004,F336,ABSORCION!$I$5:$I$1004,"&gt;0")=0,"",AVERAGEIFS(ABSORCION!$K$5:$K$1004,ABSORCION!$C$5:$C$1004,F336,ABSORCION!$I$5:$I$1004,"&gt;0")))</f>
        <v/>
      </c>
      <c r="AF336" s="20" t="str">
        <f aca="false">IF(AE336="","",IF(AE336&gt;=CONFIG!$E$21,CONFIG!$F$21,IF(AE336&gt;=CONFIG!$E$20,CONFIG!$F$20,CONFIG!$F$19)))</f>
        <v/>
      </c>
      <c r="AG336" s="21" t="str">
        <f aca="false">IF(F336="","",TRIM(IF(N(M336)=0,"Sin ensayos. ","")&amp;IF(AND(N(M336)&gt;0,N(M336)&lt;CONFIG!$B$26),"Menos de "&amp;CONFIG!$B$26&amp;" probetas. ","")&amp;IF(N(T336)&gt;CONFIG!$B$25,"CV alto. ","")&amp;IF(AND(N(AD336)&gt;0,N(AD336)&gt;N(AF336)),"Absorción alta. ","")))</f>
        <v/>
      </c>
      <c r="AH336" s="22" t="str">
        <f aca="false">IF(AND(N(M336)&gt;0,OR(CONTROL!$C$4="TODAS",C336=CONTROL!$C$4),D336=CONTROL!$C$5),MAX($AH$4:AH335)+1,"")</f>
        <v/>
      </c>
      <c r="AI336" s="22" t="str">
        <f aca="false">IF(AH336="","",P336^2)</f>
        <v/>
      </c>
    </row>
    <row r="337" customFormat="false" ht="15" hidden="false" customHeight="false" outlineLevel="0" collapsed="false">
      <c r="A337" s="11" t="str">
        <f aca="false">IF(B337="","",ROW()-4)</f>
        <v/>
      </c>
      <c r="B337" s="12"/>
      <c r="C337" s="13"/>
      <c r="D337" s="13"/>
      <c r="E337" s="13"/>
      <c r="F337" s="14" t="str">
        <f aca="false">IF(OR(B337="",C337="",D337=""),"",IFERROR(INDEX(CONFIG!$E$5:$E$14,MATCH(D337,CONFIG!$D$5:$D$14,0)),"?")&amp;RIGHT("0"&amp;DAY(B337),2)&amp;RIGHT("0"&amp;MONTH(B337),2)&amp;RIGHT(YEAR(B337),2)&amp;C337&amp;IF(E337="","","-"&amp;E337))</f>
        <v/>
      </c>
      <c r="G337" s="13"/>
      <c r="H337" s="13"/>
      <c r="I337" s="13"/>
      <c r="J337" s="13"/>
      <c r="K337" s="13"/>
      <c r="L337" s="13"/>
      <c r="M337" s="11" t="str">
        <f aca="false">IF(F337="","",COUNTIFS(ENSAYOS!$C$5:$C$3004,F337,ENSAYOS!$Q$5:$Q$3004,"&gt;0"))</f>
        <v/>
      </c>
      <c r="N337" s="15" t="str">
        <f aca="false">IF(N(M337)=0,"",_xlfn.MINIFS(ENSAYOS!$G$5:$G$3004,ENSAYOS!$C$5:$C$3004,F337,ENSAYOS!$Q$5:$Q$3004,"&gt;0"))</f>
        <v/>
      </c>
      <c r="O337" s="15" t="str">
        <f aca="false">IF(N(M337)=0,"",_xlfn.MAXIFS(ENSAYOS!$G$5:$G$3004,ENSAYOS!$C$5:$C$3004,F337,ENSAYOS!$Q$5:$Q$3004,"&gt;0"))</f>
        <v/>
      </c>
      <c r="P337" s="16" t="str">
        <f aca="false">IF(N(M337)=0,"",AVERAGEIFS(ENSAYOS!$Q$5:$Q$3004,ENSAYOS!$C$5:$C$3004,F337,ENSAYOS!$Q$5:$Q$3004,"&gt;0"))</f>
        <v/>
      </c>
      <c r="Q337" s="16" t="str">
        <f aca="false">IF(N(M337)=0,"",_xlfn.MINIFS(ENSAYOS!$Q$5:$Q$3004,ENSAYOS!$C$5:$C$3004,F337,ENSAYOS!$Q$5:$Q$3004,"&gt;0"))</f>
        <v/>
      </c>
      <c r="R337" s="16" t="str">
        <f aca="false">IF(N(M337)=0,"",_xlfn.MAXIFS(ENSAYOS!$Q$5:$Q$3004,ENSAYOS!$C$5:$C$3004,F337,ENSAYOS!$Q$5:$Q$3004,"&gt;0"))</f>
        <v/>
      </c>
      <c r="S337" s="16" t="str">
        <f aca="false">IF(N(M337)&lt;2,"",SQRT(MAX(0,(SUMIFS(ENSAYOS!$X$5:$X$3004,ENSAYOS!$C$5:$C$3004,F337,ENSAYOS!$Q$5:$Q$3004,"&gt;0")-M337*P337^2)/(M337-1))))</f>
        <v/>
      </c>
      <c r="T337" s="17" t="str">
        <f aca="false">IF(S337="","",S337/P337)</f>
        <v/>
      </c>
      <c r="U337" s="16" t="str">
        <f aca="false">IF(N(M337)=0,"",IF(N337&gt;=CONFIG!$B$27,"",AVERAGEIFS(ENSAYOS!$Q$5:$Q$3004,ENSAYOS!$C$5:$C$3004,F337,ENSAYOS!$Q$5:$Q$3004,"&gt;0",ENSAYOS!$G$5:$G$3004,N337)))</f>
        <v/>
      </c>
      <c r="V337" s="16" t="str">
        <f aca="false">IF(N(M337)=0,"",IF(COUNTIFS(ENSAYOS!$C$5:$C$3004,F337,ENSAYOS!$Q$5:$Q$3004,"&gt;0",ENSAYOS!$G$5:$G$3004,"&gt;="&amp;CONFIG!$B$27)=0,"",AVERAGEIFS(ENSAYOS!$Q$5:$Q$3004,ENSAYOS!$C$5:$C$3004,F337,ENSAYOS!$Q$5:$Q$3004,"&gt;0",ENSAYOS!$G$5:$G$3004,"&gt;="&amp;CONFIG!$B$27)))</f>
        <v/>
      </c>
      <c r="W337" s="18" t="str">
        <f aca="false">IF(AND(U337&lt;&gt;"",V337&lt;&gt;""),U337/V337,"")</f>
        <v/>
      </c>
      <c r="X337" s="18" t="str">
        <f aca="false">IF(U337="","",INDEX('CURVA EDAD'!$E$5:$E$32,MIN(28,MAX(1,N337))))</f>
        <v/>
      </c>
      <c r="Y337" s="16" t="str">
        <f aca="false">IF(V337&lt;&gt;"",V337,IF(U337="","",U337/X337))</f>
        <v/>
      </c>
      <c r="Z337" s="16" t="str">
        <f aca="false">IF(V337&lt;&gt;"",_xlfn.MINIFS(ENSAYOS!$Q$5:$Q$3004,ENSAYOS!$C$5:$C$3004,F337,ENSAYOS!$Q$5:$Q$3004,"&gt;0",ENSAYOS!$G$5:$G$3004,"&gt;="&amp;CONFIG!$B$27),IF(U337="","",_xlfn.MINIFS(ENSAYOS!$Q$5:$Q$3004,ENSAYOS!$C$5:$C$3004,F337,ENSAYOS!$Q$5:$Q$3004,"&gt;0",ENSAYOS!$G$5:$G$3004,N337)/X337))</f>
        <v/>
      </c>
      <c r="AA337" s="16" t="str">
        <f aca="false">IF(D337="","",IFERROR(1/(1/INDEX(CONFIG!$J$5:$J$14,MATCH(D337,CONFIG!$D$5:$D$14,0))),""))</f>
        <v/>
      </c>
      <c r="AB337" s="16" t="str">
        <f aca="false">IF(D337="","",IFERROR(1/(1/INDEX(CONFIG!$K$5:$K$14,MATCH(D337,CONFIG!$D$5:$D$14,0))),""))</f>
        <v/>
      </c>
      <c r="AC337" s="19" t="str">
        <f aca="false">IF(N(M337)=0,"",IF(AA337="","Sin spec",IF(AND(Y337&gt;=AA337,OR(AB337="",Z337&gt;=AB337)),"CUMPLE","NO CUMPLE")&amp;IF(V337=""," (est.)","")))</f>
        <v/>
      </c>
      <c r="AD337" s="20" t="str">
        <f aca="false">IF(F337="","",IF(COUNTIFS(ABSORCION!$C$5:$C$1004,F337,ABSORCION!$I$5:$I$1004,"&gt;0")=0,"",AVERAGEIFS(ABSORCION!$I$5:$I$1004,ABSORCION!$C$5:$C$1004,F337,ABSORCION!$I$5:$I$1004,"&gt;0")))</f>
        <v/>
      </c>
      <c r="AE337" s="20" t="str">
        <f aca="false">IF(F337="","",IF(COUNTIFS(ABSORCION!$C$5:$C$1004,F337,ABSORCION!$I$5:$I$1004,"&gt;0")=0,"",AVERAGEIFS(ABSORCION!$K$5:$K$1004,ABSORCION!$C$5:$C$1004,F337,ABSORCION!$I$5:$I$1004,"&gt;0")))</f>
        <v/>
      </c>
      <c r="AF337" s="20" t="str">
        <f aca="false">IF(AE337="","",IF(AE337&gt;=CONFIG!$E$21,CONFIG!$F$21,IF(AE337&gt;=CONFIG!$E$20,CONFIG!$F$20,CONFIG!$F$19)))</f>
        <v/>
      </c>
      <c r="AG337" s="21" t="str">
        <f aca="false">IF(F337="","",TRIM(IF(N(M337)=0,"Sin ensayos. ","")&amp;IF(AND(N(M337)&gt;0,N(M337)&lt;CONFIG!$B$26),"Menos de "&amp;CONFIG!$B$26&amp;" probetas. ","")&amp;IF(N(T337)&gt;CONFIG!$B$25,"CV alto. ","")&amp;IF(AND(N(AD337)&gt;0,N(AD337)&gt;N(AF337)),"Absorción alta. ","")))</f>
        <v/>
      </c>
      <c r="AH337" s="22" t="str">
        <f aca="false">IF(AND(N(M337)&gt;0,OR(CONTROL!$C$4="TODAS",C337=CONTROL!$C$4),D337=CONTROL!$C$5),MAX($AH$4:AH336)+1,"")</f>
        <v/>
      </c>
      <c r="AI337" s="22" t="str">
        <f aca="false">IF(AH337="","",P337^2)</f>
        <v/>
      </c>
    </row>
    <row r="338" customFormat="false" ht="15" hidden="false" customHeight="false" outlineLevel="0" collapsed="false">
      <c r="A338" s="11" t="str">
        <f aca="false">IF(B338="","",ROW()-4)</f>
        <v/>
      </c>
      <c r="B338" s="12"/>
      <c r="C338" s="13"/>
      <c r="D338" s="13"/>
      <c r="E338" s="13"/>
      <c r="F338" s="14" t="str">
        <f aca="false">IF(OR(B338="",C338="",D338=""),"",IFERROR(INDEX(CONFIG!$E$5:$E$14,MATCH(D338,CONFIG!$D$5:$D$14,0)),"?")&amp;RIGHT("0"&amp;DAY(B338),2)&amp;RIGHT("0"&amp;MONTH(B338),2)&amp;RIGHT(YEAR(B338),2)&amp;C338&amp;IF(E338="","","-"&amp;E338))</f>
        <v/>
      </c>
      <c r="G338" s="13"/>
      <c r="H338" s="13"/>
      <c r="I338" s="13"/>
      <c r="J338" s="13"/>
      <c r="K338" s="13"/>
      <c r="L338" s="13"/>
      <c r="M338" s="11" t="str">
        <f aca="false">IF(F338="","",COUNTIFS(ENSAYOS!$C$5:$C$3004,F338,ENSAYOS!$Q$5:$Q$3004,"&gt;0"))</f>
        <v/>
      </c>
      <c r="N338" s="15" t="str">
        <f aca="false">IF(N(M338)=0,"",_xlfn.MINIFS(ENSAYOS!$G$5:$G$3004,ENSAYOS!$C$5:$C$3004,F338,ENSAYOS!$Q$5:$Q$3004,"&gt;0"))</f>
        <v/>
      </c>
      <c r="O338" s="15" t="str">
        <f aca="false">IF(N(M338)=0,"",_xlfn.MAXIFS(ENSAYOS!$G$5:$G$3004,ENSAYOS!$C$5:$C$3004,F338,ENSAYOS!$Q$5:$Q$3004,"&gt;0"))</f>
        <v/>
      </c>
      <c r="P338" s="16" t="str">
        <f aca="false">IF(N(M338)=0,"",AVERAGEIFS(ENSAYOS!$Q$5:$Q$3004,ENSAYOS!$C$5:$C$3004,F338,ENSAYOS!$Q$5:$Q$3004,"&gt;0"))</f>
        <v/>
      </c>
      <c r="Q338" s="16" t="str">
        <f aca="false">IF(N(M338)=0,"",_xlfn.MINIFS(ENSAYOS!$Q$5:$Q$3004,ENSAYOS!$C$5:$C$3004,F338,ENSAYOS!$Q$5:$Q$3004,"&gt;0"))</f>
        <v/>
      </c>
      <c r="R338" s="16" t="str">
        <f aca="false">IF(N(M338)=0,"",_xlfn.MAXIFS(ENSAYOS!$Q$5:$Q$3004,ENSAYOS!$C$5:$C$3004,F338,ENSAYOS!$Q$5:$Q$3004,"&gt;0"))</f>
        <v/>
      </c>
      <c r="S338" s="16" t="str">
        <f aca="false">IF(N(M338)&lt;2,"",SQRT(MAX(0,(SUMIFS(ENSAYOS!$X$5:$X$3004,ENSAYOS!$C$5:$C$3004,F338,ENSAYOS!$Q$5:$Q$3004,"&gt;0")-M338*P338^2)/(M338-1))))</f>
        <v/>
      </c>
      <c r="T338" s="17" t="str">
        <f aca="false">IF(S338="","",S338/P338)</f>
        <v/>
      </c>
      <c r="U338" s="16" t="str">
        <f aca="false">IF(N(M338)=0,"",IF(N338&gt;=CONFIG!$B$27,"",AVERAGEIFS(ENSAYOS!$Q$5:$Q$3004,ENSAYOS!$C$5:$C$3004,F338,ENSAYOS!$Q$5:$Q$3004,"&gt;0",ENSAYOS!$G$5:$G$3004,N338)))</f>
        <v/>
      </c>
      <c r="V338" s="16" t="str">
        <f aca="false">IF(N(M338)=0,"",IF(COUNTIFS(ENSAYOS!$C$5:$C$3004,F338,ENSAYOS!$Q$5:$Q$3004,"&gt;0",ENSAYOS!$G$5:$G$3004,"&gt;="&amp;CONFIG!$B$27)=0,"",AVERAGEIFS(ENSAYOS!$Q$5:$Q$3004,ENSAYOS!$C$5:$C$3004,F338,ENSAYOS!$Q$5:$Q$3004,"&gt;0",ENSAYOS!$G$5:$G$3004,"&gt;="&amp;CONFIG!$B$27)))</f>
        <v/>
      </c>
      <c r="W338" s="18" t="str">
        <f aca="false">IF(AND(U338&lt;&gt;"",V338&lt;&gt;""),U338/V338,"")</f>
        <v/>
      </c>
      <c r="X338" s="18" t="str">
        <f aca="false">IF(U338="","",INDEX('CURVA EDAD'!$E$5:$E$32,MIN(28,MAX(1,N338))))</f>
        <v/>
      </c>
      <c r="Y338" s="16" t="str">
        <f aca="false">IF(V338&lt;&gt;"",V338,IF(U338="","",U338/X338))</f>
        <v/>
      </c>
      <c r="Z338" s="16" t="str">
        <f aca="false">IF(V338&lt;&gt;"",_xlfn.MINIFS(ENSAYOS!$Q$5:$Q$3004,ENSAYOS!$C$5:$C$3004,F338,ENSAYOS!$Q$5:$Q$3004,"&gt;0",ENSAYOS!$G$5:$G$3004,"&gt;="&amp;CONFIG!$B$27),IF(U338="","",_xlfn.MINIFS(ENSAYOS!$Q$5:$Q$3004,ENSAYOS!$C$5:$C$3004,F338,ENSAYOS!$Q$5:$Q$3004,"&gt;0",ENSAYOS!$G$5:$G$3004,N338)/X338))</f>
        <v/>
      </c>
      <c r="AA338" s="16" t="str">
        <f aca="false">IF(D338="","",IFERROR(1/(1/INDEX(CONFIG!$J$5:$J$14,MATCH(D338,CONFIG!$D$5:$D$14,0))),""))</f>
        <v/>
      </c>
      <c r="AB338" s="16" t="str">
        <f aca="false">IF(D338="","",IFERROR(1/(1/INDEX(CONFIG!$K$5:$K$14,MATCH(D338,CONFIG!$D$5:$D$14,0))),""))</f>
        <v/>
      </c>
      <c r="AC338" s="19" t="str">
        <f aca="false">IF(N(M338)=0,"",IF(AA338="","Sin spec",IF(AND(Y338&gt;=AA338,OR(AB338="",Z338&gt;=AB338)),"CUMPLE","NO CUMPLE")&amp;IF(V338=""," (est.)","")))</f>
        <v/>
      </c>
      <c r="AD338" s="20" t="str">
        <f aca="false">IF(F338="","",IF(COUNTIFS(ABSORCION!$C$5:$C$1004,F338,ABSORCION!$I$5:$I$1004,"&gt;0")=0,"",AVERAGEIFS(ABSORCION!$I$5:$I$1004,ABSORCION!$C$5:$C$1004,F338,ABSORCION!$I$5:$I$1004,"&gt;0")))</f>
        <v/>
      </c>
      <c r="AE338" s="20" t="str">
        <f aca="false">IF(F338="","",IF(COUNTIFS(ABSORCION!$C$5:$C$1004,F338,ABSORCION!$I$5:$I$1004,"&gt;0")=0,"",AVERAGEIFS(ABSORCION!$K$5:$K$1004,ABSORCION!$C$5:$C$1004,F338,ABSORCION!$I$5:$I$1004,"&gt;0")))</f>
        <v/>
      </c>
      <c r="AF338" s="20" t="str">
        <f aca="false">IF(AE338="","",IF(AE338&gt;=CONFIG!$E$21,CONFIG!$F$21,IF(AE338&gt;=CONFIG!$E$20,CONFIG!$F$20,CONFIG!$F$19)))</f>
        <v/>
      </c>
      <c r="AG338" s="21" t="str">
        <f aca="false">IF(F338="","",TRIM(IF(N(M338)=0,"Sin ensayos. ","")&amp;IF(AND(N(M338)&gt;0,N(M338)&lt;CONFIG!$B$26),"Menos de "&amp;CONFIG!$B$26&amp;" probetas. ","")&amp;IF(N(T338)&gt;CONFIG!$B$25,"CV alto. ","")&amp;IF(AND(N(AD338)&gt;0,N(AD338)&gt;N(AF338)),"Absorción alta. ","")))</f>
        <v/>
      </c>
      <c r="AH338" s="22" t="str">
        <f aca="false">IF(AND(N(M338)&gt;0,OR(CONTROL!$C$4="TODAS",C338=CONTROL!$C$4),D338=CONTROL!$C$5),MAX($AH$4:AH337)+1,"")</f>
        <v/>
      </c>
      <c r="AI338" s="22" t="str">
        <f aca="false">IF(AH338="","",P338^2)</f>
        <v/>
      </c>
    </row>
    <row r="339" customFormat="false" ht="15" hidden="false" customHeight="false" outlineLevel="0" collapsed="false">
      <c r="A339" s="11" t="str">
        <f aca="false">IF(B339="","",ROW()-4)</f>
        <v/>
      </c>
      <c r="B339" s="12"/>
      <c r="C339" s="13"/>
      <c r="D339" s="13"/>
      <c r="E339" s="13"/>
      <c r="F339" s="14" t="str">
        <f aca="false">IF(OR(B339="",C339="",D339=""),"",IFERROR(INDEX(CONFIG!$E$5:$E$14,MATCH(D339,CONFIG!$D$5:$D$14,0)),"?")&amp;RIGHT("0"&amp;DAY(B339),2)&amp;RIGHT("0"&amp;MONTH(B339),2)&amp;RIGHT(YEAR(B339),2)&amp;C339&amp;IF(E339="","","-"&amp;E339))</f>
        <v/>
      </c>
      <c r="G339" s="13"/>
      <c r="H339" s="13"/>
      <c r="I339" s="13"/>
      <c r="J339" s="13"/>
      <c r="K339" s="13"/>
      <c r="L339" s="13"/>
      <c r="M339" s="11" t="str">
        <f aca="false">IF(F339="","",COUNTIFS(ENSAYOS!$C$5:$C$3004,F339,ENSAYOS!$Q$5:$Q$3004,"&gt;0"))</f>
        <v/>
      </c>
      <c r="N339" s="15" t="str">
        <f aca="false">IF(N(M339)=0,"",_xlfn.MINIFS(ENSAYOS!$G$5:$G$3004,ENSAYOS!$C$5:$C$3004,F339,ENSAYOS!$Q$5:$Q$3004,"&gt;0"))</f>
        <v/>
      </c>
      <c r="O339" s="15" t="str">
        <f aca="false">IF(N(M339)=0,"",_xlfn.MAXIFS(ENSAYOS!$G$5:$G$3004,ENSAYOS!$C$5:$C$3004,F339,ENSAYOS!$Q$5:$Q$3004,"&gt;0"))</f>
        <v/>
      </c>
      <c r="P339" s="16" t="str">
        <f aca="false">IF(N(M339)=0,"",AVERAGEIFS(ENSAYOS!$Q$5:$Q$3004,ENSAYOS!$C$5:$C$3004,F339,ENSAYOS!$Q$5:$Q$3004,"&gt;0"))</f>
        <v/>
      </c>
      <c r="Q339" s="16" t="str">
        <f aca="false">IF(N(M339)=0,"",_xlfn.MINIFS(ENSAYOS!$Q$5:$Q$3004,ENSAYOS!$C$5:$C$3004,F339,ENSAYOS!$Q$5:$Q$3004,"&gt;0"))</f>
        <v/>
      </c>
      <c r="R339" s="16" t="str">
        <f aca="false">IF(N(M339)=0,"",_xlfn.MAXIFS(ENSAYOS!$Q$5:$Q$3004,ENSAYOS!$C$5:$C$3004,F339,ENSAYOS!$Q$5:$Q$3004,"&gt;0"))</f>
        <v/>
      </c>
      <c r="S339" s="16" t="str">
        <f aca="false">IF(N(M339)&lt;2,"",SQRT(MAX(0,(SUMIFS(ENSAYOS!$X$5:$X$3004,ENSAYOS!$C$5:$C$3004,F339,ENSAYOS!$Q$5:$Q$3004,"&gt;0")-M339*P339^2)/(M339-1))))</f>
        <v/>
      </c>
      <c r="T339" s="17" t="str">
        <f aca="false">IF(S339="","",S339/P339)</f>
        <v/>
      </c>
      <c r="U339" s="16" t="str">
        <f aca="false">IF(N(M339)=0,"",IF(N339&gt;=CONFIG!$B$27,"",AVERAGEIFS(ENSAYOS!$Q$5:$Q$3004,ENSAYOS!$C$5:$C$3004,F339,ENSAYOS!$Q$5:$Q$3004,"&gt;0",ENSAYOS!$G$5:$G$3004,N339)))</f>
        <v/>
      </c>
      <c r="V339" s="16" t="str">
        <f aca="false">IF(N(M339)=0,"",IF(COUNTIFS(ENSAYOS!$C$5:$C$3004,F339,ENSAYOS!$Q$5:$Q$3004,"&gt;0",ENSAYOS!$G$5:$G$3004,"&gt;="&amp;CONFIG!$B$27)=0,"",AVERAGEIFS(ENSAYOS!$Q$5:$Q$3004,ENSAYOS!$C$5:$C$3004,F339,ENSAYOS!$Q$5:$Q$3004,"&gt;0",ENSAYOS!$G$5:$G$3004,"&gt;="&amp;CONFIG!$B$27)))</f>
        <v/>
      </c>
      <c r="W339" s="18" t="str">
        <f aca="false">IF(AND(U339&lt;&gt;"",V339&lt;&gt;""),U339/V339,"")</f>
        <v/>
      </c>
      <c r="X339" s="18" t="str">
        <f aca="false">IF(U339="","",INDEX('CURVA EDAD'!$E$5:$E$32,MIN(28,MAX(1,N339))))</f>
        <v/>
      </c>
      <c r="Y339" s="16" t="str">
        <f aca="false">IF(V339&lt;&gt;"",V339,IF(U339="","",U339/X339))</f>
        <v/>
      </c>
      <c r="Z339" s="16" t="str">
        <f aca="false">IF(V339&lt;&gt;"",_xlfn.MINIFS(ENSAYOS!$Q$5:$Q$3004,ENSAYOS!$C$5:$C$3004,F339,ENSAYOS!$Q$5:$Q$3004,"&gt;0",ENSAYOS!$G$5:$G$3004,"&gt;="&amp;CONFIG!$B$27),IF(U339="","",_xlfn.MINIFS(ENSAYOS!$Q$5:$Q$3004,ENSAYOS!$C$5:$C$3004,F339,ENSAYOS!$Q$5:$Q$3004,"&gt;0",ENSAYOS!$G$5:$G$3004,N339)/X339))</f>
        <v/>
      </c>
      <c r="AA339" s="16" t="str">
        <f aca="false">IF(D339="","",IFERROR(1/(1/INDEX(CONFIG!$J$5:$J$14,MATCH(D339,CONFIG!$D$5:$D$14,0))),""))</f>
        <v/>
      </c>
      <c r="AB339" s="16" t="str">
        <f aca="false">IF(D339="","",IFERROR(1/(1/INDEX(CONFIG!$K$5:$K$14,MATCH(D339,CONFIG!$D$5:$D$14,0))),""))</f>
        <v/>
      </c>
      <c r="AC339" s="19" t="str">
        <f aca="false">IF(N(M339)=0,"",IF(AA339="","Sin spec",IF(AND(Y339&gt;=AA339,OR(AB339="",Z339&gt;=AB339)),"CUMPLE","NO CUMPLE")&amp;IF(V339=""," (est.)","")))</f>
        <v/>
      </c>
      <c r="AD339" s="20" t="str">
        <f aca="false">IF(F339="","",IF(COUNTIFS(ABSORCION!$C$5:$C$1004,F339,ABSORCION!$I$5:$I$1004,"&gt;0")=0,"",AVERAGEIFS(ABSORCION!$I$5:$I$1004,ABSORCION!$C$5:$C$1004,F339,ABSORCION!$I$5:$I$1004,"&gt;0")))</f>
        <v/>
      </c>
      <c r="AE339" s="20" t="str">
        <f aca="false">IF(F339="","",IF(COUNTIFS(ABSORCION!$C$5:$C$1004,F339,ABSORCION!$I$5:$I$1004,"&gt;0")=0,"",AVERAGEIFS(ABSORCION!$K$5:$K$1004,ABSORCION!$C$5:$C$1004,F339,ABSORCION!$I$5:$I$1004,"&gt;0")))</f>
        <v/>
      </c>
      <c r="AF339" s="20" t="str">
        <f aca="false">IF(AE339="","",IF(AE339&gt;=CONFIG!$E$21,CONFIG!$F$21,IF(AE339&gt;=CONFIG!$E$20,CONFIG!$F$20,CONFIG!$F$19)))</f>
        <v/>
      </c>
      <c r="AG339" s="21" t="str">
        <f aca="false">IF(F339="","",TRIM(IF(N(M339)=0,"Sin ensayos. ","")&amp;IF(AND(N(M339)&gt;0,N(M339)&lt;CONFIG!$B$26),"Menos de "&amp;CONFIG!$B$26&amp;" probetas. ","")&amp;IF(N(T339)&gt;CONFIG!$B$25,"CV alto. ","")&amp;IF(AND(N(AD339)&gt;0,N(AD339)&gt;N(AF339)),"Absorción alta. ","")))</f>
        <v/>
      </c>
      <c r="AH339" s="22" t="str">
        <f aca="false">IF(AND(N(M339)&gt;0,OR(CONTROL!$C$4="TODAS",C339=CONTROL!$C$4),D339=CONTROL!$C$5),MAX($AH$4:AH338)+1,"")</f>
        <v/>
      </c>
      <c r="AI339" s="22" t="str">
        <f aca="false">IF(AH339="","",P339^2)</f>
        <v/>
      </c>
    </row>
    <row r="340" customFormat="false" ht="15" hidden="false" customHeight="false" outlineLevel="0" collapsed="false">
      <c r="A340" s="11" t="str">
        <f aca="false">IF(B340="","",ROW()-4)</f>
        <v/>
      </c>
      <c r="B340" s="12"/>
      <c r="C340" s="13"/>
      <c r="D340" s="13"/>
      <c r="E340" s="13"/>
      <c r="F340" s="14" t="str">
        <f aca="false">IF(OR(B340="",C340="",D340=""),"",IFERROR(INDEX(CONFIG!$E$5:$E$14,MATCH(D340,CONFIG!$D$5:$D$14,0)),"?")&amp;RIGHT("0"&amp;DAY(B340),2)&amp;RIGHT("0"&amp;MONTH(B340),2)&amp;RIGHT(YEAR(B340),2)&amp;C340&amp;IF(E340="","","-"&amp;E340))</f>
        <v/>
      </c>
      <c r="G340" s="13"/>
      <c r="H340" s="13"/>
      <c r="I340" s="13"/>
      <c r="J340" s="13"/>
      <c r="K340" s="13"/>
      <c r="L340" s="13"/>
      <c r="M340" s="11" t="str">
        <f aca="false">IF(F340="","",COUNTIFS(ENSAYOS!$C$5:$C$3004,F340,ENSAYOS!$Q$5:$Q$3004,"&gt;0"))</f>
        <v/>
      </c>
      <c r="N340" s="15" t="str">
        <f aca="false">IF(N(M340)=0,"",_xlfn.MINIFS(ENSAYOS!$G$5:$G$3004,ENSAYOS!$C$5:$C$3004,F340,ENSAYOS!$Q$5:$Q$3004,"&gt;0"))</f>
        <v/>
      </c>
      <c r="O340" s="15" t="str">
        <f aca="false">IF(N(M340)=0,"",_xlfn.MAXIFS(ENSAYOS!$G$5:$G$3004,ENSAYOS!$C$5:$C$3004,F340,ENSAYOS!$Q$5:$Q$3004,"&gt;0"))</f>
        <v/>
      </c>
      <c r="P340" s="16" t="str">
        <f aca="false">IF(N(M340)=0,"",AVERAGEIFS(ENSAYOS!$Q$5:$Q$3004,ENSAYOS!$C$5:$C$3004,F340,ENSAYOS!$Q$5:$Q$3004,"&gt;0"))</f>
        <v/>
      </c>
      <c r="Q340" s="16" t="str">
        <f aca="false">IF(N(M340)=0,"",_xlfn.MINIFS(ENSAYOS!$Q$5:$Q$3004,ENSAYOS!$C$5:$C$3004,F340,ENSAYOS!$Q$5:$Q$3004,"&gt;0"))</f>
        <v/>
      </c>
      <c r="R340" s="16" t="str">
        <f aca="false">IF(N(M340)=0,"",_xlfn.MAXIFS(ENSAYOS!$Q$5:$Q$3004,ENSAYOS!$C$5:$C$3004,F340,ENSAYOS!$Q$5:$Q$3004,"&gt;0"))</f>
        <v/>
      </c>
      <c r="S340" s="16" t="str">
        <f aca="false">IF(N(M340)&lt;2,"",SQRT(MAX(0,(SUMIFS(ENSAYOS!$X$5:$X$3004,ENSAYOS!$C$5:$C$3004,F340,ENSAYOS!$Q$5:$Q$3004,"&gt;0")-M340*P340^2)/(M340-1))))</f>
        <v/>
      </c>
      <c r="T340" s="17" t="str">
        <f aca="false">IF(S340="","",S340/P340)</f>
        <v/>
      </c>
      <c r="U340" s="16" t="str">
        <f aca="false">IF(N(M340)=0,"",IF(N340&gt;=CONFIG!$B$27,"",AVERAGEIFS(ENSAYOS!$Q$5:$Q$3004,ENSAYOS!$C$5:$C$3004,F340,ENSAYOS!$Q$5:$Q$3004,"&gt;0",ENSAYOS!$G$5:$G$3004,N340)))</f>
        <v/>
      </c>
      <c r="V340" s="16" t="str">
        <f aca="false">IF(N(M340)=0,"",IF(COUNTIFS(ENSAYOS!$C$5:$C$3004,F340,ENSAYOS!$Q$5:$Q$3004,"&gt;0",ENSAYOS!$G$5:$G$3004,"&gt;="&amp;CONFIG!$B$27)=0,"",AVERAGEIFS(ENSAYOS!$Q$5:$Q$3004,ENSAYOS!$C$5:$C$3004,F340,ENSAYOS!$Q$5:$Q$3004,"&gt;0",ENSAYOS!$G$5:$G$3004,"&gt;="&amp;CONFIG!$B$27)))</f>
        <v/>
      </c>
      <c r="W340" s="18" t="str">
        <f aca="false">IF(AND(U340&lt;&gt;"",V340&lt;&gt;""),U340/V340,"")</f>
        <v/>
      </c>
      <c r="X340" s="18" t="str">
        <f aca="false">IF(U340="","",INDEX('CURVA EDAD'!$E$5:$E$32,MIN(28,MAX(1,N340))))</f>
        <v/>
      </c>
      <c r="Y340" s="16" t="str">
        <f aca="false">IF(V340&lt;&gt;"",V340,IF(U340="","",U340/X340))</f>
        <v/>
      </c>
      <c r="Z340" s="16" t="str">
        <f aca="false">IF(V340&lt;&gt;"",_xlfn.MINIFS(ENSAYOS!$Q$5:$Q$3004,ENSAYOS!$C$5:$C$3004,F340,ENSAYOS!$Q$5:$Q$3004,"&gt;0",ENSAYOS!$G$5:$G$3004,"&gt;="&amp;CONFIG!$B$27),IF(U340="","",_xlfn.MINIFS(ENSAYOS!$Q$5:$Q$3004,ENSAYOS!$C$5:$C$3004,F340,ENSAYOS!$Q$5:$Q$3004,"&gt;0",ENSAYOS!$G$5:$G$3004,N340)/X340))</f>
        <v/>
      </c>
      <c r="AA340" s="16" t="str">
        <f aca="false">IF(D340="","",IFERROR(1/(1/INDEX(CONFIG!$J$5:$J$14,MATCH(D340,CONFIG!$D$5:$D$14,0))),""))</f>
        <v/>
      </c>
      <c r="AB340" s="16" t="str">
        <f aca="false">IF(D340="","",IFERROR(1/(1/INDEX(CONFIG!$K$5:$K$14,MATCH(D340,CONFIG!$D$5:$D$14,0))),""))</f>
        <v/>
      </c>
      <c r="AC340" s="19" t="str">
        <f aca="false">IF(N(M340)=0,"",IF(AA340="","Sin spec",IF(AND(Y340&gt;=AA340,OR(AB340="",Z340&gt;=AB340)),"CUMPLE","NO CUMPLE")&amp;IF(V340=""," (est.)","")))</f>
        <v/>
      </c>
      <c r="AD340" s="20" t="str">
        <f aca="false">IF(F340="","",IF(COUNTIFS(ABSORCION!$C$5:$C$1004,F340,ABSORCION!$I$5:$I$1004,"&gt;0")=0,"",AVERAGEIFS(ABSORCION!$I$5:$I$1004,ABSORCION!$C$5:$C$1004,F340,ABSORCION!$I$5:$I$1004,"&gt;0")))</f>
        <v/>
      </c>
      <c r="AE340" s="20" t="str">
        <f aca="false">IF(F340="","",IF(COUNTIFS(ABSORCION!$C$5:$C$1004,F340,ABSORCION!$I$5:$I$1004,"&gt;0")=0,"",AVERAGEIFS(ABSORCION!$K$5:$K$1004,ABSORCION!$C$5:$C$1004,F340,ABSORCION!$I$5:$I$1004,"&gt;0")))</f>
        <v/>
      </c>
      <c r="AF340" s="20" t="str">
        <f aca="false">IF(AE340="","",IF(AE340&gt;=CONFIG!$E$21,CONFIG!$F$21,IF(AE340&gt;=CONFIG!$E$20,CONFIG!$F$20,CONFIG!$F$19)))</f>
        <v/>
      </c>
      <c r="AG340" s="21" t="str">
        <f aca="false">IF(F340="","",TRIM(IF(N(M340)=0,"Sin ensayos. ","")&amp;IF(AND(N(M340)&gt;0,N(M340)&lt;CONFIG!$B$26),"Menos de "&amp;CONFIG!$B$26&amp;" probetas. ","")&amp;IF(N(T340)&gt;CONFIG!$B$25,"CV alto. ","")&amp;IF(AND(N(AD340)&gt;0,N(AD340)&gt;N(AF340)),"Absorción alta. ","")))</f>
        <v/>
      </c>
      <c r="AH340" s="22" t="str">
        <f aca="false">IF(AND(N(M340)&gt;0,OR(CONTROL!$C$4="TODAS",C340=CONTROL!$C$4),D340=CONTROL!$C$5),MAX($AH$4:AH339)+1,"")</f>
        <v/>
      </c>
      <c r="AI340" s="22" t="str">
        <f aca="false">IF(AH340="","",P340^2)</f>
        <v/>
      </c>
    </row>
    <row r="341" customFormat="false" ht="15" hidden="false" customHeight="false" outlineLevel="0" collapsed="false">
      <c r="A341" s="11" t="str">
        <f aca="false">IF(B341="","",ROW()-4)</f>
        <v/>
      </c>
      <c r="B341" s="12"/>
      <c r="C341" s="13"/>
      <c r="D341" s="13"/>
      <c r="E341" s="13"/>
      <c r="F341" s="14" t="str">
        <f aca="false">IF(OR(B341="",C341="",D341=""),"",IFERROR(INDEX(CONFIG!$E$5:$E$14,MATCH(D341,CONFIG!$D$5:$D$14,0)),"?")&amp;RIGHT("0"&amp;DAY(B341),2)&amp;RIGHT("0"&amp;MONTH(B341),2)&amp;RIGHT(YEAR(B341),2)&amp;C341&amp;IF(E341="","","-"&amp;E341))</f>
        <v/>
      </c>
      <c r="G341" s="13"/>
      <c r="H341" s="13"/>
      <c r="I341" s="13"/>
      <c r="J341" s="13"/>
      <c r="K341" s="13"/>
      <c r="L341" s="13"/>
      <c r="M341" s="11" t="str">
        <f aca="false">IF(F341="","",COUNTIFS(ENSAYOS!$C$5:$C$3004,F341,ENSAYOS!$Q$5:$Q$3004,"&gt;0"))</f>
        <v/>
      </c>
      <c r="N341" s="15" t="str">
        <f aca="false">IF(N(M341)=0,"",_xlfn.MINIFS(ENSAYOS!$G$5:$G$3004,ENSAYOS!$C$5:$C$3004,F341,ENSAYOS!$Q$5:$Q$3004,"&gt;0"))</f>
        <v/>
      </c>
      <c r="O341" s="15" t="str">
        <f aca="false">IF(N(M341)=0,"",_xlfn.MAXIFS(ENSAYOS!$G$5:$G$3004,ENSAYOS!$C$5:$C$3004,F341,ENSAYOS!$Q$5:$Q$3004,"&gt;0"))</f>
        <v/>
      </c>
      <c r="P341" s="16" t="str">
        <f aca="false">IF(N(M341)=0,"",AVERAGEIFS(ENSAYOS!$Q$5:$Q$3004,ENSAYOS!$C$5:$C$3004,F341,ENSAYOS!$Q$5:$Q$3004,"&gt;0"))</f>
        <v/>
      </c>
      <c r="Q341" s="16" t="str">
        <f aca="false">IF(N(M341)=0,"",_xlfn.MINIFS(ENSAYOS!$Q$5:$Q$3004,ENSAYOS!$C$5:$C$3004,F341,ENSAYOS!$Q$5:$Q$3004,"&gt;0"))</f>
        <v/>
      </c>
      <c r="R341" s="16" t="str">
        <f aca="false">IF(N(M341)=0,"",_xlfn.MAXIFS(ENSAYOS!$Q$5:$Q$3004,ENSAYOS!$C$5:$C$3004,F341,ENSAYOS!$Q$5:$Q$3004,"&gt;0"))</f>
        <v/>
      </c>
      <c r="S341" s="16" t="str">
        <f aca="false">IF(N(M341)&lt;2,"",SQRT(MAX(0,(SUMIFS(ENSAYOS!$X$5:$X$3004,ENSAYOS!$C$5:$C$3004,F341,ENSAYOS!$Q$5:$Q$3004,"&gt;0")-M341*P341^2)/(M341-1))))</f>
        <v/>
      </c>
      <c r="T341" s="17" t="str">
        <f aca="false">IF(S341="","",S341/P341)</f>
        <v/>
      </c>
      <c r="U341" s="16" t="str">
        <f aca="false">IF(N(M341)=0,"",IF(N341&gt;=CONFIG!$B$27,"",AVERAGEIFS(ENSAYOS!$Q$5:$Q$3004,ENSAYOS!$C$5:$C$3004,F341,ENSAYOS!$Q$5:$Q$3004,"&gt;0",ENSAYOS!$G$5:$G$3004,N341)))</f>
        <v/>
      </c>
      <c r="V341" s="16" t="str">
        <f aca="false">IF(N(M341)=0,"",IF(COUNTIFS(ENSAYOS!$C$5:$C$3004,F341,ENSAYOS!$Q$5:$Q$3004,"&gt;0",ENSAYOS!$G$5:$G$3004,"&gt;="&amp;CONFIG!$B$27)=0,"",AVERAGEIFS(ENSAYOS!$Q$5:$Q$3004,ENSAYOS!$C$5:$C$3004,F341,ENSAYOS!$Q$5:$Q$3004,"&gt;0",ENSAYOS!$G$5:$G$3004,"&gt;="&amp;CONFIG!$B$27)))</f>
        <v/>
      </c>
      <c r="W341" s="18" t="str">
        <f aca="false">IF(AND(U341&lt;&gt;"",V341&lt;&gt;""),U341/V341,"")</f>
        <v/>
      </c>
      <c r="X341" s="18" t="str">
        <f aca="false">IF(U341="","",INDEX('CURVA EDAD'!$E$5:$E$32,MIN(28,MAX(1,N341))))</f>
        <v/>
      </c>
      <c r="Y341" s="16" t="str">
        <f aca="false">IF(V341&lt;&gt;"",V341,IF(U341="","",U341/X341))</f>
        <v/>
      </c>
      <c r="Z341" s="16" t="str">
        <f aca="false">IF(V341&lt;&gt;"",_xlfn.MINIFS(ENSAYOS!$Q$5:$Q$3004,ENSAYOS!$C$5:$C$3004,F341,ENSAYOS!$Q$5:$Q$3004,"&gt;0",ENSAYOS!$G$5:$G$3004,"&gt;="&amp;CONFIG!$B$27),IF(U341="","",_xlfn.MINIFS(ENSAYOS!$Q$5:$Q$3004,ENSAYOS!$C$5:$C$3004,F341,ENSAYOS!$Q$5:$Q$3004,"&gt;0",ENSAYOS!$G$5:$G$3004,N341)/X341))</f>
        <v/>
      </c>
      <c r="AA341" s="16" t="str">
        <f aca="false">IF(D341="","",IFERROR(1/(1/INDEX(CONFIG!$J$5:$J$14,MATCH(D341,CONFIG!$D$5:$D$14,0))),""))</f>
        <v/>
      </c>
      <c r="AB341" s="16" t="str">
        <f aca="false">IF(D341="","",IFERROR(1/(1/INDEX(CONFIG!$K$5:$K$14,MATCH(D341,CONFIG!$D$5:$D$14,0))),""))</f>
        <v/>
      </c>
      <c r="AC341" s="19" t="str">
        <f aca="false">IF(N(M341)=0,"",IF(AA341="","Sin spec",IF(AND(Y341&gt;=AA341,OR(AB341="",Z341&gt;=AB341)),"CUMPLE","NO CUMPLE")&amp;IF(V341=""," (est.)","")))</f>
        <v/>
      </c>
      <c r="AD341" s="20" t="str">
        <f aca="false">IF(F341="","",IF(COUNTIFS(ABSORCION!$C$5:$C$1004,F341,ABSORCION!$I$5:$I$1004,"&gt;0")=0,"",AVERAGEIFS(ABSORCION!$I$5:$I$1004,ABSORCION!$C$5:$C$1004,F341,ABSORCION!$I$5:$I$1004,"&gt;0")))</f>
        <v/>
      </c>
      <c r="AE341" s="20" t="str">
        <f aca="false">IF(F341="","",IF(COUNTIFS(ABSORCION!$C$5:$C$1004,F341,ABSORCION!$I$5:$I$1004,"&gt;0")=0,"",AVERAGEIFS(ABSORCION!$K$5:$K$1004,ABSORCION!$C$5:$C$1004,F341,ABSORCION!$I$5:$I$1004,"&gt;0")))</f>
        <v/>
      </c>
      <c r="AF341" s="20" t="str">
        <f aca="false">IF(AE341="","",IF(AE341&gt;=CONFIG!$E$21,CONFIG!$F$21,IF(AE341&gt;=CONFIG!$E$20,CONFIG!$F$20,CONFIG!$F$19)))</f>
        <v/>
      </c>
      <c r="AG341" s="21" t="str">
        <f aca="false">IF(F341="","",TRIM(IF(N(M341)=0,"Sin ensayos. ","")&amp;IF(AND(N(M341)&gt;0,N(M341)&lt;CONFIG!$B$26),"Menos de "&amp;CONFIG!$B$26&amp;" probetas. ","")&amp;IF(N(T341)&gt;CONFIG!$B$25,"CV alto. ","")&amp;IF(AND(N(AD341)&gt;0,N(AD341)&gt;N(AF341)),"Absorción alta. ","")))</f>
        <v/>
      </c>
      <c r="AH341" s="22" t="str">
        <f aca="false">IF(AND(N(M341)&gt;0,OR(CONTROL!$C$4="TODAS",C341=CONTROL!$C$4),D341=CONTROL!$C$5),MAX($AH$4:AH340)+1,"")</f>
        <v/>
      </c>
      <c r="AI341" s="22" t="str">
        <f aca="false">IF(AH341="","",P341^2)</f>
        <v/>
      </c>
    </row>
    <row r="342" customFormat="false" ht="15" hidden="false" customHeight="false" outlineLevel="0" collapsed="false">
      <c r="A342" s="11" t="str">
        <f aca="false">IF(B342="","",ROW()-4)</f>
        <v/>
      </c>
      <c r="B342" s="12"/>
      <c r="C342" s="13"/>
      <c r="D342" s="13"/>
      <c r="E342" s="13"/>
      <c r="F342" s="14" t="str">
        <f aca="false">IF(OR(B342="",C342="",D342=""),"",IFERROR(INDEX(CONFIG!$E$5:$E$14,MATCH(D342,CONFIG!$D$5:$D$14,0)),"?")&amp;RIGHT("0"&amp;DAY(B342),2)&amp;RIGHT("0"&amp;MONTH(B342),2)&amp;RIGHT(YEAR(B342),2)&amp;C342&amp;IF(E342="","","-"&amp;E342))</f>
        <v/>
      </c>
      <c r="G342" s="13"/>
      <c r="H342" s="13"/>
      <c r="I342" s="13"/>
      <c r="J342" s="13"/>
      <c r="K342" s="13"/>
      <c r="L342" s="13"/>
      <c r="M342" s="11" t="str">
        <f aca="false">IF(F342="","",COUNTIFS(ENSAYOS!$C$5:$C$3004,F342,ENSAYOS!$Q$5:$Q$3004,"&gt;0"))</f>
        <v/>
      </c>
      <c r="N342" s="15" t="str">
        <f aca="false">IF(N(M342)=0,"",_xlfn.MINIFS(ENSAYOS!$G$5:$G$3004,ENSAYOS!$C$5:$C$3004,F342,ENSAYOS!$Q$5:$Q$3004,"&gt;0"))</f>
        <v/>
      </c>
      <c r="O342" s="15" t="str">
        <f aca="false">IF(N(M342)=0,"",_xlfn.MAXIFS(ENSAYOS!$G$5:$G$3004,ENSAYOS!$C$5:$C$3004,F342,ENSAYOS!$Q$5:$Q$3004,"&gt;0"))</f>
        <v/>
      </c>
      <c r="P342" s="16" t="str">
        <f aca="false">IF(N(M342)=0,"",AVERAGEIFS(ENSAYOS!$Q$5:$Q$3004,ENSAYOS!$C$5:$C$3004,F342,ENSAYOS!$Q$5:$Q$3004,"&gt;0"))</f>
        <v/>
      </c>
      <c r="Q342" s="16" t="str">
        <f aca="false">IF(N(M342)=0,"",_xlfn.MINIFS(ENSAYOS!$Q$5:$Q$3004,ENSAYOS!$C$5:$C$3004,F342,ENSAYOS!$Q$5:$Q$3004,"&gt;0"))</f>
        <v/>
      </c>
      <c r="R342" s="16" t="str">
        <f aca="false">IF(N(M342)=0,"",_xlfn.MAXIFS(ENSAYOS!$Q$5:$Q$3004,ENSAYOS!$C$5:$C$3004,F342,ENSAYOS!$Q$5:$Q$3004,"&gt;0"))</f>
        <v/>
      </c>
      <c r="S342" s="16" t="str">
        <f aca="false">IF(N(M342)&lt;2,"",SQRT(MAX(0,(SUMIFS(ENSAYOS!$X$5:$X$3004,ENSAYOS!$C$5:$C$3004,F342,ENSAYOS!$Q$5:$Q$3004,"&gt;0")-M342*P342^2)/(M342-1))))</f>
        <v/>
      </c>
      <c r="T342" s="17" t="str">
        <f aca="false">IF(S342="","",S342/P342)</f>
        <v/>
      </c>
      <c r="U342" s="16" t="str">
        <f aca="false">IF(N(M342)=0,"",IF(N342&gt;=CONFIG!$B$27,"",AVERAGEIFS(ENSAYOS!$Q$5:$Q$3004,ENSAYOS!$C$5:$C$3004,F342,ENSAYOS!$Q$5:$Q$3004,"&gt;0",ENSAYOS!$G$5:$G$3004,N342)))</f>
        <v/>
      </c>
      <c r="V342" s="16" t="str">
        <f aca="false">IF(N(M342)=0,"",IF(COUNTIFS(ENSAYOS!$C$5:$C$3004,F342,ENSAYOS!$Q$5:$Q$3004,"&gt;0",ENSAYOS!$G$5:$G$3004,"&gt;="&amp;CONFIG!$B$27)=0,"",AVERAGEIFS(ENSAYOS!$Q$5:$Q$3004,ENSAYOS!$C$5:$C$3004,F342,ENSAYOS!$Q$5:$Q$3004,"&gt;0",ENSAYOS!$G$5:$G$3004,"&gt;="&amp;CONFIG!$B$27)))</f>
        <v/>
      </c>
      <c r="W342" s="18" t="str">
        <f aca="false">IF(AND(U342&lt;&gt;"",V342&lt;&gt;""),U342/V342,"")</f>
        <v/>
      </c>
      <c r="X342" s="18" t="str">
        <f aca="false">IF(U342="","",INDEX('CURVA EDAD'!$E$5:$E$32,MIN(28,MAX(1,N342))))</f>
        <v/>
      </c>
      <c r="Y342" s="16" t="str">
        <f aca="false">IF(V342&lt;&gt;"",V342,IF(U342="","",U342/X342))</f>
        <v/>
      </c>
      <c r="Z342" s="16" t="str">
        <f aca="false">IF(V342&lt;&gt;"",_xlfn.MINIFS(ENSAYOS!$Q$5:$Q$3004,ENSAYOS!$C$5:$C$3004,F342,ENSAYOS!$Q$5:$Q$3004,"&gt;0",ENSAYOS!$G$5:$G$3004,"&gt;="&amp;CONFIG!$B$27),IF(U342="","",_xlfn.MINIFS(ENSAYOS!$Q$5:$Q$3004,ENSAYOS!$C$5:$C$3004,F342,ENSAYOS!$Q$5:$Q$3004,"&gt;0",ENSAYOS!$G$5:$G$3004,N342)/X342))</f>
        <v/>
      </c>
      <c r="AA342" s="16" t="str">
        <f aca="false">IF(D342="","",IFERROR(1/(1/INDEX(CONFIG!$J$5:$J$14,MATCH(D342,CONFIG!$D$5:$D$14,0))),""))</f>
        <v/>
      </c>
      <c r="AB342" s="16" t="str">
        <f aca="false">IF(D342="","",IFERROR(1/(1/INDEX(CONFIG!$K$5:$K$14,MATCH(D342,CONFIG!$D$5:$D$14,0))),""))</f>
        <v/>
      </c>
      <c r="AC342" s="19" t="str">
        <f aca="false">IF(N(M342)=0,"",IF(AA342="","Sin spec",IF(AND(Y342&gt;=AA342,OR(AB342="",Z342&gt;=AB342)),"CUMPLE","NO CUMPLE")&amp;IF(V342=""," (est.)","")))</f>
        <v/>
      </c>
      <c r="AD342" s="20" t="str">
        <f aca="false">IF(F342="","",IF(COUNTIFS(ABSORCION!$C$5:$C$1004,F342,ABSORCION!$I$5:$I$1004,"&gt;0")=0,"",AVERAGEIFS(ABSORCION!$I$5:$I$1004,ABSORCION!$C$5:$C$1004,F342,ABSORCION!$I$5:$I$1004,"&gt;0")))</f>
        <v/>
      </c>
      <c r="AE342" s="20" t="str">
        <f aca="false">IF(F342="","",IF(COUNTIFS(ABSORCION!$C$5:$C$1004,F342,ABSORCION!$I$5:$I$1004,"&gt;0")=0,"",AVERAGEIFS(ABSORCION!$K$5:$K$1004,ABSORCION!$C$5:$C$1004,F342,ABSORCION!$I$5:$I$1004,"&gt;0")))</f>
        <v/>
      </c>
      <c r="AF342" s="20" t="str">
        <f aca="false">IF(AE342="","",IF(AE342&gt;=CONFIG!$E$21,CONFIG!$F$21,IF(AE342&gt;=CONFIG!$E$20,CONFIG!$F$20,CONFIG!$F$19)))</f>
        <v/>
      </c>
      <c r="AG342" s="21" t="str">
        <f aca="false">IF(F342="","",TRIM(IF(N(M342)=0,"Sin ensayos. ","")&amp;IF(AND(N(M342)&gt;0,N(M342)&lt;CONFIG!$B$26),"Menos de "&amp;CONFIG!$B$26&amp;" probetas. ","")&amp;IF(N(T342)&gt;CONFIG!$B$25,"CV alto. ","")&amp;IF(AND(N(AD342)&gt;0,N(AD342)&gt;N(AF342)),"Absorción alta. ","")))</f>
        <v/>
      </c>
      <c r="AH342" s="22" t="str">
        <f aca="false">IF(AND(N(M342)&gt;0,OR(CONTROL!$C$4="TODAS",C342=CONTROL!$C$4),D342=CONTROL!$C$5),MAX($AH$4:AH341)+1,"")</f>
        <v/>
      </c>
      <c r="AI342" s="22" t="str">
        <f aca="false">IF(AH342="","",P342^2)</f>
        <v/>
      </c>
    </row>
    <row r="343" customFormat="false" ht="15" hidden="false" customHeight="false" outlineLevel="0" collapsed="false">
      <c r="A343" s="11" t="str">
        <f aca="false">IF(B343="","",ROW()-4)</f>
        <v/>
      </c>
      <c r="B343" s="12"/>
      <c r="C343" s="13"/>
      <c r="D343" s="13"/>
      <c r="E343" s="13"/>
      <c r="F343" s="14" t="str">
        <f aca="false">IF(OR(B343="",C343="",D343=""),"",IFERROR(INDEX(CONFIG!$E$5:$E$14,MATCH(D343,CONFIG!$D$5:$D$14,0)),"?")&amp;RIGHT("0"&amp;DAY(B343),2)&amp;RIGHT("0"&amp;MONTH(B343),2)&amp;RIGHT(YEAR(B343),2)&amp;C343&amp;IF(E343="","","-"&amp;E343))</f>
        <v/>
      </c>
      <c r="G343" s="13"/>
      <c r="H343" s="13"/>
      <c r="I343" s="13"/>
      <c r="J343" s="13"/>
      <c r="K343" s="13"/>
      <c r="L343" s="13"/>
      <c r="M343" s="11" t="str">
        <f aca="false">IF(F343="","",COUNTIFS(ENSAYOS!$C$5:$C$3004,F343,ENSAYOS!$Q$5:$Q$3004,"&gt;0"))</f>
        <v/>
      </c>
      <c r="N343" s="15" t="str">
        <f aca="false">IF(N(M343)=0,"",_xlfn.MINIFS(ENSAYOS!$G$5:$G$3004,ENSAYOS!$C$5:$C$3004,F343,ENSAYOS!$Q$5:$Q$3004,"&gt;0"))</f>
        <v/>
      </c>
      <c r="O343" s="15" t="str">
        <f aca="false">IF(N(M343)=0,"",_xlfn.MAXIFS(ENSAYOS!$G$5:$G$3004,ENSAYOS!$C$5:$C$3004,F343,ENSAYOS!$Q$5:$Q$3004,"&gt;0"))</f>
        <v/>
      </c>
      <c r="P343" s="16" t="str">
        <f aca="false">IF(N(M343)=0,"",AVERAGEIFS(ENSAYOS!$Q$5:$Q$3004,ENSAYOS!$C$5:$C$3004,F343,ENSAYOS!$Q$5:$Q$3004,"&gt;0"))</f>
        <v/>
      </c>
      <c r="Q343" s="16" t="str">
        <f aca="false">IF(N(M343)=0,"",_xlfn.MINIFS(ENSAYOS!$Q$5:$Q$3004,ENSAYOS!$C$5:$C$3004,F343,ENSAYOS!$Q$5:$Q$3004,"&gt;0"))</f>
        <v/>
      </c>
      <c r="R343" s="16" t="str">
        <f aca="false">IF(N(M343)=0,"",_xlfn.MAXIFS(ENSAYOS!$Q$5:$Q$3004,ENSAYOS!$C$5:$C$3004,F343,ENSAYOS!$Q$5:$Q$3004,"&gt;0"))</f>
        <v/>
      </c>
      <c r="S343" s="16" t="str">
        <f aca="false">IF(N(M343)&lt;2,"",SQRT(MAX(0,(SUMIFS(ENSAYOS!$X$5:$X$3004,ENSAYOS!$C$5:$C$3004,F343,ENSAYOS!$Q$5:$Q$3004,"&gt;0")-M343*P343^2)/(M343-1))))</f>
        <v/>
      </c>
      <c r="T343" s="17" t="str">
        <f aca="false">IF(S343="","",S343/P343)</f>
        <v/>
      </c>
      <c r="U343" s="16" t="str">
        <f aca="false">IF(N(M343)=0,"",IF(N343&gt;=CONFIG!$B$27,"",AVERAGEIFS(ENSAYOS!$Q$5:$Q$3004,ENSAYOS!$C$5:$C$3004,F343,ENSAYOS!$Q$5:$Q$3004,"&gt;0",ENSAYOS!$G$5:$G$3004,N343)))</f>
        <v/>
      </c>
      <c r="V343" s="16" t="str">
        <f aca="false">IF(N(M343)=0,"",IF(COUNTIFS(ENSAYOS!$C$5:$C$3004,F343,ENSAYOS!$Q$5:$Q$3004,"&gt;0",ENSAYOS!$G$5:$G$3004,"&gt;="&amp;CONFIG!$B$27)=0,"",AVERAGEIFS(ENSAYOS!$Q$5:$Q$3004,ENSAYOS!$C$5:$C$3004,F343,ENSAYOS!$Q$5:$Q$3004,"&gt;0",ENSAYOS!$G$5:$G$3004,"&gt;="&amp;CONFIG!$B$27)))</f>
        <v/>
      </c>
      <c r="W343" s="18" t="str">
        <f aca="false">IF(AND(U343&lt;&gt;"",V343&lt;&gt;""),U343/V343,"")</f>
        <v/>
      </c>
      <c r="X343" s="18" t="str">
        <f aca="false">IF(U343="","",INDEX('CURVA EDAD'!$E$5:$E$32,MIN(28,MAX(1,N343))))</f>
        <v/>
      </c>
      <c r="Y343" s="16" t="str">
        <f aca="false">IF(V343&lt;&gt;"",V343,IF(U343="","",U343/X343))</f>
        <v/>
      </c>
      <c r="Z343" s="16" t="str">
        <f aca="false">IF(V343&lt;&gt;"",_xlfn.MINIFS(ENSAYOS!$Q$5:$Q$3004,ENSAYOS!$C$5:$C$3004,F343,ENSAYOS!$Q$5:$Q$3004,"&gt;0",ENSAYOS!$G$5:$G$3004,"&gt;="&amp;CONFIG!$B$27),IF(U343="","",_xlfn.MINIFS(ENSAYOS!$Q$5:$Q$3004,ENSAYOS!$C$5:$C$3004,F343,ENSAYOS!$Q$5:$Q$3004,"&gt;0",ENSAYOS!$G$5:$G$3004,N343)/X343))</f>
        <v/>
      </c>
      <c r="AA343" s="16" t="str">
        <f aca="false">IF(D343="","",IFERROR(1/(1/INDEX(CONFIG!$J$5:$J$14,MATCH(D343,CONFIG!$D$5:$D$14,0))),""))</f>
        <v/>
      </c>
      <c r="AB343" s="16" t="str">
        <f aca="false">IF(D343="","",IFERROR(1/(1/INDEX(CONFIG!$K$5:$K$14,MATCH(D343,CONFIG!$D$5:$D$14,0))),""))</f>
        <v/>
      </c>
      <c r="AC343" s="19" t="str">
        <f aca="false">IF(N(M343)=0,"",IF(AA343="","Sin spec",IF(AND(Y343&gt;=AA343,OR(AB343="",Z343&gt;=AB343)),"CUMPLE","NO CUMPLE")&amp;IF(V343=""," (est.)","")))</f>
        <v/>
      </c>
      <c r="AD343" s="20" t="str">
        <f aca="false">IF(F343="","",IF(COUNTIFS(ABSORCION!$C$5:$C$1004,F343,ABSORCION!$I$5:$I$1004,"&gt;0")=0,"",AVERAGEIFS(ABSORCION!$I$5:$I$1004,ABSORCION!$C$5:$C$1004,F343,ABSORCION!$I$5:$I$1004,"&gt;0")))</f>
        <v/>
      </c>
      <c r="AE343" s="20" t="str">
        <f aca="false">IF(F343="","",IF(COUNTIFS(ABSORCION!$C$5:$C$1004,F343,ABSORCION!$I$5:$I$1004,"&gt;0")=0,"",AVERAGEIFS(ABSORCION!$K$5:$K$1004,ABSORCION!$C$5:$C$1004,F343,ABSORCION!$I$5:$I$1004,"&gt;0")))</f>
        <v/>
      </c>
      <c r="AF343" s="20" t="str">
        <f aca="false">IF(AE343="","",IF(AE343&gt;=CONFIG!$E$21,CONFIG!$F$21,IF(AE343&gt;=CONFIG!$E$20,CONFIG!$F$20,CONFIG!$F$19)))</f>
        <v/>
      </c>
      <c r="AG343" s="21" t="str">
        <f aca="false">IF(F343="","",TRIM(IF(N(M343)=0,"Sin ensayos. ","")&amp;IF(AND(N(M343)&gt;0,N(M343)&lt;CONFIG!$B$26),"Menos de "&amp;CONFIG!$B$26&amp;" probetas. ","")&amp;IF(N(T343)&gt;CONFIG!$B$25,"CV alto. ","")&amp;IF(AND(N(AD343)&gt;0,N(AD343)&gt;N(AF343)),"Absorción alta. ","")))</f>
        <v/>
      </c>
      <c r="AH343" s="22" t="str">
        <f aca="false">IF(AND(N(M343)&gt;0,OR(CONTROL!$C$4="TODAS",C343=CONTROL!$C$4),D343=CONTROL!$C$5),MAX($AH$4:AH342)+1,"")</f>
        <v/>
      </c>
      <c r="AI343" s="22" t="str">
        <f aca="false">IF(AH343="","",P343^2)</f>
        <v/>
      </c>
    </row>
    <row r="344" customFormat="false" ht="15" hidden="false" customHeight="false" outlineLevel="0" collapsed="false">
      <c r="A344" s="11" t="str">
        <f aca="false">IF(B344="","",ROW()-4)</f>
        <v/>
      </c>
      <c r="B344" s="12"/>
      <c r="C344" s="13"/>
      <c r="D344" s="13"/>
      <c r="E344" s="13"/>
      <c r="F344" s="14" t="str">
        <f aca="false">IF(OR(B344="",C344="",D344=""),"",IFERROR(INDEX(CONFIG!$E$5:$E$14,MATCH(D344,CONFIG!$D$5:$D$14,0)),"?")&amp;RIGHT("0"&amp;DAY(B344),2)&amp;RIGHT("0"&amp;MONTH(B344),2)&amp;RIGHT(YEAR(B344),2)&amp;C344&amp;IF(E344="","","-"&amp;E344))</f>
        <v/>
      </c>
      <c r="G344" s="13"/>
      <c r="H344" s="13"/>
      <c r="I344" s="13"/>
      <c r="J344" s="13"/>
      <c r="K344" s="13"/>
      <c r="L344" s="13"/>
      <c r="M344" s="11" t="str">
        <f aca="false">IF(F344="","",COUNTIFS(ENSAYOS!$C$5:$C$3004,F344,ENSAYOS!$Q$5:$Q$3004,"&gt;0"))</f>
        <v/>
      </c>
      <c r="N344" s="15" t="str">
        <f aca="false">IF(N(M344)=0,"",_xlfn.MINIFS(ENSAYOS!$G$5:$G$3004,ENSAYOS!$C$5:$C$3004,F344,ENSAYOS!$Q$5:$Q$3004,"&gt;0"))</f>
        <v/>
      </c>
      <c r="O344" s="15" t="str">
        <f aca="false">IF(N(M344)=0,"",_xlfn.MAXIFS(ENSAYOS!$G$5:$G$3004,ENSAYOS!$C$5:$C$3004,F344,ENSAYOS!$Q$5:$Q$3004,"&gt;0"))</f>
        <v/>
      </c>
      <c r="P344" s="16" t="str">
        <f aca="false">IF(N(M344)=0,"",AVERAGEIFS(ENSAYOS!$Q$5:$Q$3004,ENSAYOS!$C$5:$C$3004,F344,ENSAYOS!$Q$5:$Q$3004,"&gt;0"))</f>
        <v/>
      </c>
      <c r="Q344" s="16" t="str">
        <f aca="false">IF(N(M344)=0,"",_xlfn.MINIFS(ENSAYOS!$Q$5:$Q$3004,ENSAYOS!$C$5:$C$3004,F344,ENSAYOS!$Q$5:$Q$3004,"&gt;0"))</f>
        <v/>
      </c>
      <c r="R344" s="16" t="str">
        <f aca="false">IF(N(M344)=0,"",_xlfn.MAXIFS(ENSAYOS!$Q$5:$Q$3004,ENSAYOS!$C$5:$C$3004,F344,ENSAYOS!$Q$5:$Q$3004,"&gt;0"))</f>
        <v/>
      </c>
      <c r="S344" s="16" t="str">
        <f aca="false">IF(N(M344)&lt;2,"",SQRT(MAX(0,(SUMIFS(ENSAYOS!$X$5:$X$3004,ENSAYOS!$C$5:$C$3004,F344,ENSAYOS!$Q$5:$Q$3004,"&gt;0")-M344*P344^2)/(M344-1))))</f>
        <v/>
      </c>
      <c r="T344" s="17" t="str">
        <f aca="false">IF(S344="","",S344/P344)</f>
        <v/>
      </c>
      <c r="U344" s="16" t="str">
        <f aca="false">IF(N(M344)=0,"",IF(N344&gt;=CONFIG!$B$27,"",AVERAGEIFS(ENSAYOS!$Q$5:$Q$3004,ENSAYOS!$C$5:$C$3004,F344,ENSAYOS!$Q$5:$Q$3004,"&gt;0",ENSAYOS!$G$5:$G$3004,N344)))</f>
        <v/>
      </c>
      <c r="V344" s="16" t="str">
        <f aca="false">IF(N(M344)=0,"",IF(COUNTIFS(ENSAYOS!$C$5:$C$3004,F344,ENSAYOS!$Q$5:$Q$3004,"&gt;0",ENSAYOS!$G$5:$G$3004,"&gt;="&amp;CONFIG!$B$27)=0,"",AVERAGEIFS(ENSAYOS!$Q$5:$Q$3004,ENSAYOS!$C$5:$C$3004,F344,ENSAYOS!$Q$5:$Q$3004,"&gt;0",ENSAYOS!$G$5:$G$3004,"&gt;="&amp;CONFIG!$B$27)))</f>
        <v/>
      </c>
      <c r="W344" s="18" t="str">
        <f aca="false">IF(AND(U344&lt;&gt;"",V344&lt;&gt;""),U344/V344,"")</f>
        <v/>
      </c>
      <c r="X344" s="18" t="str">
        <f aca="false">IF(U344="","",INDEX('CURVA EDAD'!$E$5:$E$32,MIN(28,MAX(1,N344))))</f>
        <v/>
      </c>
      <c r="Y344" s="16" t="str">
        <f aca="false">IF(V344&lt;&gt;"",V344,IF(U344="","",U344/X344))</f>
        <v/>
      </c>
      <c r="Z344" s="16" t="str">
        <f aca="false">IF(V344&lt;&gt;"",_xlfn.MINIFS(ENSAYOS!$Q$5:$Q$3004,ENSAYOS!$C$5:$C$3004,F344,ENSAYOS!$Q$5:$Q$3004,"&gt;0",ENSAYOS!$G$5:$G$3004,"&gt;="&amp;CONFIG!$B$27),IF(U344="","",_xlfn.MINIFS(ENSAYOS!$Q$5:$Q$3004,ENSAYOS!$C$5:$C$3004,F344,ENSAYOS!$Q$5:$Q$3004,"&gt;0",ENSAYOS!$G$5:$G$3004,N344)/X344))</f>
        <v/>
      </c>
      <c r="AA344" s="16" t="str">
        <f aca="false">IF(D344="","",IFERROR(1/(1/INDEX(CONFIG!$J$5:$J$14,MATCH(D344,CONFIG!$D$5:$D$14,0))),""))</f>
        <v/>
      </c>
      <c r="AB344" s="16" t="str">
        <f aca="false">IF(D344="","",IFERROR(1/(1/INDEX(CONFIG!$K$5:$K$14,MATCH(D344,CONFIG!$D$5:$D$14,0))),""))</f>
        <v/>
      </c>
      <c r="AC344" s="19" t="str">
        <f aca="false">IF(N(M344)=0,"",IF(AA344="","Sin spec",IF(AND(Y344&gt;=AA344,OR(AB344="",Z344&gt;=AB344)),"CUMPLE","NO CUMPLE")&amp;IF(V344=""," (est.)","")))</f>
        <v/>
      </c>
      <c r="AD344" s="20" t="str">
        <f aca="false">IF(F344="","",IF(COUNTIFS(ABSORCION!$C$5:$C$1004,F344,ABSORCION!$I$5:$I$1004,"&gt;0")=0,"",AVERAGEIFS(ABSORCION!$I$5:$I$1004,ABSORCION!$C$5:$C$1004,F344,ABSORCION!$I$5:$I$1004,"&gt;0")))</f>
        <v/>
      </c>
      <c r="AE344" s="20" t="str">
        <f aca="false">IF(F344="","",IF(COUNTIFS(ABSORCION!$C$5:$C$1004,F344,ABSORCION!$I$5:$I$1004,"&gt;0")=0,"",AVERAGEIFS(ABSORCION!$K$5:$K$1004,ABSORCION!$C$5:$C$1004,F344,ABSORCION!$I$5:$I$1004,"&gt;0")))</f>
        <v/>
      </c>
      <c r="AF344" s="20" t="str">
        <f aca="false">IF(AE344="","",IF(AE344&gt;=CONFIG!$E$21,CONFIG!$F$21,IF(AE344&gt;=CONFIG!$E$20,CONFIG!$F$20,CONFIG!$F$19)))</f>
        <v/>
      </c>
      <c r="AG344" s="21" t="str">
        <f aca="false">IF(F344="","",TRIM(IF(N(M344)=0,"Sin ensayos. ","")&amp;IF(AND(N(M344)&gt;0,N(M344)&lt;CONFIG!$B$26),"Menos de "&amp;CONFIG!$B$26&amp;" probetas. ","")&amp;IF(N(T344)&gt;CONFIG!$B$25,"CV alto. ","")&amp;IF(AND(N(AD344)&gt;0,N(AD344)&gt;N(AF344)),"Absorción alta. ","")))</f>
        <v/>
      </c>
      <c r="AH344" s="22" t="str">
        <f aca="false">IF(AND(N(M344)&gt;0,OR(CONTROL!$C$4="TODAS",C344=CONTROL!$C$4),D344=CONTROL!$C$5),MAX($AH$4:AH343)+1,"")</f>
        <v/>
      </c>
      <c r="AI344" s="22" t="str">
        <f aca="false">IF(AH344="","",P344^2)</f>
        <v/>
      </c>
    </row>
    <row r="345" customFormat="false" ht="15" hidden="false" customHeight="false" outlineLevel="0" collapsed="false">
      <c r="A345" s="11" t="str">
        <f aca="false">IF(B345="","",ROW()-4)</f>
        <v/>
      </c>
      <c r="B345" s="12"/>
      <c r="C345" s="13"/>
      <c r="D345" s="13"/>
      <c r="E345" s="13"/>
      <c r="F345" s="14" t="str">
        <f aca="false">IF(OR(B345="",C345="",D345=""),"",IFERROR(INDEX(CONFIG!$E$5:$E$14,MATCH(D345,CONFIG!$D$5:$D$14,0)),"?")&amp;RIGHT("0"&amp;DAY(B345),2)&amp;RIGHT("0"&amp;MONTH(B345),2)&amp;RIGHT(YEAR(B345),2)&amp;C345&amp;IF(E345="","","-"&amp;E345))</f>
        <v/>
      </c>
      <c r="G345" s="13"/>
      <c r="H345" s="13"/>
      <c r="I345" s="13"/>
      <c r="J345" s="13"/>
      <c r="K345" s="13"/>
      <c r="L345" s="13"/>
      <c r="M345" s="11" t="str">
        <f aca="false">IF(F345="","",COUNTIFS(ENSAYOS!$C$5:$C$3004,F345,ENSAYOS!$Q$5:$Q$3004,"&gt;0"))</f>
        <v/>
      </c>
      <c r="N345" s="15" t="str">
        <f aca="false">IF(N(M345)=0,"",_xlfn.MINIFS(ENSAYOS!$G$5:$G$3004,ENSAYOS!$C$5:$C$3004,F345,ENSAYOS!$Q$5:$Q$3004,"&gt;0"))</f>
        <v/>
      </c>
      <c r="O345" s="15" t="str">
        <f aca="false">IF(N(M345)=0,"",_xlfn.MAXIFS(ENSAYOS!$G$5:$G$3004,ENSAYOS!$C$5:$C$3004,F345,ENSAYOS!$Q$5:$Q$3004,"&gt;0"))</f>
        <v/>
      </c>
      <c r="P345" s="16" t="str">
        <f aca="false">IF(N(M345)=0,"",AVERAGEIFS(ENSAYOS!$Q$5:$Q$3004,ENSAYOS!$C$5:$C$3004,F345,ENSAYOS!$Q$5:$Q$3004,"&gt;0"))</f>
        <v/>
      </c>
      <c r="Q345" s="16" t="str">
        <f aca="false">IF(N(M345)=0,"",_xlfn.MINIFS(ENSAYOS!$Q$5:$Q$3004,ENSAYOS!$C$5:$C$3004,F345,ENSAYOS!$Q$5:$Q$3004,"&gt;0"))</f>
        <v/>
      </c>
      <c r="R345" s="16" t="str">
        <f aca="false">IF(N(M345)=0,"",_xlfn.MAXIFS(ENSAYOS!$Q$5:$Q$3004,ENSAYOS!$C$5:$C$3004,F345,ENSAYOS!$Q$5:$Q$3004,"&gt;0"))</f>
        <v/>
      </c>
      <c r="S345" s="16" t="str">
        <f aca="false">IF(N(M345)&lt;2,"",SQRT(MAX(0,(SUMIFS(ENSAYOS!$X$5:$X$3004,ENSAYOS!$C$5:$C$3004,F345,ENSAYOS!$Q$5:$Q$3004,"&gt;0")-M345*P345^2)/(M345-1))))</f>
        <v/>
      </c>
      <c r="T345" s="17" t="str">
        <f aca="false">IF(S345="","",S345/P345)</f>
        <v/>
      </c>
      <c r="U345" s="16" t="str">
        <f aca="false">IF(N(M345)=0,"",IF(N345&gt;=CONFIG!$B$27,"",AVERAGEIFS(ENSAYOS!$Q$5:$Q$3004,ENSAYOS!$C$5:$C$3004,F345,ENSAYOS!$Q$5:$Q$3004,"&gt;0",ENSAYOS!$G$5:$G$3004,N345)))</f>
        <v/>
      </c>
      <c r="V345" s="16" t="str">
        <f aca="false">IF(N(M345)=0,"",IF(COUNTIFS(ENSAYOS!$C$5:$C$3004,F345,ENSAYOS!$Q$5:$Q$3004,"&gt;0",ENSAYOS!$G$5:$G$3004,"&gt;="&amp;CONFIG!$B$27)=0,"",AVERAGEIFS(ENSAYOS!$Q$5:$Q$3004,ENSAYOS!$C$5:$C$3004,F345,ENSAYOS!$Q$5:$Q$3004,"&gt;0",ENSAYOS!$G$5:$G$3004,"&gt;="&amp;CONFIG!$B$27)))</f>
        <v/>
      </c>
      <c r="W345" s="18" t="str">
        <f aca="false">IF(AND(U345&lt;&gt;"",V345&lt;&gt;""),U345/V345,"")</f>
        <v/>
      </c>
      <c r="X345" s="18" t="str">
        <f aca="false">IF(U345="","",INDEX('CURVA EDAD'!$E$5:$E$32,MIN(28,MAX(1,N345))))</f>
        <v/>
      </c>
      <c r="Y345" s="16" t="str">
        <f aca="false">IF(V345&lt;&gt;"",V345,IF(U345="","",U345/X345))</f>
        <v/>
      </c>
      <c r="Z345" s="16" t="str">
        <f aca="false">IF(V345&lt;&gt;"",_xlfn.MINIFS(ENSAYOS!$Q$5:$Q$3004,ENSAYOS!$C$5:$C$3004,F345,ENSAYOS!$Q$5:$Q$3004,"&gt;0",ENSAYOS!$G$5:$G$3004,"&gt;="&amp;CONFIG!$B$27),IF(U345="","",_xlfn.MINIFS(ENSAYOS!$Q$5:$Q$3004,ENSAYOS!$C$5:$C$3004,F345,ENSAYOS!$Q$5:$Q$3004,"&gt;0",ENSAYOS!$G$5:$G$3004,N345)/X345))</f>
        <v/>
      </c>
      <c r="AA345" s="16" t="str">
        <f aca="false">IF(D345="","",IFERROR(1/(1/INDEX(CONFIG!$J$5:$J$14,MATCH(D345,CONFIG!$D$5:$D$14,0))),""))</f>
        <v/>
      </c>
      <c r="AB345" s="16" t="str">
        <f aca="false">IF(D345="","",IFERROR(1/(1/INDEX(CONFIG!$K$5:$K$14,MATCH(D345,CONFIG!$D$5:$D$14,0))),""))</f>
        <v/>
      </c>
      <c r="AC345" s="19" t="str">
        <f aca="false">IF(N(M345)=0,"",IF(AA345="","Sin spec",IF(AND(Y345&gt;=AA345,OR(AB345="",Z345&gt;=AB345)),"CUMPLE","NO CUMPLE")&amp;IF(V345=""," (est.)","")))</f>
        <v/>
      </c>
      <c r="AD345" s="20" t="str">
        <f aca="false">IF(F345="","",IF(COUNTIFS(ABSORCION!$C$5:$C$1004,F345,ABSORCION!$I$5:$I$1004,"&gt;0")=0,"",AVERAGEIFS(ABSORCION!$I$5:$I$1004,ABSORCION!$C$5:$C$1004,F345,ABSORCION!$I$5:$I$1004,"&gt;0")))</f>
        <v/>
      </c>
      <c r="AE345" s="20" t="str">
        <f aca="false">IF(F345="","",IF(COUNTIFS(ABSORCION!$C$5:$C$1004,F345,ABSORCION!$I$5:$I$1004,"&gt;0")=0,"",AVERAGEIFS(ABSORCION!$K$5:$K$1004,ABSORCION!$C$5:$C$1004,F345,ABSORCION!$I$5:$I$1004,"&gt;0")))</f>
        <v/>
      </c>
      <c r="AF345" s="20" t="str">
        <f aca="false">IF(AE345="","",IF(AE345&gt;=CONFIG!$E$21,CONFIG!$F$21,IF(AE345&gt;=CONFIG!$E$20,CONFIG!$F$20,CONFIG!$F$19)))</f>
        <v/>
      </c>
      <c r="AG345" s="21" t="str">
        <f aca="false">IF(F345="","",TRIM(IF(N(M345)=0,"Sin ensayos. ","")&amp;IF(AND(N(M345)&gt;0,N(M345)&lt;CONFIG!$B$26),"Menos de "&amp;CONFIG!$B$26&amp;" probetas. ","")&amp;IF(N(T345)&gt;CONFIG!$B$25,"CV alto. ","")&amp;IF(AND(N(AD345)&gt;0,N(AD345)&gt;N(AF345)),"Absorción alta. ","")))</f>
        <v/>
      </c>
      <c r="AH345" s="22" t="str">
        <f aca="false">IF(AND(N(M345)&gt;0,OR(CONTROL!$C$4="TODAS",C345=CONTROL!$C$4),D345=CONTROL!$C$5),MAX($AH$4:AH344)+1,"")</f>
        <v/>
      </c>
      <c r="AI345" s="22" t="str">
        <f aca="false">IF(AH345="","",P345^2)</f>
        <v/>
      </c>
    </row>
    <row r="346" customFormat="false" ht="15" hidden="false" customHeight="false" outlineLevel="0" collapsed="false">
      <c r="A346" s="11" t="str">
        <f aca="false">IF(B346="","",ROW()-4)</f>
        <v/>
      </c>
      <c r="B346" s="12"/>
      <c r="C346" s="13"/>
      <c r="D346" s="13"/>
      <c r="E346" s="13"/>
      <c r="F346" s="14" t="str">
        <f aca="false">IF(OR(B346="",C346="",D346=""),"",IFERROR(INDEX(CONFIG!$E$5:$E$14,MATCH(D346,CONFIG!$D$5:$D$14,0)),"?")&amp;RIGHT("0"&amp;DAY(B346),2)&amp;RIGHT("0"&amp;MONTH(B346),2)&amp;RIGHT(YEAR(B346),2)&amp;C346&amp;IF(E346="","","-"&amp;E346))</f>
        <v/>
      </c>
      <c r="G346" s="13"/>
      <c r="H346" s="13"/>
      <c r="I346" s="13"/>
      <c r="J346" s="13"/>
      <c r="K346" s="13"/>
      <c r="L346" s="13"/>
      <c r="M346" s="11" t="str">
        <f aca="false">IF(F346="","",COUNTIFS(ENSAYOS!$C$5:$C$3004,F346,ENSAYOS!$Q$5:$Q$3004,"&gt;0"))</f>
        <v/>
      </c>
      <c r="N346" s="15" t="str">
        <f aca="false">IF(N(M346)=0,"",_xlfn.MINIFS(ENSAYOS!$G$5:$G$3004,ENSAYOS!$C$5:$C$3004,F346,ENSAYOS!$Q$5:$Q$3004,"&gt;0"))</f>
        <v/>
      </c>
      <c r="O346" s="15" t="str">
        <f aca="false">IF(N(M346)=0,"",_xlfn.MAXIFS(ENSAYOS!$G$5:$G$3004,ENSAYOS!$C$5:$C$3004,F346,ENSAYOS!$Q$5:$Q$3004,"&gt;0"))</f>
        <v/>
      </c>
      <c r="P346" s="16" t="str">
        <f aca="false">IF(N(M346)=0,"",AVERAGEIFS(ENSAYOS!$Q$5:$Q$3004,ENSAYOS!$C$5:$C$3004,F346,ENSAYOS!$Q$5:$Q$3004,"&gt;0"))</f>
        <v/>
      </c>
      <c r="Q346" s="16" t="str">
        <f aca="false">IF(N(M346)=0,"",_xlfn.MINIFS(ENSAYOS!$Q$5:$Q$3004,ENSAYOS!$C$5:$C$3004,F346,ENSAYOS!$Q$5:$Q$3004,"&gt;0"))</f>
        <v/>
      </c>
      <c r="R346" s="16" t="str">
        <f aca="false">IF(N(M346)=0,"",_xlfn.MAXIFS(ENSAYOS!$Q$5:$Q$3004,ENSAYOS!$C$5:$C$3004,F346,ENSAYOS!$Q$5:$Q$3004,"&gt;0"))</f>
        <v/>
      </c>
      <c r="S346" s="16" t="str">
        <f aca="false">IF(N(M346)&lt;2,"",SQRT(MAX(0,(SUMIFS(ENSAYOS!$X$5:$X$3004,ENSAYOS!$C$5:$C$3004,F346,ENSAYOS!$Q$5:$Q$3004,"&gt;0")-M346*P346^2)/(M346-1))))</f>
        <v/>
      </c>
      <c r="T346" s="17" t="str">
        <f aca="false">IF(S346="","",S346/P346)</f>
        <v/>
      </c>
      <c r="U346" s="16" t="str">
        <f aca="false">IF(N(M346)=0,"",IF(N346&gt;=CONFIG!$B$27,"",AVERAGEIFS(ENSAYOS!$Q$5:$Q$3004,ENSAYOS!$C$5:$C$3004,F346,ENSAYOS!$Q$5:$Q$3004,"&gt;0",ENSAYOS!$G$5:$G$3004,N346)))</f>
        <v/>
      </c>
      <c r="V346" s="16" t="str">
        <f aca="false">IF(N(M346)=0,"",IF(COUNTIFS(ENSAYOS!$C$5:$C$3004,F346,ENSAYOS!$Q$5:$Q$3004,"&gt;0",ENSAYOS!$G$5:$G$3004,"&gt;="&amp;CONFIG!$B$27)=0,"",AVERAGEIFS(ENSAYOS!$Q$5:$Q$3004,ENSAYOS!$C$5:$C$3004,F346,ENSAYOS!$Q$5:$Q$3004,"&gt;0",ENSAYOS!$G$5:$G$3004,"&gt;="&amp;CONFIG!$B$27)))</f>
        <v/>
      </c>
      <c r="W346" s="18" t="str">
        <f aca="false">IF(AND(U346&lt;&gt;"",V346&lt;&gt;""),U346/V346,"")</f>
        <v/>
      </c>
      <c r="X346" s="18" t="str">
        <f aca="false">IF(U346="","",INDEX('CURVA EDAD'!$E$5:$E$32,MIN(28,MAX(1,N346))))</f>
        <v/>
      </c>
      <c r="Y346" s="16" t="str">
        <f aca="false">IF(V346&lt;&gt;"",V346,IF(U346="","",U346/X346))</f>
        <v/>
      </c>
      <c r="Z346" s="16" t="str">
        <f aca="false">IF(V346&lt;&gt;"",_xlfn.MINIFS(ENSAYOS!$Q$5:$Q$3004,ENSAYOS!$C$5:$C$3004,F346,ENSAYOS!$Q$5:$Q$3004,"&gt;0",ENSAYOS!$G$5:$G$3004,"&gt;="&amp;CONFIG!$B$27),IF(U346="","",_xlfn.MINIFS(ENSAYOS!$Q$5:$Q$3004,ENSAYOS!$C$5:$C$3004,F346,ENSAYOS!$Q$5:$Q$3004,"&gt;0",ENSAYOS!$G$5:$G$3004,N346)/X346))</f>
        <v/>
      </c>
      <c r="AA346" s="16" t="str">
        <f aca="false">IF(D346="","",IFERROR(1/(1/INDEX(CONFIG!$J$5:$J$14,MATCH(D346,CONFIG!$D$5:$D$14,0))),""))</f>
        <v/>
      </c>
      <c r="AB346" s="16" t="str">
        <f aca="false">IF(D346="","",IFERROR(1/(1/INDEX(CONFIG!$K$5:$K$14,MATCH(D346,CONFIG!$D$5:$D$14,0))),""))</f>
        <v/>
      </c>
      <c r="AC346" s="19" t="str">
        <f aca="false">IF(N(M346)=0,"",IF(AA346="","Sin spec",IF(AND(Y346&gt;=AA346,OR(AB346="",Z346&gt;=AB346)),"CUMPLE","NO CUMPLE")&amp;IF(V346=""," (est.)","")))</f>
        <v/>
      </c>
      <c r="AD346" s="20" t="str">
        <f aca="false">IF(F346="","",IF(COUNTIFS(ABSORCION!$C$5:$C$1004,F346,ABSORCION!$I$5:$I$1004,"&gt;0")=0,"",AVERAGEIFS(ABSORCION!$I$5:$I$1004,ABSORCION!$C$5:$C$1004,F346,ABSORCION!$I$5:$I$1004,"&gt;0")))</f>
        <v/>
      </c>
      <c r="AE346" s="20" t="str">
        <f aca="false">IF(F346="","",IF(COUNTIFS(ABSORCION!$C$5:$C$1004,F346,ABSORCION!$I$5:$I$1004,"&gt;0")=0,"",AVERAGEIFS(ABSORCION!$K$5:$K$1004,ABSORCION!$C$5:$C$1004,F346,ABSORCION!$I$5:$I$1004,"&gt;0")))</f>
        <v/>
      </c>
      <c r="AF346" s="20" t="str">
        <f aca="false">IF(AE346="","",IF(AE346&gt;=CONFIG!$E$21,CONFIG!$F$21,IF(AE346&gt;=CONFIG!$E$20,CONFIG!$F$20,CONFIG!$F$19)))</f>
        <v/>
      </c>
      <c r="AG346" s="21" t="str">
        <f aca="false">IF(F346="","",TRIM(IF(N(M346)=0,"Sin ensayos. ","")&amp;IF(AND(N(M346)&gt;0,N(M346)&lt;CONFIG!$B$26),"Menos de "&amp;CONFIG!$B$26&amp;" probetas. ","")&amp;IF(N(T346)&gt;CONFIG!$B$25,"CV alto. ","")&amp;IF(AND(N(AD346)&gt;0,N(AD346)&gt;N(AF346)),"Absorción alta. ","")))</f>
        <v/>
      </c>
      <c r="AH346" s="22" t="str">
        <f aca="false">IF(AND(N(M346)&gt;0,OR(CONTROL!$C$4="TODAS",C346=CONTROL!$C$4),D346=CONTROL!$C$5),MAX($AH$4:AH345)+1,"")</f>
        <v/>
      </c>
      <c r="AI346" s="22" t="str">
        <f aca="false">IF(AH346="","",P346^2)</f>
        <v/>
      </c>
    </row>
    <row r="347" customFormat="false" ht="15" hidden="false" customHeight="false" outlineLevel="0" collapsed="false">
      <c r="A347" s="11" t="str">
        <f aca="false">IF(B347="","",ROW()-4)</f>
        <v/>
      </c>
      <c r="B347" s="12"/>
      <c r="C347" s="13"/>
      <c r="D347" s="13"/>
      <c r="E347" s="13"/>
      <c r="F347" s="14" t="str">
        <f aca="false">IF(OR(B347="",C347="",D347=""),"",IFERROR(INDEX(CONFIG!$E$5:$E$14,MATCH(D347,CONFIG!$D$5:$D$14,0)),"?")&amp;RIGHT("0"&amp;DAY(B347),2)&amp;RIGHT("0"&amp;MONTH(B347),2)&amp;RIGHT(YEAR(B347),2)&amp;C347&amp;IF(E347="","","-"&amp;E347))</f>
        <v/>
      </c>
      <c r="G347" s="13"/>
      <c r="H347" s="13"/>
      <c r="I347" s="13"/>
      <c r="J347" s="13"/>
      <c r="K347" s="13"/>
      <c r="L347" s="13"/>
      <c r="M347" s="11" t="str">
        <f aca="false">IF(F347="","",COUNTIFS(ENSAYOS!$C$5:$C$3004,F347,ENSAYOS!$Q$5:$Q$3004,"&gt;0"))</f>
        <v/>
      </c>
      <c r="N347" s="15" t="str">
        <f aca="false">IF(N(M347)=0,"",_xlfn.MINIFS(ENSAYOS!$G$5:$G$3004,ENSAYOS!$C$5:$C$3004,F347,ENSAYOS!$Q$5:$Q$3004,"&gt;0"))</f>
        <v/>
      </c>
      <c r="O347" s="15" t="str">
        <f aca="false">IF(N(M347)=0,"",_xlfn.MAXIFS(ENSAYOS!$G$5:$G$3004,ENSAYOS!$C$5:$C$3004,F347,ENSAYOS!$Q$5:$Q$3004,"&gt;0"))</f>
        <v/>
      </c>
      <c r="P347" s="16" t="str">
        <f aca="false">IF(N(M347)=0,"",AVERAGEIFS(ENSAYOS!$Q$5:$Q$3004,ENSAYOS!$C$5:$C$3004,F347,ENSAYOS!$Q$5:$Q$3004,"&gt;0"))</f>
        <v/>
      </c>
      <c r="Q347" s="16" t="str">
        <f aca="false">IF(N(M347)=0,"",_xlfn.MINIFS(ENSAYOS!$Q$5:$Q$3004,ENSAYOS!$C$5:$C$3004,F347,ENSAYOS!$Q$5:$Q$3004,"&gt;0"))</f>
        <v/>
      </c>
      <c r="R347" s="16" t="str">
        <f aca="false">IF(N(M347)=0,"",_xlfn.MAXIFS(ENSAYOS!$Q$5:$Q$3004,ENSAYOS!$C$5:$C$3004,F347,ENSAYOS!$Q$5:$Q$3004,"&gt;0"))</f>
        <v/>
      </c>
      <c r="S347" s="16" t="str">
        <f aca="false">IF(N(M347)&lt;2,"",SQRT(MAX(0,(SUMIFS(ENSAYOS!$X$5:$X$3004,ENSAYOS!$C$5:$C$3004,F347,ENSAYOS!$Q$5:$Q$3004,"&gt;0")-M347*P347^2)/(M347-1))))</f>
        <v/>
      </c>
      <c r="T347" s="17" t="str">
        <f aca="false">IF(S347="","",S347/P347)</f>
        <v/>
      </c>
      <c r="U347" s="16" t="str">
        <f aca="false">IF(N(M347)=0,"",IF(N347&gt;=CONFIG!$B$27,"",AVERAGEIFS(ENSAYOS!$Q$5:$Q$3004,ENSAYOS!$C$5:$C$3004,F347,ENSAYOS!$Q$5:$Q$3004,"&gt;0",ENSAYOS!$G$5:$G$3004,N347)))</f>
        <v/>
      </c>
      <c r="V347" s="16" t="str">
        <f aca="false">IF(N(M347)=0,"",IF(COUNTIFS(ENSAYOS!$C$5:$C$3004,F347,ENSAYOS!$Q$5:$Q$3004,"&gt;0",ENSAYOS!$G$5:$G$3004,"&gt;="&amp;CONFIG!$B$27)=0,"",AVERAGEIFS(ENSAYOS!$Q$5:$Q$3004,ENSAYOS!$C$5:$C$3004,F347,ENSAYOS!$Q$5:$Q$3004,"&gt;0",ENSAYOS!$G$5:$G$3004,"&gt;="&amp;CONFIG!$B$27)))</f>
        <v/>
      </c>
      <c r="W347" s="18" t="str">
        <f aca="false">IF(AND(U347&lt;&gt;"",V347&lt;&gt;""),U347/V347,"")</f>
        <v/>
      </c>
      <c r="X347" s="18" t="str">
        <f aca="false">IF(U347="","",INDEX('CURVA EDAD'!$E$5:$E$32,MIN(28,MAX(1,N347))))</f>
        <v/>
      </c>
      <c r="Y347" s="16" t="str">
        <f aca="false">IF(V347&lt;&gt;"",V347,IF(U347="","",U347/X347))</f>
        <v/>
      </c>
      <c r="Z347" s="16" t="str">
        <f aca="false">IF(V347&lt;&gt;"",_xlfn.MINIFS(ENSAYOS!$Q$5:$Q$3004,ENSAYOS!$C$5:$C$3004,F347,ENSAYOS!$Q$5:$Q$3004,"&gt;0",ENSAYOS!$G$5:$G$3004,"&gt;="&amp;CONFIG!$B$27),IF(U347="","",_xlfn.MINIFS(ENSAYOS!$Q$5:$Q$3004,ENSAYOS!$C$5:$C$3004,F347,ENSAYOS!$Q$5:$Q$3004,"&gt;0",ENSAYOS!$G$5:$G$3004,N347)/X347))</f>
        <v/>
      </c>
      <c r="AA347" s="16" t="str">
        <f aca="false">IF(D347="","",IFERROR(1/(1/INDEX(CONFIG!$J$5:$J$14,MATCH(D347,CONFIG!$D$5:$D$14,0))),""))</f>
        <v/>
      </c>
      <c r="AB347" s="16" t="str">
        <f aca="false">IF(D347="","",IFERROR(1/(1/INDEX(CONFIG!$K$5:$K$14,MATCH(D347,CONFIG!$D$5:$D$14,0))),""))</f>
        <v/>
      </c>
      <c r="AC347" s="19" t="str">
        <f aca="false">IF(N(M347)=0,"",IF(AA347="","Sin spec",IF(AND(Y347&gt;=AA347,OR(AB347="",Z347&gt;=AB347)),"CUMPLE","NO CUMPLE")&amp;IF(V347=""," (est.)","")))</f>
        <v/>
      </c>
      <c r="AD347" s="20" t="str">
        <f aca="false">IF(F347="","",IF(COUNTIFS(ABSORCION!$C$5:$C$1004,F347,ABSORCION!$I$5:$I$1004,"&gt;0")=0,"",AVERAGEIFS(ABSORCION!$I$5:$I$1004,ABSORCION!$C$5:$C$1004,F347,ABSORCION!$I$5:$I$1004,"&gt;0")))</f>
        <v/>
      </c>
      <c r="AE347" s="20" t="str">
        <f aca="false">IF(F347="","",IF(COUNTIFS(ABSORCION!$C$5:$C$1004,F347,ABSORCION!$I$5:$I$1004,"&gt;0")=0,"",AVERAGEIFS(ABSORCION!$K$5:$K$1004,ABSORCION!$C$5:$C$1004,F347,ABSORCION!$I$5:$I$1004,"&gt;0")))</f>
        <v/>
      </c>
      <c r="AF347" s="20" t="str">
        <f aca="false">IF(AE347="","",IF(AE347&gt;=CONFIG!$E$21,CONFIG!$F$21,IF(AE347&gt;=CONFIG!$E$20,CONFIG!$F$20,CONFIG!$F$19)))</f>
        <v/>
      </c>
      <c r="AG347" s="21" t="str">
        <f aca="false">IF(F347="","",TRIM(IF(N(M347)=0,"Sin ensayos. ","")&amp;IF(AND(N(M347)&gt;0,N(M347)&lt;CONFIG!$B$26),"Menos de "&amp;CONFIG!$B$26&amp;" probetas. ","")&amp;IF(N(T347)&gt;CONFIG!$B$25,"CV alto. ","")&amp;IF(AND(N(AD347)&gt;0,N(AD347)&gt;N(AF347)),"Absorción alta. ","")))</f>
        <v/>
      </c>
      <c r="AH347" s="22" t="str">
        <f aca="false">IF(AND(N(M347)&gt;0,OR(CONTROL!$C$4="TODAS",C347=CONTROL!$C$4),D347=CONTROL!$C$5),MAX($AH$4:AH346)+1,"")</f>
        <v/>
      </c>
      <c r="AI347" s="22" t="str">
        <f aca="false">IF(AH347="","",P347^2)</f>
        <v/>
      </c>
    </row>
    <row r="348" customFormat="false" ht="15" hidden="false" customHeight="false" outlineLevel="0" collapsed="false">
      <c r="A348" s="11" t="str">
        <f aca="false">IF(B348="","",ROW()-4)</f>
        <v/>
      </c>
      <c r="B348" s="12"/>
      <c r="C348" s="13"/>
      <c r="D348" s="13"/>
      <c r="E348" s="13"/>
      <c r="F348" s="14" t="str">
        <f aca="false">IF(OR(B348="",C348="",D348=""),"",IFERROR(INDEX(CONFIG!$E$5:$E$14,MATCH(D348,CONFIG!$D$5:$D$14,0)),"?")&amp;RIGHT("0"&amp;DAY(B348),2)&amp;RIGHT("0"&amp;MONTH(B348),2)&amp;RIGHT(YEAR(B348),2)&amp;C348&amp;IF(E348="","","-"&amp;E348))</f>
        <v/>
      </c>
      <c r="G348" s="13"/>
      <c r="H348" s="13"/>
      <c r="I348" s="13"/>
      <c r="J348" s="13"/>
      <c r="K348" s="13"/>
      <c r="L348" s="13"/>
      <c r="M348" s="11" t="str">
        <f aca="false">IF(F348="","",COUNTIFS(ENSAYOS!$C$5:$C$3004,F348,ENSAYOS!$Q$5:$Q$3004,"&gt;0"))</f>
        <v/>
      </c>
      <c r="N348" s="15" t="str">
        <f aca="false">IF(N(M348)=0,"",_xlfn.MINIFS(ENSAYOS!$G$5:$G$3004,ENSAYOS!$C$5:$C$3004,F348,ENSAYOS!$Q$5:$Q$3004,"&gt;0"))</f>
        <v/>
      </c>
      <c r="O348" s="15" t="str">
        <f aca="false">IF(N(M348)=0,"",_xlfn.MAXIFS(ENSAYOS!$G$5:$G$3004,ENSAYOS!$C$5:$C$3004,F348,ENSAYOS!$Q$5:$Q$3004,"&gt;0"))</f>
        <v/>
      </c>
      <c r="P348" s="16" t="str">
        <f aca="false">IF(N(M348)=0,"",AVERAGEIFS(ENSAYOS!$Q$5:$Q$3004,ENSAYOS!$C$5:$C$3004,F348,ENSAYOS!$Q$5:$Q$3004,"&gt;0"))</f>
        <v/>
      </c>
      <c r="Q348" s="16" t="str">
        <f aca="false">IF(N(M348)=0,"",_xlfn.MINIFS(ENSAYOS!$Q$5:$Q$3004,ENSAYOS!$C$5:$C$3004,F348,ENSAYOS!$Q$5:$Q$3004,"&gt;0"))</f>
        <v/>
      </c>
      <c r="R348" s="16" t="str">
        <f aca="false">IF(N(M348)=0,"",_xlfn.MAXIFS(ENSAYOS!$Q$5:$Q$3004,ENSAYOS!$C$5:$C$3004,F348,ENSAYOS!$Q$5:$Q$3004,"&gt;0"))</f>
        <v/>
      </c>
      <c r="S348" s="16" t="str">
        <f aca="false">IF(N(M348)&lt;2,"",SQRT(MAX(0,(SUMIFS(ENSAYOS!$X$5:$X$3004,ENSAYOS!$C$5:$C$3004,F348,ENSAYOS!$Q$5:$Q$3004,"&gt;0")-M348*P348^2)/(M348-1))))</f>
        <v/>
      </c>
      <c r="T348" s="17" t="str">
        <f aca="false">IF(S348="","",S348/P348)</f>
        <v/>
      </c>
      <c r="U348" s="16" t="str">
        <f aca="false">IF(N(M348)=0,"",IF(N348&gt;=CONFIG!$B$27,"",AVERAGEIFS(ENSAYOS!$Q$5:$Q$3004,ENSAYOS!$C$5:$C$3004,F348,ENSAYOS!$Q$5:$Q$3004,"&gt;0",ENSAYOS!$G$5:$G$3004,N348)))</f>
        <v/>
      </c>
      <c r="V348" s="16" t="str">
        <f aca="false">IF(N(M348)=0,"",IF(COUNTIFS(ENSAYOS!$C$5:$C$3004,F348,ENSAYOS!$Q$5:$Q$3004,"&gt;0",ENSAYOS!$G$5:$G$3004,"&gt;="&amp;CONFIG!$B$27)=0,"",AVERAGEIFS(ENSAYOS!$Q$5:$Q$3004,ENSAYOS!$C$5:$C$3004,F348,ENSAYOS!$Q$5:$Q$3004,"&gt;0",ENSAYOS!$G$5:$G$3004,"&gt;="&amp;CONFIG!$B$27)))</f>
        <v/>
      </c>
      <c r="W348" s="18" t="str">
        <f aca="false">IF(AND(U348&lt;&gt;"",V348&lt;&gt;""),U348/V348,"")</f>
        <v/>
      </c>
      <c r="X348" s="18" t="str">
        <f aca="false">IF(U348="","",INDEX('CURVA EDAD'!$E$5:$E$32,MIN(28,MAX(1,N348))))</f>
        <v/>
      </c>
      <c r="Y348" s="16" t="str">
        <f aca="false">IF(V348&lt;&gt;"",V348,IF(U348="","",U348/X348))</f>
        <v/>
      </c>
      <c r="Z348" s="16" t="str">
        <f aca="false">IF(V348&lt;&gt;"",_xlfn.MINIFS(ENSAYOS!$Q$5:$Q$3004,ENSAYOS!$C$5:$C$3004,F348,ENSAYOS!$Q$5:$Q$3004,"&gt;0",ENSAYOS!$G$5:$G$3004,"&gt;="&amp;CONFIG!$B$27),IF(U348="","",_xlfn.MINIFS(ENSAYOS!$Q$5:$Q$3004,ENSAYOS!$C$5:$C$3004,F348,ENSAYOS!$Q$5:$Q$3004,"&gt;0",ENSAYOS!$G$5:$G$3004,N348)/X348))</f>
        <v/>
      </c>
      <c r="AA348" s="16" t="str">
        <f aca="false">IF(D348="","",IFERROR(1/(1/INDEX(CONFIG!$J$5:$J$14,MATCH(D348,CONFIG!$D$5:$D$14,0))),""))</f>
        <v/>
      </c>
      <c r="AB348" s="16" t="str">
        <f aca="false">IF(D348="","",IFERROR(1/(1/INDEX(CONFIG!$K$5:$K$14,MATCH(D348,CONFIG!$D$5:$D$14,0))),""))</f>
        <v/>
      </c>
      <c r="AC348" s="19" t="str">
        <f aca="false">IF(N(M348)=0,"",IF(AA348="","Sin spec",IF(AND(Y348&gt;=AA348,OR(AB348="",Z348&gt;=AB348)),"CUMPLE","NO CUMPLE")&amp;IF(V348=""," (est.)","")))</f>
        <v/>
      </c>
      <c r="AD348" s="20" t="str">
        <f aca="false">IF(F348="","",IF(COUNTIFS(ABSORCION!$C$5:$C$1004,F348,ABSORCION!$I$5:$I$1004,"&gt;0")=0,"",AVERAGEIFS(ABSORCION!$I$5:$I$1004,ABSORCION!$C$5:$C$1004,F348,ABSORCION!$I$5:$I$1004,"&gt;0")))</f>
        <v/>
      </c>
      <c r="AE348" s="20" t="str">
        <f aca="false">IF(F348="","",IF(COUNTIFS(ABSORCION!$C$5:$C$1004,F348,ABSORCION!$I$5:$I$1004,"&gt;0")=0,"",AVERAGEIFS(ABSORCION!$K$5:$K$1004,ABSORCION!$C$5:$C$1004,F348,ABSORCION!$I$5:$I$1004,"&gt;0")))</f>
        <v/>
      </c>
      <c r="AF348" s="20" t="str">
        <f aca="false">IF(AE348="","",IF(AE348&gt;=CONFIG!$E$21,CONFIG!$F$21,IF(AE348&gt;=CONFIG!$E$20,CONFIG!$F$20,CONFIG!$F$19)))</f>
        <v/>
      </c>
      <c r="AG348" s="21" t="str">
        <f aca="false">IF(F348="","",TRIM(IF(N(M348)=0,"Sin ensayos. ","")&amp;IF(AND(N(M348)&gt;0,N(M348)&lt;CONFIG!$B$26),"Menos de "&amp;CONFIG!$B$26&amp;" probetas. ","")&amp;IF(N(T348)&gt;CONFIG!$B$25,"CV alto. ","")&amp;IF(AND(N(AD348)&gt;0,N(AD348)&gt;N(AF348)),"Absorción alta. ","")))</f>
        <v/>
      </c>
      <c r="AH348" s="22" t="str">
        <f aca="false">IF(AND(N(M348)&gt;0,OR(CONTROL!$C$4="TODAS",C348=CONTROL!$C$4),D348=CONTROL!$C$5),MAX($AH$4:AH347)+1,"")</f>
        <v/>
      </c>
      <c r="AI348" s="22" t="str">
        <f aca="false">IF(AH348="","",P348^2)</f>
        <v/>
      </c>
    </row>
    <row r="349" customFormat="false" ht="15" hidden="false" customHeight="false" outlineLevel="0" collapsed="false">
      <c r="A349" s="11" t="str">
        <f aca="false">IF(B349="","",ROW()-4)</f>
        <v/>
      </c>
      <c r="B349" s="12"/>
      <c r="C349" s="13"/>
      <c r="D349" s="13"/>
      <c r="E349" s="13"/>
      <c r="F349" s="14" t="str">
        <f aca="false">IF(OR(B349="",C349="",D349=""),"",IFERROR(INDEX(CONFIG!$E$5:$E$14,MATCH(D349,CONFIG!$D$5:$D$14,0)),"?")&amp;RIGHT("0"&amp;DAY(B349),2)&amp;RIGHT("0"&amp;MONTH(B349),2)&amp;RIGHT(YEAR(B349),2)&amp;C349&amp;IF(E349="","","-"&amp;E349))</f>
        <v/>
      </c>
      <c r="G349" s="13"/>
      <c r="H349" s="13"/>
      <c r="I349" s="13"/>
      <c r="J349" s="13"/>
      <c r="K349" s="13"/>
      <c r="L349" s="13"/>
      <c r="M349" s="11" t="str">
        <f aca="false">IF(F349="","",COUNTIFS(ENSAYOS!$C$5:$C$3004,F349,ENSAYOS!$Q$5:$Q$3004,"&gt;0"))</f>
        <v/>
      </c>
      <c r="N349" s="15" t="str">
        <f aca="false">IF(N(M349)=0,"",_xlfn.MINIFS(ENSAYOS!$G$5:$G$3004,ENSAYOS!$C$5:$C$3004,F349,ENSAYOS!$Q$5:$Q$3004,"&gt;0"))</f>
        <v/>
      </c>
      <c r="O349" s="15" t="str">
        <f aca="false">IF(N(M349)=0,"",_xlfn.MAXIFS(ENSAYOS!$G$5:$G$3004,ENSAYOS!$C$5:$C$3004,F349,ENSAYOS!$Q$5:$Q$3004,"&gt;0"))</f>
        <v/>
      </c>
      <c r="P349" s="16" t="str">
        <f aca="false">IF(N(M349)=0,"",AVERAGEIFS(ENSAYOS!$Q$5:$Q$3004,ENSAYOS!$C$5:$C$3004,F349,ENSAYOS!$Q$5:$Q$3004,"&gt;0"))</f>
        <v/>
      </c>
      <c r="Q349" s="16" t="str">
        <f aca="false">IF(N(M349)=0,"",_xlfn.MINIFS(ENSAYOS!$Q$5:$Q$3004,ENSAYOS!$C$5:$C$3004,F349,ENSAYOS!$Q$5:$Q$3004,"&gt;0"))</f>
        <v/>
      </c>
      <c r="R349" s="16" t="str">
        <f aca="false">IF(N(M349)=0,"",_xlfn.MAXIFS(ENSAYOS!$Q$5:$Q$3004,ENSAYOS!$C$5:$C$3004,F349,ENSAYOS!$Q$5:$Q$3004,"&gt;0"))</f>
        <v/>
      </c>
      <c r="S349" s="16" t="str">
        <f aca="false">IF(N(M349)&lt;2,"",SQRT(MAX(0,(SUMIFS(ENSAYOS!$X$5:$X$3004,ENSAYOS!$C$5:$C$3004,F349,ENSAYOS!$Q$5:$Q$3004,"&gt;0")-M349*P349^2)/(M349-1))))</f>
        <v/>
      </c>
      <c r="T349" s="17" t="str">
        <f aca="false">IF(S349="","",S349/P349)</f>
        <v/>
      </c>
      <c r="U349" s="16" t="str">
        <f aca="false">IF(N(M349)=0,"",IF(N349&gt;=CONFIG!$B$27,"",AVERAGEIFS(ENSAYOS!$Q$5:$Q$3004,ENSAYOS!$C$5:$C$3004,F349,ENSAYOS!$Q$5:$Q$3004,"&gt;0",ENSAYOS!$G$5:$G$3004,N349)))</f>
        <v/>
      </c>
      <c r="V349" s="16" t="str">
        <f aca="false">IF(N(M349)=0,"",IF(COUNTIFS(ENSAYOS!$C$5:$C$3004,F349,ENSAYOS!$Q$5:$Q$3004,"&gt;0",ENSAYOS!$G$5:$G$3004,"&gt;="&amp;CONFIG!$B$27)=0,"",AVERAGEIFS(ENSAYOS!$Q$5:$Q$3004,ENSAYOS!$C$5:$C$3004,F349,ENSAYOS!$Q$5:$Q$3004,"&gt;0",ENSAYOS!$G$5:$G$3004,"&gt;="&amp;CONFIG!$B$27)))</f>
        <v/>
      </c>
      <c r="W349" s="18" t="str">
        <f aca="false">IF(AND(U349&lt;&gt;"",V349&lt;&gt;""),U349/V349,"")</f>
        <v/>
      </c>
      <c r="X349" s="18" t="str">
        <f aca="false">IF(U349="","",INDEX('CURVA EDAD'!$E$5:$E$32,MIN(28,MAX(1,N349))))</f>
        <v/>
      </c>
      <c r="Y349" s="16" t="str">
        <f aca="false">IF(V349&lt;&gt;"",V349,IF(U349="","",U349/X349))</f>
        <v/>
      </c>
      <c r="Z349" s="16" t="str">
        <f aca="false">IF(V349&lt;&gt;"",_xlfn.MINIFS(ENSAYOS!$Q$5:$Q$3004,ENSAYOS!$C$5:$C$3004,F349,ENSAYOS!$Q$5:$Q$3004,"&gt;0",ENSAYOS!$G$5:$G$3004,"&gt;="&amp;CONFIG!$B$27),IF(U349="","",_xlfn.MINIFS(ENSAYOS!$Q$5:$Q$3004,ENSAYOS!$C$5:$C$3004,F349,ENSAYOS!$Q$5:$Q$3004,"&gt;0",ENSAYOS!$G$5:$G$3004,N349)/X349))</f>
        <v/>
      </c>
      <c r="AA349" s="16" t="str">
        <f aca="false">IF(D349="","",IFERROR(1/(1/INDEX(CONFIG!$J$5:$J$14,MATCH(D349,CONFIG!$D$5:$D$14,0))),""))</f>
        <v/>
      </c>
      <c r="AB349" s="16" t="str">
        <f aca="false">IF(D349="","",IFERROR(1/(1/INDEX(CONFIG!$K$5:$K$14,MATCH(D349,CONFIG!$D$5:$D$14,0))),""))</f>
        <v/>
      </c>
      <c r="AC349" s="19" t="str">
        <f aca="false">IF(N(M349)=0,"",IF(AA349="","Sin spec",IF(AND(Y349&gt;=AA349,OR(AB349="",Z349&gt;=AB349)),"CUMPLE","NO CUMPLE")&amp;IF(V349=""," (est.)","")))</f>
        <v/>
      </c>
      <c r="AD349" s="20" t="str">
        <f aca="false">IF(F349="","",IF(COUNTIFS(ABSORCION!$C$5:$C$1004,F349,ABSORCION!$I$5:$I$1004,"&gt;0")=0,"",AVERAGEIFS(ABSORCION!$I$5:$I$1004,ABSORCION!$C$5:$C$1004,F349,ABSORCION!$I$5:$I$1004,"&gt;0")))</f>
        <v/>
      </c>
      <c r="AE349" s="20" t="str">
        <f aca="false">IF(F349="","",IF(COUNTIFS(ABSORCION!$C$5:$C$1004,F349,ABSORCION!$I$5:$I$1004,"&gt;0")=0,"",AVERAGEIFS(ABSORCION!$K$5:$K$1004,ABSORCION!$C$5:$C$1004,F349,ABSORCION!$I$5:$I$1004,"&gt;0")))</f>
        <v/>
      </c>
      <c r="AF349" s="20" t="str">
        <f aca="false">IF(AE349="","",IF(AE349&gt;=CONFIG!$E$21,CONFIG!$F$21,IF(AE349&gt;=CONFIG!$E$20,CONFIG!$F$20,CONFIG!$F$19)))</f>
        <v/>
      </c>
      <c r="AG349" s="21" t="str">
        <f aca="false">IF(F349="","",TRIM(IF(N(M349)=0,"Sin ensayos. ","")&amp;IF(AND(N(M349)&gt;0,N(M349)&lt;CONFIG!$B$26),"Menos de "&amp;CONFIG!$B$26&amp;" probetas. ","")&amp;IF(N(T349)&gt;CONFIG!$B$25,"CV alto. ","")&amp;IF(AND(N(AD349)&gt;0,N(AD349)&gt;N(AF349)),"Absorción alta. ","")))</f>
        <v/>
      </c>
      <c r="AH349" s="22" t="str">
        <f aca="false">IF(AND(N(M349)&gt;0,OR(CONTROL!$C$4="TODAS",C349=CONTROL!$C$4),D349=CONTROL!$C$5),MAX($AH$4:AH348)+1,"")</f>
        <v/>
      </c>
      <c r="AI349" s="22" t="str">
        <f aca="false">IF(AH349="","",P349^2)</f>
        <v/>
      </c>
    </row>
    <row r="350" customFormat="false" ht="15" hidden="false" customHeight="false" outlineLevel="0" collapsed="false">
      <c r="A350" s="11" t="str">
        <f aca="false">IF(B350="","",ROW()-4)</f>
        <v/>
      </c>
      <c r="B350" s="12"/>
      <c r="C350" s="13"/>
      <c r="D350" s="13"/>
      <c r="E350" s="13"/>
      <c r="F350" s="14" t="str">
        <f aca="false">IF(OR(B350="",C350="",D350=""),"",IFERROR(INDEX(CONFIG!$E$5:$E$14,MATCH(D350,CONFIG!$D$5:$D$14,0)),"?")&amp;RIGHT("0"&amp;DAY(B350),2)&amp;RIGHT("0"&amp;MONTH(B350),2)&amp;RIGHT(YEAR(B350),2)&amp;C350&amp;IF(E350="","","-"&amp;E350))</f>
        <v/>
      </c>
      <c r="G350" s="13"/>
      <c r="H350" s="13"/>
      <c r="I350" s="13"/>
      <c r="J350" s="13"/>
      <c r="K350" s="13"/>
      <c r="L350" s="13"/>
      <c r="M350" s="11" t="str">
        <f aca="false">IF(F350="","",COUNTIFS(ENSAYOS!$C$5:$C$3004,F350,ENSAYOS!$Q$5:$Q$3004,"&gt;0"))</f>
        <v/>
      </c>
      <c r="N350" s="15" t="str">
        <f aca="false">IF(N(M350)=0,"",_xlfn.MINIFS(ENSAYOS!$G$5:$G$3004,ENSAYOS!$C$5:$C$3004,F350,ENSAYOS!$Q$5:$Q$3004,"&gt;0"))</f>
        <v/>
      </c>
      <c r="O350" s="15" t="str">
        <f aca="false">IF(N(M350)=0,"",_xlfn.MAXIFS(ENSAYOS!$G$5:$G$3004,ENSAYOS!$C$5:$C$3004,F350,ENSAYOS!$Q$5:$Q$3004,"&gt;0"))</f>
        <v/>
      </c>
      <c r="P350" s="16" t="str">
        <f aca="false">IF(N(M350)=0,"",AVERAGEIFS(ENSAYOS!$Q$5:$Q$3004,ENSAYOS!$C$5:$C$3004,F350,ENSAYOS!$Q$5:$Q$3004,"&gt;0"))</f>
        <v/>
      </c>
      <c r="Q350" s="16" t="str">
        <f aca="false">IF(N(M350)=0,"",_xlfn.MINIFS(ENSAYOS!$Q$5:$Q$3004,ENSAYOS!$C$5:$C$3004,F350,ENSAYOS!$Q$5:$Q$3004,"&gt;0"))</f>
        <v/>
      </c>
      <c r="R350" s="16" t="str">
        <f aca="false">IF(N(M350)=0,"",_xlfn.MAXIFS(ENSAYOS!$Q$5:$Q$3004,ENSAYOS!$C$5:$C$3004,F350,ENSAYOS!$Q$5:$Q$3004,"&gt;0"))</f>
        <v/>
      </c>
      <c r="S350" s="16" t="str">
        <f aca="false">IF(N(M350)&lt;2,"",SQRT(MAX(0,(SUMIFS(ENSAYOS!$X$5:$X$3004,ENSAYOS!$C$5:$C$3004,F350,ENSAYOS!$Q$5:$Q$3004,"&gt;0")-M350*P350^2)/(M350-1))))</f>
        <v/>
      </c>
      <c r="T350" s="17" t="str">
        <f aca="false">IF(S350="","",S350/P350)</f>
        <v/>
      </c>
      <c r="U350" s="16" t="str">
        <f aca="false">IF(N(M350)=0,"",IF(N350&gt;=CONFIG!$B$27,"",AVERAGEIFS(ENSAYOS!$Q$5:$Q$3004,ENSAYOS!$C$5:$C$3004,F350,ENSAYOS!$Q$5:$Q$3004,"&gt;0",ENSAYOS!$G$5:$G$3004,N350)))</f>
        <v/>
      </c>
      <c r="V350" s="16" t="str">
        <f aca="false">IF(N(M350)=0,"",IF(COUNTIFS(ENSAYOS!$C$5:$C$3004,F350,ENSAYOS!$Q$5:$Q$3004,"&gt;0",ENSAYOS!$G$5:$G$3004,"&gt;="&amp;CONFIG!$B$27)=0,"",AVERAGEIFS(ENSAYOS!$Q$5:$Q$3004,ENSAYOS!$C$5:$C$3004,F350,ENSAYOS!$Q$5:$Q$3004,"&gt;0",ENSAYOS!$G$5:$G$3004,"&gt;="&amp;CONFIG!$B$27)))</f>
        <v/>
      </c>
      <c r="W350" s="18" t="str">
        <f aca="false">IF(AND(U350&lt;&gt;"",V350&lt;&gt;""),U350/V350,"")</f>
        <v/>
      </c>
      <c r="X350" s="18" t="str">
        <f aca="false">IF(U350="","",INDEX('CURVA EDAD'!$E$5:$E$32,MIN(28,MAX(1,N350))))</f>
        <v/>
      </c>
      <c r="Y350" s="16" t="str">
        <f aca="false">IF(V350&lt;&gt;"",V350,IF(U350="","",U350/X350))</f>
        <v/>
      </c>
      <c r="Z350" s="16" t="str">
        <f aca="false">IF(V350&lt;&gt;"",_xlfn.MINIFS(ENSAYOS!$Q$5:$Q$3004,ENSAYOS!$C$5:$C$3004,F350,ENSAYOS!$Q$5:$Q$3004,"&gt;0",ENSAYOS!$G$5:$G$3004,"&gt;="&amp;CONFIG!$B$27),IF(U350="","",_xlfn.MINIFS(ENSAYOS!$Q$5:$Q$3004,ENSAYOS!$C$5:$C$3004,F350,ENSAYOS!$Q$5:$Q$3004,"&gt;0",ENSAYOS!$G$5:$G$3004,N350)/X350))</f>
        <v/>
      </c>
      <c r="AA350" s="16" t="str">
        <f aca="false">IF(D350="","",IFERROR(1/(1/INDEX(CONFIG!$J$5:$J$14,MATCH(D350,CONFIG!$D$5:$D$14,0))),""))</f>
        <v/>
      </c>
      <c r="AB350" s="16" t="str">
        <f aca="false">IF(D350="","",IFERROR(1/(1/INDEX(CONFIG!$K$5:$K$14,MATCH(D350,CONFIG!$D$5:$D$14,0))),""))</f>
        <v/>
      </c>
      <c r="AC350" s="19" t="str">
        <f aca="false">IF(N(M350)=0,"",IF(AA350="","Sin spec",IF(AND(Y350&gt;=AA350,OR(AB350="",Z350&gt;=AB350)),"CUMPLE","NO CUMPLE")&amp;IF(V350=""," (est.)","")))</f>
        <v/>
      </c>
      <c r="AD350" s="20" t="str">
        <f aca="false">IF(F350="","",IF(COUNTIFS(ABSORCION!$C$5:$C$1004,F350,ABSORCION!$I$5:$I$1004,"&gt;0")=0,"",AVERAGEIFS(ABSORCION!$I$5:$I$1004,ABSORCION!$C$5:$C$1004,F350,ABSORCION!$I$5:$I$1004,"&gt;0")))</f>
        <v/>
      </c>
      <c r="AE350" s="20" t="str">
        <f aca="false">IF(F350="","",IF(COUNTIFS(ABSORCION!$C$5:$C$1004,F350,ABSORCION!$I$5:$I$1004,"&gt;0")=0,"",AVERAGEIFS(ABSORCION!$K$5:$K$1004,ABSORCION!$C$5:$C$1004,F350,ABSORCION!$I$5:$I$1004,"&gt;0")))</f>
        <v/>
      </c>
      <c r="AF350" s="20" t="str">
        <f aca="false">IF(AE350="","",IF(AE350&gt;=CONFIG!$E$21,CONFIG!$F$21,IF(AE350&gt;=CONFIG!$E$20,CONFIG!$F$20,CONFIG!$F$19)))</f>
        <v/>
      </c>
      <c r="AG350" s="21" t="str">
        <f aca="false">IF(F350="","",TRIM(IF(N(M350)=0,"Sin ensayos. ","")&amp;IF(AND(N(M350)&gt;0,N(M350)&lt;CONFIG!$B$26),"Menos de "&amp;CONFIG!$B$26&amp;" probetas. ","")&amp;IF(N(T350)&gt;CONFIG!$B$25,"CV alto. ","")&amp;IF(AND(N(AD350)&gt;0,N(AD350)&gt;N(AF350)),"Absorción alta. ","")))</f>
        <v/>
      </c>
      <c r="AH350" s="22" t="str">
        <f aca="false">IF(AND(N(M350)&gt;0,OR(CONTROL!$C$4="TODAS",C350=CONTROL!$C$4),D350=CONTROL!$C$5),MAX($AH$4:AH349)+1,"")</f>
        <v/>
      </c>
      <c r="AI350" s="22" t="str">
        <f aca="false">IF(AH350="","",P350^2)</f>
        <v/>
      </c>
    </row>
    <row r="351" customFormat="false" ht="15" hidden="false" customHeight="false" outlineLevel="0" collapsed="false">
      <c r="A351" s="11" t="str">
        <f aca="false">IF(B351="","",ROW()-4)</f>
        <v/>
      </c>
      <c r="B351" s="12"/>
      <c r="C351" s="13"/>
      <c r="D351" s="13"/>
      <c r="E351" s="13"/>
      <c r="F351" s="14" t="str">
        <f aca="false">IF(OR(B351="",C351="",D351=""),"",IFERROR(INDEX(CONFIG!$E$5:$E$14,MATCH(D351,CONFIG!$D$5:$D$14,0)),"?")&amp;RIGHT("0"&amp;DAY(B351),2)&amp;RIGHT("0"&amp;MONTH(B351),2)&amp;RIGHT(YEAR(B351),2)&amp;C351&amp;IF(E351="","","-"&amp;E351))</f>
        <v/>
      </c>
      <c r="G351" s="13"/>
      <c r="H351" s="13"/>
      <c r="I351" s="13"/>
      <c r="J351" s="13"/>
      <c r="K351" s="13"/>
      <c r="L351" s="13"/>
      <c r="M351" s="11" t="str">
        <f aca="false">IF(F351="","",COUNTIFS(ENSAYOS!$C$5:$C$3004,F351,ENSAYOS!$Q$5:$Q$3004,"&gt;0"))</f>
        <v/>
      </c>
      <c r="N351" s="15" t="str">
        <f aca="false">IF(N(M351)=0,"",_xlfn.MINIFS(ENSAYOS!$G$5:$G$3004,ENSAYOS!$C$5:$C$3004,F351,ENSAYOS!$Q$5:$Q$3004,"&gt;0"))</f>
        <v/>
      </c>
      <c r="O351" s="15" t="str">
        <f aca="false">IF(N(M351)=0,"",_xlfn.MAXIFS(ENSAYOS!$G$5:$G$3004,ENSAYOS!$C$5:$C$3004,F351,ENSAYOS!$Q$5:$Q$3004,"&gt;0"))</f>
        <v/>
      </c>
      <c r="P351" s="16" t="str">
        <f aca="false">IF(N(M351)=0,"",AVERAGEIFS(ENSAYOS!$Q$5:$Q$3004,ENSAYOS!$C$5:$C$3004,F351,ENSAYOS!$Q$5:$Q$3004,"&gt;0"))</f>
        <v/>
      </c>
      <c r="Q351" s="16" t="str">
        <f aca="false">IF(N(M351)=0,"",_xlfn.MINIFS(ENSAYOS!$Q$5:$Q$3004,ENSAYOS!$C$5:$C$3004,F351,ENSAYOS!$Q$5:$Q$3004,"&gt;0"))</f>
        <v/>
      </c>
      <c r="R351" s="16" t="str">
        <f aca="false">IF(N(M351)=0,"",_xlfn.MAXIFS(ENSAYOS!$Q$5:$Q$3004,ENSAYOS!$C$5:$C$3004,F351,ENSAYOS!$Q$5:$Q$3004,"&gt;0"))</f>
        <v/>
      </c>
      <c r="S351" s="16" t="str">
        <f aca="false">IF(N(M351)&lt;2,"",SQRT(MAX(0,(SUMIFS(ENSAYOS!$X$5:$X$3004,ENSAYOS!$C$5:$C$3004,F351,ENSAYOS!$Q$5:$Q$3004,"&gt;0")-M351*P351^2)/(M351-1))))</f>
        <v/>
      </c>
      <c r="T351" s="17" t="str">
        <f aca="false">IF(S351="","",S351/P351)</f>
        <v/>
      </c>
      <c r="U351" s="16" t="str">
        <f aca="false">IF(N(M351)=0,"",IF(N351&gt;=CONFIG!$B$27,"",AVERAGEIFS(ENSAYOS!$Q$5:$Q$3004,ENSAYOS!$C$5:$C$3004,F351,ENSAYOS!$Q$5:$Q$3004,"&gt;0",ENSAYOS!$G$5:$G$3004,N351)))</f>
        <v/>
      </c>
      <c r="V351" s="16" t="str">
        <f aca="false">IF(N(M351)=0,"",IF(COUNTIFS(ENSAYOS!$C$5:$C$3004,F351,ENSAYOS!$Q$5:$Q$3004,"&gt;0",ENSAYOS!$G$5:$G$3004,"&gt;="&amp;CONFIG!$B$27)=0,"",AVERAGEIFS(ENSAYOS!$Q$5:$Q$3004,ENSAYOS!$C$5:$C$3004,F351,ENSAYOS!$Q$5:$Q$3004,"&gt;0",ENSAYOS!$G$5:$G$3004,"&gt;="&amp;CONFIG!$B$27)))</f>
        <v/>
      </c>
      <c r="W351" s="18" t="str">
        <f aca="false">IF(AND(U351&lt;&gt;"",V351&lt;&gt;""),U351/V351,"")</f>
        <v/>
      </c>
      <c r="X351" s="18" t="str">
        <f aca="false">IF(U351="","",INDEX('CURVA EDAD'!$E$5:$E$32,MIN(28,MAX(1,N351))))</f>
        <v/>
      </c>
      <c r="Y351" s="16" t="str">
        <f aca="false">IF(V351&lt;&gt;"",V351,IF(U351="","",U351/X351))</f>
        <v/>
      </c>
      <c r="Z351" s="16" t="str">
        <f aca="false">IF(V351&lt;&gt;"",_xlfn.MINIFS(ENSAYOS!$Q$5:$Q$3004,ENSAYOS!$C$5:$C$3004,F351,ENSAYOS!$Q$5:$Q$3004,"&gt;0",ENSAYOS!$G$5:$G$3004,"&gt;="&amp;CONFIG!$B$27),IF(U351="","",_xlfn.MINIFS(ENSAYOS!$Q$5:$Q$3004,ENSAYOS!$C$5:$C$3004,F351,ENSAYOS!$Q$5:$Q$3004,"&gt;0",ENSAYOS!$G$5:$G$3004,N351)/X351))</f>
        <v/>
      </c>
      <c r="AA351" s="16" t="str">
        <f aca="false">IF(D351="","",IFERROR(1/(1/INDEX(CONFIG!$J$5:$J$14,MATCH(D351,CONFIG!$D$5:$D$14,0))),""))</f>
        <v/>
      </c>
      <c r="AB351" s="16" t="str">
        <f aca="false">IF(D351="","",IFERROR(1/(1/INDEX(CONFIG!$K$5:$K$14,MATCH(D351,CONFIG!$D$5:$D$14,0))),""))</f>
        <v/>
      </c>
      <c r="AC351" s="19" t="str">
        <f aca="false">IF(N(M351)=0,"",IF(AA351="","Sin spec",IF(AND(Y351&gt;=AA351,OR(AB351="",Z351&gt;=AB351)),"CUMPLE","NO CUMPLE")&amp;IF(V351=""," (est.)","")))</f>
        <v/>
      </c>
      <c r="AD351" s="20" t="str">
        <f aca="false">IF(F351="","",IF(COUNTIFS(ABSORCION!$C$5:$C$1004,F351,ABSORCION!$I$5:$I$1004,"&gt;0")=0,"",AVERAGEIFS(ABSORCION!$I$5:$I$1004,ABSORCION!$C$5:$C$1004,F351,ABSORCION!$I$5:$I$1004,"&gt;0")))</f>
        <v/>
      </c>
      <c r="AE351" s="20" t="str">
        <f aca="false">IF(F351="","",IF(COUNTIFS(ABSORCION!$C$5:$C$1004,F351,ABSORCION!$I$5:$I$1004,"&gt;0")=0,"",AVERAGEIFS(ABSORCION!$K$5:$K$1004,ABSORCION!$C$5:$C$1004,F351,ABSORCION!$I$5:$I$1004,"&gt;0")))</f>
        <v/>
      </c>
      <c r="AF351" s="20" t="str">
        <f aca="false">IF(AE351="","",IF(AE351&gt;=CONFIG!$E$21,CONFIG!$F$21,IF(AE351&gt;=CONFIG!$E$20,CONFIG!$F$20,CONFIG!$F$19)))</f>
        <v/>
      </c>
      <c r="AG351" s="21" t="str">
        <f aca="false">IF(F351="","",TRIM(IF(N(M351)=0,"Sin ensayos. ","")&amp;IF(AND(N(M351)&gt;0,N(M351)&lt;CONFIG!$B$26),"Menos de "&amp;CONFIG!$B$26&amp;" probetas. ","")&amp;IF(N(T351)&gt;CONFIG!$B$25,"CV alto. ","")&amp;IF(AND(N(AD351)&gt;0,N(AD351)&gt;N(AF351)),"Absorción alta. ","")))</f>
        <v/>
      </c>
      <c r="AH351" s="22" t="str">
        <f aca="false">IF(AND(N(M351)&gt;0,OR(CONTROL!$C$4="TODAS",C351=CONTROL!$C$4),D351=CONTROL!$C$5),MAX($AH$4:AH350)+1,"")</f>
        <v/>
      </c>
      <c r="AI351" s="22" t="str">
        <f aca="false">IF(AH351="","",P351^2)</f>
        <v/>
      </c>
    </row>
    <row r="352" customFormat="false" ht="15" hidden="false" customHeight="false" outlineLevel="0" collapsed="false">
      <c r="A352" s="11" t="str">
        <f aca="false">IF(B352="","",ROW()-4)</f>
        <v/>
      </c>
      <c r="B352" s="12"/>
      <c r="C352" s="13"/>
      <c r="D352" s="13"/>
      <c r="E352" s="13"/>
      <c r="F352" s="14" t="str">
        <f aca="false">IF(OR(B352="",C352="",D352=""),"",IFERROR(INDEX(CONFIG!$E$5:$E$14,MATCH(D352,CONFIG!$D$5:$D$14,0)),"?")&amp;RIGHT("0"&amp;DAY(B352),2)&amp;RIGHT("0"&amp;MONTH(B352),2)&amp;RIGHT(YEAR(B352),2)&amp;C352&amp;IF(E352="","","-"&amp;E352))</f>
        <v/>
      </c>
      <c r="G352" s="13"/>
      <c r="H352" s="13"/>
      <c r="I352" s="13"/>
      <c r="J352" s="13"/>
      <c r="K352" s="13"/>
      <c r="L352" s="13"/>
      <c r="M352" s="11" t="str">
        <f aca="false">IF(F352="","",COUNTIFS(ENSAYOS!$C$5:$C$3004,F352,ENSAYOS!$Q$5:$Q$3004,"&gt;0"))</f>
        <v/>
      </c>
      <c r="N352" s="15" t="str">
        <f aca="false">IF(N(M352)=0,"",_xlfn.MINIFS(ENSAYOS!$G$5:$G$3004,ENSAYOS!$C$5:$C$3004,F352,ENSAYOS!$Q$5:$Q$3004,"&gt;0"))</f>
        <v/>
      </c>
      <c r="O352" s="15" t="str">
        <f aca="false">IF(N(M352)=0,"",_xlfn.MAXIFS(ENSAYOS!$G$5:$G$3004,ENSAYOS!$C$5:$C$3004,F352,ENSAYOS!$Q$5:$Q$3004,"&gt;0"))</f>
        <v/>
      </c>
      <c r="P352" s="16" t="str">
        <f aca="false">IF(N(M352)=0,"",AVERAGEIFS(ENSAYOS!$Q$5:$Q$3004,ENSAYOS!$C$5:$C$3004,F352,ENSAYOS!$Q$5:$Q$3004,"&gt;0"))</f>
        <v/>
      </c>
      <c r="Q352" s="16" t="str">
        <f aca="false">IF(N(M352)=0,"",_xlfn.MINIFS(ENSAYOS!$Q$5:$Q$3004,ENSAYOS!$C$5:$C$3004,F352,ENSAYOS!$Q$5:$Q$3004,"&gt;0"))</f>
        <v/>
      </c>
      <c r="R352" s="16" t="str">
        <f aca="false">IF(N(M352)=0,"",_xlfn.MAXIFS(ENSAYOS!$Q$5:$Q$3004,ENSAYOS!$C$5:$C$3004,F352,ENSAYOS!$Q$5:$Q$3004,"&gt;0"))</f>
        <v/>
      </c>
      <c r="S352" s="16" t="str">
        <f aca="false">IF(N(M352)&lt;2,"",SQRT(MAX(0,(SUMIFS(ENSAYOS!$X$5:$X$3004,ENSAYOS!$C$5:$C$3004,F352,ENSAYOS!$Q$5:$Q$3004,"&gt;0")-M352*P352^2)/(M352-1))))</f>
        <v/>
      </c>
      <c r="T352" s="17" t="str">
        <f aca="false">IF(S352="","",S352/P352)</f>
        <v/>
      </c>
      <c r="U352" s="16" t="str">
        <f aca="false">IF(N(M352)=0,"",IF(N352&gt;=CONFIG!$B$27,"",AVERAGEIFS(ENSAYOS!$Q$5:$Q$3004,ENSAYOS!$C$5:$C$3004,F352,ENSAYOS!$Q$5:$Q$3004,"&gt;0",ENSAYOS!$G$5:$G$3004,N352)))</f>
        <v/>
      </c>
      <c r="V352" s="16" t="str">
        <f aca="false">IF(N(M352)=0,"",IF(COUNTIFS(ENSAYOS!$C$5:$C$3004,F352,ENSAYOS!$Q$5:$Q$3004,"&gt;0",ENSAYOS!$G$5:$G$3004,"&gt;="&amp;CONFIG!$B$27)=0,"",AVERAGEIFS(ENSAYOS!$Q$5:$Q$3004,ENSAYOS!$C$5:$C$3004,F352,ENSAYOS!$Q$5:$Q$3004,"&gt;0",ENSAYOS!$G$5:$G$3004,"&gt;="&amp;CONFIG!$B$27)))</f>
        <v/>
      </c>
      <c r="W352" s="18" t="str">
        <f aca="false">IF(AND(U352&lt;&gt;"",V352&lt;&gt;""),U352/V352,"")</f>
        <v/>
      </c>
      <c r="X352" s="18" t="str">
        <f aca="false">IF(U352="","",INDEX('CURVA EDAD'!$E$5:$E$32,MIN(28,MAX(1,N352))))</f>
        <v/>
      </c>
      <c r="Y352" s="16" t="str">
        <f aca="false">IF(V352&lt;&gt;"",V352,IF(U352="","",U352/X352))</f>
        <v/>
      </c>
      <c r="Z352" s="16" t="str">
        <f aca="false">IF(V352&lt;&gt;"",_xlfn.MINIFS(ENSAYOS!$Q$5:$Q$3004,ENSAYOS!$C$5:$C$3004,F352,ENSAYOS!$Q$5:$Q$3004,"&gt;0",ENSAYOS!$G$5:$G$3004,"&gt;="&amp;CONFIG!$B$27),IF(U352="","",_xlfn.MINIFS(ENSAYOS!$Q$5:$Q$3004,ENSAYOS!$C$5:$C$3004,F352,ENSAYOS!$Q$5:$Q$3004,"&gt;0",ENSAYOS!$G$5:$G$3004,N352)/X352))</f>
        <v/>
      </c>
      <c r="AA352" s="16" t="str">
        <f aca="false">IF(D352="","",IFERROR(1/(1/INDEX(CONFIG!$J$5:$J$14,MATCH(D352,CONFIG!$D$5:$D$14,0))),""))</f>
        <v/>
      </c>
      <c r="AB352" s="16" t="str">
        <f aca="false">IF(D352="","",IFERROR(1/(1/INDEX(CONFIG!$K$5:$K$14,MATCH(D352,CONFIG!$D$5:$D$14,0))),""))</f>
        <v/>
      </c>
      <c r="AC352" s="19" t="str">
        <f aca="false">IF(N(M352)=0,"",IF(AA352="","Sin spec",IF(AND(Y352&gt;=AA352,OR(AB352="",Z352&gt;=AB352)),"CUMPLE","NO CUMPLE")&amp;IF(V352=""," (est.)","")))</f>
        <v/>
      </c>
      <c r="AD352" s="20" t="str">
        <f aca="false">IF(F352="","",IF(COUNTIFS(ABSORCION!$C$5:$C$1004,F352,ABSORCION!$I$5:$I$1004,"&gt;0")=0,"",AVERAGEIFS(ABSORCION!$I$5:$I$1004,ABSORCION!$C$5:$C$1004,F352,ABSORCION!$I$5:$I$1004,"&gt;0")))</f>
        <v/>
      </c>
      <c r="AE352" s="20" t="str">
        <f aca="false">IF(F352="","",IF(COUNTIFS(ABSORCION!$C$5:$C$1004,F352,ABSORCION!$I$5:$I$1004,"&gt;0")=0,"",AVERAGEIFS(ABSORCION!$K$5:$K$1004,ABSORCION!$C$5:$C$1004,F352,ABSORCION!$I$5:$I$1004,"&gt;0")))</f>
        <v/>
      </c>
      <c r="AF352" s="20" t="str">
        <f aca="false">IF(AE352="","",IF(AE352&gt;=CONFIG!$E$21,CONFIG!$F$21,IF(AE352&gt;=CONFIG!$E$20,CONFIG!$F$20,CONFIG!$F$19)))</f>
        <v/>
      </c>
      <c r="AG352" s="21" t="str">
        <f aca="false">IF(F352="","",TRIM(IF(N(M352)=0,"Sin ensayos. ","")&amp;IF(AND(N(M352)&gt;0,N(M352)&lt;CONFIG!$B$26),"Menos de "&amp;CONFIG!$B$26&amp;" probetas. ","")&amp;IF(N(T352)&gt;CONFIG!$B$25,"CV alto. ","")&amp;IF(AND(N(AD352)&gt;0,N(AD352)&gt;N(AF352)),"Absorción alta. ","")))</f>
        <v/>
      </c>
      <c r="AH352" s="22" t="str">
        <f aca="false">IF(AND(N(M352)&gt;0,OR(CONTROL!$C$4="TODAS",C352=CONTROL!$C$4),D352=CONTROL!$C$5),MAX($AH$4:AH351)+1,"")</f>
        <v/>
      </c>
      <c r="AI352" s="22" t="str">
        <f aca="false">IF(AH352="","",P352^2)</f>
        <v/>
      </c>
    </row>
    <row r="353" customFormat="false" ht="15" hidden="false" customHeight="false" outlineLevel="0" collapsed="false">
      <c r="A353" s="11" t="str">
        <f aca="false">IF(B353="","",ROW()-4)</f>
        <v/>
      </c>
      <c r="B353" s="12"/>
      <c r="C353" s="13"/>
      <c r="D353" s="13"/>
      <c r="E353" s="13"/>
      <c r="F353" s="14" t="str">
        <f aca="false">IF(OR(B353="",C353="",D353=""),"",IFERROR(INDEX(CONFIG!$E$5:$E$14,MATCH(D353,CONFIG!$D$5:$D$14,0)),"?")&amp;RIGHT("0"&amp;DAY(B353),2)&amp;RIGHT("0"&amp;MONTH(B353),2)&amp;RIGHT(YEAR(B353),2)&amp;C353&amp;IF(E353="","","-"&amp;E353))</f>
        <v/>
      </c>
      <c r="G353" s="13"/>
      <c r="H353" s="13"/>
      <c r="I353" s="13"/>
      <c r="J353" s="13"/>
      <c r="K353" s="13"/>
      <c r="L353" s="13"/>
      <c r="M353" s="11" t="str">
        <f aca="false">IF(F353="","",COUNTIFS(ENSAYOS!$C$5:$C$3004,F353,ENSAYOS!$Q$5:$Q$3004,"&gt;0"))</f>
        <v/>
      </c>
      <c r="N353" s="15" t="str">
        <f aca="false">IF(N(M353)=0,"",_xlfn.MINIFS(ENSAYOS!$G$5:$G$3004,ENSAYOS!$C$5:$C$3004,F353,ENSAYOS!$Q$5:$Q$3004,"&gt;0"))</f>
        <v/>
      </c>
      <c r="O353" s="15" t="str">
        <f aca="false">IF(N(M353)=0,"",_xlfn.MAXIFS(ENSAYOS!$G$5:$G$3004,ENSAYOS!$C$5:$C$3004,F353,ENSAYOS!$Q$5:$Q$3004,"&gt;0"))</f>
        <v/>
      </c>
      <c r="P353" s="16" t="str">
        <f aca="false">IF(N(M353)=0,"",AVERAGEIFS(ENSAYOS!$Q$5:$Q$3004,ENSAYOS!$C$5:$C$3004,F353,ENSAYOS!$Q$5:$Q$3004,"&gt;0"))</f>
        <v/>
      </c>
      <c r="Q353" s="16" t="str">
        <f aca="false">IF(N(M353)=0,"",_xlfn.MINIFS(ENSAYOS!$Q$5:$Q$3004,ENSAYOS!$C$5:$C$3004,F353,ENSAYOS!$Q$5:$Q$3004,"&gt;0"))</f>
        <v/>
      </c>
      <c r="R353" s="16" t="str">
        <f aca="false">IF(N(M353)=0,"",_xlfn.MAXIFS(ENSAYOS!$Q$5:$Q$3004,ENSAYOS!$C$5:$C$3004,F353,ENSAYOS!$Q$5:$Q$3004,"&gt;0"))</f>
        <v/>
      </c>
      <c r="S353" s="16" t="str">
        <f aca="false">IF(N(M353)&lt;2,"",SQRT(MAX(0,(SUMIFS(ENSAYOS!$X$5:$X$3004,ENSAYOS!$C$5:$C$3004,F353,ENSAYOS!$Q$5:$Q$3004,"&gt;0")-M353*P353^2)/(M353-1))))</f>
        <v/>
      </c>
      <c r="T353" s="17" t="str">
        <f aca="false">IF(S353="","",S353/P353)</f>
        <v/>
      </c>
      <c r="U353" s="16" t="str">
        <f aca="false">IF(N(M353)=0,"",IF(N353&gt;=CONFIG!$B$27,"",AVERAGEIFS(ENSAYOS!$Q$5:$Q$3004,ENSAYOS!$C$5:$C$3004,F353,ENSAYOS!$Q$5:$Q$3004,"&gt;0",ENSAYOS!$G$5:$G$3004,N353)))</f>
        <v/>
      </c>
      <c r="V353" s="16" t="str">
        <f aca="false">IF(N(M353)=0,"",IF(COUNTIFS(ENSAYOS!$C$5:$C$3004,F353,ENSAYOS!$Q$5:$Q$3004,"&gt;0",ENSAYOS!$G$5:$G$3004,"&gt;="&amp;CONFIG!$B$27)=0,"",AVERAGEIFS(ENSAYOS!$Q$5:$Q$3004,ENSAYOS!$C$5:$C$3004,F353,ENSAYOS!$Q$5:$Q$3004,"&gt;0",ENSAYOS!$G$5:$G$3004,"&gt;="&amp;CONFIG!$B$27)))</f>
        <v/>
      </c>
      <c r="W353" s="18" t="str">
        <f aca="false">IF(AND(U353&lt;&gt;"",V353&lt;&gt;""),U353/V353,"")</f>
        <v/>
      </c>
      <c r="X353" s="18" t="str">
        <f aca="false">IF(U353="","",INDEX('CURVA EDAD'!$E$5:$E$32,MIN(28,MAX(1,N353))))</f>
        <v/>
      </c>
      <c r="Y353" s="16" t="str">
        <f aca="false">IF(V353&lt;&gt;"",V353,IF(U353="","",U353/X353))</f>
        <v/>
      </c>
      <c r="Z353" s="16" t="str">
        <f aca="false">IF(V353&lt;&gt;"",_xlfn.MINIFS(ENSAYOS!$Q$5:$Q$3004,ENSAYOS!$C$5:$C$3004,F353,ENSAYOS!$Q$5:$Q$3004,"&gt;0",ENSAYOS!$G$5:$G$3004,"&gt;="&amp;CONFIG!$B$27),IF(U353="","",_xlfn.MINIFS(ENSAYOS!$Q$5:$Q$3004,ENSAYOS!$C$5:$C$3004,F353,ENSAYOS!$Q$5:$Q$3004,"&gt;0",ENSAYOS!$G$5:$G$3004,N353)/X353))</f>
        <v/>
      </c>
      <c r="AA353" s="16" t="str">
        <f aca="false">IF(D353="","",IFERROR(1/(1/INDEX(CONFIG!$J$5:$J$14,MATCH(D353,CONFIG!$D$5:$D$14,0))),""))</f>
        <v/>
      </c>
      <c r="AB353" s="16" t="str">
        <f aca="false">IF(D353="","",IFERROR(1/(1/INDEX(CONFIG!$K$5:$K$14,MATCH(D353,CONFIG!$D$5:$D$14,0))),""))</f>
        <v/>
      </c>
      <c r="AC353" s="19" t="str">
        <f aca="false">IF(N(M353)=0,"",IF(AA353="","Sin spec",IF(AND(Y353&gt;=AA353,OR(AB353="",Z353&gt;=AB353)),"CUMPLE","NO CUMPLE")&amp;IF(V353=""," (est.)","")))</f>
        <v/>
      </c>
      <c r="AD353" s="20" t="str">
        <f aca="false">IF(F353="","",IF(COUNTIFS(ABSORCION!$C$5:$C$1004,F353,ABSORCION!$I$5:$I$1004,"&gt;0")=0,"",AVERAGEIFS(ABSORCION!$I$5:$I$1004,ABSORCION!$C$5:$C$1004,F353,ABSORCION!$I$5:$I$1004,"&gt;0")))</f>
        <v/>
      </c>
      <c r="AE353" s="20" t="str">
        <f aca="false">IF(F353="","",IF(COUNTIFS(ABSORCION!$C$5:$C$1004,F353,ABSORCION!$I$5:$I$1004,"&gt;0")=0,"",AVERAGEIFS(ABSORCION!$K$5:$K$1004,ABSORCION!$C$5:$C$1004,F353,ABSORCION!$I$5:$I$1004,"&gt;0")))</f>
        <v/>
      </c>
      <c r="AF353" s="20" t="str">
        <f aca="false">IF(AE353="","",IF(AE353&gt;=CONFIG!$E$21,CONFIG!$F$21,IF(AE353&gt;=CONFIG!$E$20,CONFIG!$F$20,CONFIG!$F$19)))</f>
        <v/>
      </c>
      <c r="AG353" s="21" t="str">
        <f aca="false">IF(F353="","",TRIM(IF(N(M353)=0,"Sin ensayos. ","")&amp;IF(AND(N(M353)&gt;0,N(M353)&lt;CONFIG!$B$26),"Menos de "&amp;CONFIG!$B$26&amp;" probetas. ","")&amp;IF(N(T353)&gt;CONFIG!$B$25,"CV alto. ","")&amp;IF(AND(N(AD353)&gt;0,N(AD353)&gt;N(AF353)),"Absorción alta. ","")))</f>
        <v/>
      </c>
      <c r="AH353" s="22" t="str">
        <f aca="false">IF(AND(N(M353)&gt;0,OR(CONTROL!$C$4="TODAS",C353=CONTROL!$C$4),D353=CONTROL!$C$5),MAX($AH$4:AH352)+1,"")</f>
        <v/>
      </c>
      <c r="AI353" s="22" t="str">
        <f aca="false">IF(AH353="","",P353^2)</f>
        <v/>
      </c>
    </row>
    <row r="354" customFormat="false" ht="15" hidden="false" customHeight="false" outlineLevel="0" collapsed="false">
      <c r="A354" s="11" t="str">
        <f aca="false">IF(B354="","",ROW()-4)</f>
        <v/>
      </c>
      <c r="B354" s="12"/>
      <c r="C354" s="13"/>
      <c r="D354" s="13"/>
      <c r="E354" s="13"/>
      <c r="F354" s="14" t="str">
        <f aca="false">IF(OR(B354="",C354="",D354=""),"",IFERROR(INDEX(CONFIG!$E$5:$E$14,MATCH(D354,CONFIG!$D$5:$D$14,0)),"?")&amp;RIGHT("0"&amp;DAY(B354),2)&amp;RIGHT("0"&amp;MONTH(B354),2)&amp;RIGHT(YEAR(B354),2)&amp;C354&amp;IF(E354="","","-"&amp;E354))</f>
        <v/>
      </c>
      <c r="G354" s="13"/>
      <c r="H354" s="13"/>
      <c r="I354" s="13"/>
      <c r="J354" s="13"/>
      <c r="K354" s="13"/>
      <c r="L354" s="13"/>
      <c r="M354" s="11" t="str">
        <f aca="false">IF(F354="","",COUNTIFS(ENSAYOS!$C$5:$C$3004,F354,ENSAYOS!$Q$5:$Q$3004,"&gt;0"))</f>
        <v/>
      </c>
      <c r="N354" s="15" t="str">
        <f aca="false">IF(N(M354)=0,"",_xlfn.MINIFS(ENSAYOS!$G$5:$G$3004,ENSAYOS!$C$5:$C$3004,F354,ENSAYOS!$Q$5:$Q$3004,"&gt;0"))</f>
        <v/>
      </c>
      <c r="O354" s="15" t="str">
        <f aca="false">IF(N(M354)=0,"",_xlfn.MAXIFS(ENSAYOS!$G$5:$G$3004,ENSAYOS!$C$5:$C$3004,F354,ENSAYOS!$Q$5:$Q$3004,"&gt;0"))</f>
        <v/>
      </c>
      <c r="P354" s="16" t="str">
        <f aca="false">IF(N(M354)=0,"",AVERAGEIFS(ENSAYOS!$Q$5:$Q$3004,ENSAYOS!$C$5:$C$3004,F354,ENSAYOS!$Q$5:$Q$3004,"&gt;0"))</f>
        <v/>
      </c>
      <c r="Q354" s="16" t="str">
        <f aca="false">IF(N(M354)=0,"",_xlfn.MINIFS(ENSAYOS!$Q$5:$Q$3004,ENSAYOS!$C$5:$C$3004,F354,ENSAYOS!$Q$5:$Q$3004,"&gt;0"))</f>
        <v/>
      </c>
      <c r="R354" s="16" t="str">
        <f aca="false">IF(N(M354)=0,"",_xlfn.MAXIFS(ENSAYOS!$Q$5:$Q$3004,ENSAYOS!$C$5:$C$3004,F354,ENSAYOS!$Q$5:$Q$3004,"&gt;0"))</f>
        <v/>
      </c>
      <c r="S354" s="16" t="str">
        <f aca="false">IF(N(M354)&lt;2,"",SQRT(MAX(0,(SUMIFS(ENSAYOS!$X$5:$X$3004,ENSAYOS!$C$5:$C$3004,F354,ENSAYOS!$Q$5:$Q$3004,"&gt;0")-M354*P354^2)/(M354-1))))</f>
        <v/>
      </c>
      <c r="T354" s="17" t="str">
        <f aca="false">IF(S354="","",S354/P354)</f>
        <v/>
      </c>
      <c r="U354" s="16" t="str">
        <f aca="false">IF(N(M354)=0,"",IF(N354&gt;=CONFIG!$B$27,"",AVERAGEIFS(ENSAYOS!$Q$5:$Q$3004,ENSAYOS!$C$5:$C$3004,F354,ENSAYOS!$Q$5:$Q$3004,"&gt;0",ENSAYOS!$G$5:$G$3004,N354)))</f>
        <v/>
      </c>
      <c r="V354" s="16" t="str">
        <f aca="false">IF(N(M354)=0,"",IF(COUNTIFS(ENSAYOS!$C$5:$C$3004,F354,ENSAYOS!$Q$5:$Q$3004,"&gt;0",ENSAYOS!$G$5:$G$3004,"&gt;="&amp;CONFIG!$B$27)=0,"",AVERAGEIFS(ENSAYOS!$Q$5:$Q$3004,ENSAYOS!$C$5:$C$3004,F354,ENSAYOS!$Q$5:$Q$3004,"&gt;0",ENSAYOS!$G$5:$G$3004,"&gt;="&amp;CONFIG!$B$27)))</f>
        <v/>
      </c>
      <c r="W354" s="18" t="str">
        <f aca="false">IF(AND(U354&lt;&gt;"",V354&lt;&gt;""),U354/V354,"")</f>
        <v/>
      </c>
      <c r="X354" s="18" t="str">
        <f aca="false">IF(U354="","",INDEX('CURVA EDAD'!$E$5:$E$32,MIN(28,MAX(1,N354))))</f>
        <v/>
      </c>
      <c r="Y354" s="16" t="str">
        <f aca="false">IF(V354&lt;&gt;"",V354,IF(U354="","",U354/X354))</f>
        <v/>
      </c>
      <c r="Z354" s="16" t="str">
        <f aca="false">IF(V354&lt;&gt;"",_xlfn.MINIFS(ENSAYOS!$Q$5:$Q$3004,ENSAYOS!$C$5:$C$3004,F354,ENSAYOS!$Q$5:$Q$3004,"&gt;0",ENSAYOS!$G$5:$G$3004,"&gt;="&amp;CONFIG!$B$27),IF(U354="","",_xlfn.MINIFS(ENSAYOS!$Q$5:$Q$3004,ENSAYOS!$C$5:$C$3004,F354,ENSAYOS!$Q$5:$Q$3004,"&gt;0",ENSAYOS!$G$5:$G$3004,N354)/X354))</f>
        <v/>
      </c>
      <c r="AA354" s="16" t="str">
        <f aca="false">IF(D354="","",IFERROR(1/(1/INDEX(CONFIG!$J$5:$J$14,MATCH(D354,CONFIG!$D$5:$D$14,0))),""))</f>
        <v/>
      </c>
      <c r="AB354" s="16" t="str">
        <f aca="false">IF(D354="","",IFERROR(1/(1/INDEX(CONFIG!$K$5:$K$14,MATCH(D354,CONFIG!$D$5:$D$14,0))),""))</f>
        <v/>
      </c>
      <c r="AC354" s="19" t="str">
        <f aca="false">IF(N(M354)=0,"",IF(AA354="","Sin spec",IF(AND(Y354&gt;=AA354,OR(AB354="",Z354&gt;=AB354)),"CUMPLE","NO CUMPLE")&amp;IF(V354=""," (est.)","")))</f>
        <v/>
      </c>
      <c r="AD354" s="20" t="str">
        <f aca="false">IF(F354="","",IF(COUNTIFS(ABSORCION!$C$5:$C$1004,F354,ABSORCION!$I$5:$I$1004,"&gt;0")=0,"",AVERAGEIFS(ABSORCION!$I$5:$I$1004,ABSORCION!$C$5:$C$1004,F354,ABSORCION!$I$5:$I$1004,"&gt;0")))</f>
        <v/>
      </c>
      <c r="AE354" s="20" t="str">
        <f aca="false">IF(F354="","",IF(COUNTIFS(ABSORCION!$C$5:$C$1004,F354,ABSORCION!$I$5:$I$1004,"&gt;0")=0,"",AVERAGEIFS(ABSORCION!$K$5:$K$1004,ABSORCION!$C$5:$C$1004,F354,ABSORCION!$I$5:$I$1004,"&gt;0")))</f>
        <v/>
      </c>
      <c r="AF354" s="20" t="str">
        <f aca="false">IF(AE354="","",IF(AE354&gt;=CONFIG!$E$21,CONFIG!$F$21,IF(AE354&gt;=CONFIG!$E$20,CONFIG!$F$20,CONFIG!$F$19)))</f>
        <v/>
      </c>
      <c r="AG354" s="21" t="str">
        <f aca="false">IF(F354="","",TRIM(IF(N(M354)=0,"Sin ensayos. ","")&amp;IF(AND(N(M354)&gt;0,N(M354)&lt;CONFIG!$B$26),"Menos de "&amp;CONFIG!$B$26&amp;" probetas. ","")&amp;IF(N(T354)&gt;CONFIG!$B$25,"CV alto. ","")&amp;IF(AND(N(AD354)&gt;0,N(AD354)&gt;N(AF354)),"Absorción alta. ","")))</f>
        <v/>
      </c>
      <c r="AH354" s="22" t="str">
        <f aca="false">IF(AND(N(M354)&gt;0,OR(CONTROL!$C$4="TODAS",C354=CONTROL!$C$4),D354=CONTROL!$C$5),MAX($AH$4:AH353)+1,"")</f>
        <v/>
      </c>
      <c r="AI354" s="22" t="str">
        <f aca="false">IF(AH354="","",P354^2)</f>
        <v/>
      </c>
    </row>
    <row r="355" customFormat="false" ht="15" hidden="false" customHeight="false" outlineLevel="0" collapsed="false">
      <c r="A355" s="11" t="str">
        <f aca="false">IF(B355="","",ROW()-4)</f>
        <v/>
      </c>
      <c r="B355" s="12"/>
      <c r="C355" s="13"/>
      <c r="D355" s="13"/>
      <c r="E355" s="13"/>
      <c r="F355" s="14" t="str">
        <f aca="false">IF(OR(B355="",C355="",D355=""),"",IFERROR(INDEX(CONFIG!$E$5:$E$14,MATCH(D355,CONFIG!$D$5:$D$14,0)),"?")&amp;RIGHT("0"&amp;DAY(B355),2)&amp;RIGHT("0"&amp;MONTH(B355),2)&amp;RIGHT(YEAR(B355),2)&amp;C355&amp;IF(E355="","","-"&amp;E355))</f>
        <v/>
      </c>
      <c r="G355" s="13"/>
      <c r="H355" s="13"/>
      <c r="I355" s="13"/>
      <c r="J355" s="13"/>
      <c r="K355" s="13"/>
      <c r="L355" s="13"/>
      <c r="M355" s="11" t="str">
        <f aca="false">IF(F355="","",COUNTIFS(ENSAYOS!$C$5:$C$3004,F355,ENSAYOS!$Q$5:$Q$3004,"&gt;0"))</f>
        <v/>
      </c>
      <c r="N355" s="15" t="str">
        <f aca="false">IF(N(M355)=0,"",_xlfn.MINIFS(ENSAYOS!$G$5:$G$3004,ENSAYOS!$C$5:$C$3004,F355,ENSAYOS!$Q$5:$Q$3004,"&gt;0"))</f>
        <v/>
      </c>
      <c r="O355" s="15" t="str">
        <f aca="false">IF(N(M355)=0,"",_xlfn.MAXIFS(ENSAYOS!$G$5:$G$3004,ENSAYOS!$C$5:$C$3004,F355,ENSAYOS!$Q$5:$Q$3004,"&gt;0"))</f>
        <v/>
      </c>
      <c r="P355" s="16" t="str">
        <f aca="false">IF(N(M355)=0,"",AVERAGEIFS(ENSAYOS!$Q$5:$Q$3004,ENSAYOS!$C$5:$C$3004,F355,ENSAYOS!$Q$5:$Q$3004,"&gt;0"))</f>
        <v/>
      </c>
      <c r="Q355" s="16" t="str">
        <f aca="false">IF(N(M355)=0,"",_xlfn.MINIFS(ENSAYOS!$Q$5:$Q$3004,ENSAYOS!$C$5:$C$3004,F355,ENSAYOS!$Q$5:$Q$3004,"&gt;0"))</f>
        <v/>
      </c>
      <c r="R355" s="16" t="str">
        <f aca="false">IF(N(M355)=0,"",_xlfn.MAXIFS(ENSAYOS!$Q$5:$Q$3004,ENSAYOS!$C$5:$C$3004,F355,ENSAYOS!$Q$5:$Q$3004,"&gt;0"))</f>
        <v/>
      </c>
      <c r="S355" s="16" t="str">
        <f aca="false">IF(N(M355)&lt;2,"",SQRT(MAX(0,(SUMIFS(ENSAYOS!$X$5:$X$3004,ENSAYOS!$C$5:$C$3004,F355,ENSAYOS!$Q$5:$Q$3004,"&gt;0")-M355*P355^2)/(M355-1))))</f>
        <v/>
      </c>
      <c r="T355" s="17" t="str">
        <f aca="false">IF(S355="","",S355/P355)</f>
        <v/>
      </c>
      <c r="U355" s="16" t="str">
        <f aca="false">IF(N(M355)=0,"",IF(N355&gt;=CONFIG!$B$27,"",AVERAGEIFS(ENSAYOS!$Q$5:$Q$3004,ENSAYOS!$C$5:$C$3004,F355,ENSAYOS!$Q$5:$Q$3004,"&gt;0",ENSAYOS!$G$5:$G$3004,N355)))</f>
        <v/>
      </c>
      <c r="V355" s="16" t="str">
        <f aca="false">IF(N(M355)=0,"",IF(COUNTIFS(ENSAYOS!$C$5:$C$3004,F355,ENSAYOS!$Q$5:$Q$3004,"&gt;0",ENSAYOS!$G$5:$G$3004,"&gt;="&amp;CONFIG!$B$27)=0,"",AVERAGEIFS(ENSAYOS!$Q$5:$Q$3004,ENSAYOS!$C$5:$C$3004,F355,ENSAYOS!$Q$5:$Q$3004,"&gt;0",ENSAYOS!$G$5:$G$3004,"&gt;="&amp;CONFIG!$B$27)))</f>
        <v/>
      </c>
      <c r="W355" s="18" t="str">
        <f aca="false">IF(AND(U355&lt;&gt;"",V355&lt;&gt;""),U355/V355,"")</f>
        <v/>
      </c>
      <c r="X355" s="18" t="str">
        <f aca="false">IF(U355="","",INDEX('CURVA EDAD'!$E$5:$E$32,MIN(28,MAX(1,N355))))</f>
        <v/>
      </c>
      <c r="Y355" s="16" t="str">
        <f aca="false">IF(V355&lt;&gt;"",V355,IF(U355="","",U355/X355))</f>
        <v/>
      </c>
      <c r="Z355" s="16" t="str">
        <f aca="false">IF(V355&lt;&gt;"",_xlfn.MINIFS(ENSAYOS!$Q$5:$Q$3004,ENSAYOS!$C$5:$C$3004,F355,ENSAYOS!$Q$5:$Q$3004,"&gt;0",ENSAYOS!$G$5:$G$3004,"&gt;="&amp;CONFIG!$B$27),IF(U355="","",_xlfn.MINIFS(ENSAYOS!$Q$5:$Q$3004,ENSAYOS!$C$5:$C$3004,F355,ENSAYOS!$Q$5:$Q$3004,"&gt;0",ENSAYOS!$G$5:$G$3004,N355)/X355))</f>
        <v/>
      </c>
      <c r="AA355" s="16" t="str">
        <f aca="false">IF(D355="","",IFERROR(1/(1/INDEX(CONFIG!$J$5:$J$14,MATCH(D355,CONFIG!$D$5:$D$14,0))),""))</f>
        <v/>
      </c>
      <c r="AB355" s="16" t="str">
        <f aca="false">IF(D355="","",IFERROR(1/(1/INDEX(CONFIG!$K$5:$K$14,MATCH(D355,CONFIG!$D$5:$D$14,0))),""))</f>
        <v/>
      </c>
      <c r="AC355" s="19" t="str">
        <f aca="false">IF(N(M355)=0,"",IF(AA355="","Sin spec",IF(AND(Y355&gt;=AA355,OR(AB355="",Z355&gt;=AB355)),"CUMPLE","NO CUMPLE")&amp;IF(V355=""," (est.)","")))</f>
        <v/>
      </c>
      <c r="AD355" s="20" t="str">
        <f aca="false">IF(F355="","",IF(COUNTIFS(ABSORCION!$C$5:$C$1004,F355,ABSORCION!$I$5:$I$1004,"&gt;0")=0,"",AVERAGEIFS(ABSORCION!$I$5:$I$1004,ABSORCION!$C$5:$C$1004,F355,ABSORCION!$I$5:$I$1004,"&gt;0")))</f>
        <v/>
      </c>
      <c r="AE355" s="20" t="str">
        <f aca="false">IF(F355="","",IF(COUNTIFS(ABSORCION!$C$5:$C$1004,F355,ABSORCION!$I$5:$I$1004,"&gt;0")=0,"",AVERAGEIFS(ABSORCION!$K$5:$K$1004,ABSORCION!$C$5:$C$1004,F355,ABSORCION!$I$5:$I$1004,"&gt;0")))</f>
        <v/>
      </c>
      <c r="AF355" s="20" t="str">
        <f aca="false">IF(AE355="","",IF(AE355&gt;=CONFIG!$E$21,CONFIG!$F$21,IF(AE355&gt;=CONFIG!$E$20,CONFIG!$F$20,CONFIG!$F$19)))</f>
        <v/>
      </c>
      <c r="AG355" s="21" t="str">
        <f aca="false">IF(F355="","",TRIM(IF(N(M355)=0,"Sin ensayos. ","")&amp;IF(AND(N(M355)&gt;0,N(M355)&lt;CONFIG!$B$26),"Menos de "&amp;CONFIG!$B$26&amp;" probetas. ","")&amp;IF(N(T355)&gt;CONFIG!$B$25,"CV alto. ","")&amp;IF(AND(N(AD355)&gt;0,N(AD355)&gt;N(AF355)),"Absorción alta. ","")))</f>
        <v/>
      </c>
      <c r="AH355" s="22" t="str">
        <f aca="false">IF(AND(N(M355)&gt;0,OR(CONTROL!$C$4="TODAS",C355=CONTROL!$C$4),D355=CONTROL!$C$5),MAX($AH$4:AH354)+1,"")</f>
        <v/>
      </c>
      <c r="AI355" s="22" t="str">
        <f aca="false">IF(AH355="","",P355^2)</f>
        <v/>
      </c>
    </row>
    <row r="356" customFormat="false" ht="15" hidden="false" customHeight="false" outlineLevel="0" collapsed="false">
      <c r="A356" s="11" t="str">
        <f aca="false">IF(B356="","",ROW()-4)</f>
        <v/>
      </c>
      <c r="B356" s="12"/>
      <c r="C356" s="13"/>
      <c r="D356" s="13"/>
      <c r="E356" s="13"/>
      <c r="F356" s="14" t="str">
        <f aca="false">IF(OR(B356="",C356="",D356=""),"",IFERROR(INDEX(CONFIG!$E$5:$E$14,MATCH(D356,CONFIG!$D$5:$D$14,0)),"?")&amp;RIGHT("0"&amp;DAY(B356),2)&amp;RIGHT("0"&amp;MONTH(B356),2)&amp;RIGHT(YEAR(B356),2)&amp;C356&amp;IF(E356="","","-"&amp;E356))</f>
        <v/>
      </c>
      <c r="G356" s="13"/>
      <c r="H356" s="13"/>
      <c r="I356" s="13"/>
      <c r="J356" s="13"/>
      <c r="K356" s="13"/>
      <c r="L356" s="13"/>
      <c r="M356" s="11" t="str">
        <f aca="false">IF(F356="","",COUNTIFS(ENSAYOS!$C$5:$C$3004,F356,ENSAYOS!$Q$5:$Q$3004,"&gt;0"))</f>
        <v/>
      </c>
      <c r="N356" s="15" t="str">
        <f aca="false">IF(N(M356)=0,"",_xlfn.MINIFS(ENSAYOS!$G$5:$G$3004,ENSAYOS!$C$5:$C$3004,F356,ENSAYOS!$Q$5:$Q$3004,"&gt;0"))</f>
        <v/>
      </c>
      <c r="O356" s="15" t="str">
        <f aca="false">IF(N(M356)=0,"",_xlfn.MAXIFS(ENSAYOS!$G$5:$G$3004,ENSAYOS!$C$5:$C$3004,F356,ENSAYOS!$Q$5:$Q$3004,"&gt;0"))</f>
        <v/>
      </c>
      <c r="P356" s="16" t="str">
        <f aca="false">IF(N(M356)=0,"",AVERAGEIFS(ENSAYOS!$Q$5:$Q$3004,ENSAYOS!$C$5:$C$3004,F356,ENSAYOS!$Q$5:$Q$3004,"&gt;0"))</f>
        <v/>
      </c>
      <c r="Q356" s="16" t="str">
        <f aca="false">IF(N(M356)=0,"",_xlfn.MINIFS(ENSAYOS!$Q$5:$Q$3004,ENSAYOS!$C$5:$C$3004,F356,ENSAYOS!$Q$5:$Q$3004,"&gt;0"))</f>
        <v/>
      </c>
      <c r="R356" s="16" t="str">
        <f aca="false">IF(N(M356)=0,"",_xlfn.MAXIFS(ENSAYOS!$Q$5:$Q$3004,ENSAYOS!$C$5:$C$3004,F356,ENSAYOS!$Q$5:$Q$3004,"&gt;0"))</f>
        <v/>
      </c>
      <c r="S356" s="16" t="str">
        <f aca="false">IF(N(M356)&lt;2,"",SQRT(MAX(0,(SUMIFS(ENSAYOS!$X$5:$X$3004,ENSAYOS!$C$5:$C$3004,F356,ENSAYOS!$Q$5:$Q$3004,"&gt;0")-M356*P356^2)/(M356-1))))</f>
        <v/>
      </c>
      <c r="T356" s="17" t="str">
        <f aca="false">IF(S356="","",S356/P356)</f>
        <v/>
      </c>
      <c r="U356" s="16" t="str">
        <f aca="false">IF(N(M356)=0,"",IF(N356&gt;=CONFIG!$B$27,"",AVERAGEIFS(ENSAYOS!$Q$5:$Q$3004,ENSAYOS!$C$5:$C$3004,F356,ENSAYOS!$Q$5:$Q$3004,"&gt;0",ENSAYOS!$G$5:$G$3004,N356)))</f>
        <v/>
      </c>
      <c r="V356" s="16" t="str">
        <f aca="false">IF(N(M356)=0,"",IF(COUNTIFS(ENSAYOS!$C$5:$C$3004,F356,ENSAYOS!$Q$5:$Q$3004,"&gt;0",ENSAYOS!$G$5:$G$3004,"&gt;="&amp;CONFIG!$B$27)=0,"",AVERAGEIFS(ENSAYOS!$Q$5:$Q$3004,ENSAYOS!$C$5:$C$3004,F356,ENSAYOS!$Q$5:$Q$3004,"&gt;0",ENSAYOS!$G$5:$G$3004,"&gt;="&amp;CONFIG!$B$27)))</f>
        <v/>
      </c>
      <c r="W356" s="18" t="str">
        <f aca="false">IF(AND(U356&lt;&gt;"",V356&lt;&gt;""),U356/V356,"")</f>
        <v/>
      </c>
      <c r="X356" s="18" t="str">
        <f aca="false">IF(U356="","",INDEX('CURVA EDAD'!$E$5:$E$32,MIN(28,MAX(1,N356))))</f>
        <v/>
      </c>
      <c r="Y356" s="16" t="str">
        <f aca="false">IF(V356&lt;&gt;"",V356,IF(U356="","",U356/X356))</f>
        <v/>
      </c>
      <c r="Z356" s="16" t="str">
        <f aca="false">IF(V356&lt;&gt;"",_xlfn.MINIFS(ENSAYOS!$Q$5:$Q$3004,ENSAYOS!$C$5:$C$3004,F356,ENSAYOS!$Q$5:$Q$3004,"&gt;0",ENSAYOS!$G$5:$G$3004,"&gt;="&amp;CONFIG!$B$27),IF(U356="","",_xlfn.MINIFS(ENSAYOS!$Q$5:$Q$3004,ENSAYOS!$C$5:$C$3004,F356,ENSAYOS!$Q$5:$Q$3004,"&gt;0",ENSAYOS!$G$5:$G$3004,N356)/X356))</f>
        <v/>
      </c>
      <c r="AA356" s="16" t="str">
        <f aca="false">IF(D356="","",IFERROR(1/(1/INDEX(CONFIG!$J$5:$J$14,MATCH(D356,CONFIG!$D$5:$D$14,0))),""))</f>
        <v/>
      </c>
      <c r="AB356" s="16" t="str">
        <f aca="false">IF(D356="","",IFERROR(1/(1/INDEX(CONFIG!$K$5:$K$14,MATCH(D356,CONFIG!$D$5:$D$14,0))),""))</f>
        <v/>
      </c>
      <c r="AC356" s="19" t="str">
        <f aca="false">IF(N(M356)=0,"",IF(AA356="","Sin spec",IF(AND(Y356&gt;=AA356,OR(AB356="",Z356&gt;=AB356)),"CUMPLE","NO CUMPLE")&amp;IF(V356=""," (est.)","")))</f>
        <v/>
      </c>
      <c r="AD356" s="20" t="str">
        <f aca="false">IF(F356="","",IF(COUNTIFS(ABSORCION!$C$5:$C$1004,F356,ABSORCION!$I$5:$I$1004,"&gt;0")=0,"",AVERAGEIFS(ABSORCION!$I$5:$I$1004,ABSORCION!$C$5:$C$1004,F356,ABSORCION!$I$5:$I$1004,"&gt;0")))</f>
        <v/>
      </c>
      <c r="AE356" s="20" t="str">
        <f aca="false">IF(F356="","",IF(COUNTIFS(ABSORCION!$C$5:$C$1004,F356,ABSORCION!$I$5:$I$1004,"&gt;0")=0,"",AVERAGEIFS(ABSORCION!$K$5:$K$1004,ABSORCION!$C$5:$C$1004,F356,ABSORCION!$I$5:$I$1004,"&gt;0")))</f>
        <v/>
      </c>
      <c r="AF356" s="20" t="str">
        <f aca="false">IF(AE356="","",IF(AE356&gt;=CONFIG!$E$21,CONFIG!$F$21,IF(AE356&gt;=CONFIG!$E$20,CONFIG!$F$20,CONFIG!$F$19)))</f>
        <v/>
      </c>
      <c r="AG356" s="21" t="str">
        <f aca="false">IF(F356="","",TRIM(IF(N(M356)=0,"Sin ensayos. ","")&amp;IF(AND(N(M356)&gt;0,N(M356)&lt;CONFIG!$B$26),"Menos de "&amp;CONFIG!$B$26&amp;" probetas. ","")&amp;IF(N(T356)&gt;CONFIG!$B$25,"CV alto. ","")&amp;IF(AND(N(AD356)&gt;0,N(AD356)&gt;N(AF356)),"Absorción alta. ","")))</f>
        <v/>
      </c>
      <c r="AH356" s="22" t="str">
        <f aca="false">IF(AND(N(M356)&gt;0,OR(CONTROL!$C$4="TODAS",C356=CONTROL!$C$4),D356=CONTROL!$C$5),MAX($AH$4:AH355)+1,"")</f>
        <v/>
      </c>
      <c r="AI356" s="22" t="str">
        <f aca="false">IF(AH356="","",P356^2)</f>
        <v/>
      </c>
    </row>
    <row r="357" customFormat="false" ht="15" hidden="false" customHeight="false" outlineLevel="0" collapsed="false">
      <c r="A357" s="11" t="str">
        <f aca="false">IF(B357="","",ROW()-4)</f>
        <v/>
      </c>
      <c r="B357" s="12"/>
      <c r="C357" s="13"/>
      <c r="D357" s="13"/>
      <c r="E357" s="13"/>
      <c r="F357" s="14" t="str">
        <f aca="false">IF(OR(B357="",C357="",D357=""),"",IFERROR(INDEX(CONFIG!$E$5:$E$14,MATCH(D357,CONFIG!$D$5:$D$14,0)),"?")&amp;RIGHT("0"&amp;DAY(B357),2)&amp;RIGHT("0"&amp;MONTH(B357),2)&amp;RIGHT(YEAR(B357),2)&amp;C357&amp;IF(E357="","","-"&amp;E357))</f>
        <v/>
      </c>
      <c r="G357" s="13"/>
      <c r="H357" s="13"/>
      <c r="I357" s="13"/>
      <c r="J357" s="13"/>
      <c r="K357" s="13"/>
      <c r="L357" s="13"/>
      <c r="M357" s="11" t="str">
        <f aca="false">IF(F357="","",COUNTIFS(ENSAYOS!$C$5:$C$3004,F357,ENSAYOS!$Q$5:$Q$3004,"&gt;0"))</f>
        <v/>
      </c>
      <c r="N357" s="15" t="str">
        <f aca="false">IF(N(M357)=0,"",_xlfn.MINIFS(ENSAYOS!$G$5:$G$3004,ENSAYOS!$C$5:$C$3004,F357,ENSAYOS!$Q$5:$Q$3004,"&gt;0"))</f>
        <v/>
      </c>
      <c r="O357" s="15" t="str">
        <f aca="false">IF(N(M357)=0,"",_xlfn.MAXIFS(ENSAYOS!$G$5:$G$3004,ENSAYOS!$C$5:$C$3004,F357,ENSAYOS!$Q$5:$Q$3004,"&gt;0"))</f>
        <v/>
      </c>
      <c r="P357" s="16" t="str">
        <f aca="false">IF(N(M357)=0,"",AVERAGEIFS(ENSAYOS!$Q$5:$Q$3004,ENSAYOS!$C$5:$C$3004,F357,ENSAYOS!$Q$5:$Q$3004,"&gt;0"))</f>
        <v/>
      </c>
      <c r="Q357" s="16" t="str">
        <f aca="false">IF(N(M357)=0,"",_xlfn.MINIFS(ENSAYOS!$Q$5:$Q$3004,ENSAYOS!$C$5:$C$3004,F357,ENSAYOS!$Q$5:$Q$3004,"&gt;0"))</f>
        <v/>
      </c>
      <c r="R357" s="16" t="str">
        <f aca="false">IF(N(M357)=0,"",_xlfn.MAXIFS(ENSAYOS!$Q$5:$Q$3004,ENSAYOS!$C$5:$C$3004,F357,ENSAYOS!$Q$5:$Q$3004,"&gt;0"))</f>
        <v/>
      </c>
      <c r="S357" s="16" t="str">
        <f aca="false">IF(N(M357)&lt;2,"",SQRT(MAX(0,(SUMIFS(ENSAYOS!$X$5:$X$3004,ENSAYOS!$C$5:$C$3004,F357,ENSAYOS!$Q$5:$Q$3004,"&gt;0")-M357*P357^2)/(M357-1))))</f>
        <v/>
      </c>
      <c r="T357" s="17" t="str">
        <f aca="false">IF(S357="","",S357/P357)</f>
        <v/>
      </c>
      <c r="U357" s="16" t="str">
        <f aca="false">IF(N(M357)=0,"",IF(N357&gt;=CONFIG!$B$27,"",AVERAGEIFS(ENSAYOS!$Q$5:$Q$3004,ENSAYOS!$C$5:$C$3004,F357,ENSAYOS!$Q$5:$Q$3004,"&gt;0",ENSAYOS!$G$5:$G$3004,N357)))</f>
        <v/>
      </c>
      <c r="V357" s="16" t="str">
        <f aca="false">IF(N(M357)=0,"",IF(COUNTIFS(ENSAYOS!$C$5:$C$3004,F357,ENSAYOS!$Q$5:$Q$3004,"&gt;0",ENSAYOS!$G$5:$G$3004,"&gt;="&amp;CONFIG!$B$27)=0,"",AVERAGEIFS(ENSAYOS!$Q$5:$Q$3004,ENSAYOS!$C$5:$C$3004,F357,ENSAYOS!$Q$5:$Q$3004,"&gt;0",ENSAYOS!$G$5:$G$3004,"&gt;="&amp;CONFIG!$B$27)))</f>
        <v/>
      </c>
      <c r="W357" s="18" t="str">
        <f aca="false">IF(AND(U357&lt;&gt;"",V357&lt;&gt;""),U357/V357,"")</f>
        <v/>
      </c>
      <c r="X357" s="18" t="str">
        <f aca="false">IF(U357="","",INDEX('CURVA EDAD'!$E$5:$E$32,MIN(28,MAX(1,N357))))</f>
        <v/>
      </c>
      <c r="Y357" s="16" t="str">
        <f aca="false">IF(V357&lt;&gt;"",V357,IF(U357="","",U357/X357))</f>
        <v/>
      </c>
      <c r="Z357" s="16" t="str">
        <f aca="false">IF(V357&lt;&gt;"",_xlfn.MINIFS(ENSAYOS!$Q$5:$Q$3004,ENSAYOS!$C$5:$C$3004,F357,ENSAYOS!$Q$5:$Q$3004,"&gt;0",ENSAYOS!$G$5:$G$3004,"&gt;="&amp;CONFIG!$B$27),IF(U357="","",_xlfn.MINIFS(ENSAYOS!$Q$5:$Q$3004,ENSAYOS!$C$5:$C$3004,F357,ENSAYOS!$Q$5:$Q$3004,"&gt;0",ENSAYOS!$G$5:$G$3004,N357)/X357))</f>
        <v/>
      </c>
      <c r="AA357" s="16" t="str">
        <f aca="false">IF(D357="","",IFERROR(1/(1/INDEX(CONFIG!$J$5:$J$14,MATCH(D357,CONFIG!$D$5:$D$14,0))),""))</f>
        <v/>
      </c>
      <c r="AB357" s="16" t="str">
        <f aca="false">IF(D357="","",IFERROR(1/(1/INDEX(CONFIG!$K$5:$K$14,MATCH(D357,CONFIG!$D$5:$D$14,0))),""))</f>
        <v/>
      </c>
      <c r="AC357" s="19" t="str">
        <f aca="false">IF(N(M357)=0,"",IF(AA357="","Sin spec",IF(AND(Y357&gt;=AA357,OR(AB357="",Z357&gt;=AB357)),"CUMPLE","NO CUMPLE")&amp;IF(V357=""," (est.)","")))</f>
        <v/>
      </c>
      <c r="AD357" s="20" t="str">
        <f aca="false">IF(F357="","",IF(COUNTIFS(ABSORCION!$C$5:$C$1004,F357,ABSORCION!$I$5:$I$1004,"&gt;0")=0,"",AVERAGEIFS(ABSORCION!$I$5:$I$1004,ABSORCION!$C$5:$C$1004,F357,ABSORCION!$I$5:$I$1004,"&gt;0")))</f>
        <v/>
      </c>
      <c r="AE357" s="20" t="str">
        <f aca="false">IF(F357="","",IF(COUNTIFS(ABSORCION!$C$5:$C$1004,F357,ABSORCION!$I$5:$I$1004,"&gt;0")=0,"",AVERAGEIFS(ABSORCION!$K$5:$K$1004,ABSORCION!$C$5:$C$1004,F357,ABSORCION!$I$5:$I$1004,"&gt;0")))</f>
        <v/>
      </c>
      <c r="AF357" s="20" t="str">
        <f aca="false">IF(AE357="","",IF(AE357&gt;=CONFIG!$E$21,CONFIG!$F$21,IF(AE357&gt;=CONFIG!$E$20,CONFIG!$F$20,CONFIG!$F$19)))</f>
        <v/>
      </c>
      <c r="AG357" s="21" t="str">
        <f aca="false">IF(F357="","",TRIM(IF(N(M357)=0,"Sin ensayos. ","")&amp;IF(AND(N(M357)&gt;0,N(M357)&lt;CONFIG!$B$26),"Menos de "&amp;CONFIG!$B$26&amp;" probetas. ","")&amp;IF(N(T357)&gt;CONFIG!$B$25,"CV alto. ","")&amp;IF(AND(N(AD357)&gt;0,N(AD357)&gt;N(AF357)),"Absorción alta. ","")))</f>
        <v/>
      </c>
      <c r="AH357" s="22" t="str">
        <f aca="false">IF(AND(N(M357)&gt;0,OR(CONTROL!$C$4="TODAS",C357=CONTROL!$C$4),D357=CONTROL!$C$5),MAX($AH$4:AH356)+1,"")</f>
        <v/>
      </c>
      <c r="AI357" s="22" t="str">
        <f aca="false">IF(AH357="","",P357^2)</f>
        <v/>
      </c>
    </row>
    <row r="358" customFormat="false" ht="15" hidden="false" customHeight="false" outlineLevel="0" collapsed="false">
      <c r="A358" s="11" t="str">
        <f aca="false">IF(B358="","",ROW()-4)</f>
        <v/>
      </c>
      <c r="B358" s="12"/>
      <c r="C358" s="13"/>
      <c r="D358" s="13"/>
      <c r="E358" s="13"/>
      <c r="F358" s="14" t="str">
        <f aca="false">IF(OR(B358="",C358="",D358=""),"",IFERROR(INDEX(CONFIG!$E$5:$E$14,MATCH(D358,CONFIG!$D$5:$D$14,0)),"?")&amp;RIGHT("0"&amp;DAY(B358),2)&amp;RIGHT("0"&amp;MONTH(B358),2)&amp;RIGHT(YEAR(B358),2)&amp;C358&amp;IF(E358="","","-"&amp;E358))</f>
        <v/>
      </c>
      <c r="G358" s="13"/>
      <c r="H358" s="13"/>
      <c r="I358" s="13"/>
      <c r="J358" s="13"/>
      <c r="K358" s="13"/>
      <c r="L358" s="13"/>
      <c r="M358" s="11" t="str">
        <f aca="false">IF(F358="","",COUNTIFS(ENSAYOS!$C$5:$C$3004,F358,ENSAYOS!$Q$5:$Q$3004,"&gt;0"))</f>
        <v/>
      </c>
      <c r="N358" s="15" t="str">
        <f aca="false">IF(N(M358)=0,"",_xlfn.MINIFS(ENSAYOS!$G$5:$G$3004,ENSAYOS!$C$5:$C$3004,F358,ENSAYOS!$Q$5:$Q$3004,"&gt;0"))</f>
        <v/>
      </c>
      <c r="O358" s="15" t="str">
        <f aca="false">IF(N(M358)=0,"",_xlfn.MAXIFS(ENSAYOS!$G$5:$G$3004,ENSAYOS!$C$5:$C$3004,F358,ENSAYOS!$Q$5:$Q$3004,"&gt;0"))</f>
        <v/>
      </c>
      <c r="P358" s="16" t="str">
        <f aca="false">IF(N(M358)=0,"",AVERAGEIFS(ENSAYOS!$Q$5:$Q$3004,ENSAYOS!$C$5:$C$3004,F358,ENSAYOS!$Q$5:$Q$3004,"&gt;0"))</f>
        <v/>
      </c>
      <c r="Q358" s="16" t="str">
        <f aca="false">IF(N(M358)=0,"",_xlfn.MINIFS(ENSAYOS!$Q$5:$Q$3004,ENSAYOS!$C$5:$C$3004,F358,ENSAYOS!$Q$5:$Q$3004,"&gt;0"))</f>
        <v/>
      </c>
      <c r="R358" s="16" t="str">
        <f aca="false">IF(N(M358)=0,"",_xlfn.MAXIFS(ENSAYOS!$Q$5:$Q$3004,ENSAYOS!$C$5:$C$3004,F358,ENSAYOS!$Q$5:$Q$3004,"&gt;0"))</f>
        <v/>
      </c>
      <c r="S358" s="16" t="str">
        <f aca="false">IF(N(M358)&lt;2,"",SQRT(MAX(0,(SUMIFS(ENSAYOS!$X$5:$X$3004,ENSAYOS!$C$5:$C$3004,F358,ENSAYOS!$Q$5:$Q$3004,"&gt;0")-M358*P358^2)/(M358-1))))</f>
        <v/>
      </c>
      <c r="T358" s="17" t="str">
        <f aca="false">IF(S358="","",S358/P358)</f>
        <v/>
      </c>
      <c r="U358" s="16" t="str">
        <f aca="false">IF(N(M358)=0,"",IF(N358&gt;=CONFIG!$B$27,"",AVERAGEIFS(ENSAYOS!$Q$5:$Q$3004,ENSAYOS!$C$5:$C$3004,F358,ENSAYOS!$Q$5:$Q$3004,"&gt;0",ENSAYOS!$G$5:$G$3004,N358)))</f>
        <v/>
      </c>
      <c r="V358" s="16" t="str">
        <f aca="false">IF(N(M358)=0,"",IF(COUNTIFS(ENSAYOS!$C$5:$C$3004,F358,ENSAYOS!$Q$5:$Q$3004,"&gt;0",ENSAYOS!$G$5:$G$3004,"&gt;="&amp;CONFIG!$B$27)=0,"",AVERAGEIFS(ENSAYOS!$Q$5:$Q$3004,ENSAYOS!$C$5:$C$3004,F358,ENSAYOS!$Q$5:$Q$3004,"&gt;0",ENSAYOS!$G$5:$G$3004,"&gt;="&amp;CONFIG!$B$27)))</f>
        <v/>
      </c>
      <c r="W358" s="18" t="str">
        <f aca="false">IF(AND(U358&lt;&gt;"",V358&lt;&gt;""),U358/V358,"")</f>
        <v/>
      </c>
      <c r="X358" s="18" t="str">
        <f aca="false">IF(U358="","",INDEX('CURVA EDAD'!$E$5:$E$32,MIN(28,MAX(1,N358))))</f>
        <v/>
      </c>
      <c r="Y358" s="16" t="str">
        <f aca="false">IF(V358&lt;&gt;"",V358,IF(U358="","",U358/X358))</f>
        <v/>
      </c>
      <c r="Z358" s="16" t="str">
        <f aca="false">IF(V358&lt;&gt;"",_xlfn.MINIFS(ENSAYOS!$Q$5:$Q$3004,ENSAYOS!$C$5:$C$3004,F358,ENSAYOS!$Q$5:$Q$3004,"&gt;0",ENSAYOS!$G$5:$G$3004,"&gt;="&amp;CONFIG!$B$27),IF(U358="","",_xlfn.MINIFS(ENSAYOS!$Q$5:$Q$3004,ENSAYOS!$C$5:$C$3004,F358,ENSAYOS!$Q$5:$Q$3004,"&gt;0",ENSAYOS!$G$5:$G$3004,N358)/X358))</f>
        <v/>
      </c>
      <c r="AA358" s="16" t="str">
        <f aca="false">IF(D358="","",IFERROR(1/(1/INDEX(CONFIG!$J$5:$J$14,MATCH(D358,CONFIG!$D$5:$D$14,0))),""))</f>
        <v/>
      </c>
      <c r="AB358" s="16" t="str">
        <f aca="false">IF(D358="","",IFERROR(1/(1/INDEX(CONFIG!$K$5:$K$14,MATCH(D358,CONFIG!$D$5:$D$14,0))),""))</f>
        <v/>
      </c>
      <c r="AC358" s="19" t="str">
        <f aca="false">IF(N(M358)=0,"",IF(AA358="","Sin spec",IF(AND(Y358&gt;=AA358,OR(AB358="",Z358&gt;=AB358)),"CUMPLE","NO CUMPLE")&amp;IF(V358=""," (est.)","")))</f>
        <v/>
      </c>
      <c r="AD358" s="20" t="str">
        <f aca="false">IF(F358="","",IF(COUNTIFS(ABSORCION!$C$5:$C$1004,F358,ABSORCION!$I$5:$I$1004,"&gt;0")=0,"",AVERAGEIFS(ABSORCION!$I$5:$I$1004,ABSORCION!$C$5:$C$1004,F358,ABSORCION!$I$5:$I$1004,"&gt;0")))</f>
        <v/>
      </c>
      <c r="AE358" s="20" t="str">
        <f aca="false">IF(F358="","",IF(COUNTIFS(ABSORCION!$C$5:$C$1004,F358,ABSORCION!$I$5:$I$1004,"&gt;0")=0,"",AVERAGEIFS(ABSORCION!$K$5:$K$1004,ABSORCION!$C$5:$C$1004,F358,ABSORCION!$I$5:$I$1004,"&gt;0")))</f>
        <v/>
      </c>
      <c r="AF358" s="20" t="str">
        <f aca="false">IF(AE358="","",IF(AE358&gt;=CONFIG!$E$21,CONFIG!$F$21,IF(AE358&gt;=CONFIG!$E$20,CONFIG!$F$20,CONFIG!$F$19)))</f>
        <v/>
      </c>
      <c r="AG358" s="21" t="str">
        <f aca="false">IF(F358="","",TRIM(IF(N(M358)=0,"Sin ensayos. ","")&amp;IF(AND(N(M358)&gt;0,N(M358)&lt;CONFIG!$B$26),"Menos de "&amp;CONFIG!$B$26&amp;" probetas. ","")&amp;IF(N(T358)&gt;CONFIG!$B$25,"CV alto. ","")&amp;IF(AND(N(AD358)&gt;0,N(AD358)&gt;N(AF358)),"Absorción alta. ","")))</f>
        <v/>
      </c>
      <c r="AH358" s="22" t="str">
        <f aca="false">IF(AND(N(M358)&gt;0,OR(CONTROL!$C$4="TODAS",C358=CONTROL!$C$4),D358=CONTROL!$C$5),MAX($AH$4:AH357)+1,"")</f>
        <v/>
      </c>
      <c r="AI358" s="22" t="str">
        <f aca="false">IF(AH358="","",P358^2)</f>
        <v/>
      </c>
    </row>
    <row r="359" customFormat="false" ht="15" hidden="false" customHeight="false" outlineLevel="0" collapsed="false">
      <c r="A359" s="11" t="str">
        <f aca="false">IF(B359="","",ROW()-4)</f>
        <v/>
      </c>
      <c r="B359" s="12"/>
      <c r="C359" s="13"/>
      <c r="D359" s="13"/>
      <c r="E359" s="13"/>
      <c r="F359" s="14" t="str">
        <f aca="false">IF(OR(B359="",C359="",D359=""),"",IFERROR(INDEX(CONFIG!$E$5:$E$14,MATCH(D359,CONFIG!$D$5:$D$14,0)),"?")&amp;RIGHT("0"&amp;DAY(B359),2)&amp;RIGHT("0"&amp;MONTH(B359),2)&amp;RIGHT(YEAR(B359),2)&amp;C359&amp;IF(E359="","","-"&amp;E359))</f>
        <v/>
      </c>
      <c r="G359" s="13"/>
      <c r="H359" s="13"/>
      <c r="I359" s="13"/>
      <c r="J359" s="13"/>
      <c r="K359" s="13"/>
      <c r="L359" s="13"/>
      <c r="M359" s="11" t="str">
        <f aca="false">IF(F359="","",COUNTIFS(ENSAYOS!$C$5:$C$3004,F359,ENSAYOS!$Q$5:$Q$3004,"&gt;0"))</f>
        <v/>
      </c>
      <c r="N359" s="15" t="str">
        <f aca="false">IF(N(M359)=0,"",_xlfn.MINIFS(ENSAYOS!$G$5:$G$3004,ENSAYOS!$C$5:$C$3004,F359,ENSAYOS!$Q$5:$Q$3004,"&gt;0"))</f>
        <v/>
      </c>
      <c r="O359" s="15" t="str">
        <f aca="false">IF(N(M359)=0,"",_xlfn.MAXIFS(ENSAYOS!$G$5:$G$3004,ENSAYOS!$C$5:$C$3004,F359,ENSAYOS!$Q$5:$Q$3004,"&gt;0"))</f>
        <v/>
      </c>
      <c r="P359" s="16" t="str">
        <f aca="false">IF(N(M359)=0,"",AVERAGEIFS(ENSAYOS!$Q$5:$Q$3004,ENSAYOS!$C$5:$C$3004,F359,ENSAYOS!$Q$5:$Q$3004,"&gt;0"))</f>
        <v/>
      </c>
      <c r="Q359" s="16" t="str">
        <f aca="false">IF(N(M359)=0,"",_xlfn.MINIFS(ENSAYOS!$Q$5:$Q$3004,ENSAYOS!$C$5:$C$3004,F359,ENSAYOS!$Q$5:$Q$3004,"&gt;0"))</f>
        <v/>
      </c>
      <c r="R359" s="16" t="str">
        <f aca="false">IF(N(M359)=0,"",_xlfn.MAXIFS(ENSAYOS!$Q$5:$Q$3004,ENSAYOS!$C$5:$C$3004,F359,ENSAYOS!$Q$5:$Q$3004,"&gt;0"))</f>
        <v/>
      </c>
      <c r="S359" s="16" t="str">
        <f aca="false">IF(N(M359)&lt;2,"",SQRT(MAX(0,(SUMIFS(ENSAYOS!$X$5:$X$3004,ENSAYOS!$C$5:$C$3004,F359,ENSAYOS!$Q$5:$Q$3004,"&gt;0")-M359*P359^2)/(M359-1))))</f>
        <v/>
      </c>
      <c r="T359" s="17" t="str">
        <f aca="false">IF(S359="","",S359/P359)</f>
        <v/>
      </c>
      <c r="U359" s="16" t="str">
        <f aca="false">IF(N(M359)=0,"",IF(N359&gt;=CONFIG!$B$27,"",AVERAGEIFS(ENSAYOS!$Q$5:$Q$3004,ENSAYOS!$C$5:$C$3004,F359,ENSAYOS!$Q$5:$Q$3004,"&gt;0",ENSAYOS!$G$5:$G$3004,N359)))</f>
        <v/>
      </c>
      <c r="V359" s="16" t="str">
        <f aca="false">IF(N(M359)=0,"",IF(COUNTIFS(ENSAYOS!$C$5:$C$3004,F359,ENSAYOS!$Q$5:$Q$3004,"&gt;0",ENSAYOS!$G$5:$G$3004,"&gt;="&amp;CONFIG!$B$27)=0,"",AVERAGEIFS(ENSAYOS!$Q$5:$Q$3004,ENSAYOS!$C$5:$C$3004,F359,ENSAYOS!$Q$5:$Q$3004,"&gt;0",ENSAYOS!$G$5:$G$3004,"&gt;="&amp;CONFIG!$B$27)))</f>
        <v/>
      </c>
      <c r="W359" s="18" t="str">
        <f aca="false">IF(AND(U359&lt;&gt;"",V359&lt;&gt;""),U359/V359,"")</f>
        <v/>
      </c>
      <c r="X359" s="18" t="str">
        <f aca="false">IF(U359="","",INDEX('CURVA EDAD'!$E$5:$E$32,MIN(28,MAX(1,N359))))</f>
        <v/>
      </c>
      <c r="Y359" s="16" t="str">
        <f aca="false">IF(V359&lt;&gt;"",V359,IF(U359="","",U359/X359))</f>
        <v/>
      </c>
      <c r="Z359" s="16" t="str">
        <f aca="false">IF(V359&lt;&gt;"",_xlfn.MINIFS(ENSAYOS!$Q$5:$Q$3004,ENSAYOS!$C$5:$C$3004,F359,ENSAYOS!$Q$5:$Q$3004,"&gt;0",ENSAYOS!$G$5:$G$3004,"&gt;="&amp;CONFIG!$B$27),IF(U359="","",_xlfn.MINIFS(ENSAYOS!$Q$5:$Q$3004,ENSAYOS!$C$5:$C$3004,F359,ENSAYOS!$Q$5:$Q$3004,"&gt;0",ENSAYOS!$G$5:$G$3004,N359)/X359))</f>
        <v/>
      </c>
      <c r="AA359" s="16" t="str">
        <f aca="false">IF(D359="","",IFERROR(1/(1/INDEX(CONFIG!$J$5:$J$14,MATCH(D359,CONFIG!$D$5:$D$14,0))),""))</f>
        <v/>
      </c>
      <c r="AB359" s="16" t="str">
        <f aca="false">IF(D359="","",IFERROR(1/(1/INDEX(CONFIG!$K$5:$K$14,MATCH(D359,CONFIG!$D$5:$D$14,0))),""))</f>
        <v/>
      </c>
      <c r="AC359" s="19" t="str">
        <f aca="false">IF(N(M359)=0,"",IF(AA359="","Sin spec",IF(AND(Y359&gt;=AA359,OR(AB359="",Z359&gt;=AB359)),"CUMPLE","NO CUMPLE")&amp;IF(V359=""," (est.)","")))</f>
        <v/>
      </c>
      <c r="AD359" s="20" t="str">
        <f aca="false">IF(F359="","",IF(COUNTIFS(ABSORCION!$C$5:$C$1004,F359,ABSORCION!$I$5:$I$1004,"&gt;0")=0,"",AVERAGEIFS(ABSORCION!$I$5:$I$1004,ABSORCION!$C$5:$C$1004,F359,ABSORCION!$I$5:$I$1004,"&gt;0")))</f>
        <v/>
      </c>
      <c r="AE359" s="20" t="str">
        <f aca="false">IF(F359="","",IF(COUNTIFS(ABSORCION!$C$5:$C$1004,F359,ABSORCION!$I$5:$I$1004,"&gt;0")=0,"",AVERAGEIFS(ABSORCION!$K$5:$K$1004,ABSORCION!$C$5:$C$1004,F359,ABSORCION!$I$5:$I$1004,"&gt;0")))</f>
        <v/>
      </c>
      <c r="AF359" s="20" t="str">
        <f aca="false">IF(AE359="","",IF(AE359&gt;=CONFIG!$E$21,CONFIG!$F$21,IF(AE359&gt;=CONFIG!$E$20,CONFIG!$F$20,CONFIG!$F$19)))</f>
        <v/>
      </c>
      <c r="AG359" s="21" t="str">
        <f aca="false">IF(F359="","",TRIM(IF(N(M359)=0,"Sin ensayos. ","")&amp;IF(AND(N(M359)&gt;0,N(M359)&lt;CONFIG!$B$26),"Menos de "&amp;CONFIG!$B$26&amp;" probetas. ","")&amp;IF(N(T359)&gt;CONFIG!$B$25,"CV alto. ","")&amp;IF(AND(N(AD359)&gt;0,N(AD359)&gt;N(AF359)),"Absorción alta. ","")))</f>
        <v/>
      </c>
      <c r="AH359" s="22" t="str">
        <f aca="false">IF(AND(N(M359)&gt;0,OR(CONTROL!$C$4="TODAS",C359=CONTROL!$C$4),D359=CONTROL!$C$5),MAX($AH$4:AH358)+1,"")</f>
        <v/>
      </c>
      <c r="AI359" s="22" t="str">
        <f aca="false">IF(AH359="","",P359^2)</f>
        <v/>
      </c>
    </row>
    <row r="360" customFormat="false" ht="15" hidden="false" customHeight="false" outlineLevel="0" collapsed="false">
      <c r="A360" s="11" t="str">
        <f aca="false">IF(B360="","",ROW()-4)</f>
        <v/>
      </c>
      <c r="B360" s="12"/>
      <c r="C360" s="13"/>
      <c r="D360" s="13"/>
      <c r="E360" s="13"/>
      <c r="F360" s="14" t="str">
        <f aca="false">IF(OR(B360="",C360="",D360=""),"",IFERROR(INDEX(CONFIG!$E$5:$E$14,MATCH(D360,CONFIG!$D$5:$D$14,0)),"?")&amp;RIGHT("0"&amp;DAY(B360),2)&amp;RIGHT("0"&amp;MONTH(B360),2)&amp;RIGHT(YEAR(B360),2)&amp;C360&amp;IF(E360="","","-"&amp;E360))</f>
        <v/>
      </c>
      <c r="G360" s="13"/>
      <c r="H360" s="13"/>
      <c r="I360" s="13"/>
      <c r="J360" s="13"/>
      <c r="K360" s="13"/>
      <c r="L360" s="13"/>
      <c r="M360" s="11" t="str">
        <f aca="false">IF(F360="","",COUNTIFS(ENSAYOS!$C$5:$C$3004,F360,ENSAYOS!$Q$5:$Q$3004,"&gt;0"))</f>
        <v/>
      </c>
      <c r="N360" s="15" t="str">
        <f aca="false">IF(N(M360)=0,"",_xlfn.MINIFS(ENSAYOS!$G$5:$G$3004,ENSAYOS!$C$5:$C$3004,F360,ENSAYOS!$Q$5:$Q$3004,"&gt;0"))</f>
        <v/>
      </c>
      <c r="O360" s="15" t="str">
        <f aca="false">IF(N(M360)=0,"",_xlfn.MAXIFS(ENSAYOS!$G$5:$G$3004,ENSAYOS!$C$5:$C$3004,F360,ENSAYOS!$Q$5:$Q$3004,"&gt;0"))</f>
        <v/>
      </c>
      <c r="P360" s="16" t="str">
        <f aca="false">IF(N(M360)=0,"",AVERAGEIFS(ENSAYOS!$Q$5:$Q$3004,ENSAYOS!$C$5:$C$3004,F360,ENSAYOS!$Q$5:$Q$3004,"&gt;0"))</f>
        <v/>
      </c>
      <c r="Q360" s="16" t="str">
        <f aca="false">IF(N(M360)=0,"",_xlfn.MINIFS(ENSAYOS!$Q$5:$Q$3004,ENSAYOS!$C$5:$C$3004,F360,ENSAYOS!$Q$5:$Q$3004,"&gt;0"))</f>
        <v/>
      </c>
      <c r="R360" s="16" t="str">
        <f aca="false">IF(N(M360)=0,"",_xlfn.MAXIFS(ENSAYOS!$Q$5:$Q$3004,ENSAYOS!$C$5:$C$3004,F360,ENSAYOS!$Q$5:$Q$3004,"&gt;0"))</f>
        <v/>
      </c>
      <c r="S360" s="16" t="str">
        <f aca="false">IF(N(M360)&lt;2,"",SQRT(MAX(0,(SUMIFS(ENSAYOS!$X$5:$X$3004,ENSAYOS!$C$5:$C$3004,F360,ENSAYOS!$Q$5:$Q$3004,"&gt;0")-M360*P360^2)/(M360-1))))</f>
        <v/>
      </c>
      <c r="T360" s="17" t="str">
        <f aca="false">IF(S360="","",S360/P360)</f>
        <v/>
      </c>
      <c r="U360" s="16" t="str">
        <f aca="false">IF(N(M360)=0,"",IF(N360&gt;=CONFIG!$B$27,"",AVERAGEIFS(ENSAYOS!$Q$5:$Q$3004,ENSAYOS!$C$5:$C$3004,F360,ENSAYOS!$Q$5:$Q$3004,"&gt;0",ENSAYOS!$G$5:$G$3004,N360)))</f>
        <v/>
      </c>
      <c r="V360" s="16" t="str">
        <f aca="false">IF(N(M360)=0,"",IF(COUNTIFS(ENSAYOS!$C$5:$C$3004,F360,ENSAYOS!$Q$5:$Q$3004,"&gt;0",ENSAYOS!$G$5:$G$3004,"&gt;="&amp;CONFIG!$B$27)=0,"",AVERAGEIFS(ENSAYOS!$Q$5:$Q$3004,ENSAYOS!$C$5:$C$3004,F360,ENSAYOS!$Q$5:$Q$3004,"&gt;0",ENSAYOS!$G$5:$G$3004,"&gt;="&amp;CONFIG!$B$27)))</f>
        <v/>
      </c>
      <c r="W360" s="18" t="str">
        <f aca="false">IF(AND(U360&lt;&gt;"",V360&lt;&gt;""),U360/V360,"")</f>
        <v/>
      </c>
      <c r="X360" s="18" t="str">
        <f aca="false">IF(U360="","",INDEX('CURVA EDAD'!$E$5:$E$32,MIN(28,MAX(1,N360))))</f>
        <v/>
      </c>
      <c r="Y360" s="16" t="str">
        <f aca="false">IF(V360&lt;&gt;"",V360,IF(U360="","",U360/X360))</f>
        <v/>
      </c>
      <c r="Z360" s="16" t="str">
        <f aca="false">IF(V360&lt;&gt;"",_xlfn.MINIFS(ENSAYOS!$Q$5:$Q$3004,ENSAYOS!$C$5:$C$3004,F360,ENSAYOS!$Q$5:$Q$3004,"&gt;0",ENSAYOS!$G$5:$G$3004,"&gt;="&amp;CONFIG!$B$27),IF(U360="","",_xlfn.MINIFS(ENSAYOS!$Q$5:$Q$3004,ENSAYOS!$C$5:$C$3004,F360,ENSAYOS!$Q$5:$Q$3004,"&gt;0",ENSAYOS!$G$5:$G$3004,N360)/X360))</f>
        <v/>
      </c>
      <c r="AA360" s="16" t="str">
        <f aca="false">IF(D360="","",IFERROR(1/(1/INDEX(CONFIG!$J$5:$J$14,MATCH(D360,CONFIG!$D$5:$D$14,0))),""))</f>
        <v/>
      </c>
      <c r="AB360" s="16" t="str">
        <f aca="false">IF(D360="","",IFERROR(1/(1/INDEX(CONFIG!$K$5:$K$14,MATCH(D360,CONFIG!$D$5:$D$14,0))),""))</f>
        <v/>
      </c>
      <c r="AC360" s="19" t="str">
        <f aca="false">IF(N(M360)=0,"",IF(AA360="","Sin spec",IF(AND(Y360&gt;=AA360,OR(AB360="",Z360&gt;=AB360)),"CUMPLE","NO CUMPLE")&amp;IF(V360=""," (est.)","")))</f>
        <v/>
      </c>
      <c r="AD360" s="20" t="str">
        <f aca="false">IF(F360="","",IF(COUNTIFS(ABSORCION!$C$5:$C$1004,F360,ABSORCION!$I$5:$I$1004,"&gt;0")=0,"",AVERAGEIFS(ABSORCION!$I$5:$I$1004,ABSORCION!$C$5:$C$1004,F360,ABSORCION!$I$5:$I$1004,"&gt;0")))</f>
        <v/>
      </c>
      <c r="AE360" s="20" t="str">
        <f aca="false">IF(F360="","",IF(COUNTIFS(ABSORCION!$C$5:$C$1004,F360,ABSORCION!$I$5:$I$1004,"&gt;0")=0,"",AVERAGEIFS(ABSORCION!$K$5:$K$1004,ABSORCION!$C$5:$C$1004,F360,ABSORCION!$I$5:$I$1004,"&gt;0")))</f>
        <v/>
      </c>
      <c r="AF360" s="20" t="str">
        <f aca="false">IF(AE360="","",IF(AE360&gt;=CONFIG!$E$21,CONFIG!$F$21,IF(AE360&gt;=CONFIG!$E$20,CONFIG!$F$20,CONFIG!$F$19)))</f>
        <v/>
      </c>
      <c r="AG360" s="21" t="str">
        <f aca="false">IF(F360="","",TRIM(IF(N(M360)=0,"Sin ensayos. ","")&amp;IF(AND(N(M360)&gt;0,N(M360)&lt;CONFIG!$B$26),"Menos de "&amp;CONFIG!$B$26&amp;" probetas. ","")&amp;IF(N(T360)&gt;CONFIG!$B$25,"CV alto. ","")&amp;IF(AND(N(AD360)&gt;0,N(AD360)&gt;N(AF360)),"Absorción alta. ","")))</f>
        <v/>
      </c>
      <c r="AH360" s="22" t="str">
        <f aca="false">IF(AND(N(M360)&gt;0,OR(CONTROL!$C$4="TODAS",C360=CONTROL!$C$4),D360=CONTROL!$C$5),MAX($AH$4:AH359)+1,"")</f>
        <v/>
      </c>
      <c r="AI360" s="22" t="str">
        <f aca="false">IF(AH360="","",P360^2)</f>
        <v/>
      </c>
    </row>
    <row r="361" customFormat="false" ht="15" hidden="false" customHeight="false" outlineLevel="0" collapsed="false">
      <c r="A361" s="11" t="str">
        <f aca="false">IF(B361="","",ROW()-4)</f>
        <v/>
      </c>
      <c r="B361" s="12"/>
      <c r="C361" s="13"/>
      <c r="D361" s="13"/>
      <c r="E361" s="13"/>
      <c r="F361" s="14" t="str">
        <f aca="false">IF(OR(B361="",C361="",D361=""),"",IFERROR(INDEX(CONFIG!$E$5:$E$14,MATCH(D361,CONFIG!$D$5:$D$14,0)),"?")&amp;RIGHT("0"&amp;DAY(B361),2)&amp;RIGHT("0"&amp;MONTH(B361),2)&amp;RIGHT(YEAR(B361),2)&amp;C361&amp;IF(E361="","","-"&amp;E361))</f>
        <v/>
      </c>
      <c r="G361" s="13"/>
      <c r="H361" s="13"/>
      <c r="I361" s="13"/>
      <c r="J361" s="13"/>
      <c r="K361" s="13"/>
      <c r="L361" s="13"/>
      <c r="M361" s="11" t="str">
        <f aca="false">IF(F361="","",COUNTIFS(ENSAYOS!$C$5:$C$3004,F361,ENSAYOS!$Q$5:$Q$3004,"&gt;0"))</f>
        <v/>
      </c>
      <c r="N361" s="15" t="str">
        <f aca="false">IF(N(M361)=0,"",_xlfn.MINIFS(ENSAYOS!$G$5:$G$3004,ENSAYOS!$C$5:$C$3004,F361,ENSAYOS!$Q$5:$Q$3004,"&gt;0"))</f>
        <v/>
      </c>
      <c r="O361" s="15" t="str">
        <f aca="false">IF(N(M361)=0,"",_xlfn.MAXIFS(ENSAYOS!$G$5:$G$3004,ENSAYOS!$C$5:$C$3004,F361,ENSAYOS!$Q$5:$Q$3004,"&gt;0"))</f>
        <v/>
      </c>
      <c r="P361" s="16" t="str">
        <f aca="false">IF(N(M361)=0,"",AVERAGEIFS(ENSAYOS!$Q$5:$Q$3004,ENSAYOS!$C$5:$C$3004,F361,ENSAYOS!$Q$5:$Q$3004,"&gt;0"))</f>
        <v/>
      </c>
      <c r="Q361" s="16" t="str">
        <f aca="false">IF(N(M361)=0,"",_xlfn.MINIFS(ENSAYOS!$Q$5:$Q$3004,ENSAYOS!$C$5:$C$3004,F361,ENSAYOS!$Q$5:$Q$3004,"&gt;0"))</f>
        <v/>
      </c>
      <c r="R361" s="16" t="str">
        <f aca="false">IF(N(M361)=0,"",_xlfn.MAXIFS(ENSAYOS!$Q$5:$Q$3004,ENSAYOS!$C$5:$C$3004,F361,ENSAYOS!$Q$5:$Q$3004,"&gt;0"))</f>
        <v/>
      </c>
      <c r="S361" s="16" t="str">
        <f aca="false">IF(N(M361)&lt;2,"",SQRT(MAX(0,(SUMIFS(ENSAYOS!$X$5:$X$3004,ENSAYOS!$C$5:$C$3004,F361,ENSAYOS!$Q$5:$Q$3004,"&gt;0")-M361*P361^2)/(M361-1))))</f>
        <v/>
      </c>
      <c r="T361" s="17" t="str">
        <f aca="false">IF(S361="","",S361/P361)</f>
        <v/>
      </c>
      <c r="U361" s="16" t="str">
        <f aca="false">IF(N(M361)=0,"",IF(N361&gt;=CONFIG!$B$27,"",AVERAGEIFS(ENSAYOS!$Q$5:$Q$3004,ENSAYOS!$C$5:$C$3004,F361,ENSAYOS!$Q$5:$Q$3004,"&gt;0",ENSAYOS!$G$5:$G$3004,N361)))</f>
        <v/>
      </c>
      <c r="V361" s="16" t="str">
        <f aca="false">IF(N(M361)=0,"",IF(COUNTIFS(ENSAYOS!$C$5:$C$3004,F361,ENSAYOS!$Q$5:$Q$3004,"&gt;0",ENSAYOS!$G$5:$G$3004,"&gt;="&amp;CONFIG!$B$27)=0,"",AVERAGEIFS(ENSAYOS!$Q$5:$Q$3004,ENSAYOS!$C$5:$C$3004,F361,ENSAYOS!$Q$5:$Q$3004,"&gt;0",ENSAYOS!$G$5:$G$3004,"&gt;="&amp;CONFIG!$B$27)))</f>
        <v/>
      </c>
      <c r="W361" s="18" t="str">
        <f aca="false">IF(AND(U361&lt;&gt;"",V361&lt;&gt;""),U361/V361,"")</f>
        <v/>
      </c>
      <c r="X361" s="18" t="str">
        <f aca="false">IF(U361="","",INDEX('CURVA EDAD'!$E$5:$E$32,MIN(28,MAX(1,N361))))</f>
        <v/>
      </c>
      <c r="Y361" s="16" t="str">
        <f aca="false">IF(V361&lt;&gt;"",V361,IF(U361="","",U361/X361))</f>
        <v/>
      </c>
      <c r="Z361" s="16" t="str">
        <f aca="false">IF(V361&lt;&gt;"",_xlfn.MINIFS(ENSAYOS!$Q$5:$Q$3004,ENSAYOS!$C$5:$C$3004,F361,ENSAYOS!$Q$5:$Q$3004,"&gt;0",ENSAYOS!$G$5:$G$3004,"&gt;="&amp;CONFIG!$B$27),IF(U361="","",_xlfn.MINIFS(ENSAYOS!$Q$5:$Q$3004,ENSAYOS!$C$5:$C$3004,F361,ENSAYOS!$Q$5:$Q$3004,"&gt;0",ENSAYOS!$G$5:$G$3004,N361)/X361))</f>
        <v/>
      </c>
      <c r="AA361" s="16" t="str">
        <f aca="false">IF(D361="","",IFERROR(1/(1/INDEX(CONFIG!$J$5:$J$14,MATCH(D361,CONFIG!$D$5:$D$14,0))),""))</f>
        <v/>
      </c>
      <c r="AB361" s="16" t="str">
        <f aca="false">IF(D361="","",IFERROR(1/(1/INDEX(CONFIG!$K$5:$K$14,MATCH(D361,CONFIG!$D$5:$D$14,0))),""))</f>
        <v/>
      </c>
      <c r="AC361" s="19" t="str">
        <f aca="false">IF(N(M361)=0,"",IF(AA361="","Sin spec",IF(AND(Y361&gt;=AA361,OR(AB361="",Z361&gt;=AB361)),"CUMPLE","NO CUMPLE")&amp;IF(V361=""," (est.)","")))</f>
        <v/>
      </c>
      <c r="AD361" s="20" t="str">
        <f aca="false">IF(F361="","",IF(COUNTIFS(ABSORCION!$C$5:$C$1004,F361,ABSORCION!$I$5:$I$1004,"&gt;0")=0,"",AVERAGEIFS(ABSORCION!$I$5:$I$1004,ABSORCION!$C$5:$C$1004,F361,ABSORCION!$I$5:$I$1004,"&gt;0")))</f>
        <v/>
      </c>
      <c r="AE361" s="20" t="str">
        <f aca="false">IF(F361="","",IF(COUNTIFS(ABSORCION!$C$5:$C$1004,F361,ABSORCION!$I$5:$I$1004,"&gt;0")=0,"",AVERAGEIFS(ABSORCION!$K$5:$K$1004,ABSORCION!$C$5:$C$1004,F361,ABSORCION!$I$5:$I$1004,"&gt;0")))</f>
        <v/>
      </c>
      <c r="AF361" s="20" t="str">
        <f aca="false">IF(AE361="","",IF(AE361&gt;=CONFIG!$E$21,CONFIG!$F$21,IF(AE361&gt;=CONFIG!$E$20,CONFIG!$F$20,CONFIG!$F$19)))</f>
        <v/>
      </c>
      <c r="AG361" s="21" t="str">
        <f aca="false">IF(F361="","",TRIM(IF(N(M361)=0,"Sin ensayos. ","")&amp;IF(AND(N(M361)&gt;0,N(M361)&lt;CONFIG!$B$26),"Menos de "&amp;CONFIG!$B$26&amp;" probetas. ","")&amp;IF(N(T361)&gt;CONFIG!$B$25,"CV alto. ","")&amp;IF(AND(N(AD361)&gt;0,N(AD361)&gt;N(AF361)),"Absorción alta. ","")))</f>
        <v/>
      </c>
      <c r="AH361" s="22" t="str">
        <f aca="false">IF(AND(N(M361)&gt;0,OR(CONTROL!$C$4="TODAS",C361=CONTROL!$C$4),D361=CONTROL!$C$5),MAX($AH$4:AH360)+1,"")</f>
        <v/>
      </c>
      <c r="AI361" s="22" t="str">
        <f aca="false">IF(AH361="","",P361^2)</f>
        <v/>
      </c>
    </row>
    <row r="362" customFormat="false" ht="15" hidden="false" customHeight="false" outlineLevel="0" collapsed="false">
      <c r="A362" s="11" t="str">
        <f aca="false">IF(B362="","",ROW()-4)</f>
        <v/>
      </c>
      <c r="B362" s="12"/>
      <c r="C362" s="13"/>
      <c r="D362" s="13"/>
      <c r="E362" s="13"/>
      <c r="F362" s="14" t="str">
        <f aca="false">IF(OR(B362="",C362="",D362=""),"",IFERROR(INDEX(CONFIG!$E$5:$E$14,MATCH(D362,CONFIG!$D$5:$D$14,0)),"?")&amp;RIGHT("0"&amp;DAY(B362),2)&amp;RIGHT("0"&amp;MONTH(B362),2)&amp;RIGHT(YEAR(B362),2)&amp;C362&amp;IF(E362="","","-"&amp;E362))</f>
        <v/>
      </c>
      <c r="G362" s="13"/>
      <c r="H362" s="13"/>
      <c r="I362" s="13"/>
      <c r="J362" s="13"/>
      <c r="K362" s="13"/>
      <c r="L362" s="13"/>
      <c r="M362" s="11" t="str">
        <f aca="false">IF(F362="","",COUNTIFS(ENSAYOS!$C$5:$C$3004,F362,ENSAYOS!$Q$5:$Q$3004,"&gt;0"))</f>
        <v/>
      </c>
      <c r="N362" s="15" t="str">
        <f aca="false">IF(N(M362)=0,"",_xlfn.MINIFS(ENSAYOS!$G$5:$G$3004,ENSAYOS!$C$5:$C$3004,F362,ENSAYOS!$Q$5:$Q$3004,"&gt;0"))</f>
        <v/>
      </c>
      <c r="O362" s="15" t="str">
        <f aca="false">IF(N(M362)=0,"",_xlfn.MAXIFS(ENSAYOS!$G$5:$G$3004,ENSAYOS!$C$5:$C$3004,F362,ENSAYOS!$Q$5:$Q$3004,"&gt;0"))</f>
        <v/>
      </c>
      <c r="P362" s="16" t="str">
        <f aca="false">IF(N(M362)=0,"",AVERAGEIFS(ENSAYOS!$Q$5:$Q$3004,ENSAYOS!$C$5:$C$3004,F362,ENSAYOS!$Q$5:$Q$3004,"&gt;0"))</f>
        <v/>
      </c>
      <c r="Q362" s="16" t="str">
        <f aca="false">IF(N(M362)=0,"",_xlfn.MINIFS(ENSAYOS!$Q$5:$Q$3004,ENSAYOS!$C$5:$C$3004,F362,ENSAYOS!$Q$5:$Q$3004,"&gt;0"))</f>
        <v/>
      </c>
      <c r="R362" s="16" t="str">
        <f aca="false">IF(N(M362)=0,"",_xlfn.MAXIFS(ENSAYOS!$Q$5:$Q$3004,ENSAYOS!$C$5:$C$3004,F362,ENSAYOS!$Q$5:$Q$3004,"&gt;0"))</f>
        <v/>
      </c>
      <c r="S362" s="16" t="str">
        <f aca="false">IF(N(M362)&lt;2,"",SQRT(MAX(0,(SUMIFS(ENSAYOS!$X$5:$X$3004,ENSAYOS!$C$5:$C$3004,F362,ENSAYOS!$Q$5:$Q$3004,"&gt;0")-M362*P362^2)/(M362-1))))</f>
        <v/>
      </c>
      <c r="T362" s="17" t="str">
        <f aca="false">IF(S362="","",S362/P362)</f>
        <v/>
      </c>
      <c r="U362" s="16" t="str">
        <f aca="false">IF(N(M362)=0,"",IF(N362&gt;=CONFIG!$B$27,"",AVERAGEIFS(ENSAYOS!$Q$5:$Q$3004,ENSAYOS!$C$5:$C$3004,F362,ENSAYOS!$Q$5:$Q$3004,"&gt;0",ENSAYOS!$G$5:$G$3004,N362)))</f>
        <v/>
      </c>
      <c r="V362" s="16" t="str">
        <f aca="false">IF(N(M362)=0,"",IF(COUNTIFS(ENSAYOS!$C$5:$C$3004,F362,ENSAYOS!$Q$5:$Q$3004,"&gt;0",ENSAYOS!$G$5:$G$3004,"&gt;="&amp;CONFIG!$B$27)=0,"",AVERAGEIFS(ENSAYOS!$Q$5:$Q$3004,ENSAYOS!$C$5:$C$3004,F362,ENSAYOS!$Q$5:$Q$3004,"&gt;0",ENSAYOS!$G$5:$G$3004,"&gt;="&amp;CONFIG!$B$27)))</f>
        <v/>
      </c>
      <c r="W362" s="18" t="str">
        <f aca="false">IF(AND(U362&lt;&gt;"",V362&lt;&gt;""),U362/V362,"")</f>
        <v/>
      </c>
      <c r="X362" s="18" t="str">
        <f aca="false">IF(U362="","",INDEX('CURVA EDAD'!$E$5:$E$32,MIN(28,MAX(1,N362))))</f>
        <v/>
      </c>
      <c r="Y362" s="16" t="str">
        <f aca="false">IF(V362&lt;&gt;"",V362,IF(U362="","",U362/X362))</f>
        <v/>
      </c>
      <c r="Z362" s="16" t="str">
        <f aca="false">IF(V362&lt;&gt;"",_xlfn.MINIFS(ENSAYOS!$Q$5:$Q$3004,ENSAYOS!$C$5:$C$3004,F362,ENSAYOS!$Q$5:$Q$3004,"&gt;0",ENSAYOS!$G$5:$G$3004,"&gt;="&amp;CONFIG!$B$27),IF(U362="","",_xlfn.MINIFS(ENSAYOS!$Q$5:$Q$3004,ENSAYOS!$C$5:$C$3004,F362,ENSAYOS!$Q$5:$Q$3004,"&gt;0",ENSAYOS!$G$5:$G$3004,N362)/X362))</f>
        <v/>
      </c>
      <c r="AA362" s="16" t="str">
        <f aca="false">IF(D362="","",IFERROR(1/(1/INDEX(CONFIG!$J$5:$J$14,MATCH(D362,CONFIG!$D$5:$D$14,0))),""))</f>
        <v/>
      </c>
      <c r="AB362" s="16" t="str">
        <f aca="false">IF(D362="","",IFERROR(1/(1/INDEX(CONFIG!$K$5:$K$14,MATCH(D362,CONFIG!$D$5:$D$14,0))),""))</f>
        <v/>
      </c>
      <c r="AC362" s="19" t="str">
        <f aca="false">IF(N(M362)=0,"",IF(AA362="","Sin spec",IF(AND(Y362&gt;=AA362,OR(AB362="",Z362&gt;=AB362)),"CUMPLE","NO CUMPLE")&amp;IF(V362=""," (est.)","")))</f>
        <v/>
      </c>
      <c r="AD362" s="20" t="str">
        <f aca="false">IF(F362="","",IF(COUNTIFS(ABSORCION!$C$5:$C$1004,F362,ABSORCION!$I$5:$I$1004,"&gt;0")=0,"",AVERAGEIFS(ABSORCION!$I$5:$I$1004,ABSORCION!$C$5:$C$1004,F362,ABSORCION!$I$5:$I$1004,"&gt;0")))</f>
        <v/>
      </c>
      <c r="AE362" s="20" t="str">
        <f aca="false">IF(F362="","",IF(COUNTIFS(ABSORCION!$C$5:$C$1004,F362,ABSORCION!$I$5:$I$1004,"&gt;0")=0,"",AVERAGEIFS(ABSORCION!$K$5:$K$1004,ABSORCION!$C$5:$C$1004,F362,ABSORCION!$I$5:$I$1004,"&gt;0")))</f>
        <v/>
      </c>
      <c r="AF362" s="20" t="str">
        <f aca="false">IF(AE362="","",IF(AE362&gt;=CONFIG!$E$21,CONFIG!$F$21,IF(AE362&gt;=CONFIG!$E$20,CONFIG!$F$20,CONFIG!$F$19)))</f>
        <v/>
      </c>
      <c r="AG362" s="21" t="str">
        <f aca="false">IF(F362="","",TRIM(IF(N(M362)=0,"Sin ensayos. ","")&amp;IF(AND(N(M362)&gt;0,N(M362)&lt;CONFIG!$B$26),"Menos de "&amp;CONFIG!$B$26&amp;" probetas. ","")&amp;IF(N(T362)&gt;CONFIG!$B$25,"CV alto. ","")&amp;IF(AND(N(AD362)&gt;0,N(AD362)&gt;N(AF362)),"Absorción alta. ","")))</f>
        <v/>
      </c>
      <c r="AH362" s="22" t="str">
        <f aca="false">IF(AND(N(M362)&gt;0,OR(CONTROL!$C$4="TODAS",C362=CONTROL!$C$4),D362=CONTROL!$C$5),MAX($AH$4:AH361)+1,"")</f>
        <v/>
      </c>
      <c r="AI362" s="22" t="str">
        <f aca="false">IF(AH362="","",P362^2)</f>
        <v/>
      </c>
    </row>
    <row r="363" customFormat="false" ht="15" hidden="false" customHeight="false" outlineLevel="0" collapsed="false">
      <c r="A363" s="11" t="str">
        <f aca="false">IF(B363="","",ROW()-4)</f>
        <v/>
      </c>
      <c r="B363" s="12"/>
      <c r="C363" s="13"/>
      <c r="D363" s="13"/>
      <c r="E363" s="13"/>
      <c r="F363" s="14" t="str">
        <f aca="false">IF(OR(B363="",C363="",D363=""),"",IFERROR(INDEX(CONFIG!$E$5:$E$14,MATCH(D363,CONFIG!$D$5:$D$14,0)),"?")&amp;RIGHT("0"&amp;DAY(B363),2)&amp;RIGHT("0"&amp;MONTH(B363),2)&amp;RIGHT(YEAR(B363),2)&amp;C363&amp;IF(E363="","","-"&amp;E363))</f>
        <v/>
      </c>
      <c r="G363" s="13"/>
      <c r="H363" s="13"/>
      <c r="I363" s="13"/>
      <c r="J363" s="13"/>
      <c r="K363" s="13"/>
      <c r="L363" s="13"/>
      <c r="M363" s="11" t="str">
        <f aca="false">IF(F363="","",COUNTIFS(ENSAYOS!$C$5:$C$3004,F363,ENSAYOS!$Q$5:$Q$3004,"&gt;0"))</f>
        <v/>
      </c>
      <c r="N363" s="15" t="str">
        <f aca="false">IF(N(M363)=0,"",_xlfn.MINIFS(ENSAYOS!$G$5:$G$3004,ENSAYOS!$C$5:$C$3004,F363,ENSAYOS!$Q$5:$Q$3004,"&gt;0"))</f>
        <v/>
      </c>
      <c r="O363" s="15" t="str">
        <f aca="false">IF(N(M363)=0,"",_xlfn.MAXIFS(ENSAYOS!$G$5:$G$3004,ENSAYOS!$C$5:$C$3004,F363,ENSAYOS!$Q$5:$Q$3004,"&gt;0"))</f>
        <v/>
      </c>
      <c r="P363" s="16" t="str">
        <f aca="false">IF(N(M363)=0,"",AVERAGEIFS(ENSAYOS!$Q$5:$Q$3004,ENSAYOS!$C$5:$C$3004,F363,ENSAYOS!$Q$5:$Q$3004,"&gt;0"))</f>
        <v/>
      </c>
      <c r="Q363" s="16" t="str">
        <f aca="false">IF(N(M363)=0,"",_xlfn.MINIFS(ENSAYOS!$Q$5:$Q$3004,ENSAYOS!$C$5:$C$3004,F363,ENSAYOS!$Q$5:$Q$3004,"&gt;0"))</f>
        <v/>
      </c>
      <c r="R363" s="16" t="str">
        <f aca="false">IF(N(M363)=0,"",_xlfn.MAXIFS(ENSAYOS!$Q$5:$Q$3004,ENSAYOS!$C$5:$C$3004,F363,ENSAYOS!$Q$5:$Q$3004,"&gt;0"))</f>
        <v/>
      </c>
      <c r="S363" s="16" t="str">
        <f aca="false">IF(N(M363)&lt;2,"",SQRT(MAX(0,(SUMIFS(ENSAYOS!$X$5:$X$3004,ENSAYOS!$C$5:$C$3004,F363,ENSAYOS!$Q$5:$Q$3004,"&gt;0")-M363*P363^2)/(M363-1))))</f>
        <v/>
      </c>
      <c r="T363" s="17" t="str">
        <f aca="false">IF(S363="","",S363/P363)</f>
        <v/>
      </c>
      <c r="U363" s="16" t="str">
        <f aca="false">IF(N(M363)=0,"",IF(N363&gt;=CONFIG!$B$27,"",AVERAGEIFS(ENSAYOS!$Q$5:$Q$3004,ENSAYOS!$C$5:$C$3004,F363,ENSAYOS!$Q$5:$Q$3004,"&gt;0",ENSAYOS!$G$5:$G$3004,N363)))</f>
        <v/>
      </c>
      <c r="V363" s="16" t="str">
        <f aca="false">IF(N(M363)=0,"",IF(COUNTIFS(ENSAYOS!$C$5:$C$3004,F363,ENSAYOS!$Q$5:$Q$3004,"&gt;0",ENSAYOS!$G$5:$G$3004,"&gt;="&amp;CONFIG!$B$27)=0,"",AVERAGEIFS(ENSAYOS!$Q$5:$Q$3004,ENSAYOS!$C$5:$C$3004,F363,ENSAYOS!$Q$5:$Q$3004,"&gt;0",ENSAYOS!$G$5:$G$3004,"&gt;="&amp;CONFIG!$B$27)))</f>
        <v/>
      </c>
      <c r="W363" s="18" t="str">
        <f aca="false">IF(AND(U363&lt;&gt;"",V363&lt;&gt;""),U363/V363,"")</f>
        <v/>
      </c>
      <c r="X363" s="18" t="str">
        <f aca="false">IF(U363="","",INDEX('CURVA EDAD'!$E$5:$E$32,MIN(28,MAX(1,N363))))</f>
        <v/>
      </c>
      <c r="Y363" s="16" t="str">
        <f aca="false">IF(V363&lt;&gt;"",V363,IF(U363="","",U363/X363))</f>
        <v/>
      </c>
      <c r="Z363" s="16" t="str">
        <f aca="false">IF(V363&lt;&gt;"",_xlfn.MINIFS(ENSAYOS!$Q$5:$Q$3004,ENSAYOS!$C$5:$C$3004,F363,ENSAYOS!$Q$5:$Q$3004,"&gt;0",ENSAYOS!$G$5:$G$3004,"&gt;="&amp;CONFIG!$B$27),IF(U363="","",_xlfn.MINIFS(ENSAYOS!$Q$5:$Q$3004,ENSAYOS!$C$5:$C$3004,F363,ENSAYOS!$Q$5:$Q$3004,"&gt;0",ENSAYOS!$G$5:$G$3004,N363)/X363))</f>
        <v/>
      </c>
      <c r="AA363" s="16" t="str">
        <f aca="false">IF(D363="","",IFERROR(1/(1/INDEX(CONFIG!$J$5:$J$14,MATCH(D363,CONFIG!$D$5:$D$14,0))),""))</f>
        <v/>
      </c>
      <c r="AB363" s="16" t="str">
        <f aca="false">IF(D363="","",IFERROR(1/(1/INDEX(CONFIG!$K$5:$K$14,MATCH(D363,CONFIG!$D$5:$D$14,0))),""))</f>
        <v/>
      </c>
      <c r="AC363" s="19" t="str">
        <f aca="false">IF(N(M363)=0,"",IF(AA363="","Sin spec",IF(AND(Y363&gt;=AA363,OR(AB363="",Z363&gt;=AB363)),"CUMPLE","NO CUMPLE")&amp;IF(V363=""," (est.)","")))</f>
        <v/>
      </c>
      <c r="AD363" s="20" t="str">
        <f aca="false">IF(F363="","",IF(COUNTIFS(ABSORCION!$C$5:$C$1004,F363,ABSORCION!$I$5:$I$1004,"&gt;0")=0,"",AVERAGEIFS(ABSORCION!$I$5:$I$1004,ABSORCION!$C$5:$C$1004,F363,ABSORCION!$I$5:$I$1004,"&gt;0")))</f>
        <v/>
      </c>
      <c r="AE363" s="20" t="str">
        <f aca="false">IF(F363="","",IF(COUNTIFS(ABSORCION!$C$5:$C$1004,F363,ABSORCION!$I$5:$I$1004,"&gt;0")=0,"",AVERAGEIFS(ABSORCION!$K$5:$K$1004,ABSORCION!$C$5:$C$1004,F363,ABSORCION!$I$5:$I$1004,"&gt;0")))</f>
        <v/>
      </c>
      <c r="AF363" s="20" t="str">
        <f aca="false">IF(AE363="","",IF(AE363&gt;=CONFIG!$E$21,CONFIG!$F$21,IF(AE363&gt;=CONFIG!$E$20,CONFIG!$F$20,CONFIG!$F$19)))</f>
        <v/>
      </c>
      <c r="AG363" s="21" t="str">
        <f aca="false">IF(F363="","",TRIM(IF(N(M363)=0,"Sin ensayos. ","")&amp;IF(AND(N(M363)&gt;0,N(M363)&lt;CONFIG!$B$26),"Menos de "&amp;CONFIG!$B$26&amp;" probetas. ","")&amp;IF(N(T363)&gt;CONFIG!$B$25,"CV alto. ","")&amp;IF(AND(N(AD363)&gt;0,N(AD363)&gt;N(AF363)),"Absorción alta. ","")))</f>
        <v/>
      </c>
      <c r="AH363" s="22" t="str">
        <f aca="false">IF(AND(N(M363)&gt;0,OR(CONTROL!$C$4="TODAS",C363=CONTROL!$C$4),D363=CONTROL!$C$5),MAX($AH$4:AH362)+1,"")</f>
        <v/>
      </c>
      <c r="AI363" s="22" t="str">
        <f aca="false">IF(AH363="","",P363^2)</f>
        <v/>
      </c>
    </row>
    <row r="364" customFormat="false" ht="15" hidden="false" customHeight="false" outlineLevel="0" collapsed="false">
      <c r="A364" s="11" t="str">
        <f aca="false">IF(B364="","",ROW()-4)</f>
        <v/>
      </c>
      <c r="B364" s="12"/>
      <c r="C364" s="13"/>
      <c r="D364" s="13"/>
      <c r="E364" s="13"/>
      <c r="F364" s="14" t="str">
        <f aca="false">IF(OR(B364="",C364="",D364=""),"",IFERROR(INDEX(CONFIG!$E$5:$E$14,MATCH(D364,CONFIG!$D$5:$D$14,0)),"?")&amp;RIGHT("0"&amp;DAY(B364),2)&amp;RIGHT("0"&amp;MONTH(B364),2)&amp;RIGHT(YEAR(B364),2)&amp;C364&amp;IF(E364="","","-"&amp;E364))</f>
        <v/>
      </c>
      <c r="G364" s="13"/>
      <c r="H364" s="13"/>
      <c r="I364" s="13"/>
      <c r="J364" s="13"/>
      <c r="K364" s="13"/>
      <c r="L364" s="13"/>
      <c r="M364" s="11" t="str">
        <f aca="false">IF(F364="","",COUNTIFS(ENSAYOS!$C$5:$C$3004,F364,ENSAYOS!$Q$5:$Q$3004,"&gt;0"))</f>
        <v/>
      </c>
      <c r="N364" s="15" t="str">
        <f aca="false">IF(N(M364)=0,"",_xlfn.MINIFS(ENSAYOS!$G$5:$G$3004,ENSAYOS!$C$5:$C$3004,F364,ENSAYOS!$Q$5:$Q$3004,"&gt;0"))</f>
        <v/>
      </c>
      <c r="O364" s="15" t="str">
        <f aca="false">IF(N(M364)=0,"",_xlfn.MAXIFS(ENSAYOS!$G$5:$G$3004,ENSAYOS!$C$5:$C$3004,F364,ENSAYOS!$Q$5:$Q$3004,"&gt;0"))</f>
        <v/>
      </c>
      <c r="P364" s="16" t="str">
        <f aca="false">IF(N(M364)=0,"",AVERAGEIFS(ENSAYOS!$Q$5:$Q$3004,ENSAYOS!$C$5:$C$3004,F364,ENSAYOS!$Q$5:$Q$3004,"&gt;0"))</f>
        <v/>
      </c>
      <c r="Q364" s="16" t="str">
        <f aca="false">IF(N(M364)=0,"",_xlfn.MINIFS(ENSAYOS!$Q$5:$Q$3004,ENSAYOS!$C$5:$C$3004,F364,ENSAYOS!$Q$5:$Q$3004,"&gt;0"))</f>
        <v/>
      </c>
      <c r="R364" s="16" t="str">
        <f aca="false">IF(N(M364)=0,"",_xlfn.MAXIFS(ENSAYOS!$Q$5:$Q$3004,ENSAYOS!$C$5:$C$3004,F364,ENSAYOS!$Q$5:$Q$3004,"&gt;0"))</f>
        <v/>
      </c>
      <c r="S364" s="16" t="str">
        <f aca="false">IF(N(M364)&lt;2,"",SQRT(MAX(0,(SUMIFS(ENSAYOS!$X$5:$X$3004,ENSAYOS!$C$5:$C$3004,F364,ENSAYOS!$Q$5:$Q$3004,"&gt;0")-M364*P364^2)/(M364-1))))</f>
        <v/>
      </c>
      <c r="T364" s="17" t="str">
        <f aca="false">IF(S364="","",S364/P364)</f>
        <v/>
      </c>
      <c r="U364" s="16" t="str">
        <f aca="false">IF(N(M364)=0,"",IF(N364&gt;=CONFIG!$B$27,"",AVERAGEIFS(ENSAYOS!$Q$5:$Q$3004,ENSAYOS!$C$5:$C$3004,F364,ENSAYOS!$Q$5:$Q$3004,"&gt;0",ENSAYOS!$G$5:$G$3004,N364)))</f>
        <v/>
      </c>
      <c r="V364" s="16" t="str">
        <f aca="false">IF(N(M364)=0,"",IF(COUNTIFS(ENSAYOS!$C$5:$C$3004,F364,ENSAYOS!$Q$5:$Q$3004,"&gt;0",ENSAYOS!$G$5:$G$3004,"&gt;="&amp;CONFIG!$B$27)=0,"",AVERAGEIFS(ENSAYOS!$Q$5:$Q$3004,ENSAYOS!$C$5:$C$3004,F364,ENSAYOS!$Q$5:$Q$3004,"&gt;0",ENSAYOS!$G$5:$G$3004,"&gt;="&amp;CONFIG!$B$27)))</f>
        <v/>
      </c>
      <c r="W364" s="18" t="str">
        <f aca="false">IF(AND(U364&lt;&gt;"",V364&lt;&gt;""),U364/V364,"")</f>
        <v/>
      </c>
      <c r="X364" s="18" t="str">
        <f aca="false">IF(U364="","",INDEX('CURVA EDAD'!$E$5:$E$32,MIN(28,MAX(1,N364))))</f>
        <v/>
      </c>
      <c r="Y364" s="16" t="str">
        <f aca="false">IF(V364&lt;&gt;"",V364,IF(U364="","",U364/X364))</f>
        <v/>
      </c>
      <c r="Z364" s="16" t="str">
        <f aca="false">IF(V364&lt;&gt;"",_xlfn.MINIFS(ENSAYOS!$Q$5:$Q$3004,ENSAYOS!$C$5:$C$3004,F364,ENSAYOS!$Q$5:$Q$3004,"&gt;0",ENSAYOS!$G$5:$G$3004,"&gt;="&amp;CONFIG!$B$27),IF(U364="","",_xlfn.MINIFS(ENSAYOS!$Q$5:$Q$3004,ENSAYOS!$C$5:$C$3004,F364,ENSAYOS!$Q$5:$Q$3004,"&gt;0",ENSAYOS!$G$5:$G$3004,N364)/X364))</f>
        <v/>
      </c>
      <c r="AA364" s="16" t="str">
        <f aca="false">IF(D364="","",IFERROR(1/(1/INDEX(CONFIG!$J$5:$J$14,MATCH(D364,CONFIG!$D$5:$D$14,0))),""))</f>
        <v/>
      </c>
      <c r="AB364" s="16" t="str">
        <f aca="false">IF(D364="","",IFERROR(1/(1/INDEX(CONFIG!$K$5:$K$14,MATCH(D364,CONFIG!$D$5:$D$14,0))),""))</f>
        <v/>
      </c>
      <c r="AC364" s="19" t="str">
        <f aca="false">IF(N(M364)=0,"",IF(AA364="","Sin spec",IF(AND(Y364&gt;=AA364,OR(AB364="",Z364&gt;=AB364)),"CUMPLE","NO CUMPLE")&amp;IF(V364=""," (est.)","")))</f>
        <v/>
      </c>
      <c r="AD364" s="20" t="str">
        <f aca="false">IF(F364="","",IF(COUNTIFS(ABSORCION!$C$5:$C$1004,F364,ABSORCION!$I$5:$I$1004,"&gt;0")=0,"",AVERAGEIFS(ABSORCION!$I$5:$I$1004,ABSORCION!$C$5:$C$1004,F364,ABSORCION!$I$5:$I$1004,"&gt;0")))</f>
        <v/>
      </c>
      <c r="AE364" s="20" t="str">
        <f aca="false">IF(F364="","",IF(COUNTIFS(ABSORCION!$C$5:$C$1004,F364,ABSORCION!$I$5:$I$1004,"&gt;0")=0,"",AVERAGEIFS(ABSORCION!$K$5:$K$1004,ABSORCION!$C$5:$C$1004,F364,ABSORCION!$I$5:$I$1004,"&gt;0")))</f>
        <v/>
      </c>
      <c r="AF364" s="20" t="str">
        <f aca="false">IF(AE364="","",IF(AE364&gt;=CONFIG!$E$21,CONFIG!$F$21,IF(AE364&gt;=CONFIG!$E$20,CONFIG!$F$20,CONFIG!$F$19)))</f>
        <v/>
      </c>
      <c r="AG364" s="21" t="str">
        <f aca="false">IF(F364="","",TRIM(IF(N(M364)=0,"Sin ensayos. ","")&amp;IF(AND(N(M364)&gt;0,N(M364)&lt;CONFIG!$B$26),"Menos de "&amp;CONFIG!$B$26&amp;" probetas. ","")&amp;IF(N(T364)&gt;CONFIG!$B$25,"CV alto. ","")&amp;IF(AND(N(AD364)&gt;0,N(AD364)&gt;N(AF364)),"Absorción alta. ","")))</f>
        <v/>
      </c>
      <c r="AH364" s="22" t="str">
        <f aca="false">IF(AND(N(M364)&gt;0,OR(CONTROL!$C$4="TODAS",C364=CONTROL!$C$4),D364=CONTROL!$C$5),MAX($AH$4:AH363)+1,"")</f>
        <v/>
      </c>
      <c r="AI364" s="22" t="str">
        <f aca="false">IF(AH364="","",P364^2)</f>
        <v/>
      </c>
    </row>
    <row r="365" customFormat="false" ht="15" hidden="false" customHeight="false" outlineLevel="0" collapsed="false">
      <c r="A365" s="11" t="str">
        <f aca="false">IF(B365="","",ROW()-4)</f>
        <v/>
      </c>
      <c r="B365" s="12"/>
      <c r="C365" s="13"/>
      <c r="D365" s="13"/>
      <c r="E365" s="13"/>
      <c r="F365" s="14" t="str">
        <f aca="false">IF(OR(B365="",C365="",D365=""),"",IFERROR(INDEX(CONFIG!$E$5:$E$14,MATCH(D365,CONFIG!$D$5:$D$14,0)),"?")&amp;RIGHT("0"&amp;DAY(B365),2)&amp;RIGHT("0"&amp;MONTH(B365),2)&amp;RIGHT(YEAR(B365),2)&amp;C365&amp;IF(E365="","","-"&amp;E365))</f>
        <v/>
      </c>
      <c r="G365" s="13"/>
      <c r="H365" s="13"/>
      <c r="I365" s="13"/>
      <c r="J365" s="13"/>
      <c r="K365" s="13"/>
      <c r="L365" s="13"/>
      <c r="M365" s="11" t="str">
        <f aca="false">IF(F365="","",COUNTIFS(ENSAYOS!$C$5:$C$3004,F365,ENSAYOS!$Q$5:$Q$3004,"&gt;0"))</f>
        <v/>
      </c>
      <c r="N365" s="15" t="str">
        <f aca="false">IF(N(M365)=0,"",_xlfn.MINIFS(ENSAYOS!$G$5:$G$3004,ENSAYOS!$C$5:$C$3004,F365,ENSAYOS!$Q$5:$Q$3004,"&gt;0"))</f>
        <v/>
      </c>
      <c r="O365" s="15" t="str">
        <f aca="false">IF(N(M365)=0,"",_xlfn.MAXIFS(ENSAYOS!$G$5:$G$3004,ENSAYOS!$C$5:$C$3004,F365,ENSAYOS!$Q$5:$Q$3004,"&gt;0"))</f>
        <v/>
      </c>
      <c r="P365" s="16" t="str">
        <f aca="false">IF(N(M365)=0,"",AVERAGEIFS(ENSAYOS!$Q$5:$Q$3004,ENSAYOS!$C$5:$C$3004,F365,ENSAYOS!$Q$5:$Q$3004,"&gt;0"))</f>
        <v/>
      </c>
      <c r="Q365" s="16" t="str">
        <f aca="false">IF(N(M365)=0,"",_xlfn.MINIFS(ENSAYOS!$Q$5:$Q$3004,ENSAYOS!$C$5:$C$3004,F365,ENSAYOS!$Q$5:$Q$3004,"&gt;0"))</f>
        <v/>
      </c>
      <c r="R365" s="16" t="str">
        <f aca="false">IF(N(M365)=0,"",_xlfn.MAXIFS(ENSAYOS!$Q$5:$Q$3004,ENSAYOS!$C$5:$C$3004,F365,ENSAYOS!$Q$5:$Q$3004,"&gt;0"))</f>
        <v/>
      </c>
      <c r="S365" s="16" t="str">
        <f aca="false">IF(N(M365)&lt;2,"",SQRT(MAX(0,(SUMIFS(ENSAYOS!$X$5:$X$3004,ENSAYOS!$C$5:$C$3004,F365,ENSAYOS!$Q$5:$Q$3004,"&gt;0")-M365*P365^2)/(M365-1))))</f>
        <v/>
      </c>
      <c r="T365" s="17" t="str">
        <f aca="false">IF(S365="","",S365/P365)</f>
        <v/>
      </c>
      <c r="U365" s="16" t="str">
        <f aca="false">IF(N(M365)=0,"",IF(N365&gt;=CONFIG!$B$27,"",AVERAGEIFS(ENSAYOS!$Q$5:$Q$3004,ENSAYOS!$C$5:$C$3004,F365,ENSAYOS!$Q$5:$Q$3004,"&gt;0",ENSAYOS!$G$5:$G$3004,N365)))</f>
        <v/>
      </c>
      <c r="V365" s="16" t="str">
        <f aca="false">IF(N(M365)=0,"",IF(COUNTIFS(ENSAYOS!$C$5:$C$3004,F365,ENSAYOS!$Q$5:$Q$3004,"&gt;0",ENSAYOS!$G$5:$G$3004,"&gt;="&amp;CONFIG!$B$27)=0,"",AVERAGEIFS(ENSAYOS!$Q$5:$Q$3004,ENSAYOS!$C$5:$C$3004,F365,ENSAYOS!$Q$5:$Q$3004,"&gt;0",ENSAYOS!$G$5:$G$3004,"&gt;="&amp;CONFIG!$B$27)))</f>
        <v/>
      </c>
      <c r="W365" s="18" t="str">
        <f aca="false">IF(AND(U365&lt;&gt;"",V365&lt;&gt;""),U365/V365,"")</f>
        <v/>
      </c>
      <c r="X365" s="18" t="str">
        <f aca="false">IF(U365="","",INDEX('CURVA EDAD'!$E$5:$E$32,MIN(28,MAX(1,N365))))</f>
        <v/>
      </c>
      <c r="Y365" s="16" t="str">
        <f aca="false">IF(V365&lt;&gt;"",V365,IF(U365="","",U365/X365))</f>
        <v/>
      </c>
      <c r="Z365" s="16" t="str">
        <f aca="false">IF(V365&lt;&gt;"",_xlfn.MINIFS(ENSAYOS!$Q$5:$Q$3004,ENSAYOS!$C$5:$C$3004,F365,ENSAYOS!$Q$5:$Q$3004,"&gt;0",ENSAYOS!$G$5:$G$3004,"&gt;="&amp;CONFIG!$B$27),IF(U365="","",_xlfn.MINIFS(ENSAYOS!$Q$5:$Q$3004,ENSAYOS!$C$5:$C$3004,F365,ENSAYOS!$Q$5:$Q$3004,"&gt;0",ENSAYOS!$G$5:$G$3004,N365)/X365))</f>
        <v/>
      </c>
      <c r="AA365" s="16" t="str">
        <f aca="false">IF(D365="","",IFERROR(1/(1/INDEX(CONFIG!$J$5:$J$14,MATCH(D365,CONFIG!$D$5:$D$14,0))),""))</f>
        <v/>
      </c>
      <c r="AB365" s="16" t="str">
        <f aca="false">IF(D365="","",IFERROR(1/(1/INDEX(CONFIG!$K$5:$K$14,MATCH(D365,CONFIG!$D$5:$D$14,0))),""))</f>
        <v/>
      </c>
      <c r="AC365" s="19" t="str">
        <f aca="false">IF(N(M365)=0,"",IF(AA365="","Sin spec",IF(AND(Y365&gt;=AA365,OR(AB365="",Z365&gt;=AB365)),"CUMPLE","NO CUMPLE")&amp;IF(V365=""," (est.)","")))</f>
        <v/>
      </c>
      <c r="AD365" s="20" t="str">
        <f aca="false">IF(F365="","",IF(COUNTIFS(ABSORCION!$C$5:$C$1004,F365,ABSORCION!$I$5:$I$1004,"&gt;0")=0,"",AVERAGEIFS(ABSORCION!$I$5:$I$1004,ABSORCION!$C$5:$C$1004,F365,ABSORCION!$I$5:$I$1004,"&gt;0")))</f>
        <v/>
      </c>
      <c r="AE365" s="20" t="str">
        <f aca="false">IF(F365="","",IF(COUNTIFS(ABSORCION!$C$5:$C$1004,F365,ABSORCION!$I$5:$I$1004,"&gt;0")=0,"",AVERAGEIFS(ABSORCION!$K$5:$K$1004,ABSORCION!$C$5:$C$1004,F365,ABSORCION!$I$5:$I$1004,"&gt;0")))</f>
        <v/>
      </c>
      <c r="AF365" s="20" t="str">
        <f aca="false">IF(AE365="","",IF(AE365&gt;=CONFIG!$E$21,CONFIG!$F$21,IF(AE365&gt;=CONFIG!$E$20,CONFIG!$F$20,CONFIG!$F$19)))</f>
        <v/>
      </c>
      <c r="AG365" s="21" t="str">
        <f aca="false">IF(F365="","",TRIM(IF(N(M365)=0,"Sin ensayos. ","")&amp;IF(AND(N(M365)&gt;0,N(M365)&lt;CONFIG!$B$26),"Menos de "&amp;CONFIG!$B$26&amp;" probetas. ","")&amp;IF(N(T365)&gt;CONFIG!$B$25,"CV alto. ","")&amp;IF(AND(N(AD365)&gt;0,N(AD365)&gt;N(AF365)),"Absorción alta. ","")))</f>
        <v/>
      </c>
      <c r="AH365" s="22" t="str">
        <f aca="false">IF(AND(N(M365)&gt;0,OR(CONTROL!$C$4="TODAS",C365=CONTROL!$C$4),D365=CONTROL!$C$5),MAX($AH$4:AH364)+1,"")</f>
        <v/>
      </c>
      <c r="AI365" s="22" t="str">
        <f aca="false">IF(AH365="","",P365^2)</f>
        <v/>
      </c>
    </row>
    <row r="366" customFormat="false" ht="15" hidden="false" customHeight="false" outlineLevel="0" collapsed="false">
      <c r="A366" s="11" t="str">
        <f aca="false">IF(B366="","",ROW()-4)</f>
        <v/>
      </c>
      <c r="B366" s="12"/>
      <c r="C366" s="13"/>
      <c r="D366" s="13"/>
      <c r="E366" s="13"/>
      <c r="F366" s="14" t="str">
        <f aca="false">IF(OR(B366="",C366="",D366=""),"",IFERROR(INDEX(CONFIG!$E$5:$E$14,MATCH(D366,CONFIG!$D$5:$D$14,0)),"?")&amp;RIGHT("0"&amp;DAY(B366),2)&amp;RIGHT("0"&amp;MONTH(B366),2)&amp;RIGHT(YEAR(B366),2)&amp;C366&amp;IF(E366="","","-"&amp;E366))</f>
        <v/>
      </c>
      <c r="G366" s="13"/>
      <c r="H366" s="13"/>
      <c r="I366" s="13"/>
      <c r="J366" s="13"/>
      <c r="K366" s="13"/>
      <c r="L366" s="13"/>
      <c r="M366" s="11" t="str">
        <f aca="false">IF(F366="","",COUNTIFS(ENSAYOS!$C$5:$C$3004,F366,ENSAYOS!$Q$5:$Q$3004,"&gt;0"))</f>
        <v/>
      </c>
      <c r="N366" s="15" t="str">
        <f aca="false">IF(N(M366)=0,"",_xlfn.MINIFS(ENSAYOS!$G$5:$G$3004,ENSAYOS!$C$5:$C$3004,F366,ENSAYOS!$Q$5:$Q$3004,"&gt;0"))</f>
        <v/>
      </c>
      <c r="O366" s="15" t="str">
        <f aca="false">IF(N(M366)=0,"",_xlfn.MAXIFS(ENSAYOS!$G$5:$G$3004,ENSAYOS!$C$5:$C$3004,F366,ENSAYOS!$Q$5:$Q$3004,"&gt;0"))</f>
        <v/>
      </c>
      <c r="P366" s="16" t="str">
        <f aca="false">IF(N(M366)=0,"",AVERAGEIFS(ENSAYOS!$Q$5:$Q$3004,ENSAYOS!$C$5:$C$3004,F366,ENSAYOS!$Q$5:$Q$3004,"&gt;0"))</f>
        <v/>
      </c>
      <c r="Q366" s="16" t="str">
        <f aca="false">IF(N(M366)=0,"",_xlfn.MINIFS(ENSAYOS!$Q$5:$Q$3004,ENSAYOS!$C$5:$C$3004,F366,ENSAYOS!$Q$5:$Q$3004,"&gt;0"))</f>
        <v/>
      </c>
      <c r="R366" s="16" t="str">
        <f aca="false">IF(N(M366)=0,"",_xlfn.MAXIFS(ENSAYOS!$Q$5:$Q$3004,ENSAYOS!$C$5:$C$3004,F366,ENSAYOS!$Q$5:$Q$3004,"&gt;0"))</f>
        <v/>
      </c>
      <c r="S366" s="16" t="str">
        <f aca="false">IF(N(M366)&lt;2,"",SQRT(MAX(0,(SUMIFS(ENSAYOS!$X$5:$X$3004,ENSAYOS!$C$5:$C$3004,F366,ENSAYOS!$Q$5:$Q$3004,"&gt;0")-M366*P366^2)/(M366-1))))</f>
        <v/>
      </c>
      <c r="T366" s="17" t="str">
        <f aca="false">IF(S366="","",S366/P366)</f>
        <v/>
      </c>
      <c r="U366" s="16" t="str">
        <f aca="false">IF(N(M366)=0,"",IF(N366&gt;=CONFIG!$B$27,"",AVERAGEIFS(ENSAYOS!$Q$5:$Q$3004,ENSAYOS!$C$5:$C$3004,F366,ENSAYOS!$Q$5:$Q$3004,"&gt;0",ENSAYOS!$G$5:$G$3004,N366)))</f>
        <v/>
      </c>
      <c r="V366" s="16" t="str">
        <f aca="false">IF(N(M366)=0,"",IF(COUNTIFS(ENSAYOS!$C$5:$C$3004,F366,ENSAYOS!$Q$5:$Q$3004,"&gt;0",ENSAYOS!$G$5:$G$3004,"&gt;="&amp;CONFIG!$B$27)=0,"",AVERAGEIFS(ENSAYOS!$Q$5:$Q$3004,ENSAYOS!$C$5:$C$3004,F366,ENSAYOS!$Q$5:$Q$3004,"&gt;0",ENSAYOS!$G$5:$G$3004,"&gt;="&amp;CONFIG!$B$27)))</f>
        <v/>
      </c>
      <c r="W366" s="18" t="str">
        <f aca="false">IF(AND(U366&lt;&gt;"",V366&lt;&gt;""),U366/V366,"")</f>
        <v/>
      </c>
      <c r="X366" s="18" t="str">
        <f aca="false">IF(U366="","",INDEX('CURVA EDAD'!$E$5:$E$32,MIN(28,MAX(1,N366))))</f>
        <v/>
      </c>
      <c r="Y366" s="16" t="str">
        <f aca="false">IF(V366&lt;&gt;"",V366,IF(U366="","",U366/X366))</f>
        <v/>
      </c>
      <c r="Z366" s="16" t="str">
        <f aca="false">IF(V366&lt;&gt;"",_xlfn.MINIFS(ENSAYOS!$Q$5:$Q$3004,ENSAYOS!$C$5:$C$3004,F366,ENSAYOS!$Q$5:$Q$3004,"&gt;0",ENSAYOS!$G$5:$G$3004,"&gt;="&amp;CONFIG!$B$27),IF(U366="","",_xlfn.MINIFS(ENSAYOS!$Q$5:$Q$3004,ENSAYOS!$C$5:$C$3004,F366,ENSAYOS!$Q$5:$Q$3004,"&gt;0",ENSAYOS!$G$5:$G$3004,N366)/X366))</f>
        <v/>
      </c>
      <c r="AA366" s="16" t="str">
        <f aca="false">IF(D366="","",IFERROR(1/(1/INDEX(CONFIG!$J$5:$J$14,MATCH(D366,CONFIG!$D$5:$D$14,0))),""))</f>
        <v/>
      </c>
      <c r="AB366" s="16" t="str">
        <f aca="false">IF(D366="","",IFERROR(1/(1/INDEX(CONFIG!$K$5:$K$14,MATCH(D366,CONFIG!$D$5:$D$14,0))),""))</f>
        <v/>
      </c>
      <c r="AC366" s="19" t="str">
        <f aca="false">IF(N(M366)=0,"",IF(AA366="","Sin spec",IF(AND(Y366&gt;=AA366,OR(AB366="",Z366&gt;=AB366)),"CUMPLE","NO CUMPLE")&amp;IF(V366=""," (est.)","")))</f>
        <v/>
      </c>
      <c r="AD366" s="20" t="str">
        <f aca="false">IF(F366="","",IF(COUNTIFS(ABSORCION!$C$5:$C$1004,F366,ABSORCION!$I$5:$I$1004,"&gt;0")=0,"",AVERAGEIFS(ABSORCION!$I$5:$I$1004,ABSORCION!$C$5:$C$1004,F366,ABSORCION!$I$5:$I$1004,"&gt;0")))</f>
        <v/>
      </c>
      <c r="AE366" s="20" t="str">
        <f aca="false">IF(F366="","",IF(COUNTIFS(ABSORCION!$C$5:$C$1004,F366,ABSORCION!$I$5:$I$1004,"&gt;0")=0,"",AVERAGEIFS(ABSORCION!$K$5:$K$1004,ABSORCION!$C$5:$C$1004,F366,ABSORCION!$I$5:$I$1004,"&gt;0")))</f>
        <v/>
      </c>
      <c r="AF366" s="20" t="str">
        <f aca="false">IF(AE366="","",IF(AE366&gt;=CONFIG!$E$21,CONFIG!$F$21,IF(AE366&gt;=CONFIG!$E$20,CONFIG!$F$20,CONFIG!$F$19)))</f>
        <v/>
      </c>
      <c r="AG366" s="21" t="str">
        <f aca="false">IF(F366="","",TRIM(IF(N(M366)=0,"Sin ensayos. ","")&amp;IF(AND(N(M366)&gt;0,N(M366)&lt;CONFIG!$B$26),"Menos de "&amp;CONFIG!$B$26&amp;" probetas. ","")&amp;IF(N(T366)&gt;CONFIG!$B$25,"CV alto. ","")&amp;IF(AND(N(AD366)&gt;0,N(AD366)&gt;N(AF366)),"Absorción alta. ","")))</f>
        <v/>
      </c>
      <c r="AH366" s="22" t="str">
        <f aca="false">IF(AND(N(M366)&gt;0,OR(CONTROL!$C$4="TODAS",C366=CONTROL!$C$4),D366=CONTROL!$C$5),MAX($AH$4:AH365)+1,"")</f>
        <v/>
      </c>
      <c r="AI366" s="22" t="str">
        <f aca="false">IF(AH366="","",P366^2)</f>
        <v/>
      </c>
    </row>
    <row r="367" customFormat="false" ht="15" hidden="false" customHeight="false" outlineLevel="0" collapsed="false">
      <c r="A367" s="11" t="str">
        <f aca="false">IF(B367="","",ROW()-4)</f>
        <v/>
      </c>
      <c r="B367" s="12"/>
      <c r="C367" s="13"/>
      <c r="D367" s="13"/>
      <c r="E367" s="13"/>
      <c r="F367" s="14" t="str">
        <f aca="false">IF(OR(B367="",C367="",D367=""),"",IFERROR(INDEX(CONFIG!$E$5:$E$14,MATCH(D367,CONFIG!$D$5:$D$14,0)),"?")&amp;RIGHT("0"&amp;DAY(B367),2)&amp;RIGHT("0"&amp;MONTH(B367),2)&amp;RIGHT(YEAR(B367),2)&amp;C367&amp;IF(E367="","","-"&amp;E367))</f>
        <v/>
      </c>
      <c r="G367" s="13"/>
      <c r="H367" s="13"/>
      <c r="I367" s="13"/>
      <c r="J367" s="13"/>
      <c r="K367" s="13"/>
      <c r="L367" s="13"/>
      <c r="M367" s="11" t="str">
        <f aca="false">IF(F367="","",COUNTIFS(ENSAYOS!$C$5:$C$3004,F367,ENSAYOS!$Q$5:$Q$3004,"&gt;0"))</f>
        <v/>
      </c>
      <c r="N367" s="15" t="str">
        <f aca="false">IF(N(M367)=0,"",_xlfn.MINIFS(ENSAYOS!$G$5:$G$3004,ENSAYOS!$C$5:$C$3004,F367,ENSAYOS!$Q$5:$Q$3004,"&gt;0"))</f>
        <v/>
      </c>
      <c r="O367" s="15" t="str">
        <f aca="false">IF(N(M367)=0,"",_xlfn.MAXIFS(ENSAYOS!$G$5:$G$3004,ENSAYOS!$C$5:$C$3004,F367,ENSAYOS!$Q$5:$Q$3004,"&gt;0"))</f>
        <v/>
      </c>
      <c r="P367" s="16" t="str">
        <f aca="false">IF(N(M367)=0,"",AVERAGEIFS(ENSAYOS!$Q$5:$Q$3004,ENSAYOS!$C$5:$C$3004,F367,ENSAYOS!$Q$5:$Q$3004,"&gt;0"))</f>
        <v/>
      </c>
      <c r="Q367" s="16" t="str">
        <f aca="false">IF(N(M367)=0,"",_xlfn.MINIFS(ENSAYOS!$Q$5:$Q$3004,ENSAYOS!$C$5:$C$3004,F367,ENSAYOS!$Q$5:$Q$3004,"&gt;0"))</f>
        <v/>
      </c>
      <c r="R367" s="16" t="str">
        <f aca="false">IF(N(M367)=0,"",_xlfn.MAXIFS(ENSAYOS!$Q$5:$Q$3004,ENSAYOS!$C$5:$C$3004,F367,ENSAYOS!$Q$5:$Q$3004,"&gt;0"))</f>
        <v/>
      </c>
      <c r="S367" s="16" t="str">
        <f aca="false">IF(N(M367)&lt;2,"",SQRT(MAX(0,(SUMIFS(ENSAYOS!$X$5:$X$3004,ENSAYOS!$C$5:$C$3004,F367,ENSAYOS!$Q$5:$Q$3004,"&gt;0")-M367*P367^2)/(M367-1))))</f>
        <v/>
      </c>
      <c r="T367" s="17" t="str">
        <f aca="false">IF(S367="","",S367/P367)</f>
        <v/>
      </c>
      <c r="U367" s="16" t="str">
        <f aca="false">IF(N(M367)=0,"",IF(N367&gt;=CONFIG!$B$27,"",AVERAGEIFS(ENSAYOS!$Q$5:$Q$3004,ENSAYOS!$C$5:$C$3004,F367,ENSAYOS!$Q$5:$Q$3004,"&gt;0",ENSAYOS!$G$5:$G$3004,N367)))</f>
        <v/>
      </c>
      <c r="V367" s="16" t="str">
        <f aca="false">IF(N(M367)=0,"",IF(COUNTIFS(ENSAYOS!$C$5:$C$3004,F367,ENSAYOS!$Q$5:$Q$3004,"&gt;0",ENSAYOS!$G$5:$G$3004,"&gt;="&amp;CONFIG!$B$27)=0,"",AVERAGEIFS(ENSAYOS!$Q$5:$Q$3004,ENSAYOS!$C$5:$C$3004,F367,ENSAYOS!$Q$5:$Q$3004,"&gt;0",ENSAYOS!$G$5:$G$3004,"&gt;="&amp;CONFIG!$B$27)))</f>
        <v/>
      </c>
      <c r="W367" s="18" t="str">
        <f aca="false">IF(AND(U367&lt;&gt;"",V367&lt;&gt;""),U367/V367,"")</f>
        <v/>
      </c>
      <c r="X367" s="18" t="str">
        <f aca="false">IF(U367="","",INDEX('CURVA EDAD'!$E$5:$E$32,MIN(28,MAX(1,N367))))</f>
        <v/>
      </c>
      <c r="Y367" s="16" t="str">
        <f aca="false">IF(V367&lt;&gt;"",V367,IF(U367="","",U367/X367))</f>
        <v/>
      </c>
      <c r="Z367" s="16" t="str">
        <f aca="false">IF(V367&lt;&gt;"",_xlfn.MINIFS(ENSAYOS!$Q$5:$Q$3004,ENSAYOS!$C$5:$C$3004,F367,ENSAYOS!$Q$5:$Q$3004,"&gt;0",ENSAYOS!$G$5:$G$3004,"&gt;="&amp;CONFIG!$B$27),IF(U367="","",_xlfn.MINIFS(ENSAYOS!$Q$5:$Q$3004,ENSAYOS!$C$5:$C$3004,F367,ENSAYOS!$Q$5:$Q$3004,"&gt;0",ENSAYOS!$G$5:$G$3004,N367)/X367))</f>
        <v/>
      </c>
      <c r="AA367" s="16" t="str">
        <f aca="false">IF(D367="","",IFERROR(1/(1/INDEX(CONFIG!$J$5:$J$14,MATCH(D367,CONFIG!$D$5:$D$14,0))),""))</f>
        <v/>
      </c>
      <c r="AB367" s="16" t="str">
        <f aca="false">IF(D367="","",IFERROR(1/(1/INDEX(CONFIG!$K$5:$K$14,MATCH(D367,CONFIG!$D$5:$D$14,0))),""))</f>
        <v/>
      </c>
      <c r="AC367" s="19" t="str">
        <f aca="false">IF(N(M367)=0,"",IF(AA367="","Sin spec",IF(AND(Y367&gt;=AA367,OR(AB367="",Z367&gt;=AB367)),"CUMPLE","NO CUMPLE")&amp;IF(V367=""," (est.)","")))</f>
        <v/>
      </c>
      <c r="AD367" s="20" t="str">
        <f aca="false">IF(F367="","",IF(COUNTIFS(ABSORCION!$C$5:$C$1004,F367,ABSORCION!$I$5:$I$1004,"&gt;0")=0,"",AVERAGEIFS(ABSORCION!$I$5:$I$1004,ABSORCION!$C$5:$C$1004,F367,ABSORCION!$I$5:$I$1004,"&gt;0")))</f>
        <v/>
      </c>
      <c r="AE367" s="20" t="str">
        <f aca="false">IF(F367="","",IF(COUNTIFS(ABSORCION!$C$5:$C$1004,F367,ABSORCION!$I$5:$I$1004,"&gt;0")=0,"",AVERAGEIFS(ABSORCION!$K$5:$K$1004,ABSORCION!$C$5:$C$1004,F367,ABSORCION!$I$5:$I$1004,"&gt;0")))</f>
        <v/>
      </c>
      <c r="AF367" s="20" t="str">
        <f aca="false">IF(AE367="","",IF(AE367&gt;=CONFIG!$E$21,CONFIG!$F$21,IF(AE367&gt;=CONFIG!$E$20,CONFIG!$F$20,CONFIG!$F$19)))</f>
        <v/>
      </c>
      <c r="AG367" s="21" t="str">
        <f aca="false">IF(F367="","",TRIM(IF(N(M367)=0,"Sin ensayos. ","")&amp;IF(AND(N(M367)&gt;0,N(M367)&lt;CONFIG!$B$26),"Menos de "&amp;CONFIG!$B$26&amp;" probetas. ","")&amp;IF(N(T367)&gt;CONFIG!$B$25,"CV alto. ","")&amp;IF(AND(N(AD367)&gt;0,N(AD367)&gt;N(AF367)),"Absorción alta. ","")))</f>
        <v/>
      </c>
      <c r="AH367" s="22" t="str">
        <f aca="false">IF(AND(N(M367)&gt;0,OR(CONTROL!$C$4="TODAS",C367=CONTROL!$C$4),D367=CONTROL!$C$5),MAX($AH$4:AH366)+1,"")</f>
        <v/>
      </c>
      <c r="AI367" s="22" t="str">
        <f aca="false">IF(AH367="","",P367^2)</f>
        <v/>
      </c>
    </row>
    <row r="368" customFormat="false" ht="15" hidden="false" customHeight="false" outlineLevel="0" collapsed="false">
      <c r="A368" s="11" t="str">
        <f aca="false">IF(B368="","",ROW()-4)</f>
        <v/>
      </c>
      <c r="B368" s="12"/>
      <c r="C368" s="13"/>
      <c r="D368" s="13"/>
      <c r="E368" s="13"/>
      <c r="F368" s="14" t="str">
        <f aca="false">IF(OR(B368="",C368="",D368=""),"",IFERROR(INDEX(CONFIG!$E$5:$E$14,MATCH(D368,CONFIG!$D$5:$D$14,0)),"?")&amp;RIGHT("0"&amp;DAY(B368),2)&amp;RIGHT("0"&amp;MONTH(B368),2)&amp;RIGHT(YEAR(B368),2)&amp;C368&amp;IF(E368="","","-"&amp;E368))</f>
        <v/>
      </c>
      <c r="G368" s="13"/>
      <c r="H368" s="13"/>
      <c r="I368" s="13"/>
      <c r="J368" s="13"/>
      <c r="K368" s="13"/>
      <c r="L368" s="13"/>
      <c r="M368" s="11" t="str">
        <f aca="false">IF(F368="","",COUNTIFS(ENSAYOS!$C$5:$C$3004,F368,ENSAYOS!$Q$5:$Q$3004,"&gt;0"))</f>
        <v/>
      </c>
      <c r="N368" s="15" t="str">
        <f aca="false">IF(N(M368)=0,"",_xlfn.MINIFS(ENSAYOS!$G$5:$G$3004,ENSAYOS!$C$5:$C$3004,F368,ENSAYOS!$Q$5:$Q$3004,"&gt;0"))</f>
        <v/>
      </c>
      <c r="O368" s="15" t="str">
        <f aca="false">IF(N(M368)=0,"",_xlfn.MAXIFS(ENSAYOS!$G$5:$G$3004,ENSAYOS!$C$5:$C$3004,F368,ENSAYOS!$Q$5:$Q$3004,"&gt;0"))</f>
        <v/>
      </c>
      <c r="P368" s="16" t="str">
        <f aca="false">IF(N(M368)=0,"",AVERAGEIFS(ENSAYOS!$Q$5:$Q$3004,ENSAYOS!$C$5:$C$3004,F368,ENSAYOS!$Q$5:$Q$3004,"&gt;0"))</f>
        <v/>
      </c>
      <c r="Q368" s="16" t="str">
        <f aca="false">IF(N(M368)=0,"",_xlfn.MINIFS(ENSAYOS!$Q$5:$Q$3004,ENSAYOS!$C$5:$C$3004,F368,ENSAYOS!$Q$5:$Q$3004,"&gt;0"))</f>
        <v/>
      </c>
      <c r="R368" s="16" t="str">
        <f aca="false">IF(N(M368)=0,"",_xlfn.MAXIFS(ENSAYOS!$Q$5:$Q$3004,ENSAYOS!$C$5:$C$3004,F368,ENSAYOS!$Q$5:$Q$3004,"&gt;0"))</f>
        <v/>
      </c>
      <c r="S368" s="16" t="str">
        <f aca="false">IF(N(M368)&lt;2,"",SQRT(MAX(0,(SUMIFS(ENSAYOS!$X$5:$X$3004,ENSAYOS!$C$5:$C$3004,F368,ENSAYOS!$Q$5:$Q$3004,"&gt;0")-M368*P368^2)/(M368-1))))</f>
        <v/>
      </c>
      <c r="T368" s="17" t="str">
        <f aca="false">IF(S368="","",S368/P368)</f>
        <v/>
      </c>
      <c r="U368" s="16" t="str">
        <f aca="false">IF(N(M368)=0,"",IF(N368&gt;=CONFIG!$B$27,"",AVERAGEIFS(ENSAYOS!$Q$5:$Q$3004,ENSAYOS!$C$5:$C$3004,F368,ENSAYOS!$Q$5:$Q$3004,"&gt;0",ENSAYOS!$G$5:$G$3004,N368)))</f>
        <v/>
      </c>
      <c r="V368" s="16" t="str">
        <f aca="false">IF(N(M368)=0,"",IF(COUNTIFS(ENSAYOS!$C$5:$C$3004,F368,ENSAYOS!$Q$5:$Q$3004,"&gt;0",ENSAYOS!$G$5:$G$3004,"&gt;="&amp;CONFIG!$B$27)=0,"",AVERAGEIFS(ENSAYOS!$Q$5:$Q$3004,ENSAYOS!$C$5:$C$3004,F368,ENSAYOS!$Q$5:$Q$3004,"&gt;0",ENSAYOS!$G$5:$G$3004,"&gt;="&amp;CONFIG!$B$27)))</f>
        <v/>
      </c>
      <c r="W368" s="18" t="str">
        <f aca="false">IF(AND(U368&lt;&gt;"",V368&lt;&gt;""),U368/V368,"")</f>
        <v/>
      </c>
      <c r="X368" s="18" t="str">
        <f aca="false">IF(U368="","",INDEX('CURVA EDAD'!$E$5:$E$32,MIN(28,MAX(1,N368))))</f>
        <v/>
      </c>
      <c r="Y368" s="16" t="str">
        <f aca="false">IF(V368&lt;&gt;"",V368,IF(U368="","",U368/X368))</f>
        <v/>
      </c>
      <c r="Z368" s="16" t="str">
        <f aca="false">IF(V368&lt;&gt;"",_xlfn.MINIFS(ENSAYOS!$Q$5:$Q$3004,ENSAYOS!$C$5:$C$3004,F368,ENSAYOS!$Q$5:$Q$3004,"&gt;0",ENSAYOS!$G$5:$G$3004,"&gt;="&amp;CONFIG!$B$27),IF(U368="","",_xlfn.MINIFS(ENSAYOS!$Q$5:$Q$3004,ENSAYOS!$C$5:$C$3004,F368,ENSAYOS!$Q$5:$Q$3004,"&gt;0",ENSAYOS!$G$5:$G$3004,N368)/X368))</f>
        <v/>
      </c>
      <c r="AA368" s="16" t="str">
        <f aca="false">IF(D368="","",IFERROR(1/(1/INDEX(CONFIG!$J$5:$J$14,MATCH(D368,CONFIG!$D$5:$D$14,0))),""))</f>
        <v/>
      </c>
      <c r="AB368" s="16" t="str">
        <f aca="false">IF(D368="","",IFERROR(1/(1/INDEX(CONFIG!$K$5:$K$14,MATCH(D368,CONFIG!$D$5:$D$14,0))),""))</f>
        <v/>
      </c>
      <c r="AC368" s="19" t="str">
        <f aca="false">IF(N(M368)=0,"",IF(AA368="","Sin spec",IF(AND(Y368&gt;=AA368,OR(AB368="",Z368&gt;=AB368)),"CUMPLE","NO CUMPLE")&amp;IF(V368=""," (est.)","")))</f>
        <v/>
      </c>
      <c r="AD368" s="20" t="str">
        <f aca="false">IF(F368="","",IF(COUNTIFS(ABSORCION!$C$5:$C$1004,F368,ABSORCION!$I$5:$I$1004,"&gt;0")=0,"",AVERAGEIFS(ABSORCION!$I$5:$I$1004,ABSORCION!$C$5:$C$1004,F368,ABSORCION!$I$5:$I$1004,"&gt;0")))</f>
        <v/>
      </c>
      <c r="AE368" s="20" t="str">
        <f aca="false">IF(F368="","",IF(COUNTIFS(ABSORCION!$C$5:$C$1004,F368,ABSORCION!$I$5:$I$1004,"&gt;0")=0,"",AVERAGEIFS(ABSORCION!$K$5:$K$1004,ABSORCION!$C$5:$C$1004,F368,ABSORCION!$I$5:$I$1004,"&gt;0")))</f>
        <v/>
      </c>
      <c r="AF368" s="20" t="str">
        <f aca="false">IF(AE368="","",IF(AE368&gt;=CONFIG!$E$21,CONFIG!$F$21,IF(AE368&gt;=CONFIG!$E$20,CONFIG!$F$20,CONFIG!$F$19)))</f>
        <v/>
      </c>
      <c r="AG368" s="21" t="str">
        <f aca="false">IF(F368="","",TRIM(IF(N(M368)=0,"Sin ensayos. ","")&amp;IF(AND(N(M368)&gt;0,N(M368)&lt;CONFIG!$B$26),"Menos de "&amp;CONFIG!$B$26&amp;" probetas. ","")&amp;IF(N(T368)&gt;CONFIG!$B$25,"CV alto. ","")&amp;IF(AND(N(AD368)&gt;0,N(AD368)&gt;N(AF368)),"Absorción alta. ","")))</f>
        <v/>
      </c>
      <c r="AH368" s="22" t="str">
        <f aca="false">IF(AND(N(M368)&gt;0,OR(CONTROL!$C$4="TODAS",C368=CONTROL!$C$4),D368=CONTROL!$C$5),MAX($AH$4:AH367)+1,"")</f>
        <v/>
      </c>
      <c r="AI368" s="22" t="str">
        <f aca="false">IF(AH368="","",P368^2)</f>
        <v/>
      </c>
    </row>
    <row r="369" customFormat="false" ht="15" hidden="false" customHeight="false" outlineLevel="0" collapsed="false">
      <c r="A369" s="11" t="str">
        <f aca="false">IF(B369="","",ROW()-4)</f>
        <v/>
      </c>
      <c r="B369" s="12"/>
      <c r="C369" s="13"/>
      <c r="D369" s="13"/>
      <c r="E369" s="13"/>
      <c r="F369" s="14" t="str">
        <f aca="false">IF(OR(B369="",C369="",D369=""),"",IFERROR(INDEX(CONFIG!$E$5:$E$14,MATCH(D369,CONFIG!$D$5:$D$14,0)),"?")&amp;RIGHT("0"&amp;DAY(B369),2)&amp;RIGHT("0"&amp;MONTH(B369),2)&amp;RIGHT(YEAR(B369),2)&amp;C369&amp;IF(E369="","","-"&amp;E369))</f>
        <v/>
      </c>
      <c r="G369" s="13"/>
      <c r="H369" s="13"/>
      <c r="I369" s="13"/>
      <c r="J369" s="13"/>
      <c r="K369" s="13"/>
      <c r="L369" s="13"/>
      <c r="M369" s="11" t="str">
        <f aca="false">IF(F369="","",COUNTIFS(ENSAYOS!$C$5:$C$3004,F369,ENSAYOS!$Q$5:$Q$3004,"&gt;0"))</f>
        <v/>
      </c>
      <c r="N369" s="15" t="str">
        <f aca="false">IF(N(M369)=0,"",_xlfn.MINIFS(ENSAYOS!$G$5:$G$3004,ENSAYOS!$C$5:$C$3004,F369,ENSAYOS!$Q$5:$Q$3004,"&gt;0"))</f>
        <v/>
      </c>
      <c r="O369" s="15" t="str">
        <f aca="false">IF(N(M369)=0,"",_xlfn.MAXIFS(ENSAYOS!$G$5:$G$3004,ENSAYOS!$C$5:$C$3004,F369,ENSAYOS!$Q$5:$Q$3004,"&gt;0"))</f>
        <v/>
      </c>
      <c r="P369" s="16" t="str">
        <f aca="false">IF(N(M369)=0,"",AVERAGEIFS(ENSAYOS!$Q$5:$Q$3004,ENSAYOS!$C$5:$C$3004,F369,ENSAYOS!$Q$5:$Q$3004,"&gt;0"))</f>
        <v/>
      </c>
      <c r="Q369" s="16" t="str">
        <f aca="false">IF(N(M369)=0,"",_xlfn.MINIFS(ENSAYOS!$Q$5:$Q$3004,ENSAYOS!$C$5:$C$3004,F369,ENSAYOS!$Q$5:$Q$3004,"&gt;0"))</f>
        <v/>
      </c>
      <c r="R369" s="16" t="str">
        <f aca="false">IF(N(M369)=0,"",_xlfn.MAXIFS(ENSAYOS!$Q$5:$Q$3004,ENSAYOS!$C$5:$C$3004,F369,ENSAYOS!$Q$5:$Q$3004,"&gt;0"))</f>
        <v/>
      </c>
      <c r="S369" s="16" t="str">
        <f aca="false">IF(N(M369)&lt;2,"",SQRT(MAX(0,(SUMIFS(ENSAYOS!$X$5:$X$3004,ENSAYOS!$C$5:$C$3004,F369,ENSAYOS!$Q$5:$Q$3004,"&gt;0")-M369*P369^2)/(M369-1))))</f>
        <v/>
      </c>
      <c r="T369" s="17" t="str">
        <f aca="false">IF(S369="","",S369/P369)</f>
        <v/>
      </c>
      <c r="U369" s="16" t="str">
        <f aca="false">IF(N(M369)=0,"",IF(N369&gt;=CONFIG!$B$27,"",AVERAGEIFS(ENSAYOS!$Q$5:$Q$3004,ENSAYOS!$C$5:$C$3004,F369,ENSAYOS!$Q$5:$Q$3004,"&gt;0",ENSAYOS!$G$5:$G$3004,N369)))</f>
        <v/>
      </c>
      <c r="V369" s="16" t="str">
        <f aca="false">IF(N(M369)=0,"",IF(COUNTIFS(ENSAYOS!$C$5:$C$3004,F369,ENSAYOS!$Q$5:$Q$3004,"&gt;0",ENSAYOS!$G$5:$G$3004,"&gt;="&amp;CONFIG!$B$27)=0,"",AVERAGEIFS(ENSAYOS!$Q$5:$Q$3004,ENSAYOS!$C$5:$C$3004,F369,ENSAYOS!$Q$5:$Q$3004,"&gt;0",ENSAYOS!$G$5:$G$3004,"&gt;="&amp;CONFIG!$B$27)))</f>
        <v/>
      </c>
      <c r="W369" s="18" t="str">
        <f aca="false">IF(AND(U369&lt;&gt;"",V369&lt;&gt;""),U369/V369,"")</f>
        <v/>
      </c>
      <c r="X369" s="18" t="str">
        <f aca="false">IF(U369="","",INDEX('CURVA EDAD'!$E$5:$E$32,MIN(28,MAX(1,N369))))</f>
        <v/>
      </c>
      <c r="Y369" s="16" t="str">
        <f aca="false">IF(V369&lt;&gt;"",V369,IF(U369="","",U369/X369))</f>
        <v/>
      </c>
      <c r="Z369" s="16" t="str">
        <f aca="false">IF(V369&lt;&gt;"",_xlfn.MINIFS(ENSAYOS!$Q$5:$Q$3004,ENSAYOS!$C$5:$C$3004,F369,ENSAYOS!$Q$5:$Q$3004,"&gt;0",ENSAYOS!$G$5:$G$3004,"&gt;="&amp;CONFIG!$B$27),IF(U369="","",_xlfn.MINIFS(ENSAYOS!$Q$5:$Q$3004,ENSAYOS!$C$5:$C$3004,F369,ENSAYOS!$Q$5:$Q$3004,"&gt;0",ENSAYOS!$G$5:$G$3004,N369)/X369))</f>
        <v/>
      </c>
      <c r="AA369" s="16" t="str">
        <f aca="false">IF(D369="","",IFERROR(1/(1/INDEX(CONFIG!$J$5:$J$14,MATCH(D369,CONFIG!$D$5:$D$14,0))),""))</f>
        <v/>
      </c>
      <c r="AB369" s="16" t="str">
        <f aca="false">IF(D369="","",IFERROR(1/(1/INDEX(CONFIG!$K$5:$K$14,MATCH(D369,CONFIG!$D$5:$D$14,0))),""))</f>
        <v/>
      </c>
      <c r="AC369" s="19" t="str">
        <f aca="false">IF(N(M369)=0,"",IF(AA369="","Sin spec",IF(AND(Y369&gt;=AA369,OR(AB369="",Z369&gt;=AB369)),"CUMPLE","NO CUMPLE")&amp;IF(V369=""," (est.)","")))</f>
        <v/>
      </c>
      <c r="AD369" s="20" t="str">
        <f aca="false">IF(F369="","",IF(COUNTIFS(ABSORCION!$C$5:$C$1004,F369,ABSORCION!$I$5:$I$1004,"&gt;0")=0,"",AVERAGEIFS(ABSORCION!$I$5:$I$1004,ABSORCION!$C$5:$C$1004,F369,ABSORCION!$I$5:$I$1004,"&gt;0")))</f>
        <v/>
      </c>
      <c r="AE369" s="20" t="str">
        <f aca="false">IF(F369="","",IF(COUNTIFS(ABSORCION!$C$5:$C$1004,F369,ABSORCION!$I$5:$I$1004,"&gt;0")=0,"",AVERAGEIFS(ABSORCION!$K$5:$K$1004,ABSORCION!$C$5:$C$1004,F369,ABSORCION!$I$5:$I$1004,"&gt;0")))</f>
        <v/>
      </c>
      <c r="AF369" s="20" t="str">
        <f aca="false">IF(AE369="","",IF(AE369&gt;=CONFIG!$E$21,CONFIG!$F$21,IF(AE369&gt;=CONFIG!$E$20,CONFIG!$F$20,CONFIG!$F$19)))</f>
        <v/>
      </c>
      <c r="AG369" s="21" t="str">
        <f aca="false">IF(F369="","",TRIM(IF(N(M369)=0,"Sin ensayos. ","")&amp;IF(AND(N(M369)&gt;0,N(M369)&lt;CONFIG!$B$26),"Menos de "&amp;CONFIG!$B$26&amp;" probetas. ","")&amp;IF(N(T369)&gt;CONFIG!$B$25,"CV alto. ","")&amp;IF(AND(N(AD369)&gt;0,N(AD369)&gt;N(AF369)),"Absorción alta. ","")))</f>
        <v/>
      </c>
      <c r="AH369" s="22" t="str">
        <f aca="false">IF(AND(N(M369)&gt;0,OR(CONTROL!$C$4="TODAS",C369=CONTROL!$C$4),D369=CONTROL!$C$5),MAX($AH$4:AH368)+1,"")</f>
        <v/>
      </c>
      <c r="AI369" s="22" t="str">
        <f aca="false">IF(AH369="","",P369^2)</f>
        <v/>
      </c>
    </row>
    <row r="370" customFormat="false" ht="15" hidden="false" customHeight="false" outlineLevel="0" collapsed="false">
      <c r="A370" s="11" t="str">
        <f aca="false">IF(B370="","",ROW()-4)</f>
        <v/>
      </c>
      <c r="B370" s="12"/>
      <c r="C370" s="13"/>
      <c r="D370" s="13"/>
      <c r="E370" s="13"/>
      <c r="F370" s="14" t="str">
        <f aca="false">IF(OR(B370="",C370="",D370=""),"",IFERROR(INDEX(CONFIG!$E$5:$E$14,MATCH(D370,CONFIG!$D$5:$D$14,0)),"?")&amp;RIGHT("0"&amp;DAY(B370),2)&amp;RIGHT("0"&amp;MONTH(B370),2)&amp;RIGHT(YEAR(B370),2)&amp;C370&amp;IF(E370="","","-"&amp;E370))</f>
        <v/>
      </c>
      <c r="G370" s="13"/>
      <c r="H370" s="13"/>
      <c r="I370" s="13"/>
      <c r="J370" s="13"/>
      <c r="K370" s="13"/>
      <c r="L370" s="13"/>
      <c r="M370" s="11" t="str">
        <f aca="false">IF(F370="","",COUNTIFS(ENSAYOS!$C$5:$C$3004,F370,ENSAYOS!$Q$5:$Q$3004,"&gt;0"))</f>
        <v/>
      </c>
      <c r="N370" s="15" t="str">
        <f aca="false">IF(N(M370)=0,"",_xlfn.MINIFS(ENSAYOS!$G$5:$G$3004,ENSAYOS!$C$5:$C$3004,F370,ENSAYOS!$Q$5:$Q$3004,"&gt;0"))</f>
        <v/>
      </c>
      <c r="O370" s="15" t="str">
        <f aca="false">IF(N(M370)=0,"",_xlfn.MAXIFS(ENSAYOS!$G$5:$G$3004,ENSAYOS!$C$5:$C$3004,F370,ENSAYOS!$Q$5:$Q$3004,"&gt;0"))</f>
        <v/>
      </c>
      <c r="P370" s="16" t="str">
        <f aca="false">IF(N(M370)=0,"",AVERAGEIFS(ENSAYOS!$Q$5:$Q$3004,ENSAYOS!$C$5:$C$3004,F370,ENSAYOS!$Q$5:$Q$3004,"&gt;0"))</f>
        <v/>
      </c>
      <c r="Q370" s="16" t="str">
        <f aca="false">IF(N(M370)=0,"",_xlfn.MINIFS(ENSAYOS!$Q$5:$Q$3004,ENSAYOS!$C$5:$C$3004,F370,ENSAYOS!$Q$5:$Q$3004,"&gt;0"))</f>
        <v/>
      </c>
      <c r="R370" s="16" t="str">
        <f aca="false">IF(N(M370)=0,"",_xlfn.MAXIFS(ENSAYOS!$Q$5:$Q$3004,ENSAYOS!$C$5:$C$3004,F370,ENSAYOS!$Q$5:$Q$3004,"&gt;0"))</f>
        <v/>
      </c>
      <c r="S370" s="16" t="str">
        <f aca="false">IF(N(M370)&lt;2,"",SQRT(MAX(0,(SUMIFS(ENSAYOS!$X$5:$X$3004,ENSAYOS!$C$5:$C$3004,F370,ENSAYOS!$Q$5:$Q$3004,"&gt;0")-M370*P370^2)/(M370-1))))</f>
        <v/>
      </c>
      <c r="T370" s="17" t="str">
        <f aca="false">IF(S370="","",S370/P370)</f>
        <v/>
      </c>
      <c r="U370" s="16" t="str">
        <f aca="false">IF(N(M370)=0,"",IF(N370&gt;=CONFIG!$B$27,"",AVERAGEIFS(ENSAYOS!$Q$5:$Q$3004,ENSAYOS!$C$5:$C$3004,F370,ENSAYOS!$Q$5:$Q$3004,"&gt;0",ENSAYOS!$G$5:$G$3004,N370)))</f>
        <v/>
      </c>
      <c r="V370" s="16" t="str">
        <f aca="false">IF(N(M370)=0,"",IF(COUNTIFS(ENSAYOS!$C$5:$C$3004,F370,ENSAYOS!$Q$5:$Q$3004,"&gt;0",ENSAYOS!$G$5:$G$3004,"&gt;="&amp;CONFIG!$B$27)=0,"",AVERAGEIFS(ENSAYOS!$Q$5:$Q$3004,ENSAYOS!$C$5:$C$3004,F370,ENSAYOS!$Q$5:$Q$3004,"&gt;0",ENSAYOS!$G$5:$G$3004,"&gt;="&amp;CONFIG!$B$27)))</f>
        <v/>
      </c>
      <c r="W370" s="18" t="str">
        <f aca="false">IF(AND(U370&lt;&gt;"",V370&lt;&gt;""),U370/V370,"")</f>
        <v/>
      </c>
      <c r="X370" s="18" t="str">
        <f aca="false">IF(U370="","",INDEX('CURVA EDAD'!$E$5:$E$32,MIN(28,MAX(1,N370))))</f>
        <v/>
      </c>
      <c r="Y370" s="16" t="str">
        <f aca="false">IF(V370&lt;&gt;"",V370,IF(U370="","",U370/X370))</f>
        <v/>
      </c>
      <c r="Z370" s="16" t="str">
        <f aca="false">IF(V370&lt;&gt;"",_xlfn.MINIFS(ENSAYOS!$Q$5:$Q$3004,ENSAYOS!$C$5:$C$3004,F370,ENSAYOS!$Q$5:$Q$3004,"&gt;0",ENSAYOS!$G$5:$G$3004,"&gt;="&amp;CONFIG!$B$27),IF(U370="","",_xlfn.MINIFS(ENSAYOS!$Q$5:$Q$3004,ENSAYOS!$C$5:$C$3004,F370,ENSAYOS!$Q$5:$Q$3004,"&gt;0",ENSAYOS!$G$5:$G$3004,N370)/X370))</f>
        <v/>
      </c>
      <c r="AA370" s="16" t="str">
        <f aca="false">IF(D370="","",IFERROR(1/(1/INDEX(CONFIG!$J$5:$J$14,MATCH(D370,CONFIG!$D$5:$D$14,0))),""))</f>
        <v/>
      </c>
      <c r="AB370" s="16" t="str">
        <f aca="false">IF(D370="","",IFERROR(1/(1/INDEX(CONFIG!$K$5:$K$14,MATCH(D370,CONFIG!$D$5:$D$14,0))),""))</f>
        <v/>
      </c>
      <c r="AC370" s="19" t="str">
        <f aca="false">IF(N(M370)=0,"",IF(AA370="","Sin spec",IF(AND(Y370&gt;=AA370,OR(AB370="",Z370&gt;=AB370)),"CUMPLE","NO CUMPLE")&amp;IF(V370=""," (est.)","")))</f>
        <v/>
      </c>
      <c r="AD370" s="20" t="str">
        <f aca="false">IF(F370="","",IF(COUNTIFS(ABSORCION!$C$5:$C$1004,F370,ABSORCION!$I$5:$I$1004,"&gt;0")=0,"",AVERAGEIFS(ABSORCION!$I$5:$I$1004,ABSORCION!$C$5:$C$1004,F370,ABSORCION!$I$5:$I$1004,"&gt;0")))</f>
        <v/>
      </c>
      <c r="AE370" s="20" t="str">
        <f aca="false">IF(F370="","",IF(COUNTIFS(ABSORCION!$C$5:$C$1004,F370,ABSORCION!$I$5:$I$1004,"&gt;0")=0,"",AVERAGEIFS(ABSORCION!$K$5:$K$1004,ABSORCION!$C$5:$C$1004,F370,ABSORCION!$I$5:$I$1004,"&gt;0")))</f>
        <v/>
      </c>
      <c r="AF370" s="20" t="str">
        <f aca="false">IF(AE370="","",IF(AE370&gt;=CONFIG!$E$21,CONFIG!$F$21,IF(AE370&gt;=CONFIG!$E$20,CONFIG!$F$20,CONFIG!$F$19)))</f>
        <v/>
      </c>
      <c r="AG370" s="21" t="str">
        <f aca="false">IF(F370="","",TRIM(IF(N(M370)=0,"Sin ensayos. ","")&amp;IF(AND(N(M370)&gt;0,N(M370)&lt;CONFIG!$B$26),"Menos de "&amp;CONFIG!$B$26&amp;" probetas. ","")&amp;IF(N(T370)&gt;CONFIG!$B$25,"CV alto. ","")&amp;IF(AND(N(AD370)&gt;0,N(AD370)&gt;N(AF370)),"Absorción alta. ","")))</f>
        <v/>
      </c>
      <c r="AH370" s="22" t="str">
        <f aca="false">IF(AND(N(M370)&gt;0,OR(CONTROL!$C$4="TODAS",C370=CONTROL!$C$4),D370=CONTROL!$C$5),MAX($AH$4:AH369)+1,"")</f>
        <v/>
      </c>
      <c r="AI370" s="22" t="str">
        <f aca="false">IF(AH370="","",P370^2)</f>
        <v/>
      </c>
    </row>
    <row r="371" customFormat="false" ht="15" hidden="false" customHeight="false" outlineLevel="0" collapsed="false">
      <c r="A371" s="11" t="str">
        <f aca="false">IF(B371="","",ROW()-4)</f>
        <v/>
      </c>
      <c r="B371" s="12"/>
      <c r="C371" s="13"/>
      <c r="D371" s="13"/>
      <c r="E371" s="13"/>
      <c r="F371" s="14" t="str">
        <f aca="false">IF(OR(B371="",C371="",D371=""),"",IFERROR(INDEX(CONFIG!$E$5:$E$14,MATCH(D371,CONFIG!$D$5:$D$14,0)),"?")&amp;RIGHT("0"&amp;DAY(B371),2)&amp;RIGHT("0"&amp;MONTH(B371),2)&amp;RIGHT(YEAR(B371),2)&amp;C371&amp;IF(E371="","","-"&amp;E371))</f>
        <v/>
      </c>
      <c r="G371" s="13"/>
      <c r="H371" s="13"/>
      <c r="I371" s="13"/>
      <c r="J371" s="13"/>
      <c r="K371" s="13"/>
      <c r="L371" s="13"/>
      <c r="M371" s="11" t="str">
        <f aca="false">IF(F371="","",COUNTIFS(ENSAYOS!$C$5:$C$3004,F371,ENSAYOS!$Q$5:$Q$3004,"&gt;0"))</f>
        <v/>
      </c>
      <c r="N371" s="15" t="str">
        <f aca="false">IF(N(M371)=0,"",_xlfn.MINIFS(ENSAYOS!$G$5:$G$3004,ENSAYOS!$C$5:$C$3004,F371,ENSAYOS!$Q$5:$Q$3004,"&gt;0"))</f>
        <v/>
      </c>
      <c r="O371" s="15" t="str">
        <f aca="false">IF(N(M371)=0,"",_xlfn.MAXIFS(ENSAYOS!$G$5:$G$3004,ENSAYOS!$C$5:$C$3004,F371,ENSAYOS!$Q$5:$Q$3004,"&gt;0"))</f>
        <v/>
      </c>
      <c r="P371" s="16" t="str">
        <f aca="false">IF(N(M371)=0,"",AVERAGEIFS(ENSAYOS!$Q$5:$Q$3004,ENSAYOS!$C$5:$C$3004,F371,ENSAYOS!$Q$5:$Q$3004,"&gt;0"))</f>
        <v/>
      </c>
      <c r="Q371" s="16" t="str">
        <f aca="false">IF(N(M371)=0,"",_xlfn.MINIFS(ENSAYOS!$Q$5:$Q$3004,ENSAYOS!$C$5:$C$3004,F371,ENSAYOS!$Q$5:$Q$3004,"&gt;0"))</f>
        <v/>
      </c>
      <c r="R371" s="16" t="str">
        <f aca="false">IF(N(M371)=0,"",_xlfn.MAXIFS(ENSAYOS!$Q$5:$Q$3004,ENSAYOS!$C$5:$C$3004,F371,ENSAYOS!$Q$5:$Q$3004,"&gt;0"))</f>
        <v/>
      </c>
      <c r="S371" s="16" t="str">
        <f aca="false">IF(N(M371)&lt;2,"",SQRT(MAX(0,(SUMIFS(ENSAYOS!$X$5:$X$3004,ENSAYOS!$C$5:$C$3004,F371,ENSAYOS!$Q$5:$Q$3004,"&gt;0")-M371*P371^2)/(M371-1))))</f>
        <v/>
      </c>
      <c r="T371" s="17" t="str">
        <f aca="false">IF(S371="","",S371/P371)</f>
        <v/>
      </c>
      <c r="U371" s="16" t="str">
        <f aca="false">IF(N(M371)=0,"",IF(N371&gt;=CONFIG!$B$27,"",AVERAGEIFS(ENSAYOS!$Q$5:$Q$3004,ENSAYOS!$C$5:$C$3004,F371,ENSAYOS!$Q$5:$Q$3004,"&gt;0",ENSAYOS!$G$5:$G$3004,N371)))</f>
        <v/>
      </c>
      <c r="V371" s="16" t="str">
        <f aca="false">IF(N(M371)=0,"",IF(COUNTIFS(ENSAYOS!$C$5:$C$3004,F371,ENSAYOS!$Q$5:$Q$3004,"&gt;0",ENSAYOS!$G$5:$G$3004,"&gt;="&amp;CONFIG!$B$27)=0,"",AVERAGEIFS(ENSAYOS!$Q$5:$Q$3004,ENSAYOS!$C$5:$C$3004,F371,ENSAYOS!$Q$5:$Q$3004,"&gt;0",ENSAYOS!$G$5:$G$3004,"&gt;="&amp;CONFIG!$B$27)))</f>
        <v/>
      </c>
      <c r="W371" s="18" t="str">
        <f aca="false">IF(AND(U371&lt;&gt;"",V371&lt;&gt;""),U371/V371,"")</f>
        <v/>
      </c>
      <c r="X371" s="18" t="str">
        <f aca="false">IF(U371="","",INDEX('CURVA EDAD'!$E$5:$E$32,MIN(28,MAX(1,N371))))</f>
        <v/>
      </c>
      <c r="Y371" s="16" t="str">
        <f aca="false">IF(V371&lt;&gt;"",V371,IF(U371="","",U371/X371))</f>
        <v/>
      </c>
      <c r="Z371" s="16" t="str">
        <f aca="false">IF(V371&lt;&gt;"",_xlfn.MINIFS(ENSAYOS!$Q$5:$Q$3004,ENSAYOS!$C$5:$C$3004,F371,ENSAYOS!$Q$5:$Q$3004,"&gt;0",ENSAYOS!$G$5:$G$3004,"&gt;="&amp;CONFIG!$B$27),IF(U371="","",_xlfn.MINIFS(ENSAYOS!$Q$5:$Q$3004,ENSAYOS!$C$5:$C$3004,F371,ENSAYOS!$Q$5:$Q$3004,"&gt;0",ENSAYOS!$G$5:$G$3004,N371)/X371))</f>
        <v/>
      </c>
      <c r="AA371" s="16" t="str">
        <f aca="false">IF(D371="","",IFERROR(1/(1/INDEX(CONFIG!$J$5:$J$14,MATCH(D371,CONFIG!$D$5:$D$14,0))),""))</f>
        <v/>
      </c>
      <c r="AB371" s="16" t="str">
        <f aca="false">IF(D371="","",IFERROR(1/(1/INDEX(CONFIG!$K$5:$K$14,MATCH(D371,CONFIG!$D$5:$D$14,0))),""))</f>
        <v/>
      </c>
      <c r="AC371" s="19" t="str">
        <f aca="false">IF(N(M371)=0,"",IF(AA371="","Sin spec",IF(AND(Y371&gt;=AA371,OR(AB371="",Z371&gt;=AB371)),"CUMPLE","NO CUMPLE")&amp;IF(V371=""," (est.)","")))</f>
        <v/>
      </c>
      <c r="AD371" s="20" t="str">
        <f aca="false">IF(F371="","",IF(COUNTIFS(ABSORCION!$C$5:$C$1004,F371,ABSORCION!$I$5:$I$1004,"&gt;0")=0,"",AVERAGEIFS(ABSORCION!$I$5:$I$1004,ABSORCION!$C$5:$C$1004,F371,ABSORCION!$I$5:$I$1004,"&gt;0")))</f>
        <v/>
      </c>
      <c r="AE371" s="20" t="str">
        <f aca="false">IF(F371="","",IF(COUNTIFS(ABSORCION!$C$5:$C$1004,F371,ABSORCION!$I$5:$I$1004,"&gt;0")=0,"",AVERAGEIFS(ABSORCION!$K$5:$K$1004,ABSORCION!$C$5:$C$1004,F371,ABSORCION!$I$5:$I$1004,"&gt;0")))</f>
        <v/>
      </c>
      <c r="AF371" s="20" t="str">
        <f aca="false">IF(AE371="","",IF(AE371&gt;=CONFIG!$E$21,CONFIG!$F$21,IF(AE371&gt;=CONFIG!$E$20,CONFIG!$F$20,CONFIG!$F$19)))</f>
        <v/>
      </c>
      <c r="AG371" s="21" t="str">
        <f aca="false">IF(F371="","",TRIM(IF(N(M371)=0,"Sin ensayos. ","")&amp;IF(AND(N(M371)&gt;0,N(M371)&lt;CONFIG!$B$26),"Menos de "&amp;CONFIG!$B$26&amp;" probetas. ","")&amp;IF(N(T371)&gt;CONFIG!$B$25,"CV alto. ","")&amp;IF(AND(N(AD371)&gt;0,N(AD371)&gt;N(AF371)),"Absorción alta. ","")))</f>
        <v/>
      </c>
      <c r="AH371" s="22" t="str">
        <f aca="false">IF(AND(N(M371)&gt;0,OR(CONTROL!$C$4="TODAS",C371=CONTROL!$C$4),D371=CONTROL!$C$5),MAX($AH$4:AH370)+1,"")</f>
        <v/>
      </c>
      <c r="AI371" s="22" t="str">
        <f aca="false">IF(AH371="","",P371^2)</f>
        <v/>
      </c>
    </row>
    <row r="372" customFormat="false" ht="15" hidden="false" customHeight="false" outlineLevel="0" collapsed="false">
      <c r="A372" s="11" t="str">
        <f aca="false">IF(B372="","",ROW()-4)</f>
        <v/>
      </c>
      <c r="B372" s="12"/>
      <c r="C372" s="13"/>
      <c r="D372" s="13"/>
      <c r="E372" s="13"/>
      <c r="F372" s="14" t="str">
        <f aca="false">IF(OR(B372="",C372="",D372=""),"",IFERROR(INDEX(CONFIG!$E$5:$E$14,MATCH(D372,CONFIG!$D$5:$D$14,0)),"?")&amp;RIGHT("0"&amp;DAY(B372),2)&amp;RIGHT("0"&amp;MONTH(B372),2)&amp;RIGHT(YEAR(B372),2)&amp;C372&amp;IF(E372="","","-"&amp;E372))</f>
        <v/>
      </c>
      <c r="G372" s="13"/>
      <c r="H372" s="13"/>
      <c r="I372" s="13"/>
      <c r="J372" s="13"/>
      <c r="K372" s="13"/>
      <c r="L372" s="13"/>
      <c r="M372" s="11" t="str">
        <f aca="false">IF(F372="","",COUNTIFS(ENSAYOS!$C$5:$C$3004,F372,ENSAYOS!$Q$5:$Q$3004,"&gt;0"))</f>
        <v/>
      </c>
      <c r="N372" s="15" t="str">
        <f aca="false">IF(N(M372)=0,"",_xlfn.MINIFS(ENSAYOS!$G$5:$G$3004,ENSAYOS!$C$5:$C$3004,F372,ENSAYOS!$Q$5:$Q$3004,"&gt;0"))</f>
        <v/>
      </c>
      <c r="O372" s="15" t="str">
        <f aca="false">IF(N(M372)=0,"",_xlfn.MAXIFS(ENSAYOS!$G$5:$G$3004,ENSAYOS!$C$5:$C$3004,F372,ENSAYOS!$Q$5:$Q$3004,"&gt;0"))</f>
        <v/>
      </c>
      <c r="P372" s="16" t="str">
        <f aca="false">IF(N(M372)=0,"",AVERAGEIFS(ENSAYOS!$Q$5:$Q$3004,ENSAYOS!$C$5:$C$3004,F372,ENSAYOS!$Q$5:$Q$3004,"&gt;0"))</f>
        <v/>
      </c>
      <c r="Q372" s="16" t="str">
        <f aca="false">IF(N(M372)=0,"",_xlfn.MINIFS(ENSAYOS!$Q$5:$Q$3004,ENSAYOS!$C$5:$C$3004,F372,ENSAYOS!$Q$5:$Q$3004,"&gt;0"))</f>
        <v/>
      </c>
      <c r="R372" s="16" t="str">
        <f aca="false">IF(N(M372)=0,"",_xlfn.MAXIFS(ENSAYOS!$Q$5:$Q$3004,ENSAYOS!$C$5:$C$3004,F372,ENSAYOS!$Q$5:$Q$3004,"&gt;0"))</f>
        <v/>
      </c>
      <c r="S372" s="16" t="str">
        <f aca="false">IF(N(M372)&lt;2,"",SQRT(MAX(0,(SUMIFS(ENSAYOS!$X$5:$X$3004,ENSAYOS!$C$5:$C$3004,F372,ENSAYOS!$Q$5:$Q$3004,"&gt;0")-M372*P372^2)/(M372-1))))</f>
        <v/>
      </c>
      <c r="T372" s="17" t="str">
        <f aca="false">IF(S372="","",S372/P372)</f>
        <v/>
      </c>
      <c r="U372" s="16" t="str">
        <f aca="false">IF(N(M372)=0,"",IF(N372&gt;=CONFIG!$B$27,"",AVERAGEIFS(ENSAYOS!$Q$5:$Q$3004,ENSAYOS!$C$5:$C$3004,F372,ENSAYOS!$Q$5:$Q$3004,"&gt;0",ENSAYOS!$G$5:$G$3004,N372)))</f>
        <v/>
      </c>
      <c r="V372" s="16" t="str">
        <f aca="false">IF(N(M372)=0,"",IF(COUNTIFS(ENSAYOS!$C$5:$C$3004,F372,ENSAYOS!$Q$5:$Q$3004,"&gt;0",ENSAYOS!$G$5:$G$3004,"&gt;="&amp;CONFIG!$B$27)=0,"",AVERAGEIFS(ENSAYOS!$Q$5:$Q$3004,ENSAYOS!$C$5:$C$3004,F372,ENSAYOS!$Q$5:$Q$3004,"&gt;0",ENSAYOS!$G$5:$G$3004,"&gt;="&amp;CONFIG!$B$27)))</f>
        <v/>
      </c>
      <c r="W372" s="18" t="str">
        <f aca="false">IF(AND(U372&lt;&gt;"",V372&lt;&gt;""),U372/V372,"")</f>
        <v/>
      </c>
      <c r="X372" s="18" t="str">
        <f aca="false">IF(U372="","",INDEX('CURVA EDAD'!$E$5:$E$32,MIN(28,MAX(1,N372))))</f>
        <v/>
      </c>
      <c r="Y372" s="16" t="str">
        <f aca="false">IF(V372&lt;&gt;"",V372,IF(U372="","",U372/X372))</f>
        <v/>
      </c>
      <c r="Z372" s="16" t="str">
        <f aca="false">IF(V372&lt;&gt;"",_xlfn.MINIFS(ENSAYOS!$Q$5:$Q$3004,ENSAYOS!$C$5:$C$3004,F372,ENSAYOS!$Q$5:$Q$3004,"&gt;0",ENSAYOS!$G$5:$G$3004,"&gt;="&amp;CONFIG!$B$27),IF(U372="","",_xlfn.MINIFS(ENSAYOS!$Q$5:$Q$3004,ENSAYOS!$C$5:$C$3004,F372,ENSAYOS!$Q$5:$Q$3004,"&gt;0",ENSAYOS!$G$5:$G$3004,N372)/X372))</f>
        <v/>
      </c>
      <c r="AA372" s="16" t="str">
        <f aca="false">IF(D372="","",IFERROR(1/(1/INDEX(CONFIG!$J$5:$J$14,MATCH(D372,CONFIG!$D$5:$D$14,0))),""))</f>
        <v/>
      </c>
      <c r="AB372" s="16" t="str">
        <f aca="false">IF(D372="","",IFERROR(1/(1/INDEX(CONFIG!$K$5:$K$14,MATCH(D372,CONFIG!$D$5:$D$14,0))),""))</f>
        <v/>
      </c>
      <c r="AC372" s="19" t="str">
        <f aca="false">IF(N(M372)=0,"",IF(AA372="","Sin spec",IF(AND(Y372&gt;=AA372,OR(AB372="",Z372&gt;=AB372)),"CUMPLE","NO CUMPLE")&amp;IF(V372=""," (est.)","")))</f>
        <v/>
      </c>
      <c r="AD372" s="20" t="str">
        <f aca="false">IF(F372="","",IF(COUNTIFS(ABSORCION!$C$5:$C$1004,F372,ABSORCION!$I$5:$I$1004,"&gt;0")=0,"",AVERAGEIFS(ABSORCION!$I$5:$I$1004,ABSORCION!$C$5:$C$1004,F372,ABSORCION!$I$5:$I$1004,"&gt;0")))</f>
        <v/>
      </c>
      <c r="AE372" s="20" t="str">
        <f aca="false">IF(F372="","",IF(COUNTIFS(ABSORCION!$C$5:$C$1004,F372,ABSORCION!$I$5:$I$1004,"&gt;0")=0,"",AVERAGEIFS(ABSORCION!$K$5:$K$1004,ABSORCION!$C$5:$C$1004,F372,ABSORCION!$I$5:$I$1004,"&gt;0")))</f>
        <v/>
      </c>
      <c r="AF372" s="20" t="str">
        <f aca="false">IF(AE372="","",IF(AE372&gt;=CONFIG!$E$21,CONFIG!$F$21,IF(AE372&gt;=CONFIG!$E$20,CONFIG!$F$20,CONFIG!$F$19)))</f>
        <v/>
      </c>
      <c r="AG372" s="21" t="str">
        <f aca="false">IF(F372="","",TRIM(IF(N(M372)=0,"Sin ensayos. ","")&amp;IF(AND(N(M372)&gt;0,N(M372)&lt;CONFIG!$B$26),"Menos de "&amp;CONFIG!$B$26&amp;" probetas. ","")&amp;IF(N(T372)&gt;CONFIG!$B$25,"CV alto. ","")&amp;IF(AND(N(AD372)&gt;0,N(AD372)&gt;N(AF372)),"Absorción alta. ","")))</f>
        <v/>
      </c>
      <c r="AH372" s="22" t="str">
        <f aca="false">IF(AND(N(M372)&gt;0,OR(CONTROL!$C$4="TODAS",C372=CONTROL!$C$4),D372=CONTROL!$C$5),MAX($AH$4:AH371)+1,"")</f>
        <v/>
      </c>
      <c r="AI372" s="22" t="str">
        <f aca="false">IF(AH372="","",P372^2)</f>
        <v/>
      </c>
    </row>
    <row r="373" customFormat="false" ht="15" hidden="false" customHeight="false" outlineLevel="0" collapsed="false">
      <c r="A373" s="11" t="str">
        <f aca="false">IF(B373="","",ROW()-4)</f>
        <v/>
      </c>
      <c r="B373" s="12"/>
      <c r="C373" s="13"/>
      <c r="D373" s="13"/>
      <c r="E373" s="13"/>
      <c r="F373" s="14" t="str">
        <f aca="false">IF(OR(B373="",C373="",D373=""),"",IFERROR(INDEX(CONFIG!$E$5:$E$14,MATCH(D373,CONFIG!$D$5:$D$14,0)),"?")&amp;RIGHT("0"&amp;DAY(B373),2)&amp;RIGHT("0"&amp;MONTH(B373),2)&amp;RIGHT(YEAR(B373),2)&amp;C373&amp;IF(E373="","","-"&amp;E373))</f>
        <v/>
      </c>
      <c r="G373" s="13"/>
      <c r="H373" s="13"/>
      <c r="I373" s="13"/>
      <c r="J373" s="13"/>
      <c r="K373" s="13"/>
      <c r="L373" s="13"/>
      <c r="M373" s="11" t="str">
        <f aca="false">IF(F373="","",COUNTIFS(ENSAYOS!$C$5:$C$3004,F373,ENSAYOS!$Q$5:$Q$3004,"&gt;0"))</f>
        <v/>
      </c>
      <c r="N373" s="15" t="str">
        <f aca="false">IF(N(M373)=0,"",_xlfn.MINIFS(ENSAYOS!$G$5:$G$3004,ENSAYOS!$C$5:$C$3004,F373,ENSAYOS!$Q$5:$Q$3004,"&gt;0"))</f>
        <v/>
      </c>
      <c r="O373" s="15" t="str">
        <f aca="false">IF(N(M373)=0,"",_xlfn.MAXIFS(ENSAYOS!$G$5:$G$3004,ENSAYOS!$C$5:$C$3004,F373,ENSAYOS!$Q$5:$Q$3004,"&gt;0"))</f>
        <v/>
      </c>
      <c r="P373" s="16" t="str">
        <f aca="false">IF(N(M373)=0,"",AVERAGEIFS(ENSAYOS!$Q$5:$Q$3004,ENSAYOS!$C$5:$C$3004,F373,ENSAYOS!$Q$5:$Q$3004,"&gt;0"))</f>
        <v/>
      </c>
      <c r="Q373" s="16" t="str">
        <f aca="false">IF(N(M373)=0,"",_xlfn.MINIFS(ENSAYOS!$Q$5:$Q$3004,ENSAYOS!$C$5:$C$3004,F373,ENSAYOS!$Q$5:$Q$3004,"&gt;0"))</f>
        <v/>
      </c>
      <c r="R373" s="16" t="str">
        <f aca="false">IF(N(M373)=0,"",_xlfn.MAXIFS(ENSAYOS!$Q$5:$Q$3004,ENSAYOS!$C$5:$C$3004,F373,ENSAYOS!$Q$5:$Q$3004,"&gt;0"))</f>
        <v/>
      </c>
      <c r="S373" s="16" t="str">
        <f aca="false">IF(N(M373)&lt;2,"",SQRT(MAX(0,(SUMIFS(ENSAYOS!$X$5:$X$3004,ENSAYOS!$C$5:$C$3004,F373,ENSAYOS!$Q$5:$Q$3004,"&gt;0")-M373*P373^2)/(M373-1))))</f>
        <v/>
      </c>
      <c r="T373" s="17" t="str">
        <f aca="false">IF(S373="","",S373/P373)</f>
        <v/>
      </c>
      <c r="U373" s="16" t="str">
        <f aca="false">IF(N(M373)=0,"",IF(N373&gt;=CONFIG!$B$27,"",AVERAGEIFS(ENSAYOS!$Q$5:$Q$3004,ENSAYOS!$C$5:$C$3004,F373,ENSAYOS!$Q$5:$Q$3004,"&gt;0",ENSAYOS!$G$5:$G$3004,N373)))</f>
        <v/>
      </c>
      <c r="V373" s="16" t="str">
        <f aca="false">IF(N(M373)=0,"",IF(COUNTIFS(ENSAYOS!$C$5:$C$3004,F373,ENSAYOS!$Q$5:$Q$3004,"&gt;0",ENSAYOS!$G$5:$G$3004,"&gt;="&amp;CONFIG!$B$27)=0,"",AVERAGEIFS(ENSAYOS!$Q$5:$Q$3004,ENSAYOS!$C$5:$C$3004,F373,ENSAYOS!$Q$5:$Q$3004,"&gt;0",ENSAYOS!$G$5:$G$3004,"&gt;="&amp;CONFIG!$B$27)))</f>
        <v/>
      </c>
      <c r="W373" s="18" t="str">
        <f aca="false">IF(AND(U373&lt;&gt;"",V373&lt;&gt;""),U373/V373,"")</f>
        <v/>
      </c>
      <c r="X373" s="18" t="str">
        <f aca="false">IF(U373="","",INDEX('CURVA EDAD'!$E$5:$E$32,MIN(28,MAX(1,N373))))</f>
        <v/>
      </c>
      <c r="Y373" s="16" t="str">
        <f aca="false">IF(V373&lt;&gt;"",V373,IF(U373="","",U373/X373))</f>
        <v/>
      </c>
      <c r="Z373" s="16" t="str">
        <f aca="false">IF(V373&lt;&gt;"",_xlfn.MINIFS(ENSAYOS!$Q$5:$Q$3004,ENSAYOS!$C$5:$C$3004,F373,ENSAYOS!$Q$5:$Q$3004,"&gt;0",ENSAYOS!$G$5:$G$3004,"&gt;="&amp;CONFIG!$B$27),IF(U373="","",_xlfn.MINIFS(ENSAYOS!$Q$5:$Q$3004,ENSAYOS!$C$5:$C$3004,F373,ENSAYOS!$Q$5:$Q$3004,"&gt;0",ENSAYOS!$G$5:$G$3004,N373)/X373))</f>
        <v/>
      </c>
      <c r="AA373" s="16" t="str">
        <f aca="false">IF(D373="","",IFERROR(1/(1/INDEX(CONFIG!$J$5:$J$14,MATCH(D373,CONFIG!$D$5:$D$14,0))),""))</f>
        <v/>
      </c>
      <c r="AB373" s="16" t="str">
        <f aca="false">IF(D373="","",IFERROR(1/(1/INDEX(CONFIG!$K$5:$K$14,MATCH(D373,CONFIG!$D$5:$D$14,0))),""))</f>
        <v/>
      </c>
      <c r="AC373" s="19" t="str">
        <f aca="false">IF(N(M373)=0,"",IF(AA373="","Sin spec",IF(AND(Y373&gt;=AA373,OR(AB373="",Z373&gt;=AB373)),"CUMPLE","NO CUMPLE")&amp;IF(V373=""," (est.)","")))</f>
        <v/>
      </c>
      <c r="AD373" s="20" t="str">
        <f aca="false">IF(F373="","",IF(COUNTIFS(ABSORCION!$C$5:$C$1004,F373,ABSORCION!$I$5:$I$1004,"&gt;0")=0,"",AVERAGEIFS(ABSORCION!$I$5:$I$1004,ABSORCION!$C$5:$C$1004,F373,ABSORCION!$I$5:$I$1004,"&gt;0")))</f>
        <v/>
      </c>
      <c r="AE373" s="20" t="str">
        <f aca="false">IF(F373="","",IF(COUNTIFS(ABSORCION!$C$5:$C$1004,F373,ABSORCION!$I$5:$I$1004,"&gt;0")=0,"",AVERAGEIFS(ABSORCION!$K$5:$K$1004,ABSORCION!$C$5:$C$1004,F373,ABSORCION!$I$5:$I$1004,"&gt;0")))</f>
        <v/>
      </c>
      <c r="AF373" s="20" t="str">
        <f aca="false">IF(AE373="","",IF(AE373&gt;=CONFIG!$E$21,CONFIG!$F$21,IF(AE373&gt;=CONFIG!$E$20,CONFIG!$F$20,CONFIG!$F$19)))</f>
        <v/>
      </c>
      <c r="AG373" s="21" t="str">
        <f aca="false">IF(F373="","",TRIM(IF(N(M373)=0,"Sin ensayos. ","")&amp;IF(AND(N(M373)&gt;0,N(M373)&lt;CONFIG!$B$26),"Menos de "&amp;CONFIG!$B$26&amp;" probetas. ","")&amp;IF(N(T373)&gt;CONFIG!$B$25,"CV alto. ","")&amp;IF(AND(N(AD373)&gt;0,N(AD373)&gt;N(AF373)),"Absorción alta. ","")))</f>
        <v/>
      </c>
      <c r="AH373" s="22" t="str">
        <f aca="false">IF(AND(N(M373)&gt;0,OR(CONTROL!$C$4="TODAS",C373=CONTROL!$C$4),D373=CONTROL!$C$5),MAX($AH$4:AH372)+1,"")</f>
        <v/>
      </c>
      <c r="AI373" s="22" t="str">
        <f aca="false">IF(AH373="","",P373^2)</f>
        <v/>
      </c>
    </row>
    <row r="374" customFormat="false" ht="15" hidden="false" customHeight="false" outlineLevel="0" collapsed="false">
      <c r="A374" s="11" t="str">
        <f aca="false">IF(B374="","",ROW()-4)</f>
        <v/>
      </c>
      <c r="B374" s="12"/>
      <c r="C374" s="13"/>
      <c r="D374" s="13"/>
      <c r="E374" s="13"/>
      <c r="F374" s="14" t="str">
        <f aca="false">IF(OR(B374="",C374="",D374=""),"",IFERROR(INDEX(CONFIG!$E$5:$E$14,MATCH(D374,CONFIG!$D$5:$D$14,0)),"?")&amp;RIGHT("0"&amp;DAY(B374),2)&amp;RIGHT("0"&amp;MONTH(B374),2)&amp;RIGHT(YEAR(B374),2)&amp;C374&amp;IF(E374="","","-"&amp;E374))</f>
        <v/>
      </c>
      <c r="G374" s="13"/>
      <c r="H374" s="13"/>
      <c r="I374" s="13"/>
      <c r="J374" s="13"/>
      <c r="K374" s="13"/>
      <c r="L374" s="13"/>
      <c r="M374" s="11" t="str">
        <f aca="false">IF(F374="","",COUNTIFS(ENSAYOS!$C$5:$C$3004,F374,ENSAYOS!$Q$5:$Q$3004,"&gt;0"))</f>
        <v/>
      </c>
      <c r="N374" s="15" t="str">
        <f aca="false">IF(N(M374)=0,"",_xlfn.MINIFS(ENSAYOS!$G$5:$G$3004,ENSAYOS!$C$5:$C$3004,F374,ENSAYOS!$Q$5:$Q$3004,"&gt;0"))</f>
        <v/>
      </c>
      <c r="O374" s="15" t="str">
        <f aca="false">IF(N(M374)=0,"",_xlfn.MAXIFS(ENSAYOS!$G$5:$G$3004,ENSAYOS!$C$5:$C$3004,F374,ENSAYOS!$Q$5:$Q$3004,"&gt;0"))</f>
        <v/>
      </c>
      <c r="P374" s="16" t="str">
        <f aca="false">IF(N(M374)=0,"",AVERAGEIFS(ENSAYOS!$Q$5:$Q$3004,ENSAYOS!$C$5:$C$3004,F374,ENSAYOS!$Q$5:$Q$3004,"&gt;0"))</f>
        <v/>
      </c>
      <c r="Q374" s="16" t="str">
        <f aca="false">IF(N(M374)=0,"",_xlfn.MINIFS(ENSAYOS!$Q$5:$Q$3004,ENSAYOS!$C$5:$C$3004,F374,ENSAYOS!$Q$5:$Q$3004,"&gt;0"))</f>
        <v/>
      </c>
      <c r="R374" s="16" t="str">
        <f aca="false">IF(N(M374)=0,"",_xlfn.MAXIFS(ENSAYOS!$Q$5:$Q$3004,ENSAYOS!$C$5:$C$3004,F374,ENSAYOS!$Q$5:$Q$3004,"&gt;0"))</f>
        <v/>
      </c>
      <c r="S374" s="16" t="str">
        <f aca="false">IF(N(M374)&lt;2,"",SQRT(MAX(0,(SUMIFS(ENSAYOS!$X$5:$X$3004,ENSAYOS!$C$5:$C$3004,F374,ENSAYOS!$Q$5:$Q$3004,"&gt;0")-M374*P374^2)/(M374-1))))</f>
        <v/>
      </c>
      <c r="T374" s="17" t="str">
        <f aca="false">IF(S374="","",S374/P374)</f>
        <v/>
      </c>
      <c r="U374" s="16" t="str">
        <f aca="false">IF(N(M374)=0,"",IF(N374&gt;=CONFIG!$B$27,"",AVERAGEIFS(ENSAYOS!$Q$5:$Q$3004,ENSAYOS!$C$5:$C$3004,F374,ENSAYOS!$Q$5:$Q$3004,"&gt;0",ENSAYOS!$G$5:$G$3004,N374)))</f>
        <v/>
      </c>
      <c r="V374" s="16" t="str">
        <f aca="false">IF(N(M374)=0,"",IF(COUNTIFS(ENSAYOS!$C$5:$C$3004,F374,ENSAYOS!$Q$5:$Q$3004,"&gt;0",ENSAYOS!$G$5:$G$3004,"&gt;="&amp;CONFIG!$B$27)=0,"",AVERAGEIFS(ENSAYOS!$Q$5:$Q$3004,ENSAYOS!$C$5:$C$3004,F374,ENSAYOS!$Q$5:$Q$3004,"&gt;0",ENSAYOS!$G$5:$G$3004,"&gt;="&amp;CONFIG!$B$27)))</f>
        <v/>
      </c>
      <c r="W374" s="18" t="str">
        <f aca="false">IF(AND(U374&lt;&gt;"",V374&lt;&gt;""),U374/V374,"")</f>
        <v/>
      </c>
      <c r="X374" s="18" t="str">
        <f aca="false">IF(U374="","",INDEX('CURVA EDAD'!$E$5:$E$32,MIN(28,MAX(1,N374))))</f>
        <v/>
      </c>
      <c r="Y374" s="16" t="str">
        <f aca="false">IF(V374&lt;&gt;"",V374,IF(U374="","",U374/X374))</f>
        <v/>
      </c>
      <c r="Z374" s="16" t="str">
        <f aca="false">IF(V374&lt;&gt;"",_xlfn.MINIFS(ENSAYOS!$Q$5:$Q$3004,ENSAYOS!$C$5:$C$3004,F374,ENSAYOS!$Q$5:$Q$3004,"&gt;0",ENSAYOS!$G$5:$G$3004,"&gt;="&amp;CONFIG!$B$27),IF(U374="","",_xlfn.MINIFS(ENSAYOS!$Q$5:$Q$3004,ENSAYOS!$C$5:$C$3004,F374,ENSAYOS!$Q$5:$Q$3004,"&gt;0",ENSAYOS!$G$5:$G$3004,N374)/X374))</f>
        <v/>
      </c>
      <c r="AA374" s="16" t="str">
        <f aca="false">IF(D374="","",IFERROR(1/(1/INDEX(CONFIG!$J$5:$J$14,MATCH(D374,CONFIG!$D$5:$D$14,0))),""))</f>
        <v/>
      </c>
      <c r="AB374" s="16" t="str">
        <f aca="false">IF(D374="","",IFERROR(1/(1/INDEX(CONFIG!$K$5:$K$14,MATCH(D374,CONFIG!$D$5:$D$14,0))),""))</f>
        <v/>
      </c>
      <c r="AC374" s="19" t="str">
        <f aca="false">IF(N(M374)=0,"",IF(AA374="","Sin spec",IF(AND(Y374&gt;=AA374,OR(AB374="",Z374&gt;=AB374)),"CUMPLE","NO CUMPLE")&amp;IF(V374=""," (est.)","")))</f>
        <v/>
      </c>
      <c r="AD374" s="20" t="str">
        <f aca="false">IF(F374="","",IF(COUNTIFS(ABSORCION!$C$5:$C$1004,F374,ABSORCION!$I$5:$I$1004,"&gt;0")=0,"",AVERAGEIFS(ABSORCION!$I$5:$I$1004,ABSORCION!$C$5:$C$1004,F374,ABSORCION!$I$5:$I$1004,"&gt;0")))</f>
        <v/>
      </c>
      <c r="AE374" s="20" t="str">
        <f aca="false">IF(F374="","",IF(COUNTIFS(ABSORCION!$C$5:$C$1004,F374,ABSORCION!$I$5:$I$1004,"&gt;0")=0,"",AVERAGEIFS(ABSORCION!$K$5:$K$1004,ABSORCION!$C$5:$C$1004,F374,ABSORCION!$I$5:$I$1004,"&gt;0")))</f>
        <v/>
      </c>
      <c r="AF374" s="20" t="str">
        <f aca="false">IF(AE374="","",IF(AE374&gt;=CONFIG!$E$21,CONFIG!$F$21,IF(AE374&gt;=CONFIG!$E$20,CONFIG!$F$20,CONFIG!$F$19)))</f>
        <v/>
      </c>
      <c r="AG374" s="21" t="str">
        <f aca="false">IF(F374="","",TRIM(IF(N(M374)=0,"Sin ensayos. ","")&amp;IF(AND(N(M374)&gt;0,N(M374)&lt;CONFIG!$B$26),"Menos de "&amp;CONFIG!$B$26&amp;" probetas. ","")&amp;IF(N(T374)&gt;CONFIG!$B$25,"CV alto. ","")&amp;IF(AND(N(AD374)&gt;0,N(AD374)&gt;N(AF374)),"Absorción alta. ","")))</f>
        <v/>
      </c>
      <c r="AH374" s="22" t="str">
        <f aca="false">IF(AND(N(M374)&gt;0,OR(CONTROL!$C$4="TODAS",C374=CONTROL!$C$4),D374=CONTROL!$C$5),MAX($AH$4:AH373)+1,"")</f>
        <v/>
      </c>
      <c r="AI374" s="22" t="str">
        <f aca="false">IF(AH374="","",P374^2)</f>
        <v/>
      </c>
    </row>
    <row r="375" customFormat="false" ht="15" hidden="false" customHeight="false" outlineLevel="0" collapsed="false">
      <c r="A375" s="11" t="str">
        <f aca="false">IF(B375="","",ROW()-4)</f>
        <v/>
      </c>
      <c r="B375" s="12"/>
      <c r="C375" s="13"/>
      <c r="D375" s="13"/>
      <c r="E375" s="13"/>
      <c r="F375" s="14" t="str">
        <f aca="false">IF(OR(B375="",C375="",D375=""),"",IFERROR(INDEX(CONFIG!$E$5:$E$14,MATCH(D375,CONFIG!$D$5:$D$14,0)),"?")&amp;RIGHT("0"&amp;DAY(B375),2)&amp;RIGHT("0"&amp;MONTH(B375),2)&amp;RIGHT(YEAR(B375),2)&amp;C375&amp;IF(E375="","","-"&amp;E375))</f>
        <v/>
      </c>
      <c r="G375" s="13"/>
      <c r="H375" s="13"/>
      <c r="I375" s="13"/>
      <c r="J375" s="13"/>
      <c r="K375" s="13"/>
      <c r="L375" s="13"/>
      <c r="M375" s="11" t="str">
        <f aca="false">IF(F375="","",COUNTIFS(ENSAYOS!$C$5:$C$3004,F375,ENSAYOS!$Q$5:$Q$3004,"&gt;0"))</f>
        <v/>
      </c>
      <c r="N375" s="15" t="str">
        <f aca="false">IF(N(M375)=0,"",_xlfn.MINIFS(ENSAYOS!$G$5:$G$3004,ENSAYOS!$C$5:$C$3004,F375,ENSAYOS!$Q$5:$Q$3004,"&gt;0"))</f>
        <v/>
      </c>
      <c r="O375" s="15" t="str">
        <f aca="false">IF(N(M375)=0,"",_xlfn.MAXIFS(ENSAYOS!$G$5:$G$3004,ENSAYOS!$C$5:$C$3004,F375,ENSAYOS!$Q$5:$Q$3004,"&gt;0"))</f>
        <v/>
      </c>
      <c r="P375" s="16" t="str">
        <f aca="false">IF(N(M375)=0,"",AVERAGEIFS(ENSAYOS!$Q$5:$Q$3004,ENSAYOS!$C$5:$C$3004,F375,ENSAYOS!$Q$5:$Q$3004,"&gt;0"))</f>
        <v/>
      </c>
      <c r="Q375" s="16" t="str">
        <f aca="false">IF(N(M375)=0,"",_xlfn.MINIFS(ENSAYOS!$Q$5:$Q$3004,ENSAYOS!$C$5:$C$3004,F375,ENSAYOS!$Q$5:$Q$3004,"&gt;0"))</f>
        <v/>
      </c>
      <c r="R375" s="16" t="str">
        <f aca="false">IF(N(M375)=0,"",_xlfn.MAXIFS(ENSAYOS!$Q$5:$Q$3004,ENSAYOS!$C$5:$C$3004,F375,ENSAYOS!$Q$5:$Q$3004,"&gt;0"))</f>
        <v/>
      </c>
      <c r="S375" s="16" t="str">
        <f aca="false">IF(N(M375)&lt;2,"",SQRT(MAX(0,(SUMIFS(ENSAYOS!$X$5:$X$3004,ENSAYOS!$C$5:$C$3004,F375,ENSAYOS!$Q$5:$Q$3004,"&gt;0")-M375*P375^2)/(M375-1))))</f>
        <v/>
      </c>
      <c r="T375" s="17" t="str">
        <f aca="false">IF(S375="","",S375/P375)</f>
        <v/>
      </c>
      <c r="U375" s="16" t="str">
        <f aca="false">IF(N(M375)=0,"",IF(N375&gt;=CONFIG!$B$27,"",AVERAGEIFS(ENSAYOS!$Q$5:$Q$3004,ENSAYOS!$C$5:$C$3004,F375,ENSAYOS!$Q$5:$Q$3004,"&gt;0",ENSAYOS!$G$5:$G$3004,N375)))</f>
        <v/>
      </c>
      <c r="V375" s="16" t="str">
        <f aca="false">IF(N(M375)=0,"",IF(COUNTIFS(ENSAYOS!$C$5:$C$3004,F375,ENSAYOS!$Q$5:$Q$3004,"&gt;0",ENSAYOS!$G$5:$G$3004,"&gt;="&amp;CONFIG!$B$27)=0,"",AVERAGEIFS(ENSAYOS!$Q$5:$Q$3004,ENSAYOS!$C$5:$C$3004,F375,ENSAYOS!$Q$5:$Q$3004,"&gt;0",ENSAYOS!$G$5:$G$3004,"&gt;="&amp;CONFIG!$B$27)))</f>
        <v/>
      </c>
      <c r="W375" s="18" t="str">
        <f aca="false">IF(AND(U375&lt;&gt;"",V375&lt;&gt;""),U375/V375,"")</f>
        <v/>
      </c>
      <c r="X375" s="18" t="str">
        <f aca="false">IF(U375="","",INDEX('CURVA EDAD'!$E$5:$E$32,MIN(28,MAX(1,N375))))</f>
        <v/>
      </c>
      <c r="Y375" s="16" t="str">
        <f aca="false">IF(V375&lt;&gt;"",V375,IF(U375="","",U375/X375))</f>
        <v/>
      </c>
      <c r="Z375" s="16" t="str">
        <f aca="false">IF(V375&lt;&gt;"",_xlfn.MINIFS(ENSAYOS!$Q$5:$Q$3004,ENSAYOS!$C$5:$C$3004,F375,ENSAYOS!$Q$5:$Q$3004,"&gt;0",ENSAYOS!$G$5:$G$3004,"&gt;="&amp;CONFIG!$B$27),IF(U375="","",_xlfn.MINIFS(ENSAYOS!$Q$5:$Q$3004,ENSAYOS!$C$5:$C$3004,F375,ENSAYOS!$Q$5:$Q$3004,"&gt;0",ENSAYOS!$G$5:$G$3004,N375)/X375))</f>
        <v/>
      </c>
      <c r="AA375" s="16" t="str">
        <f aca="false">IF(D375="","",IFERROR(1/(1/INDEX(CONFIG!$J$5:$J$14,MATCH(D375,CONFIG!$D$5:$D$14,0))),""))</f>
        <v/>
      </c>
      <c r="AB375" s="16" t="str">
        <f aca="false">IF(D375="","",IFERROR(1/(1/INDEX(CONFIG!$K$5:$K$14,MATCH(D375,CONFIG!$D$5:$D$14,0))),""))</f>
        <v/>
      </c>
      <c r="AC375" s="19" t="str">
        <f aca="false">IF(N(M375)=0,"",IF(AA375="","Sin spec",IF(AND(Y375&gt;=AA375,OR(AB375="",Z375&gt;=AB375)),"CUMPLE","NO CUMPLE")&amp;IF(V375=""," (est.)","")))</f>
        <v/>
      </c>
      <c r="AD375" s="20" t="str">
        <f aca="false">IF(F375="","",IF(COUNTIFS(ABSORCION!$C$5:$C$1004,F375,ABSORCION!$I$5:$I$1004,"&gt;0")=0,"",AVERAGEIFS(ABSORCION!$I$5:$I$1004,ABSORCION!$C$5:$C$1004,F375,ABSORCION!$I$5:$I$1004,"&gt;0")))</f>
        <v/>
      </c>
      <c r="AE375" s="20" t="str">
        <f aca="false">IF(F375="","",IF(COUNTIFS(ABSORCION!$C$5:$C$1004,F375,ABSORCION!$I$5:$I$1004,"&gt;0")=0,"",AVERAGEIFS(ABSORCION!$K$5:$K$1004,ABSORCION!$C$5:$C$1004,F375,ABSORCION!$I$5:$I$1004,"&gt;0")))</f>
        <v/>
      </c>
      <c r="AF375" s="20" t="str">
        <f aca="false">IF(AE375="","",IF(AE375&gt;=CONFIG!$E$21,CONFIG!$F$21,IF(AE375&gt;=CONFIG!$E$20,CONFIG!$F$20,CONFIG!$F$19)))</f>
        <v/>
      </c>
      <c r="AG375" s="21" t="str">
        <f aca="false">IF(F375="","",TRIM(IF(N(M375)=0,"Sin ensayos. ","")&amp;IF(AND(N(M375)&gt;0,N(M375)&lt;CONFIG!$B$26),"Menos de "&amp;CONFIG!$B$26&amp;" probetas. ","")&amp;IF(N(T375)&gt;CONFIG!$B$25,"CV alto. ","")&amp;IF(AND(N(AD375)&gt;0,N(AD375)&gt;N(AF375)),"Absorción alta. ","")))</f>
        <v/>
      </c>
      <c r="AH375" s="22" t="str">
        <f aca="false">IF(AND(N(M375)&gt;0,OR(CONTROL!$C$4="TODAS",C375=CONTROL!$C$4),D375=CONTROL!$C$5),MAX($AH$4:AH374)+1,"")</f>
        <v/>
      </c>
      <c r="AI375" s="22" t="str">
        <f aca="false">IF(AH375="","",P375^2)</f>
        <v/>
      </c>
    </row>
    <row r="376" customFormat="false" ht="15" hidden="false" customHeight="false" outlineLevel="0" collapsed="false">
      <c r="A376" s="11" t="str">
        <f aca="false">IF(B376="","",ROW()-4)</f>
        <v/>
      </c>
      <c r="B376" s="12"/>
      <c r="C376" s="13"/>
      <c r="D376" s="13"/>
      <c r="E376" s="13"/>
      <c r="F376" s="14" t="str">
        <f aca="false">IF(OR(B376="",C376="",D376=""),"",IFERROR(INDEX(CONFIG!$E$5:$E$14,MATCH(D376,CONFIG!$D$5:$D$14,0)),"?")&amp;RIGHT("0"&amp;DAY(B376),2)&amp;RIGHT("0"&amp;MONTH(B376),2)&amp;RIGHT(YEAR(B376),2)&amp;C376&amp;IF(E376="","","-"&amp;E376))</f>
        <v/>
      </c>
      <c r="G376" s="13"/>
      <c r="H376" s="13"/>
      <c r="I376" s="13"/>
      <c r="J376" s="13"/>
      <c r="K376" s="13"/>
      <c r="L376" s="13"/>
      <c r="M376" s="11" t="str">
        <f aca="false">IF(F376="","",COUNTIFS(ENSAYOS!$C$5:$C$3004,F376,ENSAYOS!$Q$5:$Q$3004,"&gt;0"))</f>
        <v/>
      </c>
      <c r="N376" s="15" t="str">
        <f aca="false">IF(N(M376)=0,"",_xlfn.MINIFS(ENSAYOS!$G$5:$G$3004,ENSAYOS!$C$5:$C$3004,F376,ENSAYOS!$Q$5:$Q$3004,"&gt;0"))</f>
        <v/>
      </c>
      <c r="O376" s="15" t="str">
        <f aca="false">IF(N(M376)=0,"",_xlfn.MAXIFS(ENSAYOS!$G$5:$G$3004,ENSAYOS!$C$5:$C$3004,F376,ENSAYOS!$Q$5:$Q$3004,"&gt;0"))</f>
        <v/>
      </c>
      <c r="P376" s="16" t="str">
        <f aca="false">IF(N(M376)=0,"",AVERAGEIFS(ENSAYOS!$Q$5:$Q$3004,ENSAYOS!$C$5:$C$3004,F376,ENSAYOS!$Q$5:$Q$3004,"&gt;0"))</f>
        <v/>
      </c>
      <c r="Q376" s="16" t="str">
        <f aca="false">IF(N(M376)=0,"",_xlfn.MINIFS(ENSAYOS!$Q$5:$Q$3004,ENSAYOS!$C$5:$C$3004,F376,ENSAYOS!$Q$5:$Q$3004,"&gt;0"))</f>
        <v/>
      </c>
      <c r="R376" s="16" t="str">
        <f aca="false">IF(N(M376)=0,"",_xlfn.MAXIFS(ENSAYOS!$Q$5:$Q$3004,ENSAYOS!$C$5:$C$3004,F376,ENSAYOS!$Q$5:$Q$3004,"&gt;0"))</f>
        <v/>
      </c>
      <c r="S376" s="16" t="str">
        <f aca="false">IF(N(M376)&lt;2,"",SQRT(MAX(0,(SUMIFS(ENSAYOS!$X$5:$X$3004,ENSAYOS!$C$5:$C$3004,F376,ENSAYOS!$Q$5:$Q$3004,"&gt;0")-M376*P376^2)/(M376-1))))</f>
        <v/>
      </c>
      <c r="T376" s="17" t="str">
        <f aca="false">IF(S376="","",S376/P376)</f>
        <v/>
      </c>
      <c r="U376" s="16" t="str">
        <f aca="false">IF(N(M376)=0,"",IF(N376&gt;=CONFIG!$B$27,"",AVERAGEIFS(ENSAYOS!$Q$5:$Q$3004,ENSAYOS!$C$5:$C$3004,F376,ENSAYOS!$Q$5:$Q$3004,"&gt;0",ENSAYOS!$G$5:$G$3004,N376)))</f>
        <v/>
      </c>
      <c r="V376" s="16" t="str">
        <f aca="false">IF(N(M376)=0,"",IF(COUNTIFS(ENSAYOS!$C$5:$C$3004,F376,ENSAYOS!$Q$5:$Q$3004,"&gt;0",ENSAYOS!$G$5:$G$3004,"&gt;="&amp;CONFIG!$B$27)=0,"",AVERAGEIFS(ENSAYOS!$Q$5:$Q$3004,ENSAYOS!$C$5:$C$3004,F376,ENSAYOS!$Q$5:$Q$3004,"&gt;0",ENSAYOS!$G$5:$G$3004,"&gt;="&amp;CONFIG!$B$27)))</f>
        <v/>
      </c>
      <c r="W376" s="18" t="str">
        <f aca="false">IF(AND(U376&lt;&gt;"",V376&lt;&gt;""),U376/V376,"")</f>
        <v/>
      </c>
      <c r="X376" s="18" t="str">
        <f aca="false">IF(U376="","",INDEX('CURVA EDAD'!$E$5:$E$32,MIN(28,MAX(1,N376))))</f>
        <v/>
      </c>
      <c r="Y376" s="16" t="str">
        <f aca="false">IF(V376&lt;&gt;"",V376,IF(U376="","",U376/X376))</f>
        <v/>
      </c>
      <c r="Z376" s="16" t="str">
        <f aca="false">IF(V376&lt;&gt;"",_xlfn.MINIFS(ENSAYOS!$Q$5:$Q$3004,ENSAYOS!$C$5:$C$3004,F376,ENSAYOS!$Q$5:$Q$3004,"&gt;0",ENSAYOS!$G$5:$G$3004,"&gt;="&amp;CONFIG!$B$27),IF(U376="","",_xlfn.MINIFS(ENSAYOS!$Q$5:$Q$3004,ENSAYOS!$C$5:$C$3004,F376,ENSAYOS!$Q$5:$Q$3004,"&gt;0",ENSAYOS!$G$5:$G$3004,N376)/X376))</f>
        <v/>
      </c>
      <c r="AA376" s="16" t="str">
        <f aca="false">IF(D376="","",IFERROR(1/(1/INDEX(CONFIG!$J$5:$J$14,MATCH(D376,CONFIG!$D$5:$D$14,0))),""))</f>
        <v/>
      </c>
      <c r="AB376" s="16" t="str">
        <f aca="false">IF(D376="","",IFERROR(1/(1/INDEX(CONFIG!$K$5:$K$14,MATCH(D376,CONFIG!$D$5:$D$14,0))),""))</f>
        <v/>
      </c>
      <c r="AC376" s="19" t="str">
        <f aca="false">IF(N(M376)=0,"",IF(AA376="","Sin spec",IF(AND(Y376&gt;=AA376,OR(AB376="",Z376&gt;=AB376)),"CUMPLE","NO CUMPLE")&amp;IF(V376=""," (est.)","")))</f>
        <v/>
      </c>
      <c r="AD376" s="20" t="str">
        <f aca="false">IF(F376="","",IF(COUNTIFS(ABSORCION!$C$5:$C$1004,F376,ABSORCION!$I$5:$I$1004,"&gt;0")=0,"",AVERAGEIFS(ABSORCION!$I$5:$I$1004,ABSORCION!$C$5:$C$1004,F376,ABSORCION!$I$5:$I$1004,"&gt;0")))</f>
        <v/>
      </c>
      <c r="AE376" s="20" t="str">
        <f aca="false">IF(F376="","",IF(COUNTIFS(ABSORCION!$C$5:$C$1004,F376,ABSORCION!$I$5:$I$1004,"&gt;0")=0,"",AVERAGEIFS(ABSORCION!$K$5:$K$1004,ABSORCION!$C$5:$C$1004,F376,ABSORCION!$I$5:$I$1004,"&gt;0")))</f>
        <v/>
      </c>
      <c r="AF376" s="20" t="str">
        <f aca="false">IF(AE376="","",IF(AE376&gt;=CONFIG!$E$21,CONFIG!$F$21,IF(AE376&gt;=CONFIG!$E$20,CONFIG!$F$20,CONFIG!$F$19)))</f>
        <v/>
      </c>
      <c r="AG376" s="21" t="str">
        <f aca="false">IF(F376="","",TRIM(IF(N(M376)=0,"Sin ensayos. ","")&amp;IF(AND(N(M376)&gt;0,N(M376)&lt;CONFIG!$B$26),"Menos de "&amp;CONFIG!$B$26&amp;" probetas. ","")&amp;IF(N(T376)&gt;CONFIG!$B$25,"CV alto. ","")&amp;IF(AND(N(AD376)&gt;0,N(AD376)&gt;N(AF376)),"Absorción alta. ","")))</f>
        <v/>
      </c>
      <c r="AH376" s="22" t="str">
        <f aca="false">IF(AND(N(M376)&gt;0,OR(CONTROL!$C$4="TODAS",C376=CONTROL!$C$4),D376=CONTROL!$C$5),MAX($AH$4:AH375)+1,"")</f>
        <v/>
      </c>
      <c r="AI376" s="22" t="str">
        <f aca="false">IF(AH376="","",P376^2)</f>
        <v/>
      </c>
    </row>
    <row r="377" customFormat="false" ht="15" hidden="false" customHeight="false" outlineLevel="0" collapsed="false">
      <c r="A377" s="11" t="str">
        <f aca="false">IF(B377="","",ROW()-4)</f>
        <v/>
      </c>
      <c r="B377" s="12"/>
      <c r="C377" s="13"/>
      <c r="D377" s="13"/>
      <c r="E377" s="13"/>
      <c r="F377" s="14" t="str">
        <f aca="false">IF(OR(B377="",C377="",D377=""),"",IFERROR(INDEX(CONFIG!$E$5:$E$14,MATCH(D377,CONFIG!$D$5:$D$14,0)),"?")&amp;RIGHT("0"&amp;DAY(B377),2)&amp;RIGHT("0"&amp;MONTH(B377),2)&amp;RIGHT(YEAR(B377),2)&amp;C377&amp;IF(E377="","","-"&amp;E377))</f>
        <v/>
      </c>
      <c r="G377" s="13"/>
      <c r="H377" s="13"/>
      <c r="I377" s="13"/>
      <c r="J377" s="13"/>
      <c r="K377" s="13"/>
      <c r="L377" s="13"/>
      <c r="M377" s="11" t="str">
        <f aca="false">IF(F377="","",COUNTIFS(ENSAYOS!$C$5:$C$3004,F377,ENSAYOS!$Q$5:$Q$3004,"&gt;0"))</f>
        <v/>
      </c>
      <c r="N377" s="15" t="str">
        <f aca="false">IF(N(M377)=0,"",_xlfn.MINIFS(ENSAYOS!$G$5:$G$3004,ENSAYOS!$C$5:$C$3004,F377,ENSAYOS!$Q$5:$Q$3004,"&gt;0"))</f>
        <v/>
      </c>
      <c r="O377" s="15" t="str">
        <f aca="false">IF(N(M377)=0,"",_xlfn.MAXIFS(ENSAYOS!$G$5:$G$3004,ENSAYOS!$C$5:$C$3004,F377,ENSAYOS!$Q$5:$Q$3004,"&gt;0"))</f>
        <v/>
      </c>
      <c r="P377" s="16" t="str">
        <f aca="false">IF(N(M377)=0,"",AVERAGEIFS(ENSAYOS!$Q$5:$Q$3004,ENSAYOS!$C$5:$C$3004,F377,ENSAYOS!$Q$5:$Q$3004,"&gt;0"))</f>
        <v/>
      </c>
      <c r="Q377" s="16" t="str">
        <f aca="false">IF(N(M377)=0,"",_xlfn.MINIFS(ENSAYOS!$Q$5:$Q$3004,ENSAYOS!$C$5:$C$3004,F377,ENSAYOS!$Q$5:$Q$3004,"&gt;0"))</f>
        <v/>
      </c>
      <c r="R377" s="16" t="str">
        <f aca="false">IF(N(M377)=0,"",_xlfn.MAXIFS(ENSAYOS!$Q$5:$Q$3004,ENSAYOS!$C$5:$C$3004,F377,ENSAYOS!$Q$5:$Q$3004,"&gt;0"))</f>
        <v/>
      </c>
      <c r="S377" s="16" t="str">
        <f aca="false">IF(N(M377)&lt;2,"",SQRT(MAX(0,(SUMIFS(ENSAYOS!$X$5:$X$3004,ENSAYOS!$C$5:$C$3004,F377,ENSAYOS!$Q$5:$Q$3004,"&gt;0")-M377*P377^2)/(M377-1))))</f>
        <v/>
      </c>
      <c r="T377" s="17" t="str">
        <f aca="false">IF(S377="","",S377/P377)</f>
        <v/>
      </c>
      <c r="U377" s="16" t="str">
        <f aca="false">IF(N(M377)=0,"",IF(N377&gt;=CONFIG!$B$27,"",AVERAGEIFS(ENSAYOS!$Q$5:$Q$3004,ENSAYOS!$C$5:$C$3004,F377,ENSAYOS!$Q$5:$Q$3004,"&gt;0",ENSAYOS!$G$5:$G$3004,N377)))</f>
        <v/>
      </c>
      <c r="V377" s="16" t="str">
        <f aca="false">IF(N(M377)=0,"",IF(COUNTIFS(ENSAYOS!$C$5:$C$3004,F377,ENSAYOS!$Q$5:$Q$3004,"&gt;0",ENSAYOS!$G$5:$G$3004,"&gt;="&amp;CONFIG!$B$27)=0,"",AVERAGEIFS(ENSAYOS!$Q$5:$Q$3004,ENSAYOS!$C$5:$C$3004,F377,ENSAYOS!$Q$5:$Q$3004,"&gt;0",ENSAYOS!$G$5:$G$3004,"&gt;="&amp;CONFIG!$B$27)))</f>
        <v/>
      </c>
      <c r="W377" s="18" t="str">
        <f aca="false">IF(AND(U377&lt;&gt;"",V377&lt;&gt;""),U377/V377,"")</f>
        <v/>
      </c>
      <c r="X377" s="18" t="str">
        <f aca="false">IF(U377="","",INDEX('CURVA EDAD'!$E$5:$E$32,MIN(28,MAX(1,N377))))</f>
        <v/>
      </c>
      <c r="Y377" s="16" t="str">
        <f aca="false">IF(V377&lt;&gt;"",V377,IF(U377="","",U377/X377))</f>
        <v/>
      </c>
      <c r="Z377" s="16" t="str">
        <f aca="false">IF(V377&lt;&gt;"",_xlfn.MINIFS(ENSAYOS!$Q$5:$Q$3004,ENSAYOS!$C$5:$C$3004,F377,ENSAYOS!$Q$5:$Q$3004,"&gt;0",ENSAYOS!$G$5:$G$3004,"&gt;="&amp;CONFIG!$B$27),IF(U377="","",_xlfn.MINIFS(ENSAYOS!$Q$5:$Q$3004,ENSAYOS!$C$5:$C$3004,F377,ENSAYOS!$Q$5:$Q$3004,"&gt;0",ENSAYOS!$G$5:$G$3004,N377)/X377))</f>
        <v/>
      </c>
      <c r="AA377" s="16" t="str">
        <f aca="false">IF(D377="","",IFERROR(1/(1/INDEX(CONFIG!$J$5:$J$14,MATCH(D377,CONFIG!$D$5:$D$14,0))),""))</f>
        <v/>
      </c>
      <c r="AB377" s="16" t="str">
        <f aca="false">IF(D377="","",IFERROR(1/(1/INDEX(CONFIG!$K$5:$K$14,MATCH(D377,CONFIG!$D$5:$D$14,0))),""))</f>
        <v/>
      </c>
      <c r="AC377" s="19" t="str">
        <f aca="false">IF(N(M377)=0,"",IF(AA377="","Sin spec",IF(AND(Y377&gt;=AA377,OR(AB377="",Z377&gt;=AB377)),"CUMPLE","NO CUMPLE")&amp;IF(V377=""," (est.)","")))</f>
        <v/>
      </c>
      <c r="AD377" s="20" t="str">
        <f aca="false">IF(F377="","",IF(COUNTIFS(ABSORCION!$C$5:$C$1004,F377,ABSORCION!$I$5:$I$1004,"&gt;0")=0,"",AVERAGEIFS(ABSORCION!$I$5:$I$1004,ABSORCION!$C$5:$C$1004,F377,ABSORCION!$I$5:$I$1004,"&gt;0")))</f>
        <v/>
      </c>
      <c r="AE377" s="20" t="str">
        <f aca="false">IF(F377="","",IF(COUNTIFS(ABSORCION!$C$5:$C$1004,F377,ABSORCION!$I$5:$I$1004,"&gt;0")=0,"",AVERAGEIFS(ABSORCION!$K$5:$K$1004,ABSORCION!$C$5:$C$1004,F377,ABSORCION!$I$5:$I$1004,"&gt;0")))</f>
        <v/>
      </c>
      <c r="AF377" s="20" t="str">
        <f aca="false">IF(AE377="","",IF(AE377&gt;=CONFIG!$E$21,CONFIG!$F$21,IF(AE377&gt;=CONFIG!$E$20,CONFIG!$F$20,CONFIG!$F$19)))</f>
        <v/>
      </c>
      <c r="AG377" s="21" t="str">
        <f aca="false">IF(F377="","",TRIM(IF(N(M377)=0,"Sin ensayos. ","")&amp;IF(AND(N(M377)&gt;0,N(M377)&lt;CONFIG!$B$26),"Menos de "&amp;CONFIG!$B$26&amp;" probetas. ","")&amp;IF(N(T377)&gt;CONFIG!$B$25,"CV alto. ","")&amp;IF(AND(N(AD377)&gt;0,N(AD377)&gt;N(AF377)),"Absorción alta. ","")))</f>
        <v/>
      </c>
      <c r="AH377" s="22" t="str">
        <f aca="false">IF(AND(N(M377)&gt;0,OR(CONTROL!$C$4="TODAS",C377=CONTROL!$C$4),D377=CONTROL!$C$5),MAX($AH$4:AH376)+1,"")</f>
        <v/>
      </c>
      <c r="AI377" s="22" t="str">
        <f aca="false">IF(AH377="","",P377^2)</f>
        <v/>
      </c>
    </row>
    <row r="378" customFormat="false" ht="15" hidden="false" customHeight="false" outlineLevel="0" collapsed="false">
      <c r="A378" s="11" t="str">
        <f aca="false">IF(B378="","",ROW()-4)</f>
        <v/>
      </c>
      <c r="B378" s="12"/>
      <c r="C378" s="13"/>
      <c r="D378" s="13"/>
      <c r="E378" s="13"/>
      <c r="F378" s="14" t="str">
        <f aca="false">IF(OR(B378="",C378="",D378=""),"",IFERROR(INDEX(CONFIG!$E$5:$E$14,MATCH(D378,CONFIG!$D$5:$D$14,0)),"?")&amp;RIGHT("0"&amp;DAY(B378),2)&amp;RIGHT("0"&amp;MONTH(B378),2)&amp;RIGHT(YEAR(B378),2)&amp;C378&amp;IF(E378="","","-"&amp;E378))</f>
        <v/>
      </c>
      <c r="G378" s="13"/>
      <c r="H378" s="13"/>
      <c r="I378" s="13"/>
      <c r="J378" s="13"/>
      <c r="K378" s="13"/>
      <c r="L378" s="13"/>
      <c r="M378" s="11" t="str">
        <f aca="false">IF(F378="","",COUNTIFS(ENSAYOS!$C$5:$C$3004,F378,ENSAYOS!$Q$5:$Q$3004,"&gt;0"))</f>
        <v/>
      </c>
      <c r="N378" s="15" t="str">
        <f aca="false">IF(N(M378)=0,"",_xlfn.MINIFS(ENSAYOS!$G$5:$G$3004,ENSAYOS!$C$5:$C$3004,F378,ENSAYOS!$Q$5:$Q$3004,"&gt;0"))</f>
        <v/>
      </c>
      <c r="O378" s="15" t="str">
        <f aca="false">IF(N(M378)=0,"",_xlfn.MAXIFS(ENSAYOS!$G$5:$G$3004,ENSAYOS!$C$5:$C$3004,F378,ENSAYOS!$Q$5:$Q$3004,"&gt;0"))</f>
        <v/>
      </c>
      <c r="P378" s="16" t="str">
        <f aca="false">IF(N(M378)=0,"",AVERAGEIFS(ENSAYOS!$Q$5:$Q$3004,ENSAYOS!$C$5:$C$3004,F378,ENSAYOS!$Q$5:$Q$3004,"&gt;0"))</f>
        <v/>
      </c>
      <c r="Q378" s="16" t="str">
        <f aca="false">IF(N(M378)=0,"",_xlfn.MINIFS(ENSAYOS!$Q$5:$Q$3004,ENSAYOS!$C$5:$C$3004,F378,ENSAYOS!$Q$5:$Q$3004,"&gt;0"))</f>
        <v/>
      </c>
      <c r="R378" s="16" t="str">
        <f aca="false">IF(N(M378)=0,"",_xlfn.MAXIFS(ENSAYOS!$Q$5:$Q$3004,ENSAYOS!$C$5:$C$3004,F378,ENSAYOS!$Q$5:$Q$3004,"&gt;0"))</f>
        <v/>
      </c>
      <c r="S378" s="16" t="str">
        <f aca="false">IF(N(M378)&lt;2,"",SQRT(MAX(0,(SUMIFS(ENSAYOS!$X$5:$X$3004,ENSAYOS!$C$5:$C$3004,F378,ENSAYOS!$Q$5:$Q$3004,"&gt;0")-M378*P378^2)/(M378-1))))</f>
        <v/>
      </c>
      <c r="T378" s="17" t="str">
        <f aca="false">IF(S378="","",S378/P378)</f>
        <v/>
      </c>
      <c r="U378" s="16" t="str">
        <f aca="false">IF(N(M378)=0,"",IF(N378&gt;=CONFIG!$B$27,"",AVERAGEIFS(ENSAYOS!$Q$5:$Q$3004,ENSAYOS!$C$5:$C$3004,F378,ENSAYOS!$Q$5:$Q$3004,"&gt;0",ENSAYOS!$G$5:$G$3004,N378)))</f>
        <v/>
      </c>
      <c r="V378" s="16" t="str">
        <f aca="false">IF(N(M378)=0,"",IF(COUNTIFS(ENSAYOS!$C$5:$C$3004,F378,ENSAYOS!$Q$5:$Q$3004,"&gt;0",ENSAYOS!$G$5:$G$3004,"&gt;="&amp;CONFIG!$B$27)=0,"",AVERAGEIFS(ENSAYOS!$Q$5:$Q$3004,ENSAYOS!$C$5:$C$3004,F378,ENSAYOS!$Q$5:$Q$3004,"&gt;0",ENSAYOS!$G$5:$G$3004,"&gt;="&amp;CONFIG!$B$27)))</f>
        <v/>
      </c>
      <c r="W378" s="18" t="str">
        <f aca="false">IF(AND(U378&lt;&gt;"",V378&lt;&gt;""),U378/V378,"")</f>
        <v/>
      </c>
      <c r="X378" s="18" t="str">
        <f aca="false">IF(U378="","",INDEX('CURVA EDAD'!$E$5:$E$32,MIN(28,MAX(1,N378))))</f>
        <v/>
      </c>
      <c r="Y378" s="16" t="str">
        <f aca="false">IF(V378&lt;&gt;"",V378,IF(U378="","",U378/X378))</f>
        <v/>
      </c>
      <c r="Z378" s="16" t="str">
        <f aca="false">IF(V378&lt;&gt;"",_xlfn.MINIFS(ENSAYOS!$Q$5:$Q$3004,ENSAYOS!$C$5:$C$3004,F378,ENSAYOS!$Q$5:$Q$3004,"&gt;0",ENSAYOS!$G$5:$G$3004,"&gt;="&amp;CONFIG!$B$27),IF(U378="","",_xlfn.MINIFS(ENSAYOS!$Q$5:$Q$3004,ENSAYOS!$C$5:$C$3004,F378,ENSAYOS!$Q$5:$Q$3004,"&gt;0",ENSAYOS!$G$5:$G$3004,N378)/X378))</f>
        <v/>
      </c>
      <c r="AA378" s="16" t="str">
        <f aca="false">IF(D378="","",IFERROR(1/(1/INDEX(CONFIG!$J$5:$J$14,MATCH(D378,CONFIG!$D$5:$D$14,0))),""))</f>
        <v/>
      </c>
      <c r="AB378" s="16" t="str">
        <f aca="false">IF(D378="","",IFERROR(1/(1/INDEX(CONFIG!$K$5:$K$14,MATCH(D378,CONFIG!$D$5:$D$14,0))),""))</f>
        <v/>
      </c>
      <c r="AC378" s="19" t="str">
        <f aca="false">IF(N(M378)=0,"",IF(AA378="","Sin spec",IF(AND(Y378&gt;=AA378,OR(AB378="",Z378&gt;=AB378)),"CUMPLE","NO CUMPLE")&amp;IF(V378=""," (est.)","")))</f>
        <v/>
      </c>
      <c r="AD378" s="20" t="str">
        <f aca="false">IF(F378="","",IF(COUNTIFS(ABSORCION!$C$5:$C$1004,F378,ABSORCION!$I$5:$I$1004,"&gt;0")=0,"",AVERAGEIFS(ABSORCION!$I$5:$I$1004,ABSORCION!$C$5:$C$1004,F378,ABSORCION!$I$5:$I$1004,"&gt;0")))</f>
        <v/>
      </c>
      <c r="AE378" s="20" t="str">
        <f aca="false">IF(F378="","",IF(COUNTIFS(ABSORCION!$C$5:$C$1004,F378,ABSORCION!$I$5:$I$1004,"&gt;0")=0,"",AVERAGEIFS(ABSORCION!$K$5:$K$1004,ABSORCION!$C$5:$C$1004,F378,ABSORCION!$I$5:$I$1004,"&gt;0")))</f>
        <v/>
      </c>
      <c r="AF378" s="20" t="str">
        <f aca="false">IF(AE378="","",IF(AE378&gt;=CONFIG!$E$21,CONFIG!$F$21,IF(AE378&gt;=CONFIG!$E$20,CONFIG!$F$20,CONFIG!$F$19)))</f>
        <v/>
      </c>
      <c r="AG378" s="21" t="str">
        <f aca="false">IF(F378="","",TRIM(IF(N(M378)=0,"Sin ensayos. ","")&amp;IF(AND(N(M378)&gt;0,N(M378)&lt;CONFIG!$B$26),"Menos de "&amp;CONFIG!$B$26&amp;" probetas. ","")&amp;IF(N(T378)&gt;CONFIG!$B$25,"CV alto. ","")&amp;IF(AND(N(AD378)&gt;0,N(AD378)&gt;N(AF378)),"Absorción alta. ","")))</f>
        <v/>
      </c>
      <c r="AH378" s="22" t="str">
        <f aca="false">IF(AND(N(M378)&gt;0,OR(CONTROL!$C$4="TODAS",C378=CONTROL!$C$4),D378=CONTROL!$C$5),MAX($AH$4:AH377)+1,"")</f>
        <v/>
      </c>
      <c r="AI378" s="22" t="str">
        <f aca="false">IF(AH378="","",P378^2)</f>
        <v/>
      </c>
    </row>
    <row r="379" customFormat="false" ht="15" hidden="false" customHeight="false" outlineLevel="0" collapsed="false">
      <c r="A379" s="11" t="str">
        <f aca="false">IF(B379="","",ROW()-4)</f>
        <v/>
      </c>
      <c r="B379" s="12"/>
      <c r="C379" s="13"/>
      <c r="D379" s="13"/>
      <c r="E379" s="13"/>
      <c r="F379" s="14" t="str">
        <f aca="false">IF(OR(B379="",C379="",D379=""),"",IFERROR(INDEX(CONFIG!$E$5:$E$14,MATCH(D379,CONFIG!$D$5:$D$14,0)),"?")&amp;RIGHT("0"&amp;DAY(B379),2)&amp;RIGHT("0"&amp;MONTH(B379),2)&amp;RIGHT(YEAR(B379),2)&amp;C379&amp;IF(E379="","","-"&amp;E379))</f>
        <v/>
      </c>
      <c r="G379" s="13"/>
      <c r="H379" s="13"/>
      <c r="I379" s="13"/>
      <c r="J379" s="13"/>
      <c r="K379" s="13"/>
      <c r="L379" s="13"/>
      <c r="M379" s="11" t="str">
        <f aca="false">IF(F379="","",COUNTIFS(ENSAYOS!$C$5:$C$3004,F379,ENSAYOS!$Q$5:$Q$3004,"&gt;0"))</f>
        <v/>
      </c>
      <c r="N379" s="15" t="str">
        <f aca="false">IF(N(M379)=0,"",_xlfn.MINIFS(ENSAYOS!$G$5:$G$3004,ENSAYOS!$C$5:$C$3004,F379,ENSAYOS!$Q$5:$Q$3004,"&gt;0"))</f>
        <v/>
      </c>
      <c r="O379" s="15" t="str">
        <f aca="false">IF(N(M379)=0,"",_xlfn.MAXIFS(ENSAYOS!$G$5:$G$3004,ENSAYOS!$C$5:$C$3004,F379,ENSAYOS!$Q$5:$Q$3004,"&gt;0"))</f>
        <v/>
      </c>
      <c r="P379" s="16" t="str">
        <f aca="false">IF(N(M379)=0,"",AVERAGEIFS(ENSAYOS!$Q$5:$Q$3004,ENSAYOS!$C$5:$C$3004,F379,ENSAYOS!$Q$5:$Q$3004,"&gt;0"))</f>
        <v/>
      </c>
      <c r="Q379" s="16" t="str">
        <f aca="false">IF(N(M379)=0,"",_xlfn.MINIFS(ENSAYOS!$Q$5:$Q$3004,ENSAYOS!$C$5:$C$3004,F379,ENSAYOS!$Q$5:$Q$3004,"&gt;0"))</f>
        <v/>
      </c>
      <c r="R379" s="16" t="str">
        <f aca="false">IF(N(M379)=0,"",_xlfn.MAXIFS(ENSAYOS!$Q$5:$Q$3004,ENSAYOS!$C$5:$C$3004,F379,ENSAYOS!$Q$5:$Q$3004,"&gt;0"))</f>
        <v/>
      </c>
      <c r="S379" s="16" t="str">
        <f aca="false">IF(N(M379)&lt;2,"",SQRT(MAX(0,(SUMIFS(ENSAYOS!$X$5:$X$3004,ENSAYOS!$C$5:$C$3004,F379,ENSAYOS!$Q$5:$Q$3004,"&gt;0")-M379*P379^2)/(M379-1))))</f>
        <v/>
      </c>
      <c r="T379" s="17" t="str">
        <f aca="false">IF(S379="","",S379/P379)</f>
        <v/>
      </c>
      <c r="U379" s="16" t="str">
        <f aca="false">IF(N(M379)=0,"",IF(N379&gt;=CONFIG!$B$27,"",AVERAGEIFS(ENSAYOS!$Q$5:$Q$3004,ENSAYOS!$C$5:$C$3004,F379,ENSAYOS!$Q$5:$Q$3004,"&gt;0",ENSAYOS!$G$5:$G$3004,N379)))</f>
        <v/>
      </c>
      <c r="V379" s="16" t="str">
        <f aca="false">IF(N(M379)=0,"",IF(COUNTIFS(ENSAYOS!$C$5:$C$3004,F379,ENSAYOS!$Q$5:$Q$3004,"&gt;0",ENSAYOS!$G$5:$G$3004,"&gt;="&amp;CONFIG!$B$27)=0,"",AVERAGEIFS(ENSAYOS!$Q$5:$Q$3004,ENSAYOS!$C$5:$C$3004,F379,ENSAYOS!$Q$5:$Q$3004,"&gt;0",ENSAYOS!$G$5:$G$3004,"&gt;="&amp;CONFIG!$B$27)))</f>
        <v/>
      </c>
      <c r="W379" s="18" t="str">
        <f aca="false">IF(AND(U379&lt;&gt;"",V379&lt;&gt;""),U379/V379,"")</f>
        <v/>
      </c>
      <c r="X379" s="18" t="str">
        <f aca="false">IF(U379="","",INDEX('CURVA EDAD'!$E$5:$E$32,MIN(28,MAX(1,N379))))</f>
        <v/>
      </c>
      <c r="Y379" s="16" t="str">
        <f aca="false">IF(V379&lt;&gt;"",V379,IF(U379="","",U379/X379))</f>
        <v/>
      </c>
      <c r="Z379" s="16" t="str">
        <f aca="false">IF(V379&lt;&gt;"",_xlfn.MINIFS(ENSAYOS!$Q$5:$Q$3004,ENSAYOS!$C$5:$C$3004,F379,ENSAYOS!$Q$5:$Q$3004,"&gt;0",ENSAYOS!$G$5:$G$3004,"&gt;="&amp;CONFIG!$B$27),IF(U379="","",_xlfn.MINIFS(ENSAYOS!$Q$5:$Q$3004,ENSAYOS!$C$5:$C$3004,F379,ENSAYOS!$Q$5:$Q$3004,"&gt;0",ENSAYOS!$G$5:$G$3004,N379)/X379))</f>
        <v/>
      </c>
      <c r="AA379" s="16" t="str">
        <f aca="false">IF(D379="","",IFERROR(1/(1/INDEX(CONFIG!$J$5:$J$14,MATCH(D379,CONFIG!$D$5:$D$14,0))),""))</f>
        <v/>
      </c>
      <c r="AB379" s="16" t="str">
        <f aca="false">IF(D379="","",IFERROR(1/(1/INDEX(CONFIG!$K$5:$K$14,MATCH(D379,CONFIG!$D$5:$D$14,0))),""))</f>
        <v/>
      </c>
      <c r="AC379" s="19" t="str">
        <f aca="false">IF(N(M379)=0,"",IF(AA379="","Sin spec",IF(AND(Y379&gt;=AA379,OR(AB379="",Z379&gt;=AB379)),"CUMPLE","NO CUMPLE")&amp;IF(V379=""," (est.)","")))</f>
        <v/>
      </c>
      <c r="AD379" s="20" t="str">
        <f aca="false">IF(F379="","",IF(COUNTIFS(ABSORCION!$C$5:$C$1004,F379,ABSORCION!$I$5:$I$1004,"&gt;0")=0,"",AVERAGEIFS(ABSORCION!$I$5:$I$1004,ABSORCION!$C$5:$C$1004,F379,ABSORCION!$I$5:$I$1004,"&gt;0")))</f>
        <v/>
      </c>
      <c r="AE379" s="20" t="str">
        <f aca="false">IF(F379="","",IF(COUNTIFS(ABSORCION!$C$5:$C$1004,F379,ABSORCION!$I$5:$I$1004,"&gt;0")=0,"",AVERAGEIFS(ABSORCION!$K$5:$K$1004,ABSORCION!$C$5:$C$1004,F379,ABSORCION!$I$5:$I$1004,"&gt;0")))</f>
        <v/>
      </c>
      <c r="AF379" s="20" t="str">
        <f aca="false">IF(AE379="","",IF(AE379&gt;=CONFIG!$E$21,CONFIG!$F$21,IF(AE379&gt;=CONFIG!$E$20,CONFIG!$F$20,CONFIG!$F$19)))</f>
        <v/>
      </c>
      <c r="AG379" s="21" t="str">
        <f aca="false">IF(F379="","",TRIM(IF(N(M379)=0,"Sin ensayos. ","")&amp;IF(AND(N(M379)&gt;0,N(M379)&lt;CONFIG!$B$26),"Menos de "&amp;CONFIG!$B$26&amp;" probetas. ","")&amp;IF(N(T379)&gt;CONFIG!$B$25,"CV alto. ","")&amp;IF(AND(N(AD379)&gt;0,N(AD379)&gt;N(AF379)),"Absorción alta. ","")))</f>
        <v/>
      </c>
      <c r="AH379" s="22" t="str">
        <f aca="false">IF(AND(N(M379)&gt;0,OR(CONTROL!$C$4="TODAS",C379=CONTROL!$C$4),D379=CONTROL!$C$5),MAX($AH$4:AH378)+1,"")</f>
        <v/>
      </c>
      <c r="AI379" s="22" t="str">
        <f aca="false">IF(AH379="","",P379^2)</f>
        <v/>
      </c>
    </row>
    <row r="380" customFormat="false" ht="15" hidden="false" customHeight="false" outlineLevel="0" collapsed="false">
      <c r="A380" s="11" t="str">
        <f aca="false">IF(B380="","",ROW()-4)</f>
        <v/>
      </c>
      <c r="B380" s="12"/>
      <c r="C380" s="13"/>
      <c r="D380" s="13"/>
      <c r="E380" s="13"/>
      <c r="F380" s="14" t="str">
        <f aca="false">IF(OR(B380="",C380="",D380=""),"",IFERROR(INDEX(CONFIG!$E$5:$E$14,MATCH(D380,CONFIG!$D$5:$D$14,0)),"?")&amp;RIGHT("0"&amp;DAY(B380),2)&amp;RIGHT("0"&amp;MONTH(B380),2)&amp;RIGHT(YEAR(B380),2)&amp;C380&amp;IF(E380="","","-"&amp;E380))</f>
        <v/>
      </c>
      <c r="G380" s="13"/>
      <c r="H380" s="13"/>
      <c r="I380" s="13"/>
      <c r="J380" s="13"/>
      <c r="K380" s="13"/>
      <c r="L380" s="13"/>
      <c r="M380" s="11" t="str">
        <f aca="false">IF(F380="","",COUNTIFS(ENSAYOS!$C$5:$C$3004,F380,ENSAYOS!$Q$5:$Q$3004,"&gt;0"))</f>
        <v/>
      </c>
      <c r="N380" s="15" t="str">
        <f aca="false">IF(N(M380)=0,"",_xlfn.MINIFS(ENSAYOS!$G$5:$G$3004,ENSAYOS!$C$5:$C$3004,F380,ENSAYOS!$Q$5:$Q$3004,"&gt;0"))</f>
        <v/>
      </c>
      <c r="O380" s="15" t="str">
        <f aca="false">IF(N(M380)=0,"",_xlfn.MAXIFS(ENSAYOS!$G$5:$G$3004,ENSAYOS!$C$5:$C$3004,F380,ENSAYOS!$Q$5:$Q$3004,"&gt;0"))</f>
        <v/>
      </c>
      <c r="P380" s="16" t="str">
        <f aca="false">IF(N(M380)=0,"",AVERAGEIFS(ENSAYOS!$Q$5:$Q$3004,ENSAYOS!$C$5:$C$3004,F380,ENSAYOS!$Q$5:$Q$3004,"&gt;0"))</f>
        <v/>
      </c>
      <c r="Q380" s="16" t="str">
        <f aca="false">IF(N(M380)=0,"",_xlfn.MINIFS(ENSAYOS!$Q$5:$Q$3004,ENSAYOS!$C$5:$C$3004,F380,ENSAYOS!$Q$5:$Q$3004,"&gt;0"))</f>
        <v/>
      </c>
      <c r="R380" s="16" t="str">
        <f aca="false">IF(N(M380)=0,"",_xlfn.MAXIFS(ENSAYOS!$Q$5:$Q$3004,ENSAYOS!$C$5:$C$3004,F380,ENSAYOS!$Q$5:$Q$3004,"&gt;0"))</f>
        <v/>
      </c>
      <c r="S380" s="16" t="str">
        <f aca="false">IF(N(M380)&lt;2,"",SQRT(MAX(0,(SUMIFS(ENSAYOS!$X$5:$X$3004,ENSAYOS!$C$5:$C$3004,F380,ENSAYOS!$Q$5:$Q$3004,"&gt;0")-M380*P380^2)/(M380-1))))</f>
        <v/>
      </c>
      <c r="T380" s="17" t="str">
        <f aca="false">IF(S380="","",S380/P380)</f>
        <v/>
      </c>
      <c r="U380" s="16" t="str">
        <f aca="false">IF(N(M380)=0,"",IF(N380&gt;=CONFIG!$B$27,"",AVERAGEIFS(ENSAYOS!$Q$5:$Q$3004,ENSAYOS!$C$5:$C$3004,F380,ENSAYOS!$Q$5:$Q$3004,"&gt;0",ENSAYOS!$G$5:$G$3004,N380)))</f>
        <v/>
      </c>
      <c r="V380" s="16" t="str">
        <f aca="false">IF(N(M380)=0,"",IF(COUNTIFS(ENSAYOS!$C$5:$C$3004,F380,ENSAYOS!$Q$5:$Q$3004,"&gt;0",ENSAYOS!$G$5:$G$3004,"&gt;="&amp;CONFIG!$B$27)=0,"",AVERAGEIFS(ENSAYOS!$Q$5:$Q$3004,ENSAYOS!$C$5:$C$3004,F380,ENSAYOS!$Q$5:$Q$3004,"&gt;0",ENSAYOS!$G$5:$G$3004,"&gt;="&amp;CONFIG!$B$27)))</f>
        <v/>
      </c>
      <c r="W380" s="18" t="str">
        <f aca="false">IF(AND(U380&lt;&gt;"",V380&lt;&gt;""),U380/V380,"")</f>
        <v/>
      </c>
      <c r="X380" s="18" t="str">
        <f aca="false">IF(U380="","",INDEX('CURVA EDAD'!$E$5:$E$32,MIN(28,MAX(1,N380))))</f>
        <v/>
      </c>
      <c r="Y380" s="16" t="str">
        <f aca="false">IF(V380&lt;&gt;"",V380,IF(U380="","",U380/X380))</f>
        <v/>
      </c>
      <c r="Z380" s="16" t="str">
        <f aca="false">IF(V380&lt;&gt;"",_xlfn.MINIFS(ENSAYOS!$Q$5:$Q$3004,ENSAYOS!$C$5:$C$3004,F380,ENSAYOS!$Q$5:$Q$3004,"&gt;0",ENSAYOS!$G$5:$G$3004,"&gt;="&amp;CONFIG!$B$27),IF(U380="","",_xlfn.MINIFS(ENSAYOS!$Q$5:$Q$3004,ENSAYOS!$C$5:$C$3004,F380,ENSAYOS!$Q$5:$Q$3004,"&gt;0",ENSAYOS!$G$5:$G$3004,N380)/X380))</f>
        <v/>
      </c>
      <c r="AA380" s="16" t="str">
        <f aca="false">IF(D380="","",IFERROR(1/(1/INDEX(CONFIG!$J$5:$J$14,MATCH(D380,CONFIG!$D$5:$D$14,0))),""))</f>
        <v/>
      </c>
      <c r="AB380" s="16" t="str">
        <f aca="false">IF(D380="","",IFERROR(1/(1/INDEX(CONFIG!$K$5:$K$14,MATCH(D380,CONFIG!$D$5:$D$14,0))),""))</f>
        <v/>
      </c>
      <c r="AC380" s="19" t="str">
        <f aca="false">IF(N(M380)=0,"",IF(AA380="","Sin spec",IF(AND(Y380&gt;=AA380,OR(AB380="",Z380&gt;=AB380)),"CUMPLE","NO CUMPLE")&amp;IF(V380=""," (est.)","")))</f>
        <v/>
      </c>
      <c r="AD380" s="20" t="str">
        <f aca="false">IF(F380="","",IF(COUNTIFS(ABSORCION!$C$5:$C$1004,F380,ABSORCION!$I$5:$I$1004,"&gt;0")=0,"",AVERAGEIFS(ABSORCION!$I$5:$I$1004,ABSORCION!$C$5:$C$1004,F380,ABSORCION!$I$5:$I$1004,"&gt;0")))</f>
        <v/>
      </c>
      <c r="AE380" s="20" t="str">
        <f aca="false">IF(F380="","",IF(COUNTIFS(ABSORCION!$C$5:$C$1004,F380,ABSORCION!$I$5:$I$1004,"&gt;0")=0,"",AVERAGEIFS(ABSORCION!$K$5:$K$1004,ABSORCION!$C$5:$C$1004,F380,ABSORCION!$I$5:$I$1004,"&gt;0")))</f>
        <v/>
      </c>
      <c r="AF380" s="20" t="str">
        <f aca="false">IF(AE380="","",IF(AE380&gt;=CONFIG!$E$21,CONFIG!$F$21,IF(AE380&gt;=CONFIG!$E$20,CONFIG!$F$20,CONFIG!$F$19)))</f>
        <v/>
      </c>
      <c r="AG380" s="21" t="str">
        <f aca="false">IF(F380="","",TRIM(IF(N(M380)=0,"Sin ensayos. ","")&amp;IF(AND(N(M380)&gt;0,N(M380)&lt;CONFIG!$B$26),"Menos de "&amp;CONFIG!$B$26&amp;" probetas. ","")&amp;IF(N(T380)&gt;CONFIG!$B$25,"CV alto. ","")&amp;IF(AND(N(AD380)&gt;0,N(AD380)&gt;N(AF380)),"Absorción alta. ","")))</f>
        <v/>
      </c>
      <c r="AH380" s="22" t="str">
        <f aca="false">IF(AND(N(M380)&gt;0,OR(CONTROL!$C$4="TODAS",C380=CONTROL!$C$4),D380=CONTROL!$C$5),MAX($AH$4:AH379)+1,"")</f>
        <v/>
      </c>
      <c r="AI380" s="22" t="str">
        <f aca="false">IF(AH380="","",P380^2)</f>
        <v/>
      </c>
    </row>
    <row r="381" customFormat="false" ht="15" hidden="false" customHeight="false" outlineLevel="0" collapsed="false">
      <c r="A381" s="11" t="str">
        <f aca="false">IF(B381="","",ROW()-4)</f>
        <v/>
      </c>
      <c r="B381" s="12"/>
      <c r="C381" s="13"/>
      <c r="D381" s="13"/>
      <c r="E381" s="13"/>
      <c r="F381" s="14" t="str">
        <f aca="false">IF(OR(B381="",C381="",D381=""),"",IFERROR(INDEX(CONFIG!$E$5:$E$14,MATCH(D381,CONFIG!$D$5:$D$14,0)),"?")&amp;RIGHT("0"&amp;DAY(B381),2)&amp;RIGHT("0"&amp;MONTH(B381),2)&amp;RIGHT(YEAR(B381),2)&amp;C381&amp;IF(E381="","","-"&amp;E381))</f>
        <v/>
      </c>
      <c r="G381" s="13"/>
      <c r="H381" s="13"/>
      <c r="I381" s="13"/>
      <c r="J381" s="13"/>
      <c r="K381" s="13"/>
      <c r="L381" s="13"/>
      <c r="M381" s="11" t="str">
        <f aca="false">IF(F381="","",COUNTIFS(ENSAYOS!$C$5:$C$3004,F381,ENSAYOS!$Q$5:$Q$3004,"&gt;0"))</f>
        <v/>
      </c>
      <c r="N381" s="15" t="str">
        <f aca="false">IF(N(M381)=0,"",_xlfn.MINIFS(ENSAYOS!$G$5:$G$3004,ENSAYOS!$C$5:$C$3004,F381,ENSAYOS!$Q$5:$Q$3004,"&gt;0"))</f>
        <v/>
      </c>
      <c r="O381" s="15" t="str">
        <f aca="false">IF(N(M381)=0,"",_xlfn.MAXIFS(ENSAYOS!$G$5:$G$3004,ENSAYOS!$C$5:$C$3004,F381,ENSAYOS!$Q$5:$Q$3004,"&gt;0"))</f>
        <v/>
      </c>
      <c r="P381" s="16" t="str">
        <f aca="false">IF(N(M381)=0,"",AVERAGEIFS(ENSAYOS!$Q$5:$Q$3004,ENSAYOS!$C$5:$C$3004,F381,ENSAYOS!$Q$5:$Q$3004,"&gt;0"))</f>
        <v/>
      </c>
      <c r="Q381" s="16" t="str">
        <f aca="false">IF(N(M381)=0,"",_xlfn.MINIFS(ENSAYOS!$Q$5:$Q$3004,ENSAYOS!$C$5:$C$3004,F381,ENSAYOS!$Q$5:$Q$3004,"&gt;0"))</f>
        <v/>
      </c>
      <c r="R381" s="16" t="str">
        <f aca="false">IF(N(M381)=0,"",_xlfn.MAXIFS(ENSAYOS!$Q$5:$Q$3004,ENSAYOS!$C$5:$C$3004,F381,ENSAYOS!$Q$5:$Q$3004,"&gt;0"))</f>
        <v/>
      </c>
      <c r="S381" s="16" t="str">
        <f aca="false">IF(N(M381)&lt;2,"",SQRT(MAX(0,(SUMIFS(ENSAYOS!$X$5:$X$3004,ENSAYOS!$C$5:$C$3004,F381,ENSAYOS!$Q$5:$Q$3004,"&gt;0")-M381*P381^2)/(M381-1))))</f>
        <v/>
      </c>
      <c r="T381" s="17" t="str">
        <f aca="false">IF(S381="","",S381/P381)</f>
        <v/>
      </c>
      <c r="U381" s="16" t="str">
        <f aca="false">IF(N(M381)=0,"",IF(N381&gt;=CONFIG!$B$27,"",AVERAGEIFS(ENSAYOS!$Q$5:$Q$3004,ENSAYOS!$C$5:$C$3004,F381,ENSAYOS!$Q$5:$Q$3004,"&gt;0",ENSAYOS!$G$5:$G$3004,N381)))</f>
        <v/>
      </c>
      <c r="V381" s="16" t="str">
        <f aca="false">IF(N(M381)=0,"",IF(COUNTIFS(ENSAYOS!$C$5:$C$3004,F381,ENSAYOS!$Q$5:$Q$3004,"&gt;0",ENSAYOS!$G$5:$G$3004,"&gt;="&amp;CONFIG!$B$27)=0,"",AVERAGEIFS(ENSAYOS!$Q$5:$Q$3004,ENSAYOS!$C$5:$C$3004,F381,ENSAYOS!$Q$5:$Q$3004,"&gt;0",ENSAYOS!$G$5:$G$3004,"&gt;="&amp;CONFIG!$B$27)))</f>
        <v/>
      </c>
      <c r="W381" s="18" t="str">
        <f aca="false">IF(AND(U381&lt;&gt;"",V381&lt;&gt;""),U381/V381,"")</f>
        <v/>
      </c>
      <c r="X381" s="18" t="str">
        <f aca="false">IF(U381="","",INDEX('CURVA EDAD'!$E$5:$E$32,MIN(28,MAX(1,N381))))</f>
        <v/>
      </c>
      <c r="Y381" s="16" t="str">
        <f aca="false">IF(V381&lt;&gt;"",V381,IF(U381="","",U381/X381))</f>
        <v/>
      </c>
      <c r="Z381" s="16" t="str">
        <f aca="false">IF(V381&lt;&gt;"",_xlfn.MINIFS(ENSAYOS!$Q$5:$Q$3004,ENSAYOS!$C$5:$C$3004,F381,ENSAYOS!$Q$5:$Q$3004,"&gt;0",ENSAYOS!$G$5:$G$3004,"&gt;="&amp;CONFIG!$B$27),IF(U381="","",_xlfn.MINIFS(ENSAYOS!$Q$5:$Q$3004,ENSAYOS!$C$5:$C$3004,F381,ENSAYOS!$Q$5:$Q$3004,"&gt;0",ENSAYOS!$G$5:$G$3004,N381)/X381))</f>
        <v/>
      </c>
      <c r="AA381" s="16" t="str">
        <f aca="false">IF(D381="","",IFERROR(1/(1/INDEX(CONFIG!$J$5:$J$14,MATCH(D381,CONFIG!$D$5:$D$14,0))),""))</f>
        <v/>
      </c>
      <c r="AB381" s="16" t="str">
        <f aca="false">IF(D381="","",IFERROR(1/(1/INDEX(CONFIG!$K$5:$K$14,MATCH(D381,CONFIG!$D$5:$D$14,0))),""))</f>
        <v/>
      </c>
      <c r="AC381" s="19" t="str">
        <f aca="false">IF(N(M381)=0,"",IF(AA381="","Sin spec",IF(AND(Y381&gt;=AA381,OR(AB381="",Z381&gt;=AB381)),"CUMPLE","NO CUMPLE")&amp;IF(V381=""," (est.)","")))</f>
        <v/>
      </c>
      <c r="AD381" s="20" t="str">
        <f aca="false">IF(F381="","",IF(COUNTIFS(ABSORCION!$C$5:$C$1004,F381,ABSORCION!$I$5:$I$1004,"&gt;0")=0,"",AVERAGEIFS(ABSORCION!$I$5:$I$1004,ABSORCION!$C$5:$C$1004,F381,ABSORCION!$I$5:$I$1004,"&gt;0")))</f>
        <v/>
      </c>
      <c r="AE381" s="20" t="str">
        <f aca="false">IF(F381="","",IF(COUNTIFS(ABSORCION!$C$5:$C$1004,F381,ABSORCION!$I$5:$I$1004,"&gt;0")=0,"",AVERAGEIFS(ABSORCION!$K$5:$K$1004,ABSORCION!$C$5:$C$1004,F381,ABSORCION!$I$5:$I$1004,"&gt;0")))</f>
        <v/>
      </c>
      <c r="AF381" s="20" t="str">
        <f aca="false">IF(AE381="","",IF(AE381&gt;=CONFIG!$E$21,CONFIG!$F$21,IF(AE381&gt;=CONFIG!$E$20,CONFIG!$F$20,CONFIG!$F$19)))</f>
        <v/>
      </c>
      <c r="AG381" s="21" t="str">
        <f aca="false">IF(F381="","",TRIM(IF(N(M381)=0,"Sin ensayos. ","")&amp;IF(AND(N(M381)&gt;0,N(M381)&lt;CONFIG!$B$26),"Menos de "&amp;CONFIG!$B$26&amp;" probetas. ","")&amp;IF(N(T381)&gt;CONFIG!$B$25,"CV alto. ","")&amp;IF(AND(N(AD381)&gt;0,N(AD381)&gt;N(AF381)),"Absorción alta. ","")))</f>
        <v/>
      </c>
      <c r="AH381" s="22" t="str">
        <f aca="false">IF(AND(N(M381)&gt;0,OR(CONTROL!$C$4="TODAS",C381=CONTROL!$C$4),D381=CONTROL!$C$5),MAX($AH$4:AH380)+1,"")</f>
        <v/>
      </c>
      <c r="AI381" s="22" t="str">
        <f aca="false">IF(AH381="","",P381^2)</f>
        <v/>
      </c>
    </row>
    <row r="382" customFormat="false" ht="15" hidden="false" customHeight="false" outlineLevel="0" collapsed="false">
      <c r="A382" s="11" t="str">
        <f aca="false">IF(B382="","",ROW()-4)</f>
        <v/>
      </c>
      <c r="B382" s="12"/>
      <c r="C382" s="13"/>
      <c r="D382" s="13"/>
      <c r="E382" s="13"/>
      <c r="F382" s="14" t="str">
        <f aca="false">IF(OR(B382="",C382="",D382=""),"",IFERROR(INDEX(CONFIG!$E$5:$E$14,MATCH(D382,CONFIG!$D$5:$D$14,0)),"?")&amp;RIGHT("0"&amp;DAY(B382),2)&amp;RIGHT("0"&amp;MONTH(B382),2)&amp;RIGHT(YEAR(B382),2)&amp;C382&amp;IF(E382="","","-"&amp;E382))</f>
        <v/>
      </c>
      <c r="G382" s="13"/>
      <c r="H382" s="13"/>
      <c r="I382" s="13"/>
      <c r="J382" s="13"/>
      <c r="K382" s="13"/>
      <c r="L382" s="13"/>
      <c r="M382" s="11" t="str">
        <f aca="false">IF(F382="","",COUNTIFS(ENSAYOS!$C$5:$C$3004,F382,ENSAYOS!$Q$5:$Q$3004,"&gt;0"))</f>
        <v/>
      </c>
      <c r="N382" s="15" t="str">
        <f aca="false">IF(N(M382)=0,"",_xlfn.MINIFS(ENSAYOS!$G$5:$G$3004,ENSAYOS!$C$5:$C$3004,F382,ENSAYOS!$Q$5:$Q$3004,"&gt;0"))</f>
        <v/>
      </c>
      <c r="O382" s="15" t="str">
        <f aca="false">IF(N(M382)=0,"",_xlfn.MAXIFS(ENSAYOS!$G$5:$G$3004,ENSAYOS!$C$5:$C$3004,F382,ENSAYOS!$Q$5:$Q$3004,"&gt;0"))</f>
        <v/>
      </c>
      <c r="P382" s="16" t="str">
        <f aca="false">IF(N(M382)=0,"",AVERAGEIFS(ENSAYOS!$Q$5:$Q$3004,ENSAYOS!$C$5:$C$3004,F382,ENSAYOS!$Q$5:$Q$3004,"&gt;0"))</f>
        <v/>
      </c>
      <c r="Q382" s="16" t="str">
        <f aca="false">IF(N(M382)=0,"",_xlfn.MINIFS(ENSAYOS!$Q$5:$Q$3004,ENSAYOS!$C$5:$C$3004,F382,ENSAYOS!$Q$5:$Q$3004,"&gt;0"))</f>
        <v/>
      </c>
      <c r="R382" s="16" t="str">
        <f aca="false">IF(N(M382)=0,"",_xlfn.MAXIFS(ENSAYOS!$Q$5:$Q$3004,ENSAYOS!$C$5:$C$3004,F382,ENSAYOS!$Q$5:$Q$3004,"&gt;0"))</f>
        <v/>
      </c>
      <c r="S382" s="16" t="str">
        <f aca="false">IF(N(M382)&lt;2,"",SQRT(MAX(0,(SUMIFS(ENSAYOS!$X$5:$X$3004,ENSAYOS!$C$5:$C$3004,F382,ENSAYOS!$Q$5:$Q$3004,"&gt;0")-M382*P382^2)/(M382-1))))</f>
        <v/>
      </c>
      <c r="T382" s="17" t="str">
        <f aca="false">IF(S382="","",S382/P382)</f>
        <v/>
      </c>
      <c r="U382" s="16" t="str">
        <f aca="false">IF(N(M382)=0,"",IF(N382&gt;=CONFIG!$B$27,"",AVERAGEIFS(ENSAYOS!$Q$5:$Q$3004,ENSAYOS!$C$5:$C$3004,F382,ENSAYOS!$Q$5:$Q$3004,"&gt;0",ENSAYOS!$G$5:$G$3004,N382)))</f>
        <v/>
      </c>
      <c r="V382" s="16" t="str">
        <f aca="false">IF(N(M382)=0,"",IF(COUNTIFS(ENSAYOS!$C$5:$C$3004,F382,ENSAYOS!$Q$5:$Q$3004,"&gt;0",ENSAYOS!$G$5:$G$3004,"&gt;="&amp;CONFIG!$B$27)=0,"",AVERAGEIFS(ENSAYOS!$Q$5:$Q$3004,ENSAYOS!$C$5:$C$3004,F382,ENSAYOS!$Q$5:$Q$3004,"&gt;0",ENSAYOS!$G$5:$G$3004,"&gt;="&amp;CONFIG!$B$27)))</f>
        <v/>
      </c>
      <c r="W382" s="18" t="str">
        <f aca="false">IF(AND(U382&lt;&gt;"",V382&lt;&gt;""),U382/V382,"")</f>
        <v/>
      </c>
      <c r="X382" s="18" t="str">
        <f aca="false">IF(U382="","",INDEX('CURVA EDAD'!$E$5:$E$32,MIN(28,MAX(1,N382))))</f>
        <v/>
      </c>
      <c r="Y382" s="16" t="str">
        <f aca="false">IF(V382&lt;&gt;"",V382,IF(U382="","",U382/X382))</f>
        <v/>
      </c>
      <c r="Z382" s="16" t="str">
        <f aca="false">IF(V382&lt;&gt;"",_xlfn.MINIFS(ENSAYOS!$Q$5:$Q$3004,ENSAYOS!$C$5:$C$3004,F382,ENSAYOS!$Q$5:$Q$3004,"&gt;0",ENSAYOS!$G$5:$G$3004,"&gt;="&amp;CONFIG!$B$27),IF(U382="","",_xlfn.MINIFS(ENSAYOS!$Q$5:$Q$3004,ENSAYOS!$C$5:$C$3004,F382,ENSAYOS!$Q$5:$Q$3004,"&gt;0",ENSAYOS!$G$5:$G$3004,N382)/X382))</f>
        <v/>
      </c>
      <c r="AA382" s="16" t="str">
        <f aca="false">IF(D382="","",IFERROR(1/(1/INDEX(CONFIG!$J$5:$J$14,MATCH(D382,CONFIG!$D$5:$D$14,0))),""))</f>
        <v/>
      </c>
      <c r="AB382" s="16" t="str">
        <f aca="false">IF(D382="","",IFERROR(1/(1/INDEX(CONFIG!$K$5:$K$14,MATCH(D382,CONFIG!$D$5:$D$14,0))),""))</f>
        <v/>
      </c>
      <c r="AC382" s="19" t="str">
        <f aca="false">IF(N(M382)=0,"",IF(AA382="","Sin spec",IF(AND(Y382&gt;=AA382,OR(AB382="",Z382&gt;=AB382)),"CUMPLE","NO CUMPLE")&amp;IF(V382=""," (est.)","")))</f>
        <v/>
      </c>
      <c r="AD382" s="20" t="str">
        <f aca="false">IF(F382="","",IF(COUNTIFS(ABSORCION!$C$5:$C$1004,F382,ABSORCION!$I$5:$I$1004,"&gt;0")=0,"",AVERAGEIFS(ABSORCION!$I$5:$I$1004,ABSORCION!$C$5:$C$1004,F382,ABSORCION!$I$5:$I$1004,"&gt;0")))</f>
        <v/>
      </c>
      <c r="AE382" s="20" t="str">
        <f aca="false">IF(F382="","",IF(COUNTIFS(ABSORCION!$C$5:$C$1004,F382,ABSORCION!$I$5:$I$1004,"&gt;0")=0,"",AVERAGEIFS(ABSORCION!$K$5:$K$1004,ABSORCION!$C$5:$C$1004,F382,ABSORCION!$I$5:$I$1004,"&gt;0")))</f>
        <v/>
      </c>
      <c r="AF382" s="20" t="str">
        <f aca="false">IF(AE382="","",IF(AE382&gt;=CONFIG!$E$21,CONFIG!$F$21,IF(AE382&gt;=CONFIG!$E$20,CONFIG!$F$20,CONFIG!$F$19)))</f>
        <v/>
      </c>
      <c r="AG382" s="21" t="str">
        <f aca="false">IF(F382="","",TRIM(IF(N(M382)=0,"Sin ensayos. ","")&amp;IF(AND(N(M382)&gt;0,N(M382)&lt;CONFIG!$B$26),"Menos de "&amp;CONFIG!$B$26&amp;" probetas. ","")&amp;IF(N(T382)&gt;CONFIG!$B$25,"CV alto. ","")&amp;IF(AND(N(AD382)&gt;0,N(AD382)&gt;N(AF382)),"Absorción alta. ","")))</f>
        <v/>
      </c>
      <c r="AH382" s="22" t="str">
        <f aca="false">IF(AND(N(M382)&gt;0,OR(CONTROL!$C$4="TODAS",C382=CONTROL!$C$4),D382=CONTROL!$C$5),MAX($AH$4:AH381)+1,"")</f>
        <v/>
      </c>
      <c r="AI382" s="22" t="str">
        <f aca="false">IF(AH382="","",P382^2)</f>
        <v/>
      </c>
    </row>
    <row r="383" customFormat="false" ht="15" hidden="false" customHeight="false" outlineLevel="0" collapsed="false">
      <c r="A383" s="11" t="str">
        <f aca="false">IF(B383="","",ROW()-4)</f>
        <v/>
      </c>
      <c r="B383" s="12"/>
      <c r="C383" s="13"/>
      <c r="D383" s="13"/>
      <c r="E383" s="13"/>
      <c r="F383" s="14" t="str">
        <f aca="false">IF(OR(B383="",C383="",D383=""),"",IFERROR(INDEX(CONFIG!$E$5:$E$14,MATCH(D383,CONFIG!$D$5:$D$14,0)),"?")&amp;RIGHT("0"&amp;DAY(B383),2)&amp;RIGHT("0"&amp;MONTH(B383),2)&amp;RIGHT(YEAR(B383),2)&amp;C383&amp;IF(E383="","","-"&amp;E383))</f>
        <v/>
      </c>
      <c r="G383" s="13"/>
      <c r="H383" s="13"/>
      <c r="I383" s="13"/>
      <c r="J383" s="13"/>
      <c r="K383" s="13"/>
      <c r="L383" s="13"/>
      <c r="M383" s="11" t="str">
        <f aca="false">IF(F383="","",COUNTIFS(ENSAYOS!$C$5:$C$3004,F383,ENSAYOS!$Q$5:$Q$3004,"&gt;0"))</f>
        <v/>
      </c>
      <c r="N383" s="15" t="str">
        <f aca="false">IF(N(M383)=0,"",_xlfn.MINIFS(ENSAYOS!$G$5:$G$3004,ENSAYOS!$C$5:$C$3004,F383,ENSAYOS!$Q$5:$Q$3004,"&gt;0"))</f>
        <v/>
      </c>
      <c r="O383" s="15" t="str">
        <f aca="false">IF(N(M383)=0,"",_xlfn.MAXIFS(ENSAYOS!$G$5:$G$3004,ENSAYOS!$C$5:$C$3004,F383,ENSAYOS!$Q$5:$Q$3004,"&gt;0"))</f>
        <v/>
      </c>
      <c r="P383" s="16" t="str">
        <f aca="false">IF(N(M383)=0,"",AVERAGEIFS(ENSAYOS!$Q$5:$Q$3004,ENSAYOS!$C$5:$C$3004,F383,ENSAYOS!$Q$5:$Q$3004,"&gt;0"))</f>
        <v/>
      </c>
      <c r="Q383" s="16" t="str">
        <f aca="false">IF(N(M383)=0,"",_xlfn.MINIFS(ENSAYOS!$Q$5:$Q$3004,ENSAYOS!$C$5:$C$3004,F383,ENSAYOS!$Q$5:$Q$3004,"&gt;0"))</f>
        <v/>
      </c>
      <c r="R383" s="16" t="str">
        <f aca="false">IF(N(M383)=0,"",_xlfn.MAXIFS(ENSAYOS!$Q$5:$Q$3004,ENSAYOS!$C$5:$C$3004,F383,ENSAYOS!$Q$5:$Q$3004,"&gt;0"))</f>
        <v/>
      </c>
      <c r="S383" s="16" t="str">
        <f aca="false">IF(N(M383)&lt;2,"",SQRT(MAX(0,(SUMIFS(ENSAYOS!$X$5:$X$3004,ENSAYOS!$C$5:$C$3004,F383,ENSAYOS!$Q$5:$Q$3004,"&gt;0")-M383*P383^2)/(M383-1))))</f>
        <v/>
      </c>
      <c r="T383" s="17" t="str">
        <f aca="false">IF(S383="","",S383/P383)</f>
        <v/>
      </c>
      <c r="U383" s="16" t="str">
        <f aca="false">IF(N(M383)=0,"",IF(N383&gt;=CONFIG!$B$27,"",AVERAGEIFS(ENSAYOS!$Q$5:$Q$3004,ENSAYOS!$C$5:$C$3004,F383,ENSAYOS!$Q$5:$Q$3004,"&gt;0",ENSAYOS!$G$5:$G$3004,N383)))</f>
        <v/>
      </c>
      <c r="V383" s="16" t="str">
        <f aca="false">IF(N(M383)=0,"",IF(COUNTIFS(ENSAYOS!$C$5:$C$3004,F383,ENSAYOS!$Q$5:$Q$3004,"&gt;0",ENSAYOS!$G$5:$G$3004,"&gt;="&amp;CONFIG!$B$27)=0,"",AVERAGEIFS(ENSAYOS!$Q$5:$Q$3004,ENSAYOS!$C$5:$C$3004,F383,ENSAYOS!$Q$5:$Q$3004,"&gt;0",ENSAYOS!$G$5:$G$3004,"&gt;="&amp;CONFIG!$B$27)))</f>
        <v/>
      </c>
      <c r="W383" s="18" t="str">
        <f aca="false">IF(AND(U383&lt;&gt;"",V383&lt;&gt;""),U383/V383,"")</f>
        <v/>
      </c>
      <c r="X383" s="18" t="str">
        <f aca="false">IF(U383="","",INDEX('CURVA EDAD'!$E$5:$E$32,MIN(28,MAX(1,N383))))</f>
        <v/>
      </c>
      <c r="Y383" s="16" t="str">
        <f aca="false">IF(V383&lt;&gt;"",V383,IF(U383="","",U383/X383))</f>
        <v/>
      </c>
      <c r="Z383" s="16" t="str">
        <f aca="false">IF(V383&lt;&gt;"",_xlfn.MINIFS(ENSAYOS!$Q$5:$Q$3004,ENSAYOS!$C$5:$C$3004,F383,ENSAYOS!$Q$5:$Q$3004,"&gt;0",ENSAYOS!$G$5:$G$3004,"&gt;="&amp;CONFIG!$B$27),IF(U383="","",_xlfn.MINIFS(ENSAYOS!$Q$5:$Q$3004,ENSAYOS!$C$5:$C$3004,F383,ENSAYOS!$Q$5:$Q$3004,"&gt;0",ENSAYOS!$G$5:$G$3004,N383)/X383))</f>
        <v/>
      </c>
      <c r="AA383" s="16" t="str">
        <f aca="false">IF(D383="","",IFERROR(1/(1/INDEX(CONFIG!$J$5:$J$14,MATCH(D383,CONFIG!$D$5:$D$14,0))),""))</f>
        <v/>
      </c>
      <c r="AB383" s="16" t="str">
        <f aca="false">IF(D383="","",IFERROR(1/(1/INDEX(CONFIG!$K$5:$K$14,MATCH(D383,CONFIG!$D$5:$D$14,0))),""))</f>
        <v/>
      </c>
      <c r="AC383" s="19" t="str">
        <f aca="false">IF(N(M383)=0,"",IF(AA383="","Sin spec",IF(AND(Y383&gt;=AA383,OR(AB383="",Z383&gt;=AB383)),"CUMPLE","NO CUMPLE")&amp;IF(V383=""," (est.)","")))</f>
        <v/>
      </c>
      <c r="AD383" s="20" t="str">
        <f aca="false">IF(F383="","",IF(COUNTIFS(ABSORCION!$C$5:$C$1004,F383,ABSORCION!$I$5:$I$1004,"&gt;0")=0,"",AVERAGEIFS(ABSORCION!$I$5:$I$1004,ABSORCION!$C$5:$C$1004,F383,ABSORCION!$I$5:$I$1004,"&gt;0")))</f>
        <v/>
      </c>
      <c r="AE383" s="20" t="str">
        <f aca="false">IF(F383="","",IF(COUNTIFS(ABSORCION!$C$5:$C$1004,F383,ABSORCION!$I$5:$I$1004,"&gt;0")=0,"",AVERAGEIFS(ABSORCION!$K$5:$K$1004,ABSORCION!$C$5:$C$1004,F383,ABSORCION!$I$5:$I$1004,"&gt;0")))</f>
        <v/>
      </c>
      <c r="AF383" s="20" t="str">
        <f aca="false">IF(AE383="","",IF(AE383&gt;=CONFIG!$E$21,CONFIG!$F$21,IF(AE383&gt;=CONFIG!$E$20,CONFIG!$F$20,CONFIG!$F$19)))</f>
        <v/>
      </c>
      <c r="AG383" s="21" t="str">
        <f aca="false">IF(F383="","",TRIM(IF(N(M383)=0,"Sin ensayos. ","")&amp;IF(AND(N(M383)&gt;0,N(M383)&lt;CONFIG!$B$26),"Menos de "&amp;CONFIG!$B$26&amp;" probetas. ","")&amp;IF(N(T383)&gt;CONFIG!$B$25,"CV alto. ","")&amp;IF(AND(N(AD383)&gt;0,N(AD383)&gt;N(AF383)),"Absorción alta. ","")))</f>
        <v/>
      </c>
      <c r="AH383" s="22" t="str">
        <f aca="false">IF(AND(N(M383)&gt;0,OR(CONTROL!$C$4="TODAS",C383=CONTROL!$C$4),D383=CONTROL!$C$5),MAX($AH$4:AH382)+1,"")</f>
        <v/>
      </c>
      <c r="AI383" s="22" t="str">
        <f aca="false">IF(AH383="","",P383^2)</f>
        <v/>
      </c>
    </row>
    <row r="384" customFormat="false" ht="15" hidden="false" customHeight="false" outlineLevel="0" collapsed="false">
      <c r="A384" s="11" t="str">
        <f aca="false">IF(B384="","",ROW()-4)</f>
        <v/>
      </c>
      <c r="B384" s="12"/>
      <c r="C384" s="13"/>
      <c r="D384" s="13"/>
      <c r="E384" s="13"/>
      <c r="F384" s="14" t="str">
        <f aca="false">IF(OR(B384="",C384="",D384=""),"",IFERROR(INDEX(CONFIG!$E$5:$E$14,MATCH(D384,CONFIG!$D$5:$D$14,0)),"?")&amp;RIGHT("0"&amp;DAY(B384),2)&amp;RIGHT("0"&amp;MONTH(B384),2)&amp;RIGHT(YEAR(B384),2)&amp;C384&amp;IF(E384="","","-"&amp;E384))</f>
        <v/>
      </c>
      <c r="G384" s="13"/>
      <c r="H384" s="13"/>
      <c r="I384" s="13"/>
      <c r="J384" s="13"/>
      <c r="K384" s="13"/>
      <c r="L384" s="13"/>
      <c r="M384" s="11" t="str">
        <f aca="false">IF(F384="","",COUNTIFS(ENSAYOS!$C$5:$C$3004,F384,ENSAYOS!$Q$5:$Q$3004,"&gt;0"))</f>
        <v/>
      </c>
      <c r="N384" s="15" t="str">
        <f aca="false">IF(N(M384)=0,"",_xlfn.MINIFS(ENSAYOS!$G$5:$G$3004,ENSAYOS!$C$5:$C$3004,F384,ENSAYOS!$Q$5:$Q$3004,"&gt;0"))</f>
        <v/>
      </c>
      <c r="O384" s="15" t="str">
        <f aca="false">IF(N(M384)=0,"",_xlfn.MAXIFS(ENSAYOS!$G$5:$G$3004,ENSAYOS!$C$5:$C$3004,F384,ENSAYOS!$Q$5:$Q$3004,"&gt;0"))</f>
        <v/>
      </c>
      <c r="P384" s="16" t="str">
        <f aca="false">IF(N(M384)=0,"",AVERAGEIFS(ENSAYOS!$Q$5:$Q$3004,ENSAYOS!$C$5:$C$3004,F384,ENSAYOS!$Q$5:$Q$3004,"&gt;0"))</f>
        <v/>
      </c>
      <c r="Q384" s="16" t="str">
        <f aca="false">IF(N(M384)=0,"",_xlfn.MINIFS(ENSAYOS!$Q$5:$Q$3004,ENSAYOS!$C$5:$C$3004,F384,ENSAYOS!$Q$5:$Q$3004,"&gt;0"))</f>
        <v/>
      </c>
      <c r="R384" s="16" t="str">
        <f aca="false">IF(N(M384)=0,"",_xlfn.MAXIFS(ENSAYOS!$Q$5:$Q$3004,ENSAYOS!$C$5:$C$3004,F384,ENSAYOS!$Q$5:$Q$3004,"&gt;0"))</f>
        <v/>
      </c>
      <c r="S384" s="16" t="str">
        <f aca="false">IF(N(M384)&lt;2,"",SQRT(MAX(0,(SUMIFS(ENSAYOS!$X$5:$X$3004,ENSAYOS!$C$5:$C$3004,F384,ENSAYOS!$Q$5:$Q$3004,"&gt;0")-M384*P384^2)/(M384-1))))</f>
        <v/>
      </c>
      <c r="T384" s="17" t="str">
        <f aca="false">IF(S384="","",S384/P384)</f>
        <v/>
      </c>
      <c r="U384" s="16" t="str">
        <f aca="false">IF(N(M384)=0,"",IF(N384&gt;=CONFIG!$B$27,"",AVERAGEIFS(ENSAYOS!$Q$5:$Q$3004,ENSAYOS!$C$5:$C$3004,F384,ENSAYOS!$Q$5:$Q$3004,"&gt;0",ENSAYOS!$G$5:$G$3004,N384)))</f>
        <v/>
      </c>
      <c r="V384" s="16" t="str">
        <f aca="false">IF(N(M384)=0,"",IF(COUNTIFS(ENSAYOS!$C$5:$C$3004,F384,ENSAYOS!$Q$5:$Q$3004,"&gt;0",ENSAYOS!$G$5:$G$3004,"&gt;="&amp;CONFIG!$B$27)=0,"",AVERAGEIFS(ENSAYOS!$Q$5:$Q$3004,ENSAYOS!$C$5:$C$3004,F384,ENSAYOS!$Q$5:$Q$3004,"&gt;0",ENSAYOS!$G$5:$G$3004,"&gt;="&amp;CONFIG!$B$27)))</f>
        <v/>
      </c>
      <c r="W384" s="18" t="str">
        <f aca="false">IF(AND(U384&lt;&gt;"",V384&lt;&gt;""),U384/V384,"")</f>
        <v/>
      </c>
      <c r="X384" s="18" t="str">
        <f aca="false">IF(U384="","",INDEX('CURVA EDAD'!$E$5:$E$32,MIN(28,MAX(1,N384))))</f>
        <v/>
      </c>
      <c r="Y384" s="16" t="str">
        <f aca="false">IF(V384&lt;&gt;"",V384,IF(U384="","",U384/X384))</f>
        <v/>
      </c>
      <c r="Z384" s="16" t="str">
        <f aca="false">IF(V384&lt;&gt;"",_xlfn.MINIFS(ENSAYOS!$Q$5:$Q$3004,ENSAYOS!$C$5:$C$3004,F384,ENSAYOS!$Q$5:$Q$3004,"&gt;0",ENSAYOS!$G$5:$G$3004,"&gt;="&amp;CONFIG!$B$27),IF(U384="","",_xlfn.MINIFS(ENSAYOS!$Q$5:$Q$3004,ENSAYOS!$C$5:$C$3004,F384,ENSAYOS!$Q$5:$Q$3004,"&gt;0",ENSAYOS!$G$5:$G$3004,N384)/X384))</f>
        <v/>
      </c>
      <c r="AA384" s="16" t="str">
        <f aca="false">IF(D384="","",IFERROR(1/(1/INDEX(CONFIG!$J$5:$J$14,MATCH(D384,CONFIG!$D$5:$D$14,0))),""))</f>
        <v/>
      </c>
      <c r="AB384" s="16" t="str">
        <f aca="false">IF(D384="","",IFERROR(1/(1/INDEX(CONFIG!$K$5:$K$14,MATCH(D384,CONFIG!$D$5:$D$14,0))),""))</f>
        <v/>
      </c>
      <c r="AC384" s="19" t="str">
        <f aca="false">IF(N(M384)=0,"",IF(AA384="","Sin spec",IF(AND(Y384&gt;=AA384,OR(AB384="",Z384&gt;=AB384)),"CUMPLE","NO CUMPLE")&amp;IF(V384=""," (est.)","")))</f>
        <v/>
      </c>
      <c r="AD384" s="20" t="str">
        <f aca="false">IF(F384="","",IF(COUNTIFS(ABSORCION!$C$5:$C$1004,F384,ABSORCION!$I$5:$I$1004,"&gt;0")=0,"",AVERAGEIFS(ABSORCION!$I$5:$I$1004,ABSORCION!$C$5:$C$1004,F384,ABSORCION!$I$5:$I$1004,"&gt;0")))</f>
        <v/>
      </c>
      <c r="AE384" s="20" t="str">
        <f aca="false">IF(F384="","",IF(COUNTIFS(ABSORCION!$C$5:$C$1004,F384,ABSORCION!$I$5:$I$1004,"&gt;0")=0,"",AVERAGEIFS(ABSORCION!$K$5:$K$1004,ABSORCION!$C$5:$C$1004,F384,ABSORCION!$I$5:$I$1004,"&gt;0")))</f>
        <v/>
      </c>
      <c r="AF384" s="20" t="str">
        <f aca="false">IF(AE384="","",IF(AE384&gt;=CONFIG!$E$21,CONFIG!$F$21,IF(AE384&gt;=CONFIG!$E$20,CONFIG!$F$20,CONFIG!$F$19)))</f>
        <v/>
      </c>
      <c r="AG384" s="21" t="str">
        <f aca="false">IF(F384="","",TRIM(IF(N(M384)=0,"Sin ensayos. ","")&amp;IF(AND(N(M384)&gt;0,N(M384)&lt;CONFIG!$B$26),"Menos de "&amp;CONFIG!$B$26&amp;" probetas. ","")&amp;IF(N(T384)&gt;CONFIG!$B$25,"CV alto. ","")&amp;IF(AND(N(AD384)&gt;0,N(AD384)&gt;N(AF384)),"Absorción alta. ","")))</f>
        <v/>
      </c>
      <c r="AH384" s="22" t="str">
        <f aca="false">IF(AND(N(M384)&gt;0,OR(CONTROL!$C$4="TODAS",C384=CONTROL!$C$4),D384=CONTROL!$C$5),MAX($AH$4:AH383)+1,"")</f>
        <v/>
      </c>
      <c r="AI384" s="22" t="str">
        <f aca="false">IF(AH384="","",P384^2)</f>
        <v/>
      </c>
    </row>
    <row r="385" customFormat="false" ht="15" hidden="false" customHeight="false" outlineLevel="0" collapsed="false">
      <c r="A385" s="11" t="str">
        <f aca="false">IF(B385="","",ROW()-4)</f>
        <v/>
      </c>
      <c r="B385" s="12"/>
      <c r="C385" s="13"/>
      <c r="D385" s="13"/>
      <c r="E385" s="13"/>
      <c r="F385" s="14" t="str">
        <f aca="false">IF(OR(B385="",C385="",D385=""),"",IFERROR(INDEX(CONFIG!$E$5:$E$14,MATCH(D385,CONFIG!$D$5:$D$14,0)),"?")&amp;RIGHT("0"&amp;DAY(B385),2)&amp;RIGHT("0"&amp;MONTH(B385),2)&amp;RIGHT(YEAR(B385),2)&amp;C385&amp;IF(E385="","","-"&amp;E385))</f>
        <v/>
      </c>
      <c r="G385" s="13"/>
      <c r="H385" s="13"/>
      <c r="I385" s="13"/>
      <c r="J385" s="13"/>
      <c r="K385" s="13"/>
      <c r="L385" s="13"/>
      <c r="M385" s="11" t="str">
        <f aca="false">IF(F385="","",COUNTIFS(ENSAYOS!$C$5:$C$3004,F385,ENSAYOS!$Q$5:$Q$3004,"&gt;0"))</f>
        <v/>
      </c>
      <c r="N385" s="15" t="str">
        <f aca="false">IF(N(M385)=0,"",_xlfn.MINIFS(ENSAYOS!$G$5:$G$3004,ENSAYOS!$C$5:$C$3004,F385,ENSAYOS!$Q$5:$Q$3004,"&gt;0"))</f>
        <v/>
      </c>
      <c r="O385" s="15" t="str">
        <f aca="false">IF(N(M385)=0,"",_xlfn.MAXIFS(ENSAYOS!$G$5:$G$3004,ENSAYOS!$C$5:$C$3004,F385,ENSAYOS!$Q$5:$Q$3004,"&gt;0"))</f>
        <v/>
      </c>
      <c r="P385" s="16" t="str">
        <f aca="false">IF(N(M385)=0,"",AVERAGEIFS(ENSAYOS!$Q$5:$Q$3004,ENSAYOS!$C$5:$C$3004,F385,ENSAYOS!$Q$5:$Q$3004,"&gt;0"))</f>
        <v/>
      </c>
      <c r="Q385" s="16" t="str">
        <f aca="false">IF(N(M385)=0,"",_xlfn.MINIFS(ENSAYOS!$Q$5:$Q$3004,ENSAYOS!$C$5:$C$3004,F385,ENSAYOS!$Q$5:$Q$3004,"&gt;0"))</f>
        <v/>
      </c>
      <c r="R385" s="16" t="str">
        <f aca="false">IF(N(M385)=0,"",_xlfn.MAXIFS(ENSAYOS!$Q$5:$Q$3004,ENSAYOS!$C$5:$C$3004,F385,ENSAYOS!$Q$5:$Q$3004,"&gt;0"))</f>
        <v/>
      </c>
      <c r="S385" s="16" t="str">
        <f aca="false">IF(N(M385)&lt;2,"",SQRT(MAX(0,(SUMIFS(ENSAYOS!$X$5:$X$3004,ENSAYOS!$C$5:$C$3004,F385,ENSAYOS!$Q$5:$Q$3004,"&gt;0")-M385*P385^2)/(M385-1))))</f>
        <v/>
      </c>
      <c r="T385" s="17" t="str">
        <f aca="false">IF(S385="","",S385/P385)</f>
        <v/>
      </c>
      <c r="U385" s="16" t="str">
        <f aca="false">IF(N(M385)=0,"",IF(N385&gt;=CONFIG!$B$27,"",AVERAGEIFS(ENSAYOS!$Q$5:$Q$3004,ENSAYOS!$C$5:$C$3004,F385,ENSAYOS!$Q$5:$Q$3004,"&gt;0",ENSAYOS!$G$5:$G$3004,N385)))</f>
        <v/>
      </c>
      <c r="V385" s="16" t="str">
        <f aca="false">IF(N(M385)=0,"",IF(COUNTIFS(ENSAYOS!$C$5:$C$3004,F385,ENSAYOS!$Q$5:$Q$3004,"&gt;0",ENSAYOS!$G$5:$G$3004,"&gt;="&amp;CONFIG!$B$27)=0,"",AVERAGEIFS(ENSAYOS!$Q$5:$Q$3004,ENSAYOS!$C$5:$C$3004,F385,ENSAYOS!$Q$5:$Q$3004,"&gt;0",ENSAYOS!$G$5:$G$3004,"&gt;="&amp;CONFIG!$B$27)))</f>
        <v/>
      </c>
      <c r="W385" s="18" t="str">
        <f aca="false">IF(AND(U385&lt;&gt;"",V385&lt;&gt;""),U385/V385,"")</f>
        <v/>
      </c>
      <c r="X385" s="18" t="str">
        <f aca="false">IF(U385="","",INDEX('CURVA EDAD'!$E$5:$E$32,MIN(28,MAX(1,N385))))</f>
        <v/>
      </c>
      <c r="Y385" s="16" t="str">
        <f aca="false">IF(V385&lt;&gt;"",V385,IF(U385="","",U385/X385))</f>
        <v/>
      </c>
      <c r="Z385" s="16" t="str">
        <f aca="false">IF(V385&lt;&gt;"",_xlfn.MINIFS(ENSAYOS!$Q$5:$Q$3004,ENSAYOS!$C$5:$C$3004,F385,ENSAYOS!$Q$5:$Q$3004,"&gt;0",ENSAYOS!$G$5:$G$3004,"&gt;="&amp;CONFIG!$B$27),IF(U385="","",_xlfn.MINIFS(ENSAYOS!$Q$5:$Q$3004,ENSAYOS!$C$5:$C$3004,F385,ENSAYOS!$Q$5:$Q$3004,"&gt;0",ENSAYOS!$G$5:$G$3004,N385)/X385))</f>
        <v/>
      </c>
      <c r="AA385" s="16" t="str">
        <f aca="false">IF(D385="","",IFERROR(1/(1/INDEX(CONFIG!$J$5:$J$14,MATCH(D385,CONFIG!$D$5:$D$14,0))),""))</f>
        <v/>
      </c>
      <c r="AB385" s="16" t="str">
        <f aca="false">IF(D385="","",IFERROR(1/(1/INDEX(CONFIG!$K$5:$K$14,MATCH(D385,CONFIG!$D$5:$D$14,0))),""))</f>
        <v/>
      </c>
      <c r="AC385" s="19" t="str">
        <f aca="false">IF(N(M385)=0,"",IF(AA385="","Sin spec",IF(AND(Y385&gt;=AA385,OR(AB385="",Z385&gt;=AB385)),"CUMPLE","NO CUMPLE")&amp;IF(V385=""," (est.)","")))</f>
        <v/>
      </c>
      <c r="AD385" s="20" t="str">
        <f aca="false">IF(F385="","",IF(COUNTIFS(ABSORCION!$C$5:$C$1004,F385,ABSORCION!$I$5:$I$1004,"&gt;0")=0,"",AVERAGEIFS(ABSORCION!$I$5:$I$1004,ABSORCION!$C$5:$C$1004,F385,ABSORCION!$I$5:$I$1004,"&gt;0")))</f>
        <v/>
      </c>
      <c r="AE385" s="20" t="str">
        <f aca="false">IF(F385="","",IF(COUNTIFS(ABSORCION!$C$5:$C$1004,F385,ABSORCION!$I$5:$I$1004,"&gt;0")=0,"",AVERAGEIFS(ABSORCION!$K$5:$K$1004,ABSORCION!$C$5:$C$1004,F385,ABSORCION!$I$5:$I$1004,"&gt;0")))</f>
        <v/>
      </c>
      <c r="AF385" s="20" t="str">
        <f aca="false">IF(AE385="","",IF(AE385&gt;=CONFIG!$E$21,CONFIG!$F$21,IF(AE385&gt;=CONFIG!$E$20,CONFIG!$F$20,CONFIG!$F$19)))</f>
        <v/>
      </c>
      <c r="AG385" s="21" t="str">
        <f aca="false">IF(F385="","",TRIM(IF(N(M385)=0,"Sin ensayos. ","")&amp;IF(AND(N(M385)&gt;0,N(M385)&lt;CONFIG!$B$26),"Menos de "&amp;CONFIG!$B$26&amp;" probetas. ","")&amp;IF(N(T385)&gt;CONFIG!$B$25,"CV alto. ","")&amp;IF(AND(N(AD385)&gt;0,N(AD385)&gt;N(AF385)),"Absorción alta. ","")))</f>
        <v/>
      </c>
      <c r="AH385" s="22" t="str">
        <f aca="false">IF(AND(N(M385)&gt;0,OR(CONTROL!$C$4="TODAS",C385=CONTROL!$C$4),D385=CONTROL!$C$5),MAX($AH$4:AH384)+1,"")</f>
        <v/>
      </c>
      <c r="AI385" s="22" t="str">
        <f aca="false">IF(AH385="","",P385^2)</f>
        <v/>
      </c>
    </row>
    <row r="386" customFormat="false" ht="15" hidden="false" customHeight="false" outlineLevel="0" collapsed="false">
      <c r="A386" s="11" t="str">
        <f aca="false">IF(B386="","",ROW()-4)</f>
        <v/>
      </c>
      <c r="B386" s="12"/>
      <c r="C386" s="13"/>
      <c r="D386" s="13"/>
      <c r="E386" s="13"/>
      <c r="F386" s="14" t="str">
        <f aca="false">IF(OR(B386="",C386="",D386=""),"",IFERROR(INDEX(CONFIG!$E$5:$E$14,MATCH(D386,CONFIG!$D$5:$D$14,0)),"?")&amp;RIGHT("0"&amp;DAY(B386),2)&amp;RIGHT("0"&amp;MONTH(B386),2)&amp;RIGHT(YEAR(B386),2)&amp;C386&amp;IF(E386="","","-"&amp;E386))</f>
        <v/>
      </c>
      <c r="G386" s="13"/>
      <c r="H386" s="13"/>
      <c r="I386" s="13"/>
      <c r="J386" s="13"/>
      <c r="K386" s="13"/>
      <c r="L386" s="13"/>
      <c r="M386" s="11" t="str">
        <f aca="false">IF(F386="","",COUNTIFS(ENSAYOS!$C$5:$C$3004,F386,ENSAYOS!$Q$5:$Q$3004,"&gt;0"))</f>
        <v/>
      </c>
      <c r="N386" s="15" t="str">
        <f aca="false">IF(N(M386)=0,"",_xlfn.MINIFS(ENSAYOS!$G$5:$G$3004,ENSAYOS!$C$5:$C$3004,F386,ENSAYOS!$Q$5:$Q$3004,"&gt;0"))</f>
        <v/>
      </c>
      <c r="O386" s="15" t="str">
        <f aca="false">IF(N(M386)=0,"",_xlfn.MAXIFS(ENSAYOS!$G$5:$G$3004,ENSAYOS!$C$5:$C$3004,F386,ENSAYOS!$Q$5:$Q$3004,"&gt;0"))</f>
        <v/>
      </c>
      <c r="P386" s="16" t="str">
        <f aca="false">IF(N(M386)=0,"",AVERAGEIFS(ENSAYOS!$Q$5:$Q$3004,ENSAYOS!$C$5:$C$3004,F386,ENSAYOS!$Q$5:$Q$3004,"&gt;0"))</f>
        <v/>
      </c>
      <c r="Q386" s="16" t="str">
        <f aca="false">IF(N(M386)=0,"",_xlfn.MINIFS(ENSAYOS!$Q$5:$Q$3004,ENSAYOS!$C$5:$C$3004,F386,ENSAYOS!$Q$5:$Q$3004,"&gt;0"))</f>
        <v/>
      </c>
      <c r="R386" s="16" t="str">
        <f aca="false">IF(N(M386)=0,"",_xlfn.MAXIFS(ENSAYOS!$Q$5:$Q$3004,ENSAYOS!$C$5:$C$3004,F386,ENSAYOS!$Q$5:$Q$3004,"&gt;0"))</f>
        <v/>
      </c>
      <c r="S386" s="16" t="str">
        <f aca="false">IF(N(M386)&lt;2,"",SQRT(MAX(0,(SUMIFS(ENSAYOS!$X$5:$X$3004,ENSAYOS!$C$5:$C$3004,F386,ENSAYOS!$Q$5:$Q$3004,"&gt;0")-M386*P386^2)/(M386-1))))</f>
        <v/>
      </c>
      <c r="T386" s="17" t="str">
        <f aca="false">IF(S386="","",S386/P386)</f>
        <v/>
      </c>
      <c r="U386" s="16" t="str">
        <f aca="false">IF(N(M386)=0,"",IF(N386&gt;=CONFIG!$B$27,"",AVERAGEIFS(ENSAYOS!$Q$5:$Q$3004,ENSAYOS!$C$5:$C$3004,F386,ENSAYOS!$Q$5:$Q$3004,"&gt;0",ENSAYOS!$G$5:$G$3004,N386)))</f>
        <v/>
      </c>
      <c r="V386" s="16" t="str">
        <f aca="false">IF(N(M386)=0,"",IF(COUNTIFS(ENSAYOS!$C$5:$C$3004,F386,ENSAYOS!$Q$5:$Q$3004,"&gt;0",ENSAYOS!$G$5:$G$3004,"&gt;="&amp;CONFIG!$B$27)=0,"",AVERAGEIFS(ENSAYOS!$Q$5:$Q$3004,ENSAYOS!$C$5:$C$3004,F386,ENSAYOS!$Q$5:$Q$3004,"&gt;0",ENSAYOS!$G$5:$G$3004,"&gt;="&amp;CONFIG!$B$27)))</f>
        <v/>
      </c>
      <c r="W386" s="18" t="str">
        <f aca="false">IF(AND(U386&lt;&gt;"",V386&lt;&gt;""),U386/V386,"")</f>
        <v/>
      </c>
      <c r="X386" s="18" t="str">
        <f aca="false">IF(U386="","",INDEX('CURVA EDAD'!$E$5:$E$32,MIN(28,MAX(1,N386))))</f>
        <v/>
      </c>
      <c r="Y386" s="16" t="str">
        <f aca="false">IF(V386&lt;&gt;"",V386,IF(U386="","",U386/X386))</f>
        <v/>
      </c>
      <c r="Z386" s="16" t="str">
        <f aca="false">IF(V386&lt;&gt;"",_xlfn.MINIFS(ENSAYOS!$Q$5:$Q$3004,ENSAYOS!$C$5:$C$3004,F386,ENSAYOS!$Q$5:$Q$3004,"&gt;0",ENSAYOS!$G$5:$G$3004,"&gt;="&amp;CONFIG!$B$27),IF(U386="","",_xlfn.MINIFS(ENSAYOS!$Q$5:$Q$3004,ENSAYOS!$C$5:$C$3004,F386,ENSAYOS!$Q$5:$Q$3004,"&gt;0",ENSAYOS!$G$5:$G$3004,N386)/X386))</f>
        <v/>
      </c>
      <c r="AA386" s="16" t="str">
        <f aca="false">IF(D386="","",IFERROR(1/(1/INDEX(CONFIG!$J$5:$J$14,MATCH(D386,CONFIG!$D$5:$D$14,0))),""))</f>
        <v/>
      </c>
      <c r="AB386" s="16" t="str">
        <f aca="false">IF(D386="","",IFERROR(1/(1/INDEX(CONFIG!$K$5:$K$14,MATCH(D386,CONFIG!$D$5:$D$14,0))),""))</f>
        <v/>
      </c>
      <c r="AC386" s="19" t="str">
        <f aca="false">IF(N(M386)=0,"",IF(AA386="","Sin spec",IF(AND(Y386&gt;=AA386,OR(AB386="",Z386&gt;=AB386)),"CUMPLE","NO CUMPLE")&amp;IF(V386=""," (est.)","")))</f>
        <v/>
      </c>
      <c r="AD386" s="20" t="str">
        <f aca="false">IF(F386="","",IF(COUNTIFS(ABSORCION!$C$5:$C$1004,F386,ABSORCION!$I$5:$I$1004,"&gt;0")=0,"",AVERAGEIFS(ABSORCION!$I$5:$I$1004,ABSORCION!$C$5:$C$1004,F386,ABSORCION!$I$5:$I$1004,"&gt;0")))</f>
        <v/>
      </c>
      <c r="AE386" s="20" t="str">
        <f aca="false">IF(F386="","",IF(COUNTIFS(ABSORCION!$C$5:$C$1004,F386,ABSORCION!$I$5:$I$1004,"&gt;0")=0,"",AVERAGEIFS(ABSORCION!$K$5:$K$1004,ABSORCION!$C$5:$C$1004,F386,ABSORCION!$I$5:$I$1004,"&gt;0")))</f>
        <v/>
      </c>
      <c r="AF386" s="20" t="str">
        <f aca="false">IF(AE386="","",IF(AE386&gt;=CONFIG!$E$21,CONFIG!$F$21,IF(AE386&gt;=CONFIG!$E$20,CONFIG!$F$20,CONFIG!$F$19)))</f>
        <v/>
      </c>
      <c r="AG386" s="21" t="str">
        <f aca="false">IF(F386="","",TRIM(IF(N(M386)=0,"Sin ensayos. ","")&amp;IF(AND(N(M386)&gt;0,N(M386)&lt;CONFIG!$B$26),"Menos de "&amp;CONFIG!$B$26&amp;" probetas. ","")&amp;IF(N(T386)&gt;CONFIG!$B$25,"CV alto. ","")&amp;IF(AND(N(AD386)&gt;0,N(AD386)&gt;N(AF386)),"Absorción alta. ","")))</f>
        <v/>
      </c>
      <c r="AH386" s="22" t="str">
        <f aca="false">IF(AND(N(M386)&gt;0,OR(CONTROL!$C$4="TODAS",C386=CONTROL!$C$4),D386=CONTROL!$C$5),MAX($AH$4:AH385)+1,"")</f>
        <v/>
      </c>
      <c r="AI386" s="22" t="str">
        <f aca="false">IF(AH386="","",P386^2)</f>
        <v/>
      </c>
    </row>
    <row r="387" customFormat="false" ht="15" hidden="false" customHeight="false" outlineLevel="0" collapsed="false">
      <c r="A387" s="11" t="str">
        <f aca="false">IF(B387="","",ROW()-4)</f>
        <v/>
      </c>
      <c r="B387" s="12"/>
      <c r="C387" s="13"/>
      <c r="D387" s="13"/>
      <c r="E387" s="13"/>
      <c r="F387" s="14" t="str">
        <f aca="false">IF(OR(B387="",C387="",D387=""),"",IFERROR(INDEX(CONFIG!$E$5:$E$14,MATCH(D387,CONFIG!$D$5:$D$14,0)),"?")&amp;RIGHT("0"&amp;DAY(B387),2)&amp;RIGHT("0"&amp;MONTH(B387),2)&amp;RIGHT(YEAR(B387),2)&amp;C387&amp;IF(E387="","","-"&amp;E387))</f>
        <v/>
      </c>
      <c r="G387" s="13"/>
      <c r="H387" s="13"/>
      <c r="I387" s="13"/>
      <c r="J387" s="13"/>
      <c r="K387" s="13"/>
      <c r="L387" s="13"/>
      <c r="M387" s="11" t="str">
        <f aca="false">IF(F387="","",COUNTIFS(ENSAYOS!$C$5:$C$3004,F387,ENSAYOS!$Q$5:$Q$3004,"&gt;0"))</f>
        <v/>
      </c>
      <c r="N387" s="15" t="str">
        <f aca="false">IF(N(M387)=0,"",_xlfn.MINIFS(ENSAYOS!$G$5:$G$3004,ENSAYOS!$C$5:$C$3004,F387,ENSAYOS!$Q$5:$Q$3004,"&gt;0"))</f>
        <v/>
      </c>
      <c r="O387" s="15" t="str">
        <f aca="false">IF(N(M387)=0,"",_xlfn.MAXIFS(ENSAYOS!$G$5:$G$3004,ENSAYOS!$C$5:$C$3004,F387,ENSAYOS!$Q$5:$Q$3004,"&gt;0"))</f>
        <v/>
      </c>
      <c r="P387" s="16" t="str">
        <f aca="false">IF(N(M387)=0,"",AVERAGEIFS(ENSAYOS!$Q$5:$Q$3004,ENSAYOS!$C$5:$C$3004,F387,ENSAYOS!$Q$5:$Q$3004,"&gt;0"))</f>
        <v/>
      </c>
      <c r="Q387" s="16" t="str">
        <f aca="false">IF(N(M387)=0,"",_xlfn.MINIFS(ENSAYOS!$Q$5:$Q$3004,ENSAYOS!$C$5:$C$3004,F387,ENSAYOS!$Q$5:$Q$3004,"&gt;0"))</f>
        <v/>
      </c>
      <c r="R387" s="16" t="str">
        <f aca="false">IF(N(M387)=0,"",_xlfn.MAXIFS(ENSAYOS!$Q$5:$Q$3004,ENSAYOS!$C$5:$C$3004,F387,ENSAYOS!$Q$5:$Q$3004,"&gt;0"))</f>
        <v/>
      </c>
      <c r="S387" s="16" t="str">
        <f aca="false">IF(N(M387)&lt;2,"",SQRT(MAX(0,(SUMIFS(ENSAYOS!$X$5:$X$3004,ENSAYOS!$C$5:$C$3004,F387,ENSAYOS!$Q$5:$Q$3004,"&gt;0")-M387*P387^2)/(M387-1))))</f>
        <v/>
      </c>
      <c r="T387" s="17" t="str">
        <f aca="false">IF(S387="","",S387/P387)</f>
        <v/>
      </c>
      <c r="U387" s="16" t="str">
        <f aca="false">IF(N(M387)=0,"",IF(N387&gt;=CONFIG!$B$27,"",AVERAGEIFS(ENSAYOS!$Q$5:$Q$3004,ENSAYOS!$C$5:$C$3004,F387,ENSAYOS!$Q$5:$Q$3004,"&gt;0",ENSAYOS!$G$5:$G$3004,N387)))</f>
        <v/>
      </c>
      <c r="V387" s="16" t="str">
        <f aca="false">IF(N(M387)=0,"",IF(COUNTIFS(ENSAYOS!$C$5:$C$3004,F387,ENSAYOS!$Q$5:$Q$3004,"&gt;0",ENSAYOS!$G$5:$G$3004,"&gt;="&amp;CONFIG!$B$27)=0,"",AVERAGEIFS(ENSAYOS!$Q$5:$Q$3004,ENSAYOS!$C$5:$C$3004,F387,ENSAYOS!$Q$5:$Q$3004,"&gt;0",ENSAYOS!$G$5:$G$3004,"&gt;="&amp;CONFIG!$B$27)))</f>
        <v/>
      </c>
      <c r="W387" s="18" t="str">
        <f aca="false">IF(AND(U387&lt;&gt;"",V387&lt;&gt;""),U387/V387,"")</f>
        <v/>
      </c>
      <c r="X387" s="18" t="str">
        <f aca="false">IF(U387="","",INDEX('CURVA EDAD'!$E$5:$E$32,MIN(28,MAX(1,N387))))</f>
        <v/>
      </c>
      <c r="Y387" s="16" t="str">
        <f aca="false">IF(V387&lt;&gt;"",V387,IF(U387="","",U387/X387))</f>
        <v/>
      </c>
      <c r="Z387" s="16" t="str">
        <f aca="false">IF(V387&lt;&gt;"",_xlfn.MINIFS(ENSAYOS!$Q$5:$Q$3004,ENSAYOS!$C$5:$C$3004,F387,ENSAYOS!$Q$5:$Q$3004,"&gt;0",ENSAYOS!$G$5:$G$3004,"&gt;="&amp;CONFIG!$B$27),IF(U387="","",_xlfn.MINIFS(ENSAYOS!$Q$5:$Q$3004,ENSAYOS!$C$5:$C$3004,F387,ENSAYOS!$Q$5:$Q$3004,"&gt;0",ENSAYOS!$G$5:$G$3004,N387)/X387))</f>
        <v/>
      </c>
      <c r="AA387" s="16" t="str">
        <f aca="false">IF(D387="","",IFERROR(1/(1/INDEX(CONFIG!$J$5:$J$14,MATCH(D387,CONFIG!$D$5:$D$14,0))),""))</f>
        <v/>
      </c>
      <c r="AB387" s="16" t="str">
        <f aca="false">IF(D387="","",IFERROR(1/(1/INDEX(CONFIG!$K$5:$K$14,MATCH(D387,CONFIG!$D$5:$D$14,0))),""))</f>
        <v/>
      </c>
      <c r="AC387" s="19" t="str">
        <f aca="false">IF(N(M387)=0,"",IF(AA387="","Sin spec",IF(AND(Y387&gt;=AA387,OR(AB387="",Z387&gt;=AB387)),"CUMPLE","NO CUMPLE")&amp;IF(V387=""," (est.)","")))</f>
        <v/>
      </c>
      <c r="AD387" s="20" t="str">
        <f aca="false">IF(F387="","",IF(COUNTIFS(ABSORCION!$C$5:$C$1004,F387,ABSORCION!$I$5:$I$1004,"&gt;0")=0,"",AVERAGEIFS(ABSORCION!$I$5:$I$1004,ABSORCION!$C$5:$C$1004,F387,ABSORCION!$I$5:$I$1004,"&gt;0")))</f>
        <v/>
      </c>
      <c r="AE387" s="20" t="str">
        <f aca="false">IF(F387="","",IF(COUNTIFS(ABSORCION!$C$5:$C$1004,F387,ABSORCION!$I$5:$I$1004,"&gt;0")=0,"",AVERAGEIFS(ABSORCION!$K$5:$K$1004,ABSORCION!$C$5:$C$1004,F387,ABSORCION!$I$5:$I$1004,"&gt;0")))</f>
        <v/>
      </c>
      <c r="AF387" s="20" t="str">
        <f aca="false">IF(AE387="","",IF(AE387&gt;=CONFIG!$E$21,CONFIG!$F$21,IF(AE387&gt;=CONFIG!$E$20,CONFIG!$F$20,CONFIG!$F$19)))</f>
        <v/>
      </c>
      <c r="AG387" s="21" t="str">
        <f aca="false">IF(F387="","",TRIM(IF(N(M387)=0,"Sin ensayos. ","")&amp;IF(AND(N(M387)&gt;0,N(M387)&lt;CONFIG!$B$26),"Menos de "&amp;CONFIG!$B$26&amp;" probetas. ","")&amp;IF(N(T387)&gt;CONFIG!$B$25,"CV alto. ","")&amp;IF(AND(N(AD387)&gt;0,N(AD387)&gt;N(AF387)),"Absorción alta. ","")))</f>
        <v/>
      </c>
      <c r="AH387" s="22" t="str">
        <f aca="false">IF(AND(N(M387)&gt;0,OR(CONTROL!$C$4="TODAS",C387=CONTROL!$C$4),D387=CONTROL!$C$5),MAX($AH$4:AH386)+1,"")</f>
        <v/>
      </c>
      <c r="AI387" s="22" t="str">
        <f aca="false">IF(AH387="","",P387^2)</f>
        <v/>
      </c>
    </row>
    <row r="388" customFormat="false" ht="15" hidden="false" customHeight="false" outlineLevel="0" collapsed="false">
      <c r="A388" s="11" t="str">
        <f aca="false">IF(B388="","",ROW()-4)</f>
        <v/>
      </c>
      <c r="B388" s="12"/>
      <c r="C388" s="13"/>
      <c r="D388" s="13"/>
      <c r="E388" s="13"/>
      <c r="F388" s="14" t="str">
        <f aca="false">IF(OR(B388="",C388="",D388=""),"",IFERROR(INDEX(CONFIG!$E$5:$E$14,MATCH(D388,CONFIG!$D$5:$D$14,0)),"?")&amp;RIGHT("0"&amp;DAY(B388),2)&amp;RIGHT("0"&amp;MONTH(B388),2)&amp;RIGHT(YEAR(B388),2)&amp;C388&amp;IF(E388="","","-"&amp;E388))</f>
        <v/>
      </c>
      <c r="G388" s="13"/>
      <c r="H388" s="13"/>
      <c r="I388" s="13"/>
      <c r="J388" s="13"/>
      <c r="K388" s="13"/>
      <c r="L388" s="13"/>
      <c r="M388" s="11" t="str">
        <f aca="false">IF(F388="","",COUNTIFS(ENSAYOS!$C$5:$C$3004,F388,ENSAYOS!$Q$5:$Q$3004,"&gt;0"))</f>
        <v/>
      </c>
      <c r="N388" s="15" t="str">
        <f aca="false">IF(N(M388)=0,"",_xlfn.MINIFS(ENSAYOS!$G$5:$G$3004,ENSAYOS!$C$5:$C$3004,F388,ENSAYOS!$Q$5:$Q$3004,"&gt;0"))</f>
        <v/>
      </c>
      <c r="O388" s="15" t="str">
        <f aca="false">IF(N(M388)=0,"",_xlfn.MAXIFS(ENSAYOS!$G$5:$G$3004,ENSAYOS!$C$5:$C$3004,F388,ENSAYOS!$Q$5:$Q$3004,"&gt;0"))</f>
        <v/>
      </c>
      <c r="P388" s="16" t="str">
        <f aca="false">IF(N(M388)=0,"",AVERAGEIFS(ENSAYOS!$Q$5:$Q$3004,ENSAYOS!$C$5:$C$3004,F388,ENSAYOS!$Q$5:$Q$3004,"&gt;0"))</f>
        <v/>
      </c>
      <c r="Q388" s="16" t="str">
        <f aca="false">IF(N(M388)=0,"",_xlfn.MINIFS(ENSAYOS!$Q$5:$Q$3004,ENSAYOS!$C$5:$C$3004,F388,ENSAYOS!$Q$5:$Q$3004,"&gt;0"))</f>
        <v/>
      </c>
      <c r="R388" s="16" t="str">
        <f aca="false">IF(N(M388)=0,"",_xlfn.MAXIFS(ENSAYOS!$Q$5:$Q$3004,ENSAYOS!$C$5:$C$3004,F388,ENSAYOS!$Q$5:$Q$3004,"&gt;0"))</f>
        <v/>
      </c>
      <c r="S388" s="16" t="str">
        <f aca="false">IF(N(M388)&lt;2,"",SQRT(MAX(0,(SUMIFS(ENSAYOS!$X$5:$X$3004,ENSAYOS!$C$5:$C$3004,F388,ENSAYOS!$Q$5:$Q$3004,"&gt;0")-M388*P388^2)/(M388-1))))</f>
        <v/>
      </c>
      <c r="T388" s="17" t="str">
        <f aca="false">IF(S388="","",S388/P388)</f>
        <v/>
      </c>
      <c r="U388" s="16" t="str">
        <f aca="false">IF(N(M388)=0,"",IF(N388&gt;=CONFIG!$B$27,"",AVERAGEIFS(ENSAYOS!$Q$5:$Q$3004,ENSAYOS!$C$5:$C$3004,F388,ENSAYOS!$Q$5:$Q$3004,"&gt;0",ENSAYOS!$G$5:$G$3004,N388)))</f>
        <v/>
      </c>
      <c r="V388" s="16" t="str">
        <f aca="false">IF(N(M388)=0,"",IF(COUNTIFS(ENSAYOS!$C$5:$C$3004,F388,ENSAYOS!$Q$5:$Q$3004,"&gt;0",ENSAYOS!$G$5:$G$3004,"&gt;="&amp;CONFIG!$B$27)=0,"",AVERAGEIFS(ENSAYOS!$Q$5:$Q$3004,ENSAYOS!$C$5:$C$3004,F388,ENSAYOS!$Q$5:$Q$3004,"&gt;0",ENSAYOS!$G$5:$G$3004,"&gt;="&amp;CONFIG!$B$27)))</f>
        <v/>
      </c>
      <c r="W388" s="18" t="str">
        <f aca="false">IF(AND(U388&lt;&gt;"",V388&lt;&gt;""),U388/V388,"")</f>
        <v/>
      </c>
      <c r="X388" s="18" t="str">
        <f aca="false">IF(U388="","",INDEX('CURVA EDAD'!$E$5:$E$32,MIN(28,MAX(1,N388))))</f>
        <v/>
      </c>
      <c r="Y388" s="16" t="str">
        <f aca="false">IF(V388&lt;&gt;"",V388,IF(U388="","",U388/X388))</f>
        <v/>
      </c>
      <c r="Z388" s="16" t="str">
        <f aca="false">IF(V388&lt;&gt;"",_xlfn.MINIFS(ENSAYOS!$Q$5:$Q$3004,ENSAYOS!$C$5:$C$3004,F388,ENSAYOS!$Q$5:$Q$3004,"&gt;0",ENSAYOS!$G$5:$G$3004,"&gt;="&amp;CONFIG!$B$27),IF(U388="","",_xlfn.MINIFS(ENSAYOS!$Q$5:$Q$3004,ENSAYOS!$C$5:$C$3004,F388,ENSAYOS!$Q$5:$Q$3004,"&gt;0",ENSAYOS!$G$5:$G$3004,N388)/X388))</f>
        <v/>
      </c>
      <c r="AA388" s="16" t="str">
        <f aca="false">IF(D388="","",IFERROR(1/(1/INDEX(CONFIG!$J$5:$J$14,MATCH(D388,CONFIG!$D$5:$D$14,0))),""))</f>
        <v/>
      </c>
      <c r="AB388" s="16" t="str">
        <f aca="false">IF(D388="","",IFERROR(1/(1/INDEX(CONFIG!$K$5:$K$14,MATCH(D388,CONFIG!$D$5:$D$14,0))),""))</f>
        <v/>
      </c>
      <c r="AC388" s="19" t="str">
        <f aca="false">IF(N(M388)=0,"",IF(AA388="","Sin spec",IF(AND(Y388&gt;=AA388,OR(AB388="",Z388&gt;=AB388)),"CUMPLE","NO CUMPLE")&amp;IF(V388=""," (est.)","")))</f>
        <v/>
      </c>
      <c r="AD388" s="20" t="str">
        <f aca="false">IF(F388="","",IF(COUNTIFS(ABSORCION!$C$5:$C$1004,F388,ABSORCION!$I$5:$I$1004,"&gt;0")=0,"",AVERAGEIFS(ABSORCION!$I$5:$I$1004,ABSORCION!$C$5:$C$1004,F388,ABSORCION!$I$5:$I$1004,"&gt;0")))</f>
        <v/>
      </c>
      <c r="AE388" s="20" t="str">
        <f aca="false">IF(F388="","",IF(COUNTIFS(ABSORCION!$C$5:$C$1004,F388,ABSORCION!$I$5:$I$1004,"&gt;0")=0,"",AVERAGEIFS(ABSORCION!$K$5:$K$1004,ABSORCION!$C$5:$C$1004,F388,ABSORCION!$I$5:$I$1004,"&gt;0")))</f>
        <v/>
      </c>
      <c r="AF388" s="20" t="str">
        <f aca="false">IF(AE388="","",IF(AE388&gt;=CONFIG!$E$21,CONFIG!$F$21,IF(AE388&gt;=CONFIG!$E$20,CONFIG!$F$20,CONFIG!$F$19)))</f>
        <v/>
      </c>
      <c r="AG388" s="21" t="str">
        <f aca="false">IF(F388="","",TRIM(IF(N(M388)=0,"Sin ensayos. ","")&amp;IF(AND(N(M388)&gt;0,N(M388)&lt;CONFIG!$B$26),"Menos de "&amp;CONFIG!$B$26&amp;" probetas. ","")&amp;IF(N(T388)&gt;CONFIG!$B$25,"CV alto. ","")&amp;IF(AND(N(AD388)&gt;0,N(AD388)&gt;N(AF388)),"Absorción alta. ","")))</f>
        <v/>
      </c>
      <c r="AH388" s="22" t="str">
        <f aca="false">IF(AND(N(M388)&gt;0,OR(CONTROL!$C$4="TODAS",C388=CONTROL!$C$4),D388=CONTROL!$C$5),MAX($AH$4:AH387)+1,"")</f>
        <v/>
      </c>
      <c r="AI388" s="22" t="str">
        <f aca="false">IF(AH388="","",P388^2)</f>
        <v/>
      </c>
    </row>
    <row r="389" customFormat="false" ht="15" hidden="false" customHeight="false" outlineLevel="0" collapsed="false">
      <c r="A389" s="11" t="str">
        <f aca="false">IF(B389="","",ROW()-4)</f>
        <v/>
      </c>
      <c r="B389" s="12"/>
      <c r="C389" s="13"/>
      <c r="D389" s="13"/>
      <c r="E389" s="13"/>
      <c r="F389" s="14" t="str">
        <f aca="false">IF(OR(B389="",C389="",D389=""),"",IFERROR(INDEX(CONFIG!$E$5:$E$14,MATCH(D389,CONFIG!$D$5:$D$14,0)),"?")&amp;RIGHT("0"&amp;DAY(B389),2)&amp;RIGHT("0"&amp;MONTH(B389),2)&amp;RIGHT(YEAR(B389),2)&amp;C389&amp;IF(E389="","","-"&amp;E389))</f>
        <v/>
      </c>
      <c r="G389" s="13"/>
      <c r="H389" s="13"/>
      <c r="I389" s="13"/>
      <c r="J389" s="13"/>
      <c r="K389" s="13"/>
      <c r="L389" s="13"/>
      <c r="M389" s="11" t="str">
        <f aca="false">IF(F389="","",COUNTIFS(ENSAYOS!$C$5:$C$3004,F389,ENSAYOS!$Q$5:$Q$3004,"&gt;0"))</f>
        <v/>
      </c>
      <c r="N389" s="15" t="str">
        <f aca="false">IF(N(M389)=0,"",_xlfn.MINIFS(ENSAYOS!$G$5:$G$3004,ENSAYOS!$C$5:$C$3004,F389,ENSAYOS!$Q$5:$Q$3004,"&gt;0"))</f>
        <v/>
      </c>
      <c r="O389" s="15" t="str">
        <f aca="false">IF(N(M389)=0,"",_xlfn.MAXIFS(ENSAYOS!$G$5:$G$3004,ENSAYOS!$C$5:$C$3004,F389,ENSAYOS!$Q$5:$Q$3004,"&gt;0"))</f>
        <v/>
      </c>
      <c r="P389" s="16" t="str">
        <f aca="false">IF(N(M389)=0,"",AVERAGEIFS(ENSAYOS!$Q$5:$Q$3004,ENSAYOS!$C$5:$C$3004,F389,ENSAYOS!$Q$5:$Q$3004,"&gt;0"))</f>
        <v/>
      </c>
      <c r="Q389" s="16" t="str">
        <f aca="false">IF(N(M389)=0,"",_xlfn.MINIFS(ENSAYOS!$Q$5:$Q$3004,ENSAYOS!$C$5:$C$3004,F389,ENSAYOS!$Q$5:$Q$3004,"&gt;0"))</f>
        <v/>
      </c>
      <c r="R389" s="16" t="str">
        <f aca="false">IF(N(M389)=0,"",_xlfn.MAXIFS(ENSAYOS!$Q$5:$Q$3004,ENSAYOS!$C$5:$C$3004,F389,ENSAYOS!$Q$5:$Q$3004,"&gt;0"))</f>
        <v/>
      </c>
      <c r="S389" s="16" t="str">
        <f aca="false">IF(N(M389)&lt;2,"",SQRT(MAX(0,(SUMIFS(ENSAYOS!$X$5:$X$3004,ENSAYOS!$C$5:$C$3004,F389,ENSAYOS!$Q$5:$Q$3004,"&gt;0")-M389*P389^2)/(M389-1))))</f>
        <v/>
      </c>
      <c r="T389" s="17" t="str">
        <f aca="false">IF(S389="","",S389/P389)</f>
        <v/>
      </c>
      <c r="U389" s="16" t="str">
        <f aca="false">IF(N(M389)=0,"",IF(N389&gt;=CONFIG!$B$27,"",AVERAGEIFS(ENSAYOS!$Q$5:$Q$3004,ENSAYOS!$C$5:$C$3004,F389,ENSAYOS!$Q$5:$Q$3004,"&gt;0",ENSAYOS!$G$5:$G$3004,N389)))</f>
        <v/>
      </c>
      <c r="V389" s="16" t="str">
        <f aca="false">IF(N(M389)=0,"",IF(COUNTIFS(ENSAYOS!$C$5:$C$3004,F389,ENSAYOS!$Q$5:$Q$3004,"&gt;0",ENSAYOS!$G$5:$G$3004,"&gt;="&amp;CONFIG!$B$27)=0,"",AVERAGEIFS(ENSAYOS!$Q$5:$Q$3004,ENSAYOS!$C$5:$C$3004,F389,ENSAYOS!$Q$5:$Q$3004,"&gt;0",ENSAYOS!$G$5:$G$3004,"&gt;="&amp;CONFIG!$B$27)))</f>
        <v/>
      </c>
      <c r="W389" s="18" t="str">
        <f aca="false">IF(AND(U389&lt;&gt;"",V389&lt;&gt;""),U389/V389,"")</f>
        <v/>
      </c>
      <c r="X389" s="18" t="str">
        <f aca="false">IF(U389="","",INDEX('CURVA EDAD'!$E$5:$E$32,MIN(28,MAX(1,N389))))</f>
        <v/>
      </c>
      <c r="Y389" s="16" t="str">
        <f aca="false">IF(V389&lt;&gt;"",V389,IF(U389="","",U389/X389))</f>
        <v/>
      </c>
      <c r="Z389" s="16" t="str">
        <f aca="false">IF(V389&lt;&gt;"",_xlfn.MINIFS(ENSAYOS!$Q$5:$Q$3004,ENSAYOS!$C$5:$C$3004,F389,ENSAYOS!$Q$5:$Q$3004,"&gt;0",ENSAYOS!$G$5:$G$3004,"&gt;="&amp;CONFIG!$B$27),IF(U389="","",_xlfn.MINIFS(ENSAYOS!$Q$5:$Q$3004,ENSAYOS!$C$5:$C$3004,F389,ENSAYOS!$Q$5:$Q$3004,"&gt;0",ENSAYOS!$G$5:$G$3004,N389)/X389))</f>
        <v/>
      </c>
      <c r="AA389" s="16" t="str">
        <f aca="false">IF(D389="","",IFERROR(1/(1/INDEX(CONFIG!$J$5:$J$14,MATCH(D389,CONFIG!$D$5:$D$14,0))),""))</f>
        <v/>
      </c>
      <c r="AB389" s="16" t="str">
        <f aca="false">IF(D389="","",IFERROR(1/(1/INDEX(CONFIG!$K$5:$K$14,MATCH(D389,CONFIG!$D$5:$D$14,0))),""))</f>
        <v/>
      </c>
      <c r="AC389" s="19" t="str">
        <f aca="false">IF(N(M389)=0,"",IF(AA389="","Sin spec",IF(AND(Y389&gt;=AA389,OR(AB389="",Z389&gt;=AB389)),"CUMPLE","NO CUMPLE")&amp;IF(V389=""," (est.)","")))</f>
        <v/>
      </c>
      <c r="AD389" s="20" t="str">
        <f aca="false">IF(F389="","",IF(COUNTIFS(ABSORCION!$C$5:$C$1004,F389,ABSORCION!$I$5:$I$1004,"&gt;0")=0,"",AVERAGEIFS(ABSORCION!$I$5:$I$1004,ABSORCION!$C$5:$C$1004,F389,ABSORCION!$I$5:$I$1004,"&gt;0")))</f>
        <v/>
      </c>
      <c r="AE389" s="20" t="str">
        <f aca="false">IF(F389="","",IF(COUNTIFS(ABSORCION!$C$5:$C$1004,F389,ABSORCION!$I$5:$I$1004,"&gt;0")=0,"",AVERAGEIFS(ABSORCION!$K$5:$K$1004,ABSORCION!$C$5:$C$1004,F389,ABSORCION!$I$5:$I$1004,"&gt;0")))</f>
        <v/>
      </c>
      <c r="AF389" s="20" t="str">
        <f aca="false">IF(AE389="","",IF(AE389&gt;=CONFIG!$E$21,CONFIG!$F$21,IF(AE389&gt;=CONFIG!$E$20,CONFIG!$F$20,CONFIG!$F$19)))</f>
        <v/>
      </c>
      <c r="AG389" s="21" t="str">
        <f aca="false">IF(F389="","",TRIM(IF(N(M389)=0,"Sin ensayos. ","")&amp;IF(AND(N(M389)&gt;0,N(M389)&lt;CONFIG!$B$26),"Menos de "&amp;CONFIG!$B$26&amp;" probetas. ","")&amp;IF(N(T389)&gt;CONFIG!$B$25,"CV alto. ","")&amp;IF(AND(N(AD389)&gt;0,N(AD389)&gt;N(AF389)),"Absorción alta. ","")))</f>
        <v/>
      </c>
      <c r="AH389" s="22" t="str">
        <f aca="false">IF(AND(N(M389)&gt;0,OR(CONTROL!$C$4="TODAS",C389=CONTROL!$C$4),D389=CONTROL!$C$5),MAX($AH$4:AH388)+1,"")</f>
        <v/>
      </c>
      <c r="AI389" s="22" t="str">
        <f aca="false">IF(AH389="","",P389^2)</f>
        <v/>
      </c>
    </row>
    <row r="390" customFormat="false" ht="15" hidden="false" customHeight="false" outlineLevel="0" collapsed="false">
      <c r="A390" s="11" t="str">
        <f aca="false">IF(B390="","",ROW()-4)</f>
        <v/>
      </c>
      <c r="B390" s="12"/>
      <c r="C390" s="13"/>
      <c r="D390" s="13"/>
      <c r="E390" s="13"/>
      <c r="F390" s="14" t="str">
        <f aca="false">IF(OR(B390="",C390="",D390=""),"",IFERROR(INDEX(CONFIG!$E$5:$E$14,MATCH(D390,CONFIG!$D$5:$D$14,0)),"?")&amp;RIGHT("0"&amp;DAY(B390),2)&amp;RIGHT("0"&amp;MONTH(B390),2)&amp;RIGHT(YEAR(B390),2)&amp;C390&amp;IF(E390="","","-"&amp;E390))</f>
        <v/>
      </c>
      <c r="G390" s="13"/>
      <c r="H390" s="13"/>
      <c r="I390" s="13"/>
      <c r="J390" s="13"/>
      <c r="K390" s="13"/>
      <c r="L390" s="13"/>
      <c r="M390" s="11" t="str">
        <f aca="false">IF(F390="","",COUNTIFS(ENSAYOS!$C$5:$C$3004,F390,ENSAYOS!$Q$5:$Q$3004,"&gt;0"))</f>
        <v/>
      </c>
      <c r="N390" s="15" t="str">
        <f aca="false">IF(N(M390)=0,"",_xlfn.MINIFS(ENSAYOS!$G$5:$G$3004,ENSAYOS!$C$5:$C$3004,F390,ENSAYOS!$Q$5:$Q$3004,"&gt;0"))</f>
        <v/>
      </c>
      <c r="O390" s="15" t="str">
        <f aca="false">IF(N(M390)=0,"",_xlfn.MAXIFS(ENSAYOS!$G$5:$G$3004,ENSAYOS!$C$5:$C$3004,F390,ENSAYOS!$Q$5:$Q$3004,"&gt;0"))</f>
        <v/>
      </c>
      <c r="P390" s="16" t="str">
        <f aca="false">IF(N(M390)=0,"",AVERAGEIFS(ENSAYOS!$Q$5:$Q$3004,ENSAYOS!$C$5:$C$3004,F390,ENSAYOS!$Q$5:$Q$3004,"&gt;0"))</f>
        <v/>
      </c>
      <c r="Q390" s="16" t="str">
        <f aca="false">IF(N(M390)=0,"",_xlfn.MINIFS(ENSAYOS!$Q$5:$Q$3004,ENSAYOS!$C$5:$C$3004,F390,ENSAYOS!$Q$5:$Q$3004,"&gt;0"))</f>
        <v/>
      </c>
      <c r="R390" s="16" t="str">
        <f aca="false">IF(N(M390)=0,"",_xlfn.MAXIFS(ENSAYOS!$Q$5:$Q$3004,ENSAYOS!$C$5:$C$3004,F390,ENSAYOS!$Q$5:$Q$3004,"&gt;0"))</f>
        <v/>
      </c>
      <c r="S390" s="16" t="str">
        <f aca="false">IF(N(M390)&lt;2,"",SQRT(MAX(0,(SUMIFS(ENSAYOS!$X$5:$X$3004,ENSAYOS!$C$5:$C$3004,F390,ENSAYOS!$Q$5:$Q$3004,"&gt;0")-M390*P390^2)/(M390-1))))</f>
        <v/>
      </c>
      <c r="T390" s="17" t="str">
        <f aca="false">IF(S390="","",S390/P390)</f>
        <v/>
      </c>
      <c r="U390" s="16" t="str">
        <f aca="false">IF(N(M390)=0,"",IF(N390&gt;=CONFIG!$B$27,"",AVERAGEIFS(ENSAYOS!$Q$5:$Q$3004,ENSAYOS!$C$5:$C$3004,F390,ENSAYOS!$Q$5:$Q$3004,"&gt;0",ENSAYOS!$G$5:$G$3004,N390)))</f>
        <v/>
      </c>
      <c r="V390" s="16" t="str">
        <f aca="false">IF(N(M390)=0,"",IF(COUNTIFS(ENSAYOS!$C$5:$C$3004,F390,ENSAYOS!$Q$5:$Q$3004,"&gt;0",ENSAYOS!$G$5:$G$3004,"&gt;="&amp;CONFIG!$B$27)=0,"",AVERAGEIFS(ENSAYOS!$Q$5:$Q$3004,ENSAYOS!$C$5:$C$3004,F390,ENSAYOS!$Q$5:$Q$3004,"&gt;0",ENSAYOS!$G$5:$G$3004,"&gt;="&amp;CONFIG!$B$27)))</f>
        <v/>
      </c>
      <c r="W390" s="18" t="str">
        <f aca="false">IF(AND(U390&lt;&gt;"",V390&lt;&gt;""),U390/V390,"")</f>
        <v/>
      </c>
      <c r="X390" s="18" t="str">
        <f aca="false">IF(U390="","",INDEX('CURVA EDAD'!$E$5:$E$32,MIN(28,MAX(1,N390))))</f>
        <v/>
      </c>
      <c r="Y390" s="16" t="str">
        <f aca="false">IF(V390&lt;&gt;"",V390,IF(U390="","",U390/X390))</f>
        <v/>
      </c>
      <c r="Z390" s="16" t="str">
        <f aca="false">IF(V390&lt;&gt;"",_xlfn.MINIFS(ENSAYOS!$Q$5:$Q$3004,ENSAYOS!$C$5:$C$3004,F390,ENSAYOS!$Q$5:$Q$3004,"&gt;0",ENSAYOS!$G$5:$G$3004,"&gt;="&amp;CONFIG!$B$27),IF(U390="","",_xlfn.MINIFS(ENSAYOS!$Q$5:$Q$3004,ENSAYOS!$C$5:$C$3004,F390,ENSAYOS!$Q$5:$Q$3004,"&gt;0",ENSAYOS!$G$5:$G$3004,N390)/X390))</f>
        <v/>
      </c>
      <c r="AA390" s="16" t="str">
        <f aca="false">IF(D390="","",IFERROR(1/(1/INDEX(CONFIG!$J$5:$J$14,MATCH(D390,CONFIG!$D$5:$D$14,0))),""))</f>
        <v/>
      </c>
      <c r="AB390" s="16" t="str">
        <f aca="false">IF(D390="","",IFERROR(1/(1/INDEX(CONFIG!$K$5:$K$14,MATCH(D390,CONFIG!$D$5:$D$14,0))),""))</f>
        <v/>
      </c>
      <c r="AC390" s="19" t="str">
        <f aca="false">IF(N(M390)=0,"",IF(AA390="","Sin spec",IF(AND(Y390&gt;=AA390,OR(AB390="",Z390&gt;=AB390)),"CUMPLE","NO CUMPLE")&amp;IF(V390=""," (est.)","")))</f>
        <v/>
      </c>
      <c r="AD390" s="20" t="str">
        <f aca="false">IF(F390="","",IF(COUNTIFS(ABSORCION!$C$5:$C$1004,F390,ABSORCION!$I$5:$I$1004,"&gt;0")=0,"",AVERAGEIFS(ABSORCION!$I$5:$I$1004,ABSORCION!$C$5:$C$1004,F390,ABSORCION!$I$5:$I$1004,"&gt;0")))</f>
        <v/>
      </c>
      <c r="AE390" s="20" t="str">
        <f aca="false">IF(F390="","",IF(COUNTIFS(ABSORCION!$C$5:$C$1004,F390,ABSORCION!$I$5:$I$1004,"&gt;0")=0,"",AVERAGEIFS(ABSORCION!$K$5:$K$1004,ABSORCION!$C$5:$C$1004,F390,ABSORCION!$I$5:$I$1004,"&gt;0")))</f>
        <v/>
      </c>
      <c r="AF390" s="20" t="str">
        <f aca="false">IF(AE390="","",IF(AE390&gt;=CONFIG!$E$21,CONFIG!$F$21,IF(AE390&gt;=CONFIG!$E$20,CONFIG!$F$20,CONFIG!$F$19)))</f>
        <v/>
      </c>
      <c r="AG390" s="21" t="str">
        <f aca="false">IF(F390="","",TRIM(IF(N(M390)=0,"Sin ensayos. ","")&amp;IF(AND(N(M390)&gt;0,N(M390)&lt;CONFIG!$B$26),"Menos de "&amp;CONFIG!$B$26&amp;" probetas. ","")&amp;IF(N(T390)&gt;CONFIG!$B$25,"CV alto. ","")&amp;IF(AND(N(AD390)&gt;0,N(AD390)&gt;N(AF390)),"Absorción alta. ","")))</f>
        <v/>
      </c>
      <c r="AH390" s="22" t="str">
        <f aca="false">IF(AND(N(M390)&gt;0,OR(CONTROL!$C$4="TODAS",C390=CONTROL!$C$4),D390=CONTROL!$C$5),MAX($AH$4:AH389)+1,"")</f>
        <v/>
      </c>
      <c r="AI390" s="22" t="str">
        <f aca="false">IF(AH390="","",P390^2)</f>
        <v/>
      </c>
    </row>
    <row r="391" customFormat="false" ht="15" hidden="false" customHeight="false" outlineLevel="0" collapsed="false">
      <c r="A391" s="11" t="str">
        <f aca="false">IF(B391="","",ROW()-4)</f>
        <v/>
      </c>
      <c r="B391" s="12"/>
      <c r="C391" s="13"/>
      <c r="D391" s="13"/>
      <c r="E391" s="13"/>
      <c r="F391" s="14" t="str">
        <f aca="false">IF(OR(B391="",C391="",D391=""),"",IFERROR(INDEX(CONFIG!$E$5:$E$14,MATCH(D391,CONFIG!$D$5:$D$14,0)),"?")&amp;RIGHT("0"&amp;DAY(B391),2)&amp;RIGHT("0"&amp;MONTH(B391),2)&amp;RIGHT(YEAR(B391),2)&amp;C391&amp;IF(E391="","","-"&amp;E391))</f>
        <v/>
      </c>
      <c r="G391" s="13"/>
      <c r="H391" s="13"/>
      <c r="I391" s="13"/>
      <c r="J391" s="13"/>
      <c r="K391" s="13"/>
      <c r="L391" s="13"/>
      <c r="M391" s="11" t="str">
        <f aca="false">IF(F391="","",COUNTIFS(ENSAYOS!$C$5:$C$3004,F391,ENSAYOS!$Q$5:$Q$3004,"&gt;0"))</f>
        <v/>
      </c>
      <c r="N391" s="15" t="str">
        <f aca="false">IF(N(M391)=0,"",_xlfn.MINIFS(ENSAYOS!$G$5:$G$3004,ENSAYOS!$C$5:$C$3004,F391,ENSAYOS!$Q$5:$Q$3004,"&gt;0"))</f>
        <v/>
      </c>
      <c r="O391" s="15" t="str">
        <f aca="false">IF(N(M391)=0,"",_xlfn.MAXIFS(ENSAYOS!$G$5:$G$3004,ENSAYOS!$C$5:$C$3004,F391,ENSAYOS!$Q$5:$Q$3004,"&gt;0"))</f>
        <v/>
      </c>
      <c r="P391" s="16" t="str">
        <f aca="false">IF(N(M391)=0,"",AVERAGEIFS(ENSAYOS!$Q$5:$Q$3004,ENSAYOS!$C$5:$C$3004,F391,ENSAYOS!$Q$5:$Q$3004,"&gt;0"))</f>
        <v/>
      </c>
      <c r="Q391" s="16" t="str">
        <f aca="false">IF(N(M391)=0,"",_xlfn.MINIFS(ENSAYOS!$Q$5:$Q$3004,ENSAYOS!$C$5:$C$3004,F391,ENSAYOS!$Q$5:$Q$3004,"&gt;0"))</f>
        <v/>
      </c>
      <c r="R391" s="16" t="str">
        <f aca="false">IF(N(M391)=0,"",_xlfn.MAXIFS(ENSAYOS!$Q$5:$Q$3004,ENSAYOS!$C$5:$C$3004,F391,ENSAYOS!$Q$5:$Q$3004,"&gt;0"))</f>
        <v/>
      </c>
      <c r="S391" s="16" t="str">
        <f aca="false">IF(N(M391)&lt;2,"",SQRT(MAX(0,(SUMIFS(ENSAYOS!$X$5:$X$3004,ENSAYOS!$C$5:$C$3004,F391,ENSAYOS!$Q$5:$Q$3004,"&gt;0")-M391*P391^2)/(M391-1))))</f>
        <v/>
      </c>
      <c r="T391" s="17" t="str">
        <f aca="false">IF(S391="","",S391/P391)</f>
        <v/>
      </c>
      <c r="U391" s="16" t="str">
        <f aca="false">IF(N(M391)=0,"",IF(N391&gt;=CONFIG!$B$27,"",AVERAGEIFS(ENSAYOS!$Q$5:$Q$3004,ENSAYOS!$C$5:$C$3004,F391,ENSAYOS!$Q$5:$Q$3004,"&gt;0",ENSAYOS!$G$5:$G$3004,N391)))</f>
        <v/>
      </c>
      <c r="V391" s="16" t="str">
        <f aca="false">IF(N(M391)=0,"",IF(COUNTIFS(ENSAYOS!$C$5:$C$3004,F391,ENSAYOS!$Q$5:$Q$3004,"&gt;0",ENSAYOS!$G$5:$G$3004,"&gt;="&amp;CONFIG!$B$27)=0,"",AVERAGEIFS(ENSAYOS!$Q$5:$Q$3004,ENSAYOS!$C$5:$C$3004,F391,ENSAYOS!$Q$5:$Q$3004,"&gt;0",ENSAYOS!$G$5:$G$3004,"&gt;="&amp;CONFIG!$B$27)))</f>
        <v/>
      </c>
      <c r="W391" s="18" t="str">
        <f aca="false">IF(AND(U391&lt;&gt;"",V391&lt;&gt;""),U391/V391,"")</f>
        <v/>
      </c>
      <c r="X391" s="18" t="str">
        <f aca="false">IF(U391="","",INDEX('CURVA EDAD'!$E$5:$E$32,MIN(28,MAX(1,N391))))</f>
        <v/>
      </c>
      <c r="Y391" s="16" t="str">
        <f aca="false">IF(V391&lt;&gt;"",V391,IF(U391="","",U391/X391))</f>
        <v/>
      </c>
      <c r="Z391" s="16" t="str">
        <f aca="false">IF(V391&lt;&gt;"",_xlfn.MINIFS(ENSAYOS!$Q$5:$Q$3004,ENSAYOS!$C$5:$C$3004,F391,ENSAYOS!$Q$5:$Q$3004,"&gt;0",ENSAYOS!$G$5:$G$3004,"&gt;="&amp;CONFIG!$B$27),IF(U391="","",_xlfn.MINIFS(ENSAYOS!$Q$5:$Q$3004,ENSAYOS!$C$5:$C$3004,F391,ENSAYOS!$Q$5:$Q$3004,"&gt;0",ENSAYOS!$G$5:$G$3004,N391)/X391))</f>
        <v/>
      </c>
      <c r="AA391" s="16" t="str">
        <f aca="false">IF(D391="","",IFERROR(1/(1/INDEX(CONFIG!$J$5:$J$14,MATCH(D391,CONFIG!$D$5:$D$14,0))),""))</f>
        <v/>
      </c>
      <c r="AB391" s="16" t="str">
        <f aca="false">IF(D391="","",IFERROR(1/(1/INDEX(CONFIG!$K$5:$K$14,MATCH(D391,CONFIG!$D$5:$D$14,0))),""))</f>
        <v/>
      </c>
      <c r="AC391" s="19" t="str">
        <f aca="false">IF(N(M391)=0,"",IF(AA391="","Sin spec",IF(AND(Y391&gt;=AA391,OR(AB391="",Z391&gt;=AB391)),"CUMPLE","NO CUMPLE")&amp;IF(V391=""," (est.)","")))</f>
        <v/>
      </c>
      <c r="AD391" s="20" t="str">
        <f aca="false">IF(F391="","",IF(COUNTIFS(ABSORCION!$C$5:$C$1004,F391,ABSORCION!$I$5:$I$1004,"&gt;0")=0,"",AVERAGEIFS(ABSORCION!$I$5:$I$1004,ABSORCION!$C$5:$C$1004,F391,ABSORCION!$I$5:$I$1004,"&gt;0")))</f>
        <v/>
      </c>
      <c r="AE391" s="20" t="str">
        <f aca="false">IF(F391="","",IF(COUNTIFS(ABSORCION!$C$5:$C$1004,F391,ABSORCION!$I$5:$I$1004,"&gt;0")=0,"",AVERAGEIFS(ABSORCION!$K$5:$K$1004,ABSORCION!$C$5:$C$1004,F391,ABSORCION!$I$5:$I$1004,"&gt;0")))</f>
        <v/>
      </c>
      <c r="AF391" s="20" t="str">
        <f aca="false">IF(AE391="","",IF(AE391&gt;=CONFIG!$E$21,CONFIG!$F$21,IF(AE391&gt;=CONFIG!$E$20,CONFIG!$F$20,CONFIG!$F$19)))</f>
        <v/>
      </c>
      <c r="AG391" s="21" t="str">
        <f aca="false">IF(F391="","",TRIM(IF(N(M391)=0,"Sin ensayos. ","")&amp;IF(AND(N(M391)&gt;0,N(M391)&lt;CONFIG!$B$26),"Menos de "&amp;CONFIG!$B$26&amp;" probetas. ","")&amp;IF(N(T391)&gt;CONFIG!$B$25,"CV alto. ","")&amp;IF(AND(N(AD391)&gt;0,N(AD391)&gt;N(AF391)),"Absorción alta. ","")))</f>
        <v/>
      </c>
      <c r="AH391" s="22" t="str">
        <f aca="false">IF(AND(N(M391)&gt;0,OR(CONTROL!$C$4="TODAS",C391=CONTROL!$C$4),D391=CONTROL!$C$5),MAX($AH$4:AH390)+1,"")</f>
        <v/>
      </c>
      <c r="AI391" s="22" t="str">
        <f aca="false">IF(AH391="","",P391^2)</f>
        <v/>
      </c>
    </row>
    <row r="392" customFormat="false" ht="15" hidden="false" customHeight="false" outlineLevel="0" collapsed="false">
      <c r="A392" s="11" t="str">
        <f aca="false">IF(B392="","",ROW()-4)</f>
        <v/>
      </c>
      <c r="B392" s="12"/>
      <c r="C392" s="13"/>
      <c r="D392" s="13"/>
      <c r="E392" s="13"/>
      <c r="F392" s="14" t="str">
        <f aca="false">IF(OR(B392="",C392="",D392=""),"",IFERROR(INDEX(CONFIG!$E$5:$E$14,MATCH(D392,CONFIG!$D$5:$D$14,0)),"?")&amp;RIGHT("0"&amp;DAY(B392),2)&amp;RIGHT("0"&amp;MONTH(B392),2)&amp;RIGHT(YEAR(B392),2)&amp;C392&amp;IF(E392="","","-"&amp;E392))</f>
        <v/>
      </c>
      <c r="G392" s="13"/>
      <c r="H392" s="13"/>
      <c r="I392" s="13"/>
      <c r="J392" s="13"/>
      <c r="K392" s="13"/>
      <c r="L392" s="13"/>
      <c r="M392" s="11" t="str">
        <f aca="false">IF(F392="","",COUNTIFS(ENSAYOS!$C$5:$C$3004,F392,ENSAYOS!$Q$5:$Q$3004,"&gt;0"))</f>
        <v/>
      </c>
      <c r="N392" s="15" t="str">
        <f aca="false">IF(N(M392)=0,"",_xlfn.MINIFS(ENSAYOS!$G$5:$G$3004,ENSAYOS!$C$5:$C$3004,F392,ENSAYOS!$Q$5:$Q$3004,"&gt;0"))</f>
        <v/>
      </c>
      <c r="O392" s="15" t="str">
        <f aca="false">IF(N(M392)=0,"",_xlfn.MAXIFS(ENSAYOS!$G$5:$G$3004,ENSAYOS!$C$5:$C$3004,F392,ENSAYOS!$Q$5:$Q$3004,"&gt;0"))</f>
        <v/>
      </c>
      <c r="P392" s="16" t="str">
        <f aca="false">IF(N(M392)=0,"",AVERAGEIFS(ENSAYOS!$Q$5:$Q$3004,ENSAYOS!$C$5:$C$3004,F392,ENSAYOS!$Q$5:$Q$3004,"&gt;0"))</f>
        <v/>
      </c>
      <c r="Q392" s="16" t="str">
        <f aca="false">IF(N(M392)=0,"",_xlfn.MINIFS(ENSAYOS!$Q$5:$Q$3004,ENSAYOS!$C$5:$C$3004,F392,ENSAYOS!$Q$5:$Q$3004,"&gt;0"))</f>
        <v/>
      </c>
      <c r="R392" s="16" t="str">
        <f aca="false">IF(N(M392)=0,"",_xlfn.MAXIFS(ENSAYOS!$Q$5:$Q$3004,ENSAYOS!$C$5:$C$3004,F392,ENSAYOS!$Q$5:$Q$3004,"&gt;0"))</f>
        <v/>
      </c>
      <c r="S392" s="16" t="str">
        <f aca="false">IF(N(M392)&lt;2,"",SQRT(MAX(0,(SUMIFS(ENSAYOS!$X$5:$X$3004,ENSAYOS!$C$5:$C$3004,F392,ENSAYOS!$Q$5:$Q$3004,"&gt;0")-M392*P392^2)/(M392-1))))</f>
        <v/>
      </c>
      <c r="T392" s="17" t="str">
        <f aca="false">IF(S392="","",S392/P392)</f>
        <v/>
      </c>
      <c r="U392" s="16" t="str">
        <f aca="false">IF(N(M392)=0,"",IF(N392&gt;=CONFIG!$B$27,"",AVERAGEIFS(ENSAYOS!$Q$5:$Q$3004,ENSAYOS!$C$5:$C$3004,F392,ENSAYOS!$Q$5:$Q$3004,"&gt;0",ENSAYOS!$G$5:$G$3004,N392)))</f>
        <v/>
      </c>
      <c r="V392" s="16" t="str">
        <f aca="false">IF(N(M392)=0,"",IF(COUNTIFS(ENSAYOS!$C$5:$C$3004,F392,ENSAYOS!$Q$5:$Q$3004,"&gt;0",ENSAYOS!$G$5:$G$3004,"&gt;="&amp;CONFIG!$B$27)=0,"",AVERAGEIFS(ENSAYOS!$Q$5:$Q$3004,ENSAYOS!$C$5:$C$3004,F392,ENSAYOS!$Q$5:$Q$3004,"&gt;0",ENSAYOS!$G$5:$G$3004,"&gt;="&amp;CONFIG!$B$27)))</f>
        <v/>
      </c>
      <c r="W392" s="18" t="str">
        <f aca="false">IF(AND(U392&lt;&gt;"",V392&lt;&gt;""),U392/V392,"")</f>
        <v/>
      </c>
      <c r="X392" s="18" t="str">
        <f aca="false">IF(U392="","",INDEX('CURVA EDAD'!$E$5:$E$32,MIN(28,MAX(1,N392))))</f>
        <v/>
      </c>
      <c r="Y392" s="16" t="str">
        <f aca="false">IF(V392&lt;&gt;"",V392,IF(U392="","",U392/X392))</f>
        <v/>
      </c>
      <c r="Z392" s="16" t="str">
        <f aca="false">IF(V392&lt;&gt;"",_xlfn.MINIFS(ENSAYOS!$Q$5:$Q$3004,ENSAYOS!$C$5:$C$3004,F392,ENSAYOS!$Q$5:$Q$3004,"&gt;0",ENSAYOS!$G$5:$G$3004,"&gt;="&amp;CONFIG!$B$27),IF(U392="","",_xlfn.MINIFS(ENSAYOS!$Q$5:$Q$3004,ENSAYOS!$C$5:$C$3004,F392,ENSAYOS!$Q$5:$Q$3004,"&gt;0",ENSAYOS!$G$5:$G$3004,N392)/X392))</f>
        <v/>
      </c>
      <c r="AA392" s="16" t="str">
        <f aca="false">IF(D392="","",IFERROR(1/(1/INDEX(CONFIG!$J$5:$J$14,MATCH(D392,CONFIG!$D$5:$D$14,0))),""))</f>
        <v/>
      </c>
      <c r="AB392" s="16" t="str">
        <f aca="false">IF(D392="","",IFERROR(1/(1/INDEX(CONFIG!$K$5:$K$14,MATCH(D392,CONFIG!$D$5:$D$14,0))),""))</f>
        <v/>
      </c>
      <c r="AC392" s="19" t="str">
        <f aca="false">IF(N(M392)=0,"",IF(AA392="","Sin spec",IF(AND(Y392&gt;=AA392,OR(AB392="",Z392&gt;=AB392)),"CUMPLE","NO CUMPLE")&amp;IF(V392=""," (est.)","")))</f>
        <v/>
      </c>
      <c r="AD392" s="20" t="str">
        <f aca="false">IF(F392="","",IF(COUNTIFS(ABSORCION!$C$5:$C$1004,F392,ABSORCION!$I$5:$I$1004,"&gt;0")=0,"",AVERAGEIFS(ABSORCION!$I$5:$I$1004,ABSORCION!$C$5:$C$1004,F392,ABSORCION!$I$5:$I$1004,"&gt;0")))</f>
        <v/>
      </c>
      <c r="AE392" s="20" t="str">
        <f aca="false">IF(F392="","",IF(COUNTIFS(ABSORCION!$C$5:$C$1004,F392,ABSORCION!$I$5:$I$1004,"&gt;0")=0,"",AVERAGEIFS(ABSORCION!$K$5:$K$1004,ABSORCION!$C$5:$C$1004,F392,ABSORCION!$I$5:$I$1004,"&gt;0")))</f>
        <v/>
      </c>
      <c r="AF392" s="20" t="str">
        <f aca="false">IF(AE392="","",IF(AE392&gt;=CONFIG!$E$21,CONFIG!$F$21,IF(AE392&gt;=CONFIG!$E$20,CONFIG!$F$20,CONFIG!$F$19)))</f>
        <v/>
      </c>
      <c r="AG392" s="21" t="str">
        <f aca="false">IF(F392="","",TRIM(IF(N(M392)=0,"Sin ensayos. ","")&amp;IF(AND(N(M392)&gt;0,N(M392)&lt;CONFIG!$B$26),"Menos de "&amp;CONFIG!$B$26&amp;" probetas. ","")&amp;IF(N(T392)&gt;CONFIG!$B$25,"CV alto. ","")&amp;IF(AND(N(AD392)&gt;0,N(AD392)&gt;N(AF392)),"Absorción alta. ","")))</f>
        <v/>
      </c>
      <c r="AH392" s="22" t="str">
        <f aca="false">IF(AND(N(M392)&gt;0,OR(CONTROL!$C$4="TODAS",C392=CONTROL!$C$4),D392=CONTROL!$C$5),MAX($AH$4:AH391)+1,"")</f>
        <v/>
      </c>
      <c r="AI392" s="22" t="str">
        <f aca="false">IF(AH392="","",P392^2)</f>
        <v/>
      </c>
    </row>
    <row r="393" customFormat="false" ht="15" hidden="false" customHeight="false" outlineLevel="0" collapsed="false">
      <c r="A393" s="11" t="str">
        <f aca="false">IF(B393="","",ROW()-4)</f>
        <v/>
      </c>
      <c r="B393" s="12"/>
      <c r="C393" s="13"/>
      <c r="D393" s="13"/>
      <c r="E393" s="13"/>
      <c r="F393" s="14" t="str">
        <f aca="false">IF(OR(B393="",C393="",D393=""),"",IFERROR(INDEX(CONFIG!$E$5:$E$14,MATCH(D393,CONFIG!$D$5:$D$14,0)),"?")&amp;RIGHT("0"&amp;DAY(B393),2)&amp;RIGHT("0"&amp;MONTH(B393),2)&amp;RIGHT(YEAR(B393),2)&amp;C393&amp;IF(E393="","","-"&amp;E393))</f>
        <v/>
      </c>
      <c r="G393" s="13"/>
      <c r="H393" s="13"/>
      <c r="I393" s="13"/>
      <c r="J393" s="13"/>
      <c r="K393" s="13"/>
      <c r="L393" s="13"/>
      <c r="M393" s="11" t="str">
        <f aca="false">IF(F393="","",COUNTIFS(ENSAYOS!$C$5:$C$3004,F393,ENSAYOS!$Q$5:$Q$3004,"&gt;0"))</f>
        <v/>
      </c>
      <c r="N393" s="15" t="str">
        <f aca="false">IF(N(M393)=0,"",_xlfn.MINIFS(ENSAYOS!$G$5:$G$3004,ENSAYOS!$C$5:$C$3004,F393,ENSAYOS!$Q$5:$Q$3004,"&gt;0"))</f>
        <v/>
      </c>
      <c r="O393" s="15" t="str">
        <f aca="false">IF(N(M393)=0,"",_xlfn.MAXIFS(ENSAYOS!$G$5:$G$3004,ENSAYOS!$C$5:$C$3004,F393,ENSAYOS!$Q$5:$Q$3004,"&gt;0"))</f>
        <v/>
      </c>
      <c r="P393" s="16" t="str">
        <f aca="false">IF(N(M393)=0,"",AVERAGEIFS(ENSAYOS!$Q$5:$Q$3004,ENSAYOS!$C$5:$C$3004,F393,ENSAYOS!$Q$5:$Q$3004,"&gt;0"))</f>
        <v/>
      </c>
      <c r="Q393" s="16" t="str">
        <f aca="false">IF(N(M393)=0,"",_xlfn.MINIFS(ENSAYOS!$Q$5:$Q$3004,ENSAYOS!$C$5:$C$3004,F393,ENSAYOS!$Q$5:$Q$3004,"&gt;0"))</f>
        <v/>
      </c>
      <c r="R393" s="16" t="str">
        <f aca="false">IF(N(M393)=0,"",_xlfn.MAXIFS(ENSAYOS!$Q$5:$Q$3004,ENSAYOS!$C$5:$C$3004,F393,ENSAYOS!$Q$5:$Q$3004,"&gt;0"))</f>
        <v/>
      </c>
      <c r="S393" s="16" t="str">
        <f aca="false">IF(N(M393)&lt;2,"",SQRT(MAX(0,(SUMIFS(ENSAYOS!$X$5:$X$3004,ENSAYOS!$C$5:$C$3004,F393,ENSAYOS!$Q$5:$Q$3004,"&gt;0")-M393*P393^2)/(M393-1))))</f>
        <v/>
      </c>
      <c r="T393" s="17" t="str">
        <f aca="false">IF(S393="","",S393/P393)</f>
        <v/>
      </c>
      <c r="U393" s="16" t="str">
        <f aca="false">IF(N(M393)=0,"",IF(N393&gt;=CONFIG!$B$27,"",AVERAGEIFS(ENSAYOS!$Q$5:$Q$3004,ENSAYOS!$C$5:$C$3004,F393,ENSAYOS!$Q$5:$Q$3004,"&gt;0",ENSAYOS!$G$5:$G$3004,N393)))</f>
        <v/>
      </c>
      <c r="V393" s="16" t="str">
        <f aca="false">IF(N(M393)=0,"",IF(COUNTIFS(ENSAYOS!$C$5:$C$3004,F393,ENSAYOS!$Q$5:$Q$3004,"&gt;0",ENSAYOS!$G$5:$G$3004,"&gt;="&amp;CONFIG!$B$27)=0,"",AVERAGEIFS(ENSAYOS!$Q$5:$Q$3004,ENSAYOS!$C$5:$C$3004,F393,ENSAYOS!$Q$5:$Q$3004,"&gt;0",ENSAYOS!$G$5:$G$3004,"&gt;="&amp;CONFIG!$B$27)))</f>
        <v/>
      </c>
      <c r="W393" s="18" t="str">
        <f aca="false">IF(AND(U393&lt;&gt;"",V393&lt;&gt;""),U393/V393,"")</f>
        <v/>
      </c>
      <c r="X393" s="18" t="str">
        <f aca="false">IF(U393="","",INDEX('CURVA EDAD'!$E$5:$E$32,MIN(28,MAX(1,N393))))</f>
        <v/>
      </c>
      <c r="Y393" s="16" t="str">
        <f aca="false">IF(V393&lt;&gt;"",V393,IF(U393="","",U393/X393))</f>
        <v/>
      </c>
      <c r="Z393" s="16" t="str">
        <f aca="false">IF(V393&lt;&gt;"",_xlfn.MINIFS(ENSAYOS!$Q$5:$Q$3004,ENSAYOS!$C$5:$C$3004,F393,ENSAYOS!$Q$5:$Q$3004,"&gt;0",ENSAYOS!$G$5:$G$3004,"&gt;="&amp;CONFIG!$B$27),IF(U393="","",_xlfn.MINIFS(ENSAYOS!$Q$5:$Q$3004,ENSAYOS!$C$5:$C$3004,F393,ENSAYOS!$Q$5:$Q$3004,"&gt;0",ENSAYOS!$G$5:$G$3004,N393)/X393))</f>
        <v/>
      </c>
      <c r="AA393" s="16" t="str">
        <f aca="false">IF(D393="","",IFERROR(1/(1/INDEX(CONFIG!$J$5:$J$14,MATCH(D393,CONFIG!$D$5:$D$14,0))),""))</f>
        <v/>
      </c>
      <c r="AB393" s="16" t="str">
        <f aca="false">IF(D393="","",IFERROR(1/(1/INDEX(CONFIG!$K$5:$K$14,MATCH(D393,CONFIG!$D$5:$D$14,0))),""))</f>
        <v/>
      </c>
      <c r="AC393" s="19" t="str">
        <f aca="false">IF(N(M393)=0,"",IF(AA393="","Sin spec",IF(AND(Y393&gt;=AA393,OR(AB393="",Z393&gt;=AB393)),"CUMPLE","NO CUMPLE")&amp;IF(V393=""," (est.)","")))</f>
        <v/>
      </c>
      <c r="AD393" s="20" t="str">
        <f aca="false">IF(F393="","",IF(COUNTIFS(ABSORCION!$C$5:$C$1004,F393,ABSORCION!$I$5:$I$1004,"&gt;0")=0,"",AVERAGEIFS(ABSORCION!$I$5:$I$1004,ABSORCION!$C$5:$C$1004,F393,ABSORCION!$I$5:$I$1004,"&gt;0")))</f>
        <v/>
      </c>
      <c r="AE393" s="20" t="str">
        <f aca="false">IF(F393="","",IF(COUNTIFS(ABSORCION!$C$5:$C$1004,F393,ABSORCION!$I$5:$I$1004,"&gt;0")=0,"",AVERAGEIFS(ABSORCION!$K$5:$K$1004,ABSORCION!$C$5:$C$1004,F393,ABSORCION!$I$5:$I$1004,"&gt;0")))</f>
        <v/>
      </c>
      <c r="AF393" s="20" t="str">
        <f aca="false">IF(AE393="","",IF(AE393&gt;=CONFIG!$E$21,CONFIG!$F$21,IF(AE393&gt;=CONFIG!$E$20,CONFIG!$F$20,CONFIG!$F$19)))</f>
        <v/>
      </c>
      <c r="AG393" s="21" t="str">
        <f aca="false">IF(F393="","",TRIM(IF(N(M393)=0,"Sin ensayos. ","")&amp;IF(AND(N(M393)&gt;0,N(M393)&lt;CONFIG!$B$26),"Menos de "&amp;CONFIG!$B$26&amp;" probetas. ","")&amp;IF(N(T393)&gt;CONFIG!$B$25,"CV alto. ","")&amp;IF(AND(N(AD393)&gt;0,N(AD393)&gt;N(AF393)),"Absorción alta. ","")))</f>
        <v/>
      </c>
      <c r="AH393" s="22" t="str">
        <f aca="false">IF(AND(N(M393)&gt;0,OR(CONTROL!$C$4="TODAS",C393=CONTROL!$C$4),D393=CONTROL!$C$5),MAX($AH$4:AH392)+1,"")</f>
        <v/>
      </c>
      <c r="AI393" s="22" t="str">
        <f aca="false">IF(AH393="","",P393^2)</f>
        <v/>
      </c>
    </row>
    <row r="394" customFormat="false" ht="15" hidden="false" customHeight="false" outlineLevel="0" collapsed="false">
      <c r="A394" s="11" t="str">
        <f aca="false">IF(B394="","",ROW()-4)</f>
        <v/>
      </c>
      <c r="B394" s="12"/>
      <c r="C394" s="13"/>
      <c r="D394" s="13"/>
      <c r="E394" s="13"/>
      <c r="F394" s="14" t="str">
        <f aca="false">IF(OR(B394="",C394="",D394=""),"",IFERROR(INDEX(CONFIG!$E$5:$E$14,MATCH(D394,CONFIG!$D$5:$D$14,0)),"?")&amp;RIGHT("0"&amp;DAY(B394),2)&amp;RIGHT("0"&amp;MONTH(B394),2)&amp;RIGHT(YEAR(B394),2)&amp;C394&amp;IF(E394="","","-"&amp;E394))</f>
        <v/>
      </c>
      <c r="G394" s="13"/>
      <c r="H394" s="13"/>
      <c r="I394" s="13"/>
      <c r="J394" s="13"/>
      <c r="K394" s="13"/>
      <c r="L394" s="13"/>
      <c r="M394" s="11" t="str">
        <f aca="false">IF(F394="","",COUNTIFS(ENSAYOS!$C$5:$C$3004,F394,ENSAYOS!$Q$5:$Q$3004,"&gt;0"))</f>
        <v/>
      </c>
      <c r="N394" s="15" t="str">
        <f aca="false">IF(N(M394)=0,"",_xlfn.MINIFS(ENSAYOS!$G$5:$G$3004,ENSAYOS!$C$5:$C$3004,F394,ENSAYOS!$Q$5:$Q$3004,"&gt;0"))</f>
        <v/>
      </c>
      <c r="O394" s="15" t="str">
        <f aca="false">IF(N(M394)=0,"",_xlfn.MAXIFS(ENSAYOS!$G$5:$G$3004,ENSAYOS!$C$5:$C$3004,F394,ENSAYOS!$Q$5:$Q$3004,"&gt;0"))</f>
        <v/>
      </c>
      <c r="P394" s="16" t="str">
        <f aca="false">IF(N(M394)=0,"",AVERAGEIFS(ENSAYOS!$Q$5:$Q$3004,ENSAYOS!$C$5:$C$3004,F394,ENSAYOS!$Q$5:$Q$3004,"&gt;0"))</f>
        <v/>
      </c>
      <c r="Q394" s="16" t="str">
        <f aca="false">IF(N(M394)=0,"",_xlfn.MINIFS(ENSAYOS!$Q$5:$Q$3004,ENSAYOS!$C$5:$C$3004,F394,ENSAYOS!$Q$5:$Q$3004,"&gt;0"))</f>
        <v/>
      </c>
      <c r="R394" s="16" t="str">
        <f aca="false">IF(N(M394)=0,"",_xlfn.MAXIFS(ENSAYOS!$Q$5:$Q$3004,ENSAYOS!$C$5:$C$3004,F394,ENSAYOS!$Q$5:$Q$3004,"&gt;0"))</f>
        <v/>
      </c>
      <c r="S394" s="16" t="str">
        <f aca="false">IF(N(M394)&lt;2,"",SQRT(MAX(0,(SUMIFS(ENSAYOS!$X$5:$X$3004,ENSAYOS!$C$5:$C$3004,F394,ENSAYOS!$Q$5:$Q$3004,"&gt;0")-M394*P394^2)/(M394-1))))</f>
        <v/>
      </c>
      <c r="T394" s="17" t="str">
        <f aca="false">IF(S394="","",S394/P394)</f>
        <v/>
      </c>
      <c r="U394" s="16" t="str">
        <f aca="false">IF(N(M394)=0,"",IF(N394&gt;=CONFIG!$B$27,"",AVERAGEIFS(ENSAYOS!$Q$5:$Q$3004,ENSAYOS!$C$5:$C$3004,F394,ENSAYOS!$Q$5:$Q$3004,"&gt;0",ENSAYOS!$G$5:$G$3004,N394)))</f>
        <v/>
      </c>
      <c r="V394" s="16" t="str">
        <f aca="false">IF(N(M394)=0,"",IF(COUNTIFS(ENSAYOS!$C$5:$C$3004,F394,ENSAYOS!$Q$5:$Q$3004,"&gt;0",ENSAYOS!$G$5:$G$3004,"&gt;="&amp;CONFIG!$B$27)=0,"",AVERAGEIFS(ENSAYOS!$Q$5:$Q$3004,ENSAYOS!$C$5:$C$3004,F394,ENSAYOS!$Q$5:$Q$3004,"&gt;0",ENSAYOS!$G$5:$G$3004,"&gt;="&amp;CONFIG!$B$27)))</f>
        <v/>
      </c>
      <c r="W394" s="18" t="str">
        <f aca="false">IF(AND(U394&lt;&gt;"",V394&lt;&gt;""),U394/V394,"")</f>
        <v/>
      </c>
      <c r="X394" s="18" t="str">
        <f aca="false">IF(U394="","",INDEX('CURVA EDAD'!$E$5:$E$32,MIN(28,MAX(1,N394))))</f>
        <v/>
      </c>
      <c r="Y394" s="16" t="str">
        <f aca="false">IF(V394&lt;&gt;"",V394,IF(U394="","",U394/X394))</f>
        <v/>
      </c>
      <c r="Z394" s="16" t="str">
        <f aca="false">IF(V394&lt;&gt;"",_xlfn.MINIFS(ENSAYOS!$Q$5:$Q$3004,ENSAYOS!$C$5:$C$3004,F394,ENSAYOS!$Q$5:$Q$3004,"&gt;0",ENSAYOS!$G$5:$G$3004,"&gt;="&amp;CONFIG!$B$27),IF(U394="","",_xlfn.MINIFS(ENSAYOS!$Q$5:$Q$3004,ENSAYOS!$C$5:$C$3004,F394,ENSAYOS!$Q$5:$Q$3004,"&gt;0",ENSAYOS!$G$5:$G$3004,N394)/X394))</f>
        <v/>
      </c>
      <c r="AA394" s="16" t="str">
        <f aca="false">IF(D394="","",IFERROR(1/(1/INDEX(CONFIG!$J$5:$J$14,MATCH(D394,CONFIG!$D$5:$D$14,0))),""))</f>
        <v/>
      </c>
      <c r="AB394" s="16" t="str">
        <f aca="false">IF(D394="","",IFERROR(1/(1/INDEX(CONFIG!$K$5:$K$14,MATCH(D394,CONFIG!$D$5:$D$14,0))),""))</f>
        <v/>
      </c>
      <c r="AC394" s="19" t="str">
        <f aca="false">IF(N(M394)=0,"",IF(AA394="","Sin spec",IF(AND(Y394&gt;=AA394,OR(AB394="",Z394&gt;=AB394)),"CUMPLE","NO CUMPLE")&amp;IF(V394=""," (est.)","")))</f>
        <v/>
      </c>
      <c r="AD394" s="20" t="str">
        <f aca="false">IF(F394="","",IF(COUNTIFS(ABSORCION!$C$5:$C$1004,F394,ABSORCION!$I$5:$I$1004,"&gt;0")=0,"",AVERAGEIFS(ABSORCION!$I$5:$I$1004,ABSORCION!$C$5:$C$1004,F394,ABSORCION!$I$5:$I$1004,"&gt;0")))</f>
        <v/>
      </c>
      <c r="AE394" s="20" t="str">
        <f aca="false">IF(F394="","",IF(COUNTIFS(ABSORCION!$C$5:$C$1004,F394,ABSORCION!$I$5:$I$1004,"&gt;0")=0,"",AVERAGEIFS(ABSORCION!$K$5:$K$1004,ABSORCION!$C$5:$C$1004,F394,ABSORCION!$I$5:$I$1004,"&gt;0")))</f>
        <v/>
      </c>
      <c r="AF394" s="20" t="str">
        <f aca="false">IF(AE394="","",IF(AE394&gt;=CONFIG!$E$21,CONFIG!$F$21,IF(AE394&gt;=CONFIG!$E$20,CONFIG!$F$20,CONFIG!$F$19)))</f>
        <v/>
      </c>
      <c r="AG394" s="21" t="str">
        <f aca="false">IF(F394="","",TRIM(IF(N(M394)=0,"Sin ensayos. ","")&amp;IF(AND(N(M394)&gt;0,N(M394)&lt;CONFIG!$B$26),"Menos de "&amp;CONFIG!$B$26&amp;" probetas. ","")&amp;IF(N(T394)&gt;CONFIG!$B$25,"CV alto. ","")&amp;IF(AND(N(AD394)&gt;0,N(AD394)&gt;N(AF394)),"Absorción alta. ","")))</f>
        <v/>
      </c>
      <c r="AH394" s="22" t="str">
        <f aca="false">IF(AND(N(M394)&gt;0,OR(CONTROL!$C$4="TODAS",C394=CONTROL!$C$4),D394=CONTROL!$C$5),MAX($AH$4:AH393)+1,"")</f>
        <v/>
      </c>
      <c r="AI394" s="22" t="str">
        <f aca="false">IF(AH394="","",P394^2)</f>
        <v/>
      </c>
    </row>
    <row r="395" customFormat="false" ht="15" hidden="false" customHeight="false" outlineLevel="0" collapsed="false">
      <c r="A395" s="11" t="str">
        <f aca="false">IF(B395="","",ROW()-4)</f>
        <v/>
      </c>
      <c r="B395" s="12"/>
      <c r="C395" s="13"/>
      <c r="D395" s="13"/>
      <c r="E395" s="13"/>
      <c r="F395" s="14" t="str">
        <f aca="false">IF(OR(B395="",C395="",D395=""),"",IFERROR(INDEX(CONFIG!$E$5:$E$14,MATCH(D395,CONFIG!$D$5:$D$14,0)),"?")&amp;RIGHT("0"&amp;DAY(B395),2)&amp;RIGHT("0"&amp;MONTH(B395),2)&amp;RIGHT(YEAR(B395),2)&amp;C395&amp;IF(E395="","","-"&amp;E395))</f>
        <v/>
      </c>
      <c r="G395" s="13"/>
      <c r="H395" s="13"/>
      <c r="I395" s="13"/>
      <c r="J395" s="13"/>
      <c r="K395" s="13"/>
      <c r="L395" s="13"/>
      <c r="M395" s="11" t="str">
        <f aca="false">IF(F395="","",COUNTIFS(ENSAYOS!$C$5:$C$3004,F395,ENSAYOS!$Q$5:$Q$3004,"&gt;0"))</f>
        <v/>
      </c>
      <c r="N395" s="15" t="str">
        <f aca="false">IF(N(M395)=0,"",_xlfn.MINIFS(ENSAYOS!$G$5:$G$3004,ENSAYOS!$C$5:$C$3004,F395,ENSAYOS!$Q$5:$Q$3004,"&gt;0"))</f>
        <v/>
      </c>
      <c r="O395" s="15" t="str">
        <f aca="false">IF(N(M395)=0,"",_xlfn.MAXIFS(ENSAYOS!$G$5:$G$3004,ENSAYOS!$C$5:$C$3004,F395,ENSAYOS!$Q$5:$Q$3004,"&gt;0"))</f>
        <v/>
      </c>
      <c r="P395" s="16" t="str">
        <f aca="false">IF(N(M395)=0,"",AVERAGEIFS(ENSAYOS!$Q$5:$Q$3004,ENSAYOS!$C$5:$C$3004,F395,ENSAYOS!$Q$5:$Q$3004,"&gt;0"))</f>
        <v/>
      </c>
      <c r="Q395" s="16" t="str">
        <f aca="false">IF(N(M395)=0,"",_xlfn.MINIFS(ENSAYOS!$Q$5:$Q$3004,ENSAYOS!$C$5:$C$3004,F395,ENSAYOS!$Q$5:$Q$3004,"&gt;0"))</f>
        <v/>
      </c>
      <c r="R395" s="16" t="str">
        <f aca="false">IF(N(M395)=0,"",_xlfn.MAXIFS(ENSAYOS!$Q$5:$Q$3004,ENSAYOS!$C$5:$C$3004,F395,ENSAYOS!$Q$5:$Q$3004,"&gt;0"))</f>
        <v/>
      </c>
      <c r="S395" s="16" t="str">
        <f aca="false">IF(N(M395)&lt;2,"",SQRT(MAX(0,(SUMIFS(ENSAYOS!$X$5:$X$3004,ENSAYOS!$C$5:$C$3004,F395,ENSAYOS!$Q$5:$Q$3004,"&gt;0")-M395*P395^2)/(M395-1))))</f>
        <v/>
      </c>
      <c r="T395" s="17" t="str">
        <f aca="false">IF(S395="","",S395/P395)</f>
        <v/>
      </c>
      <c r="U395" s="16" t="str">
        <f aca="false">IF(N(M395)=0,"",IF(N395&gt;=CONFIG!$B$27,"",AVERAGEIFS(ENSAYOS!$Q$5:$Q$3004,ENSAYOS!$C$5:$C$3004,F395,ENSAYOS!$Q$5:$Q$3004,"&gt;0",ENSAYOS!$G$5:$G$3004,N395)))</f>
        <v/>
      </c>
      <c r="V395" s="16" t="str">
        <f aca="false">IF(N(M395)=0,"",IF(COUNTIFS(ENSAYOS!$C$5:$C$3004,F395,ENSAYOS!$Q$5:$Q$3004,"&gt;0",ENSAYOS!$G$5:$G$3004,"&gt;="&amp;CONFIG!$B$27)=0,"",AVERAGEIFS(ENSAYOS!$Q$5:$Q$3004,ENSAYOS!$C$5:$C$3004,F395,ENSAYOS!$Q$5:$Q$3004,"&gt;0",ENSAYOS!$G$5:$G$3004,"&gt;="&amp;CONFIG!$B$27)))</f>
        <v/>
      </c>
      <c r="W395" s="18" t="str">
        <f aca="false">IF(AND(U395&lt;&gt;"",V395&lt;&gt;""),U395/V395,"")</f>
        <v/>
      </c>
      <c r="X395" s="18" t="str">
        <f aca="false">IF(U395="","",INDEX('CURVA EDAD'!$E$5:$E$32,MIN(28,MAX(1,N395))))</f>
        <v/>
      </c>
      <c r="Y395" s="16" t="str">
        <f aca="false">IF(V395&lt;&gt;"",V395,IF(U395="","",U395/X395))</f>
        <v/>
      </c>
      <c r="Z395" s="16" t="str">
        <f aca="false">IF(V395&lt;&gt;"",_xlfn.MINIFS(ENSAYOS!$Q$5:$Q$3004,ENSAYOS!$C$5:$C$3004,F395,ENSAYOS!$Q$5:$Q$3004,"&gt;0",ENSAYOS!$G$5:$G$3004,"&gt;="&amp;CONFIG!$B$27),IF(U395="","",_xlfn.MINIFS(ENSAYOS!$Q$5:$Q$3004,ENSAYOS!$C$5:$C$3004,F395,ENSAYOS!$Q$5:$Q$3004,"&gt;0",ENSAYOS!$G$5:$G$3004,N395)/X395))</f>
        <v/>
      </c>
      <c r="AA395" s="16" t="str">
        <f aca="false">IF(D395="","",IFERROR(1/(1/INDEX(CONFIG!$J$5:$J$14,MATCH(D395,CONFIG!$D$5:$D$14,0))),""))</f>
        <v/>
      </c>
      <c r="AB395" s="16" t="str">
        <f aca="false">IF(D395="","",IFERROR(1/(1/INDEX(CONFIG!$K$5:$K$14,MATCH(D395,CONFIG!$D$5:$D$14,0))),""))</f>
        <v/>
      </c>
      <c r="AC395" s="19" t="str">
        <f aca="false">IF(N(M395)=0,"",IF(AA395="","Sin spec",IF(AND(Y395&gt;=AA395,OR(AB395="",Z395&gt;=AB395)),"CUMPLE","NO CUMPLE")&amp;IF(V395=""," (est.)","")))</f>
        <v/>
      </c>
      <c r="AD395" s="20" t="str">
        <f aca="false">IF(F395="","",IF(COUNTIFS(ABSORCION!$C$5:$C$1004,F395,ABSORCION!$I$5:$I$1004,"&gt;0")=0,"",AVERAGEIFS(ABSORCION!$I$5:$I$1004,ABSORCION!$C$5:$C$1004,F395,ABSORCION!$I$5:$I$1004,"&gt;0")))</f>
        <v/>
      </c>
      <c r="AE395" s="20" t="str">
        <f aca="false">IF(F395="","",IF(COUNTIFS(ABSORCION!$C$5:$C$1004,F395,ABSORCION!$I$5:$I$1004,"&gt;0")=0,"",AVERAGEIFS(ABSORCION!$K$5:$K$1004,ABSORCION!$C$5:$C$1004,F395,ABSORCION!$I$5:$I$1004,"&gt;0")))</f>
        <v/>
      </c>
      <c r="AF395" s="20" t="str">
        <f aca="false">IF(AE395="","",IF(AE395&gt;=CONFIG!$E$21,CONFIG!$F$21,IF(AE395&gt;=CONFIG!$E$20,CONFIG!$F$20,CONFIG!$F$19)))</f>
        <v/>
      </c>
      <c r="AG395" s="21" t="str">
        <f aca="false">IF(F395="","",TRIM(IF(N(M395)=0,"Sin ensayos. ","")&amp;IF(AND(N(M395)&gt;0,N(M395)&lt;CONFIG!$B$26),"Menos de "&amp;CONFIG!$B$26&amp;" probetas. ","")&amp;IF(N(T395)&gt;CONFIG!$B$25,"CV alto. ","")&amp;IF(AND(N(AD395)&gt;0,N(AD395)&gt;N(AF395)),"Absorción alta. ","")))</f>
        <v/>
      </c>
      <c r="AH395" s="22" t="str">
        <f aca="false">IF(AND(N(M395)&gt;0,OR(CONTROL!$C$4="TODAS",C395=CONTROL!$C$4),D395=CONTROL!$C$5),MAX($AH$4:AH394)+1,"")</f>
        <v/>
      </c>
      <c r="AI395" s="22" t="str">
        <f aca="false">IF(AH395="","",P395^2)</f>
        <v/>
      </c>
    </row>
    <row r="396" customFormat="false" ht="15" hidden="false" customHeight="false" outlineLevel="0" collapsed="false">
      <c r="A396" s="11" t="str">
        <f aca="false">IF(B396="","",ROW()-4)</f>
        <v/>
      </c>
      <c r="B396" s="12"/>
      <c r="C396" s="13"/>
      <c r="D396" s="13"/>
      <c r="E396" s="13"/>
      <c r="F396" s="14" t="str">
        <f aca="false">IF(OR(B396="",C396="",D396=""),"",IFERROR(INDEX(CONFIG!$E$5:$E$14,MATCH(D396,CONFIG!$D$5:$D$14,0)),"?")&amp;RIGHT("0"&amp;DAY(B396),2)&amp;RIGHT("0"&amp;MONTH(B396),2)&amp;RIGHT(YEAR(B396),2)&amp;C396&amp;IF(E396="","","-"&amp;E396))</f>
        <v/>
      </c>
      <c r="G396" s="13"/>
      <c r="H396" s="13"/>
      <c r="I396" s="13"/>
      <c r="J396" s="13"/>
      <c r="K396" s="13"/>
      <c r="L396" s="13"/>
      <c r="M396" s="11" t="str">
        <f aca="false">IF(F396="","",COUNTIFS(ENSAYOS!$C$5:$C$3004,F396,ENSAYOS!$Q$5:$Q$3004,"&gt;0"))</f>
        <v/>
      </c>
      <c r="N396" s="15" t="str">
        <f aca="false">IF(N(M396)=0,"",_xlfn.MINIFS(ENSAYOS!$G$5:$G$3004,ENSAYOS!$C$5:$C$3004,F396,ENSAYOS!$Q$5:$Q$3004,"&gt;0"))</f>
        <v/>
      </c>
      <c r="O396" s="15" t="str">
        <f aca="false">IF(N(M396)=0,"",_xlfn.MAXIFS(ENSAYOS!$G$5:$G$3004,ENSAYOS!$C$5:$C$3004,F396,ENSAYOS!$Q$5:$Q$3004,"&gt;0"))</f>
        <v/>
      </c>
      <c r="P396" s="16" t="str">
        <f aca="false">IF(N(M396)=0,"",AVERAGEIFS(ENSAYOS!$Q$5:$Q$3004,ENSAYOS!$C$5:$C$3004,F396,ENSAYOS!$Q$5:$Q$3004,"&gt;0"))</f>
        <v/>
      </c>
      <c r="Q396" s="16" t="str">
        <f aca="false">IF(N(M396)=0,"",_xlfn.MINIFS(ENSAYOS!$Q$5:$Q$3004,ENSAYOS!$C$5:$C$3004,F396,ENSAYOS!$Q$5:$Q$3004,"&gt;0"))</f>
        <v/>
      </c>
      <c r="R396" s="16" t="str">
        <f aca="false">IF(N(M396)=0,"",_xlfn.MAXIFS(ENSAYOS!$Q$5:$Q$3004,ENSAYOS!$C$5:$C$3004,F396,ENSAYOS!$Q$5:$Q$3004,"&gt;0"))</f>
        <v/>
      </c>
      <c r="S396" s="16" t="str">
        <f aca="false">IF(N(M396)&lt;2,"",SQRT(MAX(0,(SUMIFS(ENSAYOS!$X$5:$X$3004,ENSAYOS!$C$5:$C$3004,F396,ENSAYOS!$Q$5:$Q$3004,"&gt;0")-M396*P396^2)/(M396-1))))</f>
        <v/>
      </c>
      <c r="T396" s="17" t="str">
        <f aca="false">IF(S396="","",S396/P396)</f>
        <v/>
      </c>
      <c r="U396" s="16" t="str">
        <f aca="false">IF(N(M396)=0,"",IF(N396&gt;=CONFIG!$B$27,"",AVERAGEIFS(ENSAYOS!$Q$5:$Q$3004,ENSAYOS!$C$5:$C$3004,F396,ENSAYOS!$Q$5:$Q$3004,"&gt;0",ENSAYOS!$G$5:$G$3004,N396)))</f>
        <v/>
      </c>
      <c r="V396" s="16" t="str">
        <f aca="false">IF(N(M396)=0,"",IF(COUNTIFS(ENSAYOS!$C$5:$C$3004,F396,ENSAYOS!$Q$5:$Q$3004,"&gt;0",ENSAYOS!$G$5:$G$3004,"&gt;="&amp;CONFIG!$B$27)=0,"",AVERAGEIFS(ENSAYOS!$Q$5:$Q$3004,ENSAYOS!$C$5:$C$3004,F396,ENSAYOS!$Q$5:$Q$3004,"&gt;0",ENSAYOS!$G$5:$G$3004,"&gt;="&amp;CONFIG!$B$27)))</f>
        <v/>
      </c>
      <c r="W396" s="18" t="str">
        <f aca="false">IF(AND(U396&lt;&gt;"",V396&lt;&gt;""),U396/V396,"")</f>
        <v/>
      </c>
      <c r="X396" s="18" t="str">
        <f aca="false">IF(U396="","",INDEX('CURVA EDAD'!$E$5:$E$32,MIN(28,MAX(1,N396))))</f>
        <v/>
      </c>
      <c r="Y396" s="16" t="str">
        <f aca="false">IF(V396&lt;&gt;"",V396,IF(U396="","",U396/X396))</f>
        <v/>
      </c>
      <c r="Z396" s="16" t="str">
        <f aca="false">IF(V396&lt;&gt;"",_xlfn.MINIFS(ENSAYOS!$Q$5:$Q$3004,ENSAYOS!$C$5:$C$3004,F396,ENSAYOS!$Q$5:$Q$3004,"&gt;0",ENSAYOS!$G$5:$G$3004,"&gt;="&amp;CONFIG!$B$27),IF(U396="","",_xlfn.MINIFS(ENSAYOS!$Q$5:$Q$3004,ENSAYOS!$C$5:$C$3004,F396,ENSAYOS!$Q$5:$Q$3004,"&gt;0",ENSAYOS!$G$5:$G$3004,N396)/X396))</f>
        <v/>
      </c>
      <c r="AA396" s="16" t="str">
        <f aca="false">IF(D396="","",IFERROR(1/(1/INDEX(CONFIG!$J$5:$J$14,MATCH(D396,CONFIG!$D$5:$D$14,0))),""))</f>
        <v/>
      </c>
      <c r="AB396" s="16" t="str">
        <f aca="false">IF(D396="","",IFERROR(1/(1/INDEX(CONFIG!$K$5:$K$14,MATCH(D396,CONFIG!$D$5:$D$14,0))),""))</f>
        <v/>
      </c>
      <c r="AC396" s="19" t="str">
        <f aca="false">IF(N(M396)=0,"",IF(AA396="","Sin spec",IF(AND(Y396&gt;=AA396,OR(AB396="",Z396&gt;=AB396)),"CUMPLE","NO CUMPLE")&amp;IF(V396=""," (est.)","")))</f>
        <v/>
      </c>
      <c r="AD396" s="20" t="str">
        <f aca="false">IF(F396="","",IF(COUNTIFS(ABSORCION!$C$5:$C$1004,F396,ABSORCION!$I$5:$I$1004,"&gt;0")=0,"",AVERAGEIFS(ABSORCION!$I$5:$I$1004,ABSORCION!$C$5:$C$1004,F396,ABSORCION!$I$5:$I$1004,"&gt;0")))</f>
        <v/>
      </c>
      <c r="AE396" s="20" t="str">
        <f aca="false">IF(F396="","",IF(COUNTIFS(ABSORCION!$C$5:$C$1004,F396,ABSORCION!$I$5:$I$1004,"&gt;0")=0,"",AVERAGEIFS(ABSORCION!$K$5:$K$1004,ABSORCION!$C$5:$C$1004,F396,ABSORCION!$I$5:$I$1004,"&gt;0")))</f>
        <v/>
      </c>
      <c r="AF396" s="20" t="str">
        <f aca="false">IF(AE396="","",IF(AE396&gt;=CONFIG!$E$21,CONFIG!$F$21,IF(AE396&gt;=CONFIG!$E$20,CONFIG!$F$20,CONFIG!$F$19)))</f>
        <v/>
      </c>
      <c r="AG396" s="21" t="str">
        <f aca="false">IF(F396="","",TRIM(IF(N(M396)=0,"Sin ensayos. ","")&amp;IF(AND(N(M396)&gt;0,N(M396)&lt;CONFIG!$B$26),"Menos de "&amp;CONFIG!$B$26&amp;" probetas. ","")&amp;IF(N(T396)&gt;CONFIG!$B$25,"CV alto. ","")&amp;IF(AND(N(AD396)&gt;0,N(AD396)&gt;N(AF396)),"Absorción alta. ","")))</f>
        <v/>
      </c>
      <c r="AH396" s="22" t="str">
        <f aca="false">IF(AND(N(M396)&gt;0,OR(CONTROL!$C$4="TODAS",C396=CONTROL!$C$4),D396=CONTROL!$C$5),MAX($AH$4:AH395)+1,"")</f>
        <v/>
      </c>
      <c r="AI396" s="22" t="str">
        <f aca="false">IF(AH396="","",P396^2)</f>
        <v/>
      </c>
    </row>
    <row r="397" customFormat="false" ht="15" hidden="false" customHeight="false" outlineLevel="0" collapsed="false">
      <c r="A397" s="11" t="str">
        <f aca="false">IF(B397="","",ROW()-4)</f>
        <v/>
      </c>
      <c r="B397" s="12"/>
      <c r="C397" s="13"/>
      <c r="D397" s="13"/>
      <c r="E397" s="13"/>
      <c r="F397" s="14" t="str">
        <f aca="false">IF(OR(B397="",C397="",D397=""),"",IFERROR(INDEX(CONFIG!$E$5:$E$14,MATCH(D397,CONFIG!$D$5:$D$14,0)),"?")&amp;RIGHT("0"&amp;DAY(B397),2)&amp;RIGHT("0"&amp;MONTH(B397),2)&amp;RIGHT(YEAR(B397),2)&amp;C397&amp;IF(E397="","","-"&amp;E397))</f>
        <v/>
      </c>
      <c r="G397" s="13"/>
      <c r="H397" s="13"/>
      <c r="I397" s="13"/>
      <c r="J397" s="13"/>
      <c r="K397" s="13"/>
      <c r="L397" s="13"/>
      <c r="M397" s="11" t="str">
        <f aca="false">IF(F397="","",COUNTIFS(ENSAYOS!$C$5:$C$3004,F397,ENSAYOS!$Q$5:$Q$3004,"&gt;0"))</f>
        <v/>
      </c>
      <c r="N397" s="15" t="str">
        <f aca="false">IF(N(M397)=0,"",_xlfn.MINIFS(ENSAYOS!$G$5:$G$3004,ENSAYOS!$C$5:$C$3004,F397,ENSAYOS!$Q$5:$Q$3004,"&gt;0"))</f>
        <v/>
      </c>
      <c r="O397" s="15" t="str">
        <f aca="false">IF(N(M397)=0,"",_xlfn.MAXIFS(ENSAYOS!$G$5:$G$3004,ENSAYOS!$C$5:$C$3004,F397,ENSAYOS!$Q$5:$Q$3004,"&gt;0"))</f>
        <v/>
      </c>
      <c r="P397" s="16" t="str">
        <f aca="false">IF(N(M397)=0,"",AVERAGEIFS(ENSAYOS!$Q$5:$Q$3004,ENSAYOS!$C$5:$C$3004,F397,ENSAYOS!$Q$5:$Q$3004,"&gt;0"))</f>
        <v/>
      </c>
      <c r="Q397" s="16" t="str">
        <f aca="false">IF(N(M397)=0,"",_xlfn.MINIFS(ENSAYOS!$Q$5:$Q$3004,ENSAYOS!$C$5:$C$3004,F397,ENSAYOS!$Q$5:$Q$3004,"&gt;0"))</f>
        <v/>
      </c>
      <c r="R397" s="16" t="str">
        <f aca="false">IF(N(M397)=0,"",_xlfn.MAXIFS(ENSAYOS!$Q$5:$Q$3004,ENSAYOS!$C$5:$C$3004,F397,ENSAYOS!$Q$5:$Q$3004,"&gt;0"))</f>
        <v/>
      </c>
      <c r="S397" s="16" t="str">
        <f aca="false">IF(N(M397)&lt;2,"",SQRT(MAX(0,(SUMIFS(ENSAYOS!$X$5:$X$3004,ENSAYOS!$C$5:$C$3004,F397,ENSAYOS!$Q$5:$Q$3004,"&gt;0")-M397*P397^2)/(M397-1))))</f>
        <v/>
      </c>
      <c r="T397" s="17" t="str">
        <f aca="false">IF(S397="","",S397/P397)</f>
        <v/>
      </c>
      <c r="U397" s="16" t="str">
        <f aca="false">IF(N(M397)=0,"",IF(N397&gt;=CONFIG!$B$27,"",AVERAGEIFS(ENSAYOS!$Q$5:$Q$3004,ENSAYOS!$C$5:$C$3004,F397,ENSAYOS!$Q$5:$Q$3004,"&gt;0",ENSAYOS!$G$5:$G$3004,N397)))</f>
        <v/>
      </c>
      <c r="V397" s="16" t="str">
        <f aca="false">IF(N(M397)=0,"",IF(COUNTIFS(ENSAYOS!$C$5:$C$3004,F397,ENSAYOS!$Q$5:$Q$3004,"&gt;0",ENSAYOS!$G$5:$G$3004,"&gt;="&amp;CONFIG!$B$27)=0,"",AVERAGEIFS(ENSAYOS!$Q$5:$Q$3004,ENSAYOS!$C$5:$C$3004,F397,ENSAYOS!$Q$5:$Q$3004,"&gt;0",ENSAYOS!$G$5:$G$3004,"&gt;="&amp;CONFIG!$B$27)))</f>
        <v/>
      </c>
      <c r="W397" s="18" t="str">
        <f aca="false">IF(AND(U397&lt;&gt;"",V397&lt;&gt;""),U397/V397,"")</f>
        <v/>
      </c>
      <c r="X397" s="18" t="str">
        <f aca="false">IF(U397="","",INDEX('CURVA EDAD'!$E$5:$E$32,MIN(28,MAX(1,N397))))</f>
        <v/>
      </c>
      <c r="Y397" s="16" t="str">
        <f aca="false">IF(V397&lt;&gt;"",V397,IF(U397="","",U397/X397))</f>
        <v/>
      </c>
      <c r="Z397" s="16" t="str">
        <f aca="false">IF(V397&lt;&gt;"",_xlfn.MINIFS(ENSAYOS!$Q$5:$Q$3004,ENSAYOS!$C$5:$C$3004,F397,ENSAYOS!$Q$5:$Q$3004,"&gt;0",ENSAYOS!$G$5:$G$3004,"&gt;="&amp;CONFIG!$B$27),IF(U397="","",_xlfn.MINIFS(ENSAYOS!$Q$5:$Q$3004,ENSAYOS!$C$5:$C$3004,F397,ENSAYOS!$Q$5:$Q$3004,"&gt;0",ENSAYOS!$G$5:$G$3004,N397)/X397))</f>
        <v/>
      </c>
      <c r="AA397" s="16" t="str">
        <f aca="false">IF(D397="","",IFERROR(1/(1/INDEX(CONFIG!$J$5:$J$14,MATCH(D397,CONFIG!$D$5:$D$14,0))),""))</f>
        <v/>
      </c>
      <c r="AB397" s="16" t="str">
        <f aca="false">IF(D397="","",IFERROR(1/(1/INDEX(CONFIG!$K$5:$K$14,MATCH(D397,CONFIG!$D$5:$D$14,0))),""))</f>
        <v/>
      </c>
      <c r="AC397" s="19" t="str">
        <f aca="false">IF(N(M397)=0,"",IF(AA397="","Sin spec",IF(AND(Y397&gt;=AA397,OR(AB397="",Z397&gt;=AB397)),"CUMPLE","NO CUMPLE")&amp;IF(V397=""," (est.)","")))</f>
        <v/>
      </c>
      <c r="AD397" s="20" t="str">
        <f aca="false">IF(F397="","",IF(COUNTIFS(ABSORCION!$C$5:$C$1004,F397,ABSORCION!$I$5:$I$1004,"&gt;0")=0,"",AVERAGEIFS(ABSORCION!$I$5:$I$1004,ABSORCION!$C$5:$C$1004,F397,ABSORCION!$I$5:$I$1004,"&gt;0")))</f>
        <v/>
      </c>
      <c r="AE397" s="20" t="str">
        <f aca="false">IF(F397="","",IF(COUNTIFS(ABSORCION!$C$5:$C$1004,F397,ABSORCION!$I$5:$I$1004,"&gt;0")=0,"",AVERAGEIFS(ABSORCION!$K$5:$K$1004,ABSORCION!$C$5:$C$1004,F397,ABSORCION!$I$5:$I$1004,"&gt;0")))</f>
        <v/>
      </c>
      <c r="AF397" s="20" t="str">
        <f aca="false">IF(AE397="","",IF(AE397&gt;=CONFIG!$E$21,CONFIG!$F$21,IF(AE397&gt;=CONFIG!$E$20,CONFIG!$F$20,CONFIG!$F$19)))</f>
        <v/>
      </c>
      <c r="AG397" s="21" t="str">
        <f aca="false">IF(F397="","",TRIM(IF(N(M397)=0,"Sin ensayos. ","")&amp;IF(AND(N(M397)&gt;0,N(M397)&lt;CONFIG!$B$26),"Menos de "&amp;CONFIG!$B$26&amp;" probetas. ","")&amp;IF(N(T397)&gt;CONFIG!$B$25,"CV alto. ","")&amp;IF(AND(N(AD397)&gt;0,N(AD397)&gt;N(AF397)),"Absorción alta. ","")))</f>
        <v/>
      </c>
      <c r="AH397" s="22" t="str">
        <f aca="false">IF(AND(N(M397)&gt;0,OR(CONTROL!$C$4="TODAS",C397=CONTROL!$C$4),D397=CONTROL!$C$5),MAX($AH$4:AH396)+1,"")</f>
        <v/>
      </c>
      <c r="AI397" s="22" t="str">
        <f aca="false">IF(AH397="","",P397^2)</f>
        <v/>
      </c>
    </row>
    <row r="398" customFormat="false" ht="15" hidden="false" customHeight="false" outlineLevel="0" collapsed="false">
      <c r="A398" s="11" t="str">
        <f aca="false">IF(B398="","",ROW()-4)</f>
        <v/>
      </c>
      <c r="B398" s="12"/>
      <c r="C398" s="13"/>
      <c r="D398" s="13"/>
      <c r="E398" s="13"/>
      <c r="F398" s="14" t="str">
        <f aca="false">IF(OR(B398="",C398="",D398=""),"",IFERROR(INDEX(CONFIG!$E$5:$E$14,MATCH(D398,CONFIG!$D$5:$D$14,0)),"?")&amp;RIGHT("0"&amp;DAY(B398),2)&amp;RIGHT("0"&amp;MONTH(B398),2)&amp;RIGHT(YEAR(B398),2)&amp;C398&amp;IF(E398="","","-"&amp;E398))</f>
        <v/>
      </c>
      <c r="G398" s="13"/>
      <c r="H398" s="13"/>
      <c r="I398" s="13"/>
      <c r="J398" s="13"/>
      <c r="K398" s="13"/>
      <c r="L398" s="13"/>
      <c r="M398" s="11" t="str">
        <f aca="false">IF(F398="","",COUNTIFS(ENSAYOS!$C$5:$C$3004,F398,ENSAYOS!$Q$5:$Q$3004,"&gt;0"))</f>
        <v/>
      </c>
      <c r="N398" s="15" t="str">
        <f aca="false">IF(N(M398)=0,"",_xlfn.MINIFS(ENSAYOS!$G$5:$G$3004,ENSAYOS!$C$5:$C$3004,F398,ENSAYOS!$Q$5:$Q$3004,"&gt;0"))</f>
        <v/>
      </c>
      <c r="O398" s="15" t="str">
        <f aca="false">IF(N(M398)=0,"",_xlfn.MAXIFS(ENSAYOS!$G$5:$G$3004,ENSAYOS!$C$5:$C$3004,F398,ENSAYOS!$Q$5:$Q$3004,"&gt;0"))</f>
        <v/>
      </c>
      <c r="P398" s="16" t="str">
        <f aca="false">IF(N(M398)=0,"",AVERAGEIFS(ENSAYOS!$Q$5:$Q$3004,ENSAYOS!$C$5:$C$3004,F398,ENSAYOS!$Q$5:$Q$3004,"&gt;0"))</f>
        <v/>
      </c>
      <c r="Q398" s="16" t="str">
        <f aca="false">IF(N(M398)=0,"",_xlfn.MINIFS(ENSAYOS!$Q$5:$Q$3004,ENSAYOS!$C$5:$C$3004,F398,ENSAYOS!$Q$5:$Q$3004,"&gt;0"))</f>
        <v/>
      </c>
      <c r="R398" s="16" t="str">
        <f aca="false">IF(N(M398)=0,"",_xlfn.MAXIFS(ENSAYOS!$Q$5:$Q$3004,ENSAYOS!$C$5:$C$3004,F398,ENSAYOS!$Q$5:$Q$3004,"&gt;0"))</f>
        <v/>
      </c>
      <c r="S398" s="16" t="str">
        <f aca="false">IF(N(M398)&lt;2,"",SQRT(MAX(0,(SUMIFS(ENSAYOS!$X$5:$X$3004,ENSAYOS!$C$5:$C$3004,F398,ENSAYOS!$Q$5:$Q$3004,"&gt;0")-M398*P398^2)/(M398-1))))</f>
        <v/>
      </c>
      <c r="T398" s="17" t="str">
        <f aca="false">IF(S398="","",S398/P398)</f>
        <v/>
      </c>
      <c r="U398" s="16" t="str">
        <f aca="false">IF(N(M398)=0,"",IF(N398&gt;=CONFIG!$B$27,"",AVERAGEIFS(ENSAYOS!$Q$5:$Q$3004,ENSAYOS!$C$5:$C$3004,F398,ENSAYOS!$Q$5:$Q$3004,"&gt;0",ENSAYOS!$G$5:$G$3004,N398)))</f>
        <v/>
      </c>
      <c r="V398" s="16" t="str">
        <f aca="false">IF(N(M398)=0,"",IF(COUNTIFS(ENSAYOS!$C$5:$C$3004,F398,ENSAYOS!$Q$5:$Q$3004,"&gt;0",ENSAYOS!$G$5:$G$3004,"&gt;="&amp;CONFIG!$B$27)=0,"",AVERAGEIFS(ENSAYOS!$Q$5:$Q$3004,ENSAYOS!$C$5:$C$3004,F398,ENSAYOS!$Q$5:$Q$3004,"&gt;0",ENSAYOS!$G$5:$G$3004,"&gt;="&amp;CONFIG!$B$27)))</f>
        <v/>
      </c>
      <c r="W398" s="18" t="str">
        <f aca="false">IF(AND(U398&lt;&gt;"",V398&lt;&gt;""),U398/V398,"")</f>
        <v/>
      </c>
      <c r="X398" s="18" t="str">
        <f aca="false">IF(U398="","",INDEX('CURVA EDAD'!$E$5:$E$32,MIN(28,MAX(1,N398))))</f>
        <v/>
      </c>
      <c r="Y398" s="16" t="str">
        <f aca="false">IF(V398&lt;&gt;"",V398,IF(U398="","",U398/X398))</f>
        <v/>
      </c>
      <c r="Z398" s="16" t="str">
        <f aca="false">IF(V398&lt;&gt;"",_xlfn.MINIFS(ENSAYOS!$Q$5:$Q$3004,ENSAYOS!$C$5:$C$3004,F398,ENSAYOS!$Q$5:$Q$3004,"&gt;0",ENSAYOS!$G$5:$G$3004,"&gt;="&amp;CONFIG!$B$27),IF(U398="","",_xlfn.MINIFS(ENSAYOS!$Q$5:$Q$3004,ENSAYOS!$C$5:$C$3004,F398,ENSAYOS!$Q$5:$Q$3004,"&gt;0",ENSAYOS!$G$5:$G$3004,N398)/X398))</f>
        <v/>
      </c>
      <c r="AA398" s="16" t="str">
        <f aca="false">IF(D398="","",IFERROR(1/(1/INDEX(CONFIG!$J$5:$J$14,MATCH(D398,CONFIG!$D$5:$D$14,0))),""))</f>
        <v/>
      </c>
      <c r="AB398" s="16" t="str">
        <f aca="false">IF(D398="","",IFERROR(1/(1/INDEX(CONFIG!$K$5:$K$14,MATCH(D398,CONFIG!$D$5:$D$14,0))),""))</f>
        <v/>
      </c>
      <c r="AC398" s="19" t="str">
        <f aca="false">IF(N(M398)=0,"",IF(AA398="","Sin spec",IF(AND(Y398&gt;=AA398,OR(AB398="",Z398&gt;=AB398)),"CUMPLE","NO CUMPLE")&amp;IF(V398=""," (est.)","")))</f>
        <v/>
      </c>
      <c r="AD398" s="20" t="str">
        <f aca="false">IF(F398="","",IF(COUNTIFS(ABSORCION!$C$5:$C$1004,F398,ABSORCION!$I$5:$I$1004,"&gt;0")=0,"",AVERAGEIFS(ABSORCION!$I$5:$I$1004,ABSORCION!$C$5:$C$1004,F398,ABSORCION!$I$5:$I$1004,"&gt;0")))</f>
        <v/>
      </c>
      <c r="AE398" s="20" t="str">
        <f aca="false">IF(F398="","",IF(COUNTIFS(ABSORCION!$C$5:$C$1004,F398,ABSORCION!$I$5:$I$1004,"&gt;0")=0,"",AVERAGEIFS(ABSORCION!$K$5:$K$1004,ABSORCION!$C$5:$C$1004,F398,ABSORCION!$I$5:$I$1004,"&gt;0")))</f>
        <v/>
      </c>
      <c r="AF398" s="20" t="str">
        <f aca="false">IF(AE398="","",IF(AE398&gt;=CONFIG!$E$21,CONFIG!$F$21,IF(AE398&gt;=CONFIG!$E$20,CONFIG!$F$20,CONFIG!$F$19)))</f>
        <v/>
      </c>
      <c r="AG398" s="21" t="str">
        <f aca="false">IF(F398="","",TRIM(IF(N(M398)=0,"Sin ensayos. ","")&amp;IF(AND(N(M398)&gt;0,N(M398)&lt;CONFIG!$B$26),"Menos de "&amp;CONFIG!$B$26&amp;" probetas. ","")&amp;IF(N(T398)&gt;CONFIG!$B$25,"CV alto. ","")&amp;IF(AND(N(AD398)&gt;0,N(AD398)&gt;N(AF398)),"Absorción alta. ","")))</f>
        <v/>
      </c>
      <c r="AH398" s="22" t="str">
        <f aca="false">IF(AND(N(M398)&gt;0,OR(CONTROL!$C$4="TODAS",C398=CONTROL!$C$4),D398=CONTROL!$C$5),MAX($AH$4:AH397)+1,"")</f>
        <v/>
      </c>
      <c r="AI398" s="22" t="str">
        <f aca="false">IF(AH398="","",P398^2)</f>
        <v/>
      </c>
    </row>
    <row r="399" customFormat="false" ht="15" hidden="false" customHeight="false" outlineLevel="0" collapsed="false">
      <c r="A399" s="11" t="str">
        <f aca="false">IF(B399="","",ROW()-4)</f>
        <v/>
      </c>
      <c r="B399" s="12"/>
      <c r="C399" s="13"/>
      <c r="D399" s="13"/>
      <c r="E399" s="13"/>
      <c r="F399" s="14" t="str">
        <f aca="false">IF(OR(B399="",C399="",D399=""),"",IFERROR(INDEX(CONFIG!$E$5:$E$14,MATCH(D399,CONFIG!$D$5:$D$14,0)),"?")&amp;RIGHT("0"&amp;DAY(B399),2)&amp;RIGHT("0"&amp;MONTH(B399),2)&amp;RIGHT(YEAR(B399),2)&amp;C399&amp;IF(E399="","","-"&amp;E399))</f>
        <v/>
      </c>
      <c r="G399" s="13"/>
      <c r="H399" s="13"/>
      <c r="I399" s="13"/>
      <c r="J399" s="13"/>
      <c r="K399" s="13"/>
      <c r="L399" s="13"/>
      <c r="M399" s="11" t="str">
        <f aca="false">IF(F399="","",COUNTIFS(ENSAYOS!$C$5:$C$3004,F399,ENSAYOS!$Q$5:$Q$3004,"&gt;0"))</f>
        <v/>
      </c>
      <c r="N399" s="15" t="str">
        <f aca="false">IF(N(M399)=0,"",_xlfn.MINIFS(ENSAYOS!$G$5:$G$3004,ENSAYOS!$C$5:$C$3004,F399,ENSAYOS!$Q$5:$Q$3004,"&gt;0"))</f>
        <v/>
      </c>
      <c r="O399" s="15" t="str">
        <f aca="false">IF(N(M399)=0,"",_xlfn.MAXIFS(ENSAYOS!$G$5:$G$3004,ENSAYOS!$C$5:$C$3004,F399,ENSAYOS!$Q$5:$Q$3004,"&gt;0"))</f>
        <v/>
      </c>
      <c r="P399" s="16" t="str">
        <f aca="false">IF(N(M399)=0,"",AVERAGEIFS(ENSAYOS!$Q$5:$Q$3004,ENSAYOS!$C$5:$C$3004,F399,ENSAYOS!$Q$5:$Q$3004,"&gt;0"))</f>
        <v/>
      </c>
      <c r="Q399" s="16" t="str">
        <f aca="false">IF(N(M399)=0,"",_xlfn.MINIFS(ENSAYOS!$Q$5:$Q$3004,ENSAYOS!$C$5:$C$3004,F399,ENSAYOS!$Q$5:$Q$3004,"&gt;0"))</f>
        <v/>
      </c>
      <c r="R399" s="16" t="str">
        <f aca="false">IF(N(M399)=0,"",_xlfn.MAXIFS(ENSAYOS!$Q$5:$Q$3004,ENSAYOS!$C$5:$C$3004,F399,ENSAYOS!$Q$5:$Q$3004,"&gt;0"))</f>
        <v/>
      </c>
      <c r="S399" s="16" t="str">
        <f aca="false">IF(N(M399)&lt;2,"",SQRT(MAX(0,(SUMIFS(ENSAYOS!$X$5:$X$3004,ENSAYOS!$C$5:$C$3004,F399,ENSAYOS!$Q$5:$Q$3004,"&gt;0")-M399*P399^2)/(M399-1))))</f>
        <v/>
      </c>
      <c r="T399" s="17" t="str">
        <f aca="false">IF(S399="","",S399/P399)</f>
        <v/>
      </c>
      <c r="U399" s="16" t="str">
        <f aca="false">IF(N(M399)=0,"",IF(N399&gt;=CONFIG!$B$27,"",AVERAGEIFS(ENSAYOS!$Q$5:$Q$3004,ENSAYOS!$C$5:$C$3004,F399,ENSAYOS!$Q$5:$Q$3004,"&gt;0",ENSAYOS!$G$5:$G$3004,N399)))</f>
        <v/>
      </c>
      <c r="V399" s="16" t="str">
        <f aca="false">IF(N(M399)=0,"",IF(COUNTIFS(ENSAYOS!$C$5:$C$3004,F399,ENSAYOS!$Q$5:$Q$3004,"&gt;0",ENSAYOS!$G$5:$G$3004,"&gt;="&amp;CONFIG!$B$27)=0,"",AVERAGEIFS(ENSAYOS!$Q$5:$Q$3004,ENSAYOS!$C$5:$C$3004,F399,ENSAYOS!$Q$5:$Q$3004,"&gt;0",ENSAYOS!$G$5:$G$3004,"&gt;="&amp;CONFIG!$B$27)))</f>
        <v/>
      </c>
      <c r="W399" s="18" t="str">
        <f aca="false">IF(AND(U399&lt;&gt;"",V399&lt;&gt;""),U399/V399,"")</f>
        <v/>
      </c>
      <c r="X399" s="18" t="str">
        <f aca="false">IF(U399="","",INDEX('CURVA EDAD'!$E$5:$E$32,MIN(28,MAX(1,N399))))</f>
        <v/>
      </c>
      <c r="Y399" s="16" t="str">
        <f aca="false">IF(V399&lt;&gt;"",V399,IF(U399="","",U399/X399))</f>
        <v/>
      </c>
      <c r="Z399" s="16" t="str">
        <f aca="false">IF(V399&lt;&gt;"",_xlfn.MINIFS(ENSAYOS!$Q$5:$Q$3004,ENSAYOS!$C$5:$C$3004,F399,ENSAYOS!$Q$5:$Q$3004,"&gt;0",ENSAYOS!$G$5:$G$3004,"&gt;="&amp;CONFIG!$B$27),IF(U399="","",_xlfn.MINIFS(ENSAYOS!$Q$5:$Q$3004,ENSAYOS!$C$5:$C$3004,F399,ENSAYOS!$Q$5:$Q$3004,"&gt;0",ENSAYOS!$G$5:$G$3004,N399)/X399))</f>
        <v/>
      </c>
      <c r="AA399" s="16" t="str">
        <f aca="false">IF(D399="","",IFERROR(1/(1/INDEX(CONFIG!$J$5:$J$14,MATCH(D399,CONFIG!$D$5:$D$14,0))),""))</f>
        <v/>
      </c>
      <c r="AB399" s="16" t="str">
        <f aca="false">IF(D399="","",IFERROR(1/(1/INDEX(CONFIG!$K$5:$K$14,MATCH(D399,CONFIG!$D$5:$D$14,0))),""))</f>
        <v/>
      </c>
      <c r="AC399" s="19" t="str">
        <f aca="false">IF(N(M399)=0,"",IF(AA399="","Sin spec",IF(AND(Y399&gt;=AA399,OR(AB399="",Z399&gt;=AB399)),"CUMPLE","NO CUMPLE")&amp;IF(V399=""," (est.)","")))</f>
        <v/>
      </c>
      <c r="AD399" s="20" t="str">
        <f aca="false">IF(F399="","",IF(COUNTIFS(ABSORCION!$C$5:$C$1004,F399,ABSORCION!$I$5:$I$1004,"&gt;0")=0,"",AVERAGEIFS(ABSORCION!$I$5:$I$1004,ABSORCION!$C$5:$C$1004,F399,ABSORCION!$I$5:$I$1004,"&gt;0")))</f>
        <v/>
      </c>
      <c r="AE399" s="20" t="str">
        <f aca="false">IF(F399="","",IF(COUNTIFS(ABSORCION!$C$5:$C$1004,F399,ABSORCION!$I$5:$I$1004,"&gt;0")=0,"",AVERAGEIFS(ABSORCION!$K$5:$K$1004,ABSORCION!$C$5:$C$1004,F399,ABSORCION!$I$5:$I$1004,"&gt;0")))</f>
        <v/>
      </c>
      <c r="AF399" s="20" t="str">
        <f aca="false">IF(AE399="","",IF(AE399&gt;=CONFIG!$E$21,CONFIG!$F$21,IF(AE399&gt;=CONFIG!$E$20,CONFIG!$F$20,CONFIG!$F$19)))</f>
        <v/>
      </c>
      <c r="AG399" s="21" t="str">
        <f aca="false">IF(F399="","",TRIM(IF(N(M399)=0,"Sin ensayos. ","")&amp;IF(AND(N(M399)&gt;0,N(M399)&lt;CONFIG!$B$26),"Menos de "&amp;CONFIG!$B$26&amp;" probetas. ","")&amp;IF(N(T399)&gt;CONFIG!$B$25,"CV alto. ","")&amp;IF(AND(N(AD399)&gt;0,N(AD399)&gt;N(AF399)),"Absorción alta. ","")))</f>
        <v/>
      </c>
      <c r="AH399" s="22" t="str">
        <f aca="false">IF(AND(N(M399)&gt;0,OR(CONTROL!$C$4="TODAS",C399=CONTROL!$C$4),D399=CONTROL!$C$5),MAX($AH$4:AH398)+1,"")</f>
        <v/>
      </c>
      <c r="AI399" s="22" t="str">
        <f aca="false">IF(AH399="","",P399^2)</f>
        <v/>
      </c>
    </row>
    <row r="400" customFormat="false" ht="15" hidden="false" customHeight="false" outlineLevel="0" collapsed="false">
      <c r="A400" s="11" t="str">
        <f aca="false">IF(B400="","",ROW()-4)</f>
        <v/>
      </c>
      <c r="B400" s="12"/>
      <c r="C400" s="13"/>
      <c r="D400" s="13"/>
      <c r="E400" s="13"/>
      <c r="F400" s="14" t="str">
        <f aca="false">IF(OR(B400="",C400="",D400=""),"",IFERROR(INDEX(CONFIG!$E$5:$E$14,MATCH(D400,CONFIG!$D$5:$D$14,0)),"?")&amp;RIGHT("0"&amp;DAY(B400),2)&amp;RIGHT("0"&amp;MONTH(B400),2)&amp;RIGHT(YEAR(B400),2)&amp;C400&amp;IF(E400="","","-"&amp;E400))</f>
        <v/>
      </c>
      <c r="G400" s="13"/>
      <c r="H400" s="13"/>
      <c r="I400" s="13"/>
      <c r="J400" s="13"/>
      <c r="K400" s="13"/>
      <c r="L400" s="13"/>
      <c r="M400" s="11" t="str">
        <f aca="false">IF(F400="","",COUNTIFS(ENSAYOS!$C$5:$C$3004,F400,ENSAYOS!$Q$5:$Q$3004,"&gt;0"))</f>
        <v/>
      </c>
      <c r="N400" s="15" t="str">
        <f aca="false">IF(N(M400)=0,"",_xlfn.MINIFS(ENSAYOS!$G$5:$G$3004,ENSAYOS!$C$5:$C$3004,F400,ENSAYOS!$Q$5:$Q$3004,"&gt;0"))</f>
        <v/>
      </c>
      <c r="O400" s="15" t="str">
        <f aca="false">IF(N(M400)=0,"",_xlfn.MAXIFS(ENSAYOS!$G$5:$G$3004,ENSAYOS!$C$5:$C$3004,F400,ENSAYOS!$Q$5:$Q$3004,"&gt;0"))</f>
        <v/>
      </c>
      <c r="P400" s="16" t="str">
        <f aca="false">IF(N(M400)=0,"",AVERAGEIFS(ENSAYOS!$Q$5:$Q$3004,ENSAYOS!$C$5:$C$3004,F400,ENSAYOS!$Q$5:$Q$3004,"&gt;0"))</f>
        <v/>
      </c>
      <c r="Q400" s="16" t="str">
        <f aca="false">IF(N(M400)=0,"",_xlfn.MINIFS(ENSAYOS!$Q$5:$Q$3004,ENSAYOS!$C$5:$C$3004,F400,ENSAYOS!$Q$5:$Q$3004,"&gt;0"))</f>
        <v/>
      </c>
      <c r="R400" s="16" t="str">
        <f aca="false">IF(N(M400)=0,"",_xlfn.MAXIFS(ENSAYOS!$Q$5:$Q$3004,ENSAYOS!$C$5:$C$3004,F400,ENSAYOS!$Q$5:$Q$3004,"&gt;0"))</f>
        <v/>
      </c>
      <c r="S400" s="16" t="str">
        <f aca="false">IF(N(M400)&lt;2,"",SQRT(MAX(0,(SUMIFS(ENSAYOS!$X$5:$X$3004,ENSAYOS!$C$5:$C$3004,F400,ENSAYOS!$Q$5:$Q$3004,"&gt;0")-M400*P400^2)/(M400-1))))</f>
        <v/>
      </c>
      <c r="T400" s="17" t="str">
        <f aca="false">IF(S400="","",S400/P400)</f>
        <v/>
      </c>
      <c r="U400" s="16" t="str">
        <f aca="false">IF(N(M400)=0,"",IF(N400&gt;=CONFIG!$B$27,"",AVERAGEIFS(ENSAYOS!$Q$5:$Q$3004,ENSAYOS!$C$5:$C$3004,F400,ENSAYOS!$Q$5:$Q$3004,"&gt;0",ENSAYOS!$G$5:$G$3004,N400)))</f>
        <v/>
      </c>
      <c r="V400" s="16" t="str">
        <f aca="false">IF(N(M400)=0,"",IF(COUNTIFS(ENSAYOS!$C$5:$C$3004,F400,ENSAYOS!$Q$5:$Q$3004,"&gt;0",ENSAYOS!$G$5:$G$3004,"&gt;="&amp;CONFIG!$B$27)=0,"",AVERAGEIFS(ENSAYOS!$Q$5:$Q$3004,ENSAYOS!$C$5:$C$3004,F400,ENSAYOS!$Q$5:$Q$3004,"&gt;0",ENSAYOS!$G$5:$G$3004,"&gt;="&amp;CONFIG!$B$27)))</f>
        <v/>
      </c>
      <c r="W400" s="18" t="str">
        <f aca="false">IF(AND(U400&lt;&gt;"",V400&lt;&gt;""),U400/V400,"")</f>
        <v/>
      </c>
      <c r="X400" s="18" t="str">
        <f aca="false">IF(U400="","",INDEX('CURVA EDAD'!$E$5:$E$32,MIN(28,MAX(1,N400))))</f>
        <v/>
      </c>
      <c r="Y400" s="16" t="str">
        <f aca="false">IF(V400&lt;&gt;"",V400,IF(U400="","",U400/X400))</f>
        <v/>
      </c>
      <c r="Z400" s="16" t="str">
        <f aca="false">IF(V400&lt;&gt;"",_xlfn.MINIFS(ENSAYOS!$Q$5:$Q$3004,ENSAYOS!$C$5:$C$3004,F400,ENSAYOS!$Q$5:$Q$3004,"&gt;0",ENSAYOS!$G$5:$G$3004,"&gt;="&amp;CONFIG!$B$27),IF(U400="","",_xlfn.MINIFS(ENSAYOS!$Q$5:$Q$3004,ENSAYOS!$C$5:$C$3004,F400,ENSAYOS!$Q$5:$Q$3004,"&gt;0",ENSAYOS!$G$5:$G$3004,N400)/X400))</f>
        <v/>
      </c>
      <c r="AA400" s="16" t="str">
        <f aca="false">IF(D400="","",IFERROR(1/(1/INDEX(CONFIG!$J$5:$J$14,MATCH(D400,CONFIG!$D$5:$D$14,0))),""))</f>
        <v/>
      </c>
      <c r="AB400" s="16" t="str">
        <f aca="false">IF(D400="","",IFERROR(1/(1/INDEX(CONFIG!$K$5:$K$14,MATCH(D400,CONFIG!$D$5:$D$14,0))),""))</f>
        <v/>
      </c>
      <c r="AC400" s="19" t="str">
        <f aca="false">IF(N(M400)=0,"",IF(AA400="","Sin spec",IF(AND(Y400&gt;=AA400,OR(AB400="",Z400&gt;=AB400)),"CUMPLE","NO CUMPLE")&amp;IF(V400=""," (est.)","")))</f>
        <v/>
      </c>
      <c r="AD400" s="20" t="str">
        <f aca="false">IF(F400="","",IF(COUNTIFS(ABSORCION!$C$5:$C$1004,F400,ABSORCION!$I$5:$I$1004,"&gt;0")=0,"",AVERAGEIFS(ABSORCION!$I$5:$I$1004,ABSORCION!$C$5:$C$1004,F400,ABSORCION!$I$5:$I$1004,"&gt;0")))</f>
        <v/>
      </c>
      <c r="AE400" s="20" t="str">
        <f aca="false">IF(F400="","",IF(COUNTIFS(ABSORCION!$C$5:$C$1004,F400,ABSORCION!$I$5:$I$1004,"&gt;0")=0,"",AVERAGEIFS(ABSORCION!$K$5:$K$1004,ABSORCION!$C$5:$C$1004,F400,ABSORCION!$I$5:$I$1004,"&gt;0")))</f>
        <v/>
      </c>
      <c r="AF400" s="20" t="str">
        <f aca="false">IF(AE400="","",IF(AE400&gt;=CONFIG!$E$21,CONFIG!$F$21,IF(AE400&gt;=CONFIG!$E$20,CONFIG!$F$20,CONFIG!$F$19)))</f>
        <v/>
      </c>
      <c r="AG400" s="21" t="str">
        <f aca="false">IF(F400="","",TRIM(IF(N(M400)=0,"Sin ensayos. ","")&amp;IF(AND(N(M400)&gt;0,N(M400)&lt;CONFIG!$B$26),"Menos de "&amp;CONFIG!$B$26&amp;" probetas. ","")&amp;IF(N(T400)&gt;CONFIG!$B$25,"CV alto. ","")&amp;IF(AND(N(AD400)&gt;0,N(AD400)&gt;N(AF400)),"Absorción alta. ","")))</f>
        <v/>
      </c>
      <c r="AH400" s="22" t="str">
        <f aca="false">IF(AND(N(M400)&gt;0,OR(CONTROL!$C$4="TODAS",C400=CONTROL!$C$4),D400=CONTROL!$C$5),MAX($AH$4:AH399)+1,"")</f>
        <v/>
      </c>
      <c r="AI400" s="22" t="str">
        <f aca="false">IF(AH400="","",P400^2)</f>
        <v/>
      </c>
    </row>
    <row r="401" customFormat="false" ht="15" hidden="false" customHeight="false" outlineLevel="0" collapsed="false">
      <c r="A401" s="11" t="str">
        <f aca="false">IF(B401="","",ROW()-4)</f>
        <v/>
      </c>
      <c r="B401" s="12"/>
      <c r="C401" s="13"/>
      <c r="D401" s="13"/>
      <c r="E401" s="13"/>
      <c r="F401" s="14" t="str">
        <f aca="false">IF(OR(B401="",C401="",D401=""),"",IFERROR(INDEX(CONFIG!$E$5:$E$14,MATCH(D401,CONFIG!$D$5:$D$14,0)),"?")&amp;RIGHT("0"&amp;DAY(B401),2)&amp;RIGHT("0"&amp;MONTH(B401),2)&amp;RIGHT(YEAR(B401),2)&amp;C401&amp;IF(E401="","","-"&amp;E401))</f>
        <v/>
      </c>
      <c r="G401" s="13"/>
      <c r="H401" s="13"/>
      <c r="I401" s="13"/>
      <c r="J401" s="13"/>
      <c r="K401" s="13"/>
      <c r="L401" s="13"/>
      <c r="M401" s="11" t="str">
        <f aca="false">IF(F401="","",COUNTIFS(ENSAYOS!$C$5:$C$3004,F401,ENSAYOS!$Q$5:$Q$3004,"&gt;0"))</f>
        <v/>
      </c>
      <c r="N401" s="15" t="str">
        <f aca="false">IF(N(M401)=0,"",_xlfn.MINIFS(ENSAYOS!$G$5:$G$3004,ENSAYOS!$C$5:$C$3004,F401,ENSAYOS!$Q$5:$Q$3004,"&gt;0"))</f>
        <v/>
      </c>
      <c r="O401" s="15" t="str">
        <f aca="false">IF(N(M401)=0,"",_xlfn.MAXIFS(ENSAYOS!$G$5:$G$3004,ENSAYOS!$C$5:$C$3004,F401,ENSAYOS!$Q$5:$Q$3004,"&gt;0"))</f>
        <v/>
      </c>
      <c r="P401" s="16" t="str">
        <f aca="false">IF(N(M401)=0,"",AVERAGEIFS(ENSAYOS!$Q$5:$Q$3004,ENSAYOS!$C$5:$C$3004,F401,ENSAYOS!$Q$5:$Q$3004,"&gt;0"))</f>
        <v/>
      </c>
      <c r="Q401" s="16" t="str">
        <f aca="false">IF(N(M401)=0,"",_xlfn.MINIFS(ENSAYOS!$Q$5:$Q$3004,ENSAYOS!$C$5:$C$3004,F401,ENSAYOS!$Q$5:$Q$3004,"&gt;0"))</f>
        <v/>
      </c>
      <c r="R401" s="16" t="str">
        <f aca="false">IF(N(M401)=0,"",_xlfn.MAXIFS(ENSAYOS!$Q$5:$Q$3004,ENSAYOS!$C$5:$C$3004,F401,ENSAYOS!$Q$5:$Q$3004,"&gt;0"))</f>
        <v/>
      </c>
      <c r="S401" s="16" t="str">
        <f aca="false">IF(N(M401)&lt;2,"",SQRT(MAX(0,(SUMIFS(ENSAYOS!$X$5:$X$3004,ENSAYOS!$C$5:$C$3004,F401,ENSAYOS!$Q$5:$Q$3004,"&gt;0")-M401*P401^2)/(M401-1))))</f>
        <v/>
      </c>
      <c r="T401" s="17" t="str">
        <f aca="false">IF(S401="","",S401/P401)</f>
        <v/>
      </c>
      <c r="U401" s="16" t="str">
        <f aca="false">IF(N(M401)=0,"",IF(N401&gt;=CONFIG!$B$27,"",AVERAGEIFS(ENSAYOS!$Q$5:$Q$3004,ENSAYOS!$C$5:$C$3004,F401,ENSAYOS!$Q$5:$Q$3004,"&gt;0",ENSAYOS!$G$5:$G$3004,N401)))</f>
        <v/>
      </c>
      <c r="V401" s="16" t="str">
        <f aca="false">IF(N(M401)=0,"",IF(COUNTIFS(ENSAYOS!$C$5:$C$3004,F401,ENSAYOS!$Q$5:$Q$3004,"&gt;0",ENSAYOS!$G$5:$G$3004,"&gt;="&amp;CONFIG!$B$27)=0,"",AVERAGEIFS(ENSAYOS!$Q$5:$Q$3004,ENSAYOS!$C$5:$C$3004,F401,ENSAYOS!$Q$5:$Q$3004,"&gt;0",ENSAYOS!$G$5:$G$3004,"&gt;="&amp;CONFIG!$B$27)))</f>
        <v/>
      </c>
      <c r="W401" s="18" t="str">
        <f aca="false">IF(AND(U401&lt;&gt;"",V401&lt;&gt;""),U401/V401,"")</f>
        <v/>
      </c>
      <c r="X401" s="18" t="str">
        <f aca="false">IF(U401="","",INDEX('CURVA EDAD'!$E$5:$E$32,MIN(28,MAX(1,N401))))</f>
        <v/>
      </c>
      <c r="Y401" s="16" t="str">
        <f aca="false">IF(V401&lt;&gt;"",V401,IF(U401="","",U401/X401))</f>
        <v/>
      </c>
      <c r="Z401" s="16" t="str">
        <f aca="false">IF(V401&lt;&gt;"",_xlfn.MINIFS(ENSAYOS!$Q$5:$Q$3004,ENSAYOS!$C$5:$C$3004,F401,ENSAYOS!$Q$5:$Q$3004,"&gt;0",ENSAYOS!$G$5:$G$3004,"&gt;="&amp;CONFIG!$B$27),IF(U401="","",_xlfn.MINIFS(ENSAYOS!$Q$5:$Q$3004,ENSAYOS!$C$5:$C$3004,F401,ENSAYOS!$Q$5:$Q$3004,"&gt;0",ENSAYOS!$G$5:$G$3004,N401)/X401))</f>
        <v/>
      </c>
      <c r="AA401" s="16" t="str">
        <f aca="false">IF(D401="","",IFERROR(1/(1/INDEX(CONFIG!$J$5:$J$14,MATCH(D401,CONFIG!$D$5:$D$14,0))),""))</f>
        <v/>
      </c>
      <c r="AB401" s="16" t="str">
        <f aca="false">IF(D401="","",IFERROR(1/(1/INDEX(CONFIG!$K$5:$K$14,MATCH(D401,CONFIG!$D$5:$D$14,0))),""))</f>
        <v/>
      </c>
      <c r="AC401" s="19" t="str">
        <f aca="false">IF(N(M401)=0,"",IF(AA401="","Sin spec",IF(AND(Y401&gt;=AA401,OR(AB401="",Z401&gt;=AB401)),"CUMPLE","NO CUMPLE")&amp;IF(V401=""," (est.)","")))</f>
        <v/>
      </c>
      <c r="AD401" s="20" t="str">
        <f aca="false">IF(F401="","",IF(COUNTIFS(ABSORCION!$C$5:$C$1004,F401,ABSORCION!$I$5:$I$1004,"&gt;0")=0,"",AVERAGEIFS(ABSORCION!$I$5:$I$1004,ABSORCION!$C$5:$C$1004,F401,ABSORCION!$I$5:$I$1004,"&gt;0")))</f>
        <v/>
      </c>
      <c r="AE401" s="20" t="str">
        <f aca="false">IF(F401="","",IF(COUNTIFS(ABSORCION!$C$5:$C$1004,F401,ABSORCION!$I$5:$I$1004,"&gt;0")=0,"",AVERAGEIFS(ABSORCION!$K$5:$K$1004,ABSORCION!$C$5:$C$1004,F401,ABSORCION!$I$5:$I$1004,"&gt;0")))</f>
        <v/>
      </c>
      <c r="AF401" s="20" t="str">
        <f aca="false">IF(AE401="","",IF(AE401&gt;=CONFIG!$E$21,CONFIG!$F$21,IF(AE401&gt;=CONFIG!$E$20,CONFIG!$F$20,CONFIG!$F$19)))</f>
        <v/>
      </c>
      <c r="AG401" s="21" t="str">
        <f aca="false">IF(F401="","",TRIM(IF(N(M401)=0,"Sin ensayos. ","")&amp;IF(AND(N(M401)&gt;0,N(M401)&lt;CONFIG!$B$26),"Menos de "&amp;CONFIG!$B$26&amp;" probetas. ","")&amp;IF(N(T401)&gt;CONFIG!$B$25,"CV alto. ","")&amp;IF(AND(N(AD401)&gt;0,N(AD401)&gt;N(AF401)),"Absorción alta. ","")))</f>
        <v/>
      </c>
      <c r="AH401" s="22" t="str">
        <f aca="false">IF(AND(N(M401)&gt;0,OR(CONTROL!$C$4="TODAS",C401=CONTROL!$C$4),D401=CONTROL!$C$5),MAX($AH$4:AH400)+1,"")</f>
        <v/>
      </c>
      <c r="AI401" s="22" t="str">
        <f aca="false">IF(AH401="","",P401^2)</f>
        <v/>
      </c>
    </row>
    <row r="402" customFormat="false" ht="15" hidden="false" customHeight="false" outlineLevel="0" collapsed="false">
      <c r="A402" s="11" t="str">
        <f aca="false">IF(B402="","",ROW()-4)</f>
        <v/>
      </c>
      <c r="B402" s="12"/>
      <c r="C402" s="13"/>
      <c r="D402" s="13"/>
      <c r="E402" s="13"/>
      <c r="F402" s="14" t="str">
        <f aca="false">IF(OR(B402="",C402="",D402=""),"",IFERROR(INDEX(CONFIG!$E$5:$E$14,MATCH(D402,CONFIG!$D$5:$D$14,0)),"?")&amp;RIGHT("0"&amp;DAY(B402),2)&amp;RIGHT("0"&amp;MONTH(B402),2)&amp;RIGHT(YEAR(B402),2)&amp;C402&amp;IF(E402="","","-"&amp;E402))</f>
        <v/>
      </c>
      <c r="G402" s="13"/>
      <c r="H402" s="13"/>
      <c r="I402" s="13"/>
      <c r="J402" s="13"/>
      <c r="K402" s="13"/>
      <c r="L402" s="13"/>
      <c r="M402" s="11" t="str">
        <f aca="false">IF(F402="","",COUNTIFS(ENSAYOS!$C$5:$C$3004,F402,ENSAYOS!$Q$5:$Q$3004,"&gt;0"))</f>
        <v/>
      </c>
      <c r="N402" s="15" t="str">
        <f aca="false">IF(N(M402)=0,"",_xlfn.MINIFS(ENSAYOS!$G$5:$G$3004,ENSAYOS!$C$5:$C$3004,F402,ENSAYOS!$Q$5:$Q$3004,"&gt;0"))</f>
        <v/>
      </c>
      <c r="O402" s="15" t="str">
        <f aca="false">IF(N(M402)=0,"",_xlfn.MAXIFS(ENSAYOS!$G$5:$G$3004,ENSAYOS!$C$5:$C$3004,F402,ENSAYOS!$Q$5:$Q$3004,"&gt;0"))</f>
        <v/>
      </c>
      <c r="P402" s="16" t="str">
        <f aca="false">IF(N(M402)=0,"",AVERAGEIFS(ENSAYOS!$Q$5:$Q$3004,ENSAYOS!$C$5:$C$3004,F402,ENSAYOS!$Q$5:$Q$3004,"&gt;0"))</f>
        <v/>
      </c>
      <c r="Q402" s="16" t="str">
        <f aca="false">IF(N(M402)=0,"",_xlfn.MINIFS(ENSAYOS!$Q$5:$Q$3004,ENSAYOS!$C$5:$C$3004,F402,ENSAYOS!$Q$5:$Q$3004,"&gt;0"))</f>
        <v/>
      </c>
      <c r="R402" s="16" t="str">
        <f aca="false">IF(N(M402)=0,"",_xlfn.MAXIFS(ENSAYOS!$Q$5:$Q$3004,ENSAYOS!$C$5:$C$3004,F402,ENSAYOS!$Q$5:$Q$3004,"&gt;0"))</f>
        <v/>
      </c>
      <c r="S402" s="16" t="str">
        <f aca="false">IF(N(M402)&lt;2,"",SQRT(MAX(0,(SUMIFS(ENSAYOS!$X$5:$X$3004,ENSAYOS!$C$5:$C$3004,F402,ENSAYOS!$Q$5:$Q$3004,"&gt;0")-M402*P402^2)/(M402-1))))</f>
        <v/>
      </c>
      <c r="T402" s="17" t="str">
        <f aca="false">IF(S402="","",S402/P402)</f>
        <v/>
      </c>
      <c r="U402" s="16" t="str">
        <f aca="false">IF(N(M402)=0,"",IF(N402&gt;=CONFIG!$B$27,"",AVERAGEIFS(ENSAYOS!$Q$5:$Q$3004,ENSAYOS!$C$5:$C$3004,F402,ENSAYOS!$Q$5:$Q$3004,"&gt;0",ENSAYOS!$G$5:$G$3004,N402)))</f>
        <v/>
      </c>
      <c r="V402" s="16" t="str">
        <f aca="false">IF(N(M402)=0,"",IF(COUNTIFS(ENSAYOS!$C$5:$C$3004,F402,ENSAYOS!$Q$5:$Q$3004,"&gt;0",ENSAYOS!$G$5:$G$3004,"&gt;="&amp;CONFIG!$B$27)=0,"",AVERAGEIFS(ENSAYOS!$Q$5:$Q$3004,ENSAYOS!$C$5:$C$3004,F402,ENSAYOS!$Q$5:$Q$3004,"&gt;0",ENSAYOS!$G$5:$G$3004,"&gt;="&amp;CONFIG!$B$27)))</f>
        <v/>
      </c>
      <c r="W402" s="18" t="str">
        <f aca="false">IF(AND(U402&lt;&gt;"",V402&lt;&gt;""),U402/V402,"")</f>
        <v/>
      </c>
      <c r="X402" s="18" t="str">
        <f aca="false">IF(U402="","",INDEX('CURVA EDAD'!$E$5:$E$32,MIN(28,MAX(1,N402))))</f>
        <v/>
      </c>
      <c r="Y402" s="16" t="str">
        <f aca="false">IF(V402&lt;&gt;"",V402,IF(U402="","",U402/X402))</f>
        <v/>
      </c>
      <c r="Z402" s="16" t="str">
        <f aca="false">IF(V402&lt;&gt;"",_xlfn.MINIFS(ENSAYOS!$Q$5:$Q$3004,ENSAYOS!$C$5:$C$3004,F402,ENSAYOS!$Q$5:$Q$3004,"&gt;0",ENSAYOS!$G$5:$G$3004,"&gt;="&amp;CONFIG!$B$27),IF(U402="","",_xlfn.MINIFS(ENSAYOS!$Q$5:$Q$3004,ENSAYOS!$C$5:$C$3004,F402,ENSAYOS!$Q$5:$Q$3004,"&gt;0",ENSAYOS!$G$5:$G$3004,N402)/X402))</f>
        <v/>
      </c>
      <c r="AA402" s="16" t="str">
        <f aca="false">IF(D402="","",IFERROR(1/(1/INDEX(CONFIG!$J$5:$J$14,MATCH(D402,CONFIG!$D$5:$D$14,0))),""))</f>
        <v/>
      </c>
      <c r="AB402" s="16" t="str">
        <f aca="false">IF(D402="","",IFERROR(1/(1/INDEX(CONFIG!$K$5:$K$14,MATCH(D402,CONFIG!$D$5:$D$14,0))),""))</f>
        <v/>
      </c>
      <c r="AC402" s="19" t="str">
        <f aca="false">IF(N(M402)=0,"",IF(AA402="","Sin spec",IF(AND(Y402&gt;=AA402,OR(AB402="",Z402&gt;=AB402)),"CUMPLE","NO CUMPLE")&amp;IF(V402=""," (est.)","")))</f>
        <v/>
      </c>
      <c r="AD402" s="20" t="str">
        <f aca="false">IF(F402="","",IF(COUNTIFS(ABSORCION!$C$5:$C$1004,F402,ABSORCION!$I$5:$I$1004,"&gt;0")=0,"",AVERAGEIFS(ABSORCION!$I$5:$I$1004,ABSORCION!$C$5:$C$1004,F402,ABSORCION!$I$5:$I$1004,"&gt;0")))</f>
        <v/>
      </c>
      <c r="AE402" s="20" t="str">
        <f aca="false">IF(F402="","",IF(COUNTIFS(ABSORCION!$C$5:$C$1004,F402,ABSORCION!$I$5:$I$1004,"&gt;0")=0,"",AVERAGEIFS(ABSORCION!$K$5:$K$1004,ABSORCION!$C$5:$C$1004,F402,ABSORCION!$I$5:$I$1004,"&gt;0")))</f>
        <v/>
      </c>
      <c r="AF402" s="20" t="str">
        <f aca="false">IF(AE402="","",IF(AE402&gt;=CONFIG!$E$21,CONFIG!$F$21,IF(AE402&gt;=CONFIG!$E$20,CONFIG!$F$20,CONFIG!$F$19)))</f>
        <v/>
      </c>
      <c r="AG402" s="21" t="str">
        <f aca="false">IF(F402="","",TRIM(IF(N(M402)=0,"Sin ensayos. ","")&amp;IF(AND(N(M402)&gt;0,N(M402)&lt;CONFIG!$B$26),"Menos de "&amp;CONFIG!$B$26&amp;" probetas. ","")&amp;IF(N(T402)&gt;CONFIG!$B$25,"CV alto. ","")&amp;IF(AND(N(AD402)&gt;0,N(AD402)&gt;N(AF402)),"Absorción alta. ","")))</f>
        <v/>
      </c>
      <c r="AH402" s="22" t="str">
        <f aca="false">IF(AND(N(M402)&gt;0,OR(CONTROL!$C$4="TODAS",C402=CONTROL!$C$4),D402=CONTROL!$C$5),MAX($AH$4:AH401)+1,"")</f>
        <v/>
      </c>
      <c r="AI402" s="22" t="str">
        <f aca="false">IF(AH402="","",P402^2)</f>
        <v/>
      </c>
    </row>
    <row r="403" customFormat="false" ht="15" hidden="false" customHeight="false" outlineLevel="0" collapsed="false">
      <c r="A403" s="11" t="str">
        <f aca="false">IF(B403="","",ROW()-4)</f>
        <v/>
      </c>
      <c r="B403" s="12"/>
      <c r="C403" s="13"/>
      <c r="D403" s="13"/>
      <c r="E403" s="13"/>
      <c r="F403" s="14" t="str">
        <f aca="false">IF(OR(B403="",C403="",D403=""),"",IFERROR(INDEX(CONFIG!$E$5:$E$14,MATCH(D403,CONFIG!$D$5:$D$14,0)),"?")&amp;RIGHT("0"&amp;DAY(B403),2)&amp;RIGHT("0"&amp;MONTH(B403),2)&amp;RIGHT(YEAR(B403),2)&amp;C403&amp;IF(E403="","","-"&amp;E403))</f>
        <v/>
      </c>
      <c r="G403" s="13"/>
      <c r="H403" s="13"/>
      <c r="I403" s="13"/>
      <c r="J403" s="13"/>
      <c r="K403" s="13"/>
      <c r="L403" s="13"/>
      <c r="M403" s="11" t="str">
        <f aca="false">IF(F403="","",COUNTIFS(ENSAYOS!$C$5:$C$3004,F403,ENSAYOS!$Q$5:$Q$3004,"&gt;0"))</f>
        <v/>
      </c>
      <c r="N403" s="15" t="str">
        <f aca="false">IF(N(M403)=0,"",_xlfn.MINIFS(ENSAYOS!$G$5:$G$3004,ENSAYOS!$C$5:$C$3004,F403,ENSAYOS!$Q$5:$Q$3004,"&gt;0"))</f>
        <v/>
      </c>
      <c r="O403" s="15" t="str">
        <f aca="false">IF(N(M403)=0,"",_xlfn.MAXIFS(ENSAYOS!$G$5:$G$3004,ENSAYOS!$C$5:$C$3004,F403,ENSAYOS!$Q$5:$Q$3004,"&gt;0"))</f>
        <v/>
      </c>
      <c r="P403" s="16" t="str">
        <f aca="false">IF(N(M403)=0,"",AVERAGEIFS(ENSAYOS!$Q$5:$Q$3004,ENSAYOS!$C$5:$C$3004,F403,ENSAYOS!$Q$5:$Q$3004,"&gt;0"))</f>
        <v/>
      </c>
      <c r="Q403" s="16" t="str">
        <f aca="false">IF(N(M403)=0,"",_xlfn.MINIFS(ENSAYOS!$Q$5:$Q$3004,ENSAYOS!$C$5:$C$3004,F403,ENSAYOS!$Q$5:$Q$3004,"&gt;0"))</f>
        <v/>
      </c>
      <c r="R403" s="16" t="str">
        <f aca="false">IF(N(M403)=0,"",_xlfn.MAXIFS(ENSAYOS!$Q$5:$Q$3004,ENSAYOS!$C$5:$C$3004,F403,ENSAYOS!$Q$5:$Q$3004,"&gt;0"))</f>
        <v/>
      </c>
      <c r="S403" s="16" t="str">
        <f aca="false">IF(N(M403)&lt;2,"",SQRT(MAX(0,(SUMIFS(ENSAYOS!$X$5:$X$3004,ENSAYOS!$C$5:$C$3004,F403,ENSAYOS!$Q$5:$Q$3004,"&gt;0")-M403*P403^2)/(M403-1))))</f>
        <v/>
      </c>
      <c r="T403" s="17" t="str">
        <f aca="false">IF(S403="","",S403/P403)</f>
        <v/>
      </c>
      <c r="U403" s="16" t="str">
        <f aca="false">IF(N(M403)=0,"",IF(N403&gt;=CONFIG!$B$27,"",AVERAGEIFS(ENSAYOS!$Q$5:$Q$3004,ENSAYOS!$C$5:$C$3004,F403,ENSAYOS!$Q$5:$Q$3004,"&gt;0",ENSAYOS!$G$5:$G$3004,N403)))</f>
        <v/>
      </c>
      <c r="V403" s="16" t="str">
        <f aca="false">IF(N(M403)=0,"",IF(COUNTIFS(ENSAYOS!$C$5:$C$3004,F403,ENSAYOS!$Q$5:$Q$3004,"&gt;0",ENSAYOS!$G$5:$G$3004,"&gt;="&amp;CONFIG!$B$27)=0,"",AVERAGEIFS(ENSAYOS!$Q$5:$Q$3004,ENSAYOS!$C$5:$C$3004,F403,ENSAYOS!$Q$5:$Q$3004,"&gt;0",ENSAYOS!$G$5:$G$3004,"&gt;="&amp;CONFIG!$B$27)))</f>
        <v/>
      </c>
      <c r="W403" s="18" t="str">
        <f aca="false">IF(AND(U403&lt;&gt;"",V403&lt;&gt;""),U403/V403,"")</f>
        <v/>
      </c>
      <c r="X403" s="18" t="str">
        <f aca="false">IF(U403="","",INDEX('CURVA EDAD'!$E$5:$E$32,MIN(28,MAX(1,N403))))</f>
        <v/>
      </c>
      <c r="Y403" s="16" t="str">
        <f aca="false">IF(V403&lt;&gt;"",V403,IF(U403="","",U403/X403))</f>
        <v/>
      </c>
      <c r="Z403" s="16" t="str">
        <f aca="false">IF(V403&lt;&gt;"",_xlfn.MINIFS(ENSAYOS!$Q$5:$Q$3004,ENSAYOS!$C$5:$C$3004,F403,ENSAYOS!$Q$5:$Q$3004,"&gt;0",ENSAYOS!$G$5:$G$3004,"&gt;="&amp;CONFIG!$B$27),IF(U403="","",_xlfn.MINIFS(ENSAYOS!$Q$5:$Q$3004,ENSAYOS!$C$5:$C$3004,F403,ENSAYOS!$Q$5:$Q$3004,"&gt;0",ENSAYOS!$G$5:$G$3004,N403)/X403))</f>
        <v/>
      </c>
      <c r="AA403" s="16" t="str">
        <f aca="false">IF(D403="","",IFERROR(1/(1/INDEX(CONFIG!$J$5:$J$14,MATCH(D403,CONFIG!$D$5:$D$14,0))),""))</f>
        <v/>
      </c>
      <c r="AB403" s="16" t="str">
        <f aca="false">IF(D403="","",IFERROR(1/(1/INDEX(CONFIG!$K$5:$K$14,MATCH(D403,CONFIG!$D$5:$D$14,0))),""))</f>
        <v/>
      </c>
      <c r="AC403" s="19" t="str">
        <f aca="false">IF(N(M403)=0,"",IF(AA403="","Sin spec",IF(AND(Y403&gt;=AA403,OR(AB403="",Z403&gt;=AB403)),"CUMPLE","NO CUMPLE")&amp;IF(V403=""," (est.)","")))</f>
        <v/>
      </c>
      <c r="AD403" s="20" t="str">
        <f aca="false">IF(F403="","",IF(COUNTIFS(ABSORCION!$C$5:$C$1004,F403,ABSORCION!$I$5:$I$1004,"&gt;0")=0,"",AVERAGEIFS(ABSORCION!$I$5:$I$1004,ABSORCION!$C$5:$C$1004,F403,ABSORCION!$I$5:$I$1004,"&gt;0")))</f>
        <v/>
      </c>
      <c r="AE403" s="20" t="str">
        <f aca="false">IF(F403="","",IF(COUNTIFS(ABSORCION!$C$5:$C$1004,F403,ABSORCION!$I$5:$I$1004,"&gt;0")=0,"",AVERAGEIFS(ABSORCION!$K$5:$K$1004,ABSORCION!$C$5:$C$1004,F403,ABSORCION!$I$5:$I$1004,"&gt;0")))</f>
        <v/>
      </c>
      <c r="AF403" s="20" t="str">
        <f aca="false">IF(AE403="","",IF(AE403&gt;=CONFIG!$E$21,CONFIG!$F$21,IF(AE403&gt;=CONFIG!$E$20,CONFIG!$F$20,CONFIG!$F$19)))</f>
        <v/>
      </c>
      <c r="AG403" s="21" t="str">
        <f aca="false">IF(F403="","",TRIM(IF(N(M403)=0,"Sin ensayos. ","")&amp;IF(AND(N(M403)&gt;0,N(M403)&lt;CONFIG!$B$26),"Menos de "&amp;CONFIG!$B$26&amp;" probetas. ","")&amp;IF(N(T403)&gt;CONFIG!$B$25,"CV alto. ","")&amp;IF(AND(N(AD403)&gt;0,N(AD403)&gt;N(AF403)),"Absorción alta. ","")))</f>
        <v/>
      </c>
      <c r="AH403" s="22" t="str">
        <f aca="false">IF(AND(N(M403)&gt;0,OR(CONTROL!$C$4="TODAS",C403=CONTROL!$C$4),D403=CONTROL!$C$5),MAX($AH$4:AH402)+1,"")</f>
        <v/>
      </c>
      <c r="AI403" s="22" t="str">
        <f aca="false">IF(AH403="","",P403^2)</f>
        <v/>
      </c>
    </row>
    <row r="404" customFormat="false" ht="15" hidden="false" customHeight="false" outlineLevel="0" collapsed="false">
      <c r="A404" s="11" t="str">
        <f aca="false">IF(B404="","",ROW()-4)</f>
        <v/>
      </c>
      <c r="B404" s="12"/>
      <c r="C404" s="13"/>
      <c r="D404" s="13"/>
      <c r="E404" s="13"/>
      <c r="F404" s="14" t="str">
        <f aca="false">IF(OR(B404="",C404="",D404=""),"",IFERROR(INDEX(CONFIG!$E$5:$E$14,MATCH(D404,CONFIG!$D$5:$D$14,0)),"?")&amp;RIGHT("0"&amp;DAY(B404),2)&amp;RIGHT("0"&amp;MONTH(B404),2)&amp;RIGHT(YEAR(B404),2)&amp;C404&amp;IF(E404="","","-"&amp;E404))</f>
        <v/>
      </c>
      <c r="G404" s="13"/>
      <c r="H404" s="13"/>
      <c r="I404" s="13"/>
      <c r="J404" s="13"/>
      <c r="K404" s="13"/>
      <c r="L404" s="13"/>
      <c r="M404" s="11" t="str">
        <f aca="false">IF(F404="","",COUNTIFS(ENSAYOS!$C$5:$C$3004,F404,ENSAYOS!$Q$5:$Q$3004,"&gt;0"))</f>
        <v/>
      </c>
      <c r="N404" s="15" t="str">
        <f aca="false">IF(N(M404)=0,"",_xlfn.MINIFS(ENSAYOS!$G$5:$G$3004,ENSAYOS!$C$5:$C$3004,F404,ENSAYOS!$Q$5:$Q$3004,"&gt;0"))</f>
        <v/>
      </c>
      <c r="O404" s="15" t="str">
        <f aca="false">IF(N(M404)=0,"",_xlfn.MAXIFS(ENSAYOS!$G$5:$G$3004,ENSAYOS!$C$5:$C$3004,F404,ENSAYOS!$Q$5:$Q$3004,"&gt;0"))</f>
        <v/>
      </c>
      <c r="P404" s="16" t="str">
        <f aca="false">IF(N(M404)=0,"",AVERAGEIFS(ENSAYOS!$Q$5:$Q$3004,ENSAYOS!$C$5:$C$3004,F404,ENSAYOS!$Q$5:$Q$3004,"&gt;0"))</f>
        <v/>
      </c>
      <c r="Q404" s="16" t="str">
        <f aca="false">IF(N(M404)=0,"",_xlfn.MINIFS(ENSAYOS!$Q$5:$Q$3004,ENSAYOS!$C$5:$C$3004,F404,ENSAYOS!$Q$5:$Q$3004,"&gt;0"))</f>
        <v/>
      </c>
      <c r="R404" s="16" t="str">
        <f aca="false">IF(N(M404)=0,"",_xlfn.MAXIFS(ENSAYOS!$Q$5:$Q$3004,ENSAYOS!$C$5:$C$3004,F404,ENSAYOS!$Q$5:$Q$3004,"&gt;0"))</f>
        <v/>
      </c>
      <c r="S404" s="16" t="str">
        <f aca="false">IF(N(M404)&lt;2,"",SQRT(MAX(0,(SUMIFS(ENSAYOS!$X$5:$X$3004,ENSAYOS!$C$5:$C$3004,F404,ENSAYOS!$Q$5:$Q$3004,"&gt;0")-M404*P404^2)/(M404-1))))</f>
        <v/>
      </c>
      <c r="T404" s="17" t="str">
        <f aca="false">IF(S404="","",S404/P404)</f>
        <v/>
      </c>
      <c r="U404" s="16" t="str">
        <f aca="false">IF(N(M404)=0,"",IF(N404&gt;=CONFIG!$B$27,"",AVERAGEIFS(ENSAYOS!$Q$5:$Q$3004,ENSAYOS!$C$5:$C$3004,F404,ENSAYOS!$Q$5:$Q$3004,"&gt;0",ENSAYOS!$G$5:$G$3004,N404)))</f>
        <v/>
      </c>
      <c r="V404" s="16" t="str">
        <f aca="false">IF(N(M404)=0,"",IF(COUNTIFS(ENSAYOS!$C$5:$C$3004,F404,ENSAYOS!$Q$5:$Q$3004,"&gt;0",ENSAYOS!$G$5:$G$3004,"&gt;="&amp;CONFIG!$B$27)=0,"",AVERAGEIFS(ENSAYOS!$Q$5:$Q$3004,ENSAYOS!$C$5:$C$3004,F404,ENSAYOS!$Q$5:$Q$3004,"&gt;0",ENSAYOS!$G$5:$G$3004,"&gt;="&amp;CONFIG!$B$27)))</f>
        <v/>
      </c>
      <c r="W404" s="18" t="str">
        <f aca="false">IF(AND(U404&lt;&gt;"",V404&lt;&gt;""),U404/V404,"")</f>
        <v/>
      </c>
      <c r="X404" s="18" t="str">
        <f aca="false">IF(U404="","",INDEX('CURVA EDAD'!$E$5:$E$32,MIN(28,MAX(1,N404))))</f>
        <v/>
      </c>
      <c r="Y404" s="16" t="str">
        <f aca="false">IF(V404&lt;&gt;"",V404,IF(U404="","",U404/X404))</f>
        <v/>
      </c>
      <c r="Z404" s="16" t="str">
        <f aca="false">IF(V404&lt;&gt;"",_xlfn.MINIFS(ENSAYOS!$Q$5:$Q$3004,ENSAYOS!$C$5:$C$3004,F404,ENSAYOS!$Q$5:$Q$3004,"&gt;0",ENSAYOS!$G$5:$G$3004,"&gt;="&amp;CONFIG!$B$27),IF(U404="","",_xlfn.MINIFS(ENSAYOS!$Q$5:$Q$3004,ENSAYOS!$C$5:$C$3004,F404,ENSAYOS!$Q$5:$Q$3004,"&gt;0",ENSAYOS!$G$5:$G$3004,N404)/X404))</f>
        <v/>
      </c>
      <c r="AA404" s="16" t="str">
        <f aca="false">IF(D404="","",IFERROR(1/(1/INDEX(CONFIG!$J$5:$J$14,MATCH(D404,CONFIG!$D$5:$D$14,0))),""))</f>
        <v/>
      </c>
      <c r="AB404" s="16" t="str">
        <f aca="false">IF(D404="","",IFERROR(1/(1/INDEX(CONFIG!$K$5:$K$14,MATCH(D404,CONFIG!$D$5:$D$14,0))),""))</f>
        <v/>
      </c>
      <c r="AC404" s="19" t="str">
        <f aca="false">IF(N(M404)=0,"",IF(AA404="","Sin spec",IF(AND(Y404&gt;=AA404,OR(AB404="",Z404&gt;=AB404)),"CUMPLE","NO CUMPLE")&amp;IF(V404=""," (est.)","")))</f>
        <v/>
      </c>
      <c r="AD404" s="20" t="str">
        <f aca="false">IF(F404="","",IF(COUNTIFS(ABSORCION!$C$5:$C$1004,F404,ABSORCION!$I$5:$I$1004,"&gt;0")=0,"",AVERAGEIFS(ABSORCION!$I$5:$I$1004,ABSORCION!$C$5:$C$1004,F404,ABSORCION!$I$5:$I$1004,"&gt;0")))</f>
        <v/>
      </c>
      <c r="AE404" s="20" t="str">
        <f aca="false">IF(F404="","",IF(COUNTIFS(ABSORCION!$C$5:$C$1004,F404,ABSORCION!$I$5:$I$1004,"&gt;0")=0,"",AVERAGEIFS(ABSORCION!$K$5:$K$1004,ABSORCION!$C$5:$C$1004,F404,ABSORCION!$I$5:$I$1004,"&gt;0")))</f>
        <v/>
      </c>
      <c r="AF404" s="20" t="str">
        <f aca="false">IF(AE404="","",IF(AE404&gt;=CONFIG!$E$21,CONFIG!$F$21,IF(AE404&gt;=CONFIG!$E$20,CONFIG!$F$20,CONFIG!$F$19)))</f>
        <v/>
      </c>
      <c r="AG404" s="21" t="str">
        <f aca="false">IF(F404="","",TRIM(IF(N(M404)=0,"Sin ensayos. ","")&amp;IF(AND(N(M404)&gt;0,N(M404)&lt;CONFIG!$B$26),"Menos de "&amp;CONFIG!$B$26&amp;" probetas. ","")&amp;IF(N(T404)&gt;CONFIG!$B$25,"CV alto. ","")&amp;IF(AND(N(AD404)&gt;0,N(AD404)&gt;N(AF404)),"Absorción alta. ","")))</f>
        <v/>
      </c>
      <c r="AH404" s="22" t="str">
        <f aca="false">IF(AND(N(M404)&gt;0,OR(CONTROL!$C$4="TODAS",C404=CONTROL!$C$4),D404=CONTROL!$C$5),MAX($AH$4:AH403)+1,"")</f>
        <v/>
      </c>
      <c r="AI404" s="22" t="str">
        <f aca="false">IF(AH404="","",P404^2)</f>
        <v/>
      </c>
    </row>
    <row r="405" customFormat="false" ht="15" hidden="false" customHeight="false" outlineLevel="0" collapsed="false">
      <c r="A405" s="11" t="str">
        <f aca="false">IF(B405="","",ROW()-4)</f>
        <v/>
      </c>
      <c r="B405" s="12"/>
      <c r="C405" s="13"/>
      <c r="D405" s="13"/>
      <c r="E405" s="13"/>
      <c r="F405" s="14" t="str">
        <f aca="false">IF(OR(B405="",C405="",D405=""),"",IFERROR(INDEX(CONFIG!$E$5:$E$14,MATCH(D405,CONFIG!$D$5:$D$14,0)),"?")&amp;RIGHT("0"&amp;DAY(B405),2)&amp;RIGHT("0"&amp;MONTH(B405),2)&amp;RIGHT(YEAR(B405),2)&amp;C405&amp;IF(E405="","","-"&amp;E405))</f>
        <v/>
      </c>
      <c r="G405" s="13"/>
      <c r="H405" s="13"/>
      <c r="I405" s="13"/>
      <c r="J405" s="13"/>
      <c r="K405" s="13"/>
      <c r="L405" s="13"/>
      <c r="M405" s="11" t="str">
        <f aca="false">IF(F405="","",COUNTIFS(ENSAYOS!$C$5:$C$3004,F405,ENSAYOS!$Q$5:$Q$3004,"&gt;0"))</f>
        <v/>
      </c>
      <c r="N405" s="15" t="str">
        <f aca="false">IF(N(M405)=0,"",_xlfn.MINIFS(ENSAYOS!$G$5:$G$3004,ENSAYOS!$C$5:$C$3004,F405,ENSAYOS!$Q$5:$Q$3004,"&gt;0"))</f>
        <v/>
      </c>
      <c r="O405" s="15" t="str">
        <f aca="false">IF(N(M405)=0,"",_xlfn.MAXIFS(ENSAYOS!$G$5:$G$3004,ENSAYOS!$C$5:$C$3004,F405,ENSAYOS!$Q$5:$Q$3004,"&gt;0"))</f>
        <v/>
      </c>
      <c r="P405" s="16" t="str">
        <f aca="false">IF(N(M405)=0,"",AVERAGEIFS(ENSAYOS!$Q$5:$Q$3004,ENSAYOS!$C$5:$C$3004,F405,ENSAYOS!$Q$5:$Q$3004,"&gt;0"))</f>
        <v/>
      </c>
      <c r="Q405" s="16" t="str">
        <f aca="false">IF(N(M405)=0,"",_xlfn.MINIFS(ENSAYOS!$Q$5:$Q$3004,ENSAYOS!$C$5:$C$3004,F405,ENSAYOS!$Q$5:$Q$3004,"&gt;0"))</f>
        <v/>
      </c>
      <c r="R405" s="16" t="str">
        <f aca="false">IF(N(M405)=0,"",_xlfn.MAXIFS(ENSAYOS!$Q$5:$Q$3004,ENSAYOS!$C$5:$C$3004,F405,ENSAYOS!$Q$5:$Q$3004,"&gt;0"))</f>
        <v/>
      </c>
      <c r="S405" s="16" t="str">
        <f aca="false">IF(N(M405)&lt;2,"",SQRT(MAX(0,(SUMIFS(ENSAYOS!$X$5:$X$3004,ENSAYOS!$C$5:$C$3004,F405,ENSAYOS!$Q$5:$Q$3004,"&gt;0")-M405*P405^2)/(M405-1))))</f>
        <v/>
      </c>
      <c r="T405" s="17" t="str">
        <f aca="false">IF(S405="","",S405/P405)</f>
        <v/>
      </c>
      <c r="U405" s="16" t="str">
        <f aca="false">IF(N(M405)=0,"",IF(N405&gt;=CONFIG!$B$27,"",AVERAGEIFS(ENSAYOS!$Q$5:$Q$3004,ENSAYOS!$C$5:$C$3004,F405,ENSAYOS!$Q$5:$Q$3004,"&gt;0",ENSAYOS!$G$5:$G$3004,N405)))</f>
        <v/>
      </c>
      <c r="V405" s="16" t="str">
        <f aca="false">IF(N(M405)=0,"",IF(COUNTIFS(ENSAYOS!$C$5:$C$3004,F405,ENSAYOS!$Q$5:$Q$3004,"&gt;0",ENSAYOS!$G$5:$G$3004,"&gt;="&amp;CONFIG!$B$27)=0,"",AVERAGEIFS(ENSAYOS!$Q$5:$Q$3004,ENSAYOS!$C$5:$C$3004,F405,ENSAYOS!$Q$5:$Q$3004,"&gt;0",ENSAYOS!$G$5:$G$3004,"&gt;="&amp;CONFIG!$B$27)))</f>
        <v/>
      </c>
      <c r="W405" s="18" t="str">
        <f aca="false">IF(AND(U405&lt;&gt;"",V405&lt;&gt;""),U405/V405,"")</f>
        <v/>
      </c>
      <c r="X405" s="18" t="str">
        <f aca="false">IF(U405="","",INDEX('CURVA EDAD'!$E$5:$E$32,MIN(28,MAX(1,N405))))</f>
        <v/>
      </c>
      <c r="Y405" s="16" t="str">
        <f aca="false">IF(V405&lt;&gt;"",V405,IF(U405="","",U405/X405))</f>
        <v/>
      </c>
      <c r="Z405" s="16" t="str">
        <f aca="false">IF(V405&lt;&gt;"",_xlfn.MINIFS(ENSAYOS!$Q$5:$Q$3004,ENSAYOS!$C$5:$C$3004,F405,ENSAYOS!$Q$5:$Q$3004,"&gt;0",ENSAYOS!$G$5:$G$3004,"&gt;="&amp;CONFIG!$B$27),IF(U405="","",_xlfn.MINIFS(ENSAYOS!$Q$5:$Q$3004,ENSAYOS!$C$5:$C$3004,F405,ENSAYOS!$Q$5:$Q$3004,"&gt;0",ENSAYOS!$G$5:$G$3004,N405)/X405))</f>
        <v/>
      </c>
      <c r="AA405" s="16" t="str">
        <f aca="false">IF(D405="","",IFERROR(1/(1/INDEX(CONFIG!$J$5:$J$14,MATCH(D405,CONFIG!$D$5:$D$14,0))),""))</f>
        <v/>
      </c>
      <c r="AB405" s="16" t="str">
        <f aca="false">IF(D405="","",IFERROR(1/(1/INDEX(CONFIG!$K$5:$K$14,MATCH(D405,CONFIG!$D$5:$D$14,0))),""))</f>
        <v/>
      </c>
      <c r="AC405" s="19" t="str">
        <f aca="false">IF(N(M405)=0,"",IF(AA405="","Sin spec",IF(AND(Y405&gt;=AA405,OR(AB405="",Z405&gt;=AB405)),"CUMPLE","NO CUMPLE")&amp;IF(V405=""," (est.)","")))</f>
        <v/>
      </c>
      <c r="AD405" s="20" t="str">
        <f aca="false">IF(F405="","",IF(COUNTIFS(ABSORCION!$C$5:$C$1004,F405,ABSORCION!$I$5:$I$1004,"&gt;0")=0,"",AVERAGEIFS(ABSORCION!$I$5:$I$1004,ABSORCION!$C$5:$C$1004,F405,ABSORCION!$I$5:$I$1004,"&gt;0")))</f>
        <v/>
      </c>
      <c r="AE405" s="20" t="str">
        <f aca="false">IF(F405="","",IF(COUNTIFS(ABSORCION!$C$5:$C$1004,F405,ABSORCION!$I$5:$I$1004,"&gt;0")=0,"",AVERAGEIFS(ABSORCION!$K$5:$K$1004,ABSORCION!$C$5:$C$1004,F405,ABSORCION!$I$5:$I$1004,"&gt;0")))</f>
        <v/>
      </c>
      <c r="AF405" s="20" t="str">
        <f aca="false">IF(AE405="","",IF(AE405&gt;=CONFIG!$E$21,CONFIG!$F$21,IF(AE405&gt;=CONFIG!$E$20,CONFIG!$F$20,CONFIG!$F$19)))</f>
        <v/>
      </c>
      <c r="AG405" s="21" t="str">
        <f aca="false">IF(F405="","",TRIM(IF(N(M405)=0,"Sin ensayos. ","")&amp;IF(AND(N(M405)&gt;0,N(M405)&lt;CONFIG!$B$26),"Menos de "&amp;CONFIG!$B$26&amp;" probetas. ","")&amp;IF(N(T405)&gt;CONFIG!$B$25,"CV alto. ","")&amp;IF(AND(N(AD405)&gt;0,N(AD405)&gt;N(AF405)),"Absorción alta. ","")))</f>
        <v/>
      </c>
      <c r="AH405" s="22" t="str">
        <f aca="false">IF(AND(N(M405)&gt;0,OR(CONTROL!$C$4="TODAS",C405=CONTROL!$C$4),D405=CONTROL!$C$5),MAX($AH$4:AH404)+1,"")</f>
        <v/>
      </c>
      <c r="AI405" s="22" t="str">
        <f aca="false">IF(AH405="","",P405^2)</f>
        <v/>
      </c>
    </row>
    <row r="406" customFormat="false" ht="15" hidden="false" customHeight="false" outlineLevel="0" collapsed="false">
      <c r="A406" s="11" t="str">
        <f aca="false">IF(B406="","",ROW()-4)</f>
        <v/>
      </c>
      <c r="B406" s="12"/>
      <c r="C406" s="13"/>
      <c r="D406" s="13"/>
      <c r="E406" s="13"/>
      <c r="F406" s="14" t="str">
        <f aca="false">IF(OR(B406="",C406="",D406=""),"",IFERROR(INDEX(CONFIG!$E$5:$E$14,MATCH(D406,CONFIG!$D$5:$D$14,0)),"?")&amp;RIGHT("0"&amp;DAY(B406),2)&amp;RIGHT("0"&amp;MONTH(B406),2)&amp;RIGHT(YEAR(B406),2)&amp;C406&amp;IF(E406="","","-"&amp;E406))</f>
        <v/>
      </c>
      <c r="G406" s="13"/>
      <c r="H406" s="13"/>
      <c r="I406" s="13"/>
      <c r="J406" s="13"/>
      <c r="K406" s="13"/>
      <c r="L406" s="13"/>
      <c r="M406" s="11" t="str">
        <f aca="false">IF(F406="","",COUNTIFS(ENSAYOS!$C$5:$C$3004,F406,ENSAYOS!$Q$5:$Q$3004,"&gt;0"))</f>
        <v/>
      </c>
      <c r="N406" s="15" t="str">
        <f aca="false">IF(N(M406)=0,"",_xlfn.MINIFS(ENSAYOS!$G$5:$G$3004,ENSAYOS!$C$5:$C$3004,F406,ENSAYOS!$Q$5:$Q$3004,"&gt;0"))</f>
        <v/>
      </c>
      <c r="O406" s="15" t="str">
        <f aca="false">IF(N(M406)=0,"",_xlfn.MAXIFS(ENSAYOS!$G$5:$G$3004,ENSAYOS!$C$5:$C$3004,F406,ENSAYOS!$Q$5:$Q$3004,"&gt;0"))</f>
        <v/>
      </c>
      <c r="P406" s="16" t="str">
        <f aca="false">IF(N(M406)=0,"",AVERAGEIFS(ENSAYOS!$Q$5:$Q$3004,ENSAYOS!$C$5:$C$3004,F406,ENSAYOS!$Q$5:$Q$3004,"&gt;0"))</f>
        <v/>
      </c>
      <c r="Q406" s="16" t="str">
        <f aca="false">IF(N(M406)=0,"",_xlfn.MINIFS(ENSAYOS!$Q$5:$Q$3004,ENSAYOS!$C$5:$C$3004,F406,ENSAYOS!$Q$5:$Q$3004,"&gt;0"))</f>
        <v/>
      </c>
      <c r="R406" s="16" t="str">
        <f aca="false">IF(N(M406)=0,"",_xlfn.MAXIFS(ENSAYOS!$Q$5:$Q$3004,ENSAYOS!$C$5:$C$3004,F406,ENSAYOS!$Q$5:$Q$3004,"&gt;0"))</f>
        <v/>
      </c>
      <c r="S406" s="16" t="str">
        <f aca="false">IF(N(M406)&lt;2,"",SQRT(MAX(0,(SUMIFS(ENSAYOS!$X$5:$X$3004,ENSAYOS!$C$5:$C$3004,F406,ENSAYOS!$Q$5:$Q$3004,"&gt;0")-M406*P406^2)/(M406-1))))</f>
        <v/>
      </c>
      <c r="T406" s="17" t="str">
        <f aca="false">IF(S406="","",S406/P406)</f>
        <v/>
      </c>
      <c r="U406" s="16" t="str">
        <f aca="false">IF(N(M406)=0,"",IF(N406&gt;=CONFIG!$B$27,"",AVERAGEIFS(ENSAYOS!$Q$5:$Q$3004,ENSAYOS!$C$5:$C$3004,F406,ENSAYOS!$Q$5:$Q$3004,"&gt;0",ENSAYOS!$G$5:$G$3004,N406)))</f>
        <v/>
      </c>
      <c r="V406" s="16" t="str">
        <f aca="false">IF(N(M406)=0,"",IF(COUNTIFS(ENSAYOS!$C$5:$C$3004,F406,ENSAYOS!$Q$5:$Q$3004,"&gt;0",ENSAYOS!$G$5:$G$3004,"&gt;="&amp;CONFIG!$B$27)=0,"",AVERAGEIFS(ENSAYOS!$Q$5:$Q$3004,ENSAYOS!$C$5:$C$3004,F406,ENSAYOS!$Q$5:$Q$3004,"&gt;0",ENSAYOS!$G$5:$G$3004,"&gt;="&amp;CONFIG!$B$27)))</f>
        <v/>
      </c>
      <c r="W406" s="18" t="str">
        <f aca="false">IF(AND(U406&lt;&gt;"",V406&lt;&gt;""),U406/V406,"")</f>
        <v/>
      </c>
      <c r="X406" s="18" t="str">
        <f aca="false">IF(U406="","",INDEX('CURVA EDAD'!$E$5:$E$32,MIN(28,MAX(1,N406))))</f>
        <v/>
      </c>
      <c r="Y406" s="16" t="str">
        <f aca="false">IF(V406&lt;&gt;"",V406,IF(U406="","",U406/X406))</f>
        <v/>
      </c>
      <c r="Z406" s="16" t="str">
        <f aca="false">IF(V406&lt;&gt;"",_xlfn.MINIFS(ENSAYOS!$Q$5:$Q$3004,ENSAYOS!$C$5:$C$3004,F406,ENSAYOS!$Q$5:$Q$3004,"&gt;0",ENSAYOS!$G$5:$G$3004,"&gt;="&amp;CONFIG!$B$27),IF(U406="","",_xlfn.MINIFS(ENSAYOS!$Q$5:$Q$3004,ENSAYOS!$C$5:$C$3004,F406,ENSAYOS!$Q$5:$Q$3004,"&gt;0",ENSAYOS!$G$5:$G$3004,N406)/X406))</f>
        <v/>
      </c>
      <c r="AA406" s="16" t="str">
        <f aca="false">IF(D406="","",IFERROR(1/(1/INDEX(CONFIG!$J$5:$J$14,MATCH(D406,CONFIG!$D$5:$D$14,0))),""))</f>
        <v/>
      </c>
      <c r="AB406" s="16" t="str">
        <f aca="false">IF(D406="","",IFERROR(1/(1/INDEX(CONFIG!$K$5:$K$14,MATCH(D406,CONFIG!$D$5:$D$14,0))),""))</f>
        <v/>
      </c>
      <c r="AC406" s="19" t="str">
        <f aca="false">IF(N(M406)=0,"",IF(AA406="","Sin spec",IF(AND(Y406&gt;=AA406,OR(AB406="",Z406&gt;=AB406)),"CUMPLE","NO CUMPLE")&amp;IF(V406=""," (est.)","")))</f>
        <v/>
      </c>
      <c r="AD406" s="20" t="str">
        <f aca="false">IF(F406="","",IF(COUNTIFS(ABSORCION!$C$5:$C$1004,F406,ABSORCION!$I$5:$I$1004,"&gt;0")=0,"",AVERAGEIFS(ABSORCION!$I$5:$I$1004,ABSORCION!$C$5:$C$1004,F406,ABSORCION!$I$5:$I$1004,"&gt;0")))</f>
        <v/>
      </c>
      <c r="AE406" s="20" t="str">
        <f aca="false">IF(F406="","",IF(COUNTIFS(ABSORCION!$C$5:$C$1004,F406,ABSORCION!$I$5:$I$1004,"&gt;0")=0,"",AVERAGEIFS(ABSORCION!$K$5:$K$1004,ABSORCION!$C$5:$C$1004,F406,ABSORCION!$I$5:$I$1004,"&gt;0")))</f>
        <v/>
      </c>
      <c r="AF406" s="20" t="str">
        <f aca="false">IF(AE406="","",IF(AE406&gt;=CONFIG!$E$21,CONFIG!$F$21,IF(AE406&gt;=CONFIG!$E$20,CONFIG!$F$20,CONFIG!$F$19)))</f>
        <v/>
      </c>
      <c r="AG406" s="21" t="str">
        <f aca="false">IF(F406="","",TRIM(IF(N(M406)=0,"Sin ensayos. ","")&amp;IF(AND(N(M406)&gt;0,N(M406)&lt;CONFIG!$B$26),"Menos de "&amp;CONFIG!$B$26&amp;" probetas. ","")&amp;IF(N(T406)&gt;CONFIG!$B$25,"CV alto. ","")&amp;IF(AND(N(AD406)&gt;0,N(AD406)&gt;N(AF406)),"Absorción alta. ","")))</f>
        <v/>
      </c>
      <c r="AH406" s="22" t="str">
        <f aca="false">IF(AND(N(M406)&gt;0,OR(CONTROL!$C$4="TODAS",C406=CONTROL!$C$4),D406=CONTROL!$C$5),MAX($AH$4:AH405)+1,"")</f>
        <v/>
      </c>
      <c r="AI406" s="22" t="str">
        <f aca="false">IF(AH406="","",P406^2)</f>
        <v/>
      </c>
    </row>
    <row r="407" customFormat="false" ht="15" hidden="false" customHeight="false" outlineLevel="0" collapsed="false">
      <c r="A407" s="11" t="str">
        <f aca="false">IF(B407="","",ROW()-4)</f>
        <v/>
      </c>
      <c r="B407" s="12"/>
      <c r="C407" s="13"/>
      <c r="D407" s="13"/>
      <c r="E407" s="13"/>
      <c r="F407" s="14" t="str">
        <f aca="false">IF(OR(B407="",C407="",D407=""),"",IFERROR(INDEX(CONFIG!$E$5:$E$14,MATCH(D407,CONFIG!$D$5:$D$14,0)),"?")&amp;RIGHT("0"&amp;DAY(B407),2)&amp;RIGHT("0"&amp;MONTH(B407),2)&amp;RIGHT(YEAR(B407),2)&amp;C407&amp;IF(E407="","","-"&amp;E407))</f>
        <v/>
      </c>
      <c r="G407" s="13"/>
      <c r="H407" s="13"/>
      <c r="I407" s="13"/>
      <c r="J407" s="13"/>
      <c r="K407" s="13"/>
      <c r="L407" s="13"/>
      <c r="M407" s="11" t="str">
        <f aca="false">IF(F407="","",COUNTIFS(ENSAYOS!$C$5:$C$3004,F407,ENSAYOS!$Q$5:$Q$3004,"&gt;0"))</f>
        <v/>
      </c>
      <c r="N407" s="15" t="str">
        <f aca="false">IF(N(M407)=0,"",_xlfn.MINIFS(ENSAYOS!$G$5:$G$3004,ENSAYOS!$C$5:$C$3004,F407,ENSAYOS!$Q$5:$Q$3004,"&gt;0"))</f>
        <v/>
      </c>
      <c r="O407" s="15" t="str">
        <f aca="false">IF(N(M407)=0,"",_xlfn.MAXIFS(ENSAYOS!$G$5:$G$3004,ENSAYOS!$C$5:$C$3004,F407,ENSAYOS!$Q$5:$Q$3004,"&gt;0"))</f>
        <v/>
      </c>
      <c r="P407" s="16" t="str">
        <f aca="false">IF(N(M407)=0,"",AVERAGEIFS(ENSAYOS!$Q$5:$Q$3004,ENSAYOS!$C$5:$C$3004,F407,ENSAYOS!$Q$5:$Q$3004,"&gt;0"))</f>
        <v/>
      </c>
      <c r="Q407" s="16" t="str">
        <f aca="false">IF(N(M407)=0,"",_xlfn.MINIFS(ENSAYOS!$Q$5:$Q$3004,ENSAYOS!$C$5:$C$3004,F407,ENSAYOS!$Q$5:$Q$3004,"&gt;0"))</f>
        <v/>
      </c>
      <c r="R407" s="16" t="str">
        <f aca="false">IF(N(M407)=0,"",_xlfn.MAXIFS(ENSAYOS!$Q$5:$Q$3004,ENSAYOS!$C$5:$C$3004,F407,ENSAYOS!$Q$5:$Q$3004,"&gt;0"))</f>
        <v/>
      </c>
      <c r="S407" s="16" t="str">
        <f aca="false">IF(N(M407)&lt;2,"",SQRT(MAX(0,(SUMIFS(ENSAYOS!$X$5:$X$3004,ENSAYOS!$C$5:$C$3004,F407,ENSAYOS!$Q$5:$Q$3004,"&gt;0")-M407*P407^2)/(M407-1))))</f>
        <v/>
      </c>
      <c r="T407" s="17" t="str">
        <f aca="false">IF(S407="","",S407/P407)</f>
        <v/>
      </c>
      <c r="U407" s="16" t="str">
        <f aca="false">IF(N(M407)=0,"",IF(N407&gt;=CONFIG!$B$27,"",AVERAGEIFS(ENSAYOS!$Q$5:$Q$3004,ENSAYOS!$C$5:$C$3004,F407,ENSAYOS!$Q$5:$Q$3004,"&gt;0",ENSAYOS!$G$5:$G$3004,N407)))</f>
        <v/>
      </c>
      <c r="V407" s="16" t="str">
        <f aca="false">IF(N(M407)=0,"",IF(COUNTIFS(ENSAYOS!$C$5:$C$3004,F407,ENSAYOS!$Q$5:$Q$3004,"&gt;0",ENSAYOS!$G$5:$G$3004,"&gt;="&amp;CONFIG!$B$27)=0,"",AVERAGEIFS(ENSAYOS!$Q$5:$Q$3004,ENSAYOS!$C$5:$C$3004,F407,ENSAYOS!$Q$5:$Q$3004,"&gt;0",ENSAYOS!$G$5:$G$3004,"&gt;="&amp;CONFIG!$B$27)))</f>
        <v/>
      </c>
      <c r="W407" s="18" t="str">
        <f aca="false">IF(AND(U407&lt;&gt;"",V407&lt;&gt;""),U407/V407,"")</f>
        <v/>
      </c>
      <c r="X407" s="18" t="str">
        <f aca="false">IF(U407="","",INDEX('CURVA EDAD'!$E$5:$E$32,MIN(28,MAX(1,N407))))</f>
        <v/>
      </c>
      <c r="Y407" s="16" t="str">
        <f aca="false">IF(V407&lt;&gt;"",V407,IF(U407="","",U407/X407))</f>
        <v/>
      </c>
      <c r="Z407" s="16" t="str">
        <f aca="false">IF(V407&lt;&gt;"",_xlfn.MINIFS(ENSAYOS!$Q$5:$Q$3004,ENSAYOS!$C$5:$C$3004,F407,ENSAYOS!$Q$5:$Q$3004,"&gt;0",ENSAYOS!$G$5:$G$3004,"&gt;="&amp;CONFIG!$B$27),IF(U407="","",_xlfn.MINIFS(ENSAYOS!$Q$5:$Q$3004,ENSAYOS!$C$5:$C$3004,F407,ENSAYOS!$Q$5:$Q$3004,"&gt;0",ENSAYOS!$G$5:$G$3004,N407)/X407))</f>
        <v/>
      </c>
      <c r="AA407" s="16" t="str">
        <f aca="false">IF(D407="","",IFERROR(1/(1/INDEX(CONFIG!$J$5:$J$14,MATCH(D407,CONFIG!$D$5:$D$14,0))),""))</f>
        <v/>
      </c>
      <c r="AB407" s="16" t="str">
        <f aca="false">IF(D407="","",IFERROR(1/(1/INDEX(CONFIG!$K$5:$K$14,MATCH(D407,CONFIG!$D$5:$D$14,0))),""))</f>
        <v/>
      </c>
      <c r="AC407" s="19" t="str">
        <f aca="false">IF(N(M407)=0,"",IF(AA407="","Sin spec",IF(AND(Y407&gt;=AA407,OR(AB407="",Z407&gt;=AB407)),"CUMPLE","NO CUMPLE")&amp;IF(V407=""," (est.)","")))</f>
        <v/>
      </c>
      <c r="AD407" s="20" t="str">
        <f aca="false">IF(F407="","",IF(COUNTIFS(ABSORCION!$C$5:$C$1004,F407,ABSORCION!$I$5:$I$1004,"&gt;0")=0,"",AVERAGEIFS(ABSORCION!$I$5:$I$1004,ABSORCION!$C$5:$C$1004,F407,ABSORCION!$I$5:$I$1004,"&gt;0")))</f>
        <v/>
      </c>
      <c r="AE407" s="20" t="str">
        <f aca="false">IF(F407="","",IF(COUNTIFS(ABSORCION!$C$5:$C$1004,F407,ABSORCION!$I$5:$I$1004,"&gt;0")=0,"",AVERAGEIFS(ABSORCION!$K$5:$K$1004,ABSORCION!$C$5:$C$1004,F407,ABSORCION!$I$5:$I$1004,"&gt;0")))</f>
        <v/>
      </c>
      <c r="AF407" s="20" t="str">
        <f aca="false">IF(AE407="","",IF(AE407&gt;=CONFIG!$E$21,CONFIG!$F$21,IF(AE407&gt;=CONFIG!$E$20,CONFIG!$F$20,CONFIG!$F$19)))</f>
        <v/>
      </c>
      <c r="AG407" s="21" t="str">
        <f aca="false">IF(F407="","",TRIM(IF(N(M407)=0,"Sin ensayos. ","")&amp;IF(AND(N(M407)&gt;0,N(M407)&lt;CONFIG!$B$26),"Menos de "&amp;CONFIG!$B$26&amp;" probetas. ","")&amp;IF(N(T407)&gt;CONFIG!$B$25,"CV alto. ","")&amp;IF(AND(N(AD407)&gt;0,N(AD407)&gt;N(AF407)),"Absorción alta. ","")))</f>
        <v/>
      </c>
      <c r="AH407" s="22" t="str">
        <f aca="false">IF(AND(N(M407)&gt;0,OR(CONTROL!$C$4="TODAS",C407=CONTROL!$C$4),D407=CONTROL!$C$5),MAX($AH$4:AH406)+1,"")</f>
        <v/>
      </c>
      <c r="AI407" s="22" t="str">
        <f aca="false">IF(AH407="","",P407^2)</f>
        <v/>
      </c>
    </row>
    <row r="408" customFormat="false" ht="15" hidden="false" customHeight="false" outlineLevel="0" collapsed="false">
      <c r="A408" s="11" t="str">
        <f aca="false">IF(B408="","",ROW()-4)</f>
        <v/>
      </c>
      <c r="B408" s="12"/>
      <c r="C408" s="13"/>
      <c r="D408" s="13"/>
      <c r="E408" s="13"/>
      <c r="F408" s="14" t="str">
        <f aca="false">IF(OR(B408="",C408="",D408=""),"",IFERROR(INDEX(CONFIG!$E$5:$E$14,MATCH(D408,CONFIG!$D$5:$D$14,0)),"?")&amp;RIGHT("0"&amp;DAY(B408),2)&amp;RIGHT("0"&amp;MONTH(B408),2)&amp;RIGHT(YEAR(B408),2)&amp;C408&amp;IF(E408="","","-"&amp;E408))</f>
        <v/>
      </c>
      <c r="G408" s="13"/>
      <c r="H408" s="13"/>
      <c r="I408" s="13"/>
      <c r="J408" s="13"/>
      <c r="K408" s="13"/>
      <c r="L408" s="13"/>
      <c r="M408" s="11" t="str">
        <f aca="false">IF(F408="","",COUNTIFS(ENSAYOS!$C$5:$C$3004,F408,ENSAYOS!$Q$5:$Q$3004,"&gt;0"))</f>
        <v/>
      </c>
      <c r="N408" s="15" t="str">
        <f aca="false">IF(N(M408)=0,"",_xlfn.MINIFS(ENSAYOS!$G$5:$G$3004,ENSAYOS!$C$5:$C$3004,F408,ENSAYOS!$Q$5:$Q$3004,"&gt;0"))</f>
        <v/>
      </c>
      <c r="O408" s="15" t="str">
        <f aca="false">IF(N(M408)=0,"",_xlfn.MAXIFS(ENSAYOS!$G$5:$G$3004,ENSAYOS!$C$5:$C$3004,F408,ENSAYOS!$Q$5:$Q$3004,"&gt;0"))</f>
        <v/>
      </c>
      <c r="P408" s="16" t="str">
        <f aca="false">IF(N(M408)=0,"",AVERAGEIFS(ENSAYOS!$Q$5:$Q$3004,ENSAYOS!$C$5:$C$3004,F408,ENSAYOS!$Q$5:$Q$3004,"&gt;0"))</f>
        <v/>
      </c>
      <c r="Q408" s="16" t="str">
        <f aca="false">IF(N(M408)=0,"",_xlfn.MINIFS(ENSAYOS!$Q$5:$Q$3004,ENSAYOS!$C$5:$C$3004,F408,ENSAYOS!$Q$5:$Q$3004,"&gt;0"))</f>
        <v/>
      </c>
      <c r="R408" s="16" t="str">
        <f aca="false">IF(N(M408)=0,"",_xlfn.MAXIFS(ENSAYOS!$Q$5:$Q$3004,ENSAYOS!$C$5:$C$3004,F408,ENSAYOS!$Q$5:$Q$3004,"&gt;0"))</f>
        <v/>
      </c>
      <c r="S408" s="16" t="str">
        <f aca="false">IF(N(M408)&lt;2,"",SQRT(MAX(0,(SUMIFS(ENSAYOS!$X$5:$X$3004,ENSAYOS!$C$5:$C$3004,F408,ENSAYOS!$Q$5:$Q$3004,"&gt;0")-M408*P408^2)/(M408-1))))</f>
        <v/>
      </c>
      <c r="T408" s="17" t="str">
        <f aca="false">IF(S408="","",S408/P408)</f>
        <v/>
      </c>
      <c r="U408" s="16" t="str">
        <f aca="false">IF(N(M408)=0,"",IF(N408&gt;=CONFIG!$B$27,"",AVERAGEIFS(ENSAYOS!$Q$5:$Q$3004,ENSAYOS!$C$5:$C$3004,F408,ENSAYOS!$Q$5:$Q$3004,"&gt;0",ENSAYOS!$G$5:$G$3004,N408)))</f>
        <v/>
      </c>
      <c r="V408" s="16" t="str">
        <f aca="false">IF(N(M408)=0,"",IF(COUNTIFS(ENSAYOS!$C$5:$C$3004,F408,ENSAYOS!$Q$5:$Q$3004,"&gt;0",ENSAYOS!$G$5:$G$3004,"&gt;="&amp;CONFIG!$B$27)=0,"",AVERAGEIFS(ENSAYOS!$Q$5:$Q$3004,ENSAYOS!$C$5:$C$3004,F408,ENSAYOS!$Q$5:$Q$3004,"&gt;0",ENSAYOS!$G$5:$G$3004,"&gt;="&amp;CONFIG!$B$27)))</f>
        <v/>
      </c>
      <c r="W408" s="18" t="str">
        <f aca="false">IF(AND(U408&lt;&gt;"",V408&lt;&gt;""),U408/V408,"")</f>
        <v/>
      </c>
      <c r="X408" s="18" t="str">
        <f aca="false">IF(U408="","",INDEX('CURVA EDAD'!$E$5:$E$32,MIN(28,MAX(1,N408))))</f>
        <v/>
      </c>
      <c r="Y408" s="16" t="str">
        <f aca="false">IF(V408&lt;&gt;"",V408,IF(U408="","",U408/X408))</f>
        <v/>
      </c>
      <c r="Z408" s="16" t="str">
        <f aca="false">IF(V408&lt;&gt;"",_xlfn.MINIFS(ENSAYOS!$Q$5:$Q$3004,ENSAYOS!$C$5:$C$3004,F408,ENSAYOS!$Q$5:$Q$3004,"&gt;0",ENSAYOS!$G$5:$G$3004,"&gt;="&amp;CONFIG!$B$27),IF(U408="","",_xlfn.MINIFS(ENSAYOS!$Q$5:$Q$3004,ENSAYOS!$C$5:$C$3004,F408,ENSAYOS!$Q$5:$Q$3004,"&gt;0",ENSAYOS!$G$5:$G$3004,N408)/X408))</f>
        <v/>
      </c>
      <c r="AA408" s="16" t="str">
        <f aca="false">IF(D408="","",IFERROR(1/(1/INDEX(CONFIG!$J$5:$J$14,MATCH(D408,CONFIG!$D$5:$D$14,0))),""))</f>
        <v/>
      </c>
      <c r="AB408" s="16" t="str">
        <f aca="false">IF(D408="","",IFERROR(1/(1/INDEX(CONFIG!$K$5:$K$14,MATCH(D408,CONFIG!$D$5:$D$14,0))),""))</f>
        <v/>
      </c>
      <c r="AC408" s="19" t="str">
        <f aca="false">IF(N(M408)=0,"",IF(AA408="","Sin spec",IF(AND(Y408&gt;=AA408,OR(AB408="",Z408&gt;=AB408)),"CUMPLE","NO CUMPLE")&amp;IF(V408=""," (est.)","")))</f>
        <v/>
      </c>
      <c r="AD408" s="20" t="str">
        <f aca="false">IF(F408="","",IF(COUNTIFS(ABSORCION!$C$5:$C$1004,F408,ABSORCION!$I$5:$I$1004,"&gt;0")=0,"",AVERAGEIFS(ABSORCION!$I$5:$I$1004,ABSORCION!$C$5:$C$1004,F408,ABSORCION!$I$5:$I$1004,"&gt;0")))</f>
        <v/>
      </c>
      <c r="AE408" s="20" t="str">
        <f aca="false">IF(F408="","",IF(COUNTIFS(ABSORCION!$C$5:$C$1004,F408,ABSORCION!$I$5:$I$1004,"&gt;0")=0,"",AVERAGEIFS(ABSORCION!$K$5:$K$1004,ABSORCION!$C$5:$C$1004,F408,ABSORCION!$I$5:$I$1004,"&gt;0")))</f>
        <v/>
      </c>
      <c r="AF408" s="20" t="str">
        <f aca="false">IF(AE408="","",IF(AE408&gt;=CONFIG!$E$21,CONFIG!$F$21,IF(AE408&gt;=CONFIG!$E$20,CONFIG!$F$20,CONFIG!$F$19)))</f>
        <v/>
      </c>
      <c r="AG408" s="21" t="str">
        <f aca="false">IF(F408="","",TRIM(IF(N(M408)=0,"Sin ensayos. ","")&amp;IF(AND(N(M408)&gt;0,N(M408)&lt;CONFIG!$B$26),"Menos de "&amp;CONFIG!$B$26&amp;" probetas. ","")&amp;IF(N(T408)&gt;CONFIG!$B$25,"CV alto. ","")&amp;IF(AND(N(AD408)&gt;0,N(AD408)&gt;N(AF408)),"Absorción alta. ","")))</f>
        <v/>
      </c>
      <c r="AH408" s="22" t="str">
        <f aca="false">IF(AND(N(M408)&gt;0,OR(CONTROL!$C$4="TODAS",C408=CONTROL!$C$4),D408=CONTROL!$C$5),MAX($AH$4:AH407)+1,"")</f>
        <v/>
      </c>
      <c r="AI408" s="22" t="str">
        <f aca="false">IF(AH408="","",P408^2)</f>
        <v/>
      </c>
    </row>
    <row r="409" customFormat="false" ht="15" hidden="false" customHeight="false" outlineLevel="0" collapsed="false">
      <c r="A409" s="11" t="str">
        <f aca="false">IF(B409="","",ROW()-4)</f>
        <v/>
      </c>
      <c r="B409" s="12"/>
      <c r="C409" s="13"/>
      <c r="D409" s="13"/>
      <c r="E409" s="13"/>
      <c r="F409" s="14" t="str">
        <f aca="false">IF(OR(B409="",C409="",D409=""),"",IFERROR(INDEX(CONFIG!$E$5:$E$14,MATCH(D409,CONFIG!$D$5:$D$14,0)),"?")&amp;RIGHT("0"&amp;DAY(B409),2)&amp;RIGHT("0"&amp;MONTH(B409),2)&amp;RIGHT(YEAR(B409),2)&amp;C409&amp;IF(E409="","","-"&amp;E409))</f>
        <v/>
      </c>
      <c r="G409" s="13"/>
      <c r="H409" s="13"/>
      <c r="I409" s="13"/>
      <c r="J409" s="13"/>
      <c r="K409" s="13"/>
      <c r="L409" s="13"/>
      <c r="M409" s="11" t="str">
        <f aca="false">IF(F409="","",COUNTIFS(ENSAYOS!$C$5:$C$3004,F409,ENSAYOS!$Q$5:$Q$3004,"&gt;0"))</f>
        <v/>
      </c>
      <c r="N409" s="15" t="str">
        <f aca="false">IF(N(M409)=0,"",_xlfn.MINIFS(ENSAYOS!$G$5:$G$3004,ENSAYOS!$C$5:$C$3004,F409,ENSAYOS!$Q$5:$Q$3004,"&gt;0"))</f>
        <v/>
      </c>
      <c r="O409" s="15" t="str">
        <f aca="false">IF(N(M409)=0,"",_xlfn.MAXIFS(ENSAYOS!$G$5:$G$3004,ENSAYOS!$C$5:$C$3004,F409,ENSAYOS!$Q$5:$Q$3004,"&gt;0"))</f>
        <v/>
      </c>
      <c r="P409" s="16" t="str">
        <f aca="false">IF(N(M409)=0,"",AVERAGEIFS(ENSAYOS!$Q$5:$Q$3004,ENSAYOS!$C$5:$C$3004,F409,ENSAYOS!$Q$5:$Q$3004,"&gt;0"))</f>
        <v/>
      </c>
      <c r="Q409" s="16" t="str">
        <f aca="false">IF(N(M409)=0,"",_xlfn.MINIFS(ENSAYOS!$Q$5:$Q$3004,ENSAYOS!$C$5:$C$3004,F409,ENSAYOS!$Q$5:$Q$3004,"&gt;0"))</f>
        <v/>
      </c>
      <c r="R409" s="16" t="str">
        <f aca="false">IF(N(M409)=0,"",_xlfn.MAXIFS(ENSAYOS!$Q$5:$Q$3004,ENSAYOS!$C$5:$C$3004,F409,ENSAYOS!$Q$5:$Q$3004,"&gt;0"))</f>
        <v/>
      </c>
      <c r="S409" s="16" t="str">
        <f aca="false">IF(N(M409)&lt;2,"",SQRT(MAX(0,(SUMIFS(ENSAYOS!$X$5:$X$3004,ENSAYOS!$C$5:$C$3004,F409,ENSAYOS!$Q$5:$Q$3004,"&gt;0")-M409*P409^2)/(M409-1))))</f>
        <v/>
      </c>
      <c r="T409" s="17" t="str">
        <f aca="false">IF(S409="","",S409/P409)</f>
        <v/>
      </c>
      <c r="U409" s="16" t="str">
        <f aca="false">IF(N(M409)=0,"",IF(N409&gt;=CONFIG!$B$27,"",AVERAGEIFS(ENSAYOS!$Q$5:$Q$3004,ENSAYOS!$C$5:$C$3004,F409,ENSAYOS!$Q$5:$Q$3004,"&gt;0",ENSAYOS!$G$5:$G$3004,N409)))</f>
        <v/>
      </c>
      <c r="V409" s="16" t="str">
        <f aca="false">IF(N(M409)=0,"",IF(COUNTIFS(ENSAYOS!$C$5:$C$3004,F409,ENSAYOS!$Q$5:$Q$3004,"&gt;0",ENSAYOS!$G$5:$G$3004,"&gt;="&amp;CONFIG!$B$27)=0,"",AVERAGEIFS(ENSAYOS!$Q$5:$Q$3004,ENSAYOS!$C$5:$C$3004,F409,ENSAYOS!$Q$5:$Q$3004,"&gt;0",ENSAYOS!$G$5:$G$3004,"&gt;="&amp;CONFIG!$B$27)))</f>
        <v/>
      </c>
      <c r="W409" s="18" t="str">
        <f aca="false">IF(AND(U409&lt;&gt;"",V409&lt;&gt;""),U409/V409,"")</f>
        <v/>
      </c>
      <c r="X409" s="18" t="str">
        <f aca="false">IF(U409="","",INDEX('CURVA EDAD'!$E$5:$E$32,MIN(28,MAX(1,N409))))</f>
        <v/>
      </c>
      <c r="Y409" s="16" t="str">
        <f aca="false">IF(V409&lt;&gt;"",V409,IF(U409="","",U409/X409))</f>
        <v/>
      </c>
      <c r="Z409" s="16" t="str">
        <f aca="false">IF(V409&lt;&gt;"",_xlfn.MINIFS(ENSAYOS!$Q$5:$Q$3004,ENSAYOS!$C$5:$C$3004,F409,ENSAYOS!$Q$5:$Q$3004,"&gt;0",ENSAYOS!$G$5:$G$3004,"&gt;="&amp;CONFIG!$B$27),IF(U409="","",_xlfn.MINIFS(ENSAYOS!$Q$5:$Q$3004,ENSAYOS!$C$5:$C$3004,F409,ENSAYOS!$Q$5:$Q$3004,"&gt;0",ENSAYOS!$G$5:$G$3004,N409)/X409))</f>
        <v/>
      </c>
      <c r="AA409" s="16" t="str">
        <f aca="false">IF(D409="","",IFERROR(1/(1/INDEX(CONFIG!$J$5:$J$14,MATCH(D409,CONFIG!$D$5:$D$14,0))),""))</f>
        <v/>
      </c>
      <c r="AB409" s="16" t="str">
        <f aca="false">IF(D409="","",IFERROR(1/(1/INDEX(CONFIG!$K$5:$K$14,MATCH(D409,CONFIG!$D$5:$D$14,0))),""))</f>
        <v/>
      </c>
      <c r="AC409" s="19" t="str">
        <f aca="false">IF(N(M409)=0,"",IF(AA409="","Sin spec",IF(AND(Y409&gt;=AA409,OR(AB409="",Z409&gt;=AB409)),"CUMPLE","NO CUMPLE")&amp;IF(V409=""," (est.)","")))</f>
        <v/>
      </c>
      <c r="AD409" s="20" t="str">
        <f aca="false">IF(F409="","",IF(COUNTIFS(ABSORCION!$C$5:$C$1004,F409,ABSORCION!$I$5:$I$1004,"&gt;0")=0,"",AVERAGEIFS(ABSORCION!$I$5:$I$1004,ABSORCION!$C$5:$C$1004,F409,ABSORCION!$I$5:$I$1004,"&gt;0")))</f>
        <v/>
      </c>
      <c r="AE409" s="20" t="str">
        <f aca="false">IF(F409="","",IF(COUNTIFS(ABSORCION!$C$5:$C$1004,F409,ABSORCION!$I$5:$I$1004,"&gt;0")=0,"",AVERAGEIFS(ABSORCION!$K$5:$K$1004,ABSORCION!$C$5:$C$1004,F409,ABSORCION!$I$5:$I$1004,"&gt;0")))</f>
        <v/>
      </c>
      <c r="AF409" s="20" t="str">
        <f aca="false">IF(AE409="","",IF(AE409&gt;=CONFIG!$E$21,CONFIG!$F$21,IF(AE409&gt;=CONFIG!$E$20,CONFIG!$F$20,CONFIG!$F$19)))</f>
        <v/>
      </c>
      <c r="AG409" s="21" t="str">
        <f aca="false">IF(F409="","",TRIM(IF(N(M409)=0,"Sin ensayos. ","")&amp;IF(AND(N(M409)&gt;0,N(M409)&lt;CONFIG!$B$26),"Menos de "&amp;CONFIG!$B$26&amp;" probetas. ","")&amp;IF(N(T409)&gt;CONFIG!$B$25,"CV alto. ","")&amp;IF(AND(N(AD409)&gt;0,N(AD409)&gt;N(AF409)),"Absorción alta. ","")))</f>
        <v/>
      </c>
      <c r="AH409" s="22" t="str">
        <f aca="false">IF(AND(N(M409)&gt;0,OR(CONTROL!$C$4="TODAS",C409=CONTROL!$C$4),D409=CONTROL!$C$5),MAX($AH$4:AH408)+1,"")</f>
        <v/>
      </c>
      <c r="AI409" s="22" t="str">
        <f aca="false">IF(AH409="","",P409^2)</f>
        <v/>
      </c>
    </row>
    <row r="410" customFormat="false" ht="15" hidden="false" customHeight="false" outlineLevel="0" collapsed="false">
      <c r="A410" s="11" t="str">
        <f aca="false">IF(B410="","",ROW()-4)</f>
        <v/>
      </c>
      <c r="B410" s="12"/>
      <c r="C410" s="13"/>
      <c r="D410" s="13"/>
      <c r="E410" s="13"/>
      <c r="F410" s="14" t="str">
        <f aca="false">IF(OR(B410="",C410="",D410=""),"",IFERROR(INDEX(CONFIG!$E$5:$E$14,MATCH(D410,CONFIG!$D$5:$D$14,0)),"?")&amp;RIGHT("0"&amp;DAY(B410),2)&amp;RIGHT("0"&amp;MONTH(B410),2)&amp;RIGHT(YEAR(B410),2)&amp;C410&amp;IF(E410="","","-"&amp;E410))</f>
        <v/>
      </c>
      <c r="G410" s="13"/>
      <c r="H410" s="13"/>
      <c r="I410" s="13"/>
      <c r="J410" s="13"/>
      <c r="K410" s="13"/>
      <c r="L410" s="13"/>
      <c r="M410" s="11" t="str">
        <f aca="false">IF(F410="","",COUNTIFS(ENSAYOS!$C$5:$C$3004,F410,ENSAYOS!$Q$5:$Q$3004,"&gt;0"))</f>
        <v/>
      </c>
      <c r="N410" s="15" t="str">
        <f aca="false">IF(N(M410)=0,"",_xlfn.MINIFS(ENSAYOS!$G$5:$G$3004,ENSAYOS!$C$5:$C$3004,F410,ENSAYOS!$Q$5:$Q$3004,"&gt;0"))</f>
        <v/>
      </c>
      <c r="O410" s="15" t="str">
        <f aca="false">IF(N(M410)=0,"",_xlfn.MAXIFS(ENSAYOS!$G$5:$G$3004,ENSAYOS!$C$5:$C$3004,F410,ENSAYOS!$Q$5:$Q$3004,"&gt;0"))</f>
        <v/>
      </c>
      <c r="P410" s="16" t="str">
        <f aca="false">IF(N(M410)=0,"",AVERAGEIFS(ENSAYOS!$Q$5:$Q$3004,ENSAYOS!$C$5:$C$3004,F410,ENSAYOS!$Q$5:$Q$3004,"&gt;0"))</f>
        <v/>
      </c>
      <c r="Q410" s="16" t="str">
        <f aca="false">IF(N(M410)=0,"",_xlfn.MINIFS(ENSAYOS!$Q$5:$Q$3004,ENSAYOS!$C$5:$C$3004,F410,ENSAYOS!$Q$5:$Q$3004,"&gt;0"))</f>
        <v/>
      </c>
      <c r="R410" s="16" t="str">
        <f aca="false">IF(N(M410)=0,"",_xlfn.MAXIFS(ENSAYOS!$Q$5:$Q$3004,ENSAYOS!$C$5:$C$3004,F410,ENSAYOS!$Q$5:$Q$3004,"&gt;0"))</f>
        <v/>
      </c>
      <c r="S410" s="16" t="str">
        <f aca="false">IF(N(M410)&lt;2,"",SQRT(MAX(0,(SUMIFS(ENSAYOS!$X$5:$X$3004,ENSAYOS!$C$5:$C$3004,F410,ENSAYOS!$Q$5:$Q$3004,"&gt;0")-M410*P410^2)/(M410-1))))</f>
        <v/>
      </c>
      <c r="T410" s="17" t="str">
        <f aca="false">IF(S410="","",S410/P410)</f>
        <v/>
      </c>
      <c r="U410" s="16" t="str">
        <f aca="false">IF(N(M410)=0,"",IF(N410&gt;=CONFIG!$B$27,"",AVERAGEIFS(ENSAYOS!$Q$5:$Q$3004,ENSAYOS!$C$5:$C$3004,F410,ENSAYOS!$Q$5:$Q$3004,"&gt;0",ENSAYOS!$G$5:$G$3004,N410)))</f>
        <v/>
      </c>
      <c r="V410" s="16" t="str">
        <f aca="false">IF(N(M410)=0,"",IF(COUNTIFS(ENSAYOS!$C$5:$C$3004,F410,ENSAYOS!$Q$5:$Q$3004,"&gt;0",ENSAYOS!$G$5:$G$3004,"&gt;="&amp;CONFIG!$B$27)=0,"",AVERAGEIFS(ENSAYOS!$Q$5:$Q$3004,ENSAYOS!$C$5:$C$3004,F410,ENSAYOS!$Q$5:$Q$3004,"&gt;0",ENSAYOS!$G$5:$G$3004,"&gt;="&amp;CONFIG!$B$27)))</f>
        <v/>
      </c>
      <c r="W410" s="18" t="str">
        <f aca="false">IF(AND(U410&lt;&gt;"",V410&lt;&gt;""),U410/V410,"")</f>
        <v/>
      </c>
      <c r="X410" s="18" t="str">
        <f aca="false">IF(U410="","",INDEX('CURVA EDAD'!$E$5:$E$32,MIN(28,MAX(1,N410))))</f>
        <v/>
      </c>
      <c r="Y410" s="16" t="str">
        <f aca="false">IF(V410&lt;&gt;"",V410,IF(U410="","",U410/X410))</f>
        <v/>
      </c>
      <c r="Z410" s="16" t="str">
        <f aca="false">IF(V410&lt;&gt;"",_xlfn.MINIFS(ENSAYOS!$Q$5:$Q$3004,ENSAYOS!$C$5:$C$3004,F410,ENSAYOS!$Q$5:$Q$3004,"&gt;0",ENSAYOS!$G$5:$G$3004,"&gt;="&amp;CONFIG!$B$27),IF(U410="","",_xlfn.MINIFS(ENSAYOS!$Q$5:$Q$3004,ENSAYOS!$C$5:$C$3004,F410,ENSAYOS!$Q$5:$Q$3004,"&gt;0",ENSAYOS!$G$5:$G$3004,N410)/X410))</f>
        <v/>
      </c>
      <c r="AA410" s="16" t="str">
        <f aca="false">IF(D410="","",IFERROR(1/(1/INDEX(CONFIG!$J$5:$J$14,MATCH(D410,CONFIG!$D$5:$D$14,0))),""))</f>
        <v/>
      </c>
      <c r="AB410" s="16" t="str">
        <f aca="false">IF(D410="","",IFERROR(1/(1/INDEX(CONFIG!$K$5:$K$14,MATCH(D410,CONFIG!$D$5:$D$14,0))),""))</f>
        <v/>
      </c>
      <c r="AC410" s="19" t="str">
        <f aca="false">IF(N(M410)=0,"",IF(AA410="","Sin spec",IF(AND(Y410&gt;=AA410,OR(AB410="",Z410&gt;=AB410)),"CUMPLE","NO CUMPLE")&amp;IF(V410=""," (est.)","")))</f>
        <v/>
      </c>
      <c r="AD410" s="20" t="str">
        <f aca="false">IF(F410="","",IF(COUNTIFS(ABSORCION!$C$5:$C$1004,F410,ABSORCION!$I$5:$I$1004,"&gt;0")=0,"",AVERAGEIFS(ABSORCION!$I$5:$I$1004,ABSORCION!$C$5:$C$1004,F410,ABSORCION!$I$5:$I$1004,"&gt;0")))</f>
        <v/>
      </c>
      <c r="AE410" s="20" t="str">
        <f aca="false">IF(F410="","",IF(COUNTIFS(ABSORCION!$C$5:$C$1004,F410,ABSORCION!$I$5:$I$1004,"&gt;0")=0,"",AVERAGEIFS(ABSORCION!$K$5:$K$1004,ABSORCION!$C$5:$C$1004,F410,ABSORCION!$I$5:$I$1004,"&gt;0")))</f>
        <v/>
      </c>
      <c r="AF410" s="20" t="str">
        <f aca="false">IF(AE410="","",IF(AE410&gt;=CONFIG!$E$21,CONFIG!$F$21,IF(AE410&gt;=CONFIG!$E$20,CONFIG!$F$20,CONFIG!$F$19)))</f>
        <v/>
      </c>
      <c r="AG410" s="21" t="str">
        <f aca="false">IF(F410="","",TRIM(IF(N(M410)=0,"Sin ensayos. ","")&amp;IF(AND(N(M410)&gt;0,N(M410)&lt;CONFIG!$B$26),"Menos de "&amp;CONFIG!$B$26&amp;" probetas. ","")&amp;IF(N(T410)&gt;CONFIG!$B$25,"CV alto. ","")&amp;IF(AND(N(AD410)&gt;0,N(AD410)&gt;N(AF410)),"Absorción alta. ","")))</f>
        <v/>
      </c>
      <c r="AH410" s="22" t="str">
        <f aca="false">IF(AND(N(M410)&gt;0,OR(CONTROL!$C$4="TODAS",C410=CONTROL!$C$4),D410=CONTROL!$C$5),MAX($AH$4:AH409)+1,"")</f>
        <v/>
      </c>
      <c r="AI410" s="22" t="str">
        <f aca="false">IF(AH410="","",P410^2)</f>
        <v/>
      </c>
    </row>
    <row r="411" customFormat="false" ht="15" hidden="false" customHeight="false" outlineLevel="0" collapsed="false">
      <c r="A411" s="11" t="str">
        <f aca="false">IF(B411="","",ROW()-4)</f>
        <v/>
      </c>
      <c r="B411" s="12"/>
      <c r="C411" s="13"/>
      <c r="D411" s="13"/>
      <c r="E411" s="13"/>
      <c r="F411" s="14" t="str">
        <f aca="false">IF(OR(B411="",C411="",D411=""),"",IFERROR(INDEX(CONFIG!$E$5:$E$14,MATCH(D411,CONFIG!$D$5:$D$14,0)),"?")&amp;RIGHT("0"&amp;DAY(B411),2)&amp;RIGHT("0"&amp;MONTH(B411),2)&amp;RIGHT(YEAR(B411),2)&amp;C411&amp;IF(E411="","","-"&amp;E411))</f>
        <v/>
      </c>
      <c r="G411" s="13"/>
      <c r="H411" s="13"/>
      <c r="I411" s="13"/>
      <c r="J411" s="13"/>
      <c r="K411" s="13"/>
      <c r="L411" s="13"/>
      <c r="M411" s="11" t="str">
        <f aca="false">IF(F411="","",COUNTIFS(ENSAYOS!$C$5:$C$3004,F411,ENSAYOS!$Q$5:$Q$3004,"&gt;0"))</f>
        <v/>
      </c>
      <c r="N411" s="15" t="str">
        <f aca="false">IF(N(M411)=0,"",_xlfn.MINIFS(ENSAYOS!$G$5:$G$3004,ENSAYOS!$C$5:$C$3004,F411,ENSAYOS!$Q$5:$Q$3004,"&gt;0"))</f>
        <v/>
      </c>
      <c r="O411" s="15" t="str">
        <f aca="false">IF(N(M411)=0,"",_xlfn.MAXIFS(ENSAYOS!$G$5:$G$3004,ENSAYOS!$C$5:$C$3004,F411,ENSAYOS!$Q$5:$Q$3004,"&gt;0"))</f>
        <v/>
      </c>
      <c r="P411" s="16" t="str">
        <f aca="false">IF(N(M411)=0,"",AVERAGEIFS(ENSAYOS!$Q$5:$Q$3004,ENSAYOS!$C$5:$C$3004,F411,ENSAYOS!$Q$5:$Q$3004,"&gt;0"))</f>
        <v/>
      </c>
      <c r="Q411" s="16" t="str">
        <f aca="false">IF(N(M411)=0,"",_xlfn.MINIFS(ENSAYOS!$Q$5:$Q$3004,ENSAYOS!$C$5:$C$3004,F411,ENSAYOS!$Q$5:$Q$3004,"&gt;0"))</f>
        <v/>
      </c>
      <c r="R411" s="16" t="str">
        <f aca="false">IF(N(M411)=0,"",_xlfn.MAXIFS(ENSAYOS!$Q$5:$Q$3004,ENSAYOS!$C$5:$C$3004,F411,ENSAYOS!$Q$5:$Q$3004,"&gt;0"))</f>
        <v/>
      </c>
      <c r="S411" s="16" t="str">
        <f aca="false">IF(N(M411)&lt;2,"",SQRT(MAX(0,(SUMIFS(ENSAYOS!$X$5:$X$3004,ENSAYOS!$C$5:$C$3004,F411,ENSAYOS!$Q$5:$Q$3004,"&gt;0")-M411*P411^2)/(M411-1))))</f>
        <v/>
      </c>
      <c r="T411" s="17" t="str">
        <f aca="false">IF(S411="","",S411/P411)</f>
        <v/>
      </c>
      <c r="U411" s="16" t="str">
        <f aca="false">IF(N(M411)=0,"",IF(N411&gt;=CONFIG!$B$27,"",AVERAGEIFS(ENSAYOS!$Q$5:$Q$3004,ENSAYOS!$C$5:$C$3004,F411,ENSAYOS!$Q$5:$Q$3004,"&gt;0",ENSAYOS!$G$5:$G$3004,N411)))</f>
        <v/>
      </c>
      <c r="V411" s="16" t="str">
        <f aca="false">IF(N(M411)=0,"",IF(COUNTIFS(ENSAYOS!$C$5:$C$3004,F411,ENSAYOS!$Q$5:$Q$3004,"&gt;0",ENSAYOS!$G$5:$G$3004,"&gt;="&amp;CONFIG!$B$27)=0,"",AVERAGEIFS(ENSAYOS!$Q$5:$Q$3004,ENSAYOS!$C$5:$C$3004,F411,ENSAYOS!$Q$5:$Q$3004,"&gt;0",ENSAYOS!$G$5:$G$3004,"&gt;="&amp;CONFIG!$B$27)))</f>
        <v/>
      </c>
      <c r="W411" s="18" t="str">
        <f aca="false">IF(AND(U411&lt;&gt;"",V411&lt;&gt;""),U411/V411,"")</f>
        <v/>
      </c>
      <c r="X411" s="18" t="str">
        <f aca="false">IF(U411="","",INDEX('CURVA EDAD'!$E$5:$E$32,MIN(28,MAX(1,N411))))</f>
        <v/>
      </c>
      <c r="Y411" s="16" t="str">
        <f aca="false">IF(V411&lt;&gt;"",V411,IF(U411="","",U411/X411))</f>
        <v/>
      </c>
      <c r="Z411" s="16" t="str">
        <f aca="false">IF(V411&lt;&gt;"",_xlfn.MINIFS(ENSAYOS!$Q$5:$Q$3004,ENSAYOS!$C$5:$C$3004,F411,ENSAYOS!$Q$5:$Q$3004,"&gt;0",ENSAYOS!$G$5:$G$3004,"&gt;="&amp;CONFIG!$B$27),IF(U411="","",_xlfn.MINIFS(ENSAYOS!$Q$5:$Q$3004,ENSAYOS!$C$5:$C$3004,F411,ENSAYOS!$Q$5:$Q$3004,"&gt;0",ENSAYOS!$G$5:$G$3004,N411)/X411))</f>
        <v/>
      </c>
      <c r="AA411" s="16" t="str">
        <f aca="false">IF(D411="","",IFERROR(1/(1/INDEX(CONFIG!$J$5:$J$14,MATCH(D411,CONFIG!$D$5:$D$14,0))),""))</f>
        <v/>
      </c>
      <c r="AB411" s="16" t="str">
        <f aca="false">IF(D411="","",IFERROR(1/(1/INDEX(CONFIG!$K$5:$K$14,MATCH(D411,CONFIG!$D$5:$D$14,0))),""))</f>
        <v/>
      </c>
      <c r="AC411" s="19" t="str">
        <f aca="false">IF(N(M411)=0,"",IF(AA411="","Sin spec",IF(AND(Y411&gt;=AA411,OR(AB411="",Z411&gt;=AB411)),"CUMPLE","NO CUMPLE")&amp;IF(V411=""," (est.)","")))</f>
        <v/>
      </c>
      <c r="AD411" s="20" t="str">
        <f aca="false">IF(F411="","",IF(COUNTIFS(ABSORCION!$C$5:$C$1004,F411,ABSORCION!$I$5:$I$1004,"&gt;0")=0,"",AVERAGEIFS(ABSORCION!$I$5:$I$1004,ABSORCION!$C$5:$C$1004,F411,ABSORCION!$I$5:$I$1004,"&gt;0")))</f>
        <v/>
      </c>
      <c r="AE411" s="20" t="str">
        <f aca="false">IF(F411="","",IF(COUNTIFS(ABSORCION!$C$5:$C$1004,F411,ABSORCION!$I$5:$I$1004,"&gt;0")=0,"",AVERAGEIFS(ABSORCION!$K$5:$K$1004,ABSORCION!$C$5:$C$1004,F411,ABSORCION!$I$5:$I$1004,"&gt;0")))</f>
        <v/>
      </c>
      <c r="AF411" s="20" t="str">
        <f aca="false">IF(AE411="","",IF(AE411&gt;=CONFIG!$E$21,CONFIG!$F$21,IF(AE411&gt;=CONFIG!$E$20,CONFIG!$F$20,CONFIG!$F$19)))</f>
        <v/>
      </c>
      <c r="AG411" s="21" t="str">
        <f aca="false">IF(F411="","",TRIM(IF(N(M411)=0,"Sin ensayos. ","")&amp;IF(AND(N(M411)&gt;0,N(M411)&lt;CONFIG!$B$26),"Menos de "&amp;CONFIG!$B$26&amp;" probetas. ","")&amp;IF(N(T411)&gt;CONFIG!$B$25,"CV alto. ","")&amp;IF(AND(N(AD411)&gt;0,N(AD411)&gt;N(AF411)),"Absorción alta. ","")))</f>
        <v/>
      </c>
      <c r="AH411" s="22" t="str">
        <f aca="false">IF(AND(N(M411)&gt;0,OR(CONTROL!$C$4="TODAS",C411=CONTROL!$C$4),D411=CONTROL!$C$5),MAX($AH$4:AH410)+1,"")</f>
        <v/>
      </c>
      <c r="AI411" s="22" t="str">
        <f aca="false">IF(AH411="","",P411^2)</f>
        <v/>
      </c>
    </row>
    <row r="412" customFormat="false" ht="15" hidden="false" customHeight="false" outlineLevel="0" collapsed="false">
      <c r="A412" s="11" t="str">
        <f aca="false">IF(B412="","",ROW()-4)</f>
        <v/>
      </c>
      <c r="B412" s="12"/>
      <c r="C412" s="13"/>
      <c r="D412" s="13"/>
      <c r="E412" s="13"/>
      <c r="F412" s="14" t="str">
        <f aca="false">IF(OR(B412="",C412="",D412=""),"",IFERROR(INDEX(CONFIG!$E$5:$E$14,MATCH(D412,CONFIG!$D$5:$D$14,0)),"?")&amp;RIGHT("0"&amp;DAY(B412),2)&amp;RIGHT("0"&amp;MONTH(B412),2)&amp;RIGHT(YEAR(B412),2)&amp;C412&amp;IF(E412="","","-"&amp;E412))</f>
        <v/>
      </c>
      <c r="G412" s="13"/>
      <c r="H412" s="13"/>
      <c r="I412" s="13"/>
      <c r="J412" s="13"/>
      <c r="K412" s="13"/>
      <c r="L412" s="13"/>
      <c r="M412" s="11" t="str">
        <f aca="false">IF(F412="","",COUNTIFS(ENSAYOS!$C$5:$C$3004,F412,ENSAYOS!$Q$5:$Q$3004,"&gt;0"))</f>
        <v/>
      </c>
      <c r="N412" s="15" t="str">
        <f aca="false">IF(N(M412)=0,"",_xlfn.MINIFS(ENSAYOS!$G$5:$G$3004,ENSAYOS!$C$5:$C$3004,F412,ENSAYOS!$Q$5:$Q$3004,"&gt;0"))</f>
        <v/>
      </c>
      <c r="O412" s="15" t="str">
        <f aca="false">IF(N(M412)=0,"",_xlfn.MAXIFS(ENSAYOS!$G$5:$G$3004,ENSAYOS!$C$5:$C$3004,F412,ENSAYOS!$Q$5:$Q$3004,"&gt;0"))</f>
        <v/>
      </c>
      <c r="P412" s="16" t="str">
        <f aca="false">IF(N(M412)=0,"",AVERAGEIFS(ENSAYOS!$Q$5:$Q$3004,ENSAYOS!$C$5:$C$3004,F412,ENSAYOS!$Q$5:$Q$3004,"&gt;0"))</f>
        <v/>
      </c>
      <c r="Q412" s="16" t="str">
        <f aca="false">IF(N(M412)=0,"",_xlfn.MINIFS(ENSAYOS!$Q$5:$Q$3004,ENSAYOS!$C$5:$C$3004,F412,ENSAYOS!$Q$5:$Q$3004,"&gt;0"))</f>
        <v/>
      </c>
      <c r="R412" s="16" t="str">
        <f aca="false">IF(N(M412)=0,"",_xlfn.MAXIFS(ENSAYOS!$Q$5:$Q$3004,ENSAYOS!$C$5:$C$3004,F412,ENSAYOS!$Q$5:$Q$3004,"&gt;0"))</f>
        <v/>
      </c>
      <c r="S412" s="16" t="str">
        <f aca="false">IF(N(M412)&lt;2,"",SQRT(MAX(0,(SUMIFS(ENSAYOS!$X$5:$X$3004,ENSAYOS!$C$5:$C$3004,F412,ENSAYOS!$Q$5:$Q$3004,"&gt;0")-M412*P412^2)/(M412-1))))</f>
        <v/>
      </c>
      <c r="T412" s="17" t="str">
        <f aca="false">IF(S412="","",S412/P412)</f>
        <v/>
      </c>
      <c r="U412" s="16" t="str">
        <f aca="false">IF(N(M412)=0,"",IF(N412&gt;=CONFIG!$B$27,"",AVERAGEIFS(ENSAYOS!$Q$5:$Q$3004,ENSAYOS!$C$5:$C$3004,F412,ENSAYOS!$Q$5:$Q$3004,"&gt;0",ENSAYOS!$G$5:$G$3004,N412)))</f>
        <v/>
      </c>
      <c r="V412" s="16" t="str">
        <f aca="false">IF(N(M412)=0,"",IF(COUNTIFS(ENSAYOS!$C$5:$C$3004,F412,ENSAYOS!$Q$5:$Q$3004,"&gt;0",ENSAYOS!$G$5:$G$3004,"&gt;="&amp;CONFIG!$B$27)=0,"",AVERAGEIFS(ENSAYOS!$Q$5:$Q$3004,ENSAYOS!$C$5:$C$3004,F412,ENSAYOS!$Q$5:$Q$3004,"&gt;0",ENSAYOS!$G$5:$G$3004,"&gt;="&amp;CONFIG!$B$27)))</f>
        <v/>
      </c>
      <c r="W412" s="18" t="str">
        <f aca="false">IF(AND(U412&lt;&gt;"",V412&lt;&gt;""),U412/V412,"")</f>
        <v/>
      </c>
      <c r="X412" s="18" t="str">
        <f aca="false">IF(U412="","",INDEX('CURVA EDAD'!$E$5:$E$32,MIN(28,MAX(1,N412))))</f>
        <v/>
      </c>
      <c r="Y412" s="16" t="str">
        <f aca="false">IF(V412&lt;&gt;"",V412,IF(U412="","",U412/X412))</f>
        <v/>
      </c>
      <c r="Z412" s="16" t="str">
        <f aca="false">IF(V412&lt;&gt;"",_xlfn.MINIFS(ENSAYOS!$Q$5:$Q$3004,ENSAYOS!$C$5:$C$3004,F412,ENSAYOS!$Q$5:$Q$3004,"&gt;0",ENSAYOS!$G$5:$G$3004,"&gt;="&amp;CONFIG!$B$27),IF(U412="","",_xlfn.MINIFS(ENSAYOS!$Q$5:$Q$3004,ENSAYOS!$C$5:$C$3004,F412,ENSAYOS!$Q$5:$Q$3004,"&gt;0",ENSAYOS!$G$5:$G$3004,N412)/X412))</f>
        <v/>
      </c>
      <c r="AA412" s="16" t="str">
        <f aca="false">IF(D412="","",IFERROR(1/(1/INDEX(CONFIG!$J$5:$J$14,MATCH(D412,CONFIG!$D$5:$D$14,0))),""))</f>
        <v/>
      </c>
      <c r="AB412" s="16" t="str">
        <f aca="false">IF(D412="","",IFERROR(1/(1/INDEX(CONFIG!$K$5:$K$14,MATCH(D412,CONFIG!$D$5:$D$14,0))),""))</f>
        <v/>
      </c>
      <c r="AC412" s="19" t="str">
        <f aca="false">IF(N(M412)=0,"",IF(AA412="","Sin spec",IF(AND(Y412&gt;=AA412,OR(AB412="",Z412&gt;=AB412)),"CUMPLE","NO CUMPLE")&amp;IF(V412=""," (est.)","")))</f>
        <v/>
      </c>
      <c r="AD412" s="20" t="str">
        <f aca="false">IF(F412="","",IF(COUNTIFS(ABSORCION!$C$5:$C$1004,F412,ABSORCION!$I$5:$I$1004,"&gt;0")=0,"",AVERAGEIFS(ABSORCION!$I$5:$I$1004,ABSORCION!$C$5:$C$1004,F412,ABSORCION!$I$5:$I$1004,"&gt;0")))</f>
        <v/>
      </c>
      <c r="AE412" s="20" t="str">
        <f aca="false">IF(F412="","",IF(COUNTIFS(ABSORCION!$C$5:$C$1004,F412,ABSORCION!$I$5:$I$1004,"&gt;0")=0,"",AVERAGEIFS(ABSORCION!$K$5:$K$1004,ABSORCION!$C$5:$C$1004,F412,ABSORCION!$I$5:$I$1004,"&gt;0")))</f>
        <v/>
      </c>
      <c r="AF412" s="20" t="str">
        <f aca="false">IF(AE412="","",IF(AE412&gt;=CONFIG!$E$21,CONFIG!$F$21,IF(AE412&gt;=CONFIG!$E$20,CONFIG!$F$20,CONFIG!$F$19)))</f>
        <v/>
      </c>
      <c r="AG412" s="21" t="str">
        <f aca="false">IF(F412="","",TRIM(IF(N(M412)=0,"Sin ensayos. ","")&amp;IF(AND(N(M412)&gt;0,N(M412)&lt;CONFIG!$B$26),"Menos de "&amp;CONFIG!$B$26&amp;" probetas. ","")&amp;IF(N(T412)&gt;CONFIG!$B$25,"CV alto. ","")&amp;IF(AND(N(AD412)&gt;0,N(AD412)&gt;N(AF412)),"Absorción alta. ","")))</f>
        <v/>
      </c>
      <c r="AH412" s="22" t="str">
        <f aca="false">IF(AND(N(M412)&gt;0,OR(CONTROL!$C$4="TODAS",C412=CONTROL!$C$4),D412=CONTROL!$C$5),MAX($AH$4:AH411)+1,"")</f>
        <v/>
      </c>
      <c r="AI412" s="22" t="str">
        <f aca="false">IF(AH412="","",P412^2)</f>
        <v/>
      </c>
    </row>
    <row r="413" customFormat="false" ht="15" hidden="false" customHeight="false" outlineLevel="0" collapsed="false">
      <c r="A413" s="11" t="str">
        <f aca="false">IF(B413="","",ROW()-4)</f>
        <v/>
      </c>
      <c r="B413" s="12"/>
      <c r="C413" s="13"/>
      <c r="D413" s="13"/>
      <c r="E413" s="13"/>
      <c r="F413" s="14" t="str">
        <f aca="false">IF(OR(B413="",C413="",D413=""),"",IFERROR(INDEX(CONFIG!$E$5:$E$14,MATCH(D413,CONFIG!$D$5:$D$14,0)),"?")&amp;RIGHT("0"&amp;DAY(B413),2)&amp;RIGHT("0"&amp;MONTH(B413),2)&amp;RIGHT(YEAR(B413),2)&amp;C413&amp;IF(E413="","","-"&amp;E413))</f>
        <v/>
      </c>
      <c r="G413" s="13"/>
      <c r="H413" s="13"/>
      <c r="I413" s="13"/>
      <c r="J413" s="13"/>
      <c r="K413" s="13"/>
      <c r="L413" s="13"/>
      <c r="M413" s="11" t="str">
        <f aca="false">IF(F413="","",COUNTIFS(ENSAYOS!$C$5:$C$3004,F413,ENSAYOS!$Q$5:$Q$3004,"&gt;0"))</f>
        <v/>
      </c>
      <c r="N413" s="15" t="str">
        <f aca="false">IF(N(M413)=0,"",_xlfn.MINIFS(ENSAYOS!$G$5:$G$3004,ENSAYOS!$C$5:$C$3004,F413,ENSAYOS!$Q$5:$Q$3004,"&gt;0"))</f>
        <v/>
      </c>
      <c r="O413" s="15" t="str">
        <f aca="false">IF(N(M413)=0,"",_xlfn.MAXIFS(ENSAYOS!$G$5:$G$3004,ENSAYOS!$C$5:$C$3004,F413,ENSAYOS!$Q$5:$Q$3004,"&gt;0"))</f>
        <v/>
      </c>
      <c r="P413" s="16" t="str">
        <f aca="false">IF(N(M413)=0,"",AVERAGEIFS(ENSAYOS!$Q$5:$Q$3004,ENSAYOS!$C$5:$C$3004,F413,ENSAYOS!$Q$5:$Q$3004,"&gt;0"))</f>
        <v/>
      </c>
      <c r="Q413" s="16" t="str">
        <f aca="false">IF(N(M413)=0,"",_xlfn.MINIFS(ENSAYOS!$Q$5:$Q$3004,ENSAYOS!$C$5:$C$3004,F413,ENSAYOS!$Q$5:$Q$3004,"&gt;0"))</f>
        <v/>
      </c>
      <c r="R413" s="16" t="str">
        <f aca="false">IF(N(M413)=0,"",_xlfn.MAXIFS(ENSAYOS!$Q$5:$Q$3004,ENSAYOS!$C$5:$C$3004,F413,ENSAYOS!$Q$5:$Q$3004,"&gt;0"))</f>
        <v/>
      </c>
      <c r="S413" s="16" t="str">
        <f aca="false">IF(N(M413)&lt;2,"",SQRT(MAX(0,(SUMIFS(ENSAYOS!$X$5:$X$3004,ENSAYOS!$C$5:$C$3004,F413,ENSAYOS!$Q$5:$Q$3004,"&gt;0")-M413*P413^2)/(M413-1))))</f>
        <v/>
      </c>
      <c r="T413" s="17" t="str">
        <f aca="false">IF(S413="","",S413/P413)</f>
        <v/>
      </c>
      <c r="U413" s="16" t="str">
        <f aca="false">IF(N(M413)=0,"",IF(N413&gt;=CONFIG!$B$27,"",AVERAGEIFS(ENSAYOS!$Q$5:$Q$3004,ENSAYOS!$C$5:$C$3004,F413,ENSAYOS!$Q$5:$Q$3004,"&gt;0",ENSAYOS!$G$5:$G$3004,N413)))</f>
        <v/>
      </c>
      <c r="V413" s="16" t="str">
        <f aca="false">IF(N(M413)=0,"",IF(COUNTIFS(ENSAYOS!$C$5:$C$3004,F413,ENSAYOS!$Q$5:$Q$3004,"&gt;0",ENSAYOS!$G$5:$G$3004,"&gt;="&amp;CONFIG!$B$27)=0,"",AVERAGEIFS(ENSAYOS!$Q$5:$Q$3004,ENSAYOS!$C$5:$C$3004,F413,ENSAYOS!$Q$5:$Q$3004,"&gt;0",ENSAYOS!$G$5:$G$3004,"&gt;="&amp;CONFIG!$B$27)))</f>
        <v/>
      </c>
      <c r="W413" s="18" t="str">
        <f aca="false">IF(AND(U413&lt;&gt;"",V413&lt;&gt;""),U413/V413,"")</f>
        <v/>
      </c>
      <c r="X413" s="18" t="str">
        <f aca="false">IF(U413="","",INDEX('CURVA EDAD'!$E$5:$E$32,MIN(28,MAX(1,N413))))</f>
        <v/>
      </c>
      <c r="Y413" s="16" t="str">
        <f aca="false">IF(V413&lt;&gt;"",V413,IF(U413="","",U413/X413))</f>
        <v/>
      </c>
      <c r="Z413" s="16" t="str">
        <f aca="false">IF(V413&lt;&gt;"",_xlfn.MINIFS(ENSAYOS!$Q$5:$Q$3004,ENSAYOS!$C$5:$C$3004,F413,ENSAYOS!$Q$5:$Q$3004,"&gt;0",ENSAYOS!$G$5:$G$3004,"&gt;="&amp;CONFIG!$B$27),IF(U413="","",_xlfn.MINIFS(ENSAYOS!$Q$5:$Q$3004,ENSAYOS!$C$5:$C$3004,F413,ENSAYOS!$Q$5:$Q$3004,"&gt;0",ENSAYOS!$G$5:$G$3004,N413)/X413))</f>
        <v/>
      </c>
      <c r="AA413" s="16" t="str">
        <f aca="false">IF(D413="","",IFERROR(1/(1/INDEX(CONFIG!$J$5:$J$14,MATCH(D413,CONFIG!$D$5:$D$14,0))),""))</f>
        <v/>
      </c>
      <c r="AB413" s="16" t="str">
        <f aca="false">IF(D413="","",IFERROR(1/(1/INDEX(CONFIG!$K$5:$K$14,MATCH(D413,CONFIG!$D$5:$D$14,0))),""))</f>
        <v/>
      </c>
      <c r="AC413" s="19" t="str">
        <f aca="false">IF(N(M413)=0,"",IF(AA413="","Sin spec",IF(AND(Y413&gt;=AA413,OR(AB413="",Z413&gt;=AB413)),"CUMPLE","NO CUMPLE")&amp;IF(V413=""," (est.)","")))</f>
        <v/>
      </c>
      <c r="AD413" s="20" t="str">
        <f aca="false">IF(F413="","",IF(COUNTIFS(ABSORCION!$C$5:$C$1004,F413,ABSORCION!$I$5:$I$1004,"&gt;0")=0,"",AVERAGEIFS(ABSORCION!$I$5:$I$1004,ABSORCION!$C$5:$C$1004,F413,ABSORCION!$I$5:$I$1004,"&gt;0")))</f>
        <v/>
      </c>
      <c r="AE413" s="20" t="str">
        <f aca="false">IF(F413="","",IF(COUNTIFS(ABSORCION!$C$5:$C$1004,F413,ABSORCION!$I$5:$I$1004,"&gt;0")=0,"",AVERAGEIFS(ABSORCION!$K$5:$K$1004,ABSORCION!$C$5:$C$1004,F413,ABSORCION!$I$5:$I$1004,"&gt;0")))</f>
        <v/>
      </c>
      <c r="AF413" s="20" t="str">
        <f aca="false">IF(AE413="","",IF(AE413&gt;=CONFIG!$E$21,CONFIG!$F$21,IF(AE413&gt;=CONFIG!$E$20,CONFIG!$F$20,CONFIG!$F$19)))</f>
        <v/>
      </c>
      <c r="AG413" s="21" t="str">
        <f aca="false">IF(F413="","",TRIM(IF(N(M413)=0,"Sin ensayos. ","")&amp;IF(AND(N(M413)&gt;0,N(M413)&lt;CONFIG!$B$26),"Menos de "&amp;CONFIG!$B$26&amp;" probetas. ","")&amp;IF(N(T413)&gt;CONFIG!$B$25,"CV alto. ","")&amp;IF(AND(N(AD413)&gt;0,N(AD413)&gt;N(AF413)),"Absorción alta. ","")))</f>
        <v/>
      </c>
      <c r="AH413" s="22" t="str">
        <f aca="false">IF(AND(N(M413)&gt;0,OR(CONTROL!$C$4="TODAS",C413=CONTROL!$C$4),D413=CONTROL!$C$5),MAX($AH$4:AH412)+1,"")</f>
        <v/>
      </c>
      <c r="AI413" s="22" t="str">
        <f aca="false">IF(AH413="","",P413^2)</f>
        <v/>
      </c>
    </row>
    <row r="414" customFormat="false" ht="15" hidden="false" customHeight="false" outlineLevel="0" collapsed="false">
      <c r="A414" s="11" t="str">
        <f aca="false">IF(B414="","",ROW()-4)</f>
        <v/>
      </c>
      <c r="B414" s="12"/>
      <c r="C414" s="13"/>
      <c r="D414" s="13"/>
      <c r="E414" s="13"/>
      <c r="F414" s="14" t="str">
        <f aca="false">IF(OR(B414="",C414="",D414=""),"",IFERROR(INDEX(CONFIG!$E$5:$E$14,MATCH(D414,CONFIG!$D$5:$D$14,0)),"?")&amp;RIGHT("0"&amp;DAY(B414),2)&amp;RIGHT("0"&amp;MONTH(B414),2)&amp;RIGHT(YEAR(B414),2)&amp;C414&amp;IF(E414="","","-"&amp;E414))</f>
        <v/>
      </c>
      <c r="G414" s="13"/>
      <c r="H414" s="13"/>
      <c r="I414" s="13"/>
      <c r="J414" s="13"/>
      <c r="K414" s="13"/>
      <c r="L414" s="13"/>
      <c r="M414" s="11" t="str">
        <f aca="false">IF(F414="","",COUNTIFS(ENSAYOS!$C$5:$C$3004,F414,ENSAYOS!$Q$5:$Q$3004,"&gt;0"))</f>
        <v/>
      </c>
      <c r="N414" s="15" t="str">
        <f aca="false">IF(N(M414)=0,"",_xlfn.MINIFS(ENSAYOS!$G$5:$G$3004,ENSAYOS!$C$5:$C$3004,F414,ENSAYOS!$Q$5:$Q$3004,"&gt;0"))</f>
        <v/>
      </c>
      <c r="O414" s="15" t="str">
        <f aca="false">IF(N(M414)=0,"",_xlfn.MAXIFS(ENSAYOS!$G$5:$G$3004,ENSAYOS!$C$5:$C$3004,F414,ENSAYOS!$Q$5:$Q$3004,"&gt;0"))</f>
        <v/>
      </c>
      <c r="P414" s="16" t="str">
        <f aca="false">IF(N(M414)=0,"",AVERAGEIFS(ENSAYOS!$Q$5:$Q$3004,ENSAYOS!$C$5:$C$3004,F414,ENSAYOS!$Q$5:$Q$3004,"&gt;0"))</f>
        <v/>
      </c>
      <c r="Q414" s="16" t="str">
        <f aca="false">IF(N(M414)=0,"",_xlfn.MINIFS(ENSAYOS!$Q$5:$Q$3004,ENSAYOS!$C$5:$C$3004,F414,ENSAYOS!$Q$5:$Q$3004,"&gt;0"))</f>
        <v/>
      </c>
      <c r="R414" s="16" t="str">
        <f aca="false">IF(N(M414)=0,"",_xlfn.MAXIFS(ENSAYOS!$Q$5:$Q$3004,ENSAYOS!$C$5:$C$3004,F414,ENSAYOS!$Q$5:$Q$3004,"&gt;0"))</f>
        <v/>
      </c>
      <c r="S414" s="16" t="str">
        <f aca="false">IF(N(M414)&lt;2,"",SQRT(MAX(0,(SUMIFS(ENSAYOS!$X$5:$X$3004,ENSAYOS!$C$5:$C$3004,F414,ENSAYOS!$Q$5:$Q$3004,"&gt;0")-M414*P414^2)/(M414-1))))</f>
        <v/>
      </c>
      <c r="T414" s="17" t="str">
        <f aca="false">IF(S414="","",S414/P414)</f>
        <v/>
      </c>
      <c r="U414" s="16" t="str">
        <f aca="false">IF(N(M414)=0,"",IF(N414&gt;=CONFIG!$B$27,"",AVERAGEIFS(ENSAYOS!$Q$5:$Q$3004,ENSAYOS!$C$5:$C$3004,F414,ENSAYOS!$Q$5:$Q$3004,"&gt;0",ENSAYOS!$G$5:$G$3004,N414)))</f>
        <v/>
      </c>
      <c r="V414" s="16" t="str">
        <f aca="false">IF(N(M414)=0,"",IF(COUNTIFS(ENSAYOS!$C$5:$C$3004,F414,ENSAYOS!$Q$5:$Q$3004,"&gt;0",ENSAYOS!$G$5:$G$3004,"&gt;="&amp;CONFIG!$B$27)=0,"",AVERAGEIFS(ENSAYOS!$Q$5:$Q$3004,ENSAYOS!$C$5:$C$3004,F414,ENSAYOS!$Q$5:$Q$3004,"&gt;0",ENSAYOS!$G$5:$G$3004,"&gt;="&amp;CONFIG!$B$27)))</f>
        <v/>
      </c>
      <c r="W414" s="18" t="str">
        <f aca="false">IF(AND(U414&lt;&gt;"",V414&lt;&gt;""),U414/V414,"")</f>
        <v/>
      </c>
      <c r="X414" s="18" t="str">
        <f aca="false">IF(U414="","",INDEX('CURVA EDAD'!$E$5:$E$32,MIN(28,MAX(1,N414))))</f>
        <v/>
      </c>
      <c r="Y414" s="16" t="str">
        <f aca="false">IF(V414&lt;&gt;"",V414,IF(U414="","",U414/X414))</f>
        <v/>
      </c>
      <c r="Z414" s="16" t="str">
        <f aca="false">IF(V414&lt;&gt;"",_xlfn.MINIFS(ENSAYOS!$Q$5:$Q$3004,ENSAYOS!$C$5:$C$3004,F414,ENSAYOS!$Q$5:$Q$3004,"&gt;0",ENSAYOS!$G$5:$G$3004,"&gt;="&amp;CONFIG!$B$27),IF(U414="","",_xlfn.MINIFS(ENSAYOS!$Q$5:$Q$3004,ENSAYOS!$C$5:$C$3004,F414,ENSAYOS!$Q$5:$Q$3004,"&gt;0",ENSAYOS!$G$5:$G$3004,N414)/X414))</f>
        <v/>
      </c>
      <c r="AA414" s="16" t="str">
        <f aca="false">IF(D414="","",IFERROR(1/(1/INDEX(CONFIG!$J$5:$J$14,MATCH(D414,CONFIG!$D$5:$D$14,0))),""))</f>
        <v/>
      </c>
      <c r="AB414" s="16" t="str">
        <f aca="false">IF(D414="","",IFERROR(1/(1/INDEX(CONFIG!$K$5:$K$14,MATCH(D414,CONFIG!$D$5:$D$14,0))),""))</f>
        <v/>
      </c>
      <c r="AC414" s="19" t="str">
        <f aca="false">IF(N(M414)=0,"",IF(AA414="","Sin spec",IF(AND(Y414&gt;=AA414,OR(AB414="",Z414&gt;=AB414)),"CUMPLE","NO CUMPLE")&amp;IF(V414=""," (est.)","")))</f>
        <v/>
      </c>
      <c r="AD414" s="20" t="str">
        <f aca="false">IF(F414="","",IF(COUNTIFS(ABSORCION!$C$5:$C$1004,F414,ABSORCION!$I$5:$I$1004,"&gt;0")=0,"",AVERAGEIFS(ABSORCION!$I$5:$I$1004,ABSORCION!$C$5:$C$1004,F414,ABSORCION!$I$5:$I$1004,"&gt;0")))</f>
        <v/>
      </c>
      <c r="AE414" s="20" t="str">
        <f aca="false">IF(F414="","",IF(COUNTIFS(ABSORCION!$C$5:$C$1004,F414,ABSORCION!$I$5:$I$1004,"&gt;0")=0,"",AVERAGEIFS(ABSORCION!$K$5:$K$1004,ABSORCION!$C$5:$C$1004,F414,ABSORCION!$I$5:$I$1004,"&gt;0")))</f>
        <v/>
      </c>
      <c r="AF414" s="20" t="str">
        <f aca="false">IF(AE414="","",IF(AE414&gt;=CONFIG!$E$21,CONFIG!$F$21,IF(AE414&gt;=CONFIG!$E$20,CONFIG!$F$20,CONFIG!$F$19)))</f>
        <v/>
      </c>
      <c r="AG414" s="21" t="str">
        <f aca="false">IF(F414="","",TRIM(IF(N(M414)=0,"Sin ensayos. ","")&amp;IF(AND(N(M414)&gt;0,N(M414)&lt;CONFIG!$B$26),"Menos de "&amp;CONFIG!$B$26&amp;" probetas. ","")&amp;IF(N(T414)&gt;CONFIG!$B$25,"CV alto. ","")&amp;IF(AND(N(AD414)&gt;0,N(AD414)&gt;N(AF414)),"Absorción alta. ","")))</f>
        <v/>
      </c>
      <c r="AH414" s="22" t="str">
        <f aca="false">IF(AND(N(M414)&gt;0,OR(CONTROL!$C$4="TODAS",C414=CONTROL!$C$4),D414=CONTROL!$C$5),MAX($AH$4:AH413)+1,"")</f>
        <v/>
      </c>
      <c r="AI414" s="22" t="str">
        <f aca="false">IF(AH414="","",P414^2)</f>
        <v/>
      </c>
    </row>
    <row r="415" customFormat="false" ht="15" hidden="false" customHeight="false" outlineLevel="0" collapsed="false">
      <c r="A415" s="11" t="str">
        <f aca="false">IF(B415="","",ROW()-4)</f>
        <v/>
      </c>
      <c r="B415" s="12"/>
      <c r="C415" s="13"/>
      <c r="D415" s="13"/>
      <c r="E415" s="13"/>
      <c r="F415" s="14" t="str">
        <f aca="false">IF(OR(B415="",C415="",D415=""),"",IFERROR(INDEX(CONFIG!$E$5:$E$14,MATCH(D415,CONFIG!$D$5:$D$14,0)),"?")&amp;RIGHT("0"&amp;DAY(B415),2)&amp;RIGHT("0"&amp;MONTH(B415),2)&amp;RIGHT(YEAR(B415),2)&amp;C415&amp;IF(E415="","","-"&amp;E415))</f>
        <v/>
      </c>
      <c r="G415" s="13"/>
      <c r="H415" s="13"/>
      <c r="I415" s="13"/>
      <c r="J415" s="13"/>
      <c r="K415" s="13"/>
      <c r="L415" s="13"/>
      <c r="M415" s="11" t="str">
        <f aca="false">IF(F415="","",COUNTIFS(ENSAYOS!$C$5:$C$3004,F415,ENSAYOS!$Q$5:$Q$3004,"&gt;0"))</f>
        <v/>
      </c>
      <c r="N415" s="15" t="str">
        <f aca="false">IF(N(M415)=0,"",_xlfn.MINIFS(ENSAYOS!$G$5:$G$3004,ENSAYOS!$C$5:$C$3004,F415,ENSAYOS!$Q$5:$Q$3004,"&gt;0"))</f>
        <v/>
      </c>
      <c r="O415" s="15" t="str">
        <f aca="false">IF(N(M415)=0,"",_xlfn.MAXIFS(ENSAYOS!$G$5:$G$3004,ENSAYOS!$C$5:$C$3004,F415,ENSAYOS!$Q$5:$Q$3004,"&gt;0"))</f>
        <v/>
      </c>
      <c r="P415" s="16" t="str">
        <f aca="false">IF(N(M415)=0,"",AVERAGEIFS(ENSAYOS!$Q$5:$Q$3004,ENSAYOS!$C$5:$C$3004,F415,ENSAYOS!$Q$5:$Q$3004,"&gt;0"))</f>
        <v/>
      </c>
      <c r="Q415" s="16" t="str">
        <f aca="false">IF(N(M415)=0,"",_xlfn.MINIFS(ENSAYOS!$Q$5:$Q$3004,ENSAYOS!$C$5:$C$3004,F415,ENSAYOS!$Q$5:$Q$3004,"&gt;0"))</f>
        <v/>
      </c>
      <c r="R415" s="16" t="str">
        <f aca="false">IF(N(M415)=0,"",_xlfn.MAXIFS(ENSAYOS!$Q$5:$Q$3004,ENSAYOS!$C$5:$C$3004,F415,ENSAYOS!$Q$5:$Q$3004,"&gt;0"))</f>
        <v/>
      </c>
      <c r="S415" s="16" t="str">
        <f aca="false">IF(N(M415)&lt;2,"",SQRT(MAX(0,(SUMIFS(ENSAYOS!$X$5:$X$3004,ENSAYOS!$C$5:$C$3004,F415,ENSAYOS!$Q$5:$Q$3004,"&gt;0")-M415*P415^2)/(M415-1))))</f>
        <v/>
      </c>
      <c r="T415" s="17" t="str">
        <f aca="false">IF(S415="","",S415/P415)</f>
        <v/>
      </c>
      <c r="U415" s="16" t="str">
        <f aca="false">IF(N(M415)=0,"",IF(N415&gt;=CONFIG!$B$27,"",AVERAGEIFS(ENSAYOS!$Q$5:$Q$3004,ENSAYOS!$C$5:$C$3004,F415,ENSAYOS!$Q$5:$Q$3004,"&gt;0",ENSAYOS!$G$5:$G$3004,N415)))</f>
        <v/>
      </c>
      <c r="V415" s="16" t="str">
        <f aca="false">IF(N(M415)=0,"",IF(COUNTIFS(ENSAYOS!$C$5:$C$3004,F415,ENSAYOS!$Q$5:$Q$3004,"&gt;0",ENSAYOS!$G$5:$G$3004,"&gt;="&amp;CONFIG!$B$27)=0,"",AVERAGEIFS(ENSAYOS!$Q$5:$Q$3004,ENSAYOS!$C$5:$C$3004,F415,ENSAYOS!$Q$5:$Q$3004,"&gt;0",ENSAYOS!$G$5:$G$3004,"&gt;="&amp;CONFIG!$B$27)))</f>
        <v/>
      </c>
      <c r="W415" s="18" t="str">
        <f aca="false">IF(AND(U415&lt;&gt;"",V415&lt;&gt;""),U415/V415,"")</f>
        <v/>
      </c>
      <c r="X415" s="18" t="str">
        <f aca="false">IF(U415="","",INDEX('CURVA EDAD'!$E$5:$E$32,MIN(28,MAX(1,N415))))</f>
        <v/>
      </c>
      <c r="Y415" s="16" t="str">
        <f aca="false">IF(V415&lt;&gt;"",V415,IF(U415="","",U415/X415))</f>
        <v/>
      </c>
      <c r="Z415" s="16" t="str">
        <f aca="false">IF(V415&lt;&gt;"",_xlfn.MINIFS(ENSAYOS!$Q$5:$Q$3004,ENSAYOS!$C$5:$C$3004,F415,ENSAYOS!$Q$5:$Q$3004,"&gt;0",ENSAYOS!$G$5:$G$3004,"&gt;="&amp;CONFIG!$B$27),IF(U415="","",_xlfn.MINIFS(ENSAYOS!$Q$5:$Q$3004,ENSAYOS!$C$5:$C$3004,F415,ENSAYOS!$Q$5:$Q$3004,"&gt;0",ENSAYOS!$G$5:$G$3004,N415)/X415))</f>
        <v/>
      </c>
      <c r="AA415" s="16" t="str">
        <f aca="false">IF(D415="","",IFERROR(1/(1/INDEX(CONFIG!$J$5:$J$14,MATCH(D415,CONFIG!$D$5:$D$14,0))),""))</f>
        <v/>
      </c>
      <c r="AB415" s="16" t="str">
        <f aca="false">IF(D415="","",IFERROR(1/(1/INDEX(CONFIG!$K$5:$K$14,MATCH(D415,CONFIG!$D$5:$D$14,0))),""))</f>
        <v/>
      </c>
      <c r="AC415" s="19" t="str">
        <f aca="false">IF(N(M415)=0,"",IF(AA415="","Sin spec",IF(AND(Y415&gt;=AA415,OR(AB415="",Z415&gt;=AB415)),"CUMPLE","NO CUMPLE")&amp;IF(V415=""," (est.)","")))</f>
        <v/>
      </c>
      <c r="AD415" s="20" t="str">
        <f aca="false">IF(F415="","",IF(COUNTIFS(ABSORCION!$C$5:$C$1004,F415,ABSORCION!$I$5:$I$1004,"&gt;0")=0,"",AVERAGEIFS(ABSORCION!$I$5:$I$1004,ABSORCION!$C$5:$C$1004,F415,ABSORCION!$I$5:$I$1004,"&gt;0")))</f>
        <v/>
      </c>
      <c r="AE415" s="20" t="str">
        <f aca="false">IF(F415="","",IF(COUNTIFS(ABSORCION!$C$5:$C$1004,F415,ABSORCION!$I$5:$I$1004,"&gt;0")=0,"",AVERAGEIFS(ABSORCION!$K$5:$K$1004,ABSORCION!$C$5:$C$1004,F415,ABSORCION!$I$5:$I$1004,"&gt;0")))</f>
        <v/>
      </c>
      <c r="AF415" s="20" t="str">
        <f aca="false">IF(AE415="","",IF(AE415&gt;=CONFIG!$E$21,CONFIG!$F$21,IF(AE415&gt;=CONFIG!$E$20,CONFIG!$F$20,CONFIG!$F$19)))</f>
        <v/>
      </c>
      <c r="AG415" s="21" t="str">
        <f aca="false">IF(F415="","",TRIM(IF(N(M415)=0,"Sin ensayos. ","")&amp;IF(AND(N(M415)&gt;0,N(M415)&lt;CONFIG!$B$26),"Menos de "&amp;CONFIG!$B$26&amp;" probetas. ","")&amp;IF(N(T415)&gt;CONFIG!$B$25,"CV alto. ","")&amp;IF(AND(N(AD415)&gt;0,N(AD415)&gt;N(AF415)),"Absorción alta. ","")))</f>
        <v/>
      </c>
      <c r="AH415" s="22" t="str">
        <f aca="false">IF(AND(N(M415)&gt;0,OR(CONTROL!$C$4="TODAS",C415=CONTROL!$C$4),D415=CONTROL!$C$5),MAX($AH$4:AH414)+1,"")</f>
        <v/>
      </c>
      <c r="AI415" s="22" t="str">
        <f aca="false">IF(AH415="","",P415^2)</f>
        <v/>
      </c>
    </row>
    <row r="416" customFormat="false" ht="15" hidden="false" customHeight="false" outlineLevel="0" collapsed="false">
      <c r="A416" s="11" t="str">
        <f aca="false">IF(B416="","",ROW()-4)</f>
        <v/>
      </c>
      <c r="B416" s="12"/>
      <c r="C416" s="13"/>
      <c r="D416" s="13"/>
      <c r="E416" s="13"/>
      <c r="F416" s="14" t="str">
        <f aca="false">IF(OR(B416="",C416="",D416=""),"",IFERROR(INDEX(CONFIG!$E$5:$E$14,MATCH(D416,CONFIG!$D$5:$D$14,0)),"?")&amp;RIGHT("0"&amp;DAY(B416),2)&amp;RIGHT("0"&amp;MONTH(B416),2)&amp;RIGHT(YEAR(B416),2)&amp;C416&amp;IF(E416="","","-"&amp;E416))</f>
        <v/>
      </c>
      <c r="G416" s="13"/>
      <c r="H416" s="13"/>
      <c r="I416" s="13"/>
      <c r="J416" s="13"/>
      <c r="K416" s="13"/>
      <c r="L416" s="13"/>
      <c r="M416" s="11" t="str">
        <f aca="false">IF(F416="","",COUNTIFS(ENSAYOS!$C$5:$C$3004,F416,ENSAYOS!$Q$5:$Q$3004,"&gt;0"))</f>
        <v/>
      </c>
      <c r="N416" s="15" t="str">
        <f aca="false">IF(N(M416)=0,"",_xlfn.MINIFS(ENSAYOS!$G$5:$G$3004,ENSAYOS!$C$5:$C$3004,F416,ENSAYOS!$Q$5:$Q$3004,"&gt;0"))</f>
        <v/>
      </c>
      <c r="O416" s="15" t="str">
        <f aca="false">IF(N(M416)=0,"",_xlfn.MAXIFS(ENSAYOS!$G$5:$G$3004,ENSAYOS!$C$5:$C$3004,F416,ENSAYOS!$Q$5:$Q$3004,"&gt;0"))</f>
        <v/>
      </c>
      <c r="P416" s="16" t="str">
        <f aca="false">IF(N(M416)=0,"",AVERAGEIFS(ENSAYOS!$Q$5:$Q$3004,ENSAYOS!$C$5:$C$3004,F416,ENSAYOS!$Q$5:$Q$3004,"&gt;0"))</f>
        <v/>
      </c>
      <c r="Q416" s="16" t="str">
        <f aca="false">IF(N(M416)=0,"",_xlfn.MINIFS(ENSAYOS!$Q$5:$Q$3004,ENSAYOS!$C$5:$C$3004,F416,ENSAYOS!$Q$5:$Q$3004,"&gt;0"))</f>
        <v/>
      </c>
      <c r="R416" s="16" t="str">
        <f aca="false">IF(N(M416)=0,"",_xlfn.MAXIFS(ENSAYOS!$Q$5:$Q$3004,ENSAYOS!$C$5:$C$3004,F416,ENSAYOS!$Q$5:$Q$3004,"&gt;0"))</f>
        <v/>
      </c>
      <c r="S416" s="16" t="str">
        <f aca="false">IF(N(M416)&lt;2,"",SQRT(MAX(0,(SUMIFS(ENSAYOS!$X$5:$X$3004,ENSAYOS!$C$5:$C$3004,F416,ENSAYOS!$Q$5:$Q$3004,"&gt;0")-M416*P416^2)/(M416-1))))</f>
        <v/>
      </c>
      <c r="T416" s="17" t="str">
        <f aca="false">IF(S416="","",S416/P416)</f>
        <v/>
      </c>
      <c r="U416" s="16" t="str">
        <f aca="false">IF(N(M416)=0,"",IF(N416&gt;=CONFIG!$B$27,"",AVERAGEIFS(ENSAYOS!$Q$5:$Q$3004,ENSAYOS!$C$5:$C$3004,F416,ENSAYOS!$Q$5:$Q$3004,"&gt;0",ENSAYOS!$G$5:$G$3004,N416)))</f>
        <v/>
      </c>
      <c r="V416" s="16" t="str">
        <f aca="false">IF(N(M416)=0,"",IF(COUNTIFS(ENSAYOS!$C$5:$C$3004,F416,ENSAYOS!$Q$5:$Q$3004,"&gt;0",ENSAYOS!$G$5:$G$3004,"&gt;="&amp;CONFIG!$B$27)=0,"",AVERAGEIFS(ENSAYOS!$Q$5:$Q$3004,ENSAYOS!$C$5:$C$3004,F416,ENSAYOS!$Q$5:$Q$3004,"&gt;0",ENSAYOS!$G$5:$G$3004,"&gt;="&amp;CONFIG!$B$27)))</f>
        <v/>
      </c>
      <c r="W416" s="18" t="str">
        <f aca="false">IF(AND(U416&lt;&gt;"",V416&lt;&gt;""),U416/V416,"")</f>
        <v/>
      </c>
      <c r="X416" s="18" t="str">
        <f aca="false">IF(U416="","",INDEX('CURVA EDAD'!$E$5:$E$32,MIN(28,MAX(1,N416))))</f>
        <v/>
      </c>
      <c r="Y416" s="16" t="str">
        <f aca="false">IF(V416&lt;&gt;"",V416,IF(U416="","",U416/X416))</f>
        <v/>
      </c>
      <c r="Z416" s="16" t="str">
        <f aca="false">IF(V416&lt;&gt;"",_xlfn.MINIFS(ENSAYOS!$Q$5:$Q$3004,ENSAYOS!$C$5:$C$3004,F416,ENSAYOS!$Q$5:$Q$3004,"&gt;0",ENSAYOS!$G$5:$G$3004,"&gt;="&amp;CONFIG!$B$27),IF(U416="","",_xlfn.MINIFS(ENSAYOS!$Q$5:$Q$3004,ENSAYOS!$C$5:$C$3004,F416,ENSAYOS!$Q$5:$Q$3004,"&gt;0",ENSAYOS!$G$5:$G$3004,N416)/X416))</f>
        <v/>
      </c>
      <c r="AA416" s="16" t="str">
        <f aca="false">IF(D416="","",IFERROR(1/(1/INDEX(CONFIG!$J$5:$J$14,MATCH(D416,CONFIG!$D$5:$D$14,0))),""))</f>
        <v/>
      </c>
      <c r="AB416" s="16" t="str">
        <f aca="false">IF(D416="","",IFERROR(1/(1/INDEX(CONFIG!$K$5:$K$14,MATCH(D416,CONFIG!$D$5:$D$14,0))),""))</f>
        <v/>
      </c>
      <c r="AC416" s="19" t="str">
        <f aca="false">IF(N(M416)=0,"",IF(AA416="","Sin spec",IF(AND(Y416&gt;=AA416,OR(AB416="",Z416&gt;=AB416)),"CUMPLE","NO CUMPLE")&amp;IF(V416=""," (est.)","")))</f>
        <v/>
      </c>
      <c r="AD416" s="20" t="str">
        <f aca="false">IF(F416="","",IF(COUNTIFS(ABSORCION!$C$5:$C$1004,F416,ABSORCION!$I$5:$I$1004,"&gt;0")=0,"",AVERAGEIFS(ABSORCION!$I$5:$I$1004,ABSORCION!$C$5:$C$1004,F416,ABSORCION!$I$5:$I$1004,"&gt;0")))</f>
        <v/>
      </c>
      <c r="AE416" s="20" t="str">
        <f aca="false">IF(F416="","",IF(COUNTIFS(ABSORCION!$C$5:$C$1004,F416,ABSORCION!$I$5:$I$1004,"&gt;0")=0,"",AVERAGEIFS(ABSORCION!$K$5:$K$1004,ABSORCION!$C$5:$C$1004,F416,ABSORCION!$I$5:$I$1004,"&gt;0")))</f>
        <v/>
      </c>
      <c r="AF416" s="20" t="str">
        <f aca="false">IF(AE416="","",IF(AE416&gt;=CONFIG!$E$21,CONFIG!$F$21,IF(AE416&gt;=CONFIG!$E$20,CONFIG!$F$20,CONFIG!$F$19)))</f>
        <v/>
      </c>
      <c r="AG416" s="21" t="str">
        <f aca="false">IF(F416="","",TRIM(IF(N(M416)=0,"Sin ensayos. ","")&amp;IF(AND(N(M416)&gt;0,N(M416)&lt;CONFIG!$B$26),"Menos de "&amp;CONFIG!$B$26&amp;" probetas. ","")&amp;IF(N(T416)&gt;CONFIG!$B$25,"CV alto. ","")&amp;IF(AND(N(AD416)&gt;0,N(AD416)&gt;N(AF416)),"Absorción alta. ","")))</f>
        <v/>
      </c>
      <c r="AH416" s="22" t="str">
        <f aca="false">IF(AND(N(M416)&gt;0,OR(CONTROL!$C$4="TODAS",C416=CONTROL!$C$4),D416=CONTROL!$C$5),MAX($AH$4:AH415)+1,"")</f>
        <v/>
      </c>
      <c r="AI416" s="22" t="str">
        <f aca="false">IF(AH416="","",P416^2)</f>
        <v/>
      </c>
    </row>
    <row r="417" customFormat="false" ht="15" hidden="false" customHeight="false" outlineLevel="0" collapsed="false">
      <c r="A417" s="11" t="str">
        <f aca="false">IF(B417="","",ROW()-4)</f>
        <v/>
      </c>
      <c r="B417" s="12"/>
      <c r="C417" s="13"/>
      <c r="D417" s="13"/>
      <c r="E417" s="13"/>
      <c r="F417" s="14" t="str">
        <f aca="false">IF(OR(B417="",C417="",D417=""),"",IFERROR(INDEX(CONFIG!$E$5:$E$14,MATCH(D417,CONFIG!$D$5:$D$14,0)),"?")&amp;RIGHT("0"&amp;DAY(B417),2)&amp;RIGHT("0"&amp;MONTH(B417),2)&amp;RIGHT(YEAR(B417),2)&amp;C417&amp;IF(E417="","","-"&amp;E417))</f>
        <v/>
      </c>
      <c r="G417" s="13"/>
      <c r="H417" s="13"/>
      <c r="I417" s="13"/>
      <c r="J417" s="13"/>
      <c r="K417" s="13"/>
      <c r="L417" s="13"/>
      <c r="M417" s="11" t="str">
        <f aca="false">IF(F417="","",COUNTIFS(ENSAYOS!$C$5:$C$3004,F417,ENSAYOS!$Q$5:$Q$3004,"&gt;0"))</f>
        <v/>
      </c>
      <c r="N417" s="15" t="str">
        <f aca="false">IF(N(M417)=0,"",_xlfn.MINIFS(ENSAYOS!$G$5:$G$3004,ENSAYOS!$C$5:$C$3004,F417,ENSAYOS!$Q$5:$Q$3004,"&gt;0"))</f>
        <v/>
      </c>
      <c r="O417" s="15" t="str">
        <f aca="false">IF(N(M417)=0,"",_xlfn.MAXIFS(ENSAYOS!$G$5:$G$3004,ENSAYOS!$C$5:$C$3004,F417,ENSAYOS!$Q$5:$Q$3004,"&gt;0"))</f>
        <v/>
      </c>
      <c r="P417" s="16" t="str">
        <f aca="false">IF(N(M417)=0,"",AVERAGEIFS(ENSAYOS!$Q$5:$Q$3004,ENSAYOS!$C$5:$C$3004,F417,ENSAYOS!$Q$5:$Q$3004,"&gt;0"))</f>
        <v/>
      </c>
      <c r="Q417" s="16" t="str">
        <f aca="false">IF(N(M417)=0,"",_xlfn.MINIFS(ENSAYOS!$Q$5:$Q$3004,ENSAYOS!$C$5:$C$3004,F417,ENSAYOS!$Q$5:$Q$3004,"&gt;0"))</f>
        <v/>
      </c>
      <c r="R417" s="16" t="str">
        <f aca="false">IF(N(M417)=0,"",_xlfn.MAXIFS(ENSAYOS!$Q$5:$Q$3004,ENSAYOS!$C$5:$C$3004,F417,ENSAYOS!$Q$5:$Q$3004,"&gt;0"))</f>
        <v/>
      </c>
      <c r="S417" s="16" t="str">
        <f aca="false">IF(N(M417)&lt;2,"",SQRT(MAX(0,(SUMIFS(ENSAYOS!$X$5:$X$3004,ENSAYOS!$C$5:$C$3004,F417,ENSAYOS!$Q$5:$Q$3004,"&gt;0")-M417*P417^2)/(M417-1))))</f>
        <v/>
      </c>
      <c r="T417" s="17" t="str">
        <f aca="false">IF(S417="","",S417/P417)</f>
        <v/>
      </c>
      <c r="U417" s="16" t="str">
        <f aca="false">IF(N(M417)=0,"",IF(N417&gt;=CONFIG!$B$27,"",AVERAGEIFS(ENSAYOS!$Q$5:$Q$3004,ENSAYOS!$C$5:$C$3004,F417,ENSAYOS!$Q$5:$Q$3004,"&gt;0",ENSAYOS!$G$5:$G$3004,N417)))</f>
        <v/>
      </c>
      <c r="V417" s="16" t="str">
        <f aca="false">IF(N(M417)=0,"",IF(COUNTIFS(ENSAYOS!$C$5:$C$3004,F417,ENSAYOS!$Q$5:$Q$3004,"&gt;0",ENSAYOS!$G$5:$G$3004,"&gt;="&amp;CONFIG!$B$27)=0,"",AVERAGEIFS(ENSAYOS!$Q$5:$Q$3004,ENSAYOS!$C$5:$C$3004,F417,ENSAYOS!$Q$5:$Q$3004,"&gt;0",ENSAYOS!$G$5:$G$3004,"&gt;="&amp;CONFIG!$B$27)))</f>
        <v/>
      </c>
      <c r="W417" s="18" t="str">
        <f aca="false">IF(AND(U417&lt;&gt;"",V417&lt;&gt;""),U417/V417,"")</f>
        <v/>
      </c>
      <c r="X417" s="18" t="str">
        <f aca="false">IF(U417="","",INDEX('CURVA EDAD'!$E$5:$E$32,MIN(28,MAX(1,N417))))</f>
        <v/>
      </c>
      <c r="Y417" s="16" t="str">
        <f aca="false">IF(V417&lt;&gt;"",V417,IF(U417="","",U417/X417))</f>
        <v/>
      </c>
      <c r="Z417" s="16" t="str">
        <f aca="false">IF(V417&lt;&gt;"",_xlfn.MINIFS(ENSAYOS!$Q$5:$Q$3004,ENSAYOS!$C$5:$C$3004,F417,ENSAYOS!$Q$5:$Q$3004,"&gt;0",ENSAYOS!$G$5:$G$3004,"&gt;="&amp;CONFIG!$B$27),IF(U417="","",_xlfn.MINIFS(ENSAYOS!$Q$5:$Q$3004,ENSAYOS!$C$5:$C$3004,F417,ENSAYOS!$Q$5:$Q$3004,"&gt;0",ENSAYOS!$G$5:$G$3004,N417)/X417))</f>
        <v/>
      </c>
      <c r="AA417" s="16" t="str">
        <f aca="false">IF(D417="","",IFERROR(1/(1/INDEX(CONFIG!$J$5:$J$14,MATCH(D417,CONFIG!$D$5:$D$14,0))),""))</f>
        <v/>
      </c>
      <c r="AB417" s="16" t="str">
        <f aca="false">IF(D417="","",IFERROR(1/(1/INDEX(CONFIG!$K$5:$K$14,MATCH(D417,CONFIG!$D$5:$D$14,0))),""))</f>
        <v/>
      </c>
      <c r="AC417" s="19" t="str">
        <f aca="false">IF(N(M417)=0,"",IF(AA417="","Sin spec",IF(AND(Y417&gt;=AA417,OR(AB417="",Z417&gt;=AB417)),"CUMPLE","NO CUMPLE")&amp;IF(V417=""," (est.)","")))</f>
        <v/>
      </c>
      <c r="AD417" s="20" t="str">
        <f aca="false">IF(F417="","",IF(COUNTIFS(ABSORCION!$C$5:$C$1004,F417,ABSORCION!$I$5:$I$1004,"&gt;0")=0,"",AVERAGEIFS(ABSORCION!$I$5:$I$1004,ABSORCION!$C$5:$C$1004,F417,ABSORCION!$I$5:$I$1004,"&gt;0")))</f>
        <v/>
      </c>
      <c r="AE417" s="20" t="str">
        <f aca="false">IF(F417="","",IF(COUNTIFS(ABSORCION!$C$5:$C$1004,F417,ABSORCION!$I$5:$I$1004,"&gt;0")=0,"",AVERAGEIFS(ABSORCION!$K$5:$K$1004,ABSORCION!$C$5:$C$1004,F417,ABSORCION!$I$5:$I$1004,"&gt;0")))</f>
        <v/>
      </c>
      <c r="AF417" s="20" t="str">
        <f aca="false">IF(AE417="","",IF(AE417&gt;=CONFIG!$E$21,CONFIG!$F$21,IF(AE417&gt;=CONFIG!$E$20,CONFIG!$F$20,CONFIG!$F$19)))</f>
        <v/>
      </c>
      <c r="AG417" s="21" t="str">
        <f aca="false">IF(F417="","",TRIM(IF(N(M417)=0,"Sin ensayos. ","")&amp;IF(AND(N(M417)&gt;0,N(M417)&lt;CONFIG!$B$26),"Menos de "&amp;CONFIG!$B$26&amp;" probetas. ","")&amp;IF(N(T417)&gt;CONFIG!$B$25,"CV alto. ","")&amp;IF(AND(N(AD417)&gt;0,N(AD417)&gt;N(AF417)),"Absorción alta. ","")))</f>
        <v/>
      </c>
      <c r="AH417" s="22" t="str">
        <f aca="false">IF(AND(N(M417)&gt;0,OR(CONTROL!$C$4="TODAS",C417=CONTROL!$C$4),D417=CONTROL!$C$5),MAX($AH$4:AH416)+1,"")</f>
        <v/>
      </c>
      <c r="AI417" s="22" t="str">
        <f aca="false">IF(AH417="","",P417^2)</f>
        <v/>
      </c>
    </row>
    <row r="418" customFormat="false" ht="15" hidden="false" customHeight="false" outlineLevel="0" collapsed="false">
      <c r="A418" s="11" t="str">
        <f aca="false">IF(B418="","",ROW()-4)</f>
        <v/>
      </c>
      <c r="B418" s="12"/>
      <c r="C418" s="13"/>
      <c r="D418" s="13"/>
      <c r="E418" s="13"/>
      <c r="F418" s="14" t="str">
        <f aca="false">IF(OR(B418="",C418="",D418=""),"",IFERROR(INDEX(CONFIG!$E$5:$E$14,MATCH(D418,CONFIG!$D$5:$D$14,0)),"?")&amp;RIGHT("0"&amp;DAY(B418),2)&amp;RIGHT("0"&amp;MONTH(B418),2)&amp;RIGHT(YEAR(B418),2)&amp;C418&amp;IF(E418="","","-"&amp;E418))</f>
        <v/>
      </c>
      <c r="G418" s="13"/>
      <c r="H418" s="13"/>
      <c r="I418" s="13"/>
      <c r="J418" s="13"/>
      <c r="K418" s="13"/>
      <c r="L418" s="13"/>
      <c r="M418" s="11" t="str">
        <f aca="false">IF(F418="","",COUNTIFS(ENSAYOS!$C$5:$C$3004,F418,ENSAYOS!$Q$5:$Q$3004,"&gt;0"))</f>
        <v/>
      </c>
      <c r="N418" s="15" t="str">
        <f aca="false">IF(N(M418)=0,"",_xlfn.MINIFS(ENSAYOS!$G$5:$G$3004,ENSAYOS!$C$5:$C$3004,F418,ENSAYOS!$Q$5:$Q$3004,"&gt;0"))</f>
        <v/>
      </c>
      <c r="O418" s="15" t="str">
        <f aca="false">IF(N(M418)=0,"",_xlfn.MAXIFS(ENSAYOS!$G$5:$G$3004,ENSAYOS!$C$5:$C$3004,F418,ENSAYOS!$Q$5:$Q$3004,"&gt;0"))</f>
        <v/>
      </c>
      <c r="P418" s="16" t="str">
        <f aca="false">IF(N(M418)=0,"",AVERAGEIFS(ENSAYOS!$Q$5:$Q$3004,ENSAYOS!$C$5:$C$3004,F418,ENSAYOS!$Q$5:$Q$3004,"&gt;0"))</f>
        <v/>
      </c>
      <c r="Q418" s="16" t="str">
        <f aca="false">IF(N(M418)=0,"",_xlfn.MINIFS(ENSAYOS!$Q$5:$Q$3004,ENSAYOS!$C$5:$C$3004,F418,ENSAYOS!$Q$5:$Q$3004,"&gt;0"))</f>
        <v/>
      </c>
      <c r="R418" s="16" t="str">
        <f aca="false">IF(N(M418)=0,"",_xlfn.MAXIFS(ENSAYOS!$Q$5:$Q$3004,ENSAYOS!$C$5:$C$3004,F418,ENSAYOS!$Q$5:$Q$3004,"&gt;0"))</f>
        <v/>
      </c>
      <c r="S418" s="16" t="str">
        <f aca="false">IF(N(M418)&lt;2,"",SQRT(MAX(0,(SUMIFS(ENSAYOS!$X$5:$X$3004,ENSAYOS!$C$5:$C$3004,F418,ENSAYOS!$Q$5:$Q$3004,"&gt;0")-M418*P418^2)/(M418-1))))</f>
        <v/>
      </c>
      <c r="T418" s="17" t="str">
        <f aca="false">IF(S418="","",S418/P418)</f>
        <v/>
      </c>
      <c r="U418" s="16" t="str">
        <f aca="false">IF(N(M418)=0,"",IF(N418&gt;=CONFIG!$B$27,"",AVERAGEIFS(ENSAYOS!$Q$5:$Q$3004,ENSAYOS!$C$5:$C$3004,F418,ENSAYOS!$Q$5:$Q$3004,"&gt;0",ENSAYOS!$G$5:$G$3004,N418)))</f>
        <v/>
      </c>
      <c r="V418" s="16" t="str">
        <f aca="false">IF(N(M418)=0,"",IF(COUNTIFS(ENSAYOS!$C$5:$C$3004,F418,ENSAYOS!$Q$5:$Q$3004,"&gt;0",ENSAYOS!$G$5:$G$3004,"&gt;="&amp;CONFIG!$B$27)=0,"",AVERAGEIFS(ENSAYOS!$Q$5:$Q$3004,ENSAYOS!$C$5:$C$3004,F418,ENSAYOS!$Q$5:$Q$3004,"&gt;0",ENSAYOS!$G$5:$G$3004,"&gt;="&amp;CONFIG!$B$27)))</f>
        <v/>
      </c>
      <c r="W418" s="18" t="str">
        <f aca="false">IF(AND(U418&lt;&gt;"",V418&lt;&gt;""),U418/V418,"")</f>
        <v/>
      </c>
      <c r="X418" s="18" t="str">
        <f aca="false">IF(U418="","",INDEX('CURVA EDAD'!$E$5:$E$32,MIN(28,MAX(1,N418))))</f>
        <v/>
      </c>
      <c r="Y418" s="16" t="str">
        <f aca="false">IF(V418&lt;&gt;"",V418,IF(U418="","",U418/X418))</f>
        <v/>
      </c>
      <c r="Z418" s="16" t="str">
        <f aca="false">IF(V418&lt;&gt;"",_xlfn.MINIFS(ENSAYOS!$Q$5:$Q$3004,ENSAYOS!$C$5:$C$3004,F418,ENSAYOS!$Q$5:$Q$3004,"&gt;0",ENSAYOS!$G$5:$G$3004,"&gt;="&amp;CONFIG!$B$27),IF(U418="","",_xlfn.MINIFS(ENSAYOS!$Q$5:$Q$3004,ENSAYOS!$C$5:$C$3004,F418,ENSAYOS!$Q$5:$Q$3004,"&gt;0",ENSAYOS!$G$5:$G$3004,N418)/X418))</f>
        <v/>
      </c>
      <c r="AA418" s="16" t="str">
        <f aca="false">IF(D418="","",IFERROR(1/(1/INDEX(CONFIG!$J$5:$J$14,MATCH(D418,CONFIG!$D$5:$D$14,0))),""))</f>
        <v/>
      </c>
      <c r="AB418" s="16" t="str">
        <f aca="false">IF(D418="","",IFERROR(1/(1/INDEX(CONFIG!$K$5:$K$14,MATCH(D418,CONFIG!$D$5:$D$14,0))),""))</f>
        <v/>
      </c>
      <c r="AC418" s="19" t="str">
        <f aca="false">IF(N(M418)=0,"",IF(AA418="","Sin spec",IF(AND(Y418&gt;=AA418,OR(AB418="",Z418&gt;=AB418)),"CUMPLE","NO CUMPLE")&amp;IF(V418=""," (est.)","")))</f>
        <v/>
      </c>
      <c r="AD418" s="20" t="str">
        <f aca="false">IF(F418="","",IF(COUNTIFS(ABSORCION!$C$5:$C$1004,F418,ABSORCION!$I$5:$I$1004,"&gt;0")=0,"",AVERAGEIFS(ABSORCION!$I$5:$I$1004,ABSORCION!$C$5:$C$1004,F418,ABSORCION!$I$5:$I$1004,"&gt;0")))</f>
        <v/>
      </c>
      <c r="AE418" s="20" t="str">
        <f aca="false">IF(F418="","",IF(COUNTIFS(ABSORCION!$C$5:$C$1004,F418,ABSORCION!$I$5:$I$1004,"&gt;0")=0,"",AVERAGEIFS(ABSORCION!$K$5:$K$1004,ABSORCION!$C$5:$C$1004,F418,ABSORCION!$I$5:$I$1004,"&gt;0")))</f>
        <v/>
      </c>
      <c r="AF418" s="20" t="str">
        <f aca="false">IF(AE418="","",IF(AE418&gt;=CONFIG!$E$21,CONFIG!$F$21,IF(AE418&gt;=CONFIG!$E$20,CONFIG!$F$20,CONFIG!$F$19)))</f>
        <v/>
      </c>
      <c r="AG418" s="21" t="str">
        <f aca="false">IF(F418="","",TRIM(IF(N(M418)=0,"Sin ensayos. ","")&amp;IF(AND(N(M418)&gt;0,N(M418)&lt;CONFIG!$B$26),"Menos de "&amp;CONFIG!$B$26&amp;" probetas. ","")&amp;IF(N(T418)&gt;CONFIG!$B$25,"CV alto. ","")&amp;IF(AND(N(AD418)&gt;0,N(AD418)&gt;N(AF418)),"Absorción alta. ","")))</f>
        <v/>
      </c>
      <c r="AH418" s="22" t="str">
        <f aca="false">IF(AND(N(M418)&gt;0,OR(CONTROL!$C$4="TODAS",C418=CONTROL!$C$4),D418=CONTROL!$C$5),MAX($AH$4:AH417)+1,"")</f>
        <v/>
      </c>
      <c r="AI418" s="22" t="str">
        <f aca="false">IF(AH418="","",P418^2)</f>
        <v/>
      </c>
    </row>
    <row r="419" customFormat="false" ht="15" hidden="false" customHeight="false" outlineLevel="0" collapsed="false">
      <c r="A419" s="11" t="str">
        <f aca="false">IF(B419="","",ROW()-4)</f>
        <v/>
      </c>
      <c r="B419" s="12"/>
      <c r="C419" s="13"/>
      <c r="D419" s="13"/>
      <c r="E419" s="13"/>
      <c r="F419" s="14" t="str">
        <f aca="false">IF(OR(B419="",C419="",D419=""),"",IFERROR(INDEX(CONFIG!$E$5:$E$14,MATCH(D419,CONFIG!$D$5:$D$14,0)),"?")&amp;RIGHT("0"&amp;DAY(B419),2)&amp;RIGHT("0"&amp;MONTH(B419),2)&amp;RIGHT(YEAR(B419),2)&amp;C419&amp;IF(E419="","","-"&amp;E419))</f>
        <v/>
      </c>
      <c r="G419" s="13"/>
      <c r="H419" s="13"/>
      <c r="I419" s="13"/>
      <c r="J419" s="13"/>
      <c r="K419" s="13"/>
      <c r="L419" s="13"/>
      <c r="M419" s="11" t="str">
        <f aca="false">IF(F419="","",COUNTIFS(ENSAYOS!$C$5:$C$3004,F419,ENSAYOS!$Q$5:$Q$3004,"&gt;0"))</f>
        <v/>
      </c>
      <c r="N419" s="15" t="str">
        <f aca="false">IF(N(M419)=0,"",_xlfn.MINIFS(ENSAYOS!$G$5:$G$3004,ENSAYOS!$C$5:$C$3004,F419,ENSAYOS!$Q$5:$Q$3004,"&gt;0"))</f>
        <v/>
      </c>
      <c r="O419" s="15" t="str">
        <f aca="false">IF(N(M419)=0,"",_xlfn.MAXIFS(ENSAYOS!$G$5:$G$3004,ENSAYOS!$C$5:$C$3004,F419,ENSAYOS!$Q$5:$Q$3004,"&gt;0"))</f>
        <v/>
      </c>
      <c r="P419" s="16" t="str">
        <f aca="false">IF(N(M419)=0,"",AVERAGEIFS(ENSAYOS!$Q$5:$Q$3004,ENSAYOS!$C$5:$C$3004,F419,ENSAYOS!$Q$5:$Q$3004,"&gt;0"))</f>
        <v/>
      </c>
      <c r="Q419" s="16" t="str">
        <f aca="false">IF(N(M419)=0,"",_xlfn.MINIFS(ENSAYOS!$Q$5:$Q$3004,ENSAYOS!$C$5:$C$3004,F419,ENSAYOS!$Q$5:$Q$3004,"&gt;0"))</f>
        <v/>
      </c>
      <c r="R419" s="16" t="str">
        <f aca="false">IF(N(M419)=0,"",_xlfn.MAXIFS(ENSAYOS!$Q$5:$Q$3004,ENSAYOS!$C$5:$C$3004,F419,ENSAYOS!$Q$5:$Q$3004,"&gt;0"))</f>
        <v/>
      </c>
      <c r="S419" s="16" t="str">
        <f aca="false">IF(N(M419)&lt;2,"",SQRT(MAX(0,(SUMIFS(ENSAYOS!$X$5:$X$3004,ENSAYOS!$C$5:$C$3004,F419,ENSAYOS!$Q$5:$Q$3004,"&gt;0")-M419*P419^2)/(M419-1))))</f>
        <v/>
      </c>
      <c r="T419" s="17" t="str">
        <f aca="false">IF(S419="","",S419/P419)</f>
        <v/>
      </c>
      <c r="U419" s="16" t="str">
        <f aca="false">IF(N(M419)=0,"",IF(N419&gt;=CONFIG!$B$27,"",AVERAGEIFS(ENSAYOS!$Q$5:$Q$3004,ENSAYOS!$C$5:$C$3004,F419,ENSAYOS!$Q$5:$Q$3004,"&gt;0",ENSAYOS!$G$5:$G$3004,N419)))</f>
        <v/>
      </c>
      <c r="V419" s="16" t="str">
        <f aca="false">IF(N(M419)=0,"",IF(COUNTIFS(ENSAYOS!$C$5:$C$3004,F419,ENSAYOS!$Q$5:$Q$3004,"&gt;0",ENSAYOS!$G$5:$G$3004,"&gt;="&amp;CONFIG!$B$27)=0,"",AVERAGEIFS(ENSAYOS!$Q$5:$Q$3004,ENSAYOS!$C$5:$C$3004,F419,ENSAYOS!$Q$5:$Q$3004,"&gt;0",ENSAYOS!$G$5:$G$3004,"&gt;="&amp;CONFIG!$B$27)))</f>
        <v/>
      </c>
      <c r="W419" s="18" t="str">
        <f aca="false">IF(AND(U419&lt;&gt;"",V419&lt;&gt;""),U419/V419,"")</f>
        <v/>
      </c>
      <c r="X419" s="18" t="str">
        <f aca="false">IF(U419="","",INDEX('CURVA EDAD'!$E$5:$E$32,MIN(28,MAX(1,N419))))</f>
        <v/>
      </c>
      <c r="Y419" s="16" t="str">
        <f aca="false">IF(V419&lt;&gt;"",V419,IF(U419="","",U419/X419))</f>
        <v/>
      </c>
      <c r="Z419" s="16" t="str">
        <f aca="false">IF(V419&lt;&gt;"",_xlfn.MINIFS(ENSAYOS!$Q$5:$Q$3004,ENSAYOS!$C$5:$C$3004,F419,ENSAYOS!$Q$5:$Q$3004,"&gt;0",ENSAYOS!$G$5:$G$3004,"&gt;="&amp;CONFIG!$B$27),IF(U419="","",_xlfn.MINIFS(ENSAYOS!$Q$5:$Q$3004,ENSAYOS!$C$5:$C$3004,F419,ENSAYOS!$Q$5:$Q$3004,"&gt;0",ENSAYOS!$G$5:$G$3004,N419)/X419))</f>
        <v/>
      </c>
      <c r="AA419" s="16" t="str">
        <f aca="false">IF(D419="","",IFERROR(1/(1/INDEX(CONFIG!$J$5:$J$14,MATCH(D419,CONFIG!$D$5:$D$14,0))),""))</f>
        <v/>
      </c>
      <c r="AB419" s="16" t="str">
        <f aca="false">IF(D419="","",IFERROR(1/(1/INDEX(CONFIG!$K$5:$K$14,MATCH(D419,CONFIG!$D$5:$D$14,0))),""))</f>
        <v/>
      </c>
      <c r="AC419" s="19" t="str">
        <f aca="false">IF(N(M419)=0,"",IF(AA419="","Sin spec",IF(AND(Y419&gt;=AA419,OR(AB419="",Z419&gt;=AB419)),"CUMPLE","NO CUMPLE")&amp;IF(V419=""," (est.)","")))</f>
        <v/>
      </c>
      <c r="AD419" s="20" t="str">
        <f aca="false">IF(F419="","",IF(COUNTIFS(ABSORCION!$C$5:$C$1004,F419,ABSORCION!$I$5:$I$1004,"&gt;0")=0,"",AVERAGEIFS(ABSORCION!$I$5:$I$1004,ABSORCION!$C$5:$C$1004,F419,ABSORCION!$I$5:$I$1004,"&gt;0")))</f>
        <v/>
      </c>
      <c r="AE419" s="20" t="str">
        <f aca="false">IF(F419="","",IF(COUNTIFS(ABSORCION!$C$5:$C$1004,F419,ABSORCION!$I$5:$I$1004,"&gt;0")=0,"",AVERAGEIFS(ABSORCION!$K$5:$K$1004,ABSORCION!$C$5:$C$1004,F419,ABSORCION!$I$5:$I$1004,"&gt;0")))</f>
        <v/>
      </c>
      <c r="AF419" s="20" t="str">
        <f aca="false">IF(AE419="","",IF(AE419&gt;=CONFIG!$E$21,CONFIG!$F$21,IF(AE419&gt;=CONFIG!$E$20,CONFIG!$F$20,CONFIG!$F$19)))</f>
        <v/>
      </c>
      <c r="AG419" s="21" t="str">
        <f aca="false">IF(F419="","",TRIM(IF(N(M419)=0,"Sin ensayos. ","")&amp;IF(AND(N(M419)&gt;0,N(M419)&lt;CONFIG!$B$26),"Menos de "&amp;CONFIG!$B$26&amp;" probetas. ","")&amp;IF(N(T419)&gt;CONFIG!$B$25,"CV alto. ","")&amp;IF(AND(N(AD419)&gt;0,N(AD419)&gt;N(AF419)),"Absorción alta. ","")))</f>
        <v/>
      </c>
      <c r="AH419" s="22" t="str">
        <f aca="false">IF(AND(N(M419)&gt;0,OR(CONTROL!$C$4="TODAS",C419=CONTROL!$C$4),D419=CONTROL!$C$5),MAX($AH$4:AH418)+1,"")</f>
        <v/>
      </c>
      <c r="AI419" s="22" t="str">
        <f aca="false">IF(AH419="","",P419^2)</f>
        <v/>
      </c>
    </row>
    <row r="420" customFormat="false" ht="15" hidden="false" customHeight="false" outlineLevel="0" collapsed="false">
      <c r="A420" s="11" t="str">
        <f aca="false">IF(B420="","",ROW()-4)</f>
        <v/>
      </c>
      <c r="B420" s="12"/>
      <c r="C420" s="13"/>
      <c r="D420" s="13"/>
      <c r="E420" s="13"/>
      <c r="F420" s="14" t="str">
        <f aca="false">IF(OR(B420="",C420="",D420=""),"",IFERROR(INDEX(CONFIG!$E$5:$E$14,MATCH(D420,CONFIG!$D$5:$D$14,0)),"?")&amp;RIGHT("0"&amp;DAY(B420),2)&amp;RIGHT("0"&amp;MONTH(B420),2)&amp;RIGHT(YEAR(B420),2)&amp;C420&amp;IF(E420="","","-"&amp;E420))</f>
        <v/>
      </c>
      <c r="G420" s="13"/>
      <c r="H420" s="13"/>
      <c r="I420" s="13"/>
      <c r="J420" s="13"/>
      <c r="K420" s="13"/>
      <c r="L420" s="13"/>
      <c r="M420" s="11" t="str">
        <f aca="false">IF(F420="","",COUNTIFS(ENSAYOS!$C$5:$C$3004,F420,ENSAYOS!$Q$5:$Q$3004,"&gt;0"))</f>
        <v/>
      </c>
      <c r="N420" s="15" t="str">
        <f aca="false">IF(N(M420)=0,"",_xlfn.MINIFS(ENSAYOS!$G$5:$G$3004,ENSAYOS!$C$5:$C$3004,F420,ENSAYOS!$Q$5:$Q$3004,"&gt;0"))</f>
        <v/>
      </c>
      <c r="O420" s="15" t="str">
        <f aca="false">IF(N(M420)=0,"",_xlfn.MAXIFS(ENSAYOS!$G$5:$G$3004,ENSAYOS!$C$5:$C$3004,F420,ENSAYOS!$Q$5:$Q$3004,"&gt;0"))</f>
        <v/>
      </c>
      <c r="P420" s="16" t="str">
        <f aca="false">IF(N(M420)=0,"",AVERAGEIFS(ENSAYOS!$Q$5:$Q$3004,ENSAYOS!$C$5:$C$3004,F420,ENSAYOS!$Q$5:$Q$3004,"&gt;0"))</f>
        <v/>
      </c>
      <c r="Q420" s="16" t="str">
        <f aca="false">IF(N(M420)=0,"",_xlfn.MINIFS(ENSAYOS!$Q$5:$Q$3004,ENSAYOS!$C$5:$C$3004,F420,ENSAYOS!$Q$5:$Q$3004,"&gt;0"))</f>
        <v/>
      </c>
      <c r="R420" s="16" t="str">
        <f aca="false">IF(N(M420)=0,"",_xlfn.MAXIFS(ENSAYOS!$Q$5:$Q$3004,ENSAYOS!$C$5:$C$3004,F420,ENSAYOS!$Q$5:$Q$3004,"&gt;0"))</f>
        <v/>
      </c>
      <c r="S420" s="16" t="str">
        <f aca="false">IF(N(M420)&lt;2,"",SQRT(MAX(0,(SUMIFS(ENSAYOS!$X$5:$X$3004,ENSAYOS!$C$5:$C$3004,F420,ENSAYOS!$Q$5:$Q$3004,"&gt;0")-M420*P420^2)/(M420-1))))</f>
        <v/>
      </c>
      <c r="T420" s="17" t="str">
        <f aca="false">IF(S420="","",S420/P420)</f>
        <v/>
      </c>
      <c r="U420" s="16" t="str">
        <f aca="false">IF(N(M420)=0,"",IF(N420&gt;=CONFIG!$B$27,"",AVERAGEIFS(ENSAYOS!$Q$5:$Q$3004,ENSAYOS!$C$5:$C$3004,F420,ENSAYOS!$Q$5:$Q$3004,"&gt;0",ENSAYOS!$G$5:$G$3004,N420)))</f>
        <v/>
      </c>
      <c r="V420" s="16" t="str">
        <f aca="false">IF(N(M420)=0,"",IF(COUNTIFS(ENSAYOS!$C$5:$C$3004,F420,ENSAYOS!$Q$5:$Q$3004,"&gt;0",ENSAYOS!$G$5:$G$3004,"&gt;="&amp;CONFIG!$B$27)=0,"",AVERAGEIFS(ENSAYOS!$Q$5:$Q$3004,ENSAYOS!$C$5:$C$3004,F420,ENSAYOS!$Q$5:$Q$3004,"&gt;0",ENSAYOS!$G$5:$G$3004,"&gt;="&amp;CONFIG!$B$27)))</f>
        <v/>
      </c>
      <c r="W420" s="18" t="str">
        <f aca="false">IF(AND(U420&lt;&gt;"",V420&lt;&gt;""),U420/V420,"")</f>
        <v/>
      </c>
      <c r="X420" s="18" t="str">
        <f aca="false">IF(U420="","",INDEX('CURVA EDAD'!$E$5:$E$32,MIN(28,MAX(1,N420))))</f>
        <v/>
      </c>
      <c r="Y420" s="16" t="str">
        <f aca="false">IF(V420&lt;&gt;"",V420,IF(U420="","",U420/X420))</f>
        <v/>
      </c>
      <c r="Z420" s="16" t="str">
        <f aca="false">IF(V420&lt;&gt;"",_xlfn.MINIFS(ENSAYOS!$Q$5:$Q$3004,ENSAYOS!$C$5:$C$3004,F420,ENSAYOS!$Q$5:$Q$3004,"&gt;0",ENSAYOS!$G$5:$G$3004,"&gt;="&amp;CONFIG!$B$27),IF(U420="","",_xlfn.MINIFS(ENSAYOS!$Q$5:$Q$3004,ENSAYOS!$C$5:$C$3004,F420,ENSAYOS!$Q$5:$Q$3004,"&gt;0",ENSAYOS!$G$5:$G$3004,N420)/X420))</f>
        <v/>
      </c>
      <c r="AA420" s="16" t="str">
        <f aca="false">IF(D420="","",IFERROR(1/(1/INDEX(CONFIG!$J$5:$J$14,MATCH(D420,CONFIG!$D$5:$D$14,0))),""))</f>
        <v/>
      </c>
      <c r="AB420" s="16" t="str">
        <f aca="false">IF(D420="","",IFERROR(1/(1/INDEX(CONFIG!$K$5:$K$14,MATCH(D420,CONFIG!$D$5:$D$14,0))),""))</f>
        <v/>
      </c>
      <c r="AC420" s="19" t="str">
        <f aca="false">IF(N(M420)=0,"",IF(AA420="","Sin spec",IF(AND(Y420&gt;=AA420,OR(AB420="",Z420&gt;=AB420)),"CUMPLE","NO CUMPLE")&amp;IF(V420=""," (est.)","")))</f>
        <v/>
      </c>
      <c r="AD420" s="20" t="str">
        <f aca="false">IF(F420="","",IF(COUNTIFS(ABSORCION!$C$5:$C$1004,F420,ABSORCION!$I$5:$I$1004,"&gt;0")=0,"",AVERAGEIFS(ABSORCION!$I$5:$I$1004,ABSORCION!$C$5:$C$1004,F420,ABSORCION!$I$5:$I$1004,"&gt;0")))</f>
        <v/>
      </c>
      <c r="AE420" s="20" t="str">
        <f aca="false">IF(F420="","",IF(COUNTIFS(ABSORCION!$C$5:$C$1004,F420,ABSORCION!$I$5:$I$1004,"&gt;0")=0,"",AVERAGEIFS(ABSORCION!$K$5:$K$1004,ABSORCION!$C$5:$C$1004,F420,ABSORCION!$I$5:$I$1004,"&gt;0")))</f>
        <v/>
      </c>
      <c r="AF420" s="20" t="str">
        <f aca="false">IF(AE420="","",IF(AE420&gt;=CONFIG!$E$21,CONFIG!$F$21,IF(AE420&gt;=CONFIG!$E$20,CONFIG!$F$20,CONFIG!$F$19)))</f>
        <v/>
      </c>
      <c r="AG420" s="21" t="str">
        <f aca="false">IF(F420="","",TRIM(IF(N(M420)=0,"Sin ensayos. ","")&amp;IF(AND(N(M420)&gt;0,N(M420)&lt;CONFIG!$B$26),"Menos de "&amp;CONFIG!$B$26&amp;" probetas. ","")&amp;IF(N(T420)&gt;CONFIG!$B$25,"CV alto. ","")&amp;IF(AND(N(AD420)&gt;0,N(AD420)&gt;N(AF420)),"Absorción alta. ","")))</f>
        <v/>
      </c>
      <c r="AH420" s="22" t="str">
        <f aca="false">IF(AND(N(M420)&gt;0,OR(CONTROL!$C$4="TODAS",C420=CONTROL!$C$4),D420=CONTROL!$C$5),MAX($AH$4:AH419)+1,"")</f>
        <v/>
      </c>
      <c r="AI420" s="22" t="str">
        <f aca="false">IF(AH420="","",P420^2)</f>
        <v/>
      </c>
    </row>
    <row r="421" customFormat="false" ht="15" hidden="false" customHeight="false" outlineLevel="0" collapsed="false">
      <c r="A421" s="11" t="str">
        <f aca="false">IF(B421="","",ROW()-4)</f>
        <v/>
      </c>
      <c r="B421" s="12"/>
      <c r="C421" s="13"/>
      <c r="D421" s="13"/>
      <c r="E421" s="13"/>
      <c r="F421" s="14" t="str">
        <f aca="false">IF(OR(B421="",C421="",D421=""),"",IFERROR(INDEX(CONFIG!$E$5:$E$14,MATCH(D421,CONFIG!$D$5:$D$14,0)),"?")&amp;RIGHT("0"&amp;DAY(B421),2)&amp;RIGHT("0"&amp;MONTH(B421),2)&amp;RIGHT(YEAR(B421),2)&amp;C421&amp;IF(E421="","","-"&amp;E421))</f>
        <v/>
      </c>
      <c r="G421" s="13"/>
      <c r="H421" s="13"/>
      <c r="I421" s="13"/>
      <c r="J421" s="13"/>
      <c r="K421" s="13"/>
      <c r="L421" s="13"/>
      <c r="M421" s="11" t="str">
        <f aca="false">IF(F421="","",COUNTIFS(ENSAYOS!$C$5:$C$3004,F421,ENSAYOS!$Q$5:$Q$3004,"&gt;0"))</f>
        <v/>
      </c>
      <c r="N421" s="15" t="str">
        <f aca="false">IF(N(M421)=0,"",_xlfn.MINIFS(ENSAYOS!$G$5:$G$3004,ENSAYOS!$C$5:$C$3004,F421,ENSAYOS!$Q$5:$Q$3004,"&gt;0"))</f>
        <v/>
      </c>
      <c r="O421" s="15" t="str">
        <f aca="false">IF(N(M421)=0,"",_xlfn.MAXIFS(ENSAYOS!$G$5:$G$3004,ENSAYOS!$C$5:$C$3004,F421,ENSAYOS!$Q$5:$Q$3004,"&gt;0"))</f>
        <v/>
      </c>
      <c r="P421" s="16" t="str">
        <f aca="false">IF(N(M421)=0,"",AVERAGEIFS(ENSAYOS!$Q$5:$Q$3004,ENSAYOS!$C$5:$C$3004,F421,ENSAYOS!$Q$5:$Q$3004,"&gt;0"))</f>
        <v/>
      </c>
      <c r="Q421" s="16" t="str">
        <f aca="false">IF(N(M421)=0,"",_xlfn.MINIFS(ENSAYOS!$Q$5:$Q$3004,ENSAYOS!$C$5:$C$3004,F421,ENSAYOS!$Q$5:$Q$3004,"&gt;0"))</f>
        <v/>
      </c>
      <c r="R421" s="16" t="str">
        <f aca="false">IF(N(M421)=0,"",_xlfn.MAXIFS(ENSAYOS!$Q$5:$Q$3004,ENSAYOS!$C$5:$C$3004,F421,ENSAYOS!$Q$5:$Q$3004,"&gt;0"))</f>
        <v/>
      </c>
      <c r="S421" s="16" t="str">
        <f aca="false">IF(N(M421)&lt;2,"",SQRT(MAX(0,(SUMIFS(ENSAYOS!$X$5:$X$3004,ENSAYOS!$C$5:$C$3004,F421,ENSAYOS!$Q$5:$Q$3004,"&gt;0")-M421*P421^2)/(M421-1))))</f>
        <v/>
      </c>
      <c r="T421" s="17" t="str">
        <f aca="false">IF(S421="","",S421/P421)</f>
        <v/>
      </c>
      <c r="U421" s="16" t="str">
        <f aca="false">IF(N(M421)=0,"",IF(N421&gt;=CONFIG!$B$27,"",AVERAGEIFS(ENSAYOS!$Q$5:$Q$3004,ENSAYOS!$C$5:$C$3004,F421,ENSAYOS!$Q$5:$Q$3004,"&gt;0",ENSAYOS!$G$5:$G$3004,N421)))</f>
        <v/>
      </c>
      <c r="V421" s="16" t="str">
        <f aca="false">IF(N(M421)=0,"",IF(COUNTIFS(ENSAYOS!$C$5:$C$3004,F421,ENSAYOS!$Q$5:$Q$3004,"&gt;0",ENSAYOS!$G$5:$G$3004,"&gt;="&amp;CONFIG!$B$27)=0,"",AVERAGEIFS(ENSAYOS!$Q$5:$Q$3004,ENSAYOS!$C$5:$C$3004,F421,ENSAYOS!$Q$5:$Q$3004,"&gt;0",ENSAYOS!$G$5:$G$3004,"&gt;="&amp;CONFIG!$B$27)))</f>
        <v/>
      </c>
      <c r="W421" s="18" t="str">
        <f aca="false">IF(AND(U421&lt;&gt;"",V421&lt;&gt;""),U421/V421,"")</f>
        <v/>
      </c>
      <c r="X421" s="18" t="str">
        <f aca="false">IF(U421="","",INDEX('CURVA EDAD'!$E$5:$E$32,MIN(28,MAX(1,N421))))</f>
        <v/>
      </c>
      <c r="Y421" s="16" t="str">
        <f aca="false">IF(V421&lt;&gt;"",V421,IF(U421="","",U421/X421))</f>
        <v/>
      </c>
      <c r="Z421" s="16" t="str">
        <f aca="false">IF(V421&lt;&gt;"",_xlfn.MINIFS(ENSAYOS!$Q$5:$Q$3004,ENSAYOS!$C$5:$C$3004,F421,ENSAYOS!$Q$5:$Q$3004,"&gt;0",ENSAYOS!$G$5:$G$3004,"&gt;="&amp;CONFIG!$B$27),IF(U421="","",_xlfn.MINIFS(ENSAYOS!$Q$5:$Q$3004,ENSAYOS!$C$5:$C$3004,F421,ENSAYOS!$Q$5:$Q$3004,"&gt;0",ENSAYOS!$G$5:$G$3004,N421)/X421))</f>
        <v/>
      </c>
      <c r="AA421" s="16" t="str">
        <f aca="false">IF(D421="","",IFERROR(1/(1/INDEX(CONFIG!$J$5:$J$14,MATCH(D421,CONFIG!$D$5:$D$14,0))),""))</f>
        <v/>
      </c>
      <c r="AB421" s="16" t="str">
        <f aca="false">IF(D421="","",IFERROR(1/(1/INDEX(CONFIG!$K$5:$K$14,MATCH(D421,CONFIG!$D$5:$D$14,0))),""))</f>
        <v/>
      </c>
      <c r="AC421" s="19" t="str">
        <f aca="false">IF(N(M421)=0,"",IF(AA421="","Sin spec",IF(AND(Y421&gt;=AA421,OR(AB421="",Z421&gt;=AB421)),"CUMPLE","NO CUMPLE")&amp;IF(V421=""," (est.)","")))</f>
        <v/>
      </c>
      <c r="AD421" s="20" t="str">
        <f aca="false">IF(F421="","",IF(COUNTIFS(ABSORCION!$C$5:$C$1004,F421,ABSORCION!$I$5:$I$1004,"&gt;0")=0,"",AVERAGEIFS(ABSORCION!$I$5:$I$1004,ABSORCION!$C$5:$C$1004,F421,ABSORCION!$I$5:$I$1004,"&gt;0")))</f>
        <v/>
      </c>
      <c r="AE421" s="20" t="str">
        <f aca="false">IF(F421="","",IF(COUNTIFS(ABSORCION!$C$5:$C$1004,F421,ABSORCION!$I$5:$I$1004,"&gt;0")=0,"",AVERAGEIFS(ABSORCION!$K$5:$K$1004,ABSORCION!$C$5:$C$1004,F421,ABSORCION!$I$5:$I$1004,"&gt;0")))</f>
        <v/>
      </c>
      <c r="AF421" s="20" t="str">
        <f aca="false">IF(AE421="","",IF(AE421&gt;=CONFIG!$E$21,CONFIG!$F$21,IF(AE421&gt;=CONFIG!$E$20,CONFIG!$F$20,CONFIG!$F$19)))</f>
        <v/>
      </c>
      <c r="AG421" s="21" t="str">
        <f aca="false">IF(F421="","",TRIM(IF(N(M421)=0,"Sin ensayos. ","")&amp;IF(AND(N(M421)&gt;0,N(M421)&lt;CONFIG!$B$26),"Menos de "&amp;CONFIG!$B$26&amp;" probetas. ","")&amp;IF(N(T421)&gt;CONFIG!$B$25,"CV alto. ","")&amp;IF(AND(N(AD421)&gt;0,N(AD421)&gt;N(AF421)),"Absorción alta. ","")))</f>
        <v/>
      </c>
      <c r="AH421" s="22" t="str">
        <f aca="false">IF(AND(N(M421)&gt;0,OR(CONTROL!$C$4="TODAS",C421=CONTROL!$C$4),D421=CONTROL!$C$5),MAX($AH$4:AH420)+1,"")</f>
        <v/>
      </c>
      <c r="AI421" s="22" t="str">
        <f aca="false">IF(AH421="","",P421^2)</f>
        <v/>
      </c>
    </row>
    <row r="422" customFormat="false" ht="15" hidden="false" customHeight="false" outlineLevel="0" collapsed="false">
      <c r="A422" s="11" t="str">
        <f aca="false">IF(B422="","",ROW()-4)</f>
        <v/>
      </c>
      <c r="B422" s="12"/>
      <c r="C422" s="13"/>
      <c r="D422" s="13"/>
      <c r="E422" s="13"/>
      <c r="F422" s="14" t="str">
        <f aca="false">IF(OR(B422="",C422="",D422=""),"",IFERROR(INDEX(CONFIG!$E$5:$E$14,MATCH(D422,CONFIG!$D$5:$D$14,0)),"?")&amp;RIGHT("0"&amp;DAY(B422),2)&amp;RIGHT("0"&amp;MONTH(B422),2)&amp;RIGHT(YEAR(B422),2)&amp;C422&amp;IF(E422="","","-"&amp;E422))</f>
        <v/>
      </c>
      <c r="G422" s="13"/>
      <c r="H422" s="13"/>
      <c r="I422" s="13"/>
      <c r="J422" s="13"/>
      <c r="K422" s="13"/>
      <c r="L422" s="13"/>
      <c r="M422" s="11" t="str">
        <f aca="false">IF(F422="","",COUNTIFS(ENSAYOS!$C$5:$C$3004,F422,ENSAYOS!$Q$5:$Q$3004,"&gt;0"))</f>
        <v/>
      </c>
      <c r="N422" s="15" t="str">
        <f aca="false">IF(N(M422)=0,"",_xlfn.MINIFS(ENSAYOS!$G$5:$G$3004,ENSAYOS!$C$5:$C$3004,F422,ENSAYOS!$Q$5:$Q$3004,"&gt;0"))</f>
        <v/>
      </c>
      <c r="O422" s="15" t="str">
        <f aca="false">IF(N(M422)=0,"",_xlfn.MAXIFS(ENSAYOS!$G$5:$G$3004,ENSAYOS!$C$5:$C$3004,F422,ENSAYOS!$Q$5:$Q$3004,"&gt;0"))</f>
        <v/>
      </c>
      <c r="P422" s="16" t="str">
        <f aca="false">IF(N(M422)=0,"",AVERAGEIFS(ENSAYOS!$Q$5:$Q$3004,ENSAYOS!$C$5:$C$3004,F422,ENSAYOS!$Q$5:$Q$3004,"&gt;0"))</f>
        <v/>
      </c>
      <c r="Q422" s="16" t="str">
        <f aca="false">IF(N(M422)=0,"",_xlfn.MINIFS(ENSAYOS!$Q$5:$Q$3004,ENSAYOS!$C$5:$C$3004,F422,ENSAYOS!$Q$5:$Q$3004,"&gt;0"))</f>
        <v/>
      </c>
      <c r="R422" s="16" t="str">
        <f aca="false">IF(N(M422)=0,"",_xlfn.MAXIFS(ENSAYOS!$Q$5:$Q$3004,ENSAYOS!$C$5:$C$3004,F422,ENSAYOS!$Q$5:$Q$3004,"&gt;0"))</f>
        <v/>
      </c>
      <c r="S422" s="16" t="str">
        <f aca="false">IF(N(M422)&lt;2,"",SQRT(MAX(0,(SUMIFS(ENSAYOS!$X$5:$X$3004,ENSAYOS!$C$5:$C$3004,F422,ENSAYOS!$Q$5:$Q$3004,"&gt;0")-M422*P422^2)/(M422-1))))</f>
        <v/>
      </c>
      <c r="T422" s="17" t="str">
        <f aca="false">IF(S422="","",S422/P422)</f>
        <v/>
      </c>
      <c r="U422" s="16" t="str">
        <f aca="false">IF(N(M422)=0,"",IF(N422&gt;=CONFIG!$B$27,"",AVERAGEIFS(ENSAYOS!$Q$5:$Q$3004,ENSAYOS!$C$5:$C$3004,F422,ENSAYOS!$Q$5:$Q$3004,"&gt;0",ENSAYOS!$G$5:$G$3004,N422)))</f>
        <v/>
      </c>
      <c r="V422" s="16" t="str">
        <f aca="false">IF(N(M422)=0,"",IF(COUNTIFS(ENSAYOS!$C$5:$C$3004,F422,ENSAYOS!$Q$5:$Q$3004,"&gt;0",ENSAYOS!$G$5:$G$3004,"&gt;="&amp;CONFIG!$B$27)=0,"",AVERAGEIFS(ENSAYOS!$Q$5:$Q$3004,ENSAYOS!$C$5:$C$3004,F422,ENSAYOS!$Q$5:$Q$3004,"&gt;0",ENSAYOS!$G$5:$G$3004,"&gt;="&amp;CONFIG!$B$27)))</f>
        <v/>
      </c>
      <c r="W422" s="18" t="str">
        <f aca="false">IF(AND(U422&lt;&gt;"",V422&lt;&gt;""),U422/V422,"")</f>
        <v/>
      </c>
      <c r="X422" s="18" t="str">
        <f aca="false">IF(U422="","",INDEX('CURVA EDAD'!$E$5:$E$32,MIN(28,MAX(1,N422))))</f>
        <v/>
      </c>
      <c r="Y422" s="16" t="str">
        <f aca="false">IF(V422&lt;&gt;"",V422,IF(U422="","",U422/X422))</f>
        <v/>
      </c>
      <c r="Z422" s="16" t="str">
        <f aca="false">IF(V422&lt;&gt;"",_xlfn.MINIFS(ENSAYOS!$Q$5:$Q$3004,ENSAYOS!$C$5:$C$3004,F422,ENSAYOS!$Q$5:$Q$3004,"&gt;0",ENSAYOS!$G$5:$G$3004,"&gt;="&amp;CONFIG!$B$27),IF(U422="","",_xlfn.MINIFS(ENSAYOS!$Q$5:$Q$3004,ENSAYOS!$C$5:$C$3004,F422,ENSAYOS!$Q$5:$Q$3004,"&gt;0",ENSAYOS!$G$5:$G$3004,N422)/X422))</f>
        <v/>
      </c>
      <c r="AA422" s="16" t="str">
        <f aca="false">IF(D422="","",IFERROR(1/(1/INDEX(CONFIG!$J$5:$J$14,MATCH(D422,CONFIG!$D$5:$D$14,0))),""))</f>
        <v/>
      </c>
      <c r="AB422" s="16" t="str">
        <f aca="false">IF(D422="","",IFERROR(1/(1/INDEX(CONFIG!$K$5:$K$14,MATCH(D422,CONFIG!$D$5:$D$14,0))),""))</f>
        <v/>
      </c>
      <c r="AC422" s="19" t="str">
        <f aca="false">IF(N(M422)=0,"",IF(AA422="","Sin spec",IF(AND(Y422&gt;=AA422,OR(AB422="",Z422&gt;=AB422)),"CUMPLE","NO CUMPLE")&amp;IF(V422=""," (est.)","")))</f>
        <v/>
      </c>
      <c r="AD422" s="20" t="str">
        <f aca="false">IF(F422="","",IF(COUNTIFS(ABSORCION!$C$5:$C$1004,F422,ABSORCION!$I$5:$I$1004,"&gt;0")=0,"",AVERAGEIFS(ABSORCION!$I$5:$I$1004,ABSORCION!$C$5:$C$1004,F422,ABSORCION!$I$5:$I$1004,"&gt;0")))</f>
        <v/>
      </c>
      <c r="AE422" s="20" t="str">
        <f aca="false">IF(F422="","",IF(COUNTIFS(ABSORCION!$C$5:$C$1004,F422,ABSORCION!$I$5:$I$1004,"&gt;0")=0,"",AVERAGEIFS(ABSORCION!$K$5:$K$1004,ABSORCION!$C$5:$C$1004,F422,ABSORCION!$I$5:$I$1004,"&gt;0")))</f>
        <v/>
      </c>
      <c r="AF422" s="20" t="str">
        <f aca="false">IF(AE422="","",IF(AE422&gt;=CONFIG!$E$21,CONFIG!$F$21,IF(AE422&gt;=CONFIG!$E$20,CONFIG!$F$20,CONFIG!$F$19)))</f>
        <v/>
      </c>
      <c r="AG422" s="21" t="str">
        <f aca="false">IF(F422="","",TRIM(IF(N(M422)=0,"Sin ensayos. ","")&amp;IF(AND(N(M422)&gt;0,N(M422)&lt;CONFIG!$B$26),"Menos de "&amp;CONFIG!$B$26&amp;" probetas. ","")&amp;IF(N(T422)&gt;CONFIG!$B$25,"CV alto. ","")&amp;IF(AND(N(AD422)&gt;0,N(AD422)&gt;N(AF422)),"Absorción alta. ","")))</f>
        <v/>
      </c>
      <c r="AH422" s="22" t="str">
        <f aca="false">IF(AND(N(M422)&gt;0,OR(CONTROL!$C$4="TODAS",C422=CONTROL!$C$4),D422=CONTROL!$C$5),MAX($AH$4:AH421)+1,"")</f>
        <v/>
      </c>
      <c r="AI422" s="22" t="str">
        <f aca="false">IF(AH422="","",P422^2)</f>
        <v/>
      </c>
    </row>
    <row r="423" customFormat="false" ht="15" hidden="false" customHeight="false" outlineLevel="0" collapsed="false">
      <c r="A423" s="11" t="str">
        <f aca="false">IF(B423="","",ROW()-4)</f>
        <v/>
      </c>
      <c r="B423" s="12"/>
      <c r="C423" s="13"/>
      <c r="D423" s="13"/>
      <c r="E423" s="13"/>
      <c r="F423" s="14" t="str">
        <f aca="false">IF(OR(B423="",C423="",D423=""),"",IFERROR(INDEX(CONFIG!$E$5:$E$14,MATCH(D423,CONFIG!$D$5:$D$14,0)),"?")&amp;RIGHT("0"&amp;DAY(B423),2)&amp;RIGHT("0"&amp;MONTH(B423),2)&amp;RIGHT(YEAR(B423),2)&amp;C423&amp;IF(E423="","","-"&amp;E423))</f>
        <v/>
      </c>
      <c r="G423" s="13"/>
      <c r="H423" s="13"/>
      <c r="I423" s="13"/>
      <c r="J423" s="13"/>
      <c r="K423" s="13"/>
      <c r="L423" s="13"/>
      <c r="M423" s="11" t="str">
        <f aca="false">IF(F423="","",COUNTIFS(ENSAYOS!$C$5:$C$3004,F423,ENSAYOS!$Q$5:$Q$3004,"&gt;0"))</f>
        <v/>
      </c>
      <c r="N423" s="15" t="str">
        <f aca="false">IF(N(M423)=0,"",_xlfn.MINIFS(ENSAYOS!$G$5:$G$3004,ENSAYOS!$C$5:$C$3004,F423,ENSAYOS!$Q$5:$Q$3004,"&gt;0"))</f>
        <v/>
      </c>
      <c r="O423" s="15" t="str">
        <f aca="false">IF(N(M423)=0,"",_xlfn.MAXIFS(ENSAYOS!$G$5:$G$3004,ENSAYOS!$C$5:$C$3004,F423,ENSAYOS!$Q$5:$Q$3004,"&gt;0"))</f>
        <v/>
      </c>
      <c r="P423" s="16" t="str">
        <f aca="false">IF(N(M423)=0,"",AVERAGEIFS(ENSAYOS!$Q$5:$Q$3004,ENSAYOS!$C$5:$C$3004,F423,ENSAYOS!$Q$5:$Q$3004,"&gt;0"))</f>
        <v/>
      </c>
      <c r="Q423" s="16" t="str">
        <f aca="false">IF(N(M423)=0,"",_xlfn.MINIFS(ENSAYOS!$Q$5:$Q$3004,ENSAYOS!$C$5:$C$3004,F423,ENSAYOS!$Q$5:$Q$3004,"&gt;0"))</f>
        <v/>
      </c>
      <c r="R423" s="16" t="str">
        <f aca="false">IF(N(M423)=0,"",_xlfn.MAXIFS(ENSAYOS!$Q$5:$Q$3004,ENSAYOS!$C$5:$C$3004,F423,ENSAYOS!$Q$5:$Q$3004,"&gt;0"))</f>
        <v/>
      </c>
      <c r="S423" s="16" t="str">
        <f aca="false">IF(N(M423)&lt;2,"",SQRT(MAX(0,(SUMIFS(ENSAYOS!$X$5:$X$3004,ENSAYOS!$C$5:$C$3004,F423,ENSAYOS!$Q$5:$Q$3004,"&gt;0")-M423*P423^2)/(M423-1))))</f>
        <v/>
      </c>
      <c r="T423" s="17" t="str">
        <f aca="false">IF(S423="","",S423/P423)</f>
        <v/>
      </c>
      <c r="U423" s="16" t="str">
        <f aca="false">IF(N(M423)=0,"",IF(N423&gt;=CONFIG!$B$27,"",AVERAGEIFS(ENSAYOS!$Q$5:$Q$3004,ENSAYOS!$C$5:$C$3004,F423,ENSAYOS!$Q$5:$Q$3004,"&gt;0",ENSAYOS!$G$5:$G$3004,N423)))</f>
        <v/>
      </c>
      <c r="V423" s="16" t="str">
        <f aca="false">IF(N(M423)=0,"",IF(COUNTIFS(ENSAYOS!$C$5:$C$3004,F423,ENSAYOS!$Q$5:$Q$3004,"&gt;0",ENSAYOS!$G$5:$G$3004,"&gt;="&amp;CONFIG!$B$27)=0,"",AVERAGEIFS(ENSAYOS!$Q$5:$Q$3004,ENSAYOS!$C$5:$C$3004,F423,ENSAYOS!$Q$5:$Q$3004,"&gt;0",ENSAYOS!$G$5:$G$3004,"&gt;="&amp;CONFIG!$B$27)))</f>
        <v/>
      </c>
      <c r="W423" s="18" t="str">
        <f aca="false">IF(AND(U423&lt;&gt;"",V423&lt;&gt;""),U423/V423,"")</f>
        <v/>
      </c>
      <c r="X423" s="18" t="str">
        <f aca="false">IF(U423="","",INDEX('CURVA EDAD'!$E$5:$E$32,MIN(28,MAX(1,N423))))</f>
        <v/>
      </c>
      <c r="Y423" s="16" t="str">
        <f aca="false">IF(V423&lt;&gt;"",V423,IF(U423="","",U423/X423))</f>
        <v/>
      </c>
      <c r="Z423" s="16" t="str">
        <f aca="false">IF(V423&lt;&gt;"",_xlfn.MINIFS(ENSAYOS!$Q$5:$Q$3004,ENSAYOS!$C$5:$C$3004,F423,ENSAYOS!$Q$5:$Q$3004,"&gt;0",ENSAYOS!$G$5:$G$3004,"&gt;="&amp;CONFIG!$B$27),IF(U423="","",_xlfn.MINIFS(ENSAYOS!$Q$5:$Q$3004,ENSAYOS!$C$5:$C$3004,F423,ENSAYOS!$Q$5:$Q$3004,"&gt;0",ENSAYOS!$G$5:$G$3004,N423)/X423))</f>
        <v/>
      </c>
      <c r="AA423" s="16" t="str">
        <f aca="false">IF(D423="","",IFERROR(1/(1/INDEX(CONFIG!$J$5:$J$14,MATCH(D423,CONFIG!$D$5:$D$14,0))),""))</f>
        <v/>
      </c>
      <c r="AB423" s="16" t="str">
        <f aca="false">IF(D423="","",IFERROR(1/(1/INDEX(CONFIG!$K$5:$K$14,MATCH(D423,CONFIG!$D$5:$D$14,0))),""))</f>
        <v/>
      </c>
      <c r="AC423" s="19" t="str">
        <f aca="false">IF(N(M423)=0,"",IF(AA423="","Sin spec",IF(AND(Y423&gt;=AA423,OR(AB423="",Z423&gt;=AB423)),"CUMPLE","NO CUMPLE")&amp;IF(V423=""," (est.)","")))</f>
        <v/>
      </c>
      <c r="AD423" s="20" t="str">
        <f aca="false">IF(F423="","",IF(COUNTIFS(ABSORCION!$C$5:$C$1004,F423,ABSORCION!$I$5:$I$1004,"&gt;0")=0,"",AVERAGEIFS(ABSORCION!$I$5:$I$1004,ABSORCION!$C$5:$C$1004,F423,ABSORCION!$I$5:$I$1004,"&gt;0")))</f>
        <v/>
      </c>
      <c r="AE423" s="20" t="str">
        <f aca="false">IF(F423="","",IF(COUNTIFS(ABSORCION!$C$5:$C$1004,F423,ABSORCION!$I$5:$I$1004,"&gt;0")=0,"",AVERAGEIFS(ABSORCION!$K$5:$K$1004,ABSORCION!$C$5:$C$1004,F423,ABSORCION!$I$5:$I$1004,"&gt;0")))</f>
        <v/>
      </c>
      <c r="AF423" s="20" t="str">
        <f aca="false">IF(AE423="","",IF(AE423&gt;=CONFIG!$E$21,CONFIG!$F$21,IF(AE423&gt;=CONFIG!$E$20,CONFIG!$F$20,CONFIG!$F$19)))</f>
        <v/>
      </c>
      <c r="AG423" s="21" t="str">
        <f aca="false">IF(F423="","",TRIM(IF(N(M423)=0,"Sin ensayos. ","")&amp;IF(AND(N(M423)&gt;0,N(M423)&lt;CONFIG!$B$26),"Menos de "&amp;CONFIG!$B$26&amp;" probetas. ","")&amp;IF(N(T423)&gt;CONFIG!$B$25,"CV alto. ","")&amp;IF(AND(N(AD423)&gt;0,N(AD423)&gt;N(AF423)),"Absorción alta. ","")))</f>
        <v/>
      </c>
      <c r="AH423" s="22" t="str">
        <f aca="false">IF(AND(N(M423)&gt;0,OR(CONTROL!$C$4="TODAS",C423=CONTROL!$C$4),D423=CONTROL!$C$5),MAX($AH$4:AH422)+1,"")</f>
        <v/>
      </c>
      <c r="AI423" s="22" t="str">
        <f aca="false">IF(AH423="","",P423^2)</f>
        <v/>
      </c>
    </row>
    <row r="424" customFormat="false" ht="15" hidden="false" customHeight="false" outlineLevel="0" collapsed="false">
      <c r="A424" s="11" t="str">
        <f aca="false">IF(B424="","",ROW()-4)</f>
        <v/>
      </c>
      <c r="B424" s="12"/>
      <c r="C424" s="13"/>
      <c r="D424" s="13"/>
      <c r="E424" s="13"/>
      <c r="F424" s="14" t="str">
        <f aca="false">IF(OR(B424="",C424="",D424=""),"",IFERROR(INDEX(CONFIG!$E$5:$E$14,MATCH(D424,CONFIG!$D$5:$D$14,0)),"?")&amp;RIGHT("0"&amp;DAY(B424),2)&amp;RIGHT("0"&amp;MONTH(B424),2)&amp;RIGHT(YEAR(B424),2)&amp;C424&amp;IF(E424="","","-"&amp;E424))</f>
        <v/>
      </c>
      <c r="G424" s="13"/>
      <c r="H424" s="13"/>
      <c r="I424" s="13"/>
      <c r="J424" s="13"/>
      <c r="K424" s="13"/>
      <c r="L424" s="13"/>
      <c r="M424" s="11" t="str">
        <f aca="false">IF(F424="","",COUNTIFS(ENSAYOS!$C$5:$C$3004,F424,ENSAYOS!$Q$5:$Q$3004,"&gt;0"))</f>
        <v/>
      </c>
      <c r="N424" s="15" t="str">
        <f aca="false">IF(N(M424)=0,"",_xlfn.MINIFS(ENSAYOS!$G$5:$G$3004,ENSAYOS!$C$5:$C$3004,F424,ENSAYOS!$Q$5:$Q$3004,"&gt;0"))</f>
        <v/>
      </c>
      <c r="O424" s="15" t="str">
        <f aca="false">IF(N(M424)=0,"",_xlfn.MAXIFS(ENSAYOS!$G$5:$G$3004,ENSAYOS!$C$5:$C$3004,F424,ENSAYOS!$Q$5:$Q$3004,"&gt;0"))</f>
        <v/>
      </c>
      <c r="P424" s="16" t="str">
        <f aca="false">IF(N(M424)=0,"",AVERAGEIFS(ENSAYOS!$Q$5:$Q$3004,ENSAYOS!$C$5:$C$3004,F424,ENSAYOS!$Q$5:$Q$3004,"&gt;0"))</f>
        <v/>
      </c>
      <c r="Q424" s="16" t="str">
        <f aca="false">IF(N(M424)=0,"",_xlfn.MINIFS(ENSAYOS!$Q$5:$Q$3004,ENSAYOS!$C$5:$C$3004,F424,ENSAYOS!$Q$5:$Q$3004,"&gt;0"))</f>
        <v/>
      </c>
      <c r="R424" s="16" t="str">
        <f aca="false">IF(N(M424)=0,"",_xlfn.MAXIFS(ENSAYOS!$Q$5:$Q$3004,ENSAYOS!$C$5:$C$3004,F424,ENSAYOS!$Q$5:$Q$3004,"&gt;0"))</f>
        <v/>
      </c>
      <c r="S424" s="16" t="str">
        <f aca="false">IF(N(M424)&lt;2,"",SQRT(MAX(0,(SUMIFS(ENSAYOS!$X$5:$X$3004,ENSAYOS!$C$5:$C$3004,F424,ENSAYOS!$Q$5:$Q$3004,"&gt;0")-M424*P424^2)/(M424-1))))</f>
        <v/>
      </c>
      <c r="T424" s="17" t="str">
        <f aca="false">IF(S424="","",S424/P424)</f>
        <v/>
      </c>
      <c r="U424" s="16" t="str">
        <f aca="false">IF(N(M424)=0,"",IF(N424&gt;=CONFIG!$B$27,"",AVERAGEIFS(ENSAYOS!$Q$5:$Q$3004,ENSAYOS!$C$5:$C$3004,F424,ENSAYOS!$Q$5:$Q$3004,"&gt;0",ENSAYOS!$G$5:$G$3004,N424)))</f>
        <v/>
      </c>
      <c r="V424" s="16" t="str">
        <f aca="false">IF(N(M424)=0,"",IF(COUNTIFS(ENSAYOS!$C$5:$C$3004,F424,ENSAYOS!$Q$5:$Q$3004,"&gt;0",ENSAYOS!$G$5:$G$3004,"&gt;="&amp;CONFIG!$B$27)=0,"",AVERAGEIFS(ENSAYOS!$Q$5:$Q$3004,ENSAYOS!$C$5:$C$3004,F424,ENSAYOS!$Q$5:$Q$3004,"&gt;0",ENSAYOS!$G$5:$G$3004,"&gt;="&amp;CONFIG!$B$27)))</f>
        <v/>
      </c>
      <c r="W424" s="18" t="str">
        <f aca="false">IF(AND(U424&lt;&gt;"",V424&lt;&gt;""),U424/V424,"")</f>
        <v/>
      </c>
      <c r="X424" s="18" t="str">
        <f aca="false">IF(U424="","",INDEX('CURVA EDAD'!$E$5:$E$32,MIN(28,MAX(1,N424))))</f>
        <v/>
      </c>
      <c r="Y424" s="16" t="str">
        <f aca="false">IF(V424&lt;&gt;"",V424,IF(U424="","",U424/X424))</f>
        <v/>
      </c>
      <c r="Z424" s="16" t="str">
        <f aca="false">IF(V424&lt;&gt;"",_xlfn.MINIFS(ENSAYOS!$Q$5:$Q$3004,ENSAYOS!$C$5:$C$3004,F424,ENSAYOS!$Q$5:$Q$3004,"&gt;0",ENSAYOS!$G$5:$G$3004,"&gt;="&amp;CONFIG!$B$27),IF(U424="","",_xlfn.MINIFS(ENSAYOS!$Q$5:$Q$3004,ENSAYOS!$C$5:$C$3004,F424,ENSAYOS!$Q$5:$Q$3004,"&gt;0",ENSAYOS!$G$5:$G$3004,N424)/X424))</f>
        <v/>
      </c>
      <c r="AA424" s="16" t="str">
        <f aca="false">IF(D424="","",IFERROR(1/(1/INDEX(CONFIG!$J$5:$J$14,MATCH(D424,CONFIG!$D$5:$D$14,0))),""))</f>
        <v/>
      </c>
      <c r="AB424" s="16" t="str">
        <f aca="false">IF(D424="","",IFERROR(1/(1/INDEX(CONFIG!$K$5:$K$14,MATCH(D424,CONFIG!$D$5:$D$14,0))),""))</f>
        <v/>
      </c>
      <c r="AC424" s="19" t="str">
        <f aca="false">IF(N(M424)=0,"",IF(AA424="","Sin spec",IF(AND(Y424&gt;=AA424,OR(AB424="",Z424&gt;=AB424)),"CUMPLE","NO CUMPLE")&amp;IF(V424=""," (est.)","")))</f>
        <v/>
      </c>
      <c r="AD424" s="20" t="str">
        <f aca="false">IF(F424="","",IF(COUNTIFS(ABSORCION!$C$5:$C$1004,F424,ABSORCION!$I$5:$I$1004,"&gt;0")=0,"",AVERAGEIFS(ABSORCION!$I$5:$I$1004,ABSORCION!$C$5:$C$1004,F424,ABSORCION!$I$5:$I$1004,"&gt;0")))</f>
        <v/>
      </c>
      <c r="AE424" s="20" t="str">
        <f aca="false">IF(F424="","",IF(COUNTIFS(ABSORCION!$C$5:$C$1004,F424,ABSORCION!$I$5:$I$1004,"&gt;0")=0,"",AVERAGEIFS(ABSORCION!$K$5:$K$1004,ABSORCION!$C$5:$C$1004,F424,ABSORCION!$I$5:$I$1004,"&gt;0")))</f>
        <v/>
      </c>
      <c r="AF424" s="20" t="str">
        <f aca="false">IF(AE424="","",IF(AE424&gt;=CONFIG!$E$21,CONFIG!$F$21,IF(AE424&gt;=CONFIG!$E$20,CONFIG!$F$20,CONFIG!$F$19)))</f>
        <v/>
      </c>
      <c r="AG424" s="21" t="str">
        <f aca="false">IF(F424="","",TRIM(IF(N(M424)=0,"Sin ensayos. ","")&amp;IF(AND(N(M424)&gt;0,N(M424)&lt;CONFIG!$B$26),"Menos de "&amp;CONFIG!$B$26&amp;" probetas. ","")&amp;IF(N(T424)&gt;CONFIG!$B$25,"CV alto. ","")&amp;IF(AND(N(AD424)&gt;0,N(AD424)&gt;N(AF424)),"Absorción alta. ","")))</f>
        <v/>
      </c>
      <c r="AH424" s="22" t="str">
        <f aca="false">IF(AND(N(M424)&gt;0,OR(CONTROL!$C$4="TODAS",C424=CONTROL!$C$4),D424=CONTROL!$C$5),MAX($AH$4:AH423)+1,"")</f>
        <v/>
      </c>
      <c r="AI424" s="22" t="str">
        <f aca="false">IF(AH424="","",P424^2)</f>
        <v/>
      </c>
    </row>
    <row r="425" customFormat="false" ht="15" hidden="false" customHeight="false" outlineLevel="0" collapsed="false">
      <c r="A425" s="11" t="str">
        <f aca="false">IF(B425="","",ROW()-4)</f>
        <v/>
      </c>
      <c r="B425" s="12"/>
      <c r="C425" s="13"/>
      <c r="D425" s="13"/>
      <c r="E425" s="13"/>
      <c r="F425" s="14" t="str">
        <f aca="false">IF(OR(B425="",C425="",D425=""),"",IFERROR(INDEX(CONFIG!$E$5:$E$14,MATCH(D425,CONFIG!$D$5:$D$14,0)),"?")&amp;RIGHT("0"&amp;DAY(B425),2)&amp;RIGHT("0"&amp;MONTH(B425),2)&amp;RIGHT(YEAR(B425),2)&amp;C425&amp;IF(E425="","","-"&amp;E425))</f>
        <v/>
      </c>
      <c r="G425" s="13"/>
      <c r="H425" s="13"/>
      <c r="I425" s="13"/>
      <c r="J425" s="13"/>
      <c r="K425" s="13"/>
      <c r="L425" s="13"/>
      <c r="M425" s="11" t="str">
        <f aca="false">IF(F425="","",COUNTIFS(ENSAYOS!$C$5:$C$3004,F425,ENSAYOS!$Q$5:$Q$3004,"&gt;0"))</f>
        <v/>
      </c>
      <c r="N425" s="15" t="str">
        <f aca="false">IF(N(M425)=0,"",_xlfn.MINIFS(ENSAYOS!$G$5:$G$3004,ENSAYOS!$C$5:$C$3004,F425,ENSAYOS!$Q$5:$Q$3004,"&gt;0"))</f>
        <v/>
      </c>
      <c r="O425" s="15" t="str">
        <f aca="false">IF(N(M425)=0,"",_xlfn.MAXIFS(ENSAYOS!$G$5:$G$3004,ENSAYOS!$C$5:$C$3004,F425,ENSAYOS!$Q$5:$Q$3004,"&gt;0"))</f>
        <v/>
      </c>
      <c r="P425" s="16" t="str">
        <f aca="false">IF(N(M425)=0,"",AVERAGEIFS(ENSAYOS!$Q$5:$Q$3004,ENSAYOS!$C$5:$C$3004,F425,ENSAYOS!$Q$5:$Q$3004,"&gt;0"))</f>
        <v/>
      </c>
      <c r="Q425" s="16" t="str">
        <f aca="false">IF(N(M425)=0,"",_xlfn.MINIFS(ENSAYOS!$Q$5:$Q$3004,ENSAYOS!$C$5:$C$3004,F425,ENSAYOS!$Q$5:$Q$3004,"&gt;0"))</f>
        <v/>
      </c>
      <c r="R425" s="16" t="str">
        <f aca="false">IF(N(M425)=0,"",_xlfn.MAXIFS(ENSAYOS!$Q$5:$Q$3004,ENSAYOS!$C$5:$C$3004,F425,ENSAYOS!$Q$5:$Q$3004,"&gt;0"))</f>
        <v/>
      </c>
      <c r="S425" s="16" t="str">
        <f aca="false">IF(N(M425)&lt;2,"",SQRT(MAX(0,(SUMIFS(ENSAYOS!$X$5:$X$3004,ENSAYOS!$C$5:$C$3004,F425,ENSAYOS!$Q$5:$Q$3004,"&gt;0")-M425*P425^2)/(M425-1))))</f>
        <v/>
      </c>
      <c r="T425" s="17" t="str">
        <f aca="false">IF(S425="","",S425/P425)</f>
        <v/>
      </c>
      <c r="U425" s="16" t="str">
        <f aca="false">IF(N(M425)=0,"",IF(N425&gt;=CONFIG!$B$27,"",AVERAGEIFS(ENSAYOS!$Q$5:$Q$3004,ENSAYOS!$C$5:$C$3004,F425,ENSAYOS!$Q$5:$Q$3004,"&gt;0",ENSAYOS!$G$5:$G$3004,N425)))</f>
        <v/>
      </c>
      <c r="V425" s="16" t="str">
        <f aca="false">IF(N(M425)=0,"",IF(COUNTIFS(ENSAYOS!$C$5:$C$3004,F425,ENSAYOS!$Q$5:$Q$3004,"&gt;0",ENSAYOS!$G$5:$G$3004,"&gt;="&amp;CONFIG!$B$27)=0,"",AVERAGEIFS(ENSAYOS!$Q$5:$Q$3004,ENSAYOS!$C$5:$C$3004,F425,ENSAYOS!$Q$5:$Q$3004,"&gt;0",ENSAYOS!$G$5:$G$3004,"&gt;="&amp;CONFIG!$B$27)))</f>
        <v/>
      </c>
      <c r="W425" s="18" t="str">
        <f aca="false">IF(AND(U425&lt;&gt;"",V425&lt;&gt;""),U425/V425,"")</f>
        <v/>
      </c>
      <c r="X425" s="18" t="str">
        <f aca="false">IF(U425="","",INDEX('CURVA EDAD'!$E$5:$E$32,MIN(28,MAX(1,N425))))</f>
        <v/>
      </c>
      <c r="Y425" s="16" t="str">
        <f aca="false">IF(V425&lt;&gt;"",V425,IF(U425="","",U425/X425))</f>
        <v/>
      </c>
      <c r="Z425" s="16" t="str">
        <f aca="false">IF(V425&lt;&gt;"",_xlfn.MINIFS(ENSAYOS!$Q$5:$Q$3004,ENSAYOS!$C$5:$C$3004,F425,ENSAYOS!$Q$5:$Q$3004,"&gt;0",ENSAYOS!$G$5:$G$3004,"&gt;="&amp;CONFIG!$B$27),IF(U425="","",_xlfn.MINIFS(ENSAYOS!$Q$5:$Q$3004,ENSAYOS!$C$5:$C$3004,F425,ENSAYOS!$Q$5:$Q$3004,"&gt;0",ENSAYOS!$G$5:$G$3004,N425)/X425))</f>
        <v/>
      </c>
      <c r="AA425" s="16" t="str">
        <f aca="false">IF(D425="","",IFERROR(1/(1/INDEX(CONFIG!$J$5:$J$14,MATCH(D425,CONFIG!$D$5:$D$14,0))),""))</f>
        <v/>
      </c>
      <c r="AB425" s="16" t="str">
        <f aca="false">IF(D425="","",IFERROR(1/(1/INDEX(CONFIG!$K$5:$K$14,MATCH(D425,CONFIG!$D$5:$D$14,0))),""))</f>
        <v/>
      </c>
      <c r="AC425" s="19" t="str">
        <f aca="false">IF(N(M425)=0,"",IF(AA425="","Sin spec",IF(AND(Y425&gt;=AA425,OR(AB425="",Z425&gt;=AB425)),"CUMPLE","NO CUMPLE")&amp;IF(V425=""," (est.)","")))</f>
        <v/>
      </c>
      <c r="AD425" s="20" t="str">
        <f aca="false">IF(F425="","",IF(COUNTIFS(ABSORCION!$C$5:$C$1004,F425,ABSORCION!$I$5:$I$1004,"&gt;0")=0,"",AVERAGEIFS(ABSORCION!$I$5:$I$1004,ABSORCION!$C$5:$C$1004,F425,ABSORCION!$I$5:$I$1004,"&gt;0")))</f>
        <v/>
      </c>
      <c r="AE425" s="20" t="str">
        <f aca="false">IF(F425="","",IF(COUNTIFS(ABSORCION!$C$5:$C$1004,F425,ABSORCION!$I$5:$I$1004,"&gt;0")=0,"",AVERAGEIFS(ABSORCION!$K$5:$K$1004,ABSORCION!$C$5:$C$1004,F425,ABSORCION!$I$5:$I$1004,"&gt;0")))</f>
        <v/>
      </c>
      <c r="AF425" s="20" t="str">
        <f aca="false">IF(AE425="","",IF(AE425&gt;=CONFIG!$E$21,CONFIG!$F$21,IF(AE425&gt;=CONFIG!$E$20,CONFIG!$F$20,CONFIG!$F$19)))</f>
        <v/>
      </c>
      <c r="AG425" s="21" t="str">
        <f aca="false">IF(F425="","",TRIM(IF(N(M425)=0,"Sin ensayos. ","")&amp;IF(AND(N(M425)&gt;0,N(M425)&lt;CONFIG!$B$26),"Menos de "&amp;CONFIG!$B$26&amp;" probetas. ","")&amp;IF(N(T425)&gt;CONFIG!$B$25,"CV alto. ","")&amp;IF(AND(N(AD425)&gt;0,N(AD425)&gt;N(AF425)),"Absorción alta. ","")))</f>
        <v/>
      </c>
      <c r="AH425" s="22" t="str">
        <f aca="false">IF(AND(N(M425)&gt;0,OR(CONTROL!$C$4="TODAS",C425=CONTROL!$C$4),D425=CONTROL!$C$5),MAX($AH$4:AH424)+1,"")</f>
        <v/>
      </c>
      <c r="AI425" s="22" t="str">
        <f aca="false">IF(AH425="","",P425^2)</f>
        <v/>
      </c>
    </row>
    <row r="426" customFormat="false" ht="15" hidden="false" customHeight="false" outlineLevel="0" collapsed="false">
      <c r="A426" s="11" t="str">
        <f aca="false">IF(B426="","",ROW()-4)</f>
        <v/>
      </c>
      <c r="B426" s="12"/>
      <c r="C426" s="13"/>
      <c r="D426" s="13"/>
      <c r="E426" s="13"/>
      <c r="F426" s="14" t="str">
        <f aca="false">IF(OR(B426="",C426="",D426=""),"",IFERROR(INDEX(CONFIG!$E$5:$E$14,MATCH(D426,CONFIG!$D$5:$D$14,0)),"?")&amp;RIGHT("0"&amp;DAY(B426),2)&amp;RIGHT("0"&amp;MONTH(B426),2)&amp;RIGHT(YEAR(B426),2)&amp;C426&amp;IF(E426="","","-"&amp;E426))</f>
        <v/>
      </c>
      <c r="G426" s="13"/>
      <c r="H426" s="13"/>
      <c r="I426" s="13"/>
      <c r="J426" s="13"/>
      <c r="K426" s="13"/>
      <c r="L426" s="13"/>
      <c r="M426" s="11" t="str">
        <f aca="false">IF(F426="","",COUNTIFS(ENSAYOS!$C$5:$C$3004,F426,ENSAYOS!$Q$5:$Q$3004,"&gt;0"))</f>
        <v/>
      </c>
      <c r="N426" s="15" t="str">
        <f aca="false">IF(N(M426)=0,"",_xlfn.MINIFS(ENSAYOS!$G$5:$G$3004,ENSAYOS!$C$5:$C$3004,F426,ENSAYOS!$Q$5:$Q$3004,"&gt;0"))</f>
        <v/>
      </c>
      <c r="O426" s="15" t="str">
        <f aca="false">IF(N(M426)=0,"",_xlfn.MAXIFS(ENSAYOS!$G$5:$G$3004,ENSAYOS!$C$5:$C$3004,F426,ENSAYOS!$Q$5:$Q$3004,"&gt;0"))</f>
        <v/>
      </c>
      <c r="P426" s="16" t="str">
        <f aca="false">IF(N(M426)=0,"",AVERAGEIFS(ENSAYOS!$Q$5:$Q$3004,ENSAYOS!$C$5:$C$3004,F426,ENSAYOS!$Q$5:$Q$3004,"&gt;0"))</f>
        <v/>
      </c>
      <c r="Q426" s="16" t="str">
        <f aca="false">IF(N(M426)=0,"",_xlfn.MINIFS(ENSAYOS!$Q$5:$Q$3004,ENSAYOS!$C$5:$C$3004,F426,ENSAYOS!$Q$5:$Q$3004,"&gt;0"))</f>
        <v/>
      </c>
      <c r="R426" s="16" t="str">
        <f aca="false">IF(N(M426)=0,"",_xlfn.MAXIFS(ENSAYOS!$Q$5:$Q$3004,ENSAYOS!$C$5:$C$3004,F426,ENSAYOS!$Q$5:$Q$3004,"&gt;0"))</f>
        <v/>
      </c>
      <c r="S426" s="16" t="str">
        <f aca="false">IF(N(M426)&lt;2,"",SQRT(MAX(0,(SUMIFS(ENSAYOS!$X$5:$X$3004,ENSAYOS!$C$5:$C$3004,F426,ENSAYOS!$Q$5:$Q$3004,"&gt;0")-M426*P426^2)/(M426-1))))</f>
        <v/>
      </c>
      <c r="T426" s="17" t="str">
        <f aca="false">IF(S426="","",S426/P426)</f>
        <v/>
      </c>
      <c r="U426" s="16" t="str">
        <f aca="false">IF(N(M426)=0,"",IF(N426&gt;=CONFIG!$B$27,"",AVERAGEIFS(ENSAYOS!$Q$5:$Q$3004,ENSAYOS!$C$5:$C$3004,F426,ENSAYOS!$Q$5:$Q$3004,"&gt;0",ENSAYOS!$G$5:$G$3004,N426)))</f>
        <v/>
      </c>
      <c r="V426" s="16" t="str">
        <f aca="false">IF(N(M426)=0,"",IF(COUNTIFS(ENSAYOS!$C$5:$C$3004,F426,ENSAYOS!$Q$5:$Q$3004,"&gt;0",ENSAYOS!$G$5:$G$3004,"&gt;="&amp;CONFIG!$B$27)=0,"",AVERAGEIFS(ENSAYOS!$Q$5:$Q$3004,ENSAYOS!$C$5:$C$3004,F426,ENSAYOS!$Q$5:$Q$3004,"&gt;0",ENSAYOS!$G$5:$G$3004,"&gt;="&amp;CONFIG!$B$27)))</f>
        <v/>
      </c>
      <c r="W426" s="18" t="str">
        <f aca="false">IF(AND(U426&lt;&gt;"",V426&lt;&gt;""),U426/V426,"")</f>
        <v/>
      </c>
      <c r="X426" s="18" t="str">
        <f aca="false">IF(U426="","",INDEX('CURVA EDAD'!$E$5:$E$32,MIN(28,MAX(1,N426))))</f>
        <v/>
      </c>
      <c r="Y426" s="16" t="str">
        <f aca="false">IF(V426&lt;&gt;"",V426,IF(U426="","",U426/X426))</f>
        <v/>
      </c>
      <c r="Z426" s="16" t="str">
        <f aca="false">IF(V426&lt;&gt;"",_xlfn.MINIFS(ENSAYOS!$Q$5:$Q$3004,ENSAYOS!$C$5:$C$3004,F426,ENSAYOS!$Q$5:$Q$3004,"&gt;0",ENSAYOS!$G$5:$G$3004,"&gt;="&amp;CONFIG!$B$27),IF(U426="","",_xlfn.MINIFS(ENSAYOS!$Q$5:$Q$3004,ENSAYOS!$C$5:$C$3004,F426,ENSAYOS!$Q$5:$Q$3004,"&gt;0",ENSAYOS!$G$5:$G$3004,N426)/X426))</f>
        <v/>
      </c>
      <c r="AA426" s="16" t="str">
        <f aca="false">IF(D426="","",IFERROR(1/(1/INDEX(CONFIG!$J$5:$J$14,MATCH(D426,CONFIG!$D$5:$D$14,0))),""))</f>
        <v/>
      </c>
      <c r="AB426" s="16" t="str">
        <f aca="false">IF(D426="","",IFERROR(1/(1/INDEX(CONFIG!$K$5:$K$14,MATCH(D426,CONFIG!$D$5:$D$14,0))),""))</f>
        <v/>
      </c>
      <c r="AC426" s="19" t="str">
        <f aca="false">IF(N(M426)=0,"",IF(AA426="","Sin spec",IF(AND(Y426&gt;=AA426,OR(AB426="",Z426&gt;=AB426)),"CUMPLE","NO CUMPLE")&amp;IF(V426=""," (est.)","")))</f>
        <v/>
      </c>
      <c r="AD426" s="20" t="str">
        <f aca="false">IF(F426="","",IF(COUNTIFS(ABSORCION!$C$5:$C$1004,F426,ABSORCION!$I$5:$I$1004,"&gt;0")=0,"",AVERAGEIFS(ABSORCION!$I$5:$I$1004,ABSORCION!$C$5:$C$1004,F426,ABSORCION!$I$5:$I$1004,"&gt;0")))</f>
        <v/>
      </c>
      <c r="AE426" s="20" t="str">
        <f aca="false">IF(F426="","",IF(COUNTIFS(ABSORCION!$C$5:$C$1004,F426,ABSORCION!$I$5:$I$1004,"&gt;0")=0,"",AVERAGEIFS(ABSORCION!$K$5:$K$1004,ABSORCION!$C$5:$C$1004,F426,ABSORCION!$I$5:$I$1004,"&gt;0")))</f>
        <v/>
      </c>
      <c r="AF426" s="20" t="str">
        <f aca="false">IF(AE426="","",IF(AE426&gt;=CONFIG!$E$21,CONFIG!$F$21,IF(AE426&gt;=CONFIG!$E$20,CONFIG!$F$20,CONFIG!$F$19)))</f>
        <v/>
      </c>
      <c r="AG426" s="21" t="str">
        <f aca="false">IF(F426="","",TRIM(IF(N(M426)=0,"Sin ensayos. ","")&amp;IF(AND(N(M426)&gt;0,N(M426)&lt;CONFIG!$B$26),"Menos de "&amp;CONFIG!$B$26&amp;" probetas. ","")&amp;IF(N(T426)&gt;CONFIG!$B$25,"CV alto. ","")&amp;IF(AND(N(AD426)&gt;0,N(AD426)&gt;N(AF426)),"Absorción alta. ","")))</f>
        <v/>
      </c>
      <c r="AH426" s="22" t="str">
        <f aca="false">IF(AND(N(M426)&gt;0,OR(CONTROL!$C$4="TODAS",C426=CONTROL!$C$4),D426=CONTROL!$C$5),MAX($AH$4:AH425)+1,"")</f>
        <v/>
      </c>
      <c r="AI426" s="22" t="str">
        <f aca="false">IF(AH426="","",P426^2)</f>
        <v/>
      </c>
    </row>
    <row r="427" customFormat="false" ht="15" hidden="false" customHeight="false" outlineLevel="0" collapsed="false">
      <c r="A427" s="11" t="str">
        <f aca="false">IF(B427="","",ROW()-4)</f>
        <v/>
      </c>
      <c r="B427" s="12"/>
      <c r="C427" s="13"/>
      <c r="D427" s="13"/>
      <c r="E427" s="13"/>
      <c r="F427" s="14" t="str">
        <f aca="false">IF(OR(B427="",C427="",D427=""),"",IFERROR(INDEX(CONFIG!$E$5:$E$14,MATCH(D427,CONFIG!$D$5:$D$14,0)),"?")&amp;RIGHT("0"&amp;DAY(B427),2)&amp;RIGHT("0"&amp;MONTH(B427),2)&amp;RIGHT(YEAR(B427),2)&amp;C427&amp;IF(E427="","","-"&amp;E427))</f>
        <v/>
      </c>
      <c r="G427" s="13"/>
      <c r="H427" s="13"/>
      <c r="I427" s="13"/>
      <c r="J427" s="13"/>
      <c r="K427" s="13"/>
      <c r="L427" s="13"/>
      <c r="M427" s="11" t="str">
        <f aca="false">IF(F427="","",COUNTIFS(ENSAYOS!$C$5:$C$3004,F427,ENSAYOS!$Q$5:$Q$3004,"&gt;0"))</f>
        <v/>
      </c>
      <c r="N427" s="15" t="str">
        <f aca="false">IF(N(M427)=0,"",_xlfn.MINIFS(ENSAYOS!$G$5:$G$3004,ENSAYOS!$C$5:$C$3004,F427,ENSAYOS!$Q$5:$Q$3004,"&gt;0"))</f>
        <v/>
      </c>
      <c r="O427" s="15" t="str">
        <f aca="false">IF(N(M427)=0,"",_xlfn.MAXIFS(ENSAYOS!$G$5:$G$3004,ENSAYOS!$C$5:$C$3004,F427,ENSAYOS!$Q$5:$Q$3004,"&gt;0"))</f>
        <v/>
      </c>
      <c r="P427" s="16" t="str">
        <f aca="false">IF(N(M427)=0,"",AVERAGEIFS(ENSAYOS!$Q$5:$Q$3004,ENSAYOS!$C$5:$C$3004,F427,ENSAYOS!$Q$5:$Q$3004,"&gt;0"))</f>
        <v/>
      </c>
      <c r="Q427" s="16" t="str">
        <f aca="false">IF(N(M427)=0,"",_xlfn.MINIFS(ENSAYOS!$Q$5:$Q$3004,ENSAYOS!$C$5:$C$3004,F427,ENSAYOS!$Q$5:$Q$3004,"&gt;0"))</f>
        <v/>
      </c>
      <c r="R427" s="16" t="str">
        <f aca="false">IF(N(M427)=0,"",_xlfn.MAXIFS(ENSAYOS!$Q$5:$Q$3004,ENSAYOS!$C$5:$C$3004,F427,ENSAYOS!$Q$5:$Q$3004,"&gt;0"))</f>
        <v/>
      </c>
      <c r="S427" s="16" t="str">
        <f aca="false">IF(N(M427)&lt;2,"",SQRT(MAX(0,(SUMIFS(ENSAYOS!$X$5:$X$3004,ENSAYOS!$C$5:$C$3004,F427,ENSAYOS!$Q$5:$Q$3004,"&gt;0")-M427*P427^2)/(M427-1))))</f>
        <v/>
      </c>
      <c r="T427" s="17" t="str">
        <f aca="false">IF(S427="","",S427/P427)</f>
        <v/>
      </c>
      <c r="U427" s="16" t="str">
        <f aca="false">IF(N(M427)=0,"",IF(N427&gt;=CONFIG!$B$27,"",AVERAGEIFS(ENSAYOS!$Q$5:$Q$3004,ENSAYOS!$C$5:$C$3004,F427,ENSAYOS!$Q$5:$Q$3004,"&gt;0",ENSAYOS!$G$5:$G$3004,N427)))</f>
        <v/>
      </c>
      <c r="V427" s="16" t="str">
        <f aca="false">IF(N(M427)=0,"",IF(COUNTIFS(ENSAYOS!$C$5:$C$3004,F427,ENSAYOS!$Q$5:$Q$3004,"&gt;0",ENSAYOS!$G$5:$G$3004,"&gt;="&amp;CONFIG!$B$27)=0,"",AVERAGEIFS(ENSAYOS!$Q$5:$Q$3004,ENSAYOS!$C$5:$C$3004,F427,ENSAYOS!$Q$5:$Q$3004,"&gt;0",ENSAYOS!$G$5:$G$3004,"&gt;="&amp;CONFIG!$B$27)))</f>
        <v/>
      </c>
      <c r="W427" s="18" t="str">
        <f aca="false">IF(AND(U427&lt;&gt;"",V427&lt;&gt;""),U427/V427,"")</f>
        <v/>
      </c>
      <c r="X427" s="18" t="str">
        <f aca="false">IF(U427="","",INDEX('CURVA EDAD'!$E$5:$E$32,MIN(28,MAX(1,N427))))</f>
        <v/>
      </c>
      <c r="Y427" s="16" t="str">
        <f aca="false">IF(V427&lt;&gt;"",V427,IF(U427="","",U427/X427))</f>
        <v/>
      </c>
      <c r="Z427" s="16" t="str">
        <f aca="false">IF(V427&lt;&gt;"",_xlfn.MINIFS(ENSAYOS!$Q$5:$Q$3004,ENSAYOS!$C$5:$C$3004,F427,ENSAYOS!$Q$5:$Q$3004,"&gt;0",ENSAYOS!$G$5:$G$3004,"&gt;="&amp;CONFIG!$B$27),IF(U427="","",_xlfn.MINIFS(ENSAYOS!$Q$5:$Q$3004,ENSAYOS!$C$5:$C$3004,F427,ENSAYOS!$Q$5:$Q$3004,"&gt;0",ENSAYOS!$G$5:$G$3004,N427)/X427))</f>
        <v/>
      </c>
      <c r="AA427" s="16" t="str">
        <f aca="false">IF(D427="","",IFERROR(1/(1/INDEX(CONFIG!$J$5:$J$14,MATCH(D427,CONFIG!$D$5:$D$14,0))),""))</f>
        <v/>
      </c>
      <c r="AB427" s="16" t="str">
        <f aca="false">IF(D427="","",IFERROR(1/(1/INDEX(CONFIG!$K$5:$K$14,MATCH(D427,CONFIG!$D$5:$D$14,0))),""))</f>
        <v/>
      </c>
      <c r="AC427" s="19" t="str">
        <f aca="false">IF(N(M427)=0,"",IF(AA427="","Sin spec",IF(AND(Y427&gt;=AA427,OR(AB427="",Z427&gt;=AB427)),"CUMPLE","NO CUMPLE")&amp;IF(V427=""," (est.)","")))</f>
        <v/>
      </c>
      <c r="AD427" s="20" t="str">
        <f aca="false">IF(F427="","",IF(COUNTIFS(ABSORCION!$C$5:$C$1004,F427,ABSORCION!$I$5:$I$1004,"&gt;0")=0,"",AVERAGEIFS(ABSORCION!$I$5:$I$1004,ABSORCION!$C$5:$C$1004,F427,ABSORCION!$I$5:$I$1004,"&gt;0")))</f>
        <v/>
      </c>
      <c r="AE427" s="20" t="str">
        <f aca="false">IF(F427="","",IF(COUNTIFS(ABSORCION!$C$5:$C$1004,F427,ABSORCION!$I$5:$I$1004,"&gt;0")=0,"",AVERAGEIFS(ABSORCION!$K$5:$K$1004,ABSORCION!$C$5:$C$1004,F427,ABSORCION!$I$5:$I$1004,"&gt;0")))</f>
        <v/>
      </c>
      <c r="AF427" s="20" t="str">
        <f aca="false">IF(AE427="","",IF(AE427&gt;=CONFIG!$E$21,CONFIG!$F$21,IF(AE427&gt;=CONFIG!$E$20,CONFIG!$F$20,CONFIG!$F$19)))</f>
        <v/>
      </c>
      <c r="AG427" s="21" t="str">
        <f aca="false">IF(F427="","",TRIM(IF(N(M427)=0,"Sin ensayos. ","")&amp;IF(AND(N(M427)&gt;0,N(M427)&lt;CONFIG!$B$26),"Menos de "&amp;CONFIG!$B$26&amp;" probetas. ","")&amp;IF(N(T427)&gt;CONFIG!$B$25,"CV alto. ","")&amp;IF(AND(N(AD427)&gt;0,N(AD427)&gt;N(AF427)),"Absorción alta. ","")))</f>
        <v/>
      </c>
      <c r="AH427" s="22" t="str">
        <f aca="false">IF(AND(N(M427)&gt;0,OR(CONTROL!$C$4="TODAS",C427=CONTROL!$C$4),D427=CONTROL!$C$5),MAX($AH$4:AH426)+1,"")</f>
        <v/>
      </c>
      <c r="AI427" s="22" t="str">
        <f aca="false">IF(AH427="","",P427^2)</f>
        <v/>
      </c>
    </row>
    <row r="428" customFormat="false" ht="15" hidden="false" customHeight="false" outlineLevel="0" collapsed="false">
      <c r="A428" s="11" t="str">
        <f aca="false">IF(B428="","",ROW()-4)</f>
        <v/>
      </c>
      <c r="B428" s="12"/>
      <c r="C428" s="13"/>
      <c r="D428" s="13"/>
      <c r="E428" s="13"/>
      <c r="F428" s="14" t="str">
        <f aca="false">IF(OR(B428="",C428="",D428=""),"",IFERROR(INDEX(CONFIG!$E$5:$E$14,MATCH(D428,CONFIG!$D$5:$D$14,0)),"?")&amp;RIGHT("0"&amp;DAY(B428),2)&amp;RIGHT("0"&amp;MONTH(B428),2)&amp;RIGHT(YEAR(B428),2)&amp;C428&amp;IF(E428="","","-"&amp;E428))</f>
        <v/>
      </c>
      <c r="G428" s="13"/>
      <c r="H428" s="13"/>
      <c r="I428" s="13"/>
      <c r="J428" s="13"/>
      <c r="K428" s="13"/>
      <c r="L428" s="13"/>
      <c r="M428" s="11" t="str">
        <f aca="false">IF(F428="","",COUNTIFS(ENSAYOS!$C$5:$C$3004,F428,ENSAYOS!$Q$5:$Q$3004,"&gt;0"))</f>
        <v/>
      </c>
      <c r="N428" s="15" t="str">
        <f aca="false">IF(N(M428)=0,"",_xlfn.MINIFS(ENSAYOS!$G$5:$G$3004,ENSAYOS!$C$5:$C$3004,F428,ENSAYOS!$Q$5:$Q$3004,"&gt;0"))</f>
        <v/>
      </c>
      <c r="O428" s="15" t="str">
        <f aca="false">IF(N(M428)=0,"",_xlfn.MAXIFS(ENSAYOS!$G$5:$G$3004,ENSAYOS!$C$5:$C$3004,F428,ENSAYOS!$Q$5:$Q$3004,"&gt;0"))</f>
        <v/>
      </c>
      <c r="P428" s="16" t="str">
        <f aca="false">IF(N(M428)=0,"",AVERAGEIFS(ENSAYOS!$Q$5:$Q$3004,ENSAYOS!$C$5:$C$3004,F428,ENSAYOS!$Q$5:$Q$3004,"&gt;0"))</f>
        <v/>
      </c>
      <c r="Q428" s="16" t="str">
        <f aca="false">IF(N(M428)=0,"",_xlfn.MINIFS(ENSAYOS!$Q$5:$Q$3004,ENSAYOS!$C$5:$C$3004,F428,ENSAYOS!$Q$5:$Q$3004,"&gt;0"))</f>
        <v/>
      </c>
      <c r="R428" s="16" t="str">
        <f aca="false">IF(N(M428)=0,"",_xlfn.MAXIFS(ENSAYOS!$Q$5:$Q$3004,ENSAYOS!$C$5:$C$3004,F428,ENSAYOS!$Q$5:$Q$3004,"&gt;0"))</f>
        <v/>
      </c>
      <c r="S428" s="16" t="str">
        <f aca="false">IF(N(M428)&lt;2,"",SQRT(MAX(0,(SUMIFS(ENSAYOS!$X$5:$X$3004,ENSAYOS!$C$5:$C$3004,F428,ENSAYOS!$Q$5:$Q$3004,"&gt;0")-M428*P428^2)/(M428-1))))</f>
        <v/>
      </c>
      <c r="T428" s="17" t="str">
        <f aca="false">IF(S428="","",S428/P428)</f>
        <v/>
      </c>
      <c r="U428" s="16" t="str">
        <f aca="false">IF(N(M428)=0,"",IF(N428&gt;=CONFIG!$B$27,"",AVERAGEIFS(ENSAYOS!$Q$5:$Q$3004,ENSAYOS!$C$5:$C$3004,F428,ENSAYOS!$Q$5:$Q$3004,"&gt;0",ENSAYOS!$G$5:$G$3004,N428)))</f>
        <v/>
      </c>
      <c r="V428" s="16" t="str">
        <f aca="false">IF(N(M428)=0,"",IF(COUNTIFS(ENSAYOS!$C$5:$C$3004,F428,ENSAYOS!$Q$5:$Q$3004,"&gt;0",ENSAYOS!$G$5:$G$3004,"&gt;="&amp;CONFIG!$B$27)=0,"",AVERAGEIFS(ENSAYOS!$Q$5:$Q$3004,ENSAYOS!$C$5:$C$3004,F428,ENSAYOS!$Q$5:$Q$3004,"&gt;0",ENSAYOS!$G$5:$G$3004,"&gt;="&amp;CONFIG!$B$27)))</f>
        <v/>
      </c>
      <c r="W428" s="18" t="str">
        <f aca="false">IF(AND(U428&lt;&gt;"",V428&lt;&gt;""),U428/V428,"")</f>
        <v/>
      </c>
      <c r="X428" s="18" t="str">
        <f aca="false">IF(U428="","",INDEX('CURVA EDAD'!$E$5:$E$32,MIN(28,MAX(1,N428))))</f>
        <v/>
      </c>
      <c r="Y428" s="16" t="str">
        <f aca="false">IF(V428&lt;&gt;"",V428,IF(U428="","",U428/X428))</f>
        <v/>
      </c>
      <c r="Z428" s="16" t="str">
        <f aca="false">IF(V428&lt;&gt;"",_xlfn.MINIFS(ENSAYOS!$Q$5:$Q$3004,ENSAYOS!$C$5:$C$3004,F428,ENSAYOS!$Q$5:$Q$3004,"&gt;0",ENSAYOS!$G$5:$G$3004,"&gt;="&amp;CONFIG!$B$27),IF(U428="","",_xlfn.MINIFS(ENSAYOS!$Q$5:$Q$3004,ENSAYOS!$C$5:$C$3004,F428,ENSAYOS!$Q$5:$Q$3004,"&gt;0",ENSAYOS!$G$5:$G$3004,N428)/X428))</f>
        <v/>
      </c>
      <c r="AA428" s="16" t="str">
        <f aca="false">IF(D428="","",IFERROR(1/(1/INDEX(CONFIG!$J$5:$J$14,MATCH(D428,CONFIG!$D$5:$D$14,0))),""))</f>
        <v/>
      </c>
      <c r="AB428" s="16" t="str">
        <f aca="false">IF(D428="","",IFERROR(1/(1/INDEX(CONFIG!$K$5:$K$14,MATCH(D428,CONFIG!$D$5:$D$14,0))),""))</f>
        <v/>
      </c>
      <c r="AC428" s="19" t="str">
        <f aca="false">IF(N(M428)=0,"",IF(AA428="","Sin spec",IF(AND(Y428&gt;=AA428,OR(AB428="",Z428&gt;=AB428)),"CUMPLE","NO CUMPLE")&amp;IF(V428=""," (est.)","")))</f>
        <v/>
      </c>
      <c r="AD428" s="20" t="str">
        <f aca="false">IF(F428="","",IF(COUNTIFS(ABSORCION!$C$5:$C$1004,F428,ABSORCION!$I$5:$I$1004,"&gt;0")=0,"",AVERAGEIFS(ABSORCION!$I$5:$I$1004,ABSORCION!$C$5:$C$1004,F428,ABSORCION!$I$5:$I$1004,"&gt;0")))</f>
        <v/>
      </c>
      <c r="AE428" s="20" t="str">
        <f aca="false">IF(F428="","",IF(COUNTIFS(ABSORCION!$C$5:$C$1004,F428,ABSORCION!$I$5:$I$1004,"&gt;0")=0,"",AVERAGEIFS(ABSORCION!$K$5:$K$1004,ABSORCION!$C$5:$C$1004,F428,ABSORCION!$I$5:$I$1004,"&gt;0")))</f>
        <v/>
      </c>
      <c r="AF428" s="20" t="str">
        <f aca="false">IF(AE428="","",IF(AE428&gt;=CONFIG!$E$21,CONFIG!$F$21,IF(AE428&gt;=CONFIG!$E$20,CONFIG!$F$20,CONFIG!$F$19)))</f>
        <v/>
      </c>
      <c r="AG428" s="21" t="str">
        <f aca="false">IF(F428="","",TRIM(IF(N(M428)=0,"Sin ensayos. ","")&amp;IF(AND(N(M428)&gt;0,N(M428)&lt;CONFIG!$B$26),"Menos de "&amp;CONFIG!$B$26&amp;" probetas. ","")&amp;IF(N(T428)&gt;CONFIG!$B$25,"CV alto. ","")&amp;IF(AND(N(AD428)&gt;0,N(AD428)&gt;N(AF428)),"Absorción alta. ","")))</f>
        <v/>
      </c>
      <c r="AH428" s="22" t="str">
        <f aca="false">IF(AND(N(M428)&gt;0,OR(CONTROL!$C$4="TODAS",C428=CONTROL!$C$4),D428=CONTROL!$C$5),MAX($AH$4:AH427)+1,"")</f>
        <v/>
      </c>
      <c r="AI428" s="22" t="str">
        <f aca="false">IF(AH428="","",P428^2)</f>
        <v/>
      </c>
    </row>
    <row r="429" customFormat="false" ht="15" hidden="false" customHeight="false" outlineLevel="0" collapsed="false">
      <c r="A429" s="11" t="str">
        <f aca="false">IF(B429="","",ROW()-4)</f>
        <v/>
      </c>
      <c r="B429" s="12"/>
      <c r="C429" s="13"/>
      <c r="D429" s="13"/>
      <c r="E429" s="13"/>
      <c r="F429" s="14" t="str">
        <f aca="false">IF(OR(B429="",C429="",D429=""),"",IFERROR(INDEX(CONFIG!$E$5:$E$14,MATCH(D429,CONFIG!$D$5:$D$14,0)),"?")&amp;RIGHT("0"&amp;DAY(B429),2)&amp;RIGHT("0"&amp;MONTH(B429),2)&amp;RIGHT(YEAR(B429),2)&amp;C429&amp;IF(E429="","","-"&amp;E429))</f>
        <v/>
      </c>
      <c r="G429" s="13"/>
      <c r="H429" s="13"/>
      <c r="I429" s="13"/>
      <c r="J429" s="13"/>
      <c r="K429" s="13"/>
      <c r="L429" s="13"/>
      <c r="M429" s="11" t="str">
        <f aca="false">IF(F429="","",COUNTIFS(ENSAYOS!$C$5:$C$3004,F429,ENSAYOS!$Q$5:$Q$3004,"&gt;0"))</f>
        <v/>
      </c>
      <c r="N429" s="15" t="str">
        <f aca="false">IF(N(M429)=0,"",_xlfn.MINIFS(ENSAYOS!$G$5:$G$3004,ENSAYOS!$C$5:$C$3004,F429,ENSAYOS!$Q$5:$Q$3004,"&gt;0"))</f>
        <v/>
      </c>
      <c r="O429" s="15" t="str">
        <f aca="false">IF(N(M429)=0,"",_xlfn.MAXIFS(ENSAYOS!$G$5:$G$3004,ENSAYOS!$C$5:$C$3004,F429,ENSAYOS!$Q$5:$Q$3004,"&gt;0"))</f>
        <v/>
      </c>
      <c r="P429" s="16" t="str">
        <f aca="false">IF(N(M429)=0,"",AVERAGEIFS(ENSAYOS!$Q$5:$Q$3004,ENSAYOS!$C$5:$C$3004,F429,ENSAYOS!$Q$5:$Q$3004,"&gt;0"))</f>
        <v/>
      </c>
      <c r="Q429" s="16" t="str">
        <f aca="false">IF(N(M429)=0,"",_xlfn.MINIFS(ENSAYOS!$Q$5:$Q$3004,ENSAYOS!$C$5:$C$3004,F429,ENSAYOS!$Q$5:$Q$3004,"&gt;0"))</f>
        <v/>
      </c>
      <c r="R429" s="16" t="str">
        <f aca="false">IF(N(M429)=0,"",_xlfn.MAXIFS(ENSAYOS!$Q$5:$Q$3004,ENSAYOS!$C$5:$C$3004,F429,ENSAYOS!$Q$5:$Q$3004,"&gt;0"))</f>
        <v/>
      </c>
      <c r="S429" s="16" t="str">
        <f aca="false">IF(N(M429)&lt;2,"",SQRT(MAX(0,(SUMIFS(ENSAYOS!$X$5:$X$3004,ENSAYOS!$C$5:$C$3004,F429,ENSAYOS!$Q$5:$Q$3004,"&gt;0")-M429*P429^2)/(M429-1))))</f>
        <v/>
      </c>
      <c r="T429" s="17" t="str">
        <f aca="false">IF(S429="","",S429/P429)</f>
        <v/>
      </c>
      <c r="U429" s="16" t="str">
        <f aca="false">IF(N(M429)=0,"",IF(N429&gt;=CONFIG!$B$27,"",AVERAGEIFS(ENSAYOS!$Q$5:$Q$3004,ENSAYOS!$C$5:$C$3004,F429,ENSAYOS!$Q$5:$Q$3004,"&gt;0",ENSAYOS!$G$5:$G$3004,N429)))</f>
        <v/>
      </c>
      <c r="V429" s="16" t="str">
        <f aca="false">IF(N(M429)=0,"",IF(COUNTIFS(ENSAYOS!$C$5:$C$3004,F429,ENSAYOS!$Q$5:$Q$3004,"&gt;0",ENSAYOS!$G$5:$G$3004,"&gt;="&amp;CONFIG!$B$27)=0,"",AVERAGEIFS(ENSAYOS!$Q$5:$Q$3004,ENSAYOS!$C$5:$C$3004,F429,ENSAYOS!$Q$5:$Q$3004,"&gt;0",ENSAYOS!$G$5:$G$3004,"&gt;="&amp;CONFIG!$B$27)))</f>
        <v/>
      </c>
      <c r="W429" s="18" t="str">
        <f aca="false">IF(AND(U429&lt;&gt;"",V429&lt;&gt;""),U429/V429,"")</f>
        <v/>
      </c>
      <c r="X429" s="18" t="str">
        <f aca="false">IF(U429="","",INDEX('CURVA EDAD'!$E$5:$E$32,MIN(28,MAX(1,N429))))</f>
        <v/>
      </c>
      <c r="Y429" s="16" t="str">
        <f aca="false">IF(V429&lt;&gt;"",V429,IF(U429="","",U429/X429))</f>
        <v/>
      </c>
      <c r="Z429" s="16" t="str">
        <f aca="false">IF(V429&lt;&gt;"",_xlfn.MINIFS(ENSAYOS!$Q$5:$Q$3004,ENSAYOS!$C$5:$C$3004,F429,ENSAYOS!$Q$5:$Q$3004,"&gt;0",ENSAYOS!$G$5:$G$3004,"&gt;="&amp;CONFIG!$B$27),IF(U429="","",_xlfn.MINIFS(ENSAYOS!$Q$5:$Q$3004,ENSAYOS!$C$5:$C$3004,F429,ENSAYOS!$Q$5:$Q$3004,"&gt;0",ENSAYOS!$G$5:$G$3004,N429)/X429))</f>
        <v/>
      </c>
      <c r="AA429" s="16" t="str">
        <f aca="false">IF(D429="","",IFERROR(1/(1/INDEX(CONFIG!$J$5:$J$14,MATCH(D429,CONFIG!$D$5:$D$14,0))),""))</f>
        <v/>
      </c>
      <c r="AB429" s="16" t="str">
        <f aca="false">IF(D429="","",IFERROR(1/(1/INDEX(CONFIG!$K$5:$K$14,MATCH(D429,CONFIG!$D$5:$D$14,0))),""))</f>
        <v/>
      </c>
      <c r="AC429" s="19" t="str">
        <f aca="false">IF(N(M429)=0,"",IF(AA429="","Sin spec",IF(AND(Y429&gt;=AA429,OR(AB429="",Z429&gt;=AB429)),"CUMPLE","NO CUMPLE")&amp;IF(V429=""," (est.)","")))</f>
        <v/>
      </c>
      <c r="AD429" s="20" t="str">
        <f aca="false">IF(F429="","",IF(COUNTIFS(ABSORCION!$C$5:$C$1004,F429,ABSORCION!$I$5:$I$1004,"&gt;0")=0,"",AVERAGEIFS(ABSORCION!$I$5:$I$1004,ABSORCION!$C$5:$C$1004,F429,ABSORCION!$I$5:$I$1004,"&gt;0")))</f>
        <v/>
      </c>
      <c r="AE429" s="20" t="str">
        <f aca="false">IF(F429="","",IF(COUNTIFS(ABSORCION!$C$5:$C$1004,F429,ABSORCION!$I$5:$I$1004,"&gt;0")=0,"",AVERAGEIFS(ABSORCION!$K$5:$K$1004,ABSORCION!$C$5:$C$1004,F429,ABSORCION!$I$5:$I$1004,"&gt;0")))</f>
        <v/>
      </c>
      <c r="AF429" s="20" t="str">
        <f aca="false">IF(AE429="","",IF(AE429&gt;=CONFIG!$E$21,CONFIG!$F$21,IF(AE429&gt;=CONFIG!$E$20,CONFIG!$F$20,CONFIG!$F$19)))</f>
        <v/>
      </c>
      <c r="AG429" s="21" t="str">
        <f aca="false">IF(F429="","",TRIM(IF(N(M429)=0,"Sin ensayos. ","")&amp;IF(AND(N(M429)&gt;0,N(M429)&lt;CONFIG!$B$26),"Menos de "&amp;CONFIG!$B$26&amp;" probetas. ","")&amp;IF(N(T429)&gt;CONFIG!$B$25,"CV alto. ","")&amp;IF(AND(N(AD429)&gt;0,N(AD429)&gt;N(AF429)),"Absorción alta. ","")))</f>
        <v/>
      </c>
      <c r="AH429" s="22" t="str">
        <f aca="false">IF(AND(N(M429)&gt;0,OR(CONTROL!$C$4="TODAS",C429=CONTROL!$C$4),D429=CONTROL!$C$5),MAX($AH$4:AH428)+1,"")</f>
        <v/>
      </c>
      <c r="AI429" s="22" t="str">
        <f aca="false">IF(AH429="","",P429^2)</f>
        <v/>
      </c>
    </row>
    <row r="430" customFormat="false" ht="15" hidden="false" customHeight="false" outlineLevel="0" collapsed="false">
      <c r="A430" s="11" t="str">
        <f aca="false">IF(B430="","",ROW()-4)</f>
        <v/>
      </c>
      <c r="B430" s="12"/>
      <c r="C430" s="13"/>
      <c r="D430" s="13"/>
      <c r="E430" s="13"/>
      <c r="F430" s="14" t="str">
        <f aca="false">IF(OR(B430="",C430="",D430=""),"",IFERROR(INDEX(CONFIG!$E$5:$E$14,MATCH(D430,CONFIG!$D$5:$D$14,0)),"?")&amp;RIGHT("0"&amp;DAY(B430),2)&amp;RIGHT("0"&amp;MONTH(B430),2)&amp;RIGHT(YEAR(B430),2)&amp;C430&amp;IF(E430="","","-"&amp;E430))</f>
        <v/>
      </c>
      <c r="G430" s="13"/>
      <c r="H430" s="13"/>
      <c r="I430" s="13"/>
      <c r="J430" s="13"/>
      <c r="K430" s="13"/>
      <c r="L430" s="13"/>
      <c r="M430" s="11" t="str">
        <f aca="false">IF(F430="","",COUNTIFS(ENSAYOS!$C$5:$C$3004,F430,ENSAYOS!$Q$5:$Q$3004,"&gt;0"))</f>
        <v/>
      </c>
      <c r="N430" s="15" t="str">
        <f aca="false">IF(N(M430)=0,"",_xlfn.MINIFS(ENSAYOS!$G$5:$G$3004,ENSAYOS!$C$5:$C$3004,F430,ENSAYOS!$Q$5:$Q$3004,"&gt;0"))</f>
        <v/>
      </c>
      <c r="O430" s="15" t="str">
        <f aca="false">IF(N(M430)=0,"",_xlfn.MAXIFS(ENSAYOS!$G$5:$G$3004,ENSAYOS!$C$5:$C$3004,F430,ENSAYOS!$Q$5:$Q$3004,"&gt;0"))</f>
        <v/>
      </c>
      <c r="P430" s="16" t="str">
        <f aca="false">IF(N(M430)=0,"",AVERAGEIFS(ENSAYOS!$Q$5:$Q$3004,ENSAYOS!$C$5:$C$3004,F430,ENSAYOS!$Q$5:$Q$3004,"&gt;0"))</f>
        <v/>
      </c>
      <c r="Q430" s="16" t="str">
        <f aca="false">IF(N(M430)=0,"",_xlfn.MINIFS(ENSAYOS!$Q$5:$Q$3004,ENSAYOS!$C$5:$C$3004,F430,ENSAYOS!$Q$5:$Q$3004,"&gt;0"))</f>
        <v/>
      </c>
      <c r="R430" s="16" t="str">
        <f aca="false">IF(N(M430)=0,"",_xlfn.MAXIFS(ENSAYOS!$Q$5:$Q$3004,ENSAYOS!$C$5:$C$3004,F430,ENSAYOS!$Q$5:$Q$3004,"&gt;0"))</f>
        <v/>
      </c>
      <c r="S430" s="16" t="str">
        <f aca="false">IF(N(M430)&lt;2,"",SQRT(MAX(0,(SUMIFS(ENSAYOS!$X$5:$X$3004,ENSAYOS!$C$5:$C$3004,F430,ENSAYOS!$Q$5:$Q$3004,"&gt;0")-M430*P430^2)/(M430-1))))</f>
        <v/>
      </c>
      <c r="T430" s="17" t="str">
        <f aca="false">IF(S430="","",S430/P430)</f>
        <v/>
      </c>
      <c r="U430" s="16" t="str">
        <f aca="false">IF(N(M430)=0,"",IF(N430&gt;=CONFIG!$B$27,"",AVERAGEIFS(ENSAYOS!$Q$5:$Q$3004,ENSAYOS!$C$5:$C$3004,F430,ENSAYOS!$Q$5:$Q$3004,"&gt;0",ENSAYOS!$G$5:$G$3004,N430)))</f>
        <v/>
      </c>
      <c r="V430" s="16" t="str">
        <f aca="false">IF(N(M430)=0,"",IF(COUNTIFS(ENSAYOS!$C$5:$C$3004,F430,ENSAYOS!$Q$5:$Q$3004,"&gt;0",ENSAYOS!$G$5:$G$3004,"&gt;="&amp;CONFIG!$B$27)=0,"",AVERAGEIFS(ENSAYOS!$Q$5:$Q$3004,ENSAYOS!$C$5:$C$3004,F430,ENSAYOS!$Q$5:$Q$3004,"&gt;0",ENSAYOS!$G$5:$G$3004,"&gt;="&amp;CONFIG!$B$27)))</f>
        <v/>
      </c>
      <c r="W430" s="18" t="str">
        <f aca="false">IF(AND(U430&lt;&gt;"",V430&lt;&gt;""),U430/V430,"")</f>
        <v/>
      </c>
      <c r="X430" s="18" t="str">
        <f aca="false">IF(U430="","",INDEX('CURVA EDAD'!$E$5:$E$32,MIN(28,MAX(1,N430))))</f>
        <v/>
      </c>
      <c r="Y430" s="16" t="str">
        <f aca="false">IF(V430&lt;&gt;"",V430,IF(U430="","",U430/X430))</f>
        <v/>
      </c>
      <c r="Z430" s="16" t="str">
        <f aca="false">IF(V430&lt;&gt;"",_xlfn.MINIFS(ENSAYOS!$Q$5:$Q$3004,ENSAYOS!$C$5:$C$3004,F430,ENSAYOS!$Q$5:$Q$3004,"&gt;0",ENSAYOS!$G$5:$G$3004,"&gt;="&amp;CONFIG!$B$27),IF(U430="","",_xlfn.MINIFS(ENSAYOS!$Q$5:$Q$3004,ENSAYOS!$C$5:$C$3004,F430,ENSAYOS!$Q$5:$Q$3004,"&gt;0",ENSAYOS!$G$5:$G$3004,N430)/X430))</f>
        <v/>
      </c>
      <c r="AA430" s="16" t="str">
        <f aca="false">IF(D430="","",IFERROR(1/(1/INDEX(CONFIG!$J$5:$J$14,MATCH(D430,CONFIG!$D$5:$D$14,0))),""))</f>
        <v/>
      </c>
      <c r="AB430" s="16" t="str">
        <f aca="false">IF(D430="","",IFERROR(1/(1/INDEX(CONFIG!$K$5:$K$14,MATCH(D430,CONFIG!$D$5:$D$14,0))),""))</f>
        <v/>
      </c>
      <c r="AC430" s="19" t="str">
        <f aca="false">IF(N(M430)=0,"",IF(AA430="","Sin spec",IF(AND(Y430&gt;=AA430,OR(AB430="",Z430&gt;=AB430)),"CUMPLE","NO CUMPLE")&amp;IF(V430=""," (est.)","")))</f>
        <v/>
      </c>
      <c r="AD430" s="20" t="str">
        <f aca="false">IF(F430="","",IF(COUNTIFS(ABSORCION!$C$5:$C$1004,F430,ABSORCION!$I$5:$I$1004,"&gt;0")=0,"",AVERAGEIFS(ABSORCION!$I$5:$I$1004,ABSORCION!$C$5:$C$1004,F430,ABSORCION!$I$5:$I$1004,"&gt;0")))</f>
        <v/>
      </c>
      <c r="AE430" s="20" t="str">
        <f aca="false">IF(F430="","",IF(COUNTIFS(ABSORCION!$C$5:$C$1004,F430,ABSORCION!$I$5:$I$1004,"&gt;0")=0,"",AVERAGEIFS(ABSORCION!$K$5:$K$1004,ABSORCION!$C$5:$C$1004,F430,ABSORCION!$I$5:$I$1004,"&gt;0")))</f>
        <v/>
      </c>
      <c r="AF430" s="20" t="str">
        <f aca="false">IF(AE430="","",IF(AE430&gt;=CONFIG!$E$21,CONFIG!$F$21,IF(AE430&gt;=CONFIG!$E$20,CONFIG!$F$20,CONFIG!$F$19)))</f>
        <v/>
      </c>
      <c r="AG430" s="21" t="str">
        <f aca="false">IF(F430="","",TRIM(IF(N(M430)=0,"Sin ensayos. ","")&amp;IF(AND(N(M430)&gt;0,N(M430)&lt;CONFIG!$B$26),"Menos de "&amp;CONFIG!$B$26&amp;" probetas. ","")&amp;IF(N(T430)&gt;CONFIG!$B$25,"CV alto. ","")&amp;IF(AND(N(AD430)&gt;0,N(AD430)&gt;N(AF430)),"Absorción alta. ","")))</f>
        <v/>
      </c>
      <c r="AH430" s="22" t="str">
        <f aca="false">IF(AND(N(M430)&gt;0,OR(CONTROL!$C$4="TODAS",C430=CONTROL!$C$4),D430=CONTROL!$C$5),MAX($AH$4:AH429)+1,"")</f>
        <v/>
      </c>
      <c r="AI430" s="22" t="str">
        <f aca="false">IF(AH430="","",P430^2)</f>
        <v/>
      </c>
    </row>
    <row r="431" customFormat="false" ht="15" hidden="false" customHeight="false" outlineLevel="0" collapsed="false">
      <c r="A431" s="11" t="str">
        <f aca="false">IF(B431="","",ROW()-4)</f>
        <v/>
      </c>
      <c r="B431" s="12"/>
      <c r="C431" s="13"/>
      <c r="D431" s="13"/>
      <c r="E431" s="13"/>
      <c r="F431" s="14" t="str">
        <f aca="false">IF(OR(B431="",C431="",D431=""),"",IFERROR(INDEX(CONFIG!$E$5:$E$14,MATCH(D431,CONFIG!$D$5:$D$14,0)),"?")&amp;RIGHT("0"&amp;DAY(B431),2)&amp;RIGHT("0"&amp;MONTH(B431),2)&amp;RIGHT(YEAR(B431),2)&amp;C431&amp;IF(E431="","","-"&amp;E431))</f>
        <v/>
      </c>
      <c r="G431" s="13"/>
      <c r="H431" s="13"/>
      <c r="I431" s="13"/>
      <c r="J431" s="13"/>
      <c r="K431" s="13"/>
      <c r="L431" s="13"/>
      <c r="M431" s="11" t="str">
        <f aca="false">IF(F431="","",COUNTIFS(ENSAYOS!$C$5:$C$3004,F431,ENSAYOS!$Q$5:$Q$3004,"&gt;0"))</f>
        <v/>
      </c>
      <c r="N431" s="15" t="str">
        <f aca="false">IF(N(M431)=0,"",_xlfn.MINIFS(ENSAYOS!$G$5:$G$3004,ENSAYOS!$C$5:$C$3004,F431,ENSAYOS!$Q$5:$Q$3004,"&gt;0"))</f>
        <v/>
      </c>
      <c r="O431" s="15" t="str">
        <f aca="false">IF(N(M431)=0,"",_xlfn.MAXIFS(ENSAYOS!$G$5:$G$3004,ENSAYOS!$C$5:$C$3004,F431,ENSAYOS!$Q$5:$Q$3004,"&gt;0"))</f>
        <v/>
      </c>
      <c r="P431" s="16" t="str">
        <f aca="false">IF(N(M431)=0,"",AVERAGEIFS(ENSAYOS!$Q$5:$Q$3004,ENSAYOS!$C$5:$C$3004,F431,ENSAYOS!$Q$5:$Q$3004,"&gt;0"))</f>
        <v/>
      </c>
      <c r="Q431" s="16" t="str">
        <f aca="false">IF(N(M431)=0,"",_xlfn.MINIFS(ENSAYOS!$Q$5:$Q$3004,ENSAYOS!$C$5:$C$3004,F431,ENSAYOS!$Q$5:$Q$3004,"&gt;0"))</f>
        <v/>
      </c>
      <c r="R431" s="16" t="str">
        <f aca="false">IF(N(M431)=0,"",_xlfn.MAXIFS(ENSAYOS!$Q$5:$Q$3004,ENSAYOS!$C$5:$C$3004,F431,ENSAYOS!$Q$5:$Q$3004,"&gt;0"))</f>
        <v/>
      </c>
      <c r="S431" s="16" t="str">
        <f aca="false">IF(N(M431)&lt;2,"",SQRT(MAX(0,(SUMIFS(ENSAYOS!$X$5:$X$3004,ENSAYOS!$C$5:$C$3004,F431,ENSAYOS!$Q$5:$Q$3004,"&gt;0")-M431*P431^2)/(M431-1))))</f>
        <v/>
      </c>
      <c r="T431" s="17" t="str">
        <f aca="false">IF(S431="","",S431/P431)</f>
        <v/>
      </c>
      <c r="U431" s="16" t="str">
        <f aca="false">IF(N(M431)=0,"",IF(N431&gt;=CONFIG!$B$27,"",AVERAGEIFS(ENSAYOS!$Q$5:$Q$3004,ENSAYOS!$C$5:$C$3004,F431,ENSAYOS!$Q$5:$Q$3004,"&gt;0",ENSAYOS!$G$5:$G$3004,N431)))</f>
        <v/>
      </c>
      <c r="V431" s="16" t="str">
        <f aca="false">IF(N(M431)=0,"",IF(COUNTIFS(ENSAYOS!$C$5:$C$3004,F431,ENSAYOS!$Q$5:$Q$3004,"&gt;0",ENSAYOS!$G$5:$G$3004,"&gt;="&amp;CONFIG!$B$27)=0,"",AVERAGEIFS(ENSAYOS!$Q$5:$Q$3004,ENSAYOS!$C$5:$C$3004,F431,ENSAYOS!$Q$5:$Q$3004,"&gt;0",ENSAYOS!$G$5:$G$3004,"&gt;="&amp;CONFIG!$B$27)))</f>
        <v/>
      </c>
      <c r="W431" s="18" t="str">
        <f aca="false">IF(AND(U431&lt;&gt;"",V431&lt;&gt;""),U431/V431,"")</f>
        <v/>
      </c>
      <c r="X431" s="18" t="str">
        <f aca="false">IF(U431="","",INDEX('CURVA EDAD'!$E$5:$E$32,MIN(28,MAX(1,N431))))</f>
        <v/>
      </c>
      <c r="Y431" s="16" t="str">
        <f aca="false">IF(V431&lt;&gt;"",V431,IF(U431="","",U431/X431))</f>
        <v/>
      </c>
      <c r="Z431" s="16" t="str">
        <f aca="false">IF(V431&lt;&gt;"",_xlfn.MINIFS(ENSAYOS!$Q$5:$Q$3004,ENSAYOS!$C$5:$C$3004,F431,ENSAYOS!$Q$5:$Q$3004,"&gt;0",ENSAYOS!$G$5:$G$3004,"&gt;="&amp;CONFIG!$B$27),IF(U431="","",_xlfn.MINIFS(ENSAYOS!$Q$5:$Q$3004,ENSAYOS!$C$5:$C$3004,F431,ENSAYOS!$Q$5:$Q$3004,"&gt;0",ENSAYOS!$G$5:$G$3004,N431)/X431))</f>
        <v/>
      </c>
      <c r="AA431" s="16" t="str">
        <f aca="false">IF(D431="","",IFERROR(1/(1/INDEX(CONFIG!$J$5:$J$14,MATCH(D431,CONFIG!$D$5:$D$14,0))),""))</f>
        <v/>
      </c>
      <c r="AB431" s="16" t="str">
        <f aca="false">IF(D431="","",IFERROR(1/(1/INDEX(CONFIG!$K$5:$K$14,MATCH(D431,CONFIG!$D$5:$D$14,0))),""))</f>
        <v/>
      </c>
      <c r="AC431" s="19" t="str">
        <f aca="false">IF(N(M431)=0,"",IF(AA431="","Sin spec",IF(AND(Y431&gt;=AA431,OR(AB431="",Z431&gt;=AB431)),"CUMPLE","NO CUMPLE")&amp;IF(V431=""," (est.)","")))</f>
        <v/>
      </c>
      <c r="AD431" s="20" t="str">
        <f aca="false">IF(F431="","",IF(COUNTIFS(ABSORCION!$C$5:$C$1004,F431,ABSORCION!$I$5:$I$1004,"&gt;0")=0,"",AVERAGEIFS(ABSORCION!$I$5:$I$1004,ABSORCION!$C$5:$C$1004,F431,ABSORCION!$I$5:$I$1004,"&gt;0")))</f>
        <v/>
      </c>
      <c r="AE431" s="20" t="str">
        <f aca="false">IF(F431="","",IF(COUNTIFS(ABSORCION!$C$5:$C$1004,F431,ABSORCION!$I$5:$I$1004,"&gt;0")=0,"",AVERAGEIFS(ABSORCION!$K$5:$K$1004,ABSORCION!$C$5:$C$1004,F431,ABSORCION!$I$5:$I$1004,"&gt;0")))</f>
        <v/>
      </c>
      <c r="AF431" s="20" t="str">
        <f aca="false">IF(AE431="","",IF(AE431&gt;=CONFIG!$E$21,CONFIG!$F$21,IF(AE431&gt;=CONFIG!$E$20,CONFIG!$F$20,CONFIG!$F$19)))</f>
        <v/>
      </c>
      <c r="AG431" s="21" t="str">
        <f aca="false">IF(F431="","",TRIM(IF(N(M431)=0,"Sin ensayos. ","")&amp;IF(AND(N(M431)&gt;0,N(M431)&lt;CONFIG!$B$26),"Menos de "&amp;CONFIG!$B$26&amp;" probetas. ","")&amp;IF(N(T431)&gt;CONFIG!$B$25,"CV alto. ","")&amp;IF(AND(N(AD431)&gt;0,N(AD431)&gt;N(AF431)),"Absorción alta. ","")))</f>
        <v/>
      </c>
      <c r="AH431" s="22" t="str">
        <f aca="false">IF(AND(N(M431)&gt;0,OR(CONTROL!$C$4="TODAS",C431=CONTROL!$C$4),D431=CONTROL!$C$5),MAX($AH$4:AH430)+1,"")</f>
        <v/>
      </c>
      <c r="AI431" s="22" t="str">
        <f aca="false">IF(AH431="","",P431^2)</f>
        <v/>
      </c>
    </row>
    <row r="432" customFormat="false" ht="15" hidden="false" customHeight="false" outlineLevel="0" collapsed="false">
      <c r="A432" s="11" t="str">
        <f aca="false">IF(B432="","",ROW()-4)</f>
        <v/>
      </c>
      <c r="B432" s="12"/>
      <c r="C432" s="13"/>
      <c r="D432" s="13"/>
      <c r="E432" s="13"/>
      <c r="F432" s="14" t="str">
        <f aca="false">IF(OR(B432="",C432="",D432=""),"",IFERROR(INDEX(CONFIG!$E$5:$E$14,MATCH(D432,CONFIG!$D$5:$D$14,0)),"?")&amp;RIGHT("0"&amp;DAY(B432),2)&amp;RIGHT("0"&amp;MONTH(B432),2)&amp;RIGHT(YEAR(B432),2)&amp;C432&amp;IF(E432="","","-"&amp;E432))</f>
        <v/>
      </c>
      <c r="G432" s="13"/>
      <c r="H432" s="13"/>
      <c r="I432" s="13"/>
      <c r="J432" s="13"/>
      <c r="K432" s="13"/>
      <c r="L432" s="13"/>
      <c r="M432" s="11" t="str">
        <f aca="false">IF(F432="","",COUNTIFS(ENSAYOS!$C$5:$C$3004,F432,ENSAYOS!$Q$5:$Q$3004,"&gt;0"))</f>
        <v/>
      </c>
      <c r="N432" s="15" t="str">
        <f aca="false">IF(N(M432)=0,"",_xlfn.MINIFS(ENSAYOS!$G$5:$G$3004,ENSAYOS!$C$5:$C$3004,F432,ENSAYOS!$Q$5:$Q$3004,"&gt;0"))</f>
        <v/>
      </c>
      <c r="O432" s="15" t="str">
        <f aca="false">IF(N(M432)=0,"",_xlfn.MAXIFS(ENSAYOS!$G$5:$G$3004,ENSAYOS!$C$5:$C$3004,F432,ENSAYOS!$Q$5:$Q$3004,"&gt;0"))</f>
        <v/>
      </c>
      <c r="P432" s="16" t="str">
        <f aca="false">IF(N(M432)=0,"",AVERAGEIFS(ENSAYOS!$Q$5:$Q$3004,ENSAYOS!$C$5:$C$3004,F432,ENSAYOS!$Q$5:$Q$3004,"&gt;0"))</f>
        <v/>
      </c>
      <c r="Q432" s="16" t="str">
        <f aca="false">IF(N(M432)=0,"",_xlfn.MINIFS(ENSAYOS!$Q$5:$Q$3004,ENSAYOS!$C$5:$C$3004,F432,ENSAYOS!$Q$5:$Q$3004,"&gt;0"))</f>
        <v/>
      </c>
      <c r="R432" s="16" t="str">
        <f aca="false">IF(N(M432)=0,"",_xlfn.MAXIFS(ENSAYOS!$Q$5:$Q$3004,ENSAYOS!$C$5:$C$3004,F432,ENSAYOS!$Q$5:$Q$3004,"&gt;0"))</f>
        <v/>
      </c>
      <c r="S432" s="16" t="str">
        <f aca="false">IF(N(M432)&lt;2,"",SQRT(MAX(0,(SUMIFS(ENSAYOS!$X$5:$X$3004,ENSAYOS!$C$5:$C$3004,F432,ENSAYOS!$Q$5:$Q$3004,"&gt;0")-M432*P432^2)/(M432-1))))</f>
        <v/>
      </c>
      <c r="T432" s="17" t="str">
        <f aca="false">IF(S432="","",S432/P432)</f>
        <v/>
      </c>
      <c r="U432" s="16" t="str">
        <f aca="false">IF(N(M432)=0,"",IF(N432&gt;=CONFIG!$B$27,"",AVERAGEIFS(ENSAYOS!$Q$5:$Q$3004,ENSAYOS!$C$5:$C$3004,F432,ENSAYOS!$Q$5:$Q$3004,"&gt;0",ENSAYOS!$G$5:$G$3004,N432)))</f>
        <v/>
      </c>
      <c r="V432" s="16" t="str">
        <f aca="false">IF(N(M432)=0,"",IF(COUNTIFS(ENSAYOS!$C$5:$C$3004,F432,ENSAYOS!$Q$5:$Q$3004,"&gt;0",ENSAYOS!$G$5:$G$3004,"&gt;="&amp;CONFIG!$B$27)=0,"",AVERAGEIFS(ENSAYOS!$Q$5:$Q$3004,ENSAYOS!$C$5:$C$3004,F432,ENSAYOS!$Q$5:$Q$3004,"&gt;0",ENSAYOS!$G$5:$G$3004,"&gt;="&amp;CONFIG!$B$27)))</f>
        <v/>
      </c>
      <c r="W432" s="18" t="str">
        <f aca="false">IF(AND(U432&lt;&gt;"",V432&lt;&gt;""),U432/V432,"")</f>
        <v/>
      </c>
      <c r="X432" s="18" t="str">
        <f aca="false">IF(U432="","",INDEX('CURVA EDAD'!$E$5:$E$32,MIN(28,MAX(1,N432))))</f>
        <v/>
      </c>
      <c r="Y432" s="16" t="str">
        <f aca="false">IF(V432&lt;&gt;"",V432,IF(U432="","",U432/X432))</f>
        <v/>
      </c>
      <c r="Z432" s="16" t="str">
        <f aca="false">IF(V432&lt;&gt;"",_xlfn.MINIFS(ENSAYOS!$Q$5:$Q$3004,ENSAYOS!$C$5:$C$3004,F432,ENSAYOS!$Q$5:$Q$3004,"&gt;0",ENSAYOS!$G$5:$G$3004,"&gt;="&amp;CONFIG!$B$27),IF(U432="","",_xlfn.MINIFS(ENSAYOS!$Q$5:$Q$3004,ENSAYOS!$C$5:$C$3004,F432,ENSAYOS!$Q$5:$Q$3004,"&gt;0",ENSAYOS!$G$5:$G$3004,N432)/X432))</f>
        <v/>
      </c>
      <c r="AA432" s="16" t="str">
        <f aca="false">IF(D432="","",IFERROR(1/(1/INDEX(CONFIG!$J$5:$J$14,MATCH(D432,CONFIG!$D$5:$D$14,0))),""))</f>
        <v/>
      </c>
      <c r="AB432" s="16" t="str">
        <f aca="false">IF(D432="","",IFERROR(1/(1/INDEX(CONFIG!$K$5:$K$14,MATCH(D432,CONFIG!$D$5:$D$14,0))),""))</f>
        <v/>
      </c>
      <c r="AC432" s="19" t="str">
        <f aca="false">IF(N(M432)=0,"",IF(AA432="","Sin spec",IF(AND(Y432&gt;=AA432,OR(AB432="",Z432&gt;=AB432)),"CUMPLE","NO CUMPLE")&amp;IF(V432=""," (est.)","")))</f>
        <v/>
      </c>
      <c r="AD432" s="20" t="str">
        <f aca="false">IF(F432="","",IF(COUNTIFS(ABSORCION!$C$5:$C$1004,F432,ABSORCION!$I$5:$I$1004,"&gt;0")=0,"",AVERAGEIFS(ABSORCION!$I$5:$I$1004,ABSORCION!$C$5:$C$1004,F432,ABSORCION!$I$5:$I$1004,"&gt;0")))</f>
        <v/>
      </c>
      <c r="AE432" s="20" t="str">
        <f aca="false">IF(F432="","",IF(COUNTIFS(ABSORCION!$C$5:$C$1004,F432,ABSORCION!$I$5:$I$1004,"&gt;0")=0,"",AVERAGEIFS(ABSORCION!$K$5:$K$1004,ABSORCION!$C$5:$C$1004,F432,ABSORCION!$I$5:$I$1004,"&gt;0")))</f>
        <v/>
      </c>
      <c r="AF432" s="20" t="str">
        <f aca="false">IF(AE432="","",IF(AE432&gt;=CONFIG!$E$21,CONFIG!$F$21,IF(AE432&gt;=CONFIG!$E$20,CONFIG!$F$20,CONFIG!$F$19)))</f>
        <v/>
      </c>
      <c r="AG432" s="21" t="str">
        <f aca="false">IF(F432="","",TRIM(IF(N(M432)=0,"Sin ensayos. ","")&amp;IF(AND(N(M432)&gt;0,N(M432)&lt;CONFIG!$B$26),"Menos de "&amp;CONFIG!$B$26&amp;" probetas. ","")&amp;IF(N(T432)&gt;CONFIG!$B$25,"CV alto. ","")&amp;IF(AND(N(AD432)&gt;0,N(AD432)&gt;N(AF432)),"Absorción alta. ","")))</f>
        <v/>
      </c>
      <c r="AH432" s="22" t="str">
        <f aca="false">IF(AND(N(M432)&gt;0,OR(CONTROL!$C$4="TODAS",C432=CONTROL!$C$4),D432=CONTROL!$C$5),MAX($AH$4:AH431)+1,"")</f>
        <v/>
      </c>
      <c r="AI432" s="22" t="str">
        <f aca="false">IF(AH432="","",P432^2)</f>
        <v/>
      </c>
    </row>
    <row r="433" customFormat="false" ht="15" hidden="false" customHeight="false" outlineLevel="0" collapsed="false">
      <c r="A433" s="11" t="str">
        <f aca="false">IF(B433="","",ROW()-4)</f>
        <v/>
      </c>
      <c r="B433" s="12"/>
      <c r="C433" s="13"/>
      <c r="D433" s="13"/>
      <c r="E433" s="13"/>
      <c r="F433" s="14" t="str">
        <f aca="false">IF(OR(B433="",C433="",D433=""),"",IFERROR(INDEX(CONFIG!$E$5:$E$14,MATCH(D433,CONFIG!$D$5:$D$14,0)),"?")&amp;RIGHT("0"&amp;DAY(B433),2)&amp;RIGHT("0"&amp;MONTH(B433),2)&amp;RIGHT(YEAR(B433),2)&amp;C433&amp;IF(E433="","","-"&amp;E433))</f>
        <v/>
      </c>
      <c r="G433" s="13"/>
      <c r="H433" s="13"/>
      <c r="I433" s="13"/>
      <c r="J433" s="13"/>
      <c r="K433" s="13"/>
      <c r="L433" s="13"/>
      <c r="M433" s="11" t="str">
        <f aca="false">IF(F433="","",COUNTIFS(ENSAYOS!$C$5:$C$3004,F433,ENSAYOS!$Q$5:$Q$3004,"&gt;0"))</f>
        <v/>
      </c>
      <c r="N433" s="15" t="str">
        <f aca="false">IF(N(M433)=0,"",_xlfn.MINIFS(ENSAYOS!$G$5:$G$3004,ENSAYOS!$C$5:$C$3004,F433,ENSAYOS!$Q$5:$Q$3004,"&gt;0"))</f>
        <v/>
      </c>
      <c r="O433" s="15" t="str">
        <f aca="false">IF(N(M433)=0,"",_xlfn.MAXIFS(ENSAYOS!$G$5:$G$3004,ENSAYOS!$C$5:$C$3004,F433,ENSAYOS!$Q$5:$Q$3004,"&gt;0"))</f>
        <v/>
      </c>
      <c r="P433" s="16" t="str">
        <f aca="false">IF(N(M433)=0,"",AVERAGEIFS(ENSAYOS!$Q$5:$Q$3004,ENSAYOS!$C$5:$C$3004,F433,ENSAYOS!$Q$5:$Q$3004,"&gt;0"))</f>
        <v/>
      </c>
      <c r="Q433" s="16" t="str">
        <f aca="false">IF(N(M433)=0,"",_xlfn.MINIFS(ENSAYOS!$Q$5:$Q$3004,ENSAYOS!$C$5:$C$3004,F433,ENSAYOS!$Q$5:$Q$3004,"&gt;0"))</f>
        <v/>
      </c>
      <c r="R433" s="16" t="str">
        <f aca="false">IF(N(M433)=0,"",_xlfn.MAXIFS(ENSAYOS!$Q$5:$Q$3004,ENSAYOS!$C$5:$C$3004,F433,ENSAYOS!$Q$5:$Q$3004,"&gt;0"))</f>
        <v/>
      </c>
      <c r="S433" s="16" t="str">
        <f aca="false">IF(N(M433)&lt;2,"",SQRT(MAX(0,(SUMIFS(ENSAYOS!$X$5:$X$3004,ENSAYOS!$C$5:$C$3004,F433,ENSAYOS!$Q$5:$Q$3004,"&gt;0")-M433*P433^2)/(M433-1))))</f>
        <v/>
      </c>
      <c r="T433" s="17" t="str">
        <f aca="false">IF(S433="","",S433/P433)</f>
        <v/>
      </c>
      <c r="U433" s="16" t="str">
        <f aca="false">IF(N(M433)=0,"",IF(N433&gt;=CONFIG!$B$27,"",AVERAGEIFS(ENSAYOS!$Q$5:$Q$3004,ENSAYOS!$C$5:$C$3004,F433,ENSAYOS!$Q$5:$Q$3004,"&gt;0",ENSAYOS!$G$5:$G$3004,N433)))</f>
        <v/>
      </c>
      <c r="V433" s="16" t="str">
        <f aca="false">IF(N(M433)=0,"",IF(COUNTIFS(ENSAYOS!$C$5:$C$3004,F433,ENSAYOS!$Q$5:$Q$3004,"&gt;0",ENSAYOS!$G$5:$G$3004,"&gt;="&amp;CONFIG!$B$27)=0,"",AVERAGEIFS(ENSAYOS!$Q$5:$Q$3004,ENSAYOS!$C$5:$C$3004,F433,ENSAYOS!$Q$5:$Q$3004,"&gt;0",ENSAYOS!$G$5:$G$3004,"&gt;="&amp;CONFIG!$B$27)))</f>
        <v/>
      </c>
      <c r="W433" s="18" t="str">
        <f aca="false">IF(AND(U433&lt;&gt;"",V433&lt;&gt;""),U433/V433,"")</f>
        <v/>
      </c>
      <c r="X433" s="18" t="str">
        <f aca="false">IF(U433="","",INDEX('CURVA EDAD'!$E$5:$E$32,MIN(28,MAX(1,N433))))</f>
        <v/>
      </c>
      <c r="Y433" s="16" t="str">
        <f aca="false">IF(V433&lt;&gt;"",V433,IF(U433="","",U433/X433))</f>
        <v/>
      </c>
      <c r="Z433" s="16" t="str">
        <f aca="false">IF(V433&lt;&gt;"",_xlfn.MINIFS(ENSAYOS!$Q$5:$Q$3004,ENSAYOS!$C$5:$C$3004,F433,ENSAYOS!$Q$5:$Q$3004,"&gt;0",ENSAYOS!$G$5:$G$3004,"&gt;="&amp;CONFIG!$B$27),IF(U433="","",_xlfn.MINIFS(ENSAYOS!$Q$5:$Q$3004,ENSAYOS!$C$5:$C$3004,F433,ENSAYOS!$Q$5:$Q$3004,"&gt;0",ENSAYOS!$G$5:$G$3004,N433)/X433))</f>
        <v/>
      </c>
      <c r="AA433" s="16" t="str">
        <f aca="false">IF(D433="","",IFERROR(1/(1/INDEX(CONFIG!$J$5:$J$14,MATCH(D433,CONFIG!$D$5:$D$14,0))),""))</f>
        <v/>
      </c>
      <c r="AB433" s="16" t="str">
        <f aca="false">IF(D433="","",IFERROR(1/(1/INDEX(CONFIG!$K$5:$K$14,MATCH(D433,CONFIG!$D$5:$D$14,0))),""))</f>
        <v/>
      </c>
      <c r="AC433" s="19" t="str">
        <f aca="false">IF(N(M433)=0,"",IF(AA433="","Sin spec",IF(AND(Y433&gt;=AA433,OR(AB433="",Z433&gt;=AB433)),"CUMPLE","NO CUMPLE")&amp;IF(V433=""," (est.)","")))</f>
        <v/>
      </c>
      <c r="AD433" s="20" t="str">
        <f aca="false">IF(F433="","",IF(COUNTIFS(ABSORCION!$C$5:$C$1004,F433,ABSORCION!$I$5:$I$1004,"&gt;0")=0,"",AVERAGEIFS(ABSORCION!$I$5:$I$1004,ABSORCION!$C$5:$C$1004,F433,ABSORCION!$I$5:$I$1004,"&gt;0")))</f>
        <v/>
      </c>
      <c r="AE433" s="20" t="str">
        <f aca="false">IF(F433="","",IF(COUNTIFS(ABSORCION!$C$5:$C$1004,F433,ABSORCION!$I$5:$I$1004,"&gt;0")=0,"",AVERAGEIFS(ABSORCION!$K$5:$K$1004,ABSORCION!$C$5:$C$1004,F433,ABSORCION!$I$5:$I$1004,"&gt;0")))</f>
        <v/>
      </c>
      <c r="AF433" s="20" t="str">
        <f aca="false">IF(AE433="","",IF(AE433&gt;=CONFIG!$E$21,CONFIG!$F$21,IF(AE433&gt;=CONFIG!$E$20,CONFIG!$F$20,CONFIG!$F$19)))</f>
        <v/>
      </c>
      <c r="AG433" s="21" t="str">
        <f aca="false">IF(F433="","",TRIM(IF(N(M433)=0,"Sin ensayos. ","")&amp;IF(AND(N(M433)&gt;0,N(M433)&lt;CONFIG!$B$26),"Menos de "&amp;CONFIG!$B$26&amp;" probetas. ","")&amp;IF(N(T433)&gt;CONFIG!$B$25,"CV alto. ","")&amp;IF(AND(N(AD433)&gt;0,N(AD433)&gt;N(AF433)),"Absorción alta. ","")))</f>
        <v/>
      </c>
      <c r="AH433" s="22" t="str">
        <f aca="false">IF(AND(N(M433)&gt;0,OR(CONTROL!$C$4="TODAS",C433=CONTROL!$C$4),D433=CONTROL!$C$5),MAX($AH$4:AH432)+1,"")</f>
        <v/>
      </c>
      <c r="AI433" s="22" t="str">
        <f aca="false">IF(AH433="","",P433^2)</f>
        <v/>
      </c>
    </row>
    <row r="434" customFormat="false" ht="15" hidden="false" customHeight="false" outlineLevel="0" collapsed="false">
      <c r="A434" s="11" t="str">
        <f aca="false">IF(B434="","",ROW()-4)</f>
        <v/>
      </c>
      <c r="B434" s="12"/>
      <c r="C434" s="13"/>
      <c r="D434" s="13"/>
      <c r="E434" s="13"/>
      <c r="F434" s="14" t="str">
        <f aca="false">IF(OR(B434="",C434="",D434=""),"",IFERROR(INDEX(CONFIG!$E$5:$E$14,MATCH(D434,CONFIG!$D$5:$D$14,0)),"?")&amp;RIGHT("0"&amp;DAY(B434),2)&amp;RIGHT("0"&amp;MONTH(B434),2)&amp;RIGHT(YEAR(B434),2)&amp;C434&amp;IF(E434="","","-"&amp;E434))</f>
        <v/>
      </c>
      <c r="G434" s="13"/>
      <c r="H434" s="13"/>
      <c r="I434" s="13"/>
      <c r="J434" s="13"/>
      <c r="K434" s="13"/>
      <c r="L434" s="13"/>
      <c r="M434" s="11" t="str">
        <f aca="false">IF(F434="","",COUNTIFS(ENSAYOS!$C$5:$C$3004,F434,ENSAYOS!$Q$5:$Q$3004,"&gt;0"))</f>
        <v/>
      </c>
      <c r="N434" s="15" t="str">
        <f aca="false">IF(N(M434)=0,"",_xlfn.MINIFS(ENSAYOS!$G$5:$G$3004,ENSAYOS!$C$5:$C$3004,F434,ENSAYOS!$Q$5:$Q$3004,"&gt;0"))</f>
        <v/>
      </c>
      <c r="O434" s="15" t="str">
        <f aca="false">IF(N(M434)=0,"",_xlfn.MAXIFS(ENSAYOS!$G$5:$G$3004,ENSAYOS!$C$5:$C$3004,F434,ENSAYOS!$Q$5:$Q$3004,"&gt;0"))</f>
        <v/>
      </c>
      <c r="P434" s="16" t="str">
        <f aca="false">IF(N(M434)=0,"",AVERAGEIFS(ENSAYOS!$Q$5:$Q$3004,ENSAYOS!$C$5:$C$3004,F434,ENSAYOS!$Q$5:$Q$3004,"&gt;0"))</f>
        <v/>
      </c>
      <c r="Q434" s="16" t="str">
        <f aca="false">IF(N(M434)=0,"",_xlfn.MINIFS(ENSAYOS!$Q$5:$Q$3004,ENSAYOS!$C$5:$C$3004,F434,ENSAYOS!$Q$5:$Q$3004,"&gt;0"))</f>
        <v/>
      </c>
      <c r="R434" s="16" t="str">
        <f aca="false">IF(N(M434)=0,"",_xlfn.MAXIFS(ENSAYOS!$Q$5:$Q$3004,ENSAYOS!$C$5:$C$3004,F434,ENSAYOS!$Q$5:$Q$3004,"&gt;0"))</f>
        <v/>
      </c>
      <c r="S434" s="16" t="str">
        <f aca="false">IF(N(M434)&lt;2,"",SQRT(MAX(0,(SUMIFS(ENSAYOS!$X$5:$X$3004,ENSAYOS!$C$5:$C$3004,F434,ENSAYOS!$Q$5:$Q$3004,"&gt;0")-M434*P434^2)/(M434-1))))</f>
        <v/>
      </c>
      <c r="T434" s="17" t="str">
        <f aca="false">IF(S434="","",S434/P434)</f>
        <v/>
      </c>
      <c r="U434" s="16" t="str">
        <f aca="false">IF(N(M434)=0,"",IF(N434&gt;=CONFIG!$B$27,"",AVERAGEIFS(ENSAYOS!$Q$5:$Q$3004,ENSAYOS!$C$5:$C$3004,F434,ENSAYOS!$Q$5:$Q$3004,"&gt;0",ENSAYOS!$G$5:$G$3004,N434)))</f>
        <v/>
      </c>
      <c r="V434" s="16" t="str">
        <f aca="false">IF(N(M434)=0,"",IF(COUNTIFS(ENSAYOS!$C$5:$C$3004,F434,ENSAYOS!$Q$5:$Q$3004,"&gt;0",ENSAYOS!$G$5:$G$3004,"&gt;="&amp;CONFIG!$B$27)=0,"",AVERAGEIFS(ENSAYOS!$Q$5:$Q$3004,ENSAYOS!$C$5:$C$3004,F434,ENSAYOS!$Q$5:$Q$3004,"&gt;0",ENSAYOS!$G$5:$G$3004,"&gt;="&amp;CONFIG!$B$27)))</f>
        <v/>
      </c>
      <c r="W434" s="18" t="str">
        <f aca="false">IF(AND(U434&lt;&gt;"",V434&lt;&gt;""),U434/V434,"")</f>
        <v/>
      </c>
      <c r="X434" s="18" t="str">
        <f aca="false">IF(U434="","",INDEX('CURVA EDAD'!$E$5:$E$32,MIN(28,MAX(1,N434))))</f>
        <v/>
      </c>
      <c r="Y434" s="16" t="str">
        <f aca="false">IF(V434&lt;&gt;"",V434,IF(U434="","",U434/X434))</f>
        <v/>
      </c>
      <c r="Z434" s="16" t="str">
        <f aca="false">IF(V434&lt;&gt;"",_xlfn.MINIFS(ENSAYOS!$Q$5:$Q$3004,ENSAYOS!$C$5:$C$3004,F434,ENSAYOS!$Q$5:$Q$3004,"&gt;0",ENSAYOS!$G$5:$G$3004,"&gt;="&amp;CONFIG!$B$27),IF(U434="","",_xlfn.MINIFS(ENSAYOS!$Q$5:$Q$3004,ENSAYOS!$C$5:$C$3004,F434,ENSAYOS!$Q$5:$Q$3004,"&gt;0",ENSAYOS!$G$5:$G$3004,N434)/X434))</f>
        <v/>
      </c>
      <c r="AA434" s="16" t="str">
        <f aca="false">IF(D434="","",IFERROR(1/(1/INDEX(CONFIG!$J$5:$J$14,MATCH(D434,CONFIG!$D$5:$D$14,0))),""))</f>
        <v/>
      </c>
      <c r="AB434" s="16" t="str">
        <f aca="false">IF(D434="","",IFERROR(1/(1/INDEX(CONFIG!$K$5:$K$14,MATCH(D434,CONFIG!$D$5:$D$14,0))),""))</f>
        <v/>
      </c>
      <c r="AC434" s="19" t="str">
        <f aca="false">IF(N(M434)=0,"",IF(AA434="","Sin spec",IF(AND(Y434&gt;=AA434,OR(AB434="",Z434&gt;=AB434)),"CUMPLE","NO CUMPLE")&amp;IF(V434=""," (est.)","")))</f>
        <v/>
      </c>
      <c r="AD434" s="20" t="str">
        <f aca="false">IF(F434="","",IF(COUNTIFS(ABSORCION!$C$5:$C$1004,F434,ABSORCION!$I$5:$I$1004,"&gt;0")=0,"",AVERAGEIFS(ABSORCION!$I$5:$I$1004,ABSORCION!$C$5:$C$1004,F434,ABSORCION!$I$5:$I$1004,"&gt;0")))</f>
        <v/>
      </c>
      <c r="AE434" s="20" t="str">
        <f aca="false">IF(F434="","",IF(COUNTIFS(ABSORCION!$C$5:$C$1004,F434,ABSORCION!$I$5:$I$1004,"&gt;0")=0,"",AVERAGEIFS(ABSORCION!$K$5:$K$1004,ABSORCION!$C$5:$C$1004,F434,ABSORCION!$I$5:$I$1004,"&gt;0")))</f>
        <v/>
      </c>
      <c r="AF434" s="20" t="str">
        <f aca="false">IF(AE434="","",IF(AE434&gt;=CONFIG!$E$21,CONFIG!$F$21,IF(AE434&gt;=CONFIG!$E$20,CONFIG!$F$20,CONFIG!$F$19)))</f>
        <v/>
      </c>
      <c r="AG434" s="21" t="str">
        <f aca="false">IF(F434="","",TRIM(IF(N(M434)=0,"Sin ensayos. ","")&amp;IF(AND(N(M434)&gt;0,N(M434)&lt;CONFIG!$B$26),"Menos de "&amp;CONFIG!$B$26&amp;" probetas. ","")&amp;IF(N(T434)&gt;CONFIG!$B$25,"CV alto. ","")&amp;IF(AND(N(AD434)&gt;0,N(AD434)&gt;N(AF434)),"Absorción alta. ","")))</f>
        <v/>
      </c>
      <c r="AH434" s="22" t="str">
        <f aca="false">IF(AND(N(M434)&gt;0,OR(CONTROL!$C$4="TODAS",C434=CONTROL!$C$4),D434=CONTROL!$C$5),MAX($AH$4:AH433)+1,"")</f>
        <v/>
      </c>
      <c r="AI434" s="22" t="str">
        <f aca="false">IF(AH434="","",P434^2)</f>
        <v/>
      </c>
    </row>
    <row r="435" customFormat="false" ht="15" hidden="false" customHeight="false" outlineLevel="0" collapsed="false">
      <c r="A435" s="11" t="str">
        <f aca="false">IF(B435="","",ROW()-4)</f>
        <v/>
      </c>
      <c r="B435" s="12"/>
      <c r="C435" s="13"/>
      <c r="D435" s="13"/>
      <c r="E435" s="13"/>
      <c r="F435" s="14" t="str">
        <f aca="false">IF(OR(B435="",C435="",D435=""),"",IFERROR(INDEX(CONFIG!$E$5:$E$14,MATCH(D435,CONFIG!$D$5:$D$14,0)),"?")&amp;RIGHT("0"&amp;DAY(B435),2)&amp;RIGHT("0"&amp;MONTH(B435),2)&amp;RIGHT(YEAR(B435),2)&amp;C435&amp;IF(E435="","","-"&amp;E435))</f>
        <v/>
      </c>
      <c r="G435" s="13"/>
      <c r="H435" s="13"/>
      <c r="I435" s="13"/>
      <c r="J435" s="13"/>
      <c r="K435" s="13"/>
      <c r="L435" s="13"/>
      <c r="M435" s="11" t="str">
        <f aca="false">IF(F435="","",COUNTIFS(ENSAYOS!$C$5:$C$3004,F435,ENSAYOS!$Q$5:$Q$3004,"&gt;0"))</f>
        <v/>
      </c>
      <c r="N435" s="15" t="str">
        <f aca="false">IF(N(M435)=0,"",_xlfn.MINIFS(ENSAYOS!$G$5:$G$3004,ENSAYOS!$C$5:$C$3004,F435,ENSAYOS!$Q$5:$Q$3004,"&gt;0"))</f>
        <v/>
      </c>
      <c r="O435" s="15" t="str">
        <f aca="false">IF(N(M435)=0,"",_xlfn.MAXIFS(ENSAYOS!$G$5:$G$3004,ENSAYOS!$C$5:$C$3004,F435,ENSAYOS!$Q$5:$Q$3004,"&gt;0"))</f>
        <v/>
      </c>
      <c r="P435" s="16" t="str">
        <f aca="false">IF(N(M435)=0,"",AVERAGEIFS(ENSAYOS!$Q$5:$Q$3004,ENSAYOS!$C$5:$C$3004,F435,ENSAYOS!$Q$5:$Q$3004,"&gt;0"))</f>
        <v/>
      </c>
      <c r="Q435" s="16" t="str">
        <f aca="false">IF(N(M435)=0,"",_xlfn.MINIFS(ENSAYOS!$Q$5:$Q$3004,ENSAYOS!$C$5:$C$3004,F435,ENSAYOS!$Q$5:$Q$3004,"&gt;0"))</f>
        <v/>
      </c>
      <c r="R435" s="16" t="str">
        <f aca="false">IF(N(M435)=0,"",_xlfn.MAXIFS(ENSAYOS!$Q$5:$Q$3004,ENSAYOS!$C$5:$C$3004,F435,ENSAYOS!$Q$5:$Q$3004,"&gt;0"))</f>
        <v/>
      </c>
      <c r="S435" s="16" t="str">
        <f aca="false">IF(N(M435)&lt;2,"",SQRT(MAX(0,(SUMIFS(ENSAYOS!$X$5:$X$3004,ENSAYOS!$C$5:$C$3004,F435,ENSAYOS!$Q$5:$Q$3004,"&gt;0")-M435*P435^2)/(M435-1))))</f>
        <v/>
      </c>
      <c r="T435" s="17" t="str">
        <f aca="false">IF(S435="","",S435/P435)</f>
        <v/>
      </c>
      <c r="U435" s="16" t="str">
        <f aca="false">IF(N(M435)=0,"",IF(N435&gt;=CONFIG!$B$27,"",AVERAGEIFS(ENSAYOS!$Q$5:$Q$3004,ENSAYOS!$C$5:$C$3004,F435,ENSAYOS!$Q$5:$Q$3004,"&gt;0",ENSAYOS!$G$5:$G$3004,N435)))</f>
        <v/>
      </c>
      <c r="V435" s="16" t="str">
        <f aca="false">IF(N(M435)=0,"",IF(COUNTIFS(ENSAYOS!$C$5:$C$3004,F435,ENSAYOS!$Q$5:$Q$3004,"&gt;0",ENSAYOS!$G$5:$G$3004,"&gt;="&amp;CONFIG!$B$27)=0,"",AVERAGEIFS(ENSAYOS!$Q$5:$Q$3004,ENSAYOS!$C$5:$C$3004,F435,ENSAYOS!$Q$5:$Q$3004,"&gt;0",ENSAYOS!$G$5:$G$3004,"&gt;="&amp;CONFIG!$B$27)))</f>
        <v/>
      </c>
      <c r="W435" s="18" t="str">
        <f aca="false">IF(AND(U435&lt;&gt;"",V435&lt;&gt;""),U435/V435,"")</f>
        <v/>
      </c>
      <c r="X435" s="18" t="str">
        <f aca="false">IF(U435="","",INDEX('CURVA EDAD'!$E$5:$E$32,MIN(28,MAX(1,N435))))</f>
        <v/>
      </c>
      <c r="Y435" s="16" t="str">
        <f aca="false">IF(V435&lt;&gt;"",V435,IF(U435="","",U435/X435))</f>
        <v/>
      </c>
      <c r="Z435" s="16" t="str">
        <f aca="false">IF(V435&lt;&gt;"",_xlfn.MINIFS(ENSAYOS!$Q$5:$Q$3004,ENSAYOS!$C$5:$C$3004,F435,ENSAYOS!$Q$5:$Q$3004,"&gt;0",ENSAYOS!$G$5:$G$3004,"&gt;="&amp;CONFIG!$B$27),IF(U435="","",_xlfn.MINIFS(ENSAYOS!$Q$5:$Q$3004,ENSAYOS!$C$5:$C$3004,F435,ENSAYOS!$Q$5:$Q$3004,"&gt;0",ENSAYOS!$G$5:$G$3004,N435)/X435))</f>
        <v/>
      </c>
      <c r="AA435" s="16" t="str">
        <f aca="false">IF(D435="","",IFERROR(1/(1/INDEX(CONFIG!$J$5:$J$14,MATCH(D435,CONFIG!$D$5:$D$14,0))),""))</f>
        <v/>
      </c>
      <c r="AB435" s="16" t="str">
        <f aca="false">IF(D435="","",IFERROR(1/(1/INDEX(CONFIG!$K$5:$K$14,MATCH(D435,CONFIG!$D$5:$D$14,0))),""))</f>
        <v/>
      </c>
      <c r="AC435" s="19" t="str">
        <f aca="false">IF(N(M435)=0,"",IF(AA435="","Sin spec",IF(AND(Y435&gt;=AA435,OR(AB435="",Z435&gt;=AB435)),"CUMPLE","NO CUMPLE")&amp;IF(V435=""," (est.)","")))</f>
        <v/>
      </c>
      <c r="AD435" s="20" t="str">
        <f aca="false">IF(F435="","",IF(COUNTIFS(ABSORCION!$C$5:$C$1004,F435,ABSORCION!$I$5:$I$1004,"&gt;0")=0,"",AVERAGEIFS(ABSORCION!$I$5:$I$1004,ABSORCION!$C$5:$C$1004,F435,ABSORCION!$I$5:$I$1004,"&gt;0")))</f>
        <v/>
      </c>
      <c r="AE435" s="20" t="str">
        <f aca="false">IF(F435="","",IF(COUNTIFS(ABSORCION!$C$5:$C$1004,F435,ABSORCION!$I$5:$I$1004,"&gt;0")=0,"",AVERAGEIFS(ABSORCION!$K$5:$K$1004,ABSORCION!$C$5:$C$1004,F435,ABSORCION!$I$5:$I$1004,"&gt;0")))</f>
        <v/>
      </c>
      <c r="AF435" s="20" t="str">
        <f aca="false">IF(AE435="","",IF(AE435&gt;=CONFIG!$E$21,CONFIG!$F$21,IF(AE435&gt;=CONFIG!$E$20,CONFIG!$F$20,CONFIG!$F$19)))</f>
        <v/>
      </c>
      <c r="AG435" s="21" t="str">
        <f aca="false">IF(F435="","",TRIM(IF(N(M435)=0,"Sin ensayos. ","")&amp;IF(AND(N(M435)&gt;0,N(M435)&lt;CONFIG!$B$26),"Menos de "&amp;CONFIG!$B$26&amp;" probetas. ","")&amp;IF(N(T435)&gt;CONFIG!$B$25,"CV alto. ","")&amp;IF(AND(N(AD435)&gt;0,N(AD435)&gt;N(AF435)),"Absorción alta. ","")))</f>
        <v/>
      </c>
      <c r="AH435" s="22" t="str">
        <f aca="false">IF(AND(N(M435)&gt;0,OR(CONTROL!$C$4="TODAS",C435=CONTROL!$C$4),D435=CONTROL!$C$5),MAX($AH$4:AH434)+1,"")</f>
        <v/>
      </c>
      <c r="AI435" s="22" t="str">
        <f aca="false">IF(AH435="","",P435^2)</f>
        <v/>
      </c>
    </row>
    <row r="436" customFormat="false" ht="15" hidden="false" customHeight="false" outlineLevel="0" collapsed="false">
      <c r="A436" s="11" t="str">
        <f aca="false">IF(B436="","",ROW()-4)</f>
        <v/>
      </c>
      <c r="B436" s="12"/>
      <c r="C436" s="13"/>
      <c r="D436" s="13"/>
      <c r="E436" s="13"/>
      <c r="F436" s="14" t="str">
        <f aca="false">IF(OR(B436="",C436="",D436=""),"",IFERROR(INDEX(CONFIG!$E$5:$E$14,MATCH(D436,CONFIG!$D$5:$D$14,0)),"?")&amp;RIGHT("0"&amp;DAY(B436),2)&amp;RIGHT("0"&amp;MONTH(B436),2)&amp;RIGHT(YEAR(B436),2)&amp;C436&amp;IF(E436="","","-"&amp;E436))</f>
        <v/>
      </c>
      <c r="G436" s="13"/>
      <c r="H436" s="13"/>
      <c r="I436" s="13"/>
      <c r="J436" s="13"/>
      <c r="K436" s="13"/>
      <c r="L436" s="13"/>
      <c r="M436" s="11" t="str">
        <f aca="false">IF(F436="","",COUNTIFS(ENSAYOS!$C$5:$C$3004,F436,ENSAYOS!$Q$5:$Q$3004,"&gt;0"))</f>
        <v/>
      </c>
      <c r="N436" s="15" t="str">
        <f aca="false">IF(N(M436)=0,"",_xlfn.MINIFS(ENSAYOS!$G$5:$G$3004,ENSAYOS!$C$5:$C$3004,F436,ENSAYOS!$Q$5:$Q$3004,"&gt;0"))</f>
        <v/>
      </c>
      <c r="O436" s="15" t="str">
        <f aca="false">IF(N(M436)=0,"",_xlfn.MAXIFS(ENSAYOS!$G$5:$G$3004,ENSAYOS!$C$5:$C$3004,F436,ENSAYOS!$Q$5:$Q$3004,"&gt;0"))</f>
        <v/>
      </c>
      <c r="P436" s="16" t="str">
        <f aca="false">IF(N(M436)=0,"",AVERAGEIFS(ENSAYOS!$Q$5:$Q$3004,ENSAYOS!$C$5:$C$3004,F436,ENSAYOS!$Q$5:$Q$3004,"&gt;0"))</f>
        <v/>
      </c>
      <c r="Q436" s="16" t="str">
        <f aca="false">IF(N(M436)=0,"",_xlfn.MINIFS(ENSAYOS!$Q$5:$Q$3004,ENSAYOS!$C$5:$C$3004,F436,ENSAYOS!$Q$5:$Q$3004,"&gt;0"))</f>
        <v/>
      </c>
      <c r="R436" s="16" t="str">
        <f aca="false">IF(N(M436)=0,"",_xlfn.MAXIFS(ENSAYOS!$Q$5:$Q$3004,ENSAYOS!$C$5:$C$3004,F436,ENSAYOS!$Q$5:$Q$3004,"&gt;0"))</f>
        <v/>
      </c>
      <c r="S436" s="16" t="str">
        <f aca="false">IF(N(M436)&lt;2,"",SQRT(MAX(0,(SUMIFS(ENSAYOS!$X$5:$X$3004,ENSAYOS!$C$5:$C$3004,F436,ENSAYOS!$Q$5:$Q$3004,"&gt;0")-M436*P436^2)/(M436-1))))</f>
        <v/>
      </c>
      <c r="T436" s="17" t="str">
        <f aca="false">IF(S436="","",S436/P436)</f>
        <v/>
      </c>
      <c r="U436" s="16" t="str">
        <f aca="false">IF(N(M436)=0,"",IF(N436&gt;=CONFIG!$B$27,"",AVERAGEIFS(ENSAYOS!$Q$5:$Q$3004,ENSAYOS!$C$5:$C$3004,F436,ENSAYOS!$Q$5:$Q$3004,"&gt;0",ENSAYOS!$G$5:$G$3004,N436)))</f>
        <v/>
      </c>
      <c r="V436" s="16" t="str">
        <f aca="false">IF(N(M436)=0,"",IF(COUNTIFS(ENSAYOS!$C$5:$C$3004,F436,ENSAYOS!$Q$5:$Q$3004,"&gt;0",ENSAYOS!$G$5:$G$3004,"&gt;="&amp;CONFIG!$B$27)=0,"",AVERAGEIFS(ENSAYOS!$Q$5:$Q$3004,ENSAYOS!$C$5:$C$3004,F436,ENSAYOS!$Q$5:$Q$3004,"&gt;0",ENSAYOS!$G$5:$G$3004,"&gt;="&amp;CONFIG!$B$27)))</f>
        <v/>
      </c>
      <c r="W436" s="18" t="str">
        <f aca="false">IF(AND(U436&lt;&gt;"",V436&lt;&gt;""),U436/V436,"")</f>
        <v/>
      </c>
      <c r="X436" s="18" t="str">
        <f aca="false">IF(U436="","",INDEX('CURVA EDAD'!$E$5:$E$32,MIN(28,MAX(1,N436))))</f>
        <v/>
      </c>
      <c r="Y436" s="16" t="str">
        <f aca="false">IF(V436&lt;&gt;"",V436,IF(U436="","",U436/X436))</f>
        <v/>
      </c>
      <c r="Z436" s="16" t="str">
        <f aca="false">IF(V436&lt;&gt;"",_xlfn.MINIFS(ENSAYOS!$Q$5:$Q$3004,ENSAYOS!$C$5:$C$3004,F436,ENSAYOS!$Q$5:$Q$3004,"&gt;0",ENSAYOS!$G$5:$G$3004,"&gt;="&amp;CONFIG!$B$27),IF(U436="","",_xlfn.MINIFS(ENSAYOS!$Q$5:$Q$3004,ENSAYOS!$C$5:$C$3004,F436,ENSAYOS!$Q$5:$Q$3004,"&gt;0",ENSAYOS!$G$5:$G$3004,N436)/X436))</f>
        <v/>
      </c>
      <c r="AA436" s="16" t="str">
        <f aca="false">IF(D436="","",IFERROR(1/(1/INDEX(CONFIG!$J$5:$J$14,MATCH(D436,CONFIG!$D$5:$D$14,0))),""))</f>
        <v/>
      </c>
      <c r="AB436" s="16" t="str">
        <f aca="false">IF(D436="","",IFERROR(1/(1/INDEX(CONFIG!$K$5:$K$14,MATCH(D436,CONFIG!$D$5:$D$14,0))),""))</f>
        <v/>
      </c>
      <c r="AC436" s="19" t="str">
        <f aca="false">IF(N(M436)=0,"",IF(AA436="","Sin spec",IF(AND(Y436&gt;=AA436,OR(AB436="",Z436&gt;=AB436)),"CUMPLE","NO CUMPLE")&amp;IF(V436=""," (est.)","")))</f>
        <v/>
      </c>
      <c r="AD436" s="20" t="str">
        <f aca="false">IF(F436="","",IF(COUNTIFS(ABSORCION!$C$5:$C$1004,F436,ABSORCION!$I$5:$I$1004,"&gt;0")=0,"",AVERAGEIFS(ABSORCION!$I$5:$I$1004,ABSORCION!$C$5:$C$1004,F436,ABSORCION!$I$5:$I$1004,"&gt;0")))</f>
        <v/>
      </c>
      <c r="AE436" s="20" t="str">
        <f aca="false">IF(F436="","",IF(COUNTIFS(ABSORCION!$C$5:$C$1004,F436,ABSORCION!$I$5:$I$1004,"&gt;0")=0,"",AVERAGEIFS(ABSORCION!$K$5:$K$1004,ABSORCION!$C$5:$C$1004,F436,ABSORCION!$I$5:$I$1004,"&gt;0")))</f>
        <v/>
      </c>
      <c r="AF436" s="20" t="str">
        <f aca="false">IF(AE436="","",IF(AE436&gt;=CONFIG!$E$21,CONFIG!$F$21,IF(AE436&gt;=CONFIG!$E$20,CONFIG!$F$20,CONFIG!$F$19)))</f>
        <v/>
      </c>
      <c r="AG436" s="21" t="str">
        <f aca="false">IF(F436="","",TRIM(IF(N(M436)=0,"Sin ensayos. ","")&amp;IF(AND(N(M436)&gt;0,N(M436)&lt;CONFIG!$B$26),"Menos de "&amp;CONFIG!$B$26&amp;" probetas. ","")&amp;IF(N(T436)&gt;CONFIG!$B$25,"CV alto. ","")&amp;IF(AND(N(AD436)&gt;0,N(AD436)&gt;N(AF436)),"Absorción alta. ","")))</f>
        <v/>
      </c>
      <c r="AH436" s="22" t="str">
        <f aca="false">IF(AND(N(M436)&gt;0,OR(CONTROL!$C$4="TODAS",C436=CONTROL!$C$4),D436=CONTROL!$C$5),MAX($AH$4:AH435)+1,"")</f>
        <v/>
      </c>
      <c r="AI436" s="22" t="str">
        <f aca="false">IF(AH436="","",P436^2)</f>
        <v/>
      </c>
    </row>
    <row r="437" customFormat="false" ht="15" hidden="false" customHeight="false" outlineLevel="0" collapsed="false">
      <c r="A437" s="11" t="str">
        <f aca="false">IF(B437="","",ROW()-4)</f>
        <v/>
      </c>
      <c r="B437" s="12"/>
      <c r="C437" s="13"/>
      <c r="D437" s="13"/>
      <c r="E437" s="13"/>
      <c r="F437" s="14" t="str">
        <f aca="false">IF(OR(B437="",C437="",D437=""),"",IFERROR(INDEX(CONFIG!$E$5:$E$14,MATCH(D437,CONFIG!$D$5:$D$14,0)),"?")&amp;RIGHT("0"&amp;DAY(B437),2)&amp;RIGHT("0"&amp;MONTH(B437),2)&amp;RIGHT(YEAR(B437),2)&amp;C437&amp;IF(E437="","","-"&amp;E437))</f>
        <v/>
      </c>
      <c r="G437" s="13"/>
      <c r="H437" s="13"/>
      <c r="I437" s="13"/>
      <c r="J437" s="13"/>
      <c r="K437" s="13"/>
      <c r="L437" s="13"/>
      <c r="M437" s="11" t="str">
        <f aca="false">IF(F437="","",COUNTIFS(ENSAYOS!$C$5:$C$3004,F437,ENSAYOS!$Q$5:$Q$3004,"&gt;0"))</f>
        <v/>
      </c>
      <c r="N437" s="15" t="str">
        <f aca="false">IF(N(M437)=0,"",_xlfn.MINIFS(ENSAYOS!$G$5:$G$3004,ENSAYOS!$C$5:$C$3004,F437,ENSAYOS!$Q$5:$Q$3004,"&gt;0"))</f>
        <v/>
      </c>
      <c r="O437" s="15" t="str">
        <f aca="false">IF(N(M437)=0,"",_xlfn.MAXIFS(ENSAYOS!$G$5:$G$3004,ENSAYOS!$C$5:$C$3004,F437,ENSAYOS!$Q$5:$Q$3004,"&gt;0"))</f>
        <v/>
      </c>
      <c r="P437" s="16" t="str">
        <f aca="false">IF(N(M437)=0,"",AVERAGEIFS(ENSAYOS!$Q$5:$Q$3004,ENSAYOS!$C$5:$C$3004,F437,ENSAYOS!$Q$5:$Q$3004,"&gt;0"))</f>
        <v/>
      </c>
      <c r="Q437" s="16" t="str">
        <f aca="false">IF(N(M437)=0,"",_xlfn.MINIFS(ENSAYOS!$Q$5:$Q$3004,ENSAYOS!$C$5:$C$3004,F437,ENSAYOS!$Q$5:$Q$3004,"&gt;0"))</f>
        <v/>
      </c>
      <c r="R437" s="16" t="str">
        <f aca="false">IF(N(M437)=0,"",_xlfn.MAXIFS(ENSAYOS!$Q$5:$Q$3004,ENSAYOS!$C$5:$C$3004,F437,ENSAYOS!$Q$5:$Q$3004,"&gt;0"))</f>
        <v/>
      </c>
      <c r="S437" s="16" t="str">
        <f aca="false">IF(N(M437)&lt;2,"",SQRT(MAX(0,(SUMIFS(ENSAYOS!$X$5:$X$3004,ENSAYOS!$C$5:$C$3004,F437,ENSAYOS!$Q$5:$Q$3004,"&gt;0")-M437*P437^2)/(M437-1))))</f>
        <v/>
      </c>
      <c r="T437" s="17" t="str">
        <f aca="false">IF(S437="","",S437/P437)</f>
        <v/>
      </c>
      <c r="U437" s="16" t="str">
        <f aca="false">IF(N(M437)=0,"",IF(N437&gt;=CONFIG!$B$27,"",AVERAGEIFS(ENSAYOS!$Q$5:$Q$3004,ENSAYOS!$C$5:$C$3004,F437,ENSAYOS!$Q$5:$Q$3004,"&gt;0",ENSAYOS!$G$5:$G$3004,N437)))</f>
        <v/>
      </c>
      <c r="V437" s="16" t="str">
        <f aca="false">IF(N(M437)=0,"",IF(COUNTIFS(ENSAYOS!$C$5:$C$3004,F437,ENSAYOS!$Q$5:$Q$3004,"&gt;0",ENSAYOS!$G$5:$G$3004,"&gt;="&amp;CONFIG!$B$27)=0,"",AVERAGEIFS(ENSAYOS!$Q$5:$Q$3004,ENSAYOS!$C$5:$C$3004,F437,ENSAYOS!$Q$5:$Q$3004,"&gt;0",ENSAYOS!$G$5:$G$3004,"&gt;="&amp;CONFIG!$B$27)))</f>
        <v/>
      </c>
      <c r="W437" s="18" t="str">
        <f aca="false">IF(AND(U437&lt;&gt;"",V437&lt;&gt;""),U437/V437,"")</f>
        <v/>
      </c>
      <c r="X437" s="18" t="str">
        <f aca="false">IF(U437="","",INDEX('CURVA EDAD'!$E$5:$E$32,MIN(28,MAX(1,N437))))</f>
        <v/>
      </c>
      <c r="Y437" s="16" t="str">
        <f aca="false">IF(V437&lt;&gt;"",V437,IF(U437="","",U437/X437))</f>
        <v/>
      </c>
      <c r="Z437" s="16" t="str">
        <f aca="false">IF(V437&lt;&gt;"",_xlfn.MINIFS(ENSAYOS!$Q$5:$Q$3004,ENSAYOS!$C$5:$C$3004,F437,ENSAYOS!$Q$5:$Q$3004,"&gt;0",ENSAYOS!$G$5:$G$3004,"&gt;="&amp;CONFIG!$B$27),IF(U437="","",_xlfn.MINIFS(ENSAYOS!$Q$5:$Q$3004,ENSAYOS!$C$5:$C$3004,F437,ENSAYOS!$Q$5:$Q$3004,"&gt;0",ENSAYOS!$G$5:$G$3004,N437)/X437))</f>
        <v/>
      </c>
      <c r="AA437" s="16" t="str">
        <f aca="false">IF(D437="","",IFERROR(1/(1/INDEX(CONFIG!$J$5:$J$14,MATCH(D437,CONFIG!$D$5:$D$14,0))),""))</f>
        <v/>
      </c>
      <c r="AB437" s="16" t="str">
        <f aca="false">IF(D437="","",IFERROR(1/(1/INDEX(CONFIG!$K$5:$K$14,MATCH(D437,CONFIG!$D$5:$D$14,0))),""))</f>
        <v/>
      </c>
      <c r="AC437" s="19" t="str">
        <f aca="false">IF(N(M437)=0,"",IF(AA437="","Sin spec",IF(AND(Y437&gt;=AA437,OR(AB437="",Z437&gt;=AB437)),"CUMPLE","NO CUMPLE")&amp;IF(V437=""," (est.)","")))</f>
        <v/>
      </c>
      <c r="AD437" s="20" t="str">
        <f aca="false">IF(F437="","",IF(COUNTIFS(ABSORCION!$C$5:$C$1004,F437,ABSORCION!$I$5:$I$1004,"&gt;0")=0,"",AVERAGEIFS(ABSORCION!$I$5:$I$1004,ABSORCION!$C$5:$C$1004,F437,ABSORCION!$I$5:$I$1004,"&gt;0")))</f>
        <v/>
      </c>
      <c r="AE437" s="20" t="str">
        <f aca="false">IF(F437="","",IF(COUNTIFS(ABSORCION!$C$5:$C$1004,F437,ABSORCION!$I$5:$I$1004,"&gt;0")=0,"",AVERAGEIFS(ABSORCION!$K$5:$K$1004,ABSORCION!$C$5:$C$1004,F437,ABSORCION!$I$5:$I$1004,"&gt;0")))</f>
        <v/>
      </c>
      <c r="AF437" s="20" t="str">
        <f aca="false">IF(AE437="","",IF(AE437&gt;=CONFIG!$E$21,CONFIG!$F$21,IF(AE437&gt;=CONFIG!$E$20,CONFIG!$F$20,CONFIG!$F$19)))</f>
        <v/>
      </c>
      <c r="AG437" s="21" t="str">
        <f aca="false">IF(F437="","",TRIM(IF(N(M437)=0,"Sin ensayos. ","")&amp;IF(AND(N(M437)&gt;0,N(M437)&lt;CONFIG!$B$26),"Menos de "&amp;CONFIG!$B$26&amp;" probetas. ","")&amp;IF(N(T437)&gt;CONFIG!$B$25,"CV alto. ","")&amp;IF(AND(N(AD437)&gt;0,N(AD437)&gt;N(AF437)),"Absorción alta. ","")))</f>
        <v/>
      </c>
      <c r="AH437" s="22" t="str">
        <f aca="false">IF(AND(N(M437)&gt;0,OR(CONTROL!$C$4="TODAS",C437=CONTROL!$C$4),D437=CONTROL!$C$5),MAX($AH$4:AH436)+1,"")</f>
        <v/>
      </c>
      <c r="AI437" s="22" t="str">
        <f aca="false">IF(AH437="","",P437^2)</f>
        <v/>
      </c>
    </row>
    <row r="438" customFormat="false" ht="15" hidden="false" customHeight="false" outlineLevel="0" collapsed="false">
      <c r="A438" s="11" t="str">
        <f aca="false">IF(B438="","",ROW()-4)</f>
        <v/>
      </c>
      <c r="B438" s="12"/>
      <c r="C438" s="13"/>
      <c r="D438" s="13"/>
      <c r="E438" s="13"/>
      <c r="F438" s="14" t="str">
        <f aca="false">IF(OR(B438="",C438="",D438=""),"",IFERROR(INDEX(CONFIG!$E$5:$E$14,MATCH(D438,CONFIG!$D$5:$D$14,0)),"?")&amp;RIGHT("0"&amp;DAY(B438),2)&amp;RIGHT("0"&amp;MONTH(B438),2)&amp;RIGHT(YEAR(B438),2)&amp;C438&amp;IF(E438="","","-"&amp;E438))</f>
        <v/>
      </c>
      <c r="G438" s="13"/>
      <c r="H438" s="13"/>
      <c r="I438" s="13"/>
      <c r="J438" s="13"/>
      <c r="K438" s="13"/>
      <c r="L438" s="13"/>
      <c r="M438" s="11" t="str">
        <f aca="false">IF(F438="","",COUNTIFS(ENSAYOS!$C$5:$C$3004,F438,ENSAYOS!$Q$5:$Q$3004,"&gt;0"))</f>
        <v/>
      </c>
      <c r="N438" s="15" t="str">
        <f aca="false">IF(N(M438)=0,"",_xlfn.MINIFS(ENSAYOS!$G$5:$G$3004,ENSAYOS!$C$5:$C$3004,F438,ENSAYOS!$Q$5:$Q$3004,"&gt;0"))</f>
        <v/>
      </c>
      <c r="O438" s="15" t="str">
        <f aca="false">IF(N(M438)=0,"",_xlfn.MAXIFS(ENSAYOS!$G$5:$G$3004,ENSAYOS!$C$5:$C$3004,F438,ENSAYOS!$Q$5:$Q$3004,"&gt;0"))</f>
        <v/>
      </c>
      <c r="P438" s="16" t="str">
        <f aca="false">IF(N(M438)=0,"",AVERAGEIFS(ENSAYOS!$Q$5:$Q$3004,ENSAYOS!$C$5:$C$3004,F438,ENSAYOS!$Q$5:$Q$3004,"&gt;0"))</f>
        <v/>
      </c>
      <c r="Q438" s="16" t="str">
        <f aca="false">IF(N(M438)=0,"",_xlfn.MINIFS(ENSAYOS!$Q$5:$Q$3004,ENSAYOS!$C$5:$C$3004,F438,ENSAYOS!$Q$5:$Q$3004,"&gt;0"))</f>
        <v/>
      </c>
      <c r="R438" s="16" t="str">
        <f aca="false">IF(N(M438)=0,"",_xlfn.MAXIFS(ENSAYOS!$Q$5:$Q$3004,ENSAYOS!$C$5:$C$3004,F438,ENSAYOS!$Q$5:$Q$3004,"&gt;0"))</f>
        <v/>
      </c>
      <c r="S438" s="16" t="str">
        <f aca="false">IF(N(M438)&lt;2,"",SQRT(MAX(0,(SUMIFS(ENSAYOS!$X$5:$X$3004,ENSAYOS!$C$5:$C$3004,F438,ENSAYOS!$Q$5:$Q$3004,"&gt;0")-M438*P438^2)/(M438-1))))</f>
        <v/>
      </c>
      <c r="T438" s="17" t="str">
        <f aca="false">IF(S438="","",S438/P438)</f>
        <v/>
      </c>
      <c r="U438" s="16" t="str">
        <f aca="false">IF(N(M438)=0,"",IF(N438&gt;=CONFIG!$B$27,"",AVERAGEIFS(ENSAYOS!$Q$5:$Q$3004,ENSAYOS!$C$5:$C$3004,F438,ENSAYOS!$Q$5:$Q$3004,"&gt;0",ENSAYOS!$G$5:$G$3004,N438)))</f>
        <v/>
      </c>
      <c r="V438" s="16" t="str">
        <f aca="false">IF(N(M438)=0,"",IF(COUNTIFS(ENSAYOS!$C$5:$C$3004,F438,ENSAYOS!$Q$5:$Q$3004,"&gt;0",ENSAYOS!$G$5:$G$3004,"&gt;="&amp;CONFIG!$B$27)=0,"",AVERAGEIFS(ENSAYOS!$Q$5:$Q$3004,ENSAYOS!$C$5:$C$3004,F438,ENSAYOS!$Q$5:$Q$3004,"&gt;0",ENSAYOS!$G$5:$G$3004,"&gt;="&amp;CONFIG!$B$27)))</f>
        <v/>
      </c>
      <c r="W438" s="18" t="str">
        <f aca="false">IF(AND(U438&lt;&gt;"",V438&lt;&gt;""),U438/V438,"")</f>
        <v/>
      </c>
      <c r="X438" s="18" t="str">
        <f aca="false">IF(U438="","",INDEX('CURVA EDAD'!$E$5:$E$32,MIN(28,MAX(1,N438))))</f>
        <v/>
      </c>
      <c r="Y438" s="16" t="str">
        <f aca="false">IF(V438&lt;&gt;"",V438,IF(U438="","",U438/X438))</f>
        <v/>
      </c>
      <c r="Z438" s="16" t="str">
        <f aca="false">IF(V438&lt;&gt;"",_xlfn.MINIFS(ENSAYOS!$Q$5:$Q$3004,ENSAYOS!$C$5:$C$3004,F438,ENSAYOS!$Q$5:$Q$3004,"&gt;0",ENSAYOS!$G$5:$G$3004,"&gt;="&amp;CONFIG!$B$27),IF(U438="","",_xlfn.MINIFS(ENSAYOS!$Q$5:$Q$3004,ENSAYOS!$C$5:$C$3004,F438,ENSAYOS!$Q$5:$Q$3004,"&gt;0",ENSAYOS!$G$5:$G$3004,N438)/X438))</f>
        <v/>
      </c>
      <c r="AA438" s="16" t="str">
        <f aca="false">IF(D438="","",IFERROR(1/(1/INDEX(CONFIG!$J$5:$J$14,MATCH(D438,CONFIG!$D$5:$D$14,0))),""))</f>
        <v/>
      </c>
      <c r="AB438" s="16" t="str">
        <f aca="false">IF(D438="","",IFERROR(1/(1/INDEX(CONFIG!$K$5:$K$14,MATCH(D438,CONFIG!$D$5:$D$14,0))),""))</f>
        <v/>
      </c>
      <c r="AC438" s="19" t="str">
        <f aca="false">IF(N(M438)=0,"",IF(AA438="","Sin spec",IF(AND(Y438&gt;=AA438,OR(AB438="",Z438&gt;=AB438)),"CUMPLE","NO CUMPLE")&amp;IF(V438=""," (est.)","")))</f>
        <v/>
      </c>
      <c r="AD438" s="20" t="str">
        <f aca="false">IF(F438="","",IF(COUNTIFS(ABSORCION!$C$5:$C$1004,F438,ABSORCION!$I$5:$I$1004,"&gt;0")=0,"",AVERAGEIFS(ABSORCION!$I$5:$I$1004,ABSORCION!$C$5:$C$1004,F438,ABSORCION!$I$5:$I$1004,"&gt;0")))</f>
        <v/>
      </c>
      <c r="AE438" s="20" t="str">
        <f aca="false">IF(F438="","",IF(COUNTIFS(ABSORCION!$C$5:$C$1004,F438,ABSORCION!$I$5:$I$1004,"&gt;0")=0,"",AVERAGEIFS(ABSORCION!$K$5:$K$1004,ABSORCION!$C$5:$C$1004,F438,ABSORCION!$I$5:$I$1004,"&gt;0")))</f>
        <v/>
      </c>
      <c r="AF438" s="20" t="str">
        <f aca="false">IF(AE438="","",IF(AE438&gt;=CONFIG!$E$21,CONFIG!$F$21,IF(AE438&gt;=CONFIG!$E$20,CONFIG!$F$20,CONFIG!$F$19)))</f>
        <v/>
      </c>
      <c r="AG438" s="21" t="str">
        <f aca="false">IF(F438="","",TRIM(IF(N(M438)=0,"Sin ensayos. ","")&amp;IF(AND(N(M438)&gt;0,N(M438)&lt;CONFIG!$B$26),"Menos de "&amp;CONFIG!$B$26&amp;" probetas. ","")&amp;IF(N(T438)&gt;CONFIG!$B$25,"CV alto. ","")&amp;IF(AND(N(AD438)&gt;0,N(AD438)&gt;N(AF438)),"Absorción alta. ","")))</f>
        <v/>
      </c>
      <c r="AH438" s="22" t="str">
        <f aca="false">IF(AND(N(M438)&gt;0,OR(CONTROL!$C$4="TODAS",C438=CONTROL!$C$4),D438=CONTROL!$C$5),MAX($AH$4:AH437)+1,"")</f>
        <v/>
      </c>
      <c r="AI438" s="22" t="str">
        <f aca="false">IF(AH438="","",P438^2)</f>
        <v/>
      </c>
    </row>
    <row r="439" customFormat="false" ht="15" hidden="false" customHeight="false" outlineLevel="0" collapsed="false">
      <c r="A439" s="11" t="str">
        <f aca="false">IF(B439="","",ROW()-4)</f>
        <v/>
      </c>
      <c r="B439" s="12"/>
      <c r="C439" s="13"/>
      <c r="D439" s="13"/>
      <c r="E439" s="13"/>
      <c r="F439" s="14" t="str">
        <f aca="false">IF(OR(B439="",C439="",D439=""),"",IFERROR(INDEX(CONFIG!$E$5:$E$14,MATCH(D439,CONFIG!$D$5:$D$14,0)),"?")&amp;RIGHT("0"&amp;DAY(B439),2)&amp;RIGHT("0"&amp;MONTH(B439),2)&amp;RIGHT(YEAR(B439),2)&amp;C439&amp;IF(E439="","","-"&amp;E439))</f>
        <v/>
      </c>
      <c r="G439" s="13"/>
      <c r="H439" s="13"/>
      <c r="I439" s="13"/>
      <c r="J439" s="13"/>
      <c r="K439" s="13"/>
      <c r="L439" s="13"/>
      <c r="M439" s="11" t="str">
        <f aca="false">IF(F439="","",COUNTIFS(ENSAYOS!$C$5:$C$3004,F439,ENSAYOS!$Q$5:$Q$3004,"&gt;0"))</f>
        <v/>
      </c>
      <c r="N439" s="15" t="str">
        <f aca="false">IF(N(M439)=0,"",_xlfn.MINIFS(ENSAYOS!$G$5:$G$3004,ENSAYOS!$C$5:$C$3004,F439,ENSAYOS!$Q$5:$Q$3004,"&gt;0"))</f>
        <v/>
      </c>
      <c r="O439" s="15" t="str">
        <f aca="false">IF(N(M439)=0,"",_xlfn.MAXIFS(ENSAYOS!$G$5:$G$3004,ENSAYOS!$C$5:$C$3004,F439,ENSAYOS!$Q$5:$Q$3004,"&gt;0"))</f>
        <v/>
      </c>
      <c r="P439" s="16" t="str">
        <f aca="false">IF(N(M439)=0,"",AVERAGEIFS(ENSAYOS!$Q$5:$Q$3004,ENSAYOS!$C$5:$C$3004,F439,ENSAYOS!$Q$5:$Q$3004,"&gt;0"))</f>
        <v/>
      </c>
      <c r="Q439" s="16" t="str">
        <f aca="false">IF(N(M439)=0,"",_xlfn.MINIFS(ENSAYOS!$Q$5:$Q$3004,ENSAYOS!$C$5:$C$3004,F439,ENSAYOS!$Q$5:$Q$3004,"&gt;0"))</f>
        <v/>
      </c>
      <c r="R439" s="16" t="str">
        <f aca="false">IF(N(M439)=0,"",_xlfn.MAXIFS(ENSAYOS!$Q$5:$Q$3004,ENSAYOS!$C$5:$C$3004,F439,ENSAYOS!$Q$5:$Q$3004,"&gt;0"))</f>
        <v/>
      </c>
      <c r="S439" s="16" t="str">
        <f aca="false">IF(N(M439)&lt;2,"",SQRT(MAX(0,(SUMIFS(ENSAYOS!$X$5:$X$3004,ENSAYOS!$C$5:$C$3004,F439,ENSAYOS!$Q$5:$Q$3004,"&gt;0")-M439*P439^2)/(M439-1))))</f>
        <v/>
      </c>
      <c r="T439" s="17" t="str">
        <f aca="false">IF(S439="","",S439/P439)</f>
        <v/>
      </c>
      <c r="U439" s="16" t="str">
        <f aca="false">IF(N(M439)=0,"",IF(N439&gt;=CONFIG!$B$27,"",AVERAGEIFS(ENSAYOS!$Q$5:$Q$3004,ENSAYOS!$C$5:$C$3004,F439,ENSAYOS!$Q$5:$Q$3004,"&gt;0",ENSAYOS!$G$5:$G$3004,N439)))</f>
        <v/>
      </c>
      <c r="V439" s="16" t="str">
        <f aca="false">IF(N(M439)=0,"",IF(COUNTIFS(ENSAYOS!$C$5:$C$3004,F439,ENSAYOS!$Q$5:$Q$3004,"&gt;0",ENSAYOS!$G$5:$G$3004,"&gt;="&amp;CONFIG!$B$27)=0,"",AVERAGEIFS(ENSAYOS!$Q$5:$Q$3004,ENSAYOS!$C$5:$C$3004,F439,ENSAYOS!$Q$5:$Q$3004,"&gt;0",ENSAYOS!$G$5:$G$3004,"&gt;="&amp;CONFIG!$B$27)))</f>
        <v/>
      </c>
      <c r="W439" s="18" t="str">
        <f aca="false">IF(AND(U439&lt;&gt;"",V439&lt;&gt;""),U439/V439,"")</f>
        <v/>
      </c>
      <c r="X439" s="18" t="str">
        <f aca="false">IF(U439="","",INDEX('CURVA EDAD'!$E$5:$E$32,MIN(28,MAX(1,N439))))</f>
        <v/>
      </c>
      <c r="Y439" s="16" t="str">
        <f aca="false">IF(V439&lt;&gt;"",V439,IF(U439="","",U439/X439))</f>
        <v/>
      </c>
      <c r="Z439" s="16" t="str">
        <f aca="false">IF(V439&lt;&gt;"",_xlfn.MINIFS(ENSAYOS!$Q$5:$Q$3004,ENSAYOS!$C$5:$C$3004,F439,ENSAYOS!$Q$5:$Q$3004,"&gt;0",ENSAYOS!$G$5:$G$3004,"&gt;="&amp;CONFIG!$B$27),IF(U439="","",_xlfn.MINIFS(ENSAYOS!$Q$5:$Q$3004,ENSAYOS!$C$5:$C$3004,F439,ENSAYOS!$Q$5:$Q$3004,"&gt;0",ENSAYOS!$G$5:$G$3004,N439)/X439))</f>
        <v/>
      </c>
      <c r="AA439" s="16" t="str">
        <f aca="false">IF(D439="","",IFERROR(1/(1/INDEX(CONFIG!$J$5:$J$14,MATCH(D439,CONFIG!$D$5:$D$14,0))),""))</f>
        <v/>
      </c>
      <c r="AB439" s="16" t="str">
        <f aca="false">IF(D439="","",IFERROR(1/(1/INDEX(CONFIG!$K$5:$K$14,MATCH(D439,CONFIG!$D$5:$D$14,0))),""))</f>
        <v/>
      </c>
      <c r="AC439" s="19" t="str">
        <f aca="false">IF(N(M439)=0,"",IF(AA439="","Sin spec",IF(AND(Y439&gt;=AA439,OR(AB439="",Z439&gt;=AB439)),"CUMPLE","NO CUMPLE")&amp;IF(V439=""," (est.)","")))</f>
        <v/>
      </c>
      <c r="AD439" s="20" t="str">
        <f aca="false">IF(F439="","",IF(COUNTIFS(ABSORCION!$C$5:$C$1004,F439,ABSORCION!$I$5:$I$1004,"&gt;0")=0,"",AVERAGEIFS(ABSORCION!$I$5:$I$1004,ABSORCION!$C$5:$C$1004,F439,ABSORCION!$I$5:$I$1004,"&gt;0")))</f>
        <v/>
      </c>
      <c r="AE439" s="20" t="str">
        <f aca="false">IF(F439="","",IF(COUNTIFS(ABSORCION!$C$5:$C$1004,F439,ABSORCION!$I$5:$I$1004,"&gt;0")=0,"",AVERAGEIFS(ABSORCION!$K$5:$K$1004,ABSORCION!$C$5:$C$1004,F439,ABSORCION!$I$5:$I$1004,"&gt;0")))</f>
        <v/>
      </c>
      <c r="AF439" s="20" t="str">
        <f aca="false">IF(AE439="","",IF(AE439&gt;=CONFIG!$E$21,CONFIG!$F$21,IF(AE439&gt;=CONFIG!$E$20,CONFIG!$F$20,CONFIG!$F$19)))</f>
        <v/>
      </c>
      <c r="AG439" s="21" t="str">
        <f aca="false">IF(F439="","",TRIM(IF(N(M439)=0,"Sin ensayos. ","")&amp;IF(AND(N(M439)&gt;0,N(M439)&lt;CONFIG!$B$26),"Menos de "&amp;CONFIG!$B$26&amp;" probetas. ","")&amp;IF(N(T439)&gt;CONFIG!$B$25,"CV alto. ","")&amp;IF(AND(N(AD439)&gt;0,N(AD439)&gt;N(AF439)),"Absorción alta. ","")))</f>
        <v/>
      </c>
      <c r="AH439" s="22" t="str">
        <f aca="false">IF(AND(N(M439)&gt;0,OR(CONTROL!$C$4="TODAS",C439=CONTROL!$C$4),D439=CONTROL!$C$5),MAX($AH$4:AH438)+1,"")</f>
        <v/>
      </c>
      <c r="AI439" s="22" t="str">
        <f aca="false">IF(AH439="","",P439^2)</f>
        <v/>
      </c>
    </row>
    <row r="440" customFormat="false" ht="15" hidden="false" customHeight="false" outlineLevel="0" collapsed="false">
      <c r="A440" s="11" t="str">
        <f aca="false">IF(B440="","",ROW()-4)</f>
        <v/>
      </c>
      <c r="B440" s="12"/>
      <c r="C440" s="13"/>
      <c r="D440" s="13"/>
      <c r="E440" s="13"/>
      <c r="F440" s="14" t="str">
        <f aca="false">IF(OR(B440="",C440="",D440=""),"",IFERROR(INDEX(CONFIG!$E$5:$E$14,MATCH(D440,CONFIG!$D$5:$D$14,0)),"?")&amp;RIGHT("0"&amp;DAY(B440),2)&amp;RIGHT("0"&amp;MONTH(B440),2)&amp;RIGHT(YEAR(B440),2)&amp;C440&amp;IF(E440="","","-"&amp;E440))</f>
        <v/>
      </c>
      <c r="G440" s="13"/>
      <c r="H440" s="13"/>
      <c r="I440" s="13"/>
      <c r="J440" s="13"/>
      <c r="K440" s="13"/>
      <c r="L440" s="13"/>
      <c r="M440" s="11" t="str">
        <f aca="false">IF(F440="","",COUNTIFS(ENSAYOS!$C$5:$C$3004,F440,ENSAYOS!$Q$5:$Q$3004,"&gt;0"))</f>
        <v/>
      </c>
      <c r="N440" s="15" t="str">
        <f aca="false">IF(N(M440)=0,"",_xlfn.MINIFS(ENSAYOS!$G$5:$G$3004,ENSAYOS!$C$5:$C$3004,F440,ENSAYOS!$Q$5:$Q$3004,"&gt;0"))</f>
        <v/>
      </c>
      <c r="O440" s="15" t="str">
        <f aca="false">IF(N(M440)=0,"",_xlfn.MAXIFS(ENSAYOS!$G$5:$G$3004,ENSAYOS!$C$5:$C$3004,F440,ENSAYOS!$Q$5:$Q$3004,"&gt;0"))</f>
        <v/>
      </c>
      <c r="P440" s="16" t="str">
        <f aca="false">IF(N(M440)=0,"",AVERAGEIFS(ENSAYOS!$Q$5:$Q$3004,ENSAYOS!$C$5:$C$3004,F440,ENSAYOS!$Q$5:$Q$3004,"&gt;0"))</f>
        <v/>
      </c>
      <c r="Q440" s="16" t="str">
        <f aca="false">IF(N(M440)=0,"",_xlfn.MINIFS(ENSAYOS!$Q$5:$Q$3004,ENSAYOS!$C$5:$C$3004,F440,ENSAYOS!$Q$5:$Q$3004,"&gt;0"))</f>
        <v/>
      </c>
      <c r="R440" s="16" t="str">
        <f aca="false">IF(N(M440)=0,"",_xlfn.MAXIFS(ENSAYOS!$Q$5:$Q$3004,ENSAYOS!$C$5:$C$3004,F440,ENSAYOS!$Q$5:$Q$3004,"&gt;0"))</f>
        <v/>
      </c>
      <c r="S440" s="16" t="str">
        <f aca="false">IF(N(M440)&lt;2,"",SQRT(MAX(0,(SUMIFS(ENSAYOS!$X$5:$X$3004,ENSAYOS!$C$5:$C$3004,F440,ENSAYOS!$Q$5:$Q$3004,"&gt;0")-M440*P440^2)/(M440-1))))</f>
        <v/>
      </c>
      <c r="T440" s="17" t="str">
        <f aca="false">IF(S440="","",S440/P440)</f>
        <v/>
      </c>
      <c r="U440" s="16" t="str">
        <f aca="false">IF(N(M440)=0,"",IF(N440&gt;=CONFIG!$B$27,"",AVERAGEIFS(ENSAYOS!$Q$5:$Q$3004,ENSAYOS!$C$5:$C$3004,F440,ENSAYOS!$Q$5:$Q$3004,"&gt;0",ENSAYOS!$G$5:$G$3004,N440)))</f>
        <v/>
      </c>
      <c r="V440" s="16" t="str">
        <f aca="false">IF(N(M440)=0,"",IF(COUNTIFS(ENSAYOS!$C$5:$C$3004,F440,ENSAYOS!$Q$5:$Q$3004,"&gt;0",ENSAYOS!$G$5:$G$3004,"&gt;="&amp;CONFIG!$B$27)=0,"",AVERAGEIFS(ENSAYOS!$Q$5:$Q$3004,ENSAYOS!$C$5:$C$3004,F440,ENSAYOS!$Q$5:$Q$3004,"&gt;0",ENSAYOS!$G$5:$G$3004,"&gt;="&amp;CONFIG!$B$27)))</f>
        <v/>
      </c>
      <c r="W440" s="18" t="str">
        <f aca="false">IF(AND(U440&lt;&gt;"",V440&lt;&gt;""),U440/V440,"")</f>
        <v/>
      </c>
      <c r="X440" s="18" t="str">
        <f aca="false">IF(U440="","",INDEX('CURVA EDAD'!$E$5:$E$32,MIN(28,MAX(1,N440))))</f>
        <v/>
      </c>
      <c r="Y440" s="16" t="str">
        <f aca="false">IF(V440&lt;&gt;"",V440,IF(U440="","",U440/X440))</f>
        <v/>
      </c>
      <c r="Z440" s="16" t="str">
        <f aca="false">IF(V440&lt;&gt;"",_xlfn.MINIFS(ENSAYOS!$Q$5:$Q$3004,ENSAYOS!$C$5:$C$3004,F440,ENSAYOS!$Q$5:$Q$3004,"&gt;0",ENSAYOS!$G$5:$G$3004,"&gt;="&amp;CONFIG!$B$27),IF(U440="","",_xlfn.MINIFS(ENSAYOS!$Q$5:$Q$3004,ENSAYOS!$C$5:$C$3004,F440,ENSAYOS!$Q$5:$Q$3004,"&gt;0",ENSAYOS!$G$5:$G$3004,N440)/X440))</f>
        <v/>
      </c>
      <c r="AA440" s="16" t="str">
        <f aca="false">IF(D440="","",IFERROR(1/(1/INDEX(CONFIG!$J$5:$J$14,MATCH(D440,CONFIG!$D$5:$D$14,0))),""))</f>
        <v/>
      </c>
      <c r="AB440" s="16" t="str">
        <f aca="false">IF(D440="","",IFERROR(1/(1/INDEX(CONFIG!$K$5:$K$14,MATCH(D440,CONFIG!$D$5:$D$14,0))),""))</f>
        <v/>
      </c>
      <c r="AC440" s="19" t="str">
        <f aca="false">IF(N(M440)=0,"",IF(AA440="","Sin spec",IF(AND(Y440&gt;=AA440,OR(AB440="",Z440&gt;=AB440)),"CUMPLE","NO CUMPLE")&amp;IF(V440=""," (est.)","")))</f>
        <v/>
      </c>
      <c r="AD440" s="20" t="str">
        <f aca="false">IF(F440="","",IF(COUNTIFS(ABSORCION!$C$5:$C$1004,F440,ABSORCION!$I$5:$I$1004,"&gt;0")=0,"",AVERAGEIFS(ABSORCION!$I$5:$I$1004,ABSORCION!$C$5:$C$1004,F440,ABSORCION!$I$5:$I$1004,"&gt;0")))</f>
        <v/>
      </c>
      <c r="AE440" s="20" t="str">
        <f aca="false">IF(F440="","",IF(COUNTIFS(ABSORCION!$C$5:$C$1004,F440,ABSORCION!$I$5:$I$1004,"&gt;0")=0,"",AVERAGEIFS(ABSORCION!$K$5:$K$1004,ABSORCION!$C$5:$C$1004,F440,ABSORCION!$I$5:$I$1004,"&gt;0")))</f>
        <v/>
      </c>
      <c r="AF440" s="20" t="str">
        <f aca="false">IF(AE440="","",IF(AE440&gt;=CONFIG!$E$21,CONFIG!$F$21,IF(AE440&gt;=CONFIG!$E$20,CONFIG!$F$20,CONFIG!$F$19)))</f>
        <v/>
      </c>
      <c r="AG440" s="21" t="str">
        <f aca="false">IF(F440="","",TRIM(IF(N(M440)=0,"Sin ensayos. ","")&amp;IF(AND(N(M440)&gt;0,N(M440)&lt;CONFIG!$B$26),"Menos de "&amp;CONFIG!$B$26&amp;" probetas. ","")&amp;IF(N(T440)&gt;CONFIG!$B$25,"CV alto. ","")&amp;IF(AND(N(AD440)&gt;0,N(AD440)&gt;N(AF440)),"Absorción alta. ","")))</f>
        <v/>
      </c>
      <c r="AH440" s="22" t="str">
        <f aca="false">IF(AND(N(M440)&gt;0,OR(CONTROL!$C$4="TODAS",C440=CONTROL!$C$4),D440=CONTROL!$C$5),MAX($AH$4:AH439)+1,"")</f>
        <v/>
      </c>
      <c r="AI440" s="22" t="str">
        <f aca="false">IF(AH440="","",P440^2)</f>
        <v/>
      </c>
    </row>
    <row r="441" customFormat="false" ht="15" hidden="false" customHeight="false" outlineLevel="0" collapsed="false">
      <c r="A441" s="11" t="str">
        <f aca="false">IF(B441="","",ROW()-4)</f>
        <v/>
      </c>
      <c r="B441" s="12"/>
      <c r="C441" s="13"/>
      <c r="D441" s="13"/>
      <c r="E441" s="13"/>
      <c r="F441" s="14" t="str">
        <f aca="false">IF(OR(B441="",C441="",D441=""),"",IFERROR(INDEX(CONFIG!$E$5:$E$14,MATCH(D441,CONFIG!$D$5:$D$14,0)),"?")&amp;RIGHT("0"&amp;DAY(B441),2)&amp;RIGHT("0"&amp;MONTH(B441),2)&amp;RIGHT(YEAR(B441),2)&amp;C441&amp;IF(E441="","","-"&amp;E441))</f>
        <v/>
      </c>
      <c r="G441" s="13"/>
      <c r="H441" s="13"/>
      <c r="I441" s="13"/>
      <c r="J441" s="13"/>
      <c r="K441" s="13"/>
      <c r="L441" s="13"/>
      <c r="M441" s="11" t="str">
        <f aca="false">IF(F441="","",COUNTIFS(ENSAYOS!$C$5:$C$3004,F441,ENSAYOS!$Q$5:$Q$3004,"&gt;0"))</f>
        <v/>
      </c>
      <c r="N441" s="15" t="str">
        <f aca="false">IF(N(M441)=0,"",_xlfn.MINIFS(ENSAYOS!$G$5:$G$3004,ENSAYOS!$C$5:$C$3004,F441,ENSAYOS!$Q$5:$Q$3004,"&gt;0"))</f>
        <v/>
      </c>
      <c r="O441" s="15" t="str">
        <f aca="false">IF(N(M441)=0,"",_xlfn.MAXIFS(ENSAYOS!$G$5:$G$3004,ENSAYOS!$C$5:$C$3004,F441,ENSAYOS!$Q$5:$Q$3004,"&gt;0"))</f>
        <v/>
      </c>
      <c r="P441" s="16" t="str">
        <f aca="false">IF(N(M441)=0,"",AVERAGEIFS(ENSAYOS!$Q$5:$Q$3004,ENSAYOS!$C$5:$C$3004,F441,ENSAYOS!$Q$5:$Q$3004,"&gt;0"))</f>
        <v/>
      </c>
      <c r="Q441" s="16" t="str">
        <f aca="false">IF(N(M441)=0,"",_xlfn.MINIFS(ENSAYOS!$Q$5:$Q$3004,ENSAYOS!$C$5:$C$3004,F441,ENSAYOS!$Q$5:$Q$3004,"&gt;0"))</f>
        <v/>
      </c>
      <c r="R441" s="16" t="str">
        <f aca="false">IF(N(M441)=0,"",_xlfn.MAXIFS(ENSAYOS!$Q$5:$Q$3004,ENSAYOS!$C$5:$C$3004,F441,ENSAYOS!$Q$5:$Q$3004,"&gt;0"))</f>
        <v/>
      </c>
      <c r="S441" s="16" t="str">
        <f aca="false">IF(N(M441)&lt;2,"",SQRT(MAX(0,(SUMIFS(ENSAYOS!$X$5:$X$3004,ENSAYOS!$C$5:$C$3004,F441,ENSAYOS!$Q$5:$Q$3004,"&gt;0")-M441*P441^2)/(M441-1))))</f>
        <v/>
      </c>
      <c r="T441" s="17" t="str">
        <f aca="false">IF(S441="","",S441/P441)</f>
        <v/>
      </c>
      <c r="U441" s="16" t="str">
        <f aca="false">IF(N(M441)=0,"",IF(N441&gt;=CONFIG!$B$27,"",AVERAGEIFS(ENSAYOS!$Q$5:$Q$3004,ENSAYOS!$C$5:$C$3004,F441,ENSAYOS!$Q$5:$Q$3004,"&gt;0",ENSAYOS!$G$5:$G$3004,N441)))</f>
        <v/>
      </c>
      <c r="V441" s="16" t="str">
        <f aca="false">IF(N(M441)=0,"",IF(COUNTIFS(ENSAYOS!$C$5:$C$3004,F441,ENSAYOS!$Q$5:$Q$3004,"&gt;0",ENSAYOS!$G$5:$G$3004,"&gt;="&amp;CONFIG!$B$27)=0,"",AVERAGEIFS(ENSAYOS!$Q$5:$Q$3004,ENSAYOS!$C$5:$C$3004,F441,ENSAYOS!$Q$5:$Q$3004,"&gt;0",ENSAYOS!$G$5:$G$3004,"&gt;="&amp;CONFIG!$B$27)))</f>
        <v/>
      </c>
      <c r="W441" s="18" t="str">
        <f aca="false">IF(AND(U441&lt;&gt;"",V441&lt;&gt;""),U441/V441,"")</f>
        <v/>
      </c>
      <c r="X441" s="18" t="str">
        <f aca="false">IF(U441="","",INDEX('CURVA EDAD'!$E$5:$E$32,MIN(28,MAX(1,N441))))</f>
        <v/>
      </c>
      <c r="Y441" s="16" t="str">
        <f aca="false">IF(V441&lt;&gt;"",V441,IF(U441="","",U441/X441))</f>
        <v/>
      </c>
      <c r="Z441" s="16" t="str">
        <f aca="false">IF(V441&lt;&gt;"",_xlfn.MINIFS(ENSAYOS!$Q$5:$Q$3004,ENSAYOS!$C$5:$C$3004,F441,ENSAYOS!$Q$5:$Q$3004,"&gt;0",ENSAYOS!$G$5:$G$3004,"&gt;="&amp;CONFIG!$B$27),IF(U441="","",_xlfn.MINIFS(ENSAYOS!$Q$5:$Q$3004,ENSAYOS!$C$5:$C$3004,F441,ENSAYOS!$Q$5:$Q$3004,"&gt;0",ENSAYOS!$G$5:$G$3004,N441)/X441))</f>
        <v/>
      </c>
      <c r="AA441" s="16" t="str">
        <f aca="false">IF(D441="","",IFERROR(1/(1/INDEX(CONFIG!$J$5:$J$14,MATCH(D441,CONFIG!$D$5:$D$14,0))),""))</f>
        <v/>
      </c>
      <c r="AB441" s="16" t="str">
        <f aca="false">IF(D441="","",IFERROR(1/(1/INDEX(CONFIG!$K$5:$K$14,MATCH(D441,CONFIG!$D$5:$D$14,0))),""))</f>
        <v/>
      </c>
      <c r="AC441" s="19" t="str">
        <f aca="false">IF(N(M441)=0,"",IF(AA441="","Sin spec",IF(AND(Y441&gt;=AA441,OR(AB441="",Z441&gt;=AB441)),"CUMPLE","NO CUMPLE")&amp;IF(V441=""," (est.)","")))</f>
        <v/>
      </c>
      <c r="AD441" s="20" t="str">
        <f aca="false">IF(F441="","",IF(COUNTIFS(ABSORCION!$C$5:$C$1004,F441,ABSORCION!$I$5:$I$1004,"&gt;0")=0,"",AVERAGEIFS(ABSORCION!$I$5:$I$1004,ABSORCION!$C$5:$C$1004,F441,ABSORCION!$I$5:$I$1004,"&gt;0")))</f>
        <v/>
      </c>
      <c r="AE441" s="20" t="str">
        <f aca="false">IF(F441="","",IF(COUNTIFS(ABSORCION!$C$5:$C$1004,F441,ABSORCION!$I$5:$I$1004,"&gt;0")=0,"",AVERAGEIFS(ABSORCION!$K$5:$K$1004,ABSORCION!$C$5:$C$1004,F441,ABSORCION!$I$5:$I$1004,"&gt;0")))</f>
        <v/>
      </c>
      <c r="AF441" s="20" t="str">
        <f aca="false">IF(AE441="","",IF(AE441&gt;=CONFIG!$E$21,CONFIG!$F$21,IF(AE441&gt;=CONFIG!$E$20,CONFIG!$F$20,CONFIG!$F$19)))</f>
        <v/>
      </c>
      <c r="AG441" s="21" t="str">
        <f aca="false">IF(F441="","",TRIM(IF(N(M441)=0,"Sin ensayos. ","")&amp;IF(AND(N(M441)&gt;0,N(M441)&lt;CONFIG!$B$26),"Menos de "&amp;CONFIG!$B$26&amp;" probetas. ","")&amp;IF(N(T441)&gt;CONFIG!$B$25,"CV alto. ","")&amp;IF(AND(N(AD441)&gt;0,N(AD441)&gt;N(AF441)),"Absorción alta. ","")))</f>
        <v/>
      </c>
      <c r="AH441" s="22" t="str">
        <f aca="false">IF(AND(N(M441)&gt;0,OR(CONTROL!$C$4="TODAS",C441=CONTROL!$C$4),D441=CONTROL!$C$5),MAX($AH$4:AH440)+1,"")</f>
        <v/>
      </c>
      <c r="AI441" s="22" t="str">
        <f aca="false">IF(AH441="","",P441^2)</f>
        <v/>
      </c>
    </row>
    <row r="442" customFormat="false" ht="15" hidden="false" customHeight="false" outlineLevel="0" collapsed="false">
      <c r="A442" s="11" t="str">
        <f aca="false">IF(B442="","",ROW()-4)</f>
        <v/>
      </c>
      <c r="B442" s="12"/>
      <c r="C442" s="13"/>
      <c r="D442" s="13"/>
      <c r="E442" s="13"/>
      <c r="F442" s="14" t="str">
        <f aca="false">IF(OR(B442="",C442="",D442=""),"",IFERROR(INDEX(CONFIG!$E$5:$E$14,MATCH(D442,CONFIG!$D$5:$D$14,0)),"?")&amp;RIGHT("0"&amp;DAY(B442),2)&amp;RIGHT("0"&amp;MONTH(B442),2)&amp;RIGHT(YEAR(B442),2)&amp;C442&amp;IF(E442="","","-"&amp;E442))</f>
        <v/>
      </c>
      <c r="G442" s="13"/>
      <c r="H442" s="13"/>
      <c r="I442" s="13"/>
      <c r="J442" s="13"/>
      <c r="K442" s="13"/>
      <c r="L442" s="13"/>
      <c r="M442" s="11" t="str">
        <f aca="false">IF(F442="","",COUNTIFS(ENSAYOS!$C$5:$C$3004,F442,ENSAYOS!$Q$5:$Q$3004,"&gt;0"))</f>
        <v/>
      </c>
      <c r="N442" s="15" t="str">
        <f aca="false">IF(N(M442)=0,"",_xlfn.MINIFS(ENSAYOS!$G$5:$G$3004,ENSAYOS!$C$5:$C$3004,F442,ENSAYOS!$Q$5:$Q$3004,"&gt;0"))</f>
        <v/>
      </c>
      <c r="O442" s="15" t="str">
        <f aca="false">IF(N(M442)=0,"",_xlfn.MAXIFS(ENSAYOS!$G$5:$G$3004,ENSAYOS!$C$5:$C$3004,F442,ENSAYOS!$Q$5:$Q$3004,"&gt;0"))</f>
        <v/>
      </c>
      <c r="P442" s="16" t="str">
        <f aca="false">IF(N(M442)=0,"",AVERAGEIFS(ENSAYOS!$Q$5:$Q$3004,ENSAYOS!$C$5:$C$3004,F442,ENSAYOS!$Q$5:$Q$3004,"&gt;0"))</f>
        <v/>
      </c>
      <c r="Q442" s="16" t="str">
        <f aca="false">IF(N(M442)=0,"",_xlfn.MINIFS(ENSAYOS!$Q$5:$Q$3004,ENSAYOS!$C$5:$C$3004,F442,ENSAYOS!$Q$5:$Q$3004,"&gt;0"))</f>
        <v/>
      </c>
      <c r="R442" s="16" t="str">
        <f aca="false">IF(N(M442)=0,"",_xlfn.MAXIFS(ENSAYOS!$Q$5:$Q$3004,ENSAYOS!$C$5:$C$3004,F442,ENSAYOS!$Q$5:$Q$3004,"&gt;0"))</f>
        <v/>
      </c>
      <c r="S442" s="16" t="str">
        <f aca="false">IF(N(M442)&lt;2,"",SQRT(MAX(0,(SUMIFS(ENSAYOS!$X$5:$X$3004,ENSAYOS!$C$5:$C$3004,F442,ENSAYOS!$Q$5:$Q$3004,"&gt;0")-M442*P442^2)/(M442-1))))</f>
        <v/>
      </c>
      <c r="T442" s="17" t="str">
        <f aca="false">IF(S442="","",S442/P442)</f>
        <v/>
      </c>
      <c r="U442" s="16" t="str">
        <f aca="false">IF(N(M442)=0,"",IF(N442&gt;=CONFIG!$B$27,"",AVERAGEIFS(ENSAYOS!$Q$5:$Q$3004,ENSAYOS!$C$5:$C$3004,F442,ENSAYOS!$Q$5:$Q$3004,"&gt;0",ENSAYOS!$G$5:$G$3004,N442)))</f>
        <v/>
      </c>
      <c r="V442" s="16" t="str">
        <f aca="false">IF(N(M442)=0,"",IF(COUNTIFS(ENSAYOS!$C$5:$C$3004,F442,ENSAYOS!$Q$5:$Q$3004,"&gt;0",ENSAYOS!$G$5:$G$3004,"&gt;="&amp;CONFIG!$B$27)=0,"",AVERAGEIFS(ENSAYOS!$Q$5:$Q$3004,ENSAYOS!$C$5:$C$3004,F442,ENSAYOS!$Q$5:$Q$3004,"&gt;0",ENSAYOS!$G$5:$G$3004,"&gt;="&amp;CONFIG!$B$27)))</f>
        <v/>
      </c>
      <c r="W442" s="18" t="str">
        <f aca="false">IF(AND(U442&lt;&gt;"",V442&lt;&gt;""),U442/V442,"")</f>
        <v/>
      </c>
      <c r="X442" s="18" t="str">
        <f aca="false">IF(U442="","",INDEX('CURVA EDAD'!$E$5:$E$32,MIN(28,MAX(1,N442))))</f>
        <v/>
      </c>
      <c r="Y442" s="16" t="str">
        <f aca="false">IF(V442&lt;&gt;"",V442,IF(U442="","",U442/X442))</f>
        <v/>
      </c>
      <c r="Z442" s="16" t="str">
        <f aca="false">IF(V442&lt;&gt;"",_xlfn.MINIFS(ENSAYOS!$Q$5:$Q$3004,ENSAYOS!$C$5:$C$3004,F442,ENSAYOS!$Q$5:$Q$3004,"&gt;0",ENSAYOS!$G$5:$G$3004,"&gt;="&amp;CONFIG!$B$27),IF(U442="","",_xlfn.MINIFS(ENSAYOS!$Q$5:$Q$3004,ENSAYOS!$C$5:$C$3004,F442,ENSAYOS!$Q$5:$Q$3004,"&gt;0",ENSAYOS!$G$5:$G$3004,N442)/X442))</f>
        <v/>
      </c>
      <c r="AA442" s="16" t="str">
        <f aca="false">IF(D442="","",IFERROR(1/(1/INDEX(CONFIG!$J$5:$J$14,MATCH(D442,CONFIG!$D$5:$D$14,0))),""))</f>
        <v/>
      </c>
      <c r="AB442" s="16" t="str">
        <f aca="false">IF(D442="","",IFERROR(1/(1/INDEX(CONFIG!$K$5:$K$14,MATCH(D442,CONFIG!$D$5:$D$14,0))),""))</f>
        <v/>
      </c>
      <c r="AC442" s="19" t="str">
        <f aca="false">IF(N(M442)=0,"",IF(AA442="","Sin spec",IF(AND(Y442&gt;=AA442,OR(AB442="",Z442&gt;=AB442)),"CUMPLE","NO CUMPLE")&amp;IF(V442=""," (est.)","")))</f>
        <v/>
      </c>
      <c r="AD442" s="20" t="str">
        <f aca="false">IF(F442="","",IF(COUNTIFS(ABSORCION!$C$5:$C$1004,F442,ABSORCION!$I$5:$I$1004,"&gt;0")=0,"",AVERAGEIFS(ABSORCION!$I$5:$I$1004,ABSORCION!$C$5:$C$1004,F442,ABSORCION!$I$5:$I$1004,"&gt;0")))</f>
        <v/>
      </c>
      <c r="AE442" s="20" t="str">
        <f aca="false">IF(F442="","",IF(COUNTIFS(ABSORCION!$C$5:$C$1004,F442,ABSORCION!$I$5:$I$1004,"&gt;0")=0,"",AVERAGEIFS(ABSORCION!$K$5:$K$1004,ABSORCION!$C$5:$C$1004,F442,ABSORCION!$I$5:$I$1004,"&gt;0")))</f>
        <v/>
      </c>
      <c r="AF442" s="20" t="str">
        <f aca="false">IF(AE442="","",IF(AE442&gt;=CONFIG!$E$21,CONFIG!$F$21,IF(AE442&gt;=CONFIG!$E$20,CONFIG!$F$20,CONFIG!$F$19)))</f>
        <v/>
      </c>
      <c r="AG442" s="21" t="str">
        <f aca="false">IF(F442="","",TRIM(IF(N(M442)=0,"Sin ensayos. ","")&amp;IF(AND(N(M442)&gt;0,N(M442)&lt;CONFIG!$B$26),"Menos de "&amp;CONFIG!$B$26&amp;" probetas. ","")&amp;IF(N(T442)&gt;CONFIG!$B$25,"CV alto. ","")&amp;IF(AND(N(AD442)&gt;0,N(AD442)&gt;N(AF442)),"Absorción alta. ","")))</f>
        <v/>
      </c>
      <c r="AH442" s="22" t="str">
        <f aca="false">IF(AND(N(M442)&gt;0,OR(CONTROL!$C$4="TODAS",C442=CONTROL!$C$4),D442=CONTROL!$C$5),MAX($AH$4:AH441)+1,"")</f>
        <v/>
      </c>
      <c r="AI442" s="22" t="str">
        <f aca="false">IF(AH442="","",P442^2)</f>
        <v/>
      </c>
    </row>
    <row r="443" customFormat="false" ht="15" hidden="false" customHeight="false" outlineLevel="0" collapsed="false">
      <c r="A443" s="11" t="str">
        <f aca="false">IF(B443="","",ROW()-4)</f>
        <v/>
      </c>
      <c r="B443" s="12"/>
      <c r="C443" s="13"/>
      <c r="D443" s="13"/>
      <c r="E443" s="13"/>
      <c r="F443" s="14" t="str">
        <f aca="false">IF(OR(B443="",C443="",D443=""),"",IFERROR(INDEX(CONFIG!$E$5:$E$14,MATCH(D443,CONFIG!$D$5:$D$14,0)),"?")&amp;RIGHT("0"&amp;DAY(B443),2)&amp;RIGHT("0"&amp;MONTH(B443),2)&amp;RIGHT(YEAR(B443),2)&amp;C443&amp;IF(E443="","","-"&amp;E443))</f>
        <v/>
      </c>
      <c r="G443" s="13"/>
      <c r="H443" s="13"/>
      <c r="I443" s="13"/>
      <c r="J443" s="13"/>
      <c r="K443" s="13"/>
      <c r="L443" s="13"/>
      <c r="M443" s="11" t="str">
        <f aca="false">IF(F443="","",COUNTIFS(ENSAYOS!$C$5:$C$3004,F443,ENSAYOS!$Q$5:$Q$3004,"&gt;0"))</f>
        <v/>
      </c>
      <c r="N443" s="15" t="str">
        <f aca="false">IF(N(M443)=0,"",_xlfn.MINIFS(ENSAYOS!$G$5:$G$3004,ENSAYOS!$C$5:$C$3004,F443,ENSAYOS!$Q$5:$Q$3004,"&gt;0"))</f>
        <v/>
      </c>
      <c r="O443" s="15" t="str">
        <f aca="false">IF(N(M443)=0,"",_xlfn.MAXIFS(ENSAYOS!$G$5:$G$3004,ENSAYOS!$C$5:$C$3004,F443,ENSAYOS!$Q$5:$Q$3004,"&gt;0"))</f>
        <v/>
      </c>
      <c r="P443" s="16" t="str">
        <f aca="false">IF(N(M443)=0,"",AVERAGEIFS(ENSAYOS!$Q$5:$Q$3004,ENSAYOS!$C$5:$C$3004,F443,ENSAYOS!$Q$5:$Q$3004,"&gt;0"))</f>
        <v/>
      </c>
      <c r="Q443" s="16" t="str">
        <f aca="false">IF(N(M443)=0,"",_xlfn.MINIFS(ENSAYOS!$Q$5:$Q$3004,ENSAYOS!$C$5:$C$3004,F443,ENSAYOS!$Q$5:$Q$3004,"&gt;0"))</f>
        <v/>
      </c>
      <c r="R443" s="16" t="str">
        <f aca="false">IF(N(M443)=0,"",_xlfn.MAXIFS(ENSAYOS!$Q$5:$Q$3004,ENSAYOS!$C$5:$C$3004,F443,ENSAYOS!$Q$5:$Q$3004,"&gt;0"))</f>
        <v/>
      </c>
      <c r="S443" s="16" t="str">
        <f aca="false">IF(N(M443)&lt;2,"",SQRT(MAX(0,(SUMIFS(ENSAYOS!$X$5:$X$3004,ENSAYOS!$C$5:$C$3004,F443,ENSAYOS!$Q$5:$Q$3004,"&gt;0")-M443*P443^2)/(M443-1))))</f>
        <v/>
      </c>
      <c r="T443" s="17" t="str">
        <f aca="false">IF(S443="","",S443/P443)</f>
        <v/>
      </c>
      <c r="U443" s="16" t="str">
        <f aca="false">IF(N(M443)=0,"",IF(N443&gt;=CONFIG!$B$27,"",AVERAGEIFS(ENSAYOS!$Q$5:$Q$3004,ENSAYOS!$C$5:$C$3004,F443,ENSAYOS!$Q$5:$Q$3004,"&gt;0",ENSAYOS!$G$5:$G$3004,N443)))</f>
        <v/>
      </c>
      <c r="V443" s="16" t="str">
        <f aca="false">IF(N(M443)=0,"",IF(COUNTIFS(ENSAYOS!$C$5:$C$3004,F443,ENSAYOS!$Q$5:$Q$3004,"&gt;0",ENSAYOS!$G$5:$G$3004,"&gt;="&amp;CONFIG!$B$27)=0,"",AVERAGEIFS(ENSAYOS!$Q$5:$Q$3004,ENSAYOS!$C$5:$C$3004,F443,ENSAYOS!$Q$5:$Q$3004,"&gt;0",ENSAYOS!$G$5:$G$3004,"&gt;="&amp;CONFIG!$B$27)))</f>
        <v/>
      </c>
      <c r="W443" s="18" t="str">
        <f aca="false">IF(AND(U443&lt;&gt;"",V443&lt;&gt;""),U443/V443,"")</f>
        <v/>
      </c>
      <c r="X443" s="18" t="str">
        <f aca="false">IF(U443="","",INDEX('CURVA EDAD'!$E$5:$E$32,MIN(28,MAX(1,N443))))</f>
        <v/>
      </c>
      <c r="Y443" s="16" t="str">
        <f aca="false">IF(V443&lt;&gt;"",V443,IF(U443="","",U443/X443))</f>
        <v/>
      </c>
      <c r="Z443" s="16" t="str">
        <f aca="false">IF(V443&lt;&gt;"",_xlfn.MINIFS(ENSAYOS!$Q$5:$Q$3004,ENSAYOS!$C$5:$C$3004,F443,ENSAYOS!$Q$5:$Q$3004,"&gt;0",ENSAYOS!$G$5:$G$3004,"&gt;="&amp;CONFIG!$B$27),IF(U443="","",_xlfn.MINIFS(ENSAYOS!$Q$5:$Q$3004,ENSAYOS!$C$5:$C$3004,F443,ENSAYOS!$Q$5:$Q$3004,"&gt;0",ENSAYOS!$G$5:$G$3004,N443)/X443))</f>
        <v/>
      </c>
      <c r="AA443" s="16" t="str">
        <f aca="false">IF(D443="","",IFERROR(1/(1/INDEX(CONFIG!$J$5:$J$14,MATCH(D443,CONFIG!$D$5:$D$14,0))),""))</f>
        <v/>
      </c>
      <c r="AB443" s="16" t="str">
        <f aca="false">IF(D443="","",IFERROR(1/(1/INDEX(CONFIG!$K$5:$K$14,MATCH(D443,CONFIG!$D$5:$D$14,0))),""))</f>
        <v/>
      </c>
      <c r="AC443" s="19" t="str">
        <f aca="false">IF(N(M443)=0,"",IF(AA443="","Sin spec",IF(AND(Y443&gt;=AA443,OR(AB443="",Z443&gt;=AB443)),"CUMPLE","NO CUMPLE")&amp;IF(V443=""," (est.)","")))</f>
        <v/>
      </c>
      <c r="AD443" s="20" t="str">
        <f aca="false">IF(F443="","",IF(COUNTIFS(ABSORCION!$C$5:$C$1004,F443,ABSORCION!$I$5:$I$1004,"&gt;0")=0,"",AVERAGEIFS(ABSORCION!$I$5:$I$1004,ABSORCION!$C$5:$C$1004,F443,ABSORCION!$I$5:$I$1004,"&gt;0")))</f>
        <v/>
      </c>
      <c r="AE443" s="20" t="str">
        <f aca="false">IF(F443="","",IF(COUNTIFS(ABSORCION!$C$5:$C$1004,F443,ABSORCION!$I$5:$I$1004,"&gt;0")=0,"",AVERAGEIFS(ABSORCION!$K$5:$K$1004,ABSORCION!$C$5:$C$1004,F443,ABSORCION!$I$5:$I$1004,"&gt;0")))</f>
        <v/>
      </c>
      <c r="AF443" s="20" t="str">
        <f aca="false">IF(AE443="","",IF(AE443&gt;=CONFIG!$E$21,CONFIG!$F$21,IF(AE443&gt;=CONFIG!$E$20,CONFIG!$F$20,CONFIG!$F$19)))</f>
        <v/>
      </c>
      <c r="AG443" s="21" t="str">
        <f aca="false">IF(F443="","",TRIM(IF(N(M443)=0,"Sin ensayos. ","")&amp;IF(AND(N(M443)&gt;0,N(M443)&lt;CONFIG!$B$26),"Menos de "&amp;CONFIG!$B$26&amp;" probetas. ","")&amp;IF(N(T443)&gt;CONFIG!$B$25,"CV alto. ","")&amp;IF(AND(N(AD443)&gt;0,N(AD443)&gt;N(AF443)),"Absorción alta. ","")))</f>
        <v/>
      </c>
      <c r="AH443" s="22" t="str">
        <f aca="false">IF(AND(N(M443)&gt;0,OR(CONTROL!$C$4="TODAS",C443=CONTROL!$C$4),D443=CONTROL!$C$5),MAX($AH$4:AH442)+1,"")</f>
        <v/>
      </c>
      <c r="AI443" s="22" t="str">
        <f aca="false">IF(AH443="","",P443^2)</f>
        <v/>
      </c>
    </row>
    <row r="444" customFormat="false" ht="15" hidden="false" customHeight="false" outlineLevel="0" collapsed="false">
      <c r="A444" s="11" t="str">
        <f aca="false">IF(B444="","",ROW()-4)</f>
        <v/>
      </c>
      <c r="B444" s="12"/>
      <c r="C444" s="13"/>
      <c r="D444" s="13"/>
      <c r="E444" s="13"/>
      <c r="F444" s="14" t="str">
        <f aca="false">IF(OR(B444="",C444="",D444=""),"",IFERROR(INDEX(CONFIG!$E$5:$E$14,MATCH(D444,CONFIG!$D$5:$D$14,0)),"?")&amp;RIGHT("0"&amp;DAY(B444),2)&amp;RIGHT("0"&amp;MONTH(B444),2)&amp;RIGHT(YEAR(B444),2)&amp;C444&amp;IF(E444="","","-"&amp;E444))</f>
        <v/>
      </c>
      <c r="G444" s="13"/>
      <c r="H444" s="13"/>
      <c r="I444" s="13"/>
      <c r="J444" s="13"/>
      <c r="K444" s="13"/>
      <c r="L444" s="13"/>
      <c r="M444" s="11" t="str">
        <f aca="false">IF(F444="","",COUNTIFS(ENSAYOS!$C$5:$C$3004,F444,ENSAYOS!$Q$5:$Q$3004,"&gt;0"))</f>
        <v/>
      </c>
      <c r="N444" s="15" t="str">
        <f aca="false">IF(N(M444)=0,"",_xlfn.MINIFS(ENSAYOS!$G$5:$G$3004,ENSAYOS!$C$5:$C$3004,F444,ENSAYOS!$Q$5:$Q$3004,"&gt;0"))</f>
        <v/>
      </c>
      <c r="O444" s="15" t="str">
        <f aca="false">IF(N(M444)=0,"",_xlfn.MAXIFS(ENSAYOS!$G$5:$G$3004,ENSAYOS!$C$5:$C$3004,F444,ENSAYOS!$Q$5:$Q$3004,"&gt;0"))</f>
        <v/>
      </c>
      <c r="P444" s="16" t="str">
        <f aca="false">IF(N(M444)=0,"",AVERAGEIFS(ENSAYOS!$Q$5:$Q$3004,ENSAYOS!$C$5:$C$3004,F444,ENSAYOS!$Q$5:$Q$3004,"&gt;0"))</f>
        <v/>
      </c>
      <c r="Q444" s="16" t="str">
        <f aca="false">IF(N(M444)=0,"",_xlfn.MINIFS(ENSAYOS!$Q$5:$Q$3004,ENSAYOS!$C$5:$C$3004,F444,ENSAYOS!$Q$5:$Q$3004,"&gt;0"))</f>
        <v/>
      </c>
      <c r="R444" s="16" t="str">
        <f aca="false">IF(N(M444)=0,"",_xlfn.MAXIFS(ENSAYOS!$Q$5:$Q$3004,ENSAYOS!$C$5:$C$3004,F444,ENSAYOS!$Q$5:$Q$3004,"&gt;0"))</f>
        <v/>
      </c>
      <c r="S444" s="16" t="str">
        <f aca="false">IF(N(M444)&lt;2,"",SQRT(MAX(0,(SUMIFS(ENSAYOS!$X$5:$X$3004,ENSAYOS!$C$5:$C$3004,F444,ENSAYOS!$Q$5:$Q$3004,"&gt;0")-M444*P444^2)/(M444-1))))</f>
        <v/>
      </c>
      <c r="T444" s="17" t="str">
        <f aca="false">IF(S444="","",S444/P444)</f>
        <v/>
      </c>
      <c r="U444" s="16" t="str">
        <f aca="false">IF(N(M444)=0,"",IF(N444&gt;=CONFIG!$B$27,"",AVERAGEIFS(ENSAYOS!$Q$5:$Q$3004,ENSAYOS!$C$5:$C$3004,F444,ENSAYOS!$Q$5:$Q$3004,"&gt;0",ENSAYOS!$G$5:$G$3004,N444)))</f>
        <v/>
      </c>
      <c r="V444" s="16" t="str">
        <f aca="false">IF(N(M444)=0,"",IF(COUNTIFS(ENSAYOS!$C$5:$C$3004,F444,ENSAYOS!$Q$5:$Q$3004,"&gt;0",ENSAYOS!$G$5:$G$3004,"&gt;="&amp;CONFIG!$B$27)=0,"",AVERAGEIFS(ENSAYOS!$Q$5:$Q$3004,ENSAYOS!$C$5:$C$3004,F444,ENSAYOS!$Q$5:$Q$3004,"&gt;0",ENSAYOS!$G$5:$G$3004,"&gt;="&amp;CONFIG!$B$27)))</f>
        <v/>
      </c>
      <c r="W444" s="18" t="str">
        <f aca="false">IF(AND(U444&lt;&gt;"",V444&lt;&gt;""),U444/V444,"")</f>
        <v/>
      </c>
      <c r="X444" s="18" t="str">
        <f aca="false">IF(U444="","",INDEX('CURVA EDAD'!$E$5:$E$32,MIN(28,MAX(1,N444))))</f>
        <v/>
      </c>
      <c r="Y444" s="16" t="str">
        <f aca="false">IF(V444&lt;&gt;"",V444,IF(U444="","",U444/X444))</f>
        <v/>
      </c>
      <c r="Z444" s="16" t="str">
        <f aca="false">IF(V444&lt;&gt;"",_xlfn.MINIFS(ENSAYOS!$Q$5:$Q$3004,ENSAYOS!$C$5:$C$3004,F444,ENSAYOS!$Q$5:$Q$3004,"&gt;0",ENSAYOS!$G$5:$G$3004,"&gt;="&amp;CONFIG!$B$27),IF(U444="","",_xlfn.MINIFS(ENSAYOS!$Q$5:$Q$3004,ENSAYOS!$C$5:$C$3004,F444,ENSAYOS!$Q$5:$Q$3004,"&gt;0",ENSAYOS!$G$5:$G$3004,N444)/X444))</f>
        <v/>
      </c>
      <c r="AA444" s="16" t="str">
        <f aca="false">IF(D444="","",IFERROR(1/(1/INDEX(CONFIG!$J$5:$J$14,MATCH(D444,CONFIG!$D$5:$D$14,0))),""))</f>
        <v/>
      </c>
      <c r="AB444" s="16" t="str">
        <f aca="false">IF(D444="","",IFERROR(1/(1/INDEX(CONFIG!$K$5:$K$14,MATCH(D444,CONFIG!$D$5:$D$14,0))),""))</f>
        <v/>
      </c>
      <c r="AC444" s="19" t="str">
        <f aca="false">IF(N(M444)=0,"",IF(AA444="","Sin spec",IF(AND(Y444&gt;=AA444,OR(AB444="",Z444&gt;=AB444)),"CUMPLE","NO CUMPLE")&amp;IF(V444=""," (est.)","")))</f>
        <v/>
      </c>
      <c r="AD444" s="20" t="str">
        <f aca="false">IF(F444="","",IF(COUNTIFS(ABSORCION!$C$5:$C$1004,F444,ABSORCION!$I$5:$I$1004,"&gt;0")=0,"",AVERAGEIFS(ABSORCION!$I$5:$I$1004,ABSORCION!$C$5:$C$1004,F444,ABSORCION!$I$5:$I$1004,"&gt;0")))</f>
        <v/>
      </c>
      <c r="AE444" s="20" t="str">
        <f aca="false">IF(F444="","",IF(COUNTIFS(ABSORCION!$C$5:$C$1004,F444,ABSORCION!$I$5:$I$1004,"&gt;0")=0,"",AVERAGEIFS(ABSORCION!$K$5:$K$1004,ABSORCION!$C$5:$C$1004,F444,ABSORCION!$I$5:$I$1004,"&gt;0")))</f>
        <v/>
      </c>
      <c r="AF444" s="20" t="str">
        <f aca="false">IF(AE444="","",IF(AE444&gt;=CONFIG!$E$21,CONFIG!$F$21,IF(AE444&gt;=CONFIG!$E$20,CONFIG!$F$20,CONFIG!$F$19)))</f>
        <v/>
      </c>
      <c r="AG444" s="21" t="str">
        <f aca="false">IF(F444="","",TRIM(IF(N(M444)=0,"Sin ensayos. ","")&amp;IF(AND(N(M444)&gt;0,N(M444)&lt;CONFIG!$B$26),"Menos de "&amp;CONFIG!$B$26&amp;" probetas. ","")&amp;IF(N(T444)&gt;CONFIG!$B$25,"CV alto. ","")&amp;IF(AND(N(AD444)&gt;0,N(AD444)&gt;N(AF444)),"Absorción alta. ","")))</f>
        <v/>
      </c>
      <c r="AH444" s="22" t="str">
        <f aca="false">IF(AND(N(M444)&gt;0,OR(CONTROL!$C$4="TODAS",C444=CONTROL!$C$4),D444=CONTROL!$C$5),MAX($AH$4:AH443)+1,"")</f>
        <v/>
      </c>
      <c r="AI444" s="22" t="str">
        <f aca="false">IF(AH444="","",P444^2)</f>
        <v/>
      </c>
    </row>
    <row r="445" customFormat="false" ht="15" hidden="false" customHeight="false" outlineLevel="0" collapsed="false">
      <c r="A445" s="11" t="str">
        <f aca="false">IF(B445="","",ROW()-4)</f>
        <v/>
      </c>
      <c r="B445" s="12"/>
      <c r="C445" s="13"/>
      <c r="D445" s="13"/>
      <c r="E445" s="13"/>
      <c r="F445" s="14" t="str">
        <f aca="false">IF(OR(B445="",C445="",D445=""),"",IFERROR(INDEX(CONFIG!$E$5:$E$14,MATCH(D445,CONFIG!$D$5:$D$14,0)),"?")&amp;RIGHT("0"&amp;DAY(B445),2)&amp;RIGHT("0"&amp;MONTH(B445),2)&amp;RIGHT(YEAR(B445),2)&amp;C445&amp;IF(E445="","","-"&amp;E445))</f>
        <v/>
      </c>
      <c r="G445" s="13"/>
      <c r="H445" s="13"/>
      <c r="I445" s="13"/>
      <c r="J445" s="13"/>
      <c r="K445" s="13"/>
      <c r="L445" s="13"/>
      <c r="M445" s="11" t="str">
        <f aca="false">IF(F445="","",COUNTIFS(ENSAYOS!$C$5:$C$3004,F445,ENSAYOS!$Q$5:$Q$3004,"&gt;0"))</f>
        <v/>
      </c>
      <c r="N445" s="15" t="str">
        <f aca="false">IF(N(M445)=0,"",_xlfn.MINIFS(ENSAYOS!$G$5:$G$3004,ENSAYOS!$C$5:$C$3004,F445,ENSAYOS!$Q$5:$Q$3004,"&gt;0"))</f>
        <v/>
      </c>
      <c r="O445" s="15" t="str">
        <f aca="false">IF(N(M445)=0,"",_xlfn.MAXIFS(ENSAYOS!$G$5:$G$3004,ENSAYOS!$C$5:$C$3004,F445,ENSAYOS!$Q$5:$Q$3004,"&gt;0"))</f>
        <v/>
      </c>
      <c r="P445" s="16" t="str">
        <f aca="false">IF(N(M445)=0,"",AVERAGEIFS(ENSAYOS!$Q$5:$Q$3004,ENSAYOS!$C$5:$C$3004,F445,ENSAYOS!$Q$5:$Q$3004,"&gt;0"))</f>
        <v/>
      </c>
      <c r="Q445" s="16" t="str">
        <f aca="false">IF(N(M445)=0,"",_xlfn.MINIFS(ENSAYOS!$Q$5:$Q$3004,ENSAYOS!$C$5:$C$3004,F445,ENSAYOS!$Q$5:$Q$3004,"&gt;0"))</f>
        <v/>
      </c>
      <c r="R445" s="16" t="str">
        <f aca="false">IF(N(M445)=0,"",_xlfn.MAXIFS(ENSAYOS!$Q$5:$Q$3004,ENSAYOS!$C$5:$C$3004,F445,ENSAYOS!$Q$5:$Q$3004,"&gt;0"))</f>
        <v/>
      </c>
      <c r="S445" s="16" t="str">
        <f aca="false">IF(N(M445)&lt;2,"",SQRT(MAX(0,(SUMIFS(ENSAYOS!$X$5:$X$3004,ENSAYOS!$C$5:$C$3004,F445,ENSAYOS!$Q$5:$Q$3004,"&gt;0")-M445*P445^2)/(M445-1))))</f>
        <v/>
      </c>
      <c r="T445" s="17" t="str">
        <f aca="false">IF(S445="","",S445/P445)</f>
        <v/>
      </c>
      <c r="U445" s="16" t="str">
        <f aca="false">IF(N(M445)=0,"",IF(N445&gt;=CONFIG!$B$27,"",AVERAGEIFS(ENSAYOS!$Q$5:$Q$3004,ENSAYOS!$C$5:$C$3004,F445,ENSAYOS!$Q$5:$Q$3004,"&gt;0",ENSAYOS!$G$5:$G$3004,N445)))</f>
        <v/>
      </c>
      <c r="V445" s="16" t="str">
        <f aca="false">IF(N(M445)=0,"",IF(COUNTIFS(ENSAYOS!$C$5:$C$3004,F445,ENSAYOS!$Q$5:$Q$3004,"&gt;0",ENSAYOS!$G$5:$G$3004,"&gt;="&amp;CONFIG!$B$27)=0,"",AVERAGEIFS(ENSAYOS!$Q$5:$Q$3004,ENSAYOS!$C$5:$C$3004,F445,ENSAYOS!$Q$5:$Q$3004,"&gt;0",ENSAYOS!$G$5:$G$3004,"&gt;="&amp;CONFIG!$B$27)))</f>
        <v/>
      </c>
      <c r="W445" s="18" t="str">
        <f aca="false">IF(AND(U445&lt;&gt;"",V445&lt;&gt;""),U445/V445,"")</f>
        <v/>
      </c>
      <c r="X445" s="18" t="str">
        <f aca="false">IF(U445="","",INDEX('CURVA EDAD'!$E$5:$E$32,MIN(28,MAX(1,N445))))</f>
        <v/>
      </c>
      <c r="Y445" s="16" t="str">
        <f aca="false">IF(V445&lt;&gt;"",V445,IF(U445="","",U445/X445))</f>
        <v/>
      </c>
      <c r="Z445" s="16" t="str">
        <f aca="false">IF(V445&lt;&gt;"",_xlfn.MINIFS(ENSAYOS!$Q$5:$Q$3004,ENSAYOS!$C$5:$C$3004,F445,ENSAYOS!$Q$5:$Q$3004,"&gt;0",ENSAYOS!$G$5:$G$3004,"&gt;="&amp;CONFIG!$B$27),IF(U445="","",_xlfn.MINIFS(ENSAYOS!$Q$5:$Q$3004,ENSAYOS!$C$5:$C$3004,F445,ENSAYOS!$Q$5:$Q$3004,"&gt;0",ENSAYOS!$G$5:$G$3004,N445)/X445))</f>
        <v/>
      </c>
      <c r="AA445" s="16" t="str">
        <f aca="false">IF(D445="","",IFERROR(1/(1/INDEX(CONFIG!$J$5:$J$14,MATCH(D445,CONFIG!$D$5:$D$14,0))),""))</f>
        <v/>
      </c>
      <c r="AB445" s="16" t="str">
        <f aca="false">IF(D445="","",IFERROR(1/(1/INDEX(CONFIG!$K$5:$K$14,MATCH(D445,CONFIG!$D$5:$D$14,0))),""))</f>
        <v/>
      </c>
      <c r="AC445" s="19" t="str">
        <f aca="false">IF(N(M445)=0,"",IF(AA445="","Sin spec",IF(AND(Y445&gt;=AA445,OR(AB445="",Z445&gt;=AB445)),"CUMPLE","NO CUMPLE")&amp;IF(V445=""," (est.)","")))</f>
        <v/>
      </c>
      <c r="AD445" s="20" t="str">
        <f aca="false">IF(F445="","",IF(COUNTIFS(ABSORCION!$C$5:$C$1004,F445,ABSORCION!$I$5:$I$1004,"&gt;0")=0,"",AVERAGEIFS(ABSORCION!$I$5:$I$1004,ABSORCION!$C$5:$C$1004,F445,ABSORCION!$I$5:$I$1004,"&gt;0")))</f>
        <v/>
      </c>
      <c r="AE445" s="20" t="str">
        <f aca="false">IF(F445="","",IF(COUNTIFS(ABSORCION!$C$5:$C$1004,F445,ABSORCION!$I$5:$I$1004,"&gt;0")=0,"",AVERAGEIFS(ABSORCION!$K$5:$K$1004,ABSORCION!$C$5:$C$1004,F445,ABSORCION!$I$5:$I$1004,"&gt;0")))</f>
        <v/>
      </c>
      <c r="AF445" s="20" t="str">
        <f aca="false">IF(AE445="","",IF(AE445&gt;=CONFIG!$E$21,CONFIG!$F$21,IF(AE445&gt;=CONFIG!$E$20,CONFIG!$F$20,CONFIG!$F$19)))</f>
        <v/>
      </c>
      <c r="AG445" s="21" t="str">
        <f aca="false">IF(F445="","",TRIM(IF(N(M445)=0,"Sin ensayos. ","")&amp;IF(AND(N(M445)&gt;0,N(M445)&lt;CONFIG!$B$26),"Menos de "&amp;CONFIG!$B$26&amp;" probetas. ","")&amp;IF(N(T445)&gt;CONFIG!$B$25,"CV alto. ","")&amp;IF(AND(N(AD445)&gt;0,N(AD445)&gt;N(AF445)),"Absorción alta. ","")))</f>
        <v/>
      </c>
      <c r="AH445" s="22" t="str">
        <f aca="false">IF(AND(N(M445)&gt;0,OR(CONTROL!$C$4="TODAS",C445=CONTROL!$C$4),D445=CONTROL!$C$5),MAX($AH$4:AH444)+1,"")</f>
        <v/>
      </c>
      <c r="AI445" s="22" t="str">
        <f aca="false">IF(AH445="","",P445^2)</f>
        <v/>
      </c>
    </row>
    <row r="446" customFormat="false" ht="15" hidden="false" customHeight="false" outlineLevel="0" collapsed="false">
      <c r="A446" s="11" t="str">
        <f aca="false">IF(B446="","",ROW()-4)</f>
        <v/>
      </c>
      <c r="B446" s="12"/>
      <c r="C446" s="13"/>
      <c r="D446" s="13"/>
      <c r="E446" s="13"/>
      <c r="F446" s="14" t="str">
        <f aca="false">IF(OR(B446="",C446="",D446=""),"",IFERROR(INDEX(CONFIG!$E$5:$E$14,MATCH(D446,CONFIG!$D$5:$D$14,0)),"?")&amp;RIGHT("0"&amp;DAY(B446),2)&amp;RIGHT("0"&amp;MONTH(B446),2)&amp;RIGHT(YEAR(B446),2)&amp;C446&amp;IF(E446="","","-"&amp;E446))</f>
        <v/>
      </c>
      <c r="G446" s="13"/>
      <c r="H446" s="13"/>
      <c r="I446" s="13"/>
      <c r="J446" s="13"/>
      <c r="K446" s="13"/>
      <c r="L446" s="13"/>
      <c r="M446" s="11" t="str">
        <f aca="false">IF(F446="","",COUNTIFS(ENSAYOS!$C$5:$C$3004,F446,ENSAYOS!$Q$5:$Q$3004,"&gt;0"))</f>
        <v/>
      </c>
      <c r="N446" s="15" t="str">
        <f aca="false">IF(N(M446)=0,"",_xlfn.MINIFS(ENSAYOS!$G$5:$G$3004,ENSAYOS!$C$5:$C$3004,F446,ENSAYOS!$Q$5:$Q$3004,"&gt;0"))</f>
        <v/>
      </c>
      <c r="O446" s="15" t="str">
        <f aca="false">IF(N(M446)=0,"",_xlfn.MAXIFS(ENSAYOS!$G$5:$G$3004,ENSAYOS!$C$5:$C$3004,F446,ENSAYOS!$Q$5:$Q$3004,"&gt;0"))</f>
        <v/>
      </c>
      <c r="P446" s="16" t="str">
        <f aca="false">IF(N(M446)=0,"",AVERAGEIFS(ENSAYOS!$Q$5:$Q$3004,ENSAYOS!$C$5:$C$3004,F446,ENSAYOS!$Q$5:$Q$3004,"&gt;0"))</f>
        <v/>
      </c>
      <c r="Q446" s="16" t="str">
        <f aca="false">IF(N(M446)=0,"",_xlfn.MINIFS(ENSAYOS!$Q$5:$Q$3004,ENSAYOS!$C$5:$C$3004,F446,ENSAYOS!$Q$5:$Q$3004,"&gt;0"))</f>
        <v/>
      </c>
      <c r="R446" s="16" t="str">
        <f aca="false">IF(N(M446)=0,"",_xlfn.MAXIFS(ENSAYOS!$Q$5:$Q$3004,ENSAYOS!$C$5:$C$3004,F446,ENSAYOS!$Q$5:$Q$3004,"&gt;0"))</f>
        <v/>
      </c>
      <c r="S446" s="16" t="str">
        <f aca="false">IF(N(M446)&lt;2,"",SQRT(MAX(0,(SUMIFS(ENSAYOS!$X$5:$X$3004,ENSAYOS!$C$5:$C$3004,F446,ENSAYOS!$Q$5:$Q$3004,"&gt;0")-M446*P446^2)/(M446-1))))</f>
        <v/>
      </c>
      <c r="T446" s="17" t="str">
        <f aca="false">IF(S446="","",S446/P446)</f>
        <v/>
      </c>
      <c r="U446" s="16" t="str">
        <f aca="false">IF(N(M446)=0,"",IF(N446&gt;=CONFIG!$B$27,"",AVERAGEIFS(ENSAYOS!$Q$5:$Q$3004,ENSAYOS!$C$5:$C$3004,F446,ENSAYOS!$Q$5:$Q$3004,"&gt;0",ENSAYOS!$G$5:$G$3004,N446)))</f>
        <v/>
      </c>
      <c r="V446" s="16" t="str">
        <f aca="false">IF(N(M446)=0,"",IF(COUNTIFS(ENSAYOS!$C$5:$C$3004,F446,ENSAYOS!$Q$5:$Q$3004,"&gt;0",ENSAYOS!$G$5:$G$3004,"&gt;="&amp;CONFIG!$B$27)=0,"",AVERAGEIFS(ENSAYOS!$Q$5:$Q$3004,ENSAYOS!$C$5:$C$3004,F446,ENSAYOS!$Q$5:$Q$3004,"&gt;0",ENSAYOS!$G$5:$G$3004,"&gt;="&amp;CONFIG!$B$27)))</f>
        <v/>
      </c>
      <c r="W446" s="18" t="str">
        <f aca="false">IF(AND(U446&lt;&gt;"",V446&lt;&gt;""),U446/V446,"")</f>
        <v/>
      </c>
      <c r="X446" s="18" t="str">
        <f aca="false">IF(U446="","",INDEX('CURVA EDAD'!$E$5:$E$32,MIN(28,MAX(1,N446))))</f>
        <v/>
      </c>
      <c r="Y446" s="16" t="str">
        <f aca="false">IF(V446&lt;&gt;"",V446,IF(U446="","",U446/X446))</f>
        <v/>
      </c>
      <c r="Z446" s="16" t="str">
        <f aca="false">IF(V446&lt;&gt;"",_xlfn.MINIFS(ENSAYOS!$Q$5:$Q$3004,ENSAYOS!$C$5:$C$3004,F446,ENSAYOS!$Q$5:$Q$3004,"&gt;0",ENSAYOS!$G$5:$G$3004,"&gt;="&amp;CONFIG!$B$27),IF(U446="","",_xlfn.MINIFS(ENSAYOS!$Q$5:$Q$3004,ENSAYOS!$C$5:$C$3004,F446,ENSAYOS!$Q$5:$Q$3004,"&gt;0",ENSAYOS!$G$5:$G$3004,N446)/X446))</f>
        <v/>
      </c>
      <c r="AA446" s="16" t="str">
        <f aca="false">IF(D446="","",IFERROR(1/(1/INDEX(CONFIG!$J$5:$J$14,MATCH(D446,CONFIG!$D$5:$D$14,0))),""))</f>
        <v/>
      </c>
      <c r="AB446" s="16" t="str">
        <f aca="false">IF(D446="","",IFERROR(1/(1/INDEX(CONFIG!$K$5:$K$14,MATCH(D446,CONFIG!$D$5:$D$14,0))),""))</f>
        <v/>
      </c>
      <c r="AC446" s="19" t="str">
        <f aca="false">IF(N(M446)=0,"",IF(AA446="","Sin spec",IF(AND(Y446&gt;=AA446,OR(AB446="",Z446&gt;=AB446)),"CUMPLE","NO CUMPLE")&amp;IF(V446=""," (est.)","")))</f>
        <v/>
      </c>
      <c r="AD446" s="20" t="str">
        <f aca="false">IF(F446="","",IF(COUNTIFS(ABSORCION!$C$5:$C$1004,F446,ABSORCION!$I$5:$I$1004,"&gt;0")=0,"",AVERAGEIFS(ABSORCION!$I$5:$I$1004,ABSORCION!$C$5:$C$1004,F446,ABSORCION!$I$5:$I$1004,"&gt;0")))</f>
        <v/>
      </c>
      <c r="AE446" s="20" t="str">
        <f aca="false">IF(F446="","",IF(COUNTIFS(ABSORCION!$C$5:$C$1004,F446,ABSORCION!$I$5:$I$1004,"&gt;0")=0,"",AVERAGEIFS(ABSORCION!$K$5:$K$1004,ABSORCION!$C$5:$C$1004,F446,ABSORCION!$I$5:$I$1004,"&gt;0")))</f>
        <v/>
      </c>
      <c r="AF446" s="20" t="str">
        <f aca="false">IF(AE446="","",IF(AE446&gt;=CONFIG!$E$21,CONFIG!$F$21,IF(AE446&gt;=CONFIG!$E$20,CONFIG!$F$20,CONFIG!$F$19)))</f>
        <v/>
      </c>
      <c r="AG446" s="21" t="str">
        <f aca="false">IF(F446="","",TRIM(IF(N(M446)=0,"Sin ensayos. ","")&amp;IF(AND(N(M446)&gt;0,N(M446)&lt;CONFIG!$B$26),"Menos de "&amp;CONFIG!$B$26&amp;" probetas. ","")&amp;IF(N(T446)&gt;CONFIG!$B$25,"CV alto. ","")&amp;IF(AND(N(AD446)&gt;0,N(AD446)&gt;N(AF446)),"Absorción alta. ","")))</f>
        <v/>
      </c>
      <c r="AH446" s="22" t="str">
        <f aca="false">IF(AND(N(M446)&gt;0,OR(CONTROL!$C$4="TODAS",C446=CONTROL!$C$4),D446=CONTROL!$C$5),MAX($AH$4:AH445)+1,"")</f>
        <v/>
      </c>
      <c r="AI446" s="22" t="str">
        <f aca="false">IF(AH446="","",P446^2)</f>
        <v/>
      </c>
    </row>
    <row r="447" customFormat="false" ht="15" hidden="false" customHeight="false" outlineLevel="0" collapsed="false">
      <c r="A447" s="11" t="str">
        <f aca="false">IF(B447="","",ROW()-4)</f>
        <v/>
      </c>
      <c r="B447" s="12"/>
      <c r="C447" s="13"/>
      <c r="D447" s="13"/>
      <c r="E447" s="13"/>
      <c r="F447" s="14" t="str">
        <f aca="false">IF(OR(B447="",C447="",D447=""),"",IFERROR(INDEX(CONFIG!$E$5:$E$14,MATCH(D447,CONFIG!$D$5:$D$14,0)),"?")&amp;RIGHT("0"&amp;DAY(B447),2)&amp;RIGHT("0"&amp;MONTH(B447),2)&amp;RIGHT(YEAR(B447),2)&amp;C447&amp;IF(E447="","","-"&amp;E447))</f>
        <v/>
      </c>
      <c r="G447" s="13"/>
      <c r="H447" s="13"/>
      <c r="I447" s="13"/>
      <c r="J447" s="13"/>
      <c r="K447" s="13"/>
      <c r="L447" s="13"/>
      <c r="M447" s="11" t="str">
        <f aca="false">IF(F447="","",COUNTIFS(ENSAYOS!$C$5:$C$3004,F447,ENSAYOS!$Q$5:$Q$3004,"&gt;0"))</f>
        <v/>
      </c>
      <c r="N447" s="15" t="str">
        <f aca="false">IF(N(M447)=0,"",_xlfn.MINIFS(ENSAYOS!$G$5:$G$3004,ENSAYOS!$C$5:$C$3004,F447,ENSAYOS!$Q$5:$Q$3004,"&gt;0"))</f>
        <v/>
      </c>
      <c r="O447" s="15" t="str">
        <f aca="false">IF(N(M447)=0,"",_xlfn.MAXIFS(ENSAYOS!$G$5:$G$3004,ENSAYOS!$C$5:$C$3004,F447,ENSAYOS!$Q$5:$Q$3004,"&gt;0"))</f>
        <v/>
      </c>
      <c r="P447" s="16" t="str">
        <f aca="false">IF(N(M447)=0,"",AVERAGEIFS(ENSAYOS!$Q$5:$Q$3004,ENSAYOS!$C$5:$C$3004,F447,ENSAYOS!$Q$5:$Q$3004,"&gt;0"))</f>
        <v/>
      </c>
      <c r="Q447" s="16" t="str">
        <f aca="false">IF(N(M447)=0,"",_xlfn.MINIFS(ENSAYOS!$Q$5:$Q$3004,ENSAYOS!$C$5:$C$3004,F447,ENSAYOS!$Q$5:$Q$3004,"&gt;0"))</f>
        <v/>
      </c>
      <c r="R447" s="16" t="str">
        <f aca="false">IF(N(M447)=0,"",_xlfn.MAXIFS(ENSAYOS!$Q$5:$Q$3004,ENSAYOS!$C$5:$C$3004,F447,ENSAYOS!$Q$5:$Q$3004,"&gt;0"))</f>
        <v/>
      </c>
      <c r="S447" s="16" t="str">
        <f aca="false">IF(N(M447)&lt;2,"",SQRT(MAX(0,(SUMIFS(ENSAYOS!$X$5:$X$3004,ENSAYOS!$C$5:$C$3004,F447,ENSAYOS!$Q$5:$Q$3004,"&gt;0")-M447*P447^2)/(M447-1))))</f>
        <v/>
      </c>
      <c r="T447" s="17" t="str">
        <f aca="false">IF(S447="","",S447/P447)</f>
        <v/>
      </c>
      <c r="U447" s="16" t="str">
        <f aca="false">IF(N(M447)=0,"",IF(N447&gt;=CONFIG!$B$27,"",AVERAGEIFS(ENSAYOS!$Q$5:$Q$3004,ENSAYOS!$C$5:$C$3004,F447,ENSAYOS!$Q$5:$Q$3004,"&gt;0",ENSAYOS!$G$5:$G$3004,N447)))</f>
        <v/>
      </c>
      <c r="V447" s="16" t="str">
        <f aca="false">IF(N(M447)=0,"",IF(COUNTIFS(ENSAYOS!$C$5:$C$3004,F447,ENSAYOS!$Q$5:$Q$3004,"&gt;0",ENSAYOS!$G$5:$G$3004,"&gt;="&amp;CONFIG!$B$27)=0,"",AVERAGEIFS(ENSAYOS!$Q$5:$Q$3004,ENSAYOS!$C$5:$C$3004,F447,ENSAYOS!$Q$5:$Q$3004,"&gt;0",ENSAYOS!$G$5:$G$3004,"&gt;="&amp;CONFIG!$B$27)))</f>
        <v/>
      </c>
      <c r="W447" s="18" t="str">
        <f aca="false">IF(AND(U447&lt;&gt;"",V447&lt;&gt;""),U447/V447,"")</f>
        <v/>
      </c>
      <c r="X447" s="18" t="str">
        <f aca="false">IF(U447="","",INDEX('CURVA EDAD'!$E$5:$E$32,MIN(28,MAX(1,N447))))</f>
        <v/>
      </c>
      <c r="Y447" s="16" t="str">
        <f aca="false">IF(V447&lt;&gt;"",V447,IF(U447="","",U447/X447))</f>
        <v/>
      </c>
      <c r="Z447" s="16" t="str">
        <f aca="false">IF(V447&lt;&gt;"",_xlfn.MINIFS(ENSAYOS!$Q$5:$Q$3004,ENSAYOS!$C$5:$C$3004,F447,ENSAYOS!$Q$5:$Q$3004,"&gt;0",ENSAYOS!$G$5:$G$3004,"&gt;="&amp;CONFIG!$B$27),IF(U447="","",_xlfn.MINIFS(ENSAYOS!$Q$5:$Q$3004,ENSAYOS!$C$5:$C$3004,F447,ENSAYOS!$Q$5:$Q$3004,"&gt;0",ENSAYOS!$G$5:$G$3004,N447)/X447))</f>
        <v/>
      </c>
      <c r="AA447" s="16" t="str">
        <f aca="false">IF(D447="","",IFERROR(1/(1/INDEX(CONFIG!$J$5:$J$14,MATCH(D447,CONFIG!$D$5:$D$14,0))),""))</f>
        <v/>
      </c>
      <c r="AB447" s="16" t="str">
        <f aca="false">IF(D447="","",IFERROR(1/(1/INDEX(CONFIG!$K$5:$K$14,MATCH(D447,CONFIG!$D$5:$D$14,0))),""))</f>
        <v/>
      </c>
      <c r="AC447" s="19" t="str">
        <f aca="false">IF(N(M447)=0,"",IF(AA447="","Sin spec",IF(AND(Y447&gt;=AA447,OR(AB447="",Z447&gt;=AB447)),"CUMPLE","NO CUMPLE")&amp;IF(V447=""," (est.)","")))</f>
        <v/>
      </c>
      <c r="AD447" s="20" t="str">
        <f aca="false">IF(F447="","",IF(COUNTIFS(ABSORCION!$C$5:$C$1004,F447,ABSORCION!$I$5:$I$1004,"&gt;0")=0,"",AVERAGEIFS(ABSORCION!$I$5:$I$1004,ABSORCION!$C$5:$C$1004,F447,ABSORCION!$I$5:$I$1004,"&gt;0")))</f>
        <v/>
      </c>
      <c r="AE447" s="20" t="str">
        <f aca="false">IF(F447="","",IF(COUNTIFS(ABSORCION!$C$5:$C$1004,F447,ABSORCION!$I$5:$I$1004,"&gt;0")=0,"",AVERAGEIFS(ABSORCION!$K$5:$K$1004,ABSORCION!$C$5:$C$1004,F447,ABSORCION!$I$5:$I$1004,"&gt;0")))</f>
        <v/>
      </c>
      <c r="AF447" s="20" t="str">
        <f aca="false">IF(AE447="","",IF(AE447&gt;=CONFIG!$E$21,CONFIG!$F$21,IF(AE447&gt;=CONFIG!$E$20,CONFIG!$F$20,CONFIG!$F$19)))</f>
        <v/>
      </c>
      <c r="AG447" s="21" t="str">
        <f aca="false">IF(F447="","",TRIM(IF(N(M447)=0,"Sin ensayos. ","")&amp;IF(AND(N(M447)&gt;0,N(M447)&lt;CONFIG!$B$26),"Menos de "&amp;CONFIG!$B$26&amp;" probetas. ","")&amp;IF(N(T447)&gt;CONFIG!$B$25,"CV alto. ","")&amp;IF(AND(N(AD447)&gt;0,N(AD447)&gt;N(AF447)),"Absorción alta. ","")))</f>
        <v/>
      </c>
      <c r="AH447" s="22" t="str">
        <f aca="false">IF(AND(N(M447)&gt;0,OR(CONTROL!$C$4="TODAS",C447=CONTROL!$C$4),D447=CONTROL!$C$5),MAX($AH$4:AH446)+1,"")</f>
        <v/>
      </c>
      <c r="AI447" s="22" t="str">
        <f aca="false">IF(AH447="","",P447^2)</f>
        <v/>
      </c>
    </row>
    <row r="448" customFormat="false" ht="15" hidden="false" customHeight="false" outlineLevel="0" collapsed="false">
      <c r="A448" s="11" t="str">
        <f aca="false">IF(B448="","",ROW()-4)</f>
        <v/>
      </c>
      <c r="B448" s="12"/>
      <c r="C448" s="13"/>
      <c r="D448" s="13"/>
      <c r="E448" s="13"/>
      <c r="F448" s="14" t="str">
        <f aca="false">IF(OR(B448="",C448="",D448=""),"",IFERROR(INDEX(CONFIG!$E$5:$E$14,MATCH(D448,CONFIG!$D$5:$D$14,0)),"?")&amp;RIGHT("0"&amp;DAY(B448),2)&amp;RIGHT("0"&amp;MONTH(B448),2)&amp;RIGHT(YEAR(B448),2)&amp;C448&amp;IF(E448="","","-"&amp;E448))</f>
        <v/>
      </c>
      <c r="G448" s="13"/>
      <c r="H448" s="13"/>
      <c r="I448" s="13"/>
      <c r="J448" s="13"/>
      <c r="K448" s="13"/>
      <c r="L448" s="13"/>
      <c r="M448" s="11" t="str">
        <f aca="false">IF(F448="","",COUNTIFS(ENSAYOS!$C$5:$C$3004,F448,ENSAYOS!$Q$5:$Q$3004,"&gt;0"))</f>
        <v/>
      </c>
      <c r="N448" s="15" t="str">
        <f aca="false">IF(N(M448)=0,"",_xlfn.MINIFS(ENSAYOS!$G$5:$G$3004,ENSAYOS!$C$5:$C$3004,F448,ENSAYOS!$Q$5:$Q$3004,"&gt;0"))</f>
        <v/>
      </c>
      <c r="O448" s="15" t="str">
        <f aca="false">IF(N(M448)=0,"",_xlfn.MAXIFS(ENSAYOS!$G$5:$G$3004,ENSAYOS!$C$5:$C$3004,F448,ENSAYOS!$Q$5:$Q$3004,"&gt;0"))</f>
        <v/>
      </c>
      <c r="P448" s="16" t="str">
        <f aca="false">IF(N(M448)=0,"",AVERAGEIFS(ENSAYOS!$Q$5:$Q$3004,ENSAYOS!$C$5:$C$3004,F448,ENSAYOS!$Q$5:$Q$3004,"&gt;0"))</f>
        <v/>
      </c>
      <c r="Q448" s="16" t="str">
        <f aca="false">IF(N(M448)=0,"",_xlfn.MINIFS(ENSAYOS!$Q$5:$Q$3004,ENSAYOS!$C$5:$C$3004,F448,ENSAYOS!$Q$5:$Q$3004,"&gt;0"))</f>
        <v/>
      </c>
      <c r="R448" s="16" t="str">
        <f aca="false">IF(N(M448)=0,"",_xlfn.MAXIFS(ENSAYOS!$Q$5:$Q$3004,ENSAYOS!$C$5:$C$3004,F448,ENSAYOS!$Q$5:$Q$3004,"&gt;0"))</f>
        <v/>
      </c>
      <c r="S448" s="16" t="str">
        <f aca="false">IF(N(M448)&lt;2,"",SQRT(MAX(0,(SUMIFS(ENSAYOS!$X$5:$X$3004,ENSAYOS!$C$5:$C$3004,F448,ENSAYOS!$Q$5:$Q$3004,"&gt;0")-M448*P448^2)/(M448-1))))</f>
        <v/>
      </c>
      <c r="T448" s="17" t="str">
        <f aca="false">IF(S448="","",S448/P448)</f>
        <v/>
      </c>
      <c r="U448" s="16" t="str">
        <f aca="false">IF(N(M448)=0,"",IF(N448&gt;=CONFIG!$B$27,"",AVERAGEIFS(ENSAYOS!$Q$5:$Q$3004,ENSAYOS!$C$5:$C$3004,F448,ENSAYOS!$Q$5:$Q$3004,"&gt;0",ENSAYOS!$G$5:$G$3004,N448)))</f>
        <v/>
      </c>
      <c r="V448" s="16" t="str">
        <f aca="false">IF(N(M448)=0,"",IF(COUNTIFS(ENSAYOS!$C$5:$C$3004,F448,ENSAYOS!$Q$5:$Q$3004,"&gt;0",ENSAYOS!$G$5:$G$3004,"&gt;="&amp;CONFIG!$B$27)=0,"",AVERAGEIFS(ENSAYOS!$Q$5:$Q$3004,ENSAYOS!$C$5:$C$3004,F448,ENSAYOS!$Q$5:$Q$3004,"&gt;0",ENSAYOS!$G$5:$G$3004,"&gt;="&amp;CONFIG!$B$27)))</f>
        <v/>
      </c>
      <c r="W448" s="18" t="str">
        <f aca="false">IF(AND(U448&lt;&gt;"",V448&lt;&gt;""),U448/V448,"")</f>
        <v/>
      </c>
      <c r="X448" s="18" t="str">
        <f aca="false">IF(U448="","",INDEX('CURVA EDAD'!$E$5:$E$32,MIN(28,MAX(1,N448))))</f>
        <v/>
      </c>
      <c r="Y448" s="16" t="str">
        <f aca="false">IF(V448&lt;&gt;"",V448,IF(U448="","",U448/X448))</f>
        <v/>
      </c>
      <c r="Z448" s="16" t="str">
        <f aca="false">IF(V448&lt;&gt;"",_xlfn.MINIFS(ENSAYOS!$Q$5:$Q$3004,ENSAYOS!$C$5:$C$3004,F448,ENSAYOS!$Q$5:$Q$3004,"&gt;0",ENSAYOS!$G$5:$G$3004,"&gt;="&amp;CONFIG!$B$27),IF(U448="","",_xlfn.MINIFS(ENSAYOS!$Q$5:$Q$3004,ENSAYOS!$C$5:$C$3004,F448,ENSAYOS!$Q$5:$Q$3004,"&gt;0",ENSAYOS!$G$5:$G$3004,N448)/X448))</f>
        <v/>
      </c>
      <c r="AA448" s="16" t="str">
        <f aca="false">IF(D448="","",IFERROR(1/(1/INDEX(CONFIG!$J$5:$J$14,MATCH(D448,CONFIG!$D$5:$D$14,0))),""))</f>
        <v/>
      </c>
      <c r="AB448" s="16" t="str">
        <f aca="false">IF(D448="","",IFERROR(1/(1/INDEX(CONFIG!$K$5:$K$14,MATCH(D448,CONFIG!$D$5:$D$14,0))),""))</f>
        <v/>
      </c>
      <c r="AC448" s="19" t="str">
        <f aca="false">IF(N(M448)=0,"",IF(AA448="","Sin spec",IF(AND(Y448&gt;=AA448,OR(AB448="",Z448&gt;=AB448)),"CUMPLE","NO CUMPLE")&amp;IF(V448=""," (est.)","")))</f>
        <v/>
      </c>
      <c r="AD448" s="20" t="str">
        <f aca="false">IF(F448="","",IF(COUNTIFS(ABSORCION!$C$5:$C$1004,F448,ABSORCION!$I$5:$I$1004,"&gt;0")=0,"",AVERAGEIFS(ABSORCION!$I$5:$I$1004,ABSORCION!$C$5:$C$1004,F448,ABSORCION!$I$5:$I$1004,"&gt;0")))</f>
        <v/>
      </c>
      <c r="AE448" s="20" t="str">
        <f aca="false">IF(F448="","",IF(COUNTIFS(ABSORCION!$C$5:$C$1004,F448,ABSORCION!$I$5:$I$1004,"&gt;0")=0,"",AVERAGEIFS(ABSORCION!$K$5:$K$1004,ABSORCION!$C$5:$C$1004,F448,ABSORCION!$I$5:$I$1004,"&gt;0")))</f>
        <v/>
      </c>
      <c r="AF448" s="20" t="str">
        <f aca="false">IF(AE448="","",IF(AE448&gt;=CONFIG!$E$21,CONFIG!$F$21,IF(AE448&gt;=CONFIG!$E$20,CONFIG!$F$20,CONFIG!$F$19)))</f>
        <v/>
      </c>
      <c r="AG448" s="21" t="str">
        <f aca="false">IF(F448="","",TRIM(IF(N(M448)=0,"Sin ensayos. ","")&amp;IF(AND(N(M448)&gt;0,N(M448)&lt;CONFIG!$B$26),"Menos de "&amp;CONFIG!$B$26&amp;" probetas. ","")&amp;IF(N(T448)&gt;CONFIG!$B$25,"CV alto. ","")&amp;IF(AND(N(AD448)&gt;0,N(AD448)&gt;N(AF448)),"Absorción alta. ","")))</f>
        <v/>
      </c>
      <c r="AH448" s="22" t="str">
        <f aca="false">IF(AND(N(M448)&gt;0,OR(CONTROL!$C$4="TODAS",C448=CONTROL!$C$4),D448=CONTROL!$C$5),MAX($AH$4:AH447)+1,"")</f>
        <v/>
      </c>
      <c r="AI448" s="22" t="str">
        <f aca="false">IF(AH448="","",P448^2)</f>
        <v/>
      </c>
    </row>
    <row r="449" customFormat="false" ht="15" hidden="false" customHeight="false" outlineLevel="0" collapsed="false">
      <c r="A449" s="11" t="str">
        <f aca="false">IF(B449="","",ROW()-4)</f>
        <v/>
      </c>
      <c r="B449" s="12"/>
      <c r="C449" s="13"/>
      <c r="D449" s="13"/>
      <c r="E449" s="13"/>
      <c r="F449" s="14" t="str">
        <f aca="false">IF(OR(B449="",C449="",D449=""),"",IFERROR(INDEX(CONFIG!$E$5:$E$14,MATCH(D449,CONFIG!$D$5:$D$14,0)),"?")&amp;RIGHT("0"&amp;DAY(B449),2)&amp;RIGHT("0"&amp;MONTH(B449),2)&amp;RIGHT(YEAR(B449),2)&amp;C449&amp;IF(E449="","","-"&amp;E449))</f>
        <v/>
      </c>
      <c r="G449" s="13"/>
      <c r="H449" s="13"/>
      <c r="I449" s="13"/>
      <c r="J449" s="13"/>
      <c r="K449" s="13"/>
      <c r="L449" s="13"/>
      <c r="M449" s="11" t="str">
        <f aca="false">IF(F449="","",COUNTIFS(ENSAYOS!$C$5:$C$3004,F449,ENSAYOS!$Q$5:$Q$3004,"&gt;0"))</f>
        <v/>
      </c>
      <c r="N449" s="15" t="str">
        <f aca="false">IF(N(M449)=0,"",_xlfn.MINIFS(ENSAYOS!$G$5:$G$3004,ENSAYOS!$C$5:$C$3004,F449,ENSAYOS!$Q$5:$Q$3004,"&gt;0"))</f>
        <v/>
      </c>
      <c r="O449" s="15" t="str">
        <f aca="false">IF(N(M449)=0,"",_xlfn.MAXIFS(ENSAYOS!$G$5:$G$3004,ENSAYOS!$C$5:$C$3004,F449,ENSAYOS!$Q$5:$Q$3004,"&gt;0"))</f>
        <v/>
      </c>
      <c r="P449" s="16" t="str">
        <f aca="false">IF(N(M449)=0,"",AVERAGEIFS(ENSAYOS!$Q$5:$Q$3004,ENSAYOS!$C$5:$C$3004,F449,ENSAYOS!$Q$5:$Q$3004,"&gt;0"))</f>
        <v/>
      </c>
      <c r="Q449" s="16" t="str">
        <f aca="false">IF(N(M449)=0,"",_xlfn.MINIFS(ENSAYOS!$Q$5:$Q$3004,ENSAYOS!$C$5:$C$3004,F449,ENSAYOS!$Q$5:$Q$3004,"&gt;0"))</f>
        <v/>
      </c>
      <c r="R449" s="16" t="str">
        <f aca="false">IF(N(M449)=0,"",_xlfn.MAXIFS(ENSAYOS!$Q$5:$Q$3004,ENSAYOS!$C$5:$C$3004,F449,ENSAYOS!$Q$5:$Q$3004,"&gt;0"))</f>
        <v/>
      </c>
      <c r="S449" s="16" t="str">
        <f aca="false">IF(N(M449)&lt;2,"",SQRT(MAX(0,(SUMIFS(ENSAYOS!$X$5:$X$3004,ENSAYOS!$C$5:$C$3004,F449,ENSAYOS!$Q$5:$Q$3004,"&gt;0")-M449*P449^2)/(M449-1))))</f>
        <v/>
      </c>
      <c r="T449" s="17" t="str">
        <f aca="false">IF(S449="","",S449/P449)</f>
        <v/>
      </c>
      <c r="U449" s="16" t="str">
        <f aca="false">IF(N(M449)=0,"",IF(N449&gt;=CONFIG!$B$27,"",AVERAGEIFS(ENSAYOS!$Q$5:$Q$3004,ENSAYOS!$C$5:$C$3004,F449,ENSAYOS!$Q$5:$Q$3004,"&gt;0",ENSAYOS!$G$5:$G$3004,N449)))</f>
        <v/>
      </c>
      <c r="V449" s="16" t="str">
        <f aca="false">IF(N(M449)=0,"",IF(COUNTIFS(ENSAYOS!$C$5:$C$3004,F449,ENSAYOS!$Q$5:$Q$3004,"&gt;0",ENSAYOS!$G$5:$G$3004,"&gt;="&amp;CONFIG!$B$27)=0,"",AVERAGEIFS(ENSAYOS!$Q$5:$Q$3004,ENSAYOS!$C$5:$C$3004,F449,ENSAYOS!$Q$5:$Q$3004,"&gt;0",ENSAYOS!$G$5:$G$3004,"&gt;="&amp;CONFIG!$B$27)))</f>
        <v/>
      </c>
      <c r="W449" s="18" t="str">
        <f aca="false">IF(AND(U449&lt;&gt;"",V449&lt;&gt;""),U449/V449,"")</f>
        <v/>
      </c>
      <c r="X449" s="18" t="str">
        <f aca="false">IF(U449="","",INDEX('CURVA EDAD'!$E$5:$E$32,MIN(28,MAX(1,N449))))</f>
        <v/>
      </c>
      <c r="Y449" s="16" t="str">
        <f aca="false">IF(V449&lt;&gt;"",V449,IF(U449="","",U449/X449))</f>
        <v/>
      </c>
      <c r="Z449" s="16" t="str">
        <f aca="false">IF(V449&lt;&gt;"",_xlfn.MINIFS(ENSAYOS!$Q$5:$Q$3004,ENSAYOS!$C$5:$C$3004,F449,ENSAYOS!$Q$5:$Q$3004,"&gt;0",ENSAYOS!$G$5:$G$3004,"&gt;="&amp;CONFIG!$B$27),IF(U449="","",_xlfn.MINIFS(ENSAYOS!$Q$5:$Q$3004,ENSAYOS!$C$5:$C$3004,F449,ENSAYOS!$Q$5:$Q$3004,"&gt;0",ENSAYOS!$G$5:$G$3004,N449)/X449))</f>
        <v/>
      </c>
      <c r="AA449" s="16" t="str">
        <f aca="false">IF(D449="","",IFERROR(1/(1/INDEX(CONFIG!$J$5:$J$14,MATCH(D449,CONFIG!$D$5:$D$14,0))),""))</f>
        <v/>
      </c>
      <c r="AB449" s="16" t="str">
        <f aca="false">IF(D449="","",IFERROR(1/(1/INDEX(CONFIG!$K$5:$K$14,MATCH(D449,CONFIG!$D$5:$D$14,0))),""))</f>
        <v/>
      </c>
      <c r="AC449" s="19" t="str">
        <f aca="false">IF(N(M449)=0,"",IF(AA449="","Sin spec",IF(AND(Y449&gt;=AA449,OR(AB449="",Z449&gt;=AB449)),"CUMPLE","NO CUMPLE")&amp;IF(V449=""," (est.)","")))</f>
        <v/>
      </c>
      <c r="AD449" s="20" t="str">
        <f aca="false">IF(F449="","",IF(COUNTIFS(ABSORCION!$C$5:$C$1004,F449,ABSORCION!$I$5:$I$1004,"&gt;0")=0,"",AVERAGEIFS(ABSORCION!$I$5:$I$1004,ABSORCION!$C$5:$C$1004,F449,ABSORCION!$I$5:$I$1004,"&gt;0")))</f>
        <v/>
      </c>
      <c r="AE449" s="20" t="str">
        <f aca="false">IF(F449="","",IF(COUNTIFS(ABSORCION!$C$5:$C$1004,F449,ABSORCION!$I$5:$I$1004,"&gt;0")=0,"",AVERAGEIFS(ABSORCION!$K$5:$K$1004,ABSORCION!$C$5:$C$1004,F449,ABSORCION!$I$5:$I$1004,"&gt;0")))</f>
        <v/>
      </c>
      <c r="AF449" s="20" t="str">
        <f aca="false">IF(AE449="","",IF(AE449&gt;=CONFIG!$E$21,CONFIG!$F$21,IF(AE449&gt;=CONFIG!$E$20,CONFIG!$F$20,CONFIG!$F$19)))</f>
        <v/>
      </c>
      <c r="AG449" s="21" t="str">
        <f aca="false">IF(F449="","",TRIM(IF(N(M449)=0,"Sin ensayos. ","")&amp;IF(AND(N(M449)&gt;0,N(M449)&lt;CONFIG!$B$26),"Menos de "&amp;CONFIG!$B$26&amp;" probetas. ","")&amp;IF(N(T449)&gt;CONFIG!$B$25,"CV alto. ","")&amp;IF(AND(N(AD449)&gt;0,N(AD449)&gt;N(AF449)),"Absorción alta. ","")))</f>
        <v/>
      </c>
      <c r="AH449" s="22" t="str">
        <f aca="false">IF(AND(N(M449)&gt;0,OR(CONTROL!$C$4="TODAS",C449=CONTROL!$C$4),D449=CONTROL!$C$5),MAX($AH$4:AH448)+1,"")</f>
        <v/>
      </c>
      <c r="AI449" s="22" t="str">
        <f aca="false">IF(AH449="","",P449^2)</f>
        <v/>
      </c>
    </row>
    <row r="450" customFormat="false" ht="15" hidden="false" customHeight="false" outlineLevel="0" collapsed="false">
      <c r="A450" s="11" t="str">
        <f aca="false">IF(B450="","",ROW()-4)</f>
        <v/>
      </c>
      <c r="B450" s="12"/>
      <c r="C450" s="13"/>
      <c r="D450" s="13"/>
      <c r="E450" s="13"/>
      <c r="F450" s="14" t="str">
        <f aca="false">IF(OR(B450="",C450="",D450=""),"",IFERROR(INDEX(CONFIG!$E$5:$E$14,MATCH(D450,CONFIG!$D$5:$D$14,0)),"?")&amp;RIGHT("0"&amp;DAY(B450),2)&amp;RIGHT("0"&amp;MONTH(B450),2)&amp;RIGHT(YEAR(B450),2)&amp;C450&amp;IF(E450="","","-"&amp;E450))</f>
        <v/>
      </c>
      <c r="G450" s="13"/>
      <c r="H450" s="13"/>
      <c r="I450" s="13"/>
      <c r="J450" s="13"/>
      <c r="K450" s="13"/>
      <c r="L450" s="13"/>
      <c r="M450" s="11" t="str">
        <f aca="false">IF(F450="","",COUNTIFS(ENSAYOS!$C$5:$C$3004,F450,ENSAYOS!$Q$5:$Q$3004,"&gt;0"))</f>
        <v/>
      </c>
      <c r="N450" s="15" t="str">
        <f aca="false">IF(N(M450)=0,"",_xlfn.MINIFS(ENSAYOS!$G$5:$G$3004,ENSAYOS!$C$5:$C$3004,F450,ENSAYOS!$Q$5:$Q$3004,"&gt;0"))</f>
        <v/>
      </c>
      <c r="O450" s="15" t="str">
        <f aca="false">IF(N(M450)=0,"",_xlfn.MAXIFS(ENSAYOS!$G$5:$G$3004,ENSAYOS!$C$5:$C$3004,F450,ENSAYOS!$Q$5:$Q$3004,"&gt;0"))</f>
        <v/>
      </c>
      <c r="P450" s="16" t="str">
        <f aca="false">IF(N(M450)=0,"",AVERAGEIFS(ENSAYOS!$Q$5:$Q$3004,ENSAYOS!$C$5:$C$3004,F450,ENSAYOS!$Q$5:$Q$3004,"&gt;0"))</f>
        <v/>
      </c>
      <c r="Q450" s="16" t="str">
        <f aca="false">IF(N(M450)=0,"",_xlfn.MINIFS(ENSAYOS!$Q$5:$Q$3004,ENSAYOS!$C$5:$C$3004,F450,ENSAYOS!$Q$5:$Q$3004,"&gt;0"))</f>
        <v/>
      </c>
      <c r="R450" s="16" t="str">
        <f aca="false">IF(N(M450)=0,"",_xlfn.MAXIFS(ENSAYOS!$Q$5:$Q$3004,ENSAYOS!$C$5:$C$3004,F450,ENSAYOS!$Q$5:$Q$3004,"&gt;0"))</f>
        <v/>
      </c>
      <c r="S450" s="16" t="str">
        <f aca="false">IF(N(M450)&lt;2,"",SQRT(MAX(0,(SUMIFS(ENSAYOS!$X$5:$X$3004,ENSAYOS!$C$5:$C$3004,F450,ENSAYOS!$Q$5:$Q$3004,"&gt;0")-M450*P450^2)/(M450-1))))</f>
        <v/>
      </c>
      <c r="T450" s="17" t="str">
        <f aca="false">IF(S450="","",S450/P450)</f>
        <v/>
      </c>
      <c r="U450" s="16" t="str">
        <f aca="false">IF(N(M450)=0,"",IF(N450&gt;=CONFIG!$B$27,"",AVERAGEIFS(ENSAYOS!$Q$5:$Q$3004,ENSAYOS!$C$5:$C$3004,F450,ENSAYOS!$Q$5:$Q$3004,"&gt;0",ENSAYOS!$G$5:$G$3004,N450)))</f>
        <v/>
      </c>
      <c r="V450" s="16" t="str">
        <f aca="false">IF(N(M450)=0,"",IF(COUNTIFS(ENSAYOS!$C$5:$C$3004,F450,ENSAYOS!$Q$5:$Q$3004,"&gt;0",ENSAYOS!$G$5:$G$3004,"&gt;="&amp;CONFIG!$B$27)=0,"",AVERAGEIFS(ENSAYOS!$Q$5:$Q$3004,ENSAYOS!$C$5:$C$3004,F450,ENSAYOS!$Q$5:$Q$3004,"&gt;0",ENSAYOS!$G$5:$G$3004,"&gt;="&amp;CONFIG!$B$27)))</f>
        <v/>
      </c>
      <c r="W450" s="18" t="str">
        <f aca="false">IF(AND(U450&lt;&gt;"",V450&lt;&gt;""),U450/V450,"")</f>
        <v/>
      </c>
      <c r="X450" s="18" t="str">
        <f aca="false">IF(U450="","",INDEX('CURVA EDAD'!$E$5:$E$32,MIN(28,MAX(1,N450))))</f>
        <v/>
      </c>
      <c r="Y450" s="16" t="str">
        <f aca="false">IF(V450&lt;&gt;"",V450,IF(U450="","",U450/X450))</f>
        <v/>
      </c>
      <c r="Z450" s="16" t="str">
        <f aca="false">IF(V450&lt;&gt;"",_xlfn.MINIFS(ENSAYOS!$Q$5:$Q$3004,ENSAYOS!$C$5:$C$3004,F450,ENSAYOS!$Q$5:$Q$3004,"&gt;0",ENSAYOS!$G$5:$G$3004,"&gt;="&amp;CONFIG!$B$27),IF(U450="","",_xlfn.MINIFS(ENSAYOS!$Q$5:$Q$3004,ENSAYOS!$C$5:$C$3004,F450,ENSAYOS!$Q$5:$Q$3004,"&gt;0",ENSAYOS!$G$5:$G$3004,N450)/X450))</f>
        <v/>
      </c>
      <c r="AA450" s="16" t="str">
        <f aca="false">IF(D450="","",IFERROR(1/(1/INDEX(CONFIG!$J$5:$J$14,MATCH(D450,CONFIG!$D$5:$D$14,0))),""))</f>
        <v/>
      </c>
      <c r="AB450" s="16" t="str">
        <f aca="false">IF(D450="","",IFERROR(1/(1/INDEX(CONFIG!$K$5:$K$14,MATCH(D450,CONFIG!$D$5:$D$14,0))),""))</f>
        <v/>
      </c>
      <c r="AC450" s="19" t="str">
        <f aca="false">IF(N(M450)=0,"",IF(AA450="","Sin spec",IF(AND(Y450&gt;=AA450,OR(AB450="",Z450&gt;=AB450)),"CUMPLE","NO CUMPLE")&amp;IF(V450=""," (est.)","")))</f>
        <v/>
      </c>
      <c r="AD450" s="20" t="str">
        <f aca="false">IF(F450="","",IF(COUNTIFS(ABSORCION!$C$5:$C$1004,F450,ABSORCION!$I$5:$I$1004,"&gt;0")=0,"",AVERAGEIFS(ABSORCION!$I$5:$I$1004,ABSORCION!$C$5:$C$1004,F450,ABSORCION!$I$5:$I$1004,"&gt;0")))</f>
        <v/>
      </c>
      <c r="AE450" s="20" t="str">
        <f aca="false">IF(F450="","",IF(COUNTIFS(ABSORCION!$C$5:$C$1004,F450,ABSORCION!$I$5:$I$1004,"&gt;0")=0,"",AVERAGEIFS(ABSORCION!$K$5:$K$1004,ABSORCION!$C$5:$C$1004,F450,ABSORCION!$I$5:$I$1004,"&gt;0")))</f>
        <v/>
      </c>
      <c r="AF450" s="20" t="str">
        <f aca="false">IF(AE450="","",IF(AE450&gt;=CONFIG!$E$21,CONFIG!$F$21,IF(AE450&gt;=CONFIG!$E$20,CONFIG!$F$20,CONFIG!$F$19)))</f>
        <v/>
      </c>
      <c r="AG450" s="21" t="str">
        <f aca="false">IF(F450="","",TRIM(IF(N(M450)=0,"Sin ensayos. ","")&amp;IF(AND(N(M450)&gt;0,N(M450)&lt;CONFIG!$B$26),"Menos de "&amp;CONFIG!$B$26&amp;" probetas. ","")&amp;IF(N(T450)&gt;CONFIG!$B$25,"CV alto. ","")&amp;IF(AND(N(AD450)&gt;0,N(AD450)&gt;N(AF450)),"Absorción alta. ","")))</f>
        <v/>
      </c>
      <c r="AH450" s="22" t="str">
        <f aca="false">IF(AND(N(M450)&gt;0,OR(CONTROL!$C$4="TODAS",C450=CONTROL!$C$4),D450=CONTROL!$C$5),MAX($AH$4:AH449)+1,"")</f>
        <v/>
      </c>
      <c r="AI450" s="22" t="str">
        <f aca="false">IF(AH450="","",P450^2)</f>
        <v/>
      </c>
    </row>
    <row r="451" customFormat="false" ht="15" hidden="false" customHeight="false" outlineLevel="0" collapsed="false">
      <c r="A451" s="11" t="str">
        <f aca="false">IF(B451="","",ROW()-4)</f>
        <v/>
      </c>
      <c r="B451" s="12"/>
      <c r="C451" s="13"/>
      <c r="D451" s="13"/>
      <c r="E451" s="13"/>
      <c r="F451" s="14" t="str">
        <f aca="false">IF(OR(B451="",C451="",D451=""),"",IFERROR(INDEX(CONFIG!$E$5:$E$14,MATCH(D451,CONFIG!$D$5:$D$14,0)),"?")&amp;RIGHT("0"&amp;DAY(B451),2)&amp;RIGHT("0"&amp;MONTH(B451),2)&amp;RIGHT(YEAR(B451),2)&amp;C451&amp;IF(E451="","","-"&amp;E451))</f>
        <v/>
      </c>
      <c r="G451" s="13"/>
      <c r="H451" s="13"/>
      <c r="I451" s="13"/>
      <c r="J451" s="13"/>
      <c r="K451" s="13"/>
      <c r="L451" s="13"/>
      <c r="M451" s="11" t="str">
        <f aca="false">IF(F451="","",COUNTIFS(ENSAYOS!$C$5:$C$3004,F451,ENSAYOS!$Q$5:$Q$3004,"&gt;0"))</f>
        <v/>
      </c>
      <c r="N451" s="15" t="str">
        <f aca="false">IF(N(M451)=0,"",_xlfn.MINIFS(ENSAYOS!$G$5:$G$3004,ENSAYOS!$C$5:$C$3004,F451,ENSAYOS!$Q$5:$Q$3004,"&gt;0"))</f>
        <v/>
      </c>
      <c r="O451" s="15" t="str">
        <f aca="false">IF(N(M451)=0,"",_xlfn.MAXIFS(ENSAYOS!$G$5:$G$3004,ENSAYOS!$C$5:$C$3004,F451,ENSAYOS!$Q$5:$Q$3004,"&gt;0"))</f>
        <v/>
      </c>
      <c r="P451" s="16" t="str">
        <f aca="false">IF(N(M451)=0,"",AVERAGEIFS(ENSAYOS!$Q$5:$Q$3004,ENSAYOS!$C$5:$C$3004,F451,ENSAYOS!$Q$5:$Q$3004,"&gt;0"))</f>
        <v/>
      </c>
      <c r="Q451" s="16" t="str">
        <f aca="false">IF(N(M451)=0,"",_xlfn.MINIFS(ENSAYOS!$Q$5:$Q$3004,ENSAYOS!$C$5:$C$3004,F451,ENSAYOS!$Q$5:$Q$3004,"&gt;0"))</f>
        <v/>
      </c>
      <c r="R451" s="16" t="str">
        <f aca="false">IF(N(M451)=0,"",_xlfn.MAXIFS(ENSAYOS!$Q$5:$Q$3004,ENSAYOS!$C$5:$C$3004,F451,ENSAYOS!$Q$5:$Q$3004,"&gt;0"))</f>
        <v/>
      </c>
      <c r="S451" s="16" t="str">
        <f aca="false">IF(N(M451)&lt;2,"",SQRT(MAX(0,(SUMIFS(ENSAYOS!$X$5:$X$3004,ENSAYOS!$C$5:$C$3004,F451,ENSAYOS!$Q$5:$Q$3004,"&gt;0")-M451*P451^2)/(M451-1))))</f>
        <v/>
      </c>
      <c r="T451" s="17" t="str">
        <f aca="false">IF(S451="","",S451/P451)</f>
        <v/>
      </c>
      <c r="U451" s="16" t="str">
        <f aca="false">IF(N(M451)=0,"",IF(N451&gt;=CONFIG!$B$27,"",AVERAGEIFS(ENSAYOS!$Q$5:$Q$3004,ENSAYOS!$C$5:$C$3004,F451,ENSAYOS!$Q$5:$Q$3004,"&gt;0",ENSAYOS!$G$5:$G$3004,N451)))</f>
        <v/>
      </c>
      <c r="V451" s="16" t="str">
        <f aca="false">IF(N(M451)=0,"",IF(COUNTIFS(ENSAYOS!$C$5:$C$3004,F451,ENSAYOS!$Q$5:$Q$3004,"&gt;0",ENSAYOS!$G$5:$G$3004,"&gt;="&amp;CONFIG!$B$27)=0,"",AVERAGEIFS(ENSAYOS!$Q$5:$Q$3004,ENSAYOS!$C$5:$C$3004,F451,ENSAYOS!$Q$5:$Q$3004,"&gt;0",ENSAYOS!$G$5:$G$3004,"&gt;="&amp;CONFIG!$B$27)))</f>
        <v/>
      </c>
      <c r="W451" s="18" t="str">
        <f aca="false">IF(AND(U451&lt;&gt;"",V451&lt;&gt;""),U451/V451,"")</f>
        <v/>
      </c>
      <c r="X451" s="18" t="str">
        <f aca="false">IF(U451="","",INDEX('CURVA EDAD'!$E$5:$E$32,MIN(28,MAX(1,N451))))</f>
        <v/>
      </c>
      <c r="Y451" s="16" t="str">
        <f aca="false">IF(V451&lt;&gt;"",V451,IF(U451="","",U451/X451))</f>
        <v/>
      </c>
      <c r="Z451" s="16" t="str">
        <f aca="false">IF(V451&lt;&gt;"",_xlfn.MINIFS(ENSAYOS!$Q$5:$Q$3004,ENSAYOS!$C$5:$C$3004,F451,ENSAYOS!$Q$5:$Q$3004,"&gt;0",ENSAYOS!$G$5:$G$3004,"&gt;="&amp;CONFIG!$B$27),IF(U451="","",_xlfn.MINIFS(ENSAYOS!$Q$5:$Q$3004,ENSAYOS!$C$5:$C$3004,F451,ENSAYOS!$Q$5:$Q$3004,"&gt;0",ENSAYOS!$G$5:$G$3004,N451)/X451))</f>
        <v/>
      </c>
      <c r="AA451" s="16" t="str">
        <f aca="false">IF(D451="","",IFERROR(1/(1/INDEX(CONFIG!$J$5:$J$14,MATCH(D451,CONFIG!$D$5:$D$14,0))),""))</f>
        <v/>
      </c>
      <c r="AB451" s="16" t="str">
        <f aca="false">IF(D451="","",IFERROR(1/(1/INDEX(CONFIG!$K$5:$K$14,MATCH(D451,CONFIG!$D$5:$D$14,0))),""))</f>
        <v/>
      </c>
      <c r="AC451" s="19" t="str">
        <f aca="false">IF(N(M451)=0,"",IF(AA451="","Sin spec",IF(AND(Y451&gt;=AA451,OR(AB451="",Z451&gt;=AB451)),"CUMPLE","NO CUMPLE")&amp;IF(V451=""," (est.)","")))</f>
        <v/>
      </c>
      <c r="AD451" s="20" t="str">
        <f aca="false">IF(F451="","",IF(COUNTIFS(ABSORCION!$C$5:$C$1004,F451,ABSORCION!$I$5:$I$1004,"&gt;0")=0,"",AVERAGEIFS(ABSORCION!$I$5:$I$1004,ABSORCION!$C$5:$C$1004,F451,ABSORCION!$I$5:$I$1004,"&gt;0")))</f>
        <v/>
      </c>
      <c r="AE451" s="20" t="str">
        <f aca="false">IF(F451="","",IF(COUNTIFS(ABSORCION!$C$5:$C$1004,F451,ABSORCION!$I$5:$I$1004,"&gt;0")=0,"",AVERAGEIFS(ABSORCION!$K$5:$K$1004,ABSORCION!$C$5:$C$1004,F451,ABSORCION!$I$5:$I$1004,"&gt;0")))</f>
        <v/>
      </c>
      <c r="AF451" s="20" t="str">
        <f aca="false">IF(AE451="","",IF(AE451&gt;=CONFIG!$E$21,CONFIG!$F$21,IF(AE451&gt;=CONFIG!$E$20,CONFIG!$F$20,CONFIG!$F$19)))</f>
        <v/>
      </c>
      <c r="AG451" s="21" t="str">
        <f aca="false">IF(F451="","",TRIM(IF(N(M451)=0,"Sin ensayos. ","")&amp;IF(AND(N(M451)&gt;0,N(M451)&lt;CONFIG!$B$26),"Menos de "&amp;CONFIG!$B$26&amp;" probetas. ","")&amp;IF(N(T451)&gt;CONFIG!$B$25,"CV alto. ","")&amp;IF(AND(N(AD451)&gt;0,N(AD451)&gt;N(AF451)),"Absorción alta. ","")))</f>
        <v/>
      </c>
      <c r="AH451" s="22" t="str">
        <f aca="false">IF(AND(N(M451)&gt;0,OR(CONTROL!$C$4="TODAS",C451=CONTROL!$C$4),D451=CONTROL!$C$5),MAX($AH$4:AH450)+1,"")</f>
        <v/>
      </c>
      <c r="AI451" s="22" t="str">
        <f aca="false">IF(AH451="","",P451^2)</f>
        <v/>
      </c>
    </row>
    <row r="452" customFormat="false" ht="15" hidden="false" customHeight="false" outlineLevel="0" collapsed="false">
      <c r="A452" s="11" t="str">
        <f aca="false">IF(B452="","",ROW()-4)</f>
        <v/>
      </c>
      <c r="B452" s="12"/>
      <c r="C452" s="13"/>
      <c r="D452" s="13"/>
      <c r="E452" s="13"/>
      <c r="F452" s="14" t="str">
        <f aca="false">IF(OR(B452="",C452="",D452=""),"",IFERROR(INDEX(CONFIG!$E$5:$E$14,MATCH(D452,CONFIG!$D$5:$D$14,0)),"?")&amp;RIGHT("0"&amp;DAY(B452),2)&amp;RIGHT("0"&amp;MONTH(B452),2)&amp;RIGHT(YEAR(B452),2)&amp;C452&amp;IF(E452="","","-"&amp;E452))</f>
        <v/>
      </c>
      <c r="G452" s="13"/>
      <c r="H452" s="13"/>
      <c r="I452" s="13"/>
      <c r="J452" s="13"/>
      <c r="K452" s="13"/>
      <c r="L452" s="13"/>
      <c r="M452" s="11" t="str">
        <f aca="false">IF(F452="","",COUNTIFS(ENSAYOS!$C$5:$C$3004,F452,ENSAYOS!$Q$5:$Q$3004,"&gt;0"))</f>
        <v/>
      </c>
      <c r="N452" s="15" t="str">
        <f aca="false">IF(N(M452)=0,"",_xlfn.MINIFS(ENSAYOS!$G$5:$G$3004,ENSAYOS!$C$5:$C$3004,F452,ENSAYOS!$Q$5:$Q$3004,"&gt;0"))</f>
        <v/>
      </c>
      <c r="O452" s="15" t="str">
        <f aca="false">IF(N(M452)=0,"",_xlfn.MAXIFS(ENSAYOS!$G$5:$G$3004,ENSAYOS!$C$5:$C$3004,F452,ENSAYOS!$Q$5:$Q$3004,"&gt;0"))</f>
        <v/>
      </c>
      <c r="P452" s="16" t="str">
        <f aca="false">IF(N(M452)=0,"",AVERAGEIFS(ENSAYOS!$Q$5:$Q$3004,ENSAYOS!$C$5:$C$3004,F452,ENSAYOS!$Q$5:$Q$3004,"&gt;0"))</f>
        <v/>
      </c>
      <c r="Q452" s="16" t="str">
        <f aca="false">IF(N(M452)=0,"",_xlfn.MINIFS(ENSAYOS!$Q$5:$Q$3004,ENSAYOS!$C$5:$C$3004,F452,ENSAYOS!$Q$5:$Q$3004,"&gt;0"))</f>
        <v/>
      </c>
      <c r="R452" s="16" t="str">
        <f aca="false">IF(N(M452)=0,"",_xlfn.MAXIFS(ENSAYOS!$Q$5:$Q$3004,ENSAYOS!$C$5:$C$3004,F452,ENSAYOS!$Q$5:$Q$3004,"&gt;0"))</f>
        <v/>
      </c>
      <c r="S452" s="16" t="str">
        <f aca="false">IF(N(M452)&lt;2,"",SQRT(MAX(0,(SUMIFS(ENSAYOS!$X$5:$X$3004,ENSAYOS!$C$5:$C$3004,F452,ENSAYOS!$Q$5:$Q$3004,"&gt;0")-M452*P452^2)/(M452-1))))</f>
        <v/>
      </c>
      <c r="T452" s="17" t="str">
        <f aca="false">IF(S452="","",S452/P452)</f>
        <v/>
      </c>
      <c r="U452" s="16" t="str">
        <f aca="false">IF(N(M452)=0,"",IF(N452&gt;=CONFIG!$B$27,"",AVERAGEIFS(ENSAYOS!$Q$5:$Q$3004,ENSAYOS!$C$5:$C$3004,F452,ENSAYOS!$Q$5:$Q$3004,"&gt;0",ENSAYOS!$G$5:$G$3004,N452)))</f>
        <v/>
      </c>
      <c r="V452" s="16" t="str">
        <f aca="false">IF(N(M452)=0,"",IF(COUNTIFS(ENSAYOS!$C$5:$C$3004,F452,ENSAYOS!$Q$5:$Q$3004,"&gt;0",ENSAYOS!$G$5:$G$3004,"&gt;="&amp;CONFIG!$B$27)=0,"",AVERAGEIFS(ENSAYOS!$Q$5:$Q$3004,ENSAYOS!$C$5:$C$3004,F452,ENSAYOS!$Q$5:$Q$3004,"&gt;0",ENSAYOS!$G$5:$G$3004,"&gt;="&amp;CONFIG!$B$27)))</f>
        <v/>
      </c>
      <c r="W452" s="18" t="str">
        <f aca="false">IF(AND(U452&lt;&gt;"",V452&lt;&gt;""),U452/V452,"")</f>
        <v/>
      </c>
      <c r="X452" s="18" t="str">
        <f aca="false">IF(U452="","",INDEX('CURVA EDAD'!$E$5:$E$32,MIN(28,MAX(1,N452))))</f>
        <v/>
      </c>
      <c r="Y452" s="16" t="str">
        <f aca="false">IF(V452&lt;&gt;"",V452,IF(U452="","",U452/X452))</f>
        <v/>
      </c>
      <c r="Z452" s="16" t="str">
        <f aca="false">IF(V452&lt;&gt;"",_xlfn.MINIFS(ENSAYOS!$Q$5:$Q$3004,ENSAYOS!$C$5:$C$3004,F452,ENSAYOS!$Q$5:$Q$3004,"&gt;0",ENSAYOS!$G$5:$G$3004,"&gt;="&amp;CONFIG!$B$27),IF(U452="","",_xlfn.MINIFS(ENSAYOS!$Q$5:$Q$3004,ENSAYOS!$C$5:$C$3004,F452,ENSAYOS!$Q$5:$Q$3004,"&gt;0",ENSAYOS!$G$5:$G$3004,N452)/X452))</f>
        <v/>
      </c>
      <c r="AA452" s="16" t="str">
        <f aca="false">IF(D452="","",IFERROR(1/(1/INDEX(CONFIG!$J$5:$J$14,MATCH(D452,CONFIG!$D$5:$D$14,0))),""))</f>
        <v/>
      </c>
      <c r="AB452" s="16" t="str">
        <f aca="false">IF(D452="","",IFERROR(1/(1/INDEX(CONFIG!$K$5:$K$14,MATCH(D452,CONFIG!$D$5:$D$14,0))),""))</f>
        <v/>
      </c>
      <c r="AC452" s="19" t="str">
        <f aca="false">IF(N(M452)=0,"",IF(AA452="","Sin spec",IF(AND(Y452&gt;=AA452,OR(AB452="",Z452&gt;=AB452)),"CUMPLE","NO CUMPLE")&amp;IF(V452=""," (est.)","")))</f>
        <v/>
      </c>
      <c r="AD452" s="20" t="str">
        <f aca="false">IF(F452="","",IF(COUNTIFS(ABSORCION!$C$5:$C$1004,F452,ABSORCION!$I$5:$I$1004,"&gt;0")=0,"",AVERAGEIFS(ABSORCION!$I$5:$I$1004,ABSORCION!$C$5:$C$1004,F452,ABSORCION!$I$5:$I$1004,"&gt;0")))</f>
        <v/>
      </c>
      <c r="AE452" s="20" t="str">
        <f aca="false">IF(F452="","",IF(COUNTIFS(ABSORCION!$C$5:$C$1004,F452,ABSORCION!$I$5:$I$1004,"&gt;0")=0,"",AVERAGEIFS(ABSORCION!$K$5:$K$1004,ABSORCION!$C$5:$C$1004,F452,ABSORCION!$I$5:$I$1004,"&gt;0")))</f>
        <v/>
      </c>
      <c r="AF452" s="20" t="str">
        <f aca="false">IF(AE452="","",IF(AE452&gt;=CONFIG!$E$21,CONFIG!$F$21,IF(AE452&gt;=CONFIG!$E$20,CONFIG!$F$20,CONFIG!$F$19)))</f>
        <v/>
      </c>
      <c r="AG452" s="21" t="str">
        <f aca="false">IF(F452="","",TRIM(IF(N(M452)=0,"Sin ensayos. ","")&amp;IF(AND(N(M452)&gt;0,N(M452)&lt;CONFIG!$B$26),"Menos de "&amp;CONFIG!$B$26&amp;" probetas. ","")&amp;IF(N(T452)&gt;CONFIG!$B$25,"CV alto. ","")&amp;IF(AND(N(AD452)&gt;0,N(AD452)&gt;N(AF452)),"Absorción alta. ","")))</f>
        <v/>
      </c>
      <c r="AH452" s="22" t="str">
        <f aca="false">IF(AND(N(M452)&gt;0,OR(CONTROL!$C$4="TODAS",C452=CONTROL!$C$4),D452=CONTROL!$C$5),MAX($AH$4:AH451)+1,"")</f>
        <v/>
      </c>
      <c r="AI452" s="22" t="str">
        <f aca="false">IF(AH452="","",P452^2)</f>
        <v/>
      </c>
    </row>
    <row r="453" customFormat="false" ht="15" hidden="false" customHeight="false" outlineLevel="0" collapsed="false">
      <c r="A453" s="11" t="str">
        <f aca="false">IF(B453="","",ROW()-4)</f>
        <v/>
      </c>
      <c r="B453" s="12"/>
      <c r="C453" s="13"/>
      <c r="D453" s="13"/>
      <c r="E453" s="13"/>
      <c r="F453" s="14" t="str">
        <f aca="false">IF(OR(B453="",C453="",D453=""),"",IFERROR(INDEX(CONFIG!$E$5:$E$14,MATCH(D453,CONFIG!$D$5:$D$14,0)),"?")&amp;RIGHT("0"&amp;DAY(B453),2)&amp;RIGHT("0"&amp;MONTH(B453),2)&amp;RIGHT(YEAR(B453),2)&amp;C453&amp;IF(E453="","","-"&amp;E453))</f>
        <v/>
      </c>
      <c r="G453" s="13"/>
      <c r="H453" s="13"/>
      <c r="I453" s="13"/>
      <c r="J453" s="13"/>
      <c r="K453" s="13"/>
      <c r="L453" s="13"/>
      <c r="M453" s="11" t="str">
        <f aca="false">IF(F453="","",COUNTIFS(ENSAYOS!$C$5:$C$3004,F453,ENSAYOS!$Q$5:$Q$3004,"&gt;0"))</f>
        <v/>
      </c>
      <c r="N453" s="15" t="str">
        <f aca="false">IF(N(M453)=0,"",_xlfn.MINIFS(ENSAYOS!$G$5:$G$3004,ENSAYOS!$C$5:$C$3004,F453,ENSAYOS!$Q$5:$Q$3004,"&gt;0"))</f>
        <v/>
      </c>
      <c r="O453" s="15" t="str">
        <f aca="false">IF(N(M453)=0,"",_xlfn.MAXIFS(ENSAYOS!$G$5:$G$3004,ENSAYOS!$C$5:$C$3004,F453,ENSAYOS!$Q$5:$Q$3004,"&gt;0"))</f>
        <v/>
      </c>
      <c r="P453" s="16" t="str">
        <f aca="false">IF(N(M453)=0,"",AVERAGEIFS(ENSAYOS!$Q$5:$Q$3004,ENSAYOS!$C$5:$C$3004,F453,ENSAYOS!$Q$5:$Q$3004,"&gt;0"))</f>
        <v/>
      </c>
      <c r="Q453" s="16" t="str">
        <f aca="false">IF(N(M453)=0,"",_xlfn.MINIFS(ENSAYOS!$Q$5:$Q$3004,ENSAYOS!$C$5:$C$3004,F453,ENSAYOS!$Q$5:$Q$3004,"&gt;0"))</f>
        <v/>
      </c>
      <c r="R453" s="16" t="str">
        <f aca="false">IF(N(M453)=0,"",_xlfn.MAXIFS(ENSAYOS!$Q$5:$Q$3004,ENSAYOS!$C$5:$C$3004,F453,ENSAYOS!$Q$5:$Q$3004,"&gt;0"))</f>
        <v/>
      </c>
      <c r="S453" s="16" t="str">
        <f aca="false">IF(N(M453)&lt;2,"",SQRT(MAX(0,(SUMIFS(ENSAYOS!$X$5:$X$3004,ENSAYOS!$C$5:$C$3004,F453,ENSAYOS!$Q$5:$Q$3004,"&gt;0")-M453*P453^2)/(M453-1))))</f>
        <v/>
      </c>
      <c r="T453" s="17" t="str">
        <f aca="false">IF(S453="","",S453/P453)</f>
        <v/>
      </c>
      <c r="U453" s="16" t="str">
        <f aca="false">IF(N(M453)=0,"",IF(N453&gt;=CONFIG!$B$27,"",AVERAGEIFS(ENSAYOS!$Q$5:$Q$3004,ENSAYOS!$C$5:$C$3004,F453,ENSAYOS!$Q$5:$Q$3004,"&gt;0",ENSAYOS!$G$5:$G$3004,N453)))</f>
        <v/>
      </c>
      <c r="V453" s="16" t="str">
        <f aca="false">IF(N(M453)=0,"",IF(COUNTIFS(ENSAYOS!$C$5:$C$3004,F453,ENSAYOS!$Q$5:$Q$3004,"&gt;0",ENSAYOS!$G$5:$G$3004,"&gt;="&amp;CONFIG!$B$27)=0,"",AVERAGEIFS(ENSAYOS!$Q$5:$Q$3004,ENSAYOS!$C$5:$C$3004,F453,ENSAYOS!$Q$5:$Q$3004,"&gt;0",ENSAYOS!$G$5:$G$3004,"&gt;="&amp;CONFIG!$B$27)))</f>
        <v/>
      </c>
      <c r="W453" s="18" t="str">
        <f aca="false">IF(AND(U453&lt;&gt;"",V453&lt;&gt;""),U453/V453,"")</f>
        <v/>
      </c>
      <c r="X453" s="18" t="str">
        <f aca="false">IF(U453="","",INDEX('CURVA EDAD'!$E$5:$E$32,MIN(28,MAX(1,N453))))</f>
        <v/>
      </c>
      <c r="Y453" s="16" t="str">
        <f aca="false">IF(V453&lt;&gt;"",V453,IF(U453="","",U453/X453))</f>
        <v/>
      </c>
      <c r="Z453" s="16" t="str">
        <f aca="false">IF(V453&lt;&gt;"",_xlfn.MINIFS(ENSAYOS!$Q$5:$Q$3004,ENSAYOS!$C$5:$C$3004,F453,ENSAYOS!$Q$5:$Q$3004,"&gt;0",ENSAYOS!$G$5:$G$3004,"&gt;="&amp;CONFIG!$B$27),IF(U453="","",_xlfn.MINIFS(ENSAYOS!$Q$5:$Q$3004,ENSAYOS!$C$5:$C$3004,F453,ENSAYOS!$Q$5:$Q$3004,"&gt;0",ENSAYOS!$G$5:$G$3004,N453)/X453))</f>
        <v/>
      </c>
      <c r="AA453" s="16" t="str">
        <f aca="false">IF(D453="","",IFERROR(1/(1/INDEX(CONFIG!$J$5:$J$14,MATCH(D453,CONFIG!$D$5:$D$14,0))),""))</f>
        <v/>
      </c>
      <c r="AB453" s="16" t="str">
        <f aca="false">IF(D453="","",IFERROR(1/(1/INDEX(CONFIG!$K$5:$K$14,MATCH(D453,CONFIG!$D$5:$D$14,0))),""))</f>
        <v/>
      </c>
      <c r="AC453" s="19" t="str">
        <f aca="false">IF(N(M453)=0,"",IF(AA453="","Sin spec",IF(AND(Y453&gt;=AA453,OR(AB453="",Z453&gt;=AB453)),"CUMPLE","NO CUMPLE")&amp;IF(V453=""," (est.)","")))</f>
        <v/>
      </c>
      <c r="AD453" s="20" t="str">
        <f aca="false">IF(F453="","",IF(COUNTIFS(ABSORCION!$C$5:$C$1004,F453,ABSORCION!$I$5:$I$1004,"&gt;0")=0,"",AVERAGEIFS(ABSORCION!$I$5:$I$1004,ABSORCION!$C$5:$C$1004,F453,ABSORCION!$I$5:$I$1004,"&gt;0")))</f>
        <v/>
      </c>
      <c r="AE453" s="20" t="str">
        <f aca="false">IF(F453="","",IF(COUNTIFS(ABSORCION!$C$5:$C$1004,F453,ABSORCION!$I$5:$I$1004,"&gt;0")=0,"",AVERAGEIFS(ABSORCION!$K$5:$K$1004,ABSORCION!$C$5:$C$1004,F453,ABSORCION!$I$5:$I$1004,"&gt;0")))</f>
        <v/>
      </c>
      <c r="AF453" s="20" t="str">
        <f aca="false">IF(AE453="","",IF(AE453&gt;=CONFIG!$E$21,CONFIG!$F$21,IF(AE453&gt;=CONFIG!$E$20,CONFIG!$F$20,CONFIG!$F$19)))</f>
        <v/>
      </c>
      <c r="AG453" s="21" t="str">
        <f aca="false">IF(F453="","",TRIM(IF(N(M453)=0,"Sin ensayos. ","")&amp;IF(AND(N(M453)&gt;0,N(M453)&lt;CONFIG!$B$26),"Menos de "&amp;CONFIG!$B$26&amp;" probetas. ","")&amp;IF(N(T453)&gt;CONFIG!$B$25,"CV alto. ","")&amp;IF(AND(N(AD453)&gt;0,N(AD453)&gt;N(AF453)),"Absorción alta. ","")))</f>
        <v/>
      </c>
      <c r="AH453" s="22" t="str">
        <f aca="false">IF(AND(N(M453)&gt;0,OR(CONTROL!$C$4="TODAS",C453=CONTROL!$C$4),D453=CONTROL!$C$5),MAX($AH$4:AH452)+1,"")</f>
        <v/>
      </c>
      <c r="AI453" s="22" t="str">
        <f aca="false">IF(AH453="","",P453^2)</f>
        <v/>
      </c>
    </row>
    <row r="454" customFormat="false" ht="15" hidden="false" customHeight="false" outlineLevel="0" collapsed="false">
      <c r="A454" s="11" t="str">
        <f aca="false">IF(B454="","",ROW()-4)</f>
        <v/>
      </c>
      <c r="B454" s="12"/>
      <c r="C454" s="13"/>
      <c r="D454" s="13"/>
      <c r="E454" s="13"/>
      <c r="F454" s="14" t="str">
        <f aca="false">IF(OR(B454="",C454="",D454=""),"",IFERROR(INDEX(CONFIG!$E$5:$E$14,MATCH(D454,CONFIG!$D$5:$D$14,0)),"?")&amp;RIGHT("0"&amp;DAY(B454),2)&amp;RIGHT("0"&amp;MONTH(B454),2)&amp;RIGHT(YEAR(B454),2)&amp;C454&amp;IF(E454="","","-"&amp;E454))</f>
        <v/>
      </c>
      <c r="G454" s="13"/>
      <c r="H454" s="13"/>
      <c r="I454" s="13"/>
      <c r="J454" s="13"/>
      <c r="K454" s="13"/>
      <c r="L454" s="13"/>
      <c r="M454" s="11" t="str">
        <f aca="false">IF(F454="","",COUNTIFS(ENSAYOS!$C$5:$C$3004,F454,ENSAYOS!$Q$5:$Q$3004,"&gt;0"))</f>
        <v/>
      </c>
      <c r="N454" s="15" t="str">
        <f aca="false">IF(N(M454)=0,"",_xlfn.MINIFS(ENSAYOS!$G$5:$G$3004,ENSAYOS!$C$5:$C$3004,F454,ENSAYOS!$Q$5:$Q$3004,"&gt;0"))</f>
        <v/>
      </c>
      <c r="O454" s="15" t="str">
        <f aca="false">IF(N(M454)=0,"",_xlfn.MAXIFS(ENSAYOS!$G$5:$G$3004,ENSAYOS!$C$5:$C$3004,F454,ENSAYOS!$Q$5:$Q$3004,"&gt;0"))</f>
        <v/>
      </c>
      <c r="P454" s="16" t="str">
        <f aca="false">IF(N(M454)=0,"",AVERAGEIFS(ENSAYOS!$Q$5:$Q$3004,ENSAYOS!$C$5:$C$3004,F454,ENSAYOS!$Q$5:$Q$3004,"&gt;0"))</f>
        <v/>
      </c>
      <c r="Q454" s="16" t="str">
        <f aca="false">IF(N(M454)=0,"",_xlfn.MINIFS(ENSAYOS!$Q$5:$Q$3004,ENSAYOS!$C$5:$C$3004,F454,ENSAYOS!$Q$5:$Q$3004,"&gt;0"))</f>
        <v/>
      </c>
      <c r="R454" s="16" t="str">
        <f aca="false">IF(N(M454)=0,"",_xlfn.MAXIFS(ENSAYOS!$Q$5:$Q$3004,ENSAYOS!$C$5:$C$3004,F454,ENSAYOS!$Q$5:$Q$3004,"&gt;0"))</f>
        <v/>
      </c>
      <c r="S454" s="16" t="str">
        <f aca="false">IF(N(M454)&lt;2,"",SQRT(MAX(0,(SUMIFS(ENSAYOS!$X$5:$X$3004,ENSAYOS!$C$5:$C$3004,F454,ENSAYOS!$Q$5:$Q$3004,"&gt;0")-M454*P454^2)/(M454-1))))</f>
        <v/>
      </c>
      <c r="T454" s="17" t="str">
        <f aca="false">IF(S454="","",S454/P454)</f>
        <v/>
      </c>
      <c r="U454" s="16" t="str">
        <f aca="false">IF(N(M454)=0,"",IF(N454&gt;=CONFIG!$B$27,"",AVERAGEIFS(ENSAYOS!$Q$5:$Q$3004,ENSAYOS!$C$5:$C$3004,F454,ENSAYOS!$Q$5:$Q$3004,"&gt;0",ENSAYOS!$G$5:$G$3004,N454)))</f>
        <v/>
      </c>
      <c r="V454" s="16" t="str">
        <f aca="false">IF(N(M454)=0,"",IF(COUNTIFS(ENSAYOS!$C$5:$C$3004,F454,ENSAYOS!$Q$5:$Q$3004,"&gt;0",ENSAYOS!$G$5:$G$3004,"&gt;="&amp;CONFIG!$B$27)=0,"",AVERAGEIFS(ENSAYOS!$Q$5:$Q$3004,ENSAYOS!$C$5:$C$3004,F454,ENSAYOS!$Q$5:$Q$3004,"&gt;0",ENSAYOS!$G$5:$G$3004,"&gt;="&amp;CONFIG!$B$27)))</f>
        <v/>
      </c>
      <c r="W454" s="18" t="str">
        <f aca="false">IF(AND(U454&lt;&gt;"",V454&lt;&gt;""),U454/V454,"")</f>
        <v/>
      </c>
      <c r="X454" s="18" t="str">
        <f aca="false">IF(U454="","",INDEX('CURVA EDAD'!$E$5:$E$32,MIN(28,MAX(1,N454))))</f>
        <v/>
      </c>
      <c r="Y454" s="16" t="str">
        <f aca="false">IF(V454&lt;&gt;"",V454,IF(U454="","",U454/X454))</f>
        <v/>
      </c>
      <c r="Z454" s="16" t="str">
        <f aca="false">IF(V454&lt;&gt;"",_xlfn.MINIFS(ENSAYOS!$Q$5:$Q$3004,ENSAYOS!$C$5:$C$3004,F454,ENSAYOS!$Q$5:$Q$3004,"&gt;0",ENSAYOS!$G$5:$G$3004,"&gt;="&amp;CONFIG!$B$27),IF(U454="","",_xlfn.MINIFS(ENSAYOS!$Q$5:$Q$3004,ENSAYOS!$C$5:$C$3004,F454,ENSAYOS!$Q$5:$Q$3004,"&gt;0",ENSAYOS!$G$5:$G$3004,N454)/X454))</f>
        <v/>
      </c>
      <c r="AA454" s="16" t="str">
        <f aca="false">IF(D454="","",IFERROR(1/(1/INDEX(CONFIG!$J$5:$J$14,MATCH(D454,CONFIG!$D$5:$D$14,0))),""))</f>
        <v/>
      </c>
      <c r="AB454" s="16" t="str">
        <f aca="false">IF(D454="","",IFERROR(1/(1/INDEX(CONFIG!$K$5:$K$14,MATCH(D454,CONFIG!$D$5:$D$14,0))),""))</f>
        <v/>
      </c>
      <c r="AC454" s="19" t="str">
        <f aca="false">IF(N(M454)=0,"",IF(AA454="","Sin spec",IF(AND(Y454&gt;=AA454,OR(AB454="",Z454&gt;=AB454)),"CUMPLE","NO CUMPLE")&amp;IF(V454=""," (est.)","")))</f>
        <v/>
      </c>
      <c r="AD454" s="20" t="str">
        <f aca="false">IF(F454="","",IF(COUNTIFS(ABSORCION!$C$5:$C$1004,F454,ABSORCION!$I$5:$I$1004,"&gt;0")=0,"",AVERAGEIFS(ABSORCION!$I$5:$I$1004,ABSORCION!$C$5:$C$1004,F454,ABSORCION!$I$5:$I$1004,"&gt;0")))</f>
        <v/>
      </c>
      <c r="AE454" s="20" t="str">
        <f aca="false">IF(F454="","",IF(COUNTIFS(ABSORCION!$C$5:$C$1004,F454,ABSORCION!$I$5:$I$1004,"&gt;0")=0,"",AVERAGEIFS(ABSORCION!$K$5:$K$1004,ABSORCION!$C$5:$C$1004,F454,ABSORCION!$I$5:$I$1004,"&gt;0")))</f>
        <v/>
      </c>
      <c r="AF454" s="20" t="str">
        <f aca="false">IF(AE454="","",IF(AE454&gt;=CONFIG!$E$21,CONFIG!$F$21,IF(AE454&gt;=CONFIG!$E$20,CONFIG!$F$20,CONFIG!$F$19)))</f>
        <v/>
      </c>
      <c r="AG454" s="21" t="str">
        <f aca="false">IF(F454="","",TRIM(IF(N(M454)=0,"Sin ensayos. ","")&amp;IF(AND(N(M454)&gt;0,N(M454)&lt;CONFIG!$B$26),"Menos de "&amp;CONFIG!$B$26&amp;" probetas. ","")&amp;IF(N(T454)&gt;CONFIG!$B$25,"CV alto. ","")&amp;IF(AND(N(AD454)&gt;0,N(AD454)&gt;N(AF454)),"Absorción alta. ","")))</f>
        <v/>
      </c>
      <c r="AH454" s="22" t="str">
        <f aca="false">IF(AND(N(M454)&gt;0,OR(CONTROL!$C$4="TODAS",C454=CONTROL!$C$4),D454=CONTROL!$C$5),MAX($AH$4:AH453)+1,"")</f>
        <v/>
      </c>
      <c r="AI454" s="22" t="str">
        <f aca="false">IF(AH454="","",P454^2)</f>
        <v/>
      </c>
    </row>
    <row r="455" customFormat="false" ht="15" hidden="false" customHeight="false" outlineLevel="0" collapsed="false">
      <c r="A455" s="11" t="str">
        <f aca="false">IF(B455="","",ROW()-4)</f>
        <v/>
      </c>
      <c r="B455" s="12"/>
      <c r="C455" s="13"/>
      <c r="D455" s="13"/>
      <c r="E455" s="13"/>
      <c r="F455" s="14" t="str">
        <f aca="false">IF(OR(B455="",C455="",D455=""),"",IFERROR(INDEX(CONFIG!$E$5:$E$14,MATCH(D455,CONFIG!$D$5:$D$14,0)),"?")&amp;RIGHT("0"&amp;DAY(B455),2)&amp;RIGHT("0"&amp;MONTH(B455),2)&amp;RIGHT(YEAR(B455),2)&amp;C455&amp;IF(E455="","","-"&amp;E455))</f>
        <v/>
      </c>
      <c r="G455" s="13"/>
      <c r="H455" s="13"/>
      <c r="I455" s="13"/>
      <c r="J455" s="13"/>
      <c r="K455" s="13"/>
      <c r="L455" s="13"/>
      <c r="M455" s="11" t="str">
        <f aca="false">IF(F455="","",COUNTIFS(ENSAYOS!$C$5:$C$3004,F455,ENSAYOS!$Q$5:$Q$3004,"&gt;0"))</f>
        <v/>
      </c>
      <c r="N455" s="15" t="str">
        <f aca="false">IF(N(M455)=0,"",_xlfn.MINIFS(ENSAYOS!$G$5:$G$3004,ENSAYOS!$C$5:$C$3004,F455,ENSAYOS!$Q$5:$Q$3004,"&gt;0"))</f>
        <v/>
      </c>
      <c r="O455" s="15" t="str">
        <f aca="false">IF(N(M455)=0,"",_xlfn.MAXIFS(ENSAYOS!$G$5:$G$3004,ENSAYOS!$C$5:$C$3004,F455,ENSAYOS!$Q$5:$Q$3004,"&gt;0"))</f>
        <v/>
      </c>
      <c r="P455" s="16" t="str">
        <f aca="false">IF(N(M455)=0,"",AVERAGEIFS(ENSAYOS!$Q$5:$Q$3004,ENSAYOS!$C$5:$C$3004,F455,ENSAYOS!$Q$5:$Q$3004,"&gt;0"))</f>
        <v/>
      </c>
      <c r="Q455" s="16" t="str">
        <f aca="false">IF(N(M455)=0,"",_xlfn.MINIFS(ENSAYOS!$Q$5:$Q$3004,ENSAYOS!$C$5:$C$3004,F455,ENSAYOS!$Q$5:$Q$3004,"&gt;0"))</f>
        <v/>
      </c>
      <c r="R455" s="16" t="str">
        <f aca="false">IF(N(M455)=0,"",_xlfn.MAXIFS(ENSAYOS!$Q$5:$Q$3004,ENSAYOS!$C$5:$C$3004,F455,ENSAYOS!$Q$5:$Q$3004,"&gt;0"))</f>
        <v/>
      </c>
      <c r="S455" s="16" t="str">
        <f aca="false">IF(N(M455)&lt;2,"",SQRT(MAX(0,(SUMIFS(ENSAYOS!$X$5:$X$3004,ENSAYOS!$C$5:$C$3004,F455,ENSAYOS!$Q$5:$Q$3004,"&gt;0")-M455*P455^2)/(M455-1))))</f>
        <v/>
      </c>
      <c r="T455" s="17" t="str">
        <f aca="false">IF(S455="","",S455/P455)</f>
        <v/>
      </c>
      <c r="U455" s="16" t="str">
        <f aca="false">IF(N(M455)=0,"",IF(N455&gt;=CONFIG!$B$27,"",AVERAGEIFS(ENSAYOS!$Q$5:$Q$3004,ENSAYOS!$C$5:$C$3004,F455,ENSAYOS!$Q$5:$Q$3004,"&gt;0",ENSAYOS!$G$5:$G$3004,N455)))</f>
        <v/>
      </c>
      <c r="V455" s="16" t="str">
        <f aca="false">IF(N(M455)=0,"",IF(COUNTIFS(ENSAYOS!$C$5:$C$3004,F455,ENSAYOS!$Q$5:$Q$3004,"&gt;0",ENSAYOS!$G$5:$G$3004,"&gt;="&amp;CONFIG!$B$27)=0,"",AVERAGEIFS(ENSAYOS!$Q$5:$Q$3004,ENSAYOS!$C$5:$C$3004,F455,ENSAYOS!$Q$5:$Q$3004,"&gt;0",ENSAYOS!$G$5:$G$3004,"&gt;="&amp;CONFIG!$B$27)))</f>
        <v/>
      </c>
      <c r="W455" s="18" t="str">
        <f aca="false">IF(AND(U455&lt;&gt;"",V455&lt;&gt;""),U455/V455,"")</f>
        <v/>
      </c>
      <c r="X455" s="18" t="str">
        <f aca="false">IF(U455="","",INDEX('CURVA EDAD'!$E$5:$E$32,MIN(28,MAX(1,N455))))</f>
        <v/>
      </c>
      <c r="Y455" s="16" t="str">
        <f aca="false">IF(V455&lt;&gt;"",V455,IF(U455="","",U455/X455))</f>
        <v/>
      </c>
      <c r="Z455" s="16" t="str">
        <f aca="false">IF(V455&lt;&gt;"",_xlfn.MINIFS(ENSAYOS!$Q$5:$Q$3004,ENSAYOS!$C$5:$C$3004,F455,ENSAYOS!$Q$5:$Q$3004,"&gt;0",ENSAYOS!$G$5:$G$3004,"&gt;="&amp;CONFIG!$B$27),IF(U455="","",_xlfn.MINIFS(ENSAYOS!$Q$5:$Q$3004,ENSAYOS!$C$5:$C$3004,F455,ENSAYOS!$Q$5:$Q$3004,"&gt;0",ENSAYOS!$G$5:$G$3004,N455)/X455))</f>
        <v/>
      </c>
      <c r="AA455" s="16" t="str">
        <f aca="false">IF(D455="","",IFERROR(1/(1/INDEX(CONFIG!$J$5:$J$14,MATCH(D455,CONFIG!$D$5:$D$14,0))),""))</f>
        <v/>
      </c>
      <c r="AB455" s="16" t="str">
        <f aca="false">IF(D455="","",IFERROR(1/(1/INDEX(CONFIG!$K$5:$K$14,MATCH(D455,CONFIG!$D$5:$D$14,0))),""))</f>
        <v/>
      </c>
      <c r="AC455" s="19" t="str">
        <f aca="false">IF(N(M455)=0,"",IF(AA455="","Sin spec",IF(AND(Y455&gt;=AA455,OR(AB455="",Z455&gt;=AB455)),"CUMPLE","NO CUMPLE")&amp;IF(V455=""," (est.)","")))</f>
        <v/>
      </c>
      <c r="AD455" s="20" t="str">
        <f aca="false">IF(F455="","",IF(COUNTIFS(ABSORCION!$C$5:$C$1004,F455,ABSORCION!$I$5:$I$1004,"&gt;0")=0,"",AVERAGEIFS(ABSORCION!$I$5:$I$1004,ABSORCION!$C$5:$C$1004,F455,ABSORCION!$I$5:$I$1004,"&gt;0")))</f>
        <v/>
      </c>
      <c r="AE455" s="20" t="str">
        <f aca="false">IF(F455="","",IF(COUNTIFS(ABSORCION!$C$5:$C$1004,F455,ABSORCION!$I$5:$I$1004,"&gt;0")=0,"",AVERAGEIFS(ABSORCION!$K$5:$K$1004,ABSORCION!$C$5:$C$1004,F455,ABSORCION!$I$5:$I$1004,"&gt;0")))</f>
        <v/>
      </c>
      <c r="AF455" s="20" t="str">
        <f aca="false">IF(AE455="","",IF(AE455&gt;=CONFIG!$E$21,CONFIG!$F$21,IF(AE455&gt;=CONFIG!$E$20,CONFIG!$F$20,CONFIG!$F$19)))</f>
        <v/>
      </c>
      <c r="AG455" s="21" t="str">
        <f aca="false">IF(F455="","",TRIM(IF(N(M455)=0,"Sin ensayos. ","")&amp;IF(AND(N(M455)&gt;0,N(M455)&lt;CONFIG!$B$26),"Menos de "&amp;CONFIG!$B$26&amp;" probetas. ","")&amp;IF(N(T455)&gt;CONFIG!$B$25,"CV alto. ","")&amp;IF(AND(N(AD455)&gt;0,N(AD455)&gt;N(AF455)),"Absorción alta. ","")))</f>
        <v/>
      </c>
      <c r="AH455" s="22" t="str">
        <f aca="false">IF(AND(N(M455)&gt;0,OR(CONTROL!$C$4="TODAS",C455=CONTROL!$C$4),D455=CONTROL!$C$5),MAX($AH$4:AH454)+1,"")</f>
        <v/>
      </c>
      <c r="AI455" s="22" t="str">
        <f aca="false">IF(AH455="","",P455^2)</f>
        <v/>
      </c>
    </row>
    <row r="456" customFormat="false" ht="15" hidden="false" customHeight="false" outlineLevel="0" collapsed="false">
      <c r="A456" s="11" t="str">
        <f aca="false">IF(B456="","",ROW()-4)</f>
        <v/>
      </c>
      <c r="B456" s="12"/>
      <c r="C456" s="13"/>
      <c r="D456" s="13"/>
      <c r="E456" s="13"/>
      <c r="F456" s="14" t="str">
        <f aca="false">IF(OR(B456="",C456="",D456=""),"",IFERROR(INDEX(CONFIG!$E$5:$E$14,MATCH(D456,CONFIG!$D$5:$D$14,0)),"?")&amp;RIGHT("0"&amp;DAY(B456),2)&amp;RIGHT("0"&amp;MONTH(B456),2)&amp;RIGHT(YEAR(B456),2)&amp;C456&amp;IF(E456="","","-"&amp;E456))</f>
        <v/>
      </c>
      <c r="G456" s="13"/>
      <c r="H456" s="13"/>
      <c r="I456" s="13"/>
      <c r="J456" s="13"/>
      <c r="K456" s="13"/>
      <c r="L456" s="13"/>
      <c r="M456" s="11" t="str">
        <f aca="false">IF(F456="","",COUNTIFS(ENSAYOS!$C$5:$C$3004,F456,ENSAYOS!$Q$5:$Q$3004,"&gt;0"))</f>
        <v/>
      </c>
      <c r="N456" s="15" t="str">
        <f aca="false">IF(N(M456)=0,"",_xlfn.MINIFS(ENSAYOS!$G$5:$G$3004,ENSAYOS!$C$5:$C$3004,F456,ENSAYOS!$Q$5:$Q$3004,"&gt;0"))</f>
        <v/>
      </c>
      <c r="O456" s="15" t="str">
        <f aca="false">IF(N(M456)=0,"",_xlfn.MAXIFS(ENSAYOS!$G$5:$G$3004,ENSAYOS!$C$5:$C$3004,F456,ENSAYOS!$Q$5:$Q$3004,"&gt;0"))</f>
        <v/>
      </c>
      <c r="P456" s="16" t="str">
        <f aca="false">IF(N(M456)=0,"",AVERAGEIFS(ENSAYOS!$Q$5:$Q$3004,ENSAYOS!$C$5:$C$3004,F456,ENSAYOS!$Q$5:$Q$3004,"&gt;0"))</f>
        <v/>
      </c>
      <c r="Q456" s="16" t="str">
        <f aca="false">IF(N(M456)=0,"",_xlfn.MINIFS(ENSAYOS!$Q$5:$Q$3004,ENSAYOS!$C$5:$C$3004,F456,ENSAYOS!$Q$5:$Q$3004,"&gt;0"))</f>
        <v/>
      </c>
      <c r="R456" s="16" t="str">
        <f aca="false">IF(N(M456)=0,"",_xlfn.MAXIFS(ENSAYOS!$Q$5:$Q$3004,ENSAYOS!$C$5:$C$3004,F456,ENSAYOS!$Q$5:$Q$3004,"&gt;0"))</f>
        <v/>
      </c>
      <c r="S456" s="16" t="str">
        <f aca="false">IF(N(M456)&lt;2,"",SQRT(MAX(0,(SUMIFS(ENSAYOS!$X$5:$X$3004,ENSAYOS!$C$5:$C$3004,F456,ENSAYOS!$Q$5:$Q$3004,"&gt;0")-M456*P456^2)/(M456-1))))</f>
        <v/>
      </c>
      <c r="T456" s="17" t="str">
        <f aca="false">IF(S456="","",S456/P456)</f>
        <v/>
      </c>
      <c r="U456" s="16" t="str">
        <f aca="false">IF(N(M456)=0,"",IF(N456&gt;=CONFIG!$B$27,"",AVERAGEIFS(ENSAYOS!$Q$5:$Q$3004,ENSAYOS!$C$5:$C$3004,F456,ENSAYOS!$Q$5:$Q$3004,"&gt;0",ENSAYOS!$G$5:$G$3004,N456)))</f>
        <v/>
      </c>
      <c r="V456" s="16" t="str">
        <f aca="false">IF(N(M456)=0,"",IF(COUNTIFS(ENSAYOS!$C$5:$C$3004,F456,ENSAYOS!$Q$5:$Q$3004,"&gt;0",ENSAYOS!$G$5:$G$3004,"&gt;="&amp;CONFIG!$B$27)=0,"",AVERAGEIFS(ENSAYOS!$Q$5:$Q$3004,ENSAYOS!$C$5:$C$3004,F456,ENSAYOS!$Q$5:$Q$3004,"&gt;0",ENSAYOS!$G$5:$G$3004,"&gt;="&amp;CONFIG!$B$27)))</f>
        <v/>
      </c>
      <c r="W456" s="18" t="str">
        <f aca="false">IF(AND(U456&lt;&gt;"",V456&lt;&gt;""),U456/V456,"")</f>
        <v/>
      </c>
      <c r="X456" s="18" t="str">
        <f aca="false">IF(U456="","",INDEX('CURVA EDAD'!$E$5:$E$32,MIN(28,MAX(1,N456))))</f>
        <v/>
      </c>
      <c r="Y456" s="16" t="str">
        <f aca="false">IF(V456&lt;&gt;"",V456,IF(U456="","",U456/X456))</f>
        <v/>
      </c>
      <c r="Z456" s="16" t="str">
        <f aca="false">IF(V456&lt;&gt;"",_xlfn.MINIFS(ENSAYOS!$Q$5:$Q$3004,ENSAYOS!$C$5:$C$3004,F456,ENSAYOS!$Q$5:$Q$3004,"&gt;0",ENSAYOS!$G$5:$G$3004,"&gt;="&amp;CONFIG!$B$27),IF(U456="","",_xlfn.MINIFS(ENSAYOS!$Q$5:$Q$3004,ENSAYOS!$C$5:$C$3004,F456,ENSAYOS!$Q$5:$Q$3004,"&gt;0",ENSAYOS!$G$5:$G$3004,N456)/X456))</f>
        <v/>
      </c>
      <c r="AA456" s="16" t="str">
        <f aca="false">IF(D456="","",IFERROR(1/(1/INDEX(CONFIG!$J$5:$J$14,MATCH(D456,CONFIG!$D$5:$D$14,0))),""))</f>
        <v/>
      </c>
      <c r="AB456" s="16" t="str">
        <f aca="false">IF(D456="","",IFERROR(1/(1/INDEX(CONFIG!$K$5:$K$14,MATCH(D456,CONFIG!$D$5:$D$14,0))),""))</f>
        <v/>
      </c>
      <c r="AC456" s="19" t="str">
        <f aca="false">IF(N(M456)=0,"",IF(AA456="","Sin spec",IF(AND(Y456&gt;=AA456,OR(AB456="",Z456&gt;=AB456)),"CUMPLE","NO CUMPLE")&amp;IF(V456=""," (est.)","")))</f>
        <v/>
      </c>
      <c r="AD456" s="20" t="str">
        <f aca="false">IF(F456="","",IF(COUNTIFS(ABSORCION!$C$5:$C$1004,F456,ABSORCION!$I$5:$I$1004,"&gt;0")=0,"",AVERAGEIFS(ABSORCION!$I$5:$I$1004,ABSORCION!$C$5:$C$1004,F456,ABSORCION!$I$5:$I$1004,"&gt;0")))</f>
        <v/>
      </c>
      <c r="AE456" s="20" t="str">
        <f aca="false">IF(F456="","",IF(COUNTIFS(ABSORCION!$C$5:$C$1004,F456,ABSORCION!$I$5:$I$1004,"&gt;0")=0,"",AVERAGEIFS(ABSORCION!$K$5:$K$1004,ABSORCION!$C$5:$C$1004,F456,ABSORCION!$I$5:$I$1004,"&gt;0")))</f>
        <v/>
      </c>
      <c r="AF456" s="20" t="str">
        <f aca="false">IF(AE456="","",IF(AE456&gt;=CONFIG!$E$21,CONFIG!$F$21,IF(AE456&gt;=CONFIG!$E$20,CONFIG!$F$20,CONFIG!$F$19)))</f>
        <v/>
      </c>
      <c r="AG456" s="21" t="str">
        <f aca="false">IF(F456="","",TRIM(IF(N(M456)=0,"Sin ensayos. ","")&amp;IF(AND(N(M456)&gt;0,N(M456)&lt;CONFIG!$B$26),"Menos de "&amp;CONFIG!$B$26&amp;" probetas. ","")&amp;IF(N(T456)&gt;CONFIG!$B$25,"CV alto. ","")&amp;IF(AND(N(AD456)&gt;0,N(AD456)&gt;N(AF456)),"Absorción alta. ","")))</f>
        <v/>
      </c>
      <c r="AH456" s="22" t="str">
        <f aca="false">IF(AND(N(M456)&gt;0,OR(CONTROL!$C$4="TODAS",C456=CONTROL!$C$4),D456=CONTROL!$C$5),MAX($AH$4:AH455)+1,"")</f>
        <v/>
      </c>
      <c r="AI456" s="22" t="str">
        <f aca="false">IF(AH456="","",P456^2)</f>
        <v/>
      </c>
    </row>
    <row r="457" customFormat="false" ht="15" hidden="false" customHeight="false" outlineLevel="0" collapsed="false">
      <c r="A457" s="11" t="str">
        <f aca="false">IF(B457="","",ROW()-4)</f>
        <v/>
      </c>
      <c r="B457" s="12"/>
      <c r="C457" s="13"/>
      <c r="D457" s="13"/>
      <c r="E457" s="13"/>
      <c r="F457" s="14" t="str">
        <f aca="false">IF(OR(B457="",C457="",D457=""),"",IFERROR(INDEX(CONFIG!$E$5:$E$14,MATCH(D457,CONFIG!$D$5:$D$14,0)),"?")&amp;RIGHT("0"&amp;DAY(B457),2)&amp;RIGHT("0"&amp;MONTH(B457),2)&amp;RIGHT(YEAR(B457),2)&amp;C457&amp;IF(E457="","","-"&amp;E457))</f>
        <v/>
      </c>
      <c r="G457" s="13"/>
      <c r="H457" s="13"/>
      <c r="I457" s="13"/>
      <c r="J457" s="13"/>
      <c r="K457" s="13"/>
      <c r="L457" s="13"/>
      <c r="M457" s="11" t="str">
        <f aca="false">IF(F457="","",COUNTIFS(ENSAYOS!$C$5:$C$3004,F457,ENSAYOS!$Q$5:$Q$3004,"&gt;0"))</f>
        <v/>
      </c>
      <c r="N457" s="15" t="str">
        <f aca="false">IF(N(M457)=0,"",_xlfn.MINIFS(ENSAYOS!$G$5:$G$3004,ENSAYOS!$C$5:$C$3004,F457,ENSAYOS!$Q$5:$Q$3004,"&gt;0"))</f>
        <v/>
      </c>
      <c r="O457" s="15" t="str">
        <f aca="false">IF(N(M457)=0,"",_xlfn.MAXIFS(ENSAYOS!$G$5:$G$3004,ENSAYOS!$C$5:$C$3004,F457,ENSAYOS!$Q$5:$Q$3004,"&gt;0"))</f>
        <v/>
      </c>
      <c r="P457" s="16" t="str">
        <f aca="false">IF(N(M457)=0,"",AVERAGEIFS(ENSAYOS!$Q$5:$Q$3004,ENSAYOS!$C$5:$C$3004,F457,ENSAYOS!$Q$5:$Q$3004,"&gt;0"))</f>
        <v/>
      </c>
      <c r="Q457" s="16" t="str">
        <f aca="false">IF(N(M457)=0,"",_xlfn.MINIFS(ENSAYOS!$Q$5:$Q$3004,ENSAYOS!$C$5:$C$3004,F457,ENSAYOS!$Q$5:$Q$3004,"&gt;0"))</f>
        <v/>
      </c>
      <c r="R457" s="16" t="str">
        <f aca="false">IF(N(M457)=0,"",_xlfn.MAXIFS(ENSAYOS!$Q$5:$Q$3004,ENSAYOS!$C$5:$C$3004,F457,ENSAYOS!$Q$5:$Q$3004,"&gt;0"))</f>
        <v/>
      </c>
      <c r="S457" s="16" t="str">
        <f aca="false">IF(N(M457)&lt;2,"",SQRT(MAX(0,(SUMIFS(ENSAYOS!$X$5:$X$3004,ENSAYOS!$C$5:$C$3004,F457,ENSAYOS!$Q$5:$Q$3004,"&gt;0")-M457*P457^2)/(M457-1))))</f>
        <v/>
      </c>
      <c r="T457" s="17" t="str">
        <f aca="false">IF(S457="","",S457/P457)</f>
        <v/>
      </c>
      <c r="U457" s="16" t="str">
        <f aca="false">IF(N(M457)=0,"",IF(N457&gt;=CONFIG!$B$27,"",AVERAGEIFS(ENSAYOS!$Q$5:$Q$3004,ENSAYOS!$C$5:$C$3004,F457,ENSAYOS!$Q$5:$Q$3004,"&gt;0",ENSAYOS!$G$5:$G$3004,N457)))</f>
        <v/>
      </c>
      <c r="V457" s="16" t="str">
        <f aca="false">IF(N(M457)=0,"",IF(COUNTIFS(ENSAYOS!$C$5:$C$3004,F457,ENSAYOS!$Q$5:$Q$3004,"&gt;0",ENSAYOS!$G$5:$G$3004,"&gt;="&amp;CONFIG!$B$27)=0,"",AVERAGEIFS(ENSAYOS!$Q$5:$Q$3004,ENSAYOS!$C$5:$C$3004,F457,ENSAYOS!$Q$5:$Q$3004,"&gt;0",ENSAYOS!$G$5:$G$3004,"&gt;="&amp;CONFIG!$B$27)))</f>
        <v/>
      </c>
      <c r="W457" s="18" t="str">
        <f aca="false">IF(AND(U457&lt;&gt;"",V457&lt;&gt;""),U457/V457,"")</f>
        <v/>
      </c>
      <c r="X457" s="18" t="str">
        <f aca="false">IF(U457="","",INDEX('CURVA EDAD'!$E$5:$E$32,MIN(28,MAX(1,N457))))</f>
        <v/>
      </c>
      <c r="Y457" s="16" t="str">
        <f aca="false">IF(V457&lt;&gt;"",V457,IF(U457="","",U457/X457))</f>
        <v/>
      </c>
      <c r="Z457" s="16" t="str">
        <f aca="false">IF(V457&lt;&gt;"",_xlfn.MINIFS(ENSAYOS!$Q$5:$Q$3004,ENSAYOS!$C$5:$C$3004,F457,ENSAYOS!$Q$5:$Q$3004,"&gt;0",ENSAYOS!$G$5:$G$3004,"&gt;="&amp;CONFIG!$B$27),IF(U457="","",_xlfn.MINIFS(ENSAYOS!$Q$5:$Q$3004,ENSAYOS!$C$5:$C$3004,F457,ENSAYOS!$Q$5:$Q$3004,"&gt;0",ENSAYOS!$G$5:$G$3004,N457)/X457))</f>
        <v/>
      </c>
      <c r="AA457" s="16" t="str">
        <f aca="false">IF(D457="","",IFERROR(1/(1/INDEX(CONFIG!$J$5:$J$14,MATCH(D457,CONFIG!$D$5:$D$14,0))),""))</f>
        <v/>
      </c>
      <c r="AB457" s="16" t="str">
        <f aca="false">IF(D457="","",IFERROR(1/(1/INDEX(CONFIG!$K$5:$K$14,MATCH(D457,CONFIG!$D$5:$D$14,0))),""))</f>
        <v/>
      </c>
      <c r="AC457" s="19" t="str">
        <f aca="false">IF(N(M457)=0,"",IF(AA457="","Sin spec",IF(AND(Y457&gt;=AA457,OR(AB457="",Z457&gt;=AB457)),"CUMPLE","NO CUMPLE")&amp;IF(V457=""," (est.)","")))</f>
        <v/>
      </c>
      <c r="AD457" s="20" t="str">
        <f aca="false">IF(F457="","",IF(COUNTIFS(ABSORCION!$C$5:$C$1004,F457,ABSORCION!$I$5:$I$1004,"&gt;0")=0,"",AVERAGEIFS(ABSORCION!$I$5:$I$1004,ABSORCION!$C$5:$C$1004,F457,ABSORCION!$I$5:$I$1004,"&gt;0")))</f>
        <v/>
      </c>
      <c r="AE457" s="20" t="str">
        <f aca="false">IF(F457="","",IF(COUNTIFS(ABSORCION!$C$5:$C$1004,F457,ABSORCION!$I$5:$I$1004,"&gt;0")=0,"",AVERAGEIFS(ABSORCION!$K$5:$K$1004,ABSORCION!$C$5:$C$1004,F457,ABSORCION!$I$5:$I$1004,"&gt;0")))</f>
        <v/>
      </c>
      <c r="AF457" s="20" t="str">
        <f aca="false">IF(AE457="","",IF(AE457&gt;=CONFIG!$E$21,CONFIG!$F$21,IF(AE457&gt;=CONFIG!$E$20,CONFIG!$F$20,CONFIG!$F$19)))</f>
        <v/>
      </c>
      <c r="AG457" s="21" t="str">
        <f aca="false">IF(F457="","",TRIM(IF(N(M457)=0,"Sin ensayos. ","")&amp;IF(AND(N(M457)&gt;0,N(M457)&lt;CONFIG!$B$26),"Menos de "&amp;CONFIG!$B$26&amp;" probetas. ","")&amp;IF(N(T457)&gt;CONFIG!$B$25,"CV alto. ","")&amp;IF(AND(N(AD457)&gt;0,N(AD457)&gt;N(AF457)),"Absorción alta. ","")))</f>
        <v/>
      </c>
      <c r="AH457" s="22" t="str">
        <f aca="false">IF(AND(N(M457)&gt;0,OR(CONTROL!$C$4="TODAS",C457=CONTROL!$C$4),D457=CONTROL!$C$5),MAX($AH$4:AH456)+1,"")</f>
        <v/>
      </c>
      <c r="AI457" s="22" t="str">
        <f aca="false">IF(AH457="","",P457^2)</f>
        <v/>
      </c>
    </row>
    <row r="458" customFormat="false" ht="15" hidden="false" customHeight="false" outlineLevel="0" collapsed="false">
      <c r="A458" s="11" t="str">
        <f aca="false">IF(B458="","",ROW()-4)</f>
        <v/>
      </c>
      <c r="B458" s="12"/>
      <c r="C458" s="13"/>
      <c r="D458" s="13"/>
      <c r="E458" s="13"/>
      <c r="F458" s="14" t="str">
        <f aca="false">IF(OR(B458="",C458="",D458=""),"",IFERROR(INDEX(CONFIG!$E$5:$E$14,MATCH(D458,CONFIG!$D$5:$D$14,0)),"?")&amp;RIGHT("0"&amp;DAY(B458),2)&amp;RIGHT("0"&amp;MONTH(B458),2)&amp;RIGHT(YEAR(B458),2)&amp;C458&amp;IF(E458="","","-"&amp;E458))</f>
        <v/>
      </c>
      <c r="G458" s="13"/>
      <c r="H458" s="13"/>
      <c r="I458" s="13"/>
      <c r="J458" s="13"/>
      <c r="K458" s="13"/>
      <c r="L458" s="13"/>
      <c r="M458" s="11" t="str">
        <f aca="false">IF(F458="","",COUNTIFS(ENSAYOS!$C$5:$C$3004,F458,ENSAYOS!$Q$5:$Q$3004,"&gt;0"))</f>
        <v/>
      </c>
      <c r="N458" s="15" t="str">
        <f aca="false">IF(N(M458)=0,"",_xlfn.MINIFS(ENSAYOS!$G$5:$G$3004,ENSAYOS!$C$5:$C$3004,F458,ENSAYOS!$Q$5:$Q$3004,"&gt;0"))</f>
        <v/>
      </c>
      <c r="O458" s="15" t="str">
        <f aca="false">IF(N(M458)=0,"",_xlfn.MAXIFS(ENSAYOS!$G$5:$G$3004,ENSAYOS!$C$5:$C$3004,F458,ENSAYOS!$Q$5:$Q$3004,"&gt;0"))</f>
        <v/>
      </c>
      <c r="P458" s="16" t="str">
        <f aca="false">IF(N(M458)=0,"",AVERAGEIFS(ENSAYOS!$Q$5:$Q$3004,ENSAYOS!$C$5:$C$3004,F458,ENSAYOS!$Q$5:$Q$3004,"&gt;0"))</f>
        <v/>
      </c>
      <c r="Q458" s="16" t="str">
        <f aca="false">IF(N(M458)=0,"",_xlfn.MINIFS(ENSAYOS!$Q$5:$Q$3004,ENSAYOS!$C$5:$C$3004,F458,ENSAYOS!$Q$5:$Q$3004,"&gt;0"))</f>
        <v/>
      </c>
      <c r="R458" s="16" t="str">
        <f aca="false">IF(N(M458)=0,"",_xlfn.MAXIFS(ENSAYOS!$Q$5:$Q$3004,ENSAYOS!$C$5:$C$3004,F458,ENSAYOS!$Q$5:$Q$3004,"&gt;0"))</f>
        <v/>
      </c>
      <c r="S458" s="16" t="str">
        <f aca="false">IF(N(M458)&lt;2,"",SQRT(MAX(0,(SUMIFS(ENSAYOS!$X$5:$X$3004,ENSAYOS!$C$5:$C$3004,F458,ENSAYOS!$Q$5:$Q$3004,"&gt;0")-M458*P458^2)/(M458-1))))</f>
        <v/>
      </c>
      <c r="T458" s="17" t="str">
        <f aca="false">IF(S458="","",S458/P458)</f>
        <v/>
      </c>
      <c r="U458" s="16" t="str">
        <f aca="false">IF(N(M458)=0,"",IF(N458&gt;=CONFIG!$B$27,"",AVERAGEIFS(ENSAYOS!$Q$5:$Q$3004,ENSAYOS!$C$5:$C$3004,F458,ENSAYOS!$Q$5:$Q$3004,"&gt;0",ENSAYOS!$G$5:$G$3004,N458)))</f>
        <v/>
      </c>
      <c r="V458" s="16" t="str">
        <f aca="false">IF(N(M458)=0,"",IF(COUNTIFS(ENSAYOS!$C$5:$C$3004,F458,ENSAYOS!$Q$5:$Q$3004,"&gt;0",ENSAYOS!$G$5:$G$3004,"&gt;="&amp;CONFIG!$B$27)=0,"",AVERAGEIFS(ENSAYOS!$Q$5:$Q$3004,ENSAYOS!$C$5:$C$3004,F458,ENSAYOS!$Q$5:$Q$3004,"&gt;0",ENSAYOS!$G$5:$G$3004,"&gt;="&amp;CONFIG!$B$27)))</f>
        <v/>
      </c>
      <c r="W458" s="18" t="str">
        <f aca="false">IF(AND(U458&lt;&gt;"",V458&lt;&gt;""),U458/V458,"")</f>
        <v/>
      </c>
      <c r="X458" s="18" t="str">
        <f aca="false">IF(U458="","",INDEX('CURVA EDAD'!$E$5:$E$32,MIN(28,MAX(1,N458))))</f>
        <v/>
      </c>
      <c r="Y458" s="16" t="str">
        <f aca="false">IF(V458&lt;&gt;"",V458,IF(U458="","",U458/X458))</f>
        <v/>
      </c>
      <c r="Z458" s="16" t="str">
        <f aca="false">IF(V458&lt;&gt;"",_xlfn.MINIFS(ENSAYOS!$Q$5:$Q$3004,ENSAYOS!$C$5:$C$3004,F458,ENSAYOS!$Q$5:$Q$3004,"&gt;0",ENSAYOS!$G$5:$G$3004,"&gt;="&amp;CONFIG!$B$27),IF(U458="","",_xlfn.MINIFS(ENSAYOS!$Q$5:$Q$3004,ENSAYOS!$C$5:$C$3004,F458,ENSAYOS!$Q$5:$Q$3004,"&gt;0",ENSAYOS!$G$5:$G$3004,N458)/X458))</f>
        <v/>
      </c>
      <c r="AA458" s="16" t="str">
        <f aca="false">IF(D458="","",IFERROR(1/(1/INDEX(CONFIG!$J$5:$J$14,MATCH(D458,CONFIG!$D$5:$D$14,0))),""))</f>
        <v/>
      </c>
      <c r="AB458" s="16" t="str">
        <f aca="false">IF(D458="","",IFERROR(1/(1/INDEX(CONFIG!$K$5:$K$14,MATCH(D458,CONFIG!$D$5:$D$14,0))),""))</f>
        <v/>
      </c>
      <c r="AC458" s="19" t="str">
        <f aca="false">IF(N(M458)=0,"",IF(AA458="","Sin spec",IF(AND(Y458&gt;=AA458,OR(AB458="",Z458&gt;=AB458)),"CUMPLE","NO CUMPLE")&amp;IF(V458=""," (est.)","")))</f>
        <v/>
      </c>
      <c r="AD458" s="20" t="str">
        <f aca="false">IF(F458="","",IF(COUNTIFS(ABSORCION!$C$5:$C$1004,F458,ABSORCION!$I$5:$I$1004,"&gt;0")=0,"",AVERAGEIFS(ABSORCION!$I$5:$I$1004,ABSORCION!$C$5:$C$1004,F458,ABSORCION!$I$5:$I$1004,"&gt;0")))</f>
        <v/>
      </c>
      <c r="AE458" s="20" t="str">
        <f aca="false">IF(F458="","",IF(COUNTIFS(ABSORCION!$C$5:$C$1004,F458,ABSORCION!$I$5:$I$1004,"&gt;0")=0,"",AVERAGEIFS(ABSORCION!$K$5:$K$1004,ABSORCION!$C$5:$C$1004,F458,ABSORCION!$I$5:$I$1004,"&gt;0")))</f>
        <v/>
      </c>
      <c r="AF458" s="20" t="str">
        <f aca="false">IF(AE458="","",IF(AE458&gt;=CONFIG!$E$21,CONFIG!$F$21,IF(AE458&gt;=CONFIG!$E$20,CONFIG!$F$20,CONFIG!$F$19)))</f>
        <v/>
      </c>
      <c r="AG458" s="21" t="str">
        <f aca="false">IF(F458="","",TRIM(IF(N(M458)=0,"Sin ensayos. ","")&amp;IF(AND(N(M458)&gt;0,N(M458)&lt;CONFIG!$B$26),"Menos de "&amp;CONFIG!$B$26&amp;" probetas. ","")&amp;IF(N(T458)&gt;CONFIG!$B$25,"CV alto. ","")&amp;IF(AND(N(AD458)&gt;0,N(AD458)&gt;N(AF458)),"Absorción alta. ","")))</f>
        <v/>
      </c>
      <c r="AH458" s="22" t="str">
        <f aca="false">IF(AND(N(M458)&gt;0,OR(CONTROL!$C$4="TODAS",C458=CONTROL!$C$4),D458=CONTROL!$C$5),MAX($AH$4:AH457)+1,"")</f>
        <v/>
      </c>
      <c r="AI458" s="22" t="str">
        <f aca="false">IF(AH458="","",P458^2)</f>
        <v/>
      </c>
    </row>
    <row r="459" customFormat="false" ht="15" hidden="false" customHeight="false" outlineLevel="0" collapsed="false">
      <c r="A459" s="11" t="str">
        <f aca="false">IF(B459="","",ROW()-4)</f>
        <v/>
      </c>
      <c r="B459" s="12"/>
      <c r="C459" s="13"/>
      <c r="D459" s="13"/>
      <c r="E459" s="13"/>
      <c r="F459" s="14" t="str">
        <f aca="false">IF(OR(B459="",C459="",D459=""),"",IFERROR(INDEX(CONFIG!$E$5:$E$14,MATCH(D459,CONFIG!$D$5:$D$14,0)),"?")&amp;RIGHT("0"&amp;DAY(B459),2)&amp;RIGHT("0"&amp;MONTH(B459),2)&amp;RIGHT(YEAR(B459),2)&amp;C459&amp;IF(E459="","","-"&amp;E459))</f>
        <v/>
      </c>
      <c r="G459" s="13"/>
      <c r="H459" s="13"/>
      <c r="I459" s="13"/>
      <c r="J459" s="13"/>
      <c r="K459" s="13"/>
      <c r="L459" s="13"/>
      <c r="M459" s="11" t="str">
        <f aca="false">IF(F459="","",COUNTIFS(ENSAYOS!$C$5:$C$3004,F459,ENSAYOS!$Q$5:$Q$3004,"&gt;0"))</f>
        <v/>
      </c>
      <c r="N459" s="15" t="str">
        <f aca="false">IF(N(M459)=0,"",_xlfn.MINIFS(ENSAYOS!$G$5:$G$3004,ENSAYOS!$C$5:$C$3004,F459,ENSAYOS!$Q$5:$Q$3004,"&gt;0"))</f>
        <v/>
      </c>
      <c r="O459" s="15" t="str">
        <f aca="false">IF(N(M459)=0,"",_xlfn.MAXIFS(ENSAYOS!$G$5:$G$3004,ENSAYOS!$C$5:$C$3004,F459,ENSAYOS!$Q$5:$Q$3004,"&gt;0"))</f>
        <v/>
      </c>
      <c r="P459" s="16" t="str">
        <f aca="false">IF(N(M459)=0,"",AVERAGEIFS(ENSAYOS!$Q$5:$Q$3004,ENSAYOS!$C$5:$C$3004,F459,ENSAYOS!$Q$5:$Q$3004,"&gt;0"))</f>
        <v/>
      </c>
      <c r="Q459" s="16" t="str">
        <f aca="false">IF(N(M459)=0,"",_xlfn.MINIFS(ENSAYOS!$Q$5:$Q$3004,ENSAYOS!$C$5:$C$3004,F459,ENSAYOS!$Q$5:$Q$3004,"&gt;0"))</f>
        <v/>
      </c>
      <c r="R459" s="16" t="str">
        <f aca="false">IF(N(M459)=0,"",_xlfn.MAXIFS(ENSAYOS!$Q$5:$Q$3004,ENSAYOS!$C$5:$C$3004,F459,ENSAYOS!$Q$5:$Q$3004,"&gt;0"))</f>
        <v/>
      </c>
      <c r="S459" s="16" t="str">
        <f aca="false">IF(N(M459)&lt;2,"",SQRT(MAX(0,(SUMIFS(ENSAYOS!$X$5:$X$3004,ENSAYOS!$C$5:$C$3004,F459,ENSAYOS!$Q$5:$Q$3004,"&gt;0")-M459*P459^2)/(M459-1))))</f>
        <v/>
      </c>
      <c r="T459" s="17" t="str">
        <f aca="false">IF(S459="","",S459/P459)</f>
        <v/>
      </c>
      <c r="U459" s="16" t="str">
        <f aca="false">IF(N(M459)=0,"",IF(N459&gt;=CONFIG!$B$27,"",AVERAGEIFS(ENSAYOS!$Q$5:$Q$3004,ENSAYOS!$C$5:$C$3004,F459,ENSAYOS!$Q$5:$Q$3004,"&gt;0",ENSAYOS!$G$5:$G$3004,N459)))</f>
        <v/>
      </c>
      <c r="V459" s="16" t="str">
        <f aca="false">IF(N(M459)=0,"",IF(COUNTIFS(ENSAYOS!$C$5:$C$3004,F459,ENSAYOS!$Q$5:$Q$3004,"&gt;0",ENSAYOS!$G$5:$G$3004,"&gt;="&amp;CONFIG!$B$27)=0,"",AVERAGEIFS(ENSAYOS!$Q$5:$Q$3004,ENSAYOS!$C$5:$C$3004,F459,ENSAYOS!$Q$5:$Q$3004,"&gt;0",ENSAYOS!$G$5:$G$3004,"&gt;="&amp;CONFIG!$B$27)))</f>
        <v/>
      </c>
      <c r="W459" s="18" t="str">
        <f aca="false">IF(AND(U459&lt;&gt;"",V459&lt;&gt;""),U459/V459,"")</f>
        <v/>
      </c>
      <c r="X459" s="18" t="str">
        <f aca="false">IF(U459="","",INDEX('CURVA EDAD'!$E$5:$E$32,MIN(28,MAX(1,N459))))</f>
        <v/>
      </c>
      <c r="Y459" s="16" t="str">
        <f aca="false">IF(V459&lt;&gt;"",V459,IF(U459="","",U459/X459))</f>
        <v/>
      </c>
      <c r="Z459" s="16" t="str">
        <f aca="false">IF(V459&lt;&gt;"",_xlfn.MINIFS(ENSAYOS!$Q$5:$Q$3004,ENSAYOS!$C$5:$C$3004,F459,ENSAYOS!$Q$5:$Q$3004,"&gt;0",ENSAYOS!$G$5:$G$3004,"&gt;="&amp;CONFIG!$B$27),IF(U459="","",_xlfn.MINIFS(ENSAYOS!$Q$5:$Q$3004,ENSAYOS!$C$5:$C$3004,F459,ENSAYOS!$Q$5:$Q$3004,"&gt;0",ENSAYOS!$G$5:$G$3004,N459)/X459))</f>
        <v/>
      </c>
      <c r="AA459" s="16" t="str">
        <f aca="false">IF(D459="","",IFERROR(1/(1/INDEX(CONFIG!$J$5:$J$14,MATCH(D459,CONFIG!$D$5:$D$14,0))),""))</f>
        <v/>
      </c>
      <c r="AB459" s="16" t="str">
        <f aca="false">IF(D459="","",IFERROR(1/(1/INDEX(CONFIG!$K$5:$K$14,MATCH(D459,CONFIG!$D$5:$D$14,0))),""))</f>
        <v/>
      </c>
      <c r="AC459" s="19" t="str">
        <f aca="false">IF(N(M459)=0,"",IF(AA459="","Sin spec",IF(AND(Y459&gt;=AA459,OR(AB459="",Z459&gt;=AB459)),"CUMPLE","NO CUMPLE")&amp;IF(V459=""," (est.)","")))</f>
        <v/>
      </c>
      <c r="AD459" s="20" t="str">
        <f aca="false">IF(F459="","",IF(COUNTIFS(ABSORCION!$C$5:$C$1004,F459,ABSORCION!$I$5:$I$1004,"&gt;0")=0,"",AVERAGEIFS(ABSORCION!$I$5:$I$1004,ABSORCION!$C$5:$C$1004,F459,ABSORCION!$I$5:$I$1004,"&gt;0")))</f>
        <v/>
      </c>
      <c r="AE459" s="20" t="str">
        <f aca="false">IF(F459="","",IF(COUNTIFS(ABSORCION!$C$5:$C$1004,F459,ABSORCION!$I$5:$I$1004,"&gt;0")=0,"",AVERAGEIFS(ABSORCION!$K$5:$K$1004,ABSORCION!$C$5:$C$1004,F459,ABSORCION!$I$5:$I$1004,"&gt;0")))</f>
        <v/>
      </c>
      <c r="AF459" s="20" t="str">
        <f aca="false">IF(AE459="","",IF(AE459&gt;=CONFIG!$E$21,CONFIG!$F$21,IF(AE459&gt;=CONFIG!$E$20,CONFIG!$F$20,CONFIG!$F$19)))</f>
        <v/>
      </c>
      <c r="AG459" s="21" t="str">
        <f aca="false">IF(F459="","",TRIM(IF(N(M459)=0,"Sin ensayos. ","")&amp;IF(AND(N(M459)&gt;0,N(M459)&lt;CONFIG!$B$26),"Menos de "&amp;CONFIG!$B$26&amp;" probetas. ","")&amp;IF(N(T459)&gt;CONFIG!$B$25,"CV alto. ","")&amp;IF(AND(N(AD459)&gt;0,N(AD459)&gt;N(AF459)),"Absorción alta. ","")))</f>
        <v/>
      </c>
      <c r="AH459" s="22" t="str">
        <f aca="false">IF(AND(N(M459)&gt;0,OR(CONTROL!$C$4="TODAS",C459=CONTROL!$C$4),D459=CONTROL!$C$5),MAX($AH$4:AH458)+1,"")</f>
        <v/>
      </c>
      <c r="AI459" s="22" t="str">
        <f aca="false">IF(AH459="","",P459^2)</f>
        <v/>
      </c>
    </row>
    <row r="460" customFormat="false" ht="15" hidden="false" customHeight="false" outlineLevel="0" collapsed="false">
      <c r="A460" s="11" t="str">
        <f aca="false">IF(B460="","",ROW()-4)</f>
        <v/>
      </c>
      <c r="B460" s="12"/>
      <c r="C460" s="13"/>
      <c r="D460" s="13"/>
      <c r="E460" s="13"/>
      <c r="F460" s="14" t="str">
        <f aca="false">IF(OR(B460="",C460="",D460=""),"",IFERROR(INDEX(CONFIG!$E$5:$E$14,MATCH(D460,CONFIG!$D$5:$D$14,0)),"?")&amp;RIGHT("0"&amp;DAY(B460),2)&amp;RIGHT("0"&amp;MONTH(B460),2)&amp;RIGHT(YEAR(B460),2)&amp;C460&amp;IF(E460="","","-"&amp;E460))</f>
        <v/>
      </c>
      <c r="G460" s="13"/>
      <c r="H460" s="13"/>
      <c r="I460" s="13"/>
      <c r="J460" s="13"/>
      <c r="K460" s="13"/>
      <c r="L460" s="13"/>
      <c r="M460" s="11" t="str">
        <f aca="false">IF(F460="","",COUNTIFS(ENSAYOS!$C$5:$C$3004,F460,ENSAYOS!$Q$5:$Q$3004,"&gt;0"))</f>
        <v/>
      </c>
      <c r="N460" s="15" t="str">
        <f aca="false">IF(N(M460)=0,"",_xlfn.MINIFS(ENSAYOS!$G$5:$G$3004,ENSAYOS!$C$5:$C$3004,F460,ENSAYOS!$Q$5:$Q$3004,"&gt;0"))</f>
        <v/>
      </c>
      <c r="O460" s="15" t="str">
        <f aca="false">IF(N(M460)=0,"",_xlfn.MAXIFS(ENSAYOS!$G$5:$G$3004,ENSAYOS!$C$5:$C$3004,F460,ENSAYOS!$Q$5:$Q$3004,"&gt;0"))</f>
        <v/>
      </c>
      <c r="P460" s="16" t="str">
        <f aca="false">IF(N(M460)=0,"",AVERAGEIFS(ENSAYOS!$Q$5:$Q$3004,ENSAYOS!$C$5:$C$3004,F460,ENSAYOS!$Q$5:$Q$3004,"&gt;0"))</f>
        <v/>
      </c>
      <c r="Q460" s="16" t="str">
        <f aca="false">IF(N(M460)=0,"",_xlfn.MINIFS(ENSAYOS!$Q$5:$Q$3004,ENSAYOS!$C$5:$C$3004,F460,ENSAYOS!$Q$5:$Q$3004,"&gt;0"))</f>
        <v/>
      </c>
      <c r="R460" s="16" t="str">
        <f aca="false">IF(N(M460)=0,"",_xlfn.MAXIFS(ENSAYOS!$Q$5:$Q$3004,ENSAYOS!$C$5:$C$3004,F460,ENSAYOS!$Q$5:$Q$3004,"&gt;0"))</f>
        <v/>
      </c>
      <c r="S460" s="16" t="str">
        <f aca="false">IF(N(M460)&lt;2,"",SQRT(MAX(0,(SUMIFS(ENSAYOS!$X$5:$X$3004,ENSAYOS!$C$5:$C$3004,F460,ENSAYOS!$Q$5:$Q$3004,"&gt;0")-M460*P460^2)/(M460-1))))</f>
        <v/>
      </c>
      <c r="T460" s="17" t="str">
        <f aca="false">IF(S460="","",S460/P460)</f>
        <v/>
      </c>
      <c r="U460" s="16" t="str">
        <f aca="false">IF(N(M460)=0,"",IF(N460&gt;=CONFIG!$B$27,"",AVERAGEIFS(ENSAYOS!$Q$5:$Q$3004,ENSAYOS!$C$5:$C$3004,F460,ENSAYOS!$Q$5:$Q$3004,"&gt;0",ENSAYOS!$G$5:$G$3004,N460)))</f>
        <v/>
      </c>
      <c r="V460" s="16" t="str">
        <f aca="false">IF(N(M460)=0,"",IF(COUNTIFS(ENSAYOS!$C$5:$C$3004,F460,ENSAYOS!$Q$5:$Q$3004,"&gt;0",ENSAYOS!$G$5:$G$3004,"&gt;="&amp;CONFIG!$B$27)=0,"",AVERAGEIFS(ENSAYOS!$Q$5:$Q$3004,ENSAYOS!$C$5:$C$3004,F460,ENSAYOS!$Q$5:$Q$3004,"&gt;0",ENSAYOS!$G$5:$G$3004,"&gt;="&amp;CONFIG!$B$27)))</f>
        <v/>
      </c>
      <c r="W460" s="18" t="str">
        <f aca="false">IF(AND(U460&lt;&gt;"",V460&lt;&gt;""),U460/V460,"")</f>
        <v/>
      </c>
      <c r="X460" s="18" t="str">
        <f aca="false">IF(U460="","",INDEX('CURVA EDAD'!$E$5:$E$32,MIN(28,MAX(1,N460))))</f>
        <v/>
      </c>
      <c r="Y460" s="16" t="str">
        <f aca="false">IF(V460&lt;&gt;"",V460,IF(U460="","",U460/X460))</f>
        <v/>
      </c>
      <c r="Z460" s="16" t="str">
        <f aca="false">IF(V460&lt;&gt;"",_xlfn.MINIFS(ENSAYOS!$Q$5:$Q$3004,ENSAYOS!$C$5:$C$3004,F460,ENSAYOS!$Q$5:$Q$3004,"&gt;0",ENSAYOS!$G$5:$G$3004,"&gt;="&amp;CONFIG!$B$27),IF(U460="","",_xlfn.MINIFS(ENSAYOS!$Q$5:$Q$3004,ENSAYOS!$C$5:$C$3004,F460,ENSAYOS!$Q$5:$Q$3004,"&gt;0",ENSAYOS!$G$5:$G$3004,N460)/X460))</f>
        <v/>
      </c>
      <c r="AA460" s="16" t="str">
        <f aca="false">IF(D460="","",IFERROR(1/(1/INDEX(CONFIG!$J$5:$J$14,MATCH(D460,CONFIG!$D$5:$D$14,0))),""))</f>
        <v/>
      </c>
      <c r="AB460" s="16" t="str">
        <f aca="false">IF(D460="","",IFERROR(1/(1/INDEX(CONFIG!$K$5:$K$14,MATCH(D460,CONFIG!$D$5:$D$14,0))),""))</f>
        <v/>
      </c>
      <c r="AC460" s="19" t="str">
        <f aca="false">IF(N(M460)=0,"",IF(AA460="","Sin spec",IF(AND(Y460&gt;=AA460,OR(AB460="",Z460&gt;=AB460)),"CUMPLE","NO CUMPLE")&amp;IF(V460=""," (est.)","")))</f>
        <v/>
      </c>
      <c r="AD460" s="20" t="str">
        <f aca="false">IF(F460="","",IF(COUNTIFS(ABSORCION!$C$5:$C$1004,F460,ABSORCION!$I$5:$I$1004,"&gt;0")=0,"",AVERAGEIFS(ABSORCION!$I$5:$I$1004,ABSORCION!$C$5:$C$1004,F460,ABSORCION!$I$5:$I$1004,"&gt;0")))</f>
        <v/>
      </c>
      <c r="AE460" s="20" t="str">
        <f aca="false">IF(F460="","",IF(COUNTIFS(ABSORCION!$C$5:$C$1004,F460,ABSORCION!$I$5:$I$1004,"&gt;0")=0,"",AVERAGEIFS(ABSORCION!$K$5:$K$1004,ABSORCION!$C$5:$C$1004,F460,ABSORCION!$I$5:$I$1004,"&gt;0")))</f>
        <v/>
      </c>
      <c r="AF460" s="20" t="str">
        <f aca="false">IF(AE460="","",IF(AE460&gt;=CONFIG!$E$21,CONFIG!$F$21,IF(AE460&gt;=CONFIG!$E$20,CONFIG!$F$20,CONFIG!$F$19)))</f>
        <v/>
      </c>
      <c r="AG460" s="21" t="str">
        <f aca="false">IF(F460="","",TRIM(IF(N(M460)=0,"Sin ensayos. ","")&amp;IF(AND(N(M460)&gt;0,N(M460)&lt;CONFIG!$B$26),"Menos de "&amp;CONFIG!$B$26&amp;" probetas. ","")&amp;IF(N(T460)&gt;CONFIG!$B$25,"CV alto. ","")&amp;IF(AND(N(AD460)&gt;0,N(AD460)&gt;N(AF460)),"Absorción alta. ","")))</f>
        <v/>
      </c>
      <c r="AH460" s="22" t="str">
        <f aca="false">IF(AND(N(M460)&gt;0,OR(CONTROL!$C$4="TODAS",C460=CONTROL!$C$4),D460=CONTROL!$C$5),MAX($AH$4:AH459)+1,"")</f>
        <v/>
      </c>
      <c r="AI460" s="22" t="str">
        <f aca="false">IF(AH460="","",P460^2)</f>
        <v/>
      </c>
    </row>
    <row r="461" customFormat="false" ht="15" hidden="false" customHeight="false" outlineLevel="0" collapsed="false">
      <c r="A461" s="11" t="str">
        <f aca="false">IF(B461="","",ROW()-4)</f>
        <v/>
      </c>
      <c r="B461" s="12"/>
      <c r="C461" s="13"/>
      <c r="D461" s="13"/>
      <c r="E461" s="13"/>
      <c r="F461" s="14" t="str">
        <f aca="false">IF(OR(B461="",C461="",D461=""),"",IFERROR(INDEX(CONFIG!$E$5:$E$14,MATCH(D461,CONFIG!$D$5:$D$14,0)),"?")&amp;RIGHT("0"&amp;DAY(B461),2)&amp;RIGHT("0"&amp;MONTH(B461),2)&amp;RIGHT(YEAR(B461),2)&amp;C461&amp;IF(E461="","","-"&amp;E461))</f>
        <v/>
      </c>
      <c r="G461" s="13"/>
      <c r="H461" s="13"/>
      <c r="I461" s="13"/>
      <c r="J461" s="13"/>
      <c r="K461" s="13"/>
      <c r="L461" s="13"/>
      <c r="M461" s="11" t="str">
        <f aca="false">IF(F461="","",COUNTIFS(ENSAYOS!$C$5:$C$3004,F461,ENSAYOS!$Q$5:$Q$3004,"&gt;0"))</f>
        <v/>
      </c>
      <c r="N461" s="15" t="str">
        <f aca="false">IF(N(M461)=0,"",_xlfn.MINIFS(ENSAYOS!$G$5:$G$3004,ENSAYOS!$C$5:$C$3004,F461,ENSAYOS!$Q$5:$Q$3004,"&gt;0"))</f>
        <v/>
      </c>
      <c r="O461" s="15" t="str">
        <f aca="false">IF(N(M461)=0,"",_xlfn.MAXIFS(ENSAYOS!$G$5:$G$3004,ENSAYOS!$C$5:$C$3004,F461,ENSAYOS!$Q$5:$Q$3004,"&gt;0"))</f>
        <v/>
      </c>
      <c r="P461" s="16" t="str">
        <f aca="false">IF(N(M461)=0,"",AVERAGEIFS(ENSAYOS!$Q$5:$Q$3004,ENSAYOS!$C$5:$C$3004,F461,ENSAYOS!$Q$5:$Q$3004,"&gt;0"))</f>
        <v/>
      </c>
      <c r="Q461" s="16" t="str">
        <f aca="false">IF(N(M461)=0,"",_xlfn.MINIFS(ENSAYOS!$Q$5:$Q$3004,ENSAYOS!$C$5:$C$3004,F461,ENSAYOS!$Q$5:$Q$3004,"&gt;0"))</f>
        <v/>
      </c>
      <c r="R461" s="16" t="str">
        <f aca="false">IF(N(M461)=0,"",_xlfn.MAXIFS(ENSAYOS!$Q$5:$Q$3004,ENSAYOS!$C$5:$C$3004,F461,ENSAYOS!$Q$5:$Q$3004,"&gt;0"))</f>
        <v/>
      </c>
      <c r="S461" s="16" t="str">
        <f aca="false">IF(N(M461)&lt;2,"",SQRT(MAX(0,(SUMIFS(ENSAYOS!$X$5:$X$3004,ENSAYOS!$C$5:$C$3004,F461,ENSAYOS!$Q$5:$Q$3004,"&gt;0")-M461*P461^2)/(M461-1))))</f>
        <v/>
      </c>
      <c r="T461" s="17" t="str">
        <f aca="false">IF(S461="","",S461/P461)</f>
        <v/>
      </c>
      <c r="U461" s="16" t="str">
        <f aca="false">IF(N(M461)=0,"",IF(N461&gt;=CONFIG!$B$27,"",AVERAGEIFS(ENSAYOS!$Q$5:$Q$3004,ENSAYOS!$C$5:$C$3004,F461,ENSAYOS!$Q$5:$Q$3004,"&gt;0",ENSAYOS!$G$5:$G$3004,N461)))</f>
        <v/>
      </c>
      <c r="V461" s="16" t="str">
        <f aca="false">IF(N(M461)=0,"",IF(COUNTIFS(ENSAYOS!$C$5:$C$3004,F461,ENSAYOS!$Q$5:$Q$3004,"&gt;0",ENSAYOS!$G$5:$G$3004,"&gt;="&amp;CONFIG!$B$27)=0,"",AVERAGEIFS(ENSAYOS!$Q$5:$Q$3004,ENSAYOS!$C$5:$C$3004,F461,ENSAYOS!$Q$5:$Q$3004,"&gt;0",ENSAYOS!$G$5:$G$3004,"&gt;="&amp;CONFIG!$B$27)))</f>
        <v/>
      </c>
      <c r="W461" s="18" t="str">
        <f aca="false">IF(AND(U461&lt;&gt;"",V461&lt;&gt;""),U461/V461,"")</f>
        <v/>
      </c>
      <c r="X461" s="18" t="str">
        <f aca="false">IF(U461="","",INDEX('CURVA EDAD'!$E$5:$E$32,MIN(28,MAX(1,N461))))</f>
        <v/>
      </c>
      <c r="Y461" s="16" t="str">
        <f aca="false">IF(V461&lt;&gt;"",V461,IF(U461="","",U461/X461))</f>
        <v/>
      </c>
      <c r="Z461" s="16" t="str">
        <f aca="false">IF(V461&lt;&gt;"",_xlfn.MINIFS(ENSAYOS!$Q$5:$Q$3004,ENSAYOS!$C$5:$C$3004,F461,ENSAYOS!$Q$5:$Q$3004,"&gt;0",ENSAYOS!$G$5:$G$3004,"&gt;="&amp;CONFIG!$B$27),IF(U461="","",_xlfn.MINIFS(ENSAYOS!$Q$5:$Q$3004,ENSAYOS!$C$5:$C$3004,F461,ENSAYOS!$Q$5:$Q$3004,"&gt;0",ENSAYOS!$G$5:$G$3004,N461)/X461))</f>
        <v/>
      </c>
      <c r="AA461" s="16" t="str">
        <f aca="false">IF(D461="","",IFERROR(1/(1/INDEX(CONFIG!$J$5:$J$14,MATCH(D461,CONFIG!$D$5:$D$14,0))),""))</f>
        <v/>
      </c>
      <c r="AB461" s="16" t="str">
        <f aca="false">IF(D461="","",IFERROR(1/(1/INDEX(CONFIG!$K$5:$K$14,MATCH(D461,CONFIG!$D$5:$D$14,0))),""))</f>
        <v/>
      </c>
      <c r="AC461" s="19" t="str">
        <f aca="false">IF(N(M461)=0,"",IF(AA461="","Sin spec",IF(AND(Y461&gt;=AA461,OR(AB461="",Z461&gt;=AB461)),"CUMPLE","NO CUMPLE")&amp;IF(V461=""," (est.)","")))</f>
        <v/>
      </c>
      <c r="AD461" s="20" t="str">
        <f aca="false">IF(F461="","",IF(COUNTIFS(ABSORCION!$C$5:$C$1004,F461,ABSORCION!$I$5:$I$1004,"&gt;0")=0,"",AVERAGEIFS(ABSORCION!$I$5:$I$1004,ABSORCION!$C$5:$C$1004,F461,ABSORCION!$I$5:$I$1004,"&gt;0")))</f>
        <v/>
      </c>
      <c r="AE461" s="20" t="str">
        <f aca="false">IF(F461="","",IF(COUNTIFS(ABSORCION!$C$5:$C$1004,F461,ABSORCION!$I$5:$I$1004,"&gt;0")=0,"",AVERAGEIFS(ABSORCION!$K$5:$K$1004,ABSORCION!$C$5:$C$1004,F461,ABSORCION!$I$5:$I$1004,"&gt;0")))</f>
        <v/>
      </c>
      <c r="AF461" s="20" t="str">
        <f aca="false">IF(AE461="","",IF(AE461&gt;=CONFIG!$E$21,CONFIG!$F$21,IF(AE461&gt;=CONFIG!$E$20,CONFIG!$F$20,CONFIG!$F$19)))</f>
        <v/>
      </c>
      <c r="AG461" s="21" t="str">
        <f aca="false">IF(F461="","",TRIM(IF(N(M461)=0,"Sin ensayos. ","")&amp;IF(AND(N(M461)&gt;0,N(M461)&lt;CONFIG!$B$26),"Menos de "&amp;CONFIG!$B$26&amp;" probetas. ","")&amp;IF(N(T461)&gt;CONFIG!$B$25,"CV alto. ","")&amp;IF(AND(N(AD461)&gt;0,N(AD461)&gt;N(AF461)),"Absorción alta. ","")))</f>
        <v/>
      </c>
      <c r="AH461" s="22" t="str">
        <f aca="false">IF(AND(N(M461)&gt;0,OR(CONTROL!$C$4="TODAS",C461=CONTROL!$C$4),D461=CONTROL!$C$5),MAX($AH$4:AH460)+1,"")</f>
        <v/>
      </c>
      <c r="AI461" s="22" t="str">
        <f aca="false">IF(AH461="","",P461^2)</f>
        <v/>
      </c>
    </row>
    <row r="462" customFormat="false" ht="15" hidden="false" customHeight="false" outlineLevel="0" collapsed="false">
      <c r="A462" s="11" t="str">
        <f aca="false">IF(B462="","",ROW()-4)</f>
        <v/>
      </c>
      <c r="B462" s="12"/>
      <c r="C462" s="13"/>
      <c r="D462" s="13"/>
      <c r="E462" s="13"/>
      <c r="F462" s="14" t="str">
        <f aca="false">IF(OR(B462="",C462="",D462=""),"",IFERROR(INDEX(CONFIG!$E$5:$E$14,MATCH(D462,CONFIG!$D$5:$D$14,0)),"?")&amp;RIGHT("0"&amp;DAY(B462),2)&amp;RIGHT("0"&amp;MONTH(B462),2)&amp;RIGHT(YEAR(B462),2)&amp;C462&amp;IF(E462="","","-"&amp;E462))</f>
        <v/>
      </c>
      <c r="G462" s="13"/>
      <c r="H462" s="13"/>
      <c r="I462" s="13"/>
      <c r="J462" s="13"/>
      <c r="K462" s="13"/>
      <c r="L462" s="13"/>
      <c r="M462" s="11" t="str">
        <f aca="false">IF(F462="","",COUNTIFS(ENSAYOS!$C$5:$C$3004,F462,ENSAYOS!$Q$5:$Q$3004,"&gt;0"))</f>
        <v/>
      </c>
      <c r="N462" s="15" t="str">
        <f aca="false">IF(N(M462)=0,"",_xlfn.MINIFS(ENSAYOS!$G$5:$G$3004,ENSAYOS!$C$5:$C$3004,F462,ENSAYOS!$Q$5:$Q$3004,"&gt;0"))</f>
        <v/>
      </c>
      <c r="O462" s="15" t="str">
        <f aca="false">IF(N(M462)=0,"",_xlfn.MAXIFS(ENSAYOS!$G$5:$G$3004,ENSAYOS!$C$5:$C$3004,F462,ENSAYOS!$Q$5:$Q$3004,"&gt;0"))</f>
        <v/>
      </c>
      <c r="P462" s="16" t="str">
        <f aca="false">IF(N(M462)=0,"",AVERAGEIFS(ENSAYOS!$Q$5:$Q$3004,ENSAYOS!$C$5:$C$3004,F462,ENSAYOS!$Q$5:$Q$3004,"&gt;0"))</f>
        <v/>
      </c>
      <c r="Q462" s="16" t="str">
        <f aca="false">IF(N(M462)=0,"",_xlfn.MINIFS(ENSAYOS!$Q$5:$Q$3004,ENSAYOS!$C$5:$C$3004,F462,ENSAYOS!$Q$5:$Q$3004,"&gt;0"))</f>
        <v/>
      </c>
      <c r="R462" s="16" t="str">
        <f aca="false">IF(N(M462)=0,"",_xlfn.MAXIFS(ENSAYOS!$Q$5:$Q$3004,ENSAYOS!$C$5:$C$3004,F462,ENSAYOS!$Q$5:$Q$3004,"&gt;0"))</f>
        <v/>
      </c>
      <c r="S462" s="16" t="str">
        <f aca="false">IF(N(M462)&lt;2,"",SQRT(MAX(0,(SUMIFS(ENSAYOS!$X$5:$X$3004,ENSAYOS!$C$5:$C$3004,F462,ENSAYOS!$Q$5:$Q$3004,"&gt;0")-M462*P462^2)/(M462-1))))</f>
        <v/>
      </c>
      <c r="T462" s="17" t="str">
        <f aca="false">IF(S462="","",S462/P462)</f>
        <v/>
      </c>
      <c r="U462" s="16" t="str">
        <f aca="false">IF(N(M462)=0,"",IF(N462&gt;=CONFIG!$B$27,"",AVERAGEIFS(ENSAYOS!$Q$5:$Q$3004,ENSAYOS!$C$5:$C$3004,F462,ENSAYOS!$Q$5:$Q$3004,"&gt;0",ENSAYOS!$G$5:$G$3004,N462)))</f>
        <v/>
      </c>
      <c r="V462" s="16" t="str">
        <f aca="false">IF(N(M462)=0,"",IF(COUNTIFS(ENSAYOS!$C$5:$C$3004,F462,ENSAYOS!$Q$5:$Q$3004,"&gt;0",ENSAYOS!$G$5:$G$3004,"&gt;="&amp;CONFIG!$B$27)=0,"",AVERAGEIFS(ENSAYOS!$Q$5:$Q$3004,ENSAYOS!$C$5:$C$3004,F462,ENSAYOS!$Q$5:$Q$3004,"&gt;0",ENSAYOS!$G$5:$G$3004,"&gt;="&amp;CONFIG!$B$27)))</f>
        <v/>
      </c>
      <c r="W462" s="18" t="str">
        <f aca="false">IF(AND(U462&lt;&gt;"",V462&lt;&gt;""),U462/V462,"")</f>
        <v/>
      </c>
      <c r="X462" s="18" t="str">
        <f aca="false">IF(U462="","",INDEX('CURVA EDAD'!$E$5:$E$32,MIN(28,MAX(1,N462))))</f>
        <v/>
      </c>
      <c r="Y462" s="16" t="str">
        <f aca="false">IF(V462&lt;&gt;"",V462,IF(U462="","",U462/X462))</f>
        <v/>
      </c>
      <c r="Z462" s="16" t="str">
        <f aca="false">IF(V462&lt;&gt;"",_xlfn.MINIFS(ENSAYOS!$Q$5:$Q$3004,ENSAYOS!$C$5:$C$3004,F462,ENSAYOS!$Q$5:$Q$3004,"&gt;0",ENSAYOS!$G$5:$G$3004,"&gt;="&amp;CONFIG!$B$27),IF(U462="","",_xlfn.MINIFS(ENSAYOS!$Q$5:$Q$3004,ENSAYOS!$C$5:$C$3004,F462,ENSAYOS!$Q$5:$Q$3004,"&gt;0",ENSAYOS!$G$5:$G$3004,N462)/X462))</f>
        <v/>
      </c>
      <c r="AA462" s="16" t="str">
        <f aca="false">IF(D462="","",IFERROR(1/(1/INDEX(CONFIG!$J$5:$J$14,MATCH(D462,CONFIG!$D$5:$D$14,0))),""))</f>
        <v/>
      </c>
      <c r="AB462" s="16" t="str">
        <f aca="false">IF(D462="","",IFERROR(1/(1/INDEX(CONFIG!$K$5:$K$14,MATCH(D462,CONFIG!$D$5:$D$14,0))),""))</f>
        <v/>
      </c>
      <c r="AC462" s="19" t="str">
        <f aca="false">IF(N(M462)=0,"",IF(AA462="","Sin spec",IF(AND(Y462&gt;=AA462,OR(AB462="",Z462&gt;=AB462)),"CUMPLE","NO CUMPLE")&amp;IF(V462=""," (est.)","")))</f>
        <v/>
      </c>
      <c r="AD462" s="20" t="str">
        <f aca="false">IF(F462="","",IF(COUNTIFS(ABSORCION!$C$5:$C$1004,F462,ABSORCION!$I$5:$I$1004,"&gt;0")=0,"",AVERAGEIFS(ABSORCION!$I$5:$I$1004,ABSORCION!$C$5:$C$1004,F462,ABSORCION!$I$5:$I$1004,"&gt;0")))</f>
        <v/>
      </c>
      <c r="AE462" s="20" t="str">
        <f aca="false">IF(F462="","",IF(COUNTIFS(ABSORCION!$C$5:$C$1004,F462,ABSORCION!$I$5:$I$1004,"&gt;0")=0,"",AVERAGEIFS(ABSORCION!$K$5:$K$1004,ABSORCION!$C$5:$C$1004,F462,ABSORCION!$I$5:$I$1004,"&gt;0")))</f>
        <v/>
      </c>
      <c r="AF462" s="20" t="str">
        <f aca="false">IF(AE462="","",IF(AE462&gt;=CONFIG!$E$21,CONFIG!$F$21,IF(AE462&gt;=CONFIG!$E$20,CONFIG!$F$20,CONFIG!$F$19)))</f>
        <v/>
      </c>
      <c r="AG462" s="21" t="str">
        <f aca="false">IF(F462="","",TRIM(IF(N(M462)=0,"Sin ensayos. ","")&amp;IF(AND(N(M462)&gt;0,N(M462)&lt;CONFIG!$B$26),"Menos de "&amp;CONFIG!$B$26&amp;" probetas. ","")&amp;IF(N(T462)&gt;CONFIG!$B$25,"CV alto. ","")&amp;IF(AND(N(AD462)&gt;0,N(AD462)&gt;N(AF462)),"Absorción alta. ","")))</f>
        <v/>
      </c>
      <c r="AH462" s="22" t="str">
        <f aca="false">IF(AND(N(M462)&gt;0,OR(CONTROL!$C$4="TODAS",C462=CONTROL!$C$4),D462=CONTROL!$C$5),MAX($AH$4:AH461)+1,"")</f>
        <v/>
      </c>
      <c r="AI462" s="22" t="str">
        <f aca="false">IF(AH462="","",P462^2)</f>
        <v/>
      </c>
    </row>
    <row r="463" customFormat="false" ht="15" hidden="false" customHeight="false" outlineLevel="0" collapsed="false">
      <c r="A463" s="11" t="str">
        <f aca="false">IF(B463="","",ROW()-4)</f>
        <v/>
      </c>
      <c r="B463" s="12"/>
      <c r="C463" s="13"/>
      <c r="D463" s="13"/>
      <c r="E463" s="13"/>
      <c r="F463" s="14" t="str">
        <f aca="false">IF(OR(B463="",C463="",D463=""),"",IFERROR(INDEX(CONFIG!$E$5:$E$14,MATCH(D463,CONFIG!$D$5:$D$14,0)),"?")&amp;RIGHT("0"&amp;DAY(B463),2)&amp;RIGHT("0"&amp;MONTH(B463),2)&amp;RIGHT(YEAR(B463),2)&amp;C463&amp;IF(E463="","","-"&amp;E463))</f>
        <v/>
      </c>
      <c r="G463" s="13"/>
      <c r="H463" s="13"/>
      <c r="I463" s="13"/>
      <c r="J463" s="13"/>
      <c r="K463" s="13"/>
      <c r="L463" s="13"/>
      <c r="M463" s="11" t="str">
        <f aca="false">IF(F463="","",COUNTIFS(ENSAYOS!$C$5:$C$3004,F463,ENSAYOS!$Q$5:$Q$3004,"&gt;0"))</f>
        <v/>
      </c>
      <c r="N463" s="15" t="str">
        <f aca="false">IF(N(M463)=0,"",_xlfn.MINIFS(ENSAYOS!$G$5:$G$3004,ENSAYOS!$C$5:$C$3004,F463,ENSAYOS!$Q$5:$Q$3004,"&gt;0"))</f>
        <v/>
      </c>
      <c r="O463" s="15" t="str">
        <f aca="false">IF(N(M463)=0,"",_xlfn.MAXIFS(ENSAYOS!$G$5:$G$3004,ENSAYOS!$C$5:$C$3004,F463,ENSAYOS!$Q$5:$Q$3004,"&gt;0"))</f>
        <v/>
      </c>
      <c r="P463" s="16" t="str">
        <f aca="false">IF(N(M463)=0,"",AVERAGEIFS(ENSAYOS!$Q$5:$Q$3004,ENSAYOS!$C$5:$C$3004,F463,ENSAYOS!$Q$5:$Q$3004,"&gt;0"))</f>
        <v/>
      </c>
      <c r="Q463" s="16" t="str">
        <f aca="false">IF(N(M463)=0,"",_xlfn.MINIFS(ENSAYOS!$Q$5:$Q$3004,ENSAYOS!$C$5:$C$3004,F463,ENSAYOS!$Q$5:$Q$3004,"&gt;0"))</f>
        <v/>
      </c>
      <c r="R463" s="16" t="str">
        <f aca="false">IF(N(M463)=0,"",_xlfn.MAXIFS(ENSAYOS!$Q$5:$Q$3004,ENSAYOS!$C$5:$C$3004,F463,ENSAYOS!$Q$5:$Q$3004,"&gt;0"))</f>
        <v/>
      </c>
      <c r="S463" s="16" t="str">
        <f aca="false">IF(N(M463)&lt;2,"",SQRT(MAX(0,(SUMIFS(ENSAYOS!$X$5:$X$3004,ENSAYOS!$C$5:$C$3004,F463,ENSAYOS!$Q$5:$Q$3004,"&gt;0")-M463*P463^2)/(M463-1))))</f>
        <v/>
      </c>
      <c r="T463" s="17" t="str">
        <f aca="false">IF(S463="","",S463/P463)</f>
        <v/>
      </c>
      <c r="U463" s="16" t="str">
        <f aca="false">IF(N(M463)=0,"",IF(N463&gt;=CONFIG!$B$27,"",AVERAGEIFS(ENSAYOS!$Q$5:$Q$3004,ENSAYOS!$C$5:$C$3004,F463,ENSAYOS!$Q$5:$Q$3004,"&gt;0",ENSAYOS!$G$5:$G$3004,N463)))</f>
        <v/>
      </c>
      <c r="V463" s="16" t="str">
        <f aca="false">IF(N(M463)=0,"",IF(COUNTIFS(ENSAYOS!$C$5:$C$3004,F463,ENSAYOS!$Q$5:$Q$3004,"&gt;0",ENSAYOS!$G$5:$G$3004,"&gt;="&amp;CONFIG!$B$27)=0,"",AVERAGEIFS(ENSAYOS!$Q$5:$Q$3004,ENSAYOS!$C$5:$C$3004,F463,ENSAYOS!$Q$5:$Q$3004,"&gt;0",ENSAYOS!$G$5:$G$3004,"&gt;="&amp;CONFIG!$B$27)))</f>
        <v/>
      </c>
      <c r="W463" s="18" t="str">
        <f aca="false">IF(AND(U463&lt;&gt;"",V463&lt;&gt;""),U463/V463,"")</f>
        <v/>
      </c>
      <c r="X463" s="18" t="str">
        <f aca="false">IF(U463="","",INDEX('CURVA EDAD'!$E$5:$E$32,MIN(28,MAX(1,N463))))</f>
        <v/>
      </c>
      <c r="Y463" s="16" t="str">
        <f aca="false">IF(V463&lt;&gt;"",V463,IF(U463="","",U463/X463))</f>
        <v/>
      </c>
      <c r="Z463" s="16" t="str">
        <f aca="false">IF(V463&lt;&gt;"",_xlfn.MINIFS(ENSAYOS!$Q$5:$Q$3004,ENSAYOS!$C$5:$C$3004,F463,ENSAYOS!$Q$5:$Q$3004,"&gt;0",ENSAYOS!$G$5:$G$3004,"&gt;="&amp;CONFIG!$B$27),IF(U463="","",_xlfn.MINIFS(ENSAYOS!$Q$5:$Q$3004,ENSAYOS!$C$5:$C$3004,F463,ENSAYOS!$Q$5:$Q$3004,"&gt;0",ENSAYOS!$G$5:$G$3004,N463)/X463))</f>
        <v/>
      </c>
      <c r="AA463" s="16" t="str">
        <f aca="false">IF(D463="","",IFERROR(1/(1/INDEX(CONFIG!$J$5:$J$14,MATCH(D463,CONFIG!$D$5:$D$14,0))),""))</f>
        <v/>
      </c>
      <c r="AB463" s="16" t="str">
        <f aca="false">IF(D463="","",IFERROR(1/(1/INDEX(CONFIG!$K$5:$K$14,MATCH(D463,CONFIG!$D$5:$D$14,0))),""))</f>
        <v/>
      </c>
      <c r="AC463" s="19" t="str">
        <f aca="false">IF(N(M463)=0,"",IF(AA463="","Sin spec",IF(AND(Y463&gt;=AA463,OR(AB463="",Z463&gt;=AB463)),"CUMPLE","NO CUMPLE")&amp;IF(V463=""," (est.)","")))</f>
        <v/>
      </c>
      <c r="AD463" s="20" t="str">
        <f aca="false">IF(F463="","",IF(COUNTIFS(ABSORCION!$C$5:$C$1004,F463,ABSORCION!$I$5:$I$1004,"&gt;0")=0,"",AVERAGEIFS(ABSORCION!$I$5:$I$1004,ABSORCION!$C$5:$C$1004,F463,ABSORCION!$I$5:$I$1004,"&gt;0")))</f>
        <v/>
      </c>
      <c r="AE463" s="20" t="str">
        <f aca="false">IF(F463="","",IF(COUNTIFS(ABSORCION!$C$5:$C$1004,F463,ABSORCION!$I$5:$I$1004,"&gt;0")=0,"",AVERAGEIFS(ABSORCION!$K$5:$K$1004,ABSORCION!$C$5:$C$1004,F463,ABSORCION!$I$5:$I$1004,"&gt;0")))</f>
        <v/>
      </c>
      <c r="AF463" s="20" t="str">
        <f aca="false">IF(AE463="","",IF(AE463&gt;=CONFIG!$E$21,CONFIG!$F$21,IF(AE463&gt;=CONFIG!$E$20,CONFIG!$F$20,CONFIG!$F$19)))</f>
        <v/>
      </c>
      <c r="AG463" s="21" t="str">
        <f aca="false">IF(F463="","",TRIM(IF(N(M463)=0,"Sin ensayos. ","")&amp;IF(AND(N(M463)&gt;0,N(M463)&lt;CONFIG!$B$26),"Menos de "&amp;CONFIG!$B$26&amp;" probetas. ","")&amp;IF(N(T463)&gt;CONFIG!$B$25,"CV alto. ","")&amp;IF(AND(N(AD463)&gt;0,N(AD463)&gt;N(AF463)),"Absorción alta. ","")))</f>
        <v/>
      </c>
      <c r="AH463" s="22" t="str">
        <f aca="false">IF(AND(N(M463)&gt;0,OR(CONTROL!$C$4="TODAS",C463=CONTROL!$C$4),D463=CONTROL!$C$5),MAX($AH$4:AH462)+1,"")</f>
        <v/>
      </c>
      <c r="AI463" s="22" t="str">
        <f aca="false">IF(AH463="","",P463^2)</f>
        <v/>
      </c>
    </row>
    <row r="464" customFormat="false" ht="15" hidden="false" customHeight="false" outlineLevel="0" collapsed="false">
      <c r="A464" s="11" t="str">
        <f aca="false">IF(B464="","",ROW()-4)</f>
        <v/>
      </c>
      <c r="B464" s="12"/>
      <c r="C464" s="13"/>
      <c r="D464" s="13"/>
      <c r="E464" s="13"/>
      <c r="F464" s="14" t="str">
        <f aca="false">IF(OR(B464="",C464="",D464=""),"",IFERROR(INDEX(CONFIG!$E$5:$E$14,MATCH(D464,CONFIG!$D$5:$D$14,0)),"?")&amp;RIGHT("0"&amp;DAY(B464),2)&amp;RIGHT("0"&amp;MONTH(B464),2)&amp;RIGHT(YEAR(B464),2)&amp;C464&amp;IF(E464="","","-"&amp;E464))</f>
        <v/>
      </c>
      <c r="G464" s="13"/>
      <c r="H464" s="13"/>
      <c r="I464" s="13"/>
      <c r="J464" s="13"/>
      <c r="K464" s="13"/>
      <c r="L464" s="13"/>
      <c r="M464" s="11" t="str">
        <f aca="false">IF(F464="","",COUNTIFS(ENSAYOS!$C$5:$C$3004,F464,ENSAYOS!$Q$5:$Q$3004,"&gt;0"))</f>
        <v/>
      </c>
      <c r="N464" s="15" t="str">
        <f aca="false">IF(N(M464)=0,"",_xlfn.MINIFS(ENSAYOS!$G$5:$G$3004,ENSAYOS!$C$5:$C$3004,F464,ENSAYOS!$Q$5:$Q$3004,"&gt;0"))</f>
        <v/>
      </c>
      <c r="O464" s="15" t="str">
        <f aca="false">IF(N(M464)=0,"",_xlfn.MAXIFS(ENSAYOS!$G$5:$G$3004,ENSAYOS!$C$5:$C$3004,F464,ENSAYOS!$Q$5:$Q$3004,"&gt;0"))</f>
        <v/>
      </c>
      <c r="P464" s="16" t="str">
        <f aca="false">IF(N(M464)=0,"",AVERAGEIFS(ENSAYOS!$Q$5:$Q$3004,ENSAYOS!$C$5:$C$3004,F464,ENSAYOS!$Q$5:$Q$3004,"&gt;0"))</f>
        <v/>
      </c>
      <c r="Q464" s="16" t="str">
        <f aca="false">IF(N(M464)=0,"",_xlfn.MINIFS(ENSAYOS!$Q$5:$Q$3004,ENSAYOS!$C$5:$C$3004,F464,ENSAYOS!$Q$5:$Q$3004,"&gt;0"))</f>
        <v/>
      </c>
      <c r="R464" s="16" t="str">
        <f aca="false">IF(N(M464)=0,"",_xlfn.MAXIFS(ENSAYOS!$Q$5:$Q$3004,ENSAYOS!$C$5:$C$3004,F464,ENSAYOS!$Q$5:$Q$3004,"&gt;0"))</f>
        <v/>
      </c>
      <c r="S464" s="16" t="str">
        <f aca="false">IF(N(M464)&lt;2,"",SQRT(MAX(0,(SUMIFS(ENSAYOS!$X$5:$X$3004,ENSAYOS!$C$5:$C$3004,F464,ENSAYOS!$Q$5:$Q$3004,"&gt;0")-M464*P464^2)/(M464-1))))</f>
        <v/>
      </c>
      <c r="T464" s="17" t="str">
        <f aca="false">IF(S464="","",S464/P464)</f>
        <v/>
      </c>
      <c r="U464" s="16" t="str">
        <f aca="false">IF(N(M464)=0,"",IF(N464&gt;=CONFIG!$B$27,"",AVERAGEIFS(ENSAYOS!$Q$5:$Q$3004,ENSAYOS!$C$5:$C$3004,F464,ENSAYOS!$Q$5:$Q$3004,"&gt;0",ENSAYOS!$G$5:$G$3004,N464)))</f>
        <v/>
      </c>
      <c r="V464" s="16" t="str">
        <f aca="false">IF(N(M464)=0,"",IF(COUNTIFS(ENSAYOS!$C$5:$C$3004,F464,ENSAYOS!$Q$5:$Q$3004,"&gt;0",ENSAYOS!$G$5:$G$3004,"&gt;="&amp;CONFIG!$B$27)=0,"",AVERAGEIFS(ENSAYOS!$Q$5:$Q$3004,ENSAYOS!$C$5:$C$3004,F464,ENSAYOS!$Q$5:$Q$3004,"&gt;0",ENSAYOS!$G$5:$G$3004,"&gt;="&amp;CONFIG!$B$27)))</f>
        <v/>
      </c>
      <c r="W464" s="18" t="str">
        <f aca="false">IF(AND(U464&lt;&gt;"",V464&lt;&gt;""),U464/V464,"")</f>
        <v/>
      </c>
      <c r="X464" s="18" t="str">
        <f aca="false">IF(U464="","",INDEX('CURVA EDAD'!$E$5:$E$32,MIN(28,MAX(1,N464))))</f>
        <v/>
      </c>
      <c r="Y464" s="16" t="str">
        <f aca="false">IF(V464&lt;&gt;"",V464,IF(U464="","",U464/X464))</f>
        <v/>
      </c>
      <c r="Z464" s="16" t="str">
        <f aca="false">IF(V464&lt;&gt;"",_xlfn.MINIFS(ENSAYOS!$Q$5:$Q$3004,ENSAYOS!$C$5:$C$3004,F464,ENSAYOS!$Q$5:$Q$3004,"&gt;0",ENSAYOS!$G$5:$G$3004,"&gt;="&amp;CONFIG!$B$27),IF(U464="","",_xlfn.MINIFS(ENSAYOS!$Q$5:$Q$3004,ENSAYOS!$C$5:$C$3004,F464,ENSAYOS!$Q$5:$Q$3004,"&gt;0",ENSAYOS!$G$5:$G$3004,N464)/X464))</f>
        <v/>
      </c>
      <c r="AA464" s="16" t="str">
        <f aca="false">IF(D464="","",IFERROR(1/(1/INDEX(CONFIG!$J$5:$J$14,MATCH(D464,CONFIG!$D$5:$D$14,0))),""))</f>
        <v/>
      </c>
      <c r="AB464" s="16" t="str">
        <f aca="false">IF(D464="","",IFERROR(1/(1/INDEX(CONFIG!$K$5:$K$14,MATCH(D464,CONFIG!$D$5:$D$14,0))),""))</f>
        <v/>
      </c>
      <c r="AC464" s="19" t="str">
        <f aca="false">IF(N(M464)=0,"",IF(AA464="","Sin spec",IF(AND(Y464&gt;=AA464,OR(AB464="",Z464&gt;=AB464)),"CUMPLE","NO CUMPLE")&amp;IF(V464=""," (est.)","")))</f>
        <v/>
      </c>
      <c r="AD464" s="20" t="str">
        <f aca="false">IF(F464="","",IF(COUNTIFS(ABSORCION!$C$5:$C$1004,F464,ABSORCION!$I$5:$I$1004,"&gt;0")=0,"",AVERAGEIFS(ABSORCION!$I$5:$I$1004,ABSORCION!$C$5:$C$1004,F464,ABSORCION!$I$5:$I$1004,"&gt;0")))</f>
        <v/>
      </c>
      <c r="AE464" s="20" t="str">
        <f aca="false">IF(F464="","",IF(COUNTIFS(ABSORCION!$C$5:$C$1004,F464,ABSORCION!$I$5:$I$1004,"&gt;0")=0,"",AVERAGEIFS(ABSORCION!$K$5:$K$1004,ABSORCION!$C$5:$C$1004,F464,ABSORCION!$I$5:$I$1004,"&gt;0")))</f>
        <v/>
      </c>
      <c r="AF464" s="20" t="str">
        <f aca="false">IF(AE464="","",IF(AE464&gt;=CONFIG!$E$21,CONFIG!$F$21,IF(AE464&gt;=CONFIG!$E$20,CONFIG!$F$20,CONFIG!$F$19)))</f>
        <v/>
      </c>
      <c r="AG464" s="21" t="str">
        <f aca="false">IF(F464="","",TRIM(IF(N(M464)=0,"Sin ensayos. ","")&amp;IF(AND(N(M464)&gt;0,N(M464)&lt;CONFIG!$B$26),"Menos de "&amp;CONFIG!$B$26&amp;" probetas. ","")&amp;IF(N(T464)&gt;CONFIG!$B$25,"CV alto. ","")&amp;IF(AND(N(AD464)&gt;0,N(AD464)&gt;N(AF464)),"Absorción alta. ","")))</f>
        <v/>
      </c>
      <c r="AH464" s="22" t="str">
        <f aca="false">IF(AND(N(M464)&gt;0,OR(CONTROL!$C$4="TODAS",C464=CONTROL!$C$4),D464=CONTROL!$C$5),MAX($AH$4:AH463)+1,"")</f>
        <v/>
      </c>
      <c r="AI464" s="22" t="str">
        <f aca="false">IF(AH464="","",P464^2)</f>
        <v/>
      </c>
    </row>
    <row r="465" customFormat="false" ht="15" hidden="false" customHeight="false" outlineLevel="0" collapsed="false">
      <c r="A465" s="11" t="str">
        <f aca="false">IF(B465="","",ROW()-4)</f>
        <v/>
      </c>
      <c r="B465" s="12"/>
      <c r="C465" s="13"/>
      <c r="D465" s="13"/>
      <c r="E465" s="13"/>
      <c r="F465" s="14" t="str">
        <f aca="false">IF(OR(B465="",C465="",D465=""),"",IFERROR(INDEX(CONFIG!$E$5:$E$14,MATCH(D465,CONFIG!$D$5:$D$14,0)),"?")&amp;RIGHT("0"&amp;DAY(B465),2)&amp;RIGHT("0"&amp;MONTH(B465),2)&amp;RIGHT(YEAR(B465),2)&amp;C465&amp;IF(E465="","","-"&amp;E465))</f>
        <v/>
      </c>
      <c r="G465" s="13"/>
      <c r="H465" s="13"/>
      <c r="I465" s="13"/>
      <c r="J465" s="13"/>
      <c r="K465" s="13"/>
      <c r="L465" s="13"/>
      <c r="M465" s="11" t="str">
        <f aca="false">IF(F465="","",COUNTIFS(ENSAYOS!$C$5:$C$3004,F465,ENSAYOS!$Q$5:$Q$3004,"&gt;0"))</f>
        <v/>
      </c>
      <c r="N465" s="15" t="str">
        <f aca="false">IF(N(M465)=0,"",_xlfn.MINIFS(ENSAYOS!$G$5:$G$3004,ENSAYOS!$C$5:$C$3004,F465,ENSAYOS!$Q$5:$Q$3004,"&gt;0"))</f>
        <v/>
      </c>
      <c r="O465" s="15" t="str">
        <f aca="false">IF(N(M465)=0,"",_xlfn.MAXIFS(ENSAYOS!$G$5:$G$3004,ENSAYOS!$C$5:$C$3004,F465,ENSAYOS!$Q$5:$Q$3004,"&gt;0"))</f>
        <v/>
      </c>
      <c r="P465" s="16" t="str">
        <f aca="false">IF(N(M465)=0,"",AVERAGEIFS(ENSAYOS!$Q$5:$Q$3004,ENSAYOS!$C$5:$C$3004,F465,ENSAYOS!$Q$5:$Q$3004,"&gt;0"))</f>
        <v/>
      </c>
      <c r="Q465" s="16" t="str">
        <f aca="false">IF(N(M465)=0,"",_xlfn.MINIFS(ENSAYOS!$Q$5:$Q$3004,ENSAYOS!$C$5:$C$3004,F465,ENSAYOS!$Q$5:$Q$3004,"&gt;0"))</f>
        <v/>
      </c>
      <c r="R465" s="16" t="str">
        <f aca="false">IF(N(M465)=0,"",_xlfn.MAXIFS(ENSAYOS!$Q$5:$Q$3004,ENSAYOS!$C$5:$C$3004,F465,ENSAYOS!$Q$5:$Q$3004,"&gt;0"))</f>
        <v/>
      </c>
      <c r="S465" s="16" t="str">
        <f aca="false">IF(N(M465)&lt;2,"",SQRT(MAX(0,(SUMIFS(ENSAYOS!$X$5:$X$3004,ENSAYOS!$C$5:$C$3004,F465,ENSAYOS!$Q$5:$Q$3004,"&gt;0")-M465*P465^2)/(M465-1))))</f>
        <v/>
      </c>
      <c r="T465" s="17" t="str">
        <f aca="false">IF(S465="","",S465/P465)</f>
        <v/>
      </c>
      <c r="U465" s="16" t="str">
        <f aca="false">IF(N(M465)=0,"",IF(N465&gt;=CONFIG!$B$27,"",AVERAGEIFS(ENSAYOS!$Q$5:$Q$3004,ENSAYOS!$C$5:$C$3004,F465,ENSAYOS!$Q$5:$Q$3004,"&gt;0",ENSAYOS!$G$5:$G$3004,N465)))</f>
        <v/>
      </c>
      <c r="V465" s="16" t="str">
        <f aca="false">IF(N(M465)=0,"",IF(COUNTIFS(ENSAYOS!$C$5:$C$3004,F465,ENSAYOS!$Q$5:$Q$3004,"&gt;0",ENSAYOS!$G$5:$G$3004,"&gt;="&amp;CONFIG!$B$27)=0,"",AVERAGEIFS(ENSAYOS!$Q$5:$Q$3004,ENSAYOS!$C$5:$C$3004,F465,ENSAYOS!$Q$5:$Q$3004,"&gt;0",ENSAYOS!$G$5:$G$3004,"&gt;="&amp;CONFIG!$B$27)))</f>
        <v/>
      </c>
      <c r="W465" s="18" t="str">
        <f aca="false">IF(AND(U465&lt;&gt;"",V465&lt;&gt;""),U465/V465,"")</f>
        <v/>
      </c>
      <c r="X465" s="18" t="str">
        <f aca="false">IF(U465="","",INDEX('CURVA EDAD'!$E$5:$E$32,MIN(28,MAX(1,N465))))</f>
        <v/>
      </c>
      <c r="Y465" s="16" t="str">
        <f aca="false">IF(V465&lt;&gt;"",V465,IF(U465="","",U465/X465))</f>
        <v/>
      </c>
      <c r="Z465" s="16" t="str">
        <f aca="false">IF(V465&lt;&gt;"",_xlfn.MINIFS(ENSAYOS!$Q$5:$Q$3004,ENSAYOS!$C$5:$C$3004,F465,ENSAYOS!$Q$5:$Q$3004,"&gt;0",ENSAYOS!$G$5:$G$3004,"&gt;="&amp;CONFIG!$B$27),IF(U465="","",_xlfn.MINIFS(ENSAYOS!$Q$5:$Q$3004,ENSAYOS!$C$5:$C$3004,F465,ENSAYOS!$Q$5:$Q$3004,"&gt;0",ENSAYOS!$G$5:$G$3004,N465)/X465))</f>
        <v/>
      </c>
      <c r="AA465" s="16" t="str">
        <f aca="false">IF(D465="","",IFERROR(1/(1/INDEX(CONFIG!$J$5:$J$14,MATCH(D465,CONFIG!$D$5:$D$14,0))),""))</f>
        <v/>
      </c>
      <c r="AB465" s="16" t="str">
        <f aca="false">IF(D465="","",IFERROR(1/(1/INDEX(CONFIG!$K$5:$K$14,MATCH(D465,CONFIG!$D$5:$D$14,0))),""))</f>
        <v/>
      </c>
      <c r="AC465" s="19" t="str">
        <f aca="false">IF(N(M465)=0,"",IF(AA465="","Sin spec",IF(AND(Y465&gt;=AA465,OR(AB465="",Z465&gt;=AB465)),"CUMPLE","NO CUMPLE")&amp;IF(V465=""," (est.)","")))</f>
        <v/>
      </c>
      <c r="AD465" s="20" t="str">
        <f aca="false">IF(F465="","",IF(COUNTIFS(ABSORCION!$C$5:$C$1004,F465,ABSORCION!$I$5:$I$1004,"&gt;0")=0,"",AVERAGEIFS(ABSORCION!$I$5:$I$1004,ABSORCION!$C$5:$C$1004,F465,ABSORCION!$I$5:$I$1004,"&gt;0")))</f>
        <v/>
      </c>
      <c r="AE465" s="20" t="str">
        <f aca="false">IF(F465="","",IF(COUNTIFS(ABSORCION!$C$5:$C$1004,F465,ABSORCION!$I$5:$I$1004,"&gt;0")=0,"",AVERAGEIFS(ABSORCION!$K$5:$K$1004,ABSORCION!$C$5:$C$1004,F465,ABSORCION!$I$5:$I$1004,"&gt;0")))</f>
        <v/>
      </c>
      <c r="AF465" s="20" t="str">
        <f aca="false">IF(AE465="","",IF(AE465&gt;=CONFIG!$E$21,CONFIG!$F$21,IF(AE465&gt;=CONFIG!$E$20,CONFIG!$F$20,CONFIG!$F$19)))</f>
        <v/>
      </c>
      <c r="AG465" s="21" t="str">
        <f aca="false">IF(F465="","",TRIM(IF(N(M465)=0,"Sin ensayos. ","")&amp;IF(AND(N(M465)&gt;0,N(M465)&lt;CONFIG!$B$26),"Menos de "&amp;CONFIG!$B$26&amp;" probetas. ","")&amp;IF(N(T465)&gt;CONFIG!$B$25,"CV alto. ","")&amp;IF(AND(N(AD465)&gt;0,N(AD465)&gt;N(AF465)),"Absorción alta. ","")))</f>
        <v/>
      </c>
      <c r="AH465" s="22" t="str">
        <f aca="false">IF(AND(N(M465)&gt;0,OR(CONTROL!$C$4="TODAS",C465=CONTROL!$C$4),D465=CONTROL!$C$5),MAX($AH$4:AH464)+1,"")</f>
        <v/>
      </c>
      <c r="AI465" s="22" t="str">
        <f aca="false">IF(AH465="","",P465^2)</f>
        <v/>
      </c>
    </row>
    <row r="466" customFormat="false" ht="15" hidden="false" customHeight="false" outlineLevel="0" collapsed="false">
      <c r="A466" s="11" t="str">
        <f aca="false">IF(B466="","",ROW()-4)</f>
        <v/>
      </c>
      <c r="B466" s="12"/>
      <c r="C466" s="13"/>
      <c r="D466" s="13"/>
      <c r="E466" s="13"/>
      <c r="F466" s="14" t="str">
        <f aca="false">IF(OR(B466="",C466="",D466=""),"",IFERROR(INDEX(CONFIG!$E$5:$E$14,MATCH(D466,CONFIG!$D$5:$D$14,0)),"?")&amp;RIGHT("0"&amp;DAY(B466),2)&amp;RIGHT("0"&amp;MONTH(B466),2)&amp;RIGHT(YEAR(B466),2)&amp;C466&amp;IF(E466="","","-"&amp;E466))</f>
        <v/>
      </c>
      <c r="G466" s="13"/>
      <c r="H466" s="13"/>
      <c r="I466" s="13"/>
      <c r="J466" s="13"/>
      <c r="K466" s="13"/>
      <c r="L466" s="13"/>
      <c r="M466" s="11" t="str">
        <f aca="false">IF(F466="","",COUNTIFS(ENSAYOS!$C$5:$C$3004,F466,ENSAYOS!$Q$5:$Q$3004,"&gt;0"))</f>
        <v/>
      </c>
      <c r="N466" s="15" t="str">
        <f aca="false">IF(N(M466)=0,"",_xlfn.MINIFS(ENSAYOS!$G$5:$G$3004,ENSAYOS!$C$5:$C$3004,F466,ENSAYOS!$Q$5:$Q$3004,"&gt;0"))</f>
        <v/>
      </c>
      <c r="O466" s="15" t="str">
        <f aca="false">IF(N(M466)=0,"",_xlfn.MAXIFS(ENSAYOS!$G$5:$G$3004,ENSAYOS!$C$5:$C$3004,F466,ENSAYOS!$Q$5:$Q$3004,"&gt;0"))</f>
        <v/>
      </c>
      <c r="P466" s="16" t="str">
        <f aca="false">IF(N(M466)=0,"",AVERAGEIFS(ENSAYOS!$Q$5:$Q$3004,ENSAYOS!$C$5:$C$3004,F466,ENSAYOS!$Q$5:$Q$3004,"&gt;0"))</f>
        <v/>
      </c>
      <c r="Q466" s="16" t="str">
        <f aca="false">IF(N(M466)=0,"",_xlfn.MINIFS(ENSAYOS!$Q$5:$Q$3004,ENSAYOS!$C$5:$C$3004,F466,ENSAYOS!$Q$5:$Q$3004,"&gt;0"))</f>
        <v/>
      </c>
      <c r="R466" s="16" t="str">
        <f aca="false">IF(N(M466)=0,"",_xlfn.MAXIFS(ENSAYOS!$Q$5:$Q$3004,ENSAYOS!$C$5:$C$3004,F466,ENSAYOS!$Q$5:$Q$3004,"&gt;0"))</f>
        <v/>
      </c>
      <c r="S466" s="16" t="str">
        <f aca="false">IF(N(M466)&lt;2,"",SQRT(MAX(0,(SUMIFS(ENSAYOS!$X$5:$X$3004,ENSAYOS!$C$5:$C$3004,F466,ENSAYOS!$Q$5:$Q$3004,"&gt;0")-M466*P466^2)/(M466-1))))</f>
        <v/>
      </c>
      <c r="T466" s="17" t="str">
        <f aca="false">IF(S466="","",S466/P466)</f>
        <v/>
      </c>
      <c r="U466" s="16" t="str">
        <f aca="false">IF(N(M466)=0,"",IF(N466&gt;=CONFIG!$B$27,"",AVERAGEIFS(ENSAYOS!$Q$5:$Q$3004,ENSAYOS!$C$5:$C$3004,F466,ENSAYOS!$Q$5:$Q$3004,"&gt;0",ENSAYOS!$G$5:$G$3004,N466)))</f>
        <v/>
      </c>
      <c r="V466" s="16" t="str">
        <f aca="false">IF(N(M466)=0,"",IF(COUNTIFS(ENSAYOS!$C$5:$C$3004,F466,ENSAYOS!$Q$5:$Q$3004,"&gt;0",ENSAYOS!$G$5:$G$3004,"&gt;="&amp;CONFIG!$B$27)=0,"",AVERAGEIFS(ENSAYOS!$Q$5:$Q$3004,ENSAYOS!$C$5:$C$3004,F466,ENSAYOS!$Q$5:$Q$3004,"&gt;0",ENSAYOS!$G$5:$G$3004,"&gt;="&amp;CONFIG!$B$27)))</f>
        <v/>
      </c>
      <c r="W466" s="18" t="str">
        <f aca="false">IF(AND(U466&lt;&gt;"",V466&lt;&gt;""),U466/V466,"")</f>
        <v/>
      </c>
      <c r="X466" s="18" t="str">
        <f aca="false">IF(U466="","",INDEX('CURVA EDAD'!$E$5:$E$32,MIN(28,MAX(1,N466))))</f>
        <v/>
      </c>
      <c r="Y466" s="16" t="str">
        <f aca="false">IF(V466&lt;&gt;"",V466,IF(U466="","",U466/X466))</f>
        <v/>
      </c>
      <c r="Z466" s="16" t="str">
        <f aca="false">IF(V466&lt;&gt;"",_xlfn.MINIFS(ENSAYOS!$Q$5:$Q$3004,ENSAYOS!$C$5:$C$3004,F466,ENSAYOS!$Q$5:$Q$3004,"&gt;0",ENSAYOS!$G$5:$G$3004,"&gt;="&amp;CONFIG!$B$27),IF(U466="","",_xlfn.MINIFS(ENSAYOS!$Q$5:$Q$3004,ENSAYOS!$C$5:$C$3004,F466,ENSAYOS!$Q$5:$Q$3004,"&gt;0",ENSAYOS!$G$5:$G$3004,N466)/X466))</f>
        <v/>
      </c>
      <c r="AA466" s="16" t="str">
        <f aca="false">IF(D466="","",IFERROR(1/(1/INDEX(CONFIG!$J$5:$J$14,MATCH(D466,CONFIG!$D$5:$D$14,0))),""))</f>
        <v/>
      </c>
      <c r="AB466" s="16" t="str">
        <f aca="false">IF(D466="","",IFERROR(1/(1/INDEX(CONFIG!$K$5:$K$14,MATCH(D466,CONFIG!$D$5:$D$14,0))),""))</f>
        <v/>
      </c>
      <c r="AC466" s="19" t="str">
        <f aca="false">IF(N(M466)=0,"",IF(AA466="","Sin spec",IF(AND(Y466&gt;=AA466,OR(AB466="",Z466&gt;=AB466)),"CUMPLE","NO CUMPLE")&amp;IF(V466=""," (est.)","")))</f>
        <v/>
      </c>
      <c r="AD466" s="20" t="str">
        <f aca="false">IF(F466="","",IF(COUNTIFS(ABSORCION!$C$5:$C$1004,F466,ABSORCION!$I$5:$I$1004,"&gt;0")=0,"",AVERAGEIFS(ABSORCION!$I$5:$I$1004,ABSORCION!$C$5:$C$1004,F466,ABSORCION!$I$5:$I$1004,"&gt;0")))</f>
        <v/>
      </c>
      <c r="AE466" s="20" t="str">
        <f aca="false">IF(F466="","",IF(COUNTIFS(ABSORCION!$C$5:$C$1004,F466,ABSORCION!$I$5:$I$1004,"&gt;0")=0,"",AVERAGEIFS(ABSORCION!$K$5:$K$1004,ABSORCION!$C$5:$C$1004,F466,ABSORCION!$I$5:$I$1004,"&gt;0")))</f>
        <v/>
      </c>
      <c r="AF466" s="20" t="str">
        <f aca="false">IF(AE466="","",IF(AE466&gt;=CONFIG!$E$21,CONFIG!$F$21,IF(AE466&gt;=CONFIG!$E$20,CONFIG!$F$20,CONFIG!$F$19)))</f>
        <v/>
      </c>
      <c r="AG466" s="21" t="str">
        <f aca="false">IF(F466="","",TRIM(IF(N(M466)=0,"Sin ensayos. ","")&amp;IF(AND(N(M466)&gt;0,N(M466)&lt;CONFIG!$B$26),"Menos de "&amp;CONFIG!$B$26&amp;" probetas. ","")&amp;IF(N(T466)&gt;CONFIG!$B$25,"CV alto. ","")&amp;IF(AND(N(AD466)&gt;0,N(AD466)&gt;N(AF466)),"Absorción alta. ","")))</f>
        <v/>
      </c>
      <c r="AH466" s="22" t="str">
        <f aca="false">IF(AND(N(M466)&gt;0,OR(CONTROL!$C$4="TODAS",C466=CONTROL!$C$4),D466=CONTROL!$C$5),MAX($AH$4:AH465)+1,"")</f>
        <v/>
      </c>
      <c r="AI466" s="22" t="str">
        <f aca="false">IF(AH466="","",P466^2)</f>
        <v/>
      </c>
    </row>
    <row r="467" customFormat="false" ht="15" hidden="false" customHeight="false" outlineLevel="0" collapsed="false">
      <c r="A467" s="11" t="str">
        <f aca="false">IF(B467="","",ROW()-4)</f>
        <v/>
      </c>
      <c r="B467" s="12"/>
      <c r="C467" s="13"/>
      <c r="D467" s="13"/>
      <c r="E467" s="13"/>
      <c r="F467" s="14" t="str">
        <f aca="false">IF(OR(B467="",C467="",D467=""),"",IFERROR(INDEX(CONFIG!$E$5:$E$14,MATCH(D467,CONFIG!$D$5:$D$14,0)),"?")&amp;RIGHT("0"&amp;DAY(B467),2)&amp;RIGHT("0"&amp;MONTH(B467),2)&amp;RIGHT(YEAR(B467),2)&amp;C467&amp;IF(E467="","","-"&amp;E467))</f>
        <v/>
      </c>
      <c r="G467" s="13"/>
      <c r="H467" s="13"/>
      <c r="I467" s="13"/>
      <c r="J467" s="13"/>
      <c r="K467" s="13"/>
      <c r="L467" s="13"/>
      <c r="M467" s="11" t="str">
        <f aca="false">IF(F467="","",COUNTIFS(ENSAYOS!$C$5:$C$3004,F467,ENSAYOS!$Q$5:$Q$3004,"&gt;0"))</f>
        <v/>
      </c>
      <c r="N467" s="15" t="str">
        <f aca="false">IF(N(M467)=0,"",_xlfn.MINIFS(ENSAYOS!$G$5:$G$3004,ENSAYOS!$C$5:$C$3004,F467,ENSAYOS!$Q$5:$Q$3004,"&gt;0"))</f>
        <v/>
      </c>
      <c r="O467" s="15" t="str">
        <f aca="false">IF(N(M467)=0,"",_xlfn.MAXIFS(ENSAYOS!$G$5:$G$3004,ENSAYOS!$C$5:$C$3004,F467,ENSAYOS!$Q$5:$Q$3004,"&gt;0"))</f>
        <v/>
      </c>
      <c r="P467" s="16" t="str">
        <f aca="false">IF(N(M467)=0,"",AVERAGEIFS(ENSAYOS!$Q$5:$Q$3004,ENSAYOS!$C$5:$C$3004,F467,ENSAYOS!$Q$5:$Q$3004,"&gt;0"))</f>
        <v/>
      </c>
      <c r="Q467" s="16" t="str">
        <f aca="false">IF(N(M467)=0,"",_xlfn.MINIFS(ENSAYOS!$Q$5:$Q$3004,ENSAYOS!$C$5:$C$3004,F467,ENSAYOS!$Q$5:$Q$3004,"&gt;0"))</f>
        <v/>
      </c>
      <c r="R467" s="16" t="str">
        <f aca="false">IF(N(M467)=0,"",_xlfn.MAXIFS(ENSAYOS!$Q$5:$Q$3004,ENSAYOS!$C$5:$C$3004,F467,ENSAYOS!$Q$5:$Q$3004,"&gt;0"))</f>
        <v/>
      </c>
      <c r="S467" s="16" t="str">
        <f aca="false">IF(N(M467)&lt;2,"",SQRT(MAX(0,(SUMIFS(ENSAYOS!$X$5:$X$3004,ENSAYOS!$C$5:$C$3004,F467,ENSAYOS!$Q$5:$Q$3004,"&gt;0")-M467*P467^2)/(M467-1))))</f>
        <v/>
      </c>
      <c r="T467" s="17" t="str">
        <f aca="false">IF(S467="","",S467/P467)</f>
        <v/>
      </c>
      <c r="U467" s="16" t="str">
        <f aca="false">IF(N(M467)=0,"",IF(N467&gt;=CONFIG!$B$27,"",AVERAGEIFS(ENSAYOS!$Q$5:$Q$3004,ENSAYOS!$C$5:$C$3004,F467,ENSAYOS!$Q$5:$Q$3004,"&gt;0",ENSAYOS!$G$5:$G$3004,N467)))</f>
        <v/>
      </c>
      <c r="V467" s="16" t="str">
        <f aca="false">IF(N(M467)=0,"",IF(COUNTIFS(ENSAYOS!$C$5:$C$3004,F467,ENSAYOS!$Q$5:$Q$3004,"&gt;0",ENSAYOS!$G$5:$G$3004,"&gt;="&amp;CONFIG!$B$27)=0,"",AVERAGEIFS(ENSAYOS!$Q$5:$Q$3004,ENSAYOS!$C$5:$C$3004,F467,ENSAYOS!$Q$5:$Q$3004,"&gt;0",ENSAYOS!$G$5:$G$3004,"&gt;="&amp;CONFIG!$B$27)))</f>
        <v/>
      </c>
      <c r="W467" s="18" t="str">
        <f aca="false">IF(AND(U467&lt;&gt;"",V467&lt;&gt;""),U467/V467,"")</f>
        <v/>
      </c>
      <c r="X467" s="18" t="str">
        <f aca="false">IF(U467="","",INDEX('CURVA EDAD'!$E$5:$E$32,MIN(28,MAX(1,N467))))</f>
        <v/>
      </c>
      <c r="Y467" s="16" t="str">
        <f aca="false">IF(V467&lt;&gt;"",V467,IF(U467="","",U467/X467))</f>
        <v/>
      </c>
      <c r="Z467" s="16" t="str">
        <f aca="false">IF(V467&lt;&gt;"",_xlfn.MINIFS(ENSAYOS!$Q$5:$Q$3004,ENSAYOS!$C$5:$C$3004,F467,ENSAYOS!$Q$5:$Q$3004,"&gt;0",ENSAYOS!$G$5:$G$3004,"&gt;="&amp;CONFIG!$B$27),IF(U467="","",_xlfn.MINIFS(ENSAYOS!$Q$5:$Q$3004,ENSAYOS!$C$5:$C$3004,F467,ENSAYOS!$Q$5:$Q$3004,"&gt;0",ENSAYOS!$G$5:$G$3004,N467)/X467))</f>
        <v/>
      </c>
      <c r="AA467" s="16" t="str">
        <f aca="false">IF(D467="","",IFERROR(1/(1/INDEX(CONFIG!$J$5:$J$14,MATCH(D467,CONFIG!$D$5:$D$14,0))),""))</f>
        <v/>
      </c>
      <c r="AB467" s="16" t="str">
        <f aca="false">IF(D467="","",IFERROR(1/(1/INDEX(CONFIG!$K$5:$K$14,MATCH(D467,CONFIG!$D$5:$D$14,0))),""))</f>
        <v/>
      </c>
      <c r="AC467" s="19" t="str">
        <f aca="false">IF(N(M467)=0,"",IF(AA467="","Sin spec",IF(AND(Y467&gt;=AA467,OR(AB467="",Z467&gt;=AB467)),"CUMPLE","NO CUMPLE")&amp;IF(V467=""," (est.)","")))</f>
        <v/>
      </c>
      <c r="AD467" s="20" t="str">
        <f aca="false">IF(F467="","",IF(COUNTIFS(ABSORCION!$C$5:$C$1004,F467,ABSORCION!$I$5:$I$1004,"&gt;0")=0,"",AVERAGEIFS(ABSORCION!$I$5:$I$1004,ABSORCION!$C$5:$C$1004,F467,ABSORCION!$I$5:$I$1004,"&gt;0")))</f>
        <v/>
      </c>
      <c r="AE467" s="20" t="str">
        <f aca="false">IF(F467="","",IF(COUNTIFS(ABSORCION!$C$5:$C$1004,F467,ABSORCION!$I$5:$I$1004,"&gt;0")=0,"",AVERAGEIFS(ABSORCION!$K$5:$K$1004,ABSORCION!$C$5:$C$1004,F467,ABSORCION!$I$5:$I$1004,"&gt;0")))</f>
        <v/>
      </c>
      <c r="AF467" s="20" t="str">
        <f aca="false">IF(AE467="","",IF(AE467&gt;=CONFIG!$E$21,CONFIG!$F$21,IF(AE467&gt;=CONFIG!$E$20,CONFIG!$F$20,CONFIG!$F$19)))</f>
        <v/>
      </c>
      <c r="AG467" s="21" t="str">
        <f aca="false">IF(F467="","",TRIM(IF(N(M467)=0,"Sin ensayos. ","")&amp;IF(AND(N(M467)&gt;0,N(M467)&lt;CONFIG!$B$26),"Menos de "&amp;CONFIG!$B$26&amp;" probetas. ","")&amp;IF(N(T467)&gt;CONFIG!$B$25,"CV alto. ","")&amp;IF(AND(N(AD467)&gt;0,N(AD467)&gt;N(AF467)),"Absorción alta. ","")))</f>
        <v/>
      </c>
      <c r="AH467" s="22" t="str">
        <f aca="false">IF(AND(N(M467)&gt;0,OR(CONTROL!$C$4="TODAS",C467=CONTROL!$C$4),D467=CONTROL!$C$5),MAX($AH$4:AH466)+1,"")</f>
        <v/>
      </c>
      <c r="AI467" s="22" t="str">
        <f aca="false">IF(AH467="","",P467^2)</f>
        <v/>
      </c>
    </row>
    <row r="468" customFormat="false" ht="15" hidden="false" customHeight="false" outlineLevel="0" collapsed="false">
      <c r="A468" s="11" t="str">
        <f aca="false">IF(B468="","",ROW()-4)</f>
        <v/>
      </c>
      <c r="B468" s="12"/>
      <c r="C468" s="13"/>
      <c r="D468" s="13"/>
      <c r="E468" s="13"/>
      <c r="F468" s="14" t="str">
        <f aca="false">IF(OR(B468="",C468="",D468=""),"",IFERROR(INDEX(CONFIG!$E$5:$E$14,MATCH(D468,CONFIG!$D$5:$D$14,0)),"?")&amp;RIGHT("0"&amp;DAY(B468),2)&amp;RIGHT("0"&amp;MONTH(B468),2)&amp;RIGHT(YEAR(B468),2)&amp;C468&amp;IF(E468="","","-"&amp;E468))</f>
        <v/>
      </c>
      <c r="G468" s="13"/>
      <c r="H468" s="13"/>
      <c r="I468" s="13"/>
      <c r="J468" s="13"/>
      <c r="K468" s="13"/>
      <c r="L468" s="13"/>
      <c r="M468" s="11" t="str">
        <f aca="false">IF(F468="","",COUNTIFS(ENSAYOS!$C$5:$C$3004,F468,ENSAYOS!$Q$5:$Q$3004,"&gt;0"))</f>
        <v/>
      </c>
      <c r="N468" s="15" t="str">
        <f aca="false">IF(N(M468)=0,"",_xlfn.MINIFS(ENSAYOS!$G$5:$G$3004,ENSAYOS!$C$5:$C$3004,F468,ENSAYOS!$Q$5:$Q$3004,"&gt;0"))</f>
        <v/>
      </c>
      <c r="O468" s="15" t="str">
        <f aca="false">IF(N(M468)=0,"",_xlfn.MAXIFS(ENSAYOS!$G$5:$G$3004,ENSAYOS!$C$5:$C$3004,F468,ENSAYOS!$Q$5:$Q$3004,"&gt;0"))</f>
        <v/>
      </c>
      <c r="P468" s="16" t="str">
        <f aca="false">IF(N(M468)=0,"",AVERAGEIFS(ENSAYOS!$Q$5:$Q$3004,ENSAYOS!$C$5:$C$3004,F468,ENSAYOS!$Q$5:$Q$3004,"&gt;0"))</f>
        <v/>
      </c>
      <c r="Q468" s="16" t="str">
        <f aca="false">IF(N(M468)=0,"",_xlfn.MINIFS(ENSAYOS!$Q$5:$Q$3004,ENSAYOS!$C$5:$C$3004,F468,ENSAYOS!$Q$5:$Q$3004,"&gt;0"))</f>
        <v/>
      </c>
      <c r="R468" s="16" t="str">
        <f aca="false">IF(N(M468)=0,"",_xlfn.MAXIFS(ENSAYOS!$Q$5:$Q$3004,ENSAYOS!$C$5:$C$3004,F468,ENSAYOS!$Q$5:$Q$3004,"&gt;0"))</f>
        <v/>
      </c>
      <c r="S468" s="16" t="str">
        <f aca="false">IF(N(M468)&lt;2,"",SQRT(MAX(0,(SUMIFS(ENSAYOS!$X$5:$X$3004,ENSAYOS!$C$5:$C$3004,F468,ENSAYOS!$Q$5:$Q$3004,"&gt;0")-M468*P468^2)/(M468-1))))</f>
        <v/>
      </c>
      <c r="T468" s="17" t="str">
        <f aca="false">IF(S468="","",S468/P468)</f>
        <v/>
      </c>
      <c r="U468" s="16" t="str">
        <f aca="false">IF(N(M468)=0,"",IF(N468&gt;=CONFIG!$B$27,"",AVERAGEIFS(ENSAYOS!$Q$5:$Q$3004,ENSAYOS!$C$5:$C$3004,F468,ENSAYOS!$Q$5:$Q$3004,"&gt;0",ENSAYOS!$G$5:$G$3004,N468)))</f>
        <v/>
      </c>
      <c r="V468" s="16" t="str">
        <f aca="false">IF(N(M468)=0,"",IF(COUNTIFS(ENSAYOS!$C$5:$C$3004,F468,ENSAYOS!$Q$5:$Q$3004,"&gt;0",ENSAYOS!$G$5:$G$3004,"&gt;="&amp;CONFIG!$B$27)=0,"",AVERAGEIFS(ENSAYOS!$Q$5:$Q$3004,ENSAYOS!$C$5:$C$3004,F468,ENSAYOS!$Q$5:$Q$3004,"&gt;0",ENSAYOS!$G$5:$G$3004,"&gt;="&amp;CONFIG!$B$27)))</f>
        <v/>
      </c>
      <c r="W468" s="18" t="str">
        <f aca="false">IF(AND(U468&lt;&gt;"",V468&lt;&gt;""),U468/V468,"")</f>
        <v/>
      </c>
      <c r="X468" s="18" t="str">
        <f aca="false">IF(U468="","",INDEX('CURVA EDAD'!$E$5:$E$32,MIN(28,MAX(1,N468))))</f>
        <v/>
      </c>
      <c r="Y468" s="16" t="str">
        <f aca="false">IF(V468&lt;&gt;"",V468,IF(U468="","",U468/X468))</f>
        <v/>
      </c>
      <c r="Z468" s="16" t="str">
        <f aca="false">IF(V468&lt;&gt;"",_xlfn.MINIFS(ENSAYOS!$Q$5:$Q$3004,ENSAYOS!$C$5:$C$3004,F468,ENSAYOS!$Q$5:$Q$3004,"&gt;0",ENSAYOS!$G$5:$G$3004,"&gt;="&amp;CONFIG!$B$27),IF(U468="","",_xlfn.MINIFS(ENSAYOS!$Q$5:$Q$3004,ENSAYOS!$C$5:$C$3004,F468,ENSAYOS!$Q$5:$Q$3004,"&gt;0",ENSAYOS!$G$5:$G$3004,N468)/X468))</f>
        <v/>
      </c>
      <c r="AA468" s="16" t="str">
        <f aca="false">IF(D468="","",IFERROR(1/(1/INDEX(CONFIG!$J$5:$J$14,MATCH(D468,CONFIG!$D$5:$D$14,0))),""))</f>
        <v/>
      </c>
      <c r="AB468" s="16" t="str">
        <f aca="false">IF(D468="","",IFERROR(1/(1/INDEX(CONFIG!$K$5:$K$14,MATCH(D468,CONFIG!$D$5:$D$14,0))),""))</f>
        <v/>
      </c>
      <c r="AC468" s="19" t="str">
        <f aca="false">IF(N(M468)=0,"",IF(AA468="","Sin spec",IF(AND(Y468&gt;=AA468,OR(AB468="",Z468&gt;=AB468)),"CUMPLE","NO CUMPLE")&amp;IF(V468=""," (est.)","")))</f>
        <v/>
      </c>
      <c r="AD468" s="20" t="str">
        <f aca="false">IF(F468="","",IF(COUNTIFS(ABSORCION!$C$5:$C$1004,F468,ABSORCION!$I$5:$I$1004,"&gt;0")=0,"",AVERAGEIFS(ABSORCION!$I$5:$I$1004,ABSORCION!$C$5:$C$1004,F468,ABSORCION!$I$5:$I$1004,"&gt;0")))</f>
        <v/>
      </c>
      <c r="AE468" s="20" t="str">
        <f aca="false">IF(F468="","",IF(COUNTIFS(ABSORCION!$C$5:$C$1004,F468,ABSORCION!$I$5:$I$1004,"&gt;0")=0,"",AVERAGEIFS(ABSORCION!$K$5:$K$1004,ABSORCION!$C$5:$C$1004,F468,ABSORCION!$I$5:$I$1004,"&gt;0")))</f>
        <v/>
      </c>
      <c r="AF468" s="20" t="str">
        <f aca="false">IF(AE468="","",IF(AE468&gt;=CONFIG!$E$21,CONFIG!$F$21,IF(AE468&gt;=CONFIG!$E$20,CONFIG!$F$20,CONFIG!$F$19)))</f>
        <v/>
      </c>
      <c r="AG468" s="21" t="str">
        <f aca="false">IF(F468="","",TRIM(IF(N(M468)=0,"Sin ensayos. ","")&amp;IF(AND(N(M468)&gt;0,N(M468)&lt;CONFIG!$B$26),"Menos de "&amp;CONFIG!$B$26&amp;" probetas. ","")&amp;IF(N(T468)&gt;CONFIG!$B$25,"CV alto. ","")&amp;IF(AND(N(AD468)&gt;0,N(AD468)&gt;N(AF468)),"Absorción alta. ","")))</f>
        <v/>
      </c>
      <c r="AH468" s="22" t="str">
        <f aca="false">IF(AND(N(M468)&gt;0,OR(CONTROL!$C$4="TODAS",C468=CONTROL!$C$4),D468=CONTROL!$C$5),MAX($AH$4:AH467)+1,"")</f>
        <v/>
      </c>
      <c r="AI468" s="22" t="str">
        <f aca="false">IF(AH468="","",P468^2)</f>
        <v/>
      </c>
    </row>
    <row r="469" customFormat="false" ht="15" hidden="false" customHeight="false" outlineLevel="0" collapsed="false">
      <c r="A469" s="11" t="str">
        <f aca="false">IF(B469="","",ROW()-4)</f>
        <v/>
      </c>
      <c r="B469" s="12"/>
      <c r="C469" s="13"/>
      <c r="D469" s="13"/>
      <c r="E469" s="13"/>
      <c r="F469" s="14" t="str">
        <f aca="false">IF(OR(B469="",C469="",D469=""),"",IFERROR(INDEX(CONFIG!$E$5:$E$14,MATCH(D469,CONFIG!$D$5:$D$14,0)),"?")&amp;RIGHT("0"&amp;DAY(B469),2)&amp;RIGHT("0"&amp;MONTH(B469),2)&amp;RIGHT(YEAR(B469),2)&amp;C469&amp;IF(E469="","","-"&amp;E469))</f>
        <v/>
      </c>
      <c r="G469" s="13"/>
      <c r="H469" s="13"/>
      <c r="I469" s="13"/>
      <c r="J469" s="13"/>
      <c r="K469" s="13"/>
      <c r="L469" s="13"/>
      <c r="M469" s="11" t="str">
        <f aca="false">IF(F469="","",COUNTIFS(ENSAYOS!$C$5:$C$3004,F469,ENSAYOS!$Q$5:$Q$3004,"&gt;0"))</f>
        <v/>
      </c>
      <c r="N469" s="15" t="str">
        <f aca="false">IF(N(M469)=0,"",_xlfn.MINIFS(ENSAYOS!$G$5:$G$3004,ENSAYOS!$C$5:$C$3004,F469,ENSAYOS!$Q$5:$Q$3004,"&gt;0"))</f>
        <v/>
      </c>
      <c r="O469" s="15" t="str">
        <f aca="false">IF(N(M469)=0,"",_xlfn.MAXIFS(ENSAYOS!$G$5:$G$3004,ENSAYOS!$C$5:$C$3004,F469,ENSAYOS!$Q$5:$Q$3004,"&gt;0"))</f>
        <v/>
      </c>
      <c r="P469" s="16" t="str">
        <f aca="false">IF(N(M469)=0,"",AVERAGEIFS(ENSAYOS!$Q$5:$Q$3004,ENSAYOS!$C$5:$C$3004,F469,ENSAYOS!$Q$5:$Q$3004,"&gt;0"))</f>
        <v/>
      </c>
      <c r="Q469" s="16" t="str">
        <f aca="false">IF(N(M469)=0,"",_xlfn.MINIFS(ENSAYOS!$Q$5:$Q$3004,ENSAYOS!$C$5:$C$3004,F469,ENSAYOS!$Q$5:$Q$3004,"&gt;0"))</f>
        <v/>
      </c>
      <c r="R469" s="16" t="str">
        <f aca="false">IF(N(M469)=0,"",_xlfn.MAXIFS(ENSAYOS!$Q$5:$Q$3004,ENSAYOS!$C$5:$C$3004,F469,ENSAYOS!$Q$5:$Q$3004,"&gt;0"))</f>
        <v/>
      </c>
      <c r="S469" s="16" t="str">
        <f aca="false">IF(N(M469)&lt;2,"",SQRT(MAX(0,(SUMIFS(ENSAYOS!$X$5:$X$3004,ENSAYOS!$C$5:$C$3004,F469,ENSAYOS!$Q$5:$Q$3004,"&gt;0")-M469*P469^2)/(M469-1))))</f>
        <v/>
      </c>
      <c r="T469" s="17" t="str">
        <f aca="false">IF(S469="","",S469/P469)</f>
        <v/>
      </c>
      <c r="U469" s="16" t="str">
        <f aca="false">IF(N(M469)=0,"",IF(N469&gt;=CONFIG!$B$27,"",AVERAGEIFS(ENSAYOS!$Q$5:$Q$3004,ENSAYOS!$C$5:$C$3004,F469,ENSAYOS!$Q$5:$Q$3004,"&gt;0",ENSAYOS!$G$5:$G$3004,N469)))</f>
        <v/>
      </c>
      <c r="V469" s="16" t="str">
        <f aca="false">IF(N(M469)=0,"",IF(COUNTIFS(ENSAYOS!$C$5:$C$3004,F469,ENSAYOS!$Q$5:$Q$3004,"&gt;0",ENSAYOS!$G$5:$G$3004,"&gt;="&amp;CONFIG!$B$27)=0,"",AVERAGEIFS(ENSAYOS!$Q$5:$Q$3004,ENSAYOS!$C$5:$C$3004,F469,ENSAYOS!$Q$5:$Q$3004,"&gt;0",ENSAYOS!$G$5:$G$3004,"&gt;="&amp;CONFIG!$B$27)))</f>
        <v/>
      </c>
      <c r="W469" s="18" t="str">
        <f aca="false">IF(AND(U469&lt;&gt;"",V469&lt;&gt;""),U469/V469,"")</f>
        <v/>
      </c>
      <c r="X469" s="18" t="str">
        <f aca="false">IF(U469="","",INDEX('CURVA EDAD'!$E$5:$E$32,MIN(28,MAX(1,N469))))</f>
        <v/>
      </c>
      <c r="Y469" s="16" t="str">
        <f aca="false">IF(V469&lt;&gt;"",V469,IF(U469="","",U469/X469))</f>
        <v/>
      </c>
      <c r="Z469" s="16" t="str">
        <f aca="false">IF(V469&lt;&gt;"",_xlfn.MINIFS(ENSAYOS!$Q$5:$Q$3004,ENSAYOS!$C$5:$C$3004,F469,ENSAYOS!$Q$5:$Q$3004,"&gt;0",ENSAYOS!$G$5:$G$3004,"&gt;="&amp;CONFIG!$B$27),IF(U469="","",_xlfn.MINIFS(ENSAYOS!$Q$5:$Q$3004,ENSAYOS!$C$5:$C$3004,F469,ENSAYOS!$Q$5:$Q$3004,"&gt;0",ENSAYOS!$G$5:$G$3004,N469)/X469))</f>
        <v/>
      </c>
      <c r="AA469" s="16" t="str">
        <f aca="false">IF(D469="","",IFERROR(1/(1/INDEX(CONFIG!$J$5:$J$14,MATCH(D469,CONFIG!$D$5:$D$14,0))),""))</f>
        <v/>
      </c>
      <c r="AB469" s="16" t="str">
        <f aca="false">IF(D469="","",IFERROR(1/(1/INDEX(CONFIG!$K$5:$K$14,MATCH(D469,CONFIG!$D$5:$D$14,0))),""))</f>
        <v/>
      </c>
      <c r="AC469" s="19" t="str">
        <f aca="false">IF(N(M469)=0,"",IF(AA469="","Sin spec",IF(AND(Y469&gt;=AA469,OR(AB469="",Z469&gt;=AB469)),"CUMPLE","NO CUMPLE")&amp;IF(V469=""," (est.)","")))</f>
        <v/>
      </c>
      <c r="AD469" s="20" t="str">
        <f aca="false">IF(F469="","",IF(COUNTIFS(ABSORCION!$C$5:$C$1004,F469,ABSORCION!$I$5:$I$1004,"&gt;0")=0,"",AVERAGEIFS(ABSORCION!$I$5:$I$1004,ABSORCION!$C$5:$C$1004,F469,ABSORCION!$I$5:$I$1004,"&gt;0")))</f>
        <v/>
      </c>
      <c r="AE469" s="20" t="str">
        <f aca="false">IF(F469="","",IF(COUNTIFS(ABSORCION!$C$5:$C$1004,F469,ABSORCION!$I$5:$I$1004,"&gt;0")=0,"",AVERAGEIFS(ABSORCION!$K$5:$K$1004,ABSORCION!$C$5:$C$1004,F469,ABSORCION!$I$5:$I$1004,"&gt;0")))</f>
        <v/>
      </c>
      <c r="AF469" s="20" t="str">
        <f aca="false">IF(AE469="","",IF(AE469&gt;=CONFIG!$E$21,CONFIG!$F$21,IF(AE469&gt;=CONFIG!$E$20,CONFIG!$F$20,CONFIG!$F$19)))</f>
        <v/>
      </c>
      <c r="AG469" s="21" t="str">
        <f aca="false">IF(F469="","",TRIM(IF(N(M469)=0,"Sin ensayos. ","")&amp;IF(AND(N(M469)&gt;0,N(M469)&lt;CONFIG!$B$26),"Menos de "&amp;CONFIG!$B$26&amp;" probetas. ","")&amp;IF(N(T469)&gt;CONFIG!$B$25,"CV alto. ","")&amp;IF(AND(N(AD469)&gt;0,N(AD469)&gt;N(AF469)),"Absorción alta. ","")))</f>
        <v/>
      </c>
      <c r="AH469" s="22" t="str">
        <f aca="false">IF(AND(N(M469)&gt;0,OR(CONTROL!$C$4="TODAS",C469=CONTROL!$C$4),D469=CONTROL!$C$5),MAX($AH$4:AH468)+1,"")</f>
        <v/>
      </c>
      <c r="AI469" s="22" t="str">
        <f aca="false">IF(AH469="","",P469^2)</f>
        <v/>
      </c>
    </row>
    <row r="470" customFormat="false" ht="15" hidden="false" customHeight="false" outlineLevel="0" collapsed="false">
      <c r="A470" s="11" t="str">
        <f aca="false">IF(B470="","",ROW()-4)</f>
        <v/>
      </c>
      <c r="B470" s="12"/>
      <c r="C470" s="13"/>
      <c r="D470" s="13"/>
      <c r="E470" s="13"/>
      <c r="F470" s="14" t="str">
        <f aca="false">IF(OR(B470="",C470="",D470=""),"",IFERROR(INDEX(CONFIG!$E$5:$E$14,MATCH(D470,CONFIG!$D$5:$D$14,0)),"?")&amp;RIGHT("0"&amp;DAY(B470),2)&amp;RIGHT("0"&amp;MONTH(B470),2)&amp;RIGHT(YEAR(B470),2)&amp;C470&amp;IF(E470="","","-"&amp;E470))</f>
        <v/>
      </c>
      <c r="G470" s="13"/>
      <c r="H470" s="13"/>
      <c r="I470" s="13"/>
      <c r="J470" s="13"/>
      <c r="K470" s="13"/>
      <c r="L470" s="13"/>
      <c r="M470" s="11" t="str">
        <f aca="false">IF(F470="","",COUNTIFS(ENSAYOS!$C$5:$C$3004,F470,ENSAYOS!$Q$5:$Q$3004,"&gt;0"))</f>
        <v/>
      </c>
      <c r="N470" s="15" t="str">
        <f aca="false">IF(N(M470)=0,"",_xlfn.MINIFS(ENSAYOS!$G$5:$G$3004,ENSAYOS!$C$5:$C$3004,F470,ENSAYOS!$Q$5:$Q$3004,"&gt;0"))</f>
        <v/>
      </c>
      <c r="O470" s="15" t="str">
        <f aca="false">IF(N(M470)=0,"",_xlfn.MAXIFS(ENSAYOS!$G$5:$G$3004,ENSAYOS!$C$5:$C$3004,F470,ENSAYOS!$Q$5:$Q$3004,"&gt;0"))</f>
        <v/>
      </c>
      <c r="P470" s="16" t="str">
        <f aca="false">IF(N(M470)=0,"",AVERAGEIFS(ENSAYOS!$Q$5:$Q$3004,ENSAYOS!$C$5:$C$3004,F470,ENSAYOS!$Q$5:$Q$3004,"&gt;0"))</f>
        <v/>
      </c>
      <c r="Q470" s="16" t="str">
        <f aca="false">IF(N(M470)=0,"",_xlfn.MINIFS(ENSAYOS!$Q$5:$Q$3004,ENSAYOS!$C$5:$C$3004,F470,ENSAYOS!$Q$5:$Q$3004,"&gt;0"))</f>
        <v/>
      </c>
      <c r="R470" s="16" t="str">
        <f aca="false">IF(N(M470)=0,"",_xlfn.MAXIFS(ENSAYOS!$Q$5:$Q$3004,ENSAYOS!$C$5:$C$3004,F470,ENSAYOS!$Q$5:$Q$3004,"&gt;0"))</f>
        <v/>
      </c>
      <c r="S470" s="16" t="str">
        <f aca="false">IF(N(M470)&lt;2,"",SQRT(MAX(0,(SUMIFS(ENSAYOS!$X$5:$X$3004,ENSAYOS!$C$5:$C$3004,F470,ENSAYOS!$Q$5:$Q$3004,"&gt;0")-M470*P470^2)/(M470-1))))</f>
        <v/>
      </c>
      <c r="T470" s="17" t="str">
        <f aca="false">IF(S470="","",S470/P470)</f>
        <v/>
      </c>
      <c r="U470" s="16" t="str">
        <f aca="false">IF(N(M470)=0,"",IF(N470&gt;=CONFIG!$B$27,"",AVERAGEIFS(ENSAYOS!$Q$5:$Q$3004,ENSAYOS!$C$5:$C$3004,F470,ENSAYOS!$Q$5:$Q$3004,"&gt;0",ENSAYOS!$G$5:$G$3004,N470)))</f>
        <v/>
      </c>
      <c r="V470" s="16" t="str">
        <f aca="false">IF(N(M470)=0,"",IF(COUNTIFS(ENSAYOS!$C$5:$C$3004,F470,ENSAYOS!$Q$5:$Q$3004,"&gt;0",ENSAYOS!$G$5:$G$3004,"&gt;="&amp;CONFIG!$B$27)=0,"",AVERAGEIFS(ENSAYOS!$Q$5:$Q$3004,ENSAYOS!$C$5:$C$3004,F470,ENSAYOS!$Q$5:$Q$3004,"&gt;0",ENSAYOS!$G$5:$G$3004,"&gt;="&amp;CONFIG!$B$27)))</f>
        <v/>
      </c>
      <c r="W470" s="18" t="str">
        <f aca="false">IF(AND(U470&lt;&gt;"",V470&lt;&gt;""),U470/V470,"")</f>
        <v/>
      </c>
      <c r="X470" s="18" t="str">
        <f aca="false">IF(U470="","",INDEX('CURVA EDAD'!$E$5:$E$32,MIN(28,MAX(1,N470))))</f>
        <v/>
      </c>
      <c r="Y470" s="16" t="str">
        <f aca="false">IF(V470&lt;&gt;"",V470,IF(U470="","",U470/X470))</f>
        <v/>
      </c>
      <c r="Z470" s="16" t="str">
        <f aca="false">IF(V470&lt;&gt;"",_xlfn.MINIFS(ENSAYOS!$Q$5:$Q$3004,ENSAYOS!$C$5:$C$3004,F470,ENSAYOS!$Q$5:$Q$3004,"&gt;0",ENSAYOS!$G$5:$G$3004,"&gt;="&amp;CONFIG!$B$27),IF(U470="","",_xlfn.MINIFS(ENSAYOS!$Q$5:$Q$3004,ENSAYOS!$C$5:$C$3004,F470,ENSAYOS!$Q$5:$Q$3004,"&gt;0",ENSAYOS!$G$5:$G$3004,N470)/X470))</f>
        <v/>
      </c>
      <c r="AA470" s="16" t="str">
        <f aca="false">IF(D470="","",IFERROR(1/(1/INDEX(CONFIG!$J$5:$J$14,MATCH(D470,CONFIG!$D$5:$D$14,0))),""))</f>
        <v/>
      </c>
      <c r="AB470" s="16" t="str">
        <f aca="false">IF(D470="","",IFERROR(1/(1/INDEX(CONFIG!$K$5:$K$14,MATCH(D470,CONFIG!$D$5:$D$14,0))),""))</f>
        <v/>
      </c>
      <c r="AC470" s="19" t="str">
        <f aca="false">IF(N(M470)=0,"",IF(AA470="","Sin spec",IF(AND(Y470&gt;=AA470,OR(AB470="",Z470&gt;=AB470)),"CUMPLE","NO CUMPLE")&amp;IF(V470=""," (est.)","")))</f>
        <v/>
      </c>
      <c r="AD470" s="20" t="str">
        <f aca="false">IF(F470="","",IF(COUNTIFS(ABSORCION!$C$5:$C$1004,F470,ABSORCION!$I$5:$I$1004,"&gt;0")=0,"",AVERAGEIFS(ABSORCION!$I$5:$I$1004,ABSORCION!$C$5:$C$1004,F470,ABSORCION!$I$5:$I$1004,"&gt;0")))</f>
        <v/>
      </c>
      <c r="AE470" s="20" t="str">
        <f aca="false">IF(F470="","",IF(COUNTIFS(ABSORCION!$C$5:$C$1004,F470,ABSORCION!$I$5:$I$1004,"&gt;0")=0,"",AVERAGEIFS(ABSORCION!$K$5:$K$1004,ABSORCION!$C$5:$C$1004,F470,ABSORCION!$I$5:$I$1004,"&gt;0")))</f>
        <v/>
      </c>
      <c r="AF470" s="20" t="str">
        <f aca="false">IF(AE470="","",IF(AE470&gt;=CONFIG!$E$21,CONFIG!$F$21,IF(AE470&gt;=CONFIG!$E$20,CONFIG!$F$20,CONFIG!$F$19)))</f>
        <v/>
      </c>
      <c r="AG470" s="21" t="str">
        <f aca="false">IF(F470="","",TRIM(IF(N(M470)=0,"Sin ensayos. ","")&amp;IF(AND(N(M470)&gt;0,N(M470)&lt;CONFIG!$B$26),"Menos de "&amp;CONFIG!$B$26&amp;" probetas. ","")&amp;IF(N(T470)&gt;CONFIG!$B$25,"CV alto. ","")&amp;IF(AND(N(AD470)&gt;0,N(AD470)&gt;N(AF470)),"Absorción alta. ","")))</f>
        <v/>
      </c>
      <c r="AH470" s="22" t="str">
        <f aca="false">IF(AND(N(M470)&gt;0,OR(CONTROL!$C$4="TODAS",C470=CONTROL!$C$4),D470=CONTROL!$C$5),MAX($AH$4:AH469)+1,"")</f>
        <v/>
      </c>
      <c r="AI470" s="22" t="str">
        <f aca="false">IF(AH470="","",P470^2)</f>
        <v/>
      </c>
    </row>
    <row r="471" customFormat="false" ht="15" hidden="false" customHeight="false" outlineLevel="0" collapsed="false">
      <c r="A471" s="11" t="str">
        <f aca="false">IF(B471="","",ROW()-4)</f>
        <v/>
      </c>
      <c r="B471" s="12"/>
      <c r="C471" s="13"/>
      <c r="D471" s="13"/>
      <c r="E471" s="13"/>
      <c r="F471" s="14" t="str">
        <f aca="false">IF(OR(B471="",C471="",D471=""),"",IFERROR(INDEX(CONFIG!$E$5:$E$14,MATCH(D471,CONFIG!$D$5:$D$14,0)),"?")&amp;RIGHT("0"&amp;DAY(B471),2)&amp;RIGHT("0"&amp;MONTH(B471),2)&amp;RIGHT(YEAR(B471),2)&amp;C471&amp;IF(E471="","","-"&amp;E471))</f>
        <v/>
      </c>
      <c r="G471" s="13"/>
      <c r="H471" s="13"/>
      <c r="I471" s="13"/>
      <c r="J471" s="13"/>
      <c r="K471" s="13"/>
      <c r="L471" s="13"/>
      <c r="M471" s="11" t="str">
        <f aca="false">IF(F471="","",COUNTIFS(ENSAYOS!$C$5:$C$3004,F471,ENSAYOS!$Q$5:$Q$3004,"&gt;0"))</f>
        <v/>
      </c>
      <c r="N471" s="15" t="str">
        <f aca="false">IF(N(M471)=0,"",_xlfn.MINIFS(ENSAYOS!$G$5:$G$3004,ENSAYOS!$C$5:$C$3004,F471,ENSAYOS!$Q$5:$Q$3004,"&gt;0"))</f>
        <v/>
      </c>
      <c r="O471" s="15" t="str">
        <f aca="false">IF(N(M471)=0,"",_xlfn.MAXIFS(ENSAYOS!$G$5:$G$3004,ENSAYOS!$C$5:$C$3004,F471,ENSAYOS!$Q$5:$Q$3004,"&gt;0"))</f>
        <v/>
      </c>
      <c r="P471" s="16" t="str">
        <f aca="false">IF(N(M471)=0,"",AVERAGEIFS(ENSAYOS!$Q$5:$Q$3004,ENSAYOS!$C$5:$C$3004,F471,ENSAYOS!$Q$5:$Q$3004,"&gt;0"))</f>
        <v/>
      </c>
      <c r="Q471" s="16" t="str">
        <f aca="false">IF(N(M471)=0,"",_xlfn.MINIFS(ENSAYOS!$Q$5:$Q$3004,ENSAYOS!$C$5:$C$3004,F471,ENSAYOS!$Q$5:$Q$3004,"&gt;0"))</f>
        <v/>
      </c>
      <c r="R471" s="16" t="str">
        <f aca="false">IF(N(M471)=0,"",_xlfn.MAXIFS(ENSAYOS!$Q$5:$Q$3004,ENSAYOS!$C$5:$C$3004,F471,ENSAYOS!$Q$5:$Q$3004,"&gt;0"))</f>
        <v/>
      </c>
      <c r="S471" s="16" t="str">
        <f aca="false">IF(N(M471)&lt;2,"",SQRT(MAX(0,(SUMIFS(ENSAYOS!$X$5:$X$3004,ENSAYOS!$C$5:$C$3004,F471,ENSAYOS!$Q$5:$Q$3004,"&gt;0")-M471*P471^2)/(M471-1))))</f>
        <v/>
      </c>
      <c r="T471" s="17" t="str">
        <f aca="false">IF(S471="","",S471/P471)</f>
        <v/>
      </c>
      <c r="U471" s="16" t="str">
        <f aca="false">IF(N(M471)=0,"",IF(N471&gt;=CONFIG!$B$27,"",AVERAGEIFS(ENSAYOS!$Q$5:$Q$3004,ENSAYOS!$C$5:$C$3004,F471,ENSAYOS!$Q$5:$Q$3004,"&gt;0",ENSAYOS!$G$5:$G$3004,N471)))</f>
        <v/>
      </c>
      <c r="V471" s="16" t="str">
        <f aca="false">IF(N(M471)=0,"",IF(COUNTIFS(ENSAYOS!$C$5:$C$3004,F471,ENSAYOS!$Q$5:$Q$3004,"&gt;0",ENSAYOS!$G$5:$G$3004,"&gt;="&amp;CONFIG!$B$27)=0,"",AVERAGEIFS(ENSAYOS!$Q$5:$Q$3004,ENSAYOS!$C$5:$C$3004,F471,ENSAYOS!$Q$5:$Q$3004,"&gt;0",ENSAYOS!$G$5:$G$3004,"&gt;="&amp;CONFIG!$B$27)))</f>
        <v/>
      </c>
      <c r="W471" s="18" t="str">
        <f aca="false">IF(AND(U471&lt;&gt;"",V471&lt;&gt;""),U471/V471,"")</f>
        <v/>
      </c>
      <c r="X471" s="18" t="str">
        <f aca="false">IF(U471="","",INDEX('CURVA EDAD'!$E$5:$E$32,MIN(28,MAX(1,N471))))</f>
        <v/>
      </c>
      <c r="Y471" s="16" t="str">
        <f aca="false">IF(V471&lt;&gt;"",V471,IF(U471="","",U471/X471))</f>
        <v/>
      </c>
      <c r="Z471" s="16" t="str">
        <f aca="false">IF(V471&lt;&gt;"",_xlfn.MINIFS(ENSAYOS!$Q$5:$Q$3004,ENSAYOS!$C$5:$C$3004,F471,ENSAYOS!$Q$5:$Q$3004,"&gt;0",ENSAYOS!$G$5:$G$3004,"&gt;="&amp;CONFIG!$B$27),IF(U471="","",_xlfn.MINIFS(ENSAYOS!$Q$5:$Q$3004,ENSAYOS!$C$5:$C$3004,F471,ENSAYOS!$Q$5:$Q$3004,"&gt;0",ENSAYOS!$G$5:$G$3004,N471)/X471))</f>
        <v/>
      </c>
      <c r="AA471" s="16" t="str">
        <f aca="false">IF(D471="","",IFERROR(1/(1/INDEX(CONFIG!$J$5:$J$14,MATCH(D471,CONFIG!$D$5:$D$14,0))),""))</f>
        <v/>
      </c>
      <c r="AB471" s="16" t="str">
        <f aca="false">IF(D471="","",IFERROR(1/(1/INDEX(CONFIG!$K$5:$K$14,MATCH(D471,CONFIG!$D$5:$D$14,0))),""))</f>
        <v/>
      </c>
      <c r="AC471" s="19" t="str">
        <f aca="false">IF(N(M471)=0,"",IF(AA471="","Sin spec",IF(AND(Y471&gt;=AA471,OR(AB471="",Z471&gt;=AB471)),"CUMPLE","NO CUMPLE")&amp;IF(V471=""," (est.)","")))</f>
        <v/>
      </c>
      <c r="AD471" s="20" t="str">
        <f aca="false">IF(F471="","",IF(COUNTIFS(ABSORCION!$C$5:$C$1004,F471,ABSORCION!$I$5:$I$1004,"&gt;0")=0,"",AVERAGEIFS(ABSORCION!$I$5:$I$1004,ABSORCION!$C$5:$C$1004,F471,ABSORCION!$I$5:$I$1004,"&gt;0")))</f>
        <v/>
      </c>
      <c r="AE471" s="20" t="str">
        <f aca="false">IF(F471="","",IF(COUNTIFS(ABSORCION!$C$5:$C$1004,F471,ABSORCION!$I$5:$I$1004,"&gt;0")=0,"",AVERAGEIFS(ABSORCION!$K$5:$K$1004,ABSORCION!$C$5:$C$1004,F471,ABSORCION!$I$5:$I$1004,"&gt;0")))</f>
        <v/>
      </c>
      <c r="AF471" s="20" t="str">
        <f aca="false">IF(AE471="","",IF(AE471&gt;=CONFIG!$E$21,CONFIG!$F$21,IF(AE471&gt;=CONFIG!$E$20,CONFIG!$F$20,CONFIG!$F$19)))</f>
        <v/>
      </c>
      <c r="AG471" s="21" t="str">
        <f aca="false">IF(F471="","",TRIM(IF(N(M471)=0,"Sin ensayos. ","")&amp;IF(AND(N(M471)&gt;0,N(M471)&lt;CONFIG!$B$26),"Menos de "&amp;CONFIG!$B$26&amp;" probetas. ","")&amp;IF(N(T471)&gt;CONFIG!$B$25,"CV alto. ","")&amp;IF(AND(N(AD471)&gt;0,N(AD471)&gt;N(AF471)),"Absorción alta. ","")))</f>
        <v/>
      </c>
      <c r="AH471" s="22" t="str">
        <f aca="false">IF(AND(N(M471)&gt;0,OR(CONTROL!$C$4="TODAS",C471=CONTROL!$C$4),D471=CONTROL!$C$5),MAX($AH$4:AH470)+1,"")</f>
        <v/>
      </c>
      <c r="AI471" s="22" t="str">
        <f aca="false">IF(AH471="","",P471^2)</f>
        <v/>
      </c>
    </row>
    <row r="472" customFormat="false" ht="15" hidden="false" customHeight="false" outlineLevel="0" collapsed="false">
      <c r="A472" s="11" t="str">
        <f aca="false">IF(B472="","",ROW()-4)</f>
        <v/>
      </c>
      <c r="B472" s="12"/>
      <c r="C472" s="13"/>
      <c r="D472" s="13"/>
      <c r="E472" s="13"/>
      <c r="F472" s="14" t="str">
        <f aca="false">IF(OR(B472="",C472="",D472=""),"",IFERROR(INDEX(CONFIG!$E$5:$E$14,MATCH(D472,CONFIG!$D$5:$D$14,0)),"?")&amp;RIGHT("0"&amp;DAY(B472),2)&amp;RIGHT("0"&amp;MONTH(B472),2)&amp;RIGHT(YEAR(B472),2)&amp;C472&amp;IF(E472="","","-"&amp;E472))</f>
        <v/>
      </c>
      <c r="G472" s="13"/>
      <c r="H472" s="13"/>
      <c r="I472" s="13"/>
      <c r="J472" s="13"/>
      <c r="K472" s="13"/>
      <c r="L472" s="13"/>
      <c r="M472" s="11" t="str">
        <f aca="false">IF(F472="","",COUNTIFS(ENSAYOS!$C$5:$C$3004,F472,ENSAYOS!$Q$5:$Q$3004,"&gt;0"))</f>
        <v/>
      </c>
      <c r="N472" s="15" t="str">
        <f aca="false">IF(N(M472)=0,"",_xlfn.MINIFS(ENSAYOS!$G$5:$G$3004,ENSAYOS!$C$5:$C$3004,F472,ENSAYOS!$Q$5:$Q$3004,"&gt;0"))</f>
        <v/>
      </c>
      <c r="O472" s="15" t="str">
        <f aca="false">IF(N(M472)=0,"",_xlfn.MAXIFS(ENSAYOS!$G$5:$G$3004,ENSAYOS!$C$5:$C$3004,F472,ENSAYOS!$Q$5:$Q$3004,"&gt;0"))</f>
        <v/>
      </c>
      <c r="P472" s="16" t="str">
        <f aca="false">IF(N(M472)=0,"",AVERAGEIFS(ENSAYOS!$Q$5:$Q$3004,ENSAYOS!$C$5:$C$3004,F472,ENSAYOS!$Q$5:$Q$3004,"&gt;0"))</f>
        <v/>
      </c>
      <c r="Q472" s="16" t="str">
        <f aca="false">IF(N(M472)=0,"",_xlfn.MINIFS(ENSAYOS!$Q$5:$Q$3004,ENSAYOS!$C$5:$C$3004,F472,ENSAYOS!$Q$5:$Q$3004,"&gt;0"))</f>
        <v/>
      </c>
      <c r="R472" s="16" t="str">
        <f aca="false">IF(N(M472)=0,"",_xlfn.MAXIFS(ENSAYOS!$Q$5:$Q$3004,ENSAYOS!$C$5:$C$3004,F472,ENSAYOS!$Q$5:$Q$3004,"&gt;0"))</f>
        <v/>
      </c>
      <c r="S472" s="16" t="str">
        <f aca="false">IF(N(M472)&lt;2,"",SQRT(MAX(0,(SUMIFS(ENSAYOS!$X$5:$X$3004,ENSAYOS!$C$5:$C$3004,F472,ENSAYOS!$Q$5:$Q$3004,"&gt;0")-M472*P472^2)/(M472-1))))</f>
        <v/>
      </c>
      <c r="T472" s="17" t="str">
        <f aca="false">IF(S472="","",S472/P472)</f>
        <v/>
      </c>
      <c r="U472" s="16" t="str">
        <f aca="false">IF(N(M472)=0,"",IF(N472&gt;=CONFIG!$B$27,"",AVERAGEIFS(ENSAYOS!$Q$5:$Q$3004,ENSAYOS!$C$5:$C$3004,F472,ENSAYOS!$Q$5:$Q$3004,"&gt;0",ENSAYOS!$G$5:$G$3004,N472)))</f>
        <v/>
      </c>
      <c r="V472" s="16" t="str">
        <f aca="false">IF(N(M472)=0,"",IF(COUNTIFS(ENSAYOS!$C$5:$C$3004,F472,ENSAYOS!$Q$5:$Q$3004,"&gt;0",ENSAYOS!$G$5:$G$3004,"&gt;="&amp;CONFIG!$B$27)=0,"",AVERAGEIFS(ENSAYOS!$Q$5:$Q$3004,ENSAYOS!$C$5:$C$3004,F472,ENSAYOS!$Q$5:$Q$3004,"&gt;0",ENSAYOS!$G$5:$G$3004,"&gt;="&amp;CONFIG!$B$27)))</f>
        <v/>
      </c>
      <c r="W472" s="18" t="str">
        <f aca="false">IF(AND(U472&lt;&gt;"",V472&lt;&gt;""),U472/V472,"")</f>
        <v/>
      </c>
      <c r="X472" s="18" t="str">
        <f aca="false">IF(U472="","",INDEX('CURVA EDAD'!$E$5:$E$32,MIN(28,MAX(1,N472))))</f>
        <v/>
      </c>
      <c r="Y472" s="16" t="str">
        <f aca="false">IF(V472&lt;&gt;"",V472,IF(U472="","",U472/X472))</f>
        <v/>
      </c>
      <c r="Z472" s="16" t="str">
        <f aca="false">IF(V472&lt;&gt;"",_xlfn.MINIFS(ENSAYOS!$Q$5:$Q$3004,ENSAYOS!$C$5:$C$3004,F472,ENSAYOS!$Q$5:$Q$3004,"&gt;0",ENSAYOS!$G$5:$G$3004,"&gt;="&amp;CONFIG!$B$27),IF(U472="","",_xlfn.MINIFS(ENSAYOS!$Q$5:$Q$3004,ENSAYOS!$C$5:$C$3004,F472,ENSAYOS!$Q$5:$Q$3004,"&gt;0",ENSAYOS!$G$5:$G$3004,N472)/X472))</f>
        <v/>
      </c>
      <c r="AA472" s="16" t="str">
        <f aca="false">IF(D472="","",IFERROR(1/(1/INDEX(CONFIG!$J$5:$J$14,MATCH(D472,CONFIG!$D$5:$D$14,0))),""))</f>
        <v/>
      </c>
      <c r="AB472" s="16" t="str">
        <f aca="false">IF(D472="","",IFERROR(1/(1/INDEX(CONFIG!$K$5:$K$14,MATCH(D472,CONFIG!$D$5:$D$14,0))),""))</f>
        <v/>
      </c>
      <c r="AC472" s="19" t="str">
        <f aca="false">IF(N(M472)=0,"",IF(AA472="","Sin spec",IF(AND(Y472&gt;=AA472,OR(AB472="",Z472&gt;=AB472)),"CUMPLE","NO CUMPLE")&amp;IF(V472=""," (est.)","")))</f>
        <v/>
      </c>
      <c r="AD472" s="20" t="str">
        <f aca="false">IF(F472="","",IF(COUNTIFS(ABSORCION!$C$5:$C$1004,F472,ABSORCION!$I$5:$I$1004,"&gt;0")=0,"",AVERAGEIFS(ABSORCION!$I$5:$I$1004,ABSORCION!$C$5:$C$1004,F472,ABSORCION!$I$5:$I$1004,"&gt;0")))</f>
        <v/>
      </c>
      <c r="AE472" s="20" t="str">
        <f aca="false">IF(F472="","",IF(COUNTIFS(ABSORCION!$C$5:$C$1004,F472,ABSORCION!$I$5:$I$1004,"&gt;0")=0,"",AVERAGEIFS(ABSORCION!$K$5:$K$1004,ABSORCION!$C$5:$C$1004,F472,ABSORCION!$I$5:$I$1004,"&gt;0")))</f>
        <v/>
      </c>
      <c r="AF472" s="20" t="str">
        <f aca="false">IF(AE472="","",IF(AE472&gt;=CONFIG!$E$21,CONFIG!$F$21,IF(AE472&gt;=CONFIG!$E$20,CONFIG!$F$20,CONFIG!$F$19)))</f>
        <v/>
      </c>
      <c r="AG472" s="21" t="str">
        <f aca="false">IF(F472="","",TRIM(IF(N(M472)=0,"Sin ensayos. ","")&amp;IF(AND(N(M472)&gt;0,N(M472)&lt;CONFIG!$B$26),"Menos de "&amp;CONFIG!$B$26&amp;" probetas. ","")&amp;IF(N(T472)&gt;CONFIG!$B$25,"CV alto. ","")&amp;IF(AND(N(AD472)&gt;0,N(AD472)&gt;N(AF472)),"Absorción alta. ","")))</f>
        <v/>
      </c>
      <c r="AH472" s="22" t="str">
        <f aca="false">IF(AND(N(M472)&gt;0,OR(CONTROL!$C$4="TODAS",C472=CONTROL!$C$4),D472=CONTROL!$C$5),MAX($AH$4:AH471)+1,"")</f>
        <v/>
      </c>
      <c r="AI472" s="22" t="str">
        <f aca="false">IF(AH472="","",P472^2)</f>
        <v/>
      </c>
    </row>
    <row r="473" customFormat="false" ht="15" hidden="false" customHeight="false" outlineLevel="0" collapsed="false">
      <c r="A473" s="11" t="str">
        <f aca="false">IF(B473="","",ROW()-4)</f>
        <v/>
      </c>
      <c r="B473" s="12"/>
      <c r="C473" s="13"/>
      <c r="D473" s="13"/>
      <c r="E473" s="13"/>
      <c r="F473" s="14" t="str">
        <f aca="false">IF(OR(B473="",C473="",D473=""),"",IFERROR(INDEX(CONFIG!$E$5:$E$14,MATCH(D473,CONFIG!$D$5:$D$14,0)),"?")&amp;RIGHT("0"&amp;DAY(B473),2)&amp;RIGHT("0"&amp;MONTH(B473),2)&amp;RIGHT(YEAR(B473),2)&amp;C473&amp;IF(E473="","","-"&amp;E473))</f>
        <v/>
      </c>
      <c r="G473" s="13"/>
      <c r="H473" s="13"/>
      <c r="I473" s="13"/>
      <c r="J473" s="13"/>
      <c r="K473" s="13"/>
      <c r="L473" s="13"/>
      <c r="M473" s="11" t="str">
        <f aca="false">IF(F473="","",COUNTIFS(ENSAYOS!$C$5:$C$3004,F473,ENSAYOS!$Q$5:$Q$3004,"&gt;0"))</f>
        <v/>
      </c>
      <c r="N473" s="15" t="str">
        <f aca="false">IF(N(M473)=0,"",_xlfn.MINIFS(ENSAYOS!$G$5:$G$3004,ENSAYOS!$C$5:$C$3004,F473,ENSAYOS!$Q$5:$Q$3004,"&gt;0"))</f>
        <v/>
      </c>
      <c r="O473" s="15" t="str">
        <f aca="false">IF(N(M473)=0,"",_xlfn.MAXIFS(ENSAYOS!$G$5:$G$3004,ENSAYOS!$C$5:$C$3004,F473,ENSAYOS!$Q$5:$Q$3004,"&gt;0"))</f>
        <v/>
      </c>
      <c r="P473" s="16" t="str">
        <f aca="false">IF(N(M473)=0,"",AVERAGEIFS(ENSAYOS!$Q$5:$Q$3004,ENSAYOS!$C$5:$C$3004,F473,ENSAYOS!$Q$5:$Q$3004,"&gt;0"))</f>
        <v/>
      </c>
      <c r="Q473" s="16" t="str">
        <f aca="false">IF(N(M473)=0,"",_xlfn.MINIFS(ENSAYOS!$Q$5:$Q$3004,ENSAYOS!$C$5:$C$3004,F473,ENSAYOS!$Q$5:$Q$3004,"&gt;0"))</f>
        <v/>
      </c>
      <c r="R473" s="16" t="str">
        <f aca="false">IF(N(M473)=0,"",_xlfn.MAXIFS(ENSAYOS!$Q$5:$Q$3004,ENSAYOS!$C$5:$C$3004,F473,ENSAYOS!$Q$5:$Q$3004,"&gt;0"))</f>
        <v/>
      </c>
      <c r="S473" s="16" t="str">
        <f aca="false">IF(N(M473)&lt;2,"",SQRT(MAX(0,(SUMIFS(ENSAYOS!$X$5:$X$3004,ENSAYOS!$C$5:$C$3004,F473,ENSAYOS!$Q$5:$Q$3004,"&gt;0")-M473*P473^2)/(M473-1))))</f>
        <v/>
      </c>
      <c r="T473" s="17" t="str">
        <f aca="false">IF(S473="","",S473/P473)</f>
        <v/>
      </c>
      <c r="U473" s="16" t="str">
        <f aca="false">IF(N(M473)=0,"",IF(N473&gt;=CONFIG!$B$27,"",AVERAGEIFS(ENSAYOS!$Q$5:$Q$3004,ENSAYOS!$C$5:$C$3004,F473,ENSAYOS!$Q$5:$Q$3004,"&gt;0",ENSAYOS!$G$5:$G$3004,N473)))</f>
        <v/>
      </c>
      <c r="V473" s="16" t="str">
        <f aca="false">IF(N(M473)=0,"",IF(COUNTIFS(ENSAYOS!$C$5:$C$3004,F473,ENSAYOS!$Q$5:$Q$3004,"&gt;0",ENSAYOS!$G$5:$G$3004,"&gt;="&amp;CONFIG!$B$27)=0,"",AVERAGEIFS(ENSAYOS!$Q$5:$Q$3004,ENSAYOS!$C$5:$C$3004,F473,ENSAYOS!$Q$5:$Q$3004,"&gt;0",ENSAYOS!$G$5:$G$3004,"&gt;="&amp;CONFIG!$B$27)))</f>
        <v/>
      </c>
      <c r="W473" s="18" t="str">
        <f aca="false">IF(AND(U473&lt;&gt;"",V473&lt;&gt;""),U473/V473,"")</f>
        <v/>
      </c>
      <c r="X473" s="18" t="str">
        <f aca="false">IF(U473="","",INDEX('CURVA EDAD'!$E$5:$E$32,MIN(28,MAX(1,N473))))</f>
        <v/>
      </c>
      <c r="Y473" s="16" t="str">
        <f aca="false">IF(V473&lt;&gt;"",V473,IF(U473="","",U473/X473))</f>
        <v/>
      </c>
      <c r="Z473" s="16" t="str">
        <f aca="false">IF(V473&lt;&gt;"",_xlfn.MINIFS(ENSAYOS!$Q$5:$Q$3004,ENSAYOS!$C$5:$C$3004,F473,ENSAYOS!$Q$5:$Q$3004,"&gt;0",ENSAYOS!$G$5:$G$3004,"&gt;="&amp;CONFIG!$B$27),IF(U473="","",_xlfn.MINIFS(ENSAYOS!$Q$5:$Q$3004,ENSAYOS!$C$5:$C$3004,F473,ENSAYOS!$Q$5:$Q$3004,"&gt;0",ENSAYOS!$G$5:$G$3004,N473)/X473))</f>
        <v/>
      </c>
      <c r="AA473" s="16" t="str">
        <f aca="false">IF(D473="","",IFERROR(1/(1/INDEX(CONFIG!$J$5:$J$14,MATCH(D473,CONFIG!$D$5:$D$14,0))),""))</f>
        <v/>
      </c>
      <c r="AB473" s="16" t="str">
        <f aca="false">IF(D473="","",IFERROR(1/(1/INDEX(CONFIG!$K$5:$K$14,MATCH(D473,CONFIG!$D$5:$D$14,0))),""))</f>
        <v/>
      </c>
      <c r="AC473" s="19" t="str">
        <f aca="false">IF(N(M473)=0,"",IF(AA473="","Sin spec",IF(AND(Y473&gt;=AA473,OR(AB473="",Z473&gt;=AB473)),"CUMPLE","NO CUMPLE")&amp;IF(V473=""," (est.)","")))</f>
        <v/>
      </c>
      <c r="AD473" s="20" t="str">
        <f aca="false">IF(F473="","",IF(COUNTIFS(ABSORCION!$C$5:$C$1004,F473,ABSORCION!$I$5:$I$1004,"&gt;0")=0,"",AVERAGEIFS(ABSORCION!$I$5:$I$1004,ABSORCION!$C$5:$C$1004,F473,ABSORCION!$I$5:$I$1004,"&gt;0")))</f>
        <v/>
      </c>
      <c r="AE473" s="20" t="str">
        <f aca="false">IF(F473="","",IF(COUNTIFS(ABSORCION!$C$5:$C$1004,F473,ABSORCION!$I$5:$I$1004,"&gt;0")=0,"",AVERAGEIFS(ABSORCION!$K$5:$K$1004,ABSORCION!$C$5:$C$1004,F473,ABSORCION!$I$5:$I$1004,"&gt;0")))</f>
        <v/>
      </c>
      <c r="AF473" s="20" t="str">
        <f aca="false">IF(AE473="","",IF(AE473&gt;=CONFIG!$E$21,CONFIG!$F$21,IF(AE473&gt;=CONFIG!$E$20,CONFIG!$F$20,CONFIG!$F$19)))</f>
        <v/>
      </c>
      <c r="AG473" s="21" t="str">
        <f aca="false">IF(F473="","",TRIM(IF(N(M473)=0,"Sin ensayos. ","")&amp;IF(AND(N(M473)&gt;0,N(M473)&lt;CONFIG!$B$26),"Menos de "&amp;CONFIG!$B$26&amp;" probetas. ","")&amp;IF(N(T473)&gt;CONFIG!$B$25,"CV alto. ","")&amp;IF(AND(N(AD473)&gt;0,N(AD473)&gt;N(AF473)),"Absorción alta. ","")))</f>
        <v/>
      </c>
      <c r="AH473" s="22" t="str">
        <f aca="false">IF(AND(N(M473)&gt;0,OR(CONTROL!$C$4="TODAS",C473=CONTROL!$C$4),D473=CONTROL!$C$5),MAX($AH$4:AH472)+1,"")</f>
        <v/>
      </c>
      <c r="AI473" s="22" t="str">
        <f aca="false">IF(AH473="","",P473^2)</f>
        <v/>
      </c>
    </row>
    <row r="474" customFormat="false" ht="15" hidden="false" customHeight="false" outlineLevel="0" collapsed="false">
      <c r="A474" s="11" t="str">
        <f aca="false">IF(B474="","",ROW()-4)</f>
        <v/>
      </c>
      <c r="B474" s="12"/>
      <c r="C474" s="13"/>
      <c r="D474" s="13"/>
      <c r="E474" s="13"/>
      <c r="F474" s="14" t="str">
        <f aca="false">IF(OR(B474="",C474="",D474=""),"",IFERROR(INDEX(CONFIG!$E$5:$E$14,MATCH(D474,CONFIG!$D$5:$D$14,0)),"?")&amp;RIGHT("0"&amp;DAY(B474),2)&amp;RIGHT("0"&amp;MONTH(B474),2)&amp;RIGHT(YEAR(B474),2)&amp;C474&amp;IF(E474="","","-"&amp;E474))</f>
        <v/>
      </c>
      <c r="G474" s="13"/>
      <c r="H474" s="13"/>
      <c r="I474" s="13"/>
      <c r="J474" s="13"/>
      <c r="K474" s="13"/>
      <c r="L474" s="13"/>
      <c r="M474" s="11" t="str">
        <f aca="false">IF(F474="","",COUNTIFS(ENSAYOS!$C$5:$C$3004,F474,ENSAYOS!$Q$5:$Q$3004,"&gt;0"))</f>
        <v/>
      </c>
      <c r="N474" s="15" t="str">
        <f aca="false">IF(N(M474)=0,"",_xlfn.MINIFS(ENSAYOS!$G$5:$G$3004,ENSAYOS!$C$5:$C$3004,F474,ENSAYOS!$Q$5:$Q$3004,"&gt;0"))</f>
        <v/>
      </c>
      <c r="O474" s="15" t="str">
        <f aca="false">IF(N(M474)=0,"",_xlfn.MAXIFS(ENSAYOS!$G$5:$G$3004,ENSAYOS!$C$5:$C$3004,F474,ENSAYOS!$Q$5:$Q$3004,"&gt;0"))</f>
        <v/>
      </c>
      <c r="P474" s="16" t="str">
        <f aca="false">IF(N(M474)=0,"",AVERAGEIFS(ENSAYOS!$Q$5:$Q$3004,ENSAYOS!$C$5:$C$3004,F474,ENSAYOS!$Q$5:$Q$3004,"&gt;0"))</f>
        <v/>
      </c>
      <c r="Q474" s="16" t="str">
        <f aca="false">IF(N(M474)=0,"",_xlfn.MINIFS(ENSAYOS!$Q$5:$Q$3004,ENSAYOS!$C$5:$C$3004,F474,ENSAYOS!$Q$5:$Q$3004,"&gt;0"))</f>
        <v/>
      </c>
      <c r="R474" s="16" t="str">
        <f aca="false">IF(N(M474)=0,"",_xlfn.MAXIFS(ENSAYOS!$Q$5:$Q$3004,ENSAYOS!$C$5:$C$3004,F474,ENSAYOS!$Q$5:$Q$3004,"&gt;0"))</f>
        <v/>
      </c>
      <c r="S474" s="16" t="str">
        <f aca="false">IF(N(M474)&lt;2,"",SQRT(MAX(0,(SUMIFS(ENSAYOS!$X$5:$X$3004,ENSAYOS!$C$5:$C$3004,F474,ENSAYOS!$Q$5:$Q$3004,"&gt;0")-M474*P474^2)/(M474-1))))</f>
        <v/>
      </c>
      <c r="T474" s="17" t="str">
        <f aca="false">IF(S474="","",S474/P474)</f>
        <v/>
      </c>
      <c r="U474" s="16" t="str">
        <f aca="false">IF(N(M474)=0,"",IF(N474&gt;=CONFIG!$B$27,"",AVERAGEIFS(ENSAYOS!$Q$5:$Q$3004,ENSAYOS!$C$5:$C$3004,F474,ENSAYOS!$Q$5:$Q$3004,"&gt;0",ENSAYOS!$G$5:$G$3004,N474)))</f>
        <v/>
      </c>
      <c r="V474" s="16" t="str">
        <f aca="false">IF(N(M474)=0,"",IF(COUNTIFS(ENSAYOS!$C$5:$C$3004,F474,ENSAYOS!$Q$5:$Q$3004,"&gt;0",ENSAYOS!$G$5:$G$3004,"&gt;="&amp;CONFIG!$B$27)=0,"",AVERAGEIFS(ENSAYOS!$Q$5:$Q$3004,ENSAYOS!$C$5:$C$3004,F474,ENSAYOS!$Q$5:$Q$3004,"&gt;0",ENSAYOS!$G$5:$G$3004,"&gt;="&amp;CONFIG!$B$27)))</f>
        <v/>
      </c>
      <c r="W474" s="18" t="str">
        <f aca="false">IF(AND(U474&lt;&gt;"",V474&lt;&gt;""),U474/V474,"")</f>
        <v/>
      </c>
      <c r="X474" s="18" t="str">
        <f aca="false">IF(U474="","",INDEX('CURVA EDAD'!$E$5:$E$32,MIN(28,MAX(1,N474))))</f>
        <v/>
      </c>
      <c r="Y474" s="16" t="str">
        <f aca="false">IF(V474&lt;&gt;"",V474,IF(U474="","",U474/X474))</f>
        <v/>
      </c>
      <c r="Z474" s="16" t="str">
        <f aca="false">IF(V474&lt;&gt;"",_xlfn.MINIFS(ENSAYOS!$Q$5:$Q$3004,ENSAYOS!$C$5:$C$3004,F474,ENSAYOS!$Q$5:$Q$3004,"&gt;0",ENSAYOS!$G$5:$G$3004,"&gt;="&amp;CONFIG!$B$27),IF(U474="","",_xlfn.MINIFS(ENSAYOS!$Q$5:$Q$3004,ENSAYOS!$C$5:$C$3004,F474,ENSAYOS!$Q$5:$Q$3004,"&gt;0",ENSAYOS!$G$5:$G$3004,N474)/X474))</f>
        <v/>
      </c>
      <c r="AA474" s="16" t="str">
        <f aca="false">IF(D474="","",IFERROR(1/(1/INDEX(CONFIG!$J$5:$J$14,MATCH(D474,CONFIG!$D$5:$D$14,0))),""))</f>
        <v/>
      </c>
      <c r="AB474" s="16" t="str">
        <f aca="false">IF(D474="","",IFERROR(1/(1/INDEX(CONFIG!$K$5:$K$14,MATCH(D474,CONFIG!$D$5:$D$14,0))),""))</f>
        <v/>
      </c>
      <c r="AC474" s="19" t="str">
        <f aca="false">IF(N(M474)=0,"",IF(AA474="","Sin spec",IF(AND(Y474&gt;=AA474,OR(AB474="",Z474&gt;=AB474)),"CUMPLE","NO CUMPLE")&amp;IF(V474=""," (est.)","")))</f>
        <v/>
      </c>
      <c r="AD474" s="20" t="str">
        <f aca="false">IF(F474="","",IF(COUNTIFS(ABSORCION!$C$5:$C$1004,F474,ABSORCION!$I$5:$I$1004,"&gt;0")=0,"",AVERAGEIFS(ABSORCION!$I$5:$I$1004,ABSORCION!$C$5:$C$1004,F474,ABSORCION!$I$5:$I$1004,"&gt;0")))</f>
        <v/>
      </c>
      <c r="AE474" s="20" t="str">
        <f aca="false">IF(F474="","",IF(COUNTIFS(ABSORCION!$C$5:$C$1004,F474,ABSORCION!$I$5:$I$1004,"&gt;0")=0,"",AVERAGEIFS(ABSORCION!$K$5:$K$1004,ABSORCION!$C$5:$C$1004,F474,ABSORCION!$I$5:$I$1004,"&gt;0")))</f>
        <v/>
      </c>
      <c r="AF474" s="20" t="str">
        <f aca="false">IF(AE474="","",IF(AE474&gt;=CONFIG!$E$21,CONFIG!$F$21,IF(AE474&gt;=CONFIG!$E$20,CONFIG!$F$20,CONFIG!$F$19)))</f>
        <v/>
      </c>
      <c r="AG474" s="21" t="str">
        <f aca="false">IF(F474="","",TRIM(IF(N(M474)=0,"Sin ensayos. ","")&amp;IF(AND(N(M474)&gt;0,N(M474)&lt;CONFIG!$B$26),"Menos de "&amp;CONFIG!$B$26&amp;" probetas. ","")&amp;IF(N(T474)&gt;CONFIG!$B$25,"CV alto. ","")&amp;IF(AND(N(AD474)&gt;0,N(AD474)&gt;N(AF474)),"Absorción alta. ","")))</f>
        <v/>
      </c>
      <c r="AH474" s="22" t="str">
        <f aca="false">IF(AND(N(M474)&gt;0,OR(CONTROL!$C$4="TODAS",C474=CONTROL!$C$4),D474=CONTROL!$C$5),MAX($AH$4:AH473)+1,"")</f>
        <v/>
      </c>
      <c r="AI474" s="22" t="str">
        <f aca="false">IF(AH474="","",P474^2)</f>
        <v/>
      </c>
    </row>
    <row r="475" customFormat="false" ht="15" hidden="false" customHeight="false" outlineLevel="0" collapsed="false">
      <c r="A475" s="11" t="str">
        <f aca="false">IF(B475="","",ROW()-4)</f>
        <v/>
      </c>
      <c r="B475" s="12"/>
      <c r="C475" s="13"/>
      <c r="D475" s="13"/>
      <c r="E475" s="13"/>
      <c r="F475" s="14" t="str">
        <f aca="false">IF(OR(B475="",C475="",D475=""),"",IFERROR(INDEX(CONFIG!$E$5:$E$14,MATCH(D475,CONFIG!$D$5:$D$14,0)),"?")&amp;RIGHT("0"&amp;DAY(B475),2)&amp;RIGHT("0"&amp;MONTH(B475),2)&amp;RIGHT(YEAR(B475),2)&amp;C475&amp;IF(E475="","","-"&amp;E475))</f>
        <v/>
      </c>
      <c r="G475" s="13"/>
      <c r="H475" s="13"/>
      <c r="I475" s="13"/>
      <c r="J475" s="13"/>
      <c r="K475" s="13"/>
      <c r="L475" s="13"/>
      <c r="M475" s="11" t="str">
        <f aca="false">IF(F475="","",COUNTIFS(ENSAYOS!$C$5:$C$3004,F475,ENSAYOS!$Q$5:$Q$3004,"&gt;0"))</f>
        <v/>
      </c>
      <c r="N475" s="15" t="str">
        <f aca="false">IF(N(M475)=0,"",_xlfn.MINIFS(ENSAYOS!$G$5:$G$3004,ENSAYOS!$C$5:$C$3004,F475,ENSAYOS!$Q$5:$Q$3004,"&gt;0"))</f>
        <v/>
      </c>
      <c r="O475" s="15" t="str">
        <f aca="false">IF(N(M475)=0,"",_xlfn.MAXIFS(ENSAYOS!$G$5:$G$3004,ENSAYOS!$C$5:$C$3004,F475,ENSAYOS!$Q$5:$Q$3004,"&gt;0"))</f>
        <v/>
      </c>
      <c r="P475" s="16" t="str">
        <f aca="false">IF(N(M475)=0,"",AVERAGEIFS(ENSAYOS!$Q$5:$Q$3004,ENSAYOS!$C$5:$C$3004,F475,ENSAYOS!$Q$5:$Q$3004,"&gt;0"))</f>
        <v/>
      </c>
      <c r="Q475" s="16" t="str">
        <f aca="false">IF(N(M475)=0,"",_xlfn.MINIFS(ENSAYOS!$Q$5:$Q$3004,ENSAYOS!$C$5:$C$3004,F475,ENSAYOS!$Q$5:$Q$3004,"&gt;0"))</f>
        <v/>
      </c>
      <c r="R475" s="16" t="str">
        <f aca="false">IF(N(M475)=0,"",_xlfn.MAXIFS(ENSAYOS!$Q$5:$Q$3004,ENSAYOS!$C$5:$C$3004,F475,ENSAYOS!$Q$5:$Q$3004,"&gt;0"))</f>
        <v/>
      </c>
      <c r="S475" s="16" t="str">
        <f aca="false">IF(N(M475)&lt;2,"",SQRT(MAX(0,(SUMIFS(ENSAYOS!$X$5:$X$3004,ENSAYOS!$C$5:$C$3004,F475,ENSAYOS!$Q$5:$Q$3004,"&gt;0")-M475*P475^2)/(M475-1))))</f>
        <v/>
      </c>
      <c r="T475" s="17" t="str">
        <f aca="false">IF(S475="","",S475/P475)</f>
        <v/>
      </c>
      <c r="U475" s="16" t="str">
        <f aca="false">IF(N(M475)=0,"",IF(N475&gt;=CONFIG!$B$27,"",AVERAGEIFS(ENSAYOS!$Q$5:$Q$3004,ENSAYOS!$C$5:$C$3004,F475,ENSAYOS!$Q$5:$Q$3004,"&gt;0",ENSAYOS!$G$5:$G$3004,N475)))</f>
        <v/>
      </c>
      <c r="V475" s="16" t="str">
        <f aca="false">IF(N(M475)=0,"",IF(COUNTIFS(ENSAYOS!$C$5:$C$3004,F475,ENSAYOS!$Q$5:$Q$3004,"&gt;0",ENSAYOS!$G$5:$G$3004,"&gt;="&amp;CONFIG!$B$27)=0,"",AVERAGEIFS(ENSAYOS!$Q$5:$Q$3004,ENSAYOS!$C$5:$C$3004,F475,ENSAYOS!$Q$5:$Q$3004,"&gt;0",ENSAYOS!$G$5:$G$3004,"&gt;="&amp;CONFIG!$B$27)))</f>
        <v/>
      </c>
      <c r="W475" s="18" t="str">
        <f aca="false">IF(AND(U475&lt;&gt;"",V475&lt;&gt;""),U475/V475,"")</f>
        <v/>
      </c>
      <c r="X475" s="18" t="str">
        <f aca="false">IF(U475="","",INDEX('CURVA EDAD'!$E$5:$E$32,MIN(28,MAX(1,N475))))</f>
        <v/>
      </c>
      <c r="Y475" s="16" t="str">
        <f aca="false">IF(V475&lt;&gt;"",V475,IF(U475="","",U475/X475))</f>
        <v/>
      </c>
      <c r="Z475" s="16" t="str">
        <f aca="false">IF(V475&lt;&gt;"",_xlfn.MINIFS(ENSAYOS!$Q$5:$Q$3004,ENSAYOS!$C$5:$C$3004,F475,ENSAYOS!$Q$5:$Q$3004,"&gt;0",ENSAYOS!$G$5:$G$3004,"&gt;="&amp;CONFIG!$B$27),IF(U475="","",_xlfn.MINIFS(ENSAYOS!$Q$5:$Q$3004,ENSAYOS!$C$5:$C$3004,F475,ENSAYOS!$Q$5:$Q$3004,"&gt;0",ENSAYOS!$G$5:$G$3004,N475)/X475))</f>
        <v/>
      </c>
      <c r="AA475" s="16" t="str">
        <f aca="false">IF(D475="","",IFERROR(1/(1/INDEX(CONFIG!$J$5:$J$14,MATCH(D475,CONFIG!$D$5:$D$14,0))),""))</f>
        <v/>
      </c>
      <c r="AB475" s="16" t="str">
        <f aca="false">IF(D475="","",IFERROR(1/(1/INDEX(CONFIG!$K$5:$K$14,MATCH(D475,CONFIG!$D$5:$D$14,0))),""))</f>
        <v/>
      </c>
      <c r="AC475" s="19" t="str">
        <f aca="false">IF(N(M475)=0,"",IF(AA475="","Sin spec",IF(AND(Y475&gt;=AA475,OR(AB475="",Z475&gt;=AB475)),"CUMPLE","NO CUMPLE")&amp;IF(V475=""," (est.)","")))</f>
        <v/>
      </c>
      <c r="AD475" s="20" t="str">
        <f aca="false">IF(F475="","",IF(COUNTIFS(ABSORCION!$C$5:$C$1004,F475,ABSORCION!$I$5:$I$1004,"&gt;0")=0,"",AVERAGEIFS(ABSORCION!$I$5:$I$1004,ABSORCION!$C$5:$C$1004,F475,ABSORCION!$I$5:$I$1004,"&gt;0")))</f>
        <v/>
      </c>
      <c r="AE475" s="20" t="str">
        <f aca="false">IF(F475="","",IF(COUNTIFS(ABSORCION!$C$5:$C$1004,F475,ABSORCION!$I$5:$I$1004,"&gt;0")=0,"",AVERAGEIFS(ABSORCION!$K$5:$K$1004,ABSORCION!$C$5:$C$1004,F475,ABSORCION!$I$5:$I$1004,"&gt;0")))</f>
        <v/>
      </c>
      <c r="AF475" s="20" t="str">
        <f aca="false">IF(AE475="","",IF(AE475&gt;=CONFIG!$E$21,CONFIG!$F$21,IF(AE475&gt;=CONFIG!$E$20,CONFIG!$F$20,CONFIG!$F$19)))</f>
        <v/>
      </c>
      <c r="AG475" s="21" t="str">
        <f aca="false">IF(F475="","",TRIM(IF(N(M475)=0,"Sin ensayos. ","")&amp;IF(AND(N(M475)&gt;0,N(M475)&lt;CONFIG!$B$26),"Menos de "&amp;CONFIG!$B$26&amp;" probetas. ","")&amp;IF(N(T475)&gt;CONFIG!$B$25,"CV alto. ","")&amp;IF(AND(N(AD475)&gt;0,N(AD475)&gt;N(AF475)),"Absorción alta. ","")))</f>
        <v/>
      </c>
      <c r="AH475" s="22" t="str">
        <f aca="false">IF(AND(N(M475)&gt;0,OR(CONTROL!$C$4="TODAS",C475=CONTROL!$C$4),D475=CONTROL!$C$5),MAX($AH$4:AH474)+1,"")</f>
        <v/>
      </c>
      <c r="AI475" s="22" t="str">
        <f aca="false">IF(AH475="","",P475^2)</f>
        <v/>
      </c>
    </row>
    <row r="476" customFormat="false" ht="15" hidden="false" customHeight="false" outlineLevel="0" collapsed="false">
      <c r="A476" s="11" t="str">
        <f aca="false">IF(B476="","",ROW()-4)</f>
        <v/>
      </c>
      <c r="B476" s="12"/>
      <c r="C476" s="13"/>
      <c r="D476" s="13"/>
      <c r="E476" s="13"/>
      <c r="F476" s="14" t="str">
        <f aca="false">IF(OR(B476="",C476="",D476=""),"",IFERROR(INDEX(CONFIG!$E$5:$E$14,MATCH(D476,CONFIG!$D$5:$D$14,0)),"?")&amp;RIGHT("0"&amp;DAY(B476),2)&amp;RIGHT("0"&amp;MONTH(B476),2)&amp;RIGHT(YEAR(B476),2)&amp;C476&amp;IF(E476="","","-"&amp;E476))</f>
        <v/>
      </c>
      <c r="G476" s="13"/>
      <c r="H476" s="13"/>
      <c r="I476" s="13"/>
      <c r="J476" s="13"/>
      <c r="K476" s="13"/>
      <c r="L476" s="13"/>
      <c r="M476" s="11" t="str">
        <f aca="false">IF(F476="","",COUNTIFS(ENSAYOS!$C$5:$C$3004,F476,ENSAYOS!$Q$5:$Q$3004,"&gt;0"))</f>
        <v/>
      </c>
      <c r="N476" s="15" t="str">
        <f aca="false">IF(N(M476)=0,"",_xlfn.MINIFS(ENSAYOS!$G$5:$G$3004,ENSAYOS!$C$5:$C$3004,F476,ENSAYOS!$Q$5:$Q$3004,"&gt;0"))</f>
        <v/>
      </c>
      <c r="O476" s="15" t="str">
        <f aca="false">IF(N(M476)=0,"",_xlfn.MAXIFS(ENSAYOS!$G$5:$G$3004,ENSAYOS!$C$5:$C$3004,F476,ENSAYOS!$Q$5:$Q$3004,"&gt;0"))</f>
        <v/>
      </c>
      <c r="P476" s="16" t="str">
        <f aca="false">IF(N(M476)=0,"",AVERAGEIFS(ENSAYOS!$Q$5:$Q$3004,ENSAYOS!$C$5:$C$3004,F476,ENSAYOS!$Q$5:$Q$3004,"&gt;0"))</f>
        <v/>
      </c>
      <c r="Q476" s="16" t="str">
        <f aca="false">IF(N(M476)=0,"",_xlfn.MINIFS(ENSAYOS!$Q$5:$Q$3004,ENSAYOS!$C$5:$C$3004,F476,ENSAYOS!$Q$5:$Q$3004,"&gt;0"))</f>
        <v/>
      </c>
      <c r="R476" s="16" t="str">
        <f aca="false">IF(N(M476)=0,"",_xlfn.MAXIFS(ENSAYOS!$Q$5:$Q$3004,ENSAYOS!$C$5:$C$3004,F476,ENSAYOS!$Q$5:$Q$3004,"&gt;0"))</f>
        <v/>
      </c>
      <c r="S476" s="16" t="str">
        <f aca="false">IF(N(M476)&lt;2,"",SQRT(MAX(0,(SUMIFS(ENSAYOS!$X$5:$X$3004,ENSAYOS!$C$5:$C$3004,F476,ENSAYOS!$Q$5:$Q$3004,"&gt;0")-M476*P476^2)/(M476-1))))</f>
        <v/>
      </c>
      <c r="T476" s="17" t="str">
        <f aca="false">IF(S476="","",S476/P476)</f>
        <v/>
      </c>
      <c r="U476" s="16" t="str">
        <f aca="false">IF(N(M476)=0,"",IF(N476&gt;=CONFIG!$B$27,"",AVERAGEIFS(ENSAYOS!$Q$5:$Q$3004,ENSAYOS!$C$5:$C$3004,F476,ENSAYOS!$Q$5:$Q$3004,"&gt;0",ENSAYOS!$G$5:$G$3004,N476)))</f>
        <v/>
      </c>
      <c r="V476" s="16" t="str">
        <f aca="false">IF(N(M476)=0,"",IF(COUNTIFS(ENSAYOS!$C$5:$C$3004,F476,ENSAYOS!$Q$5:$Q$3004,"&gt;0",ENSAYOS!$G$5:$G$3004,"&gt;="&amp;CONFIG!$B$27)=0,"",AVERAGEIFS(ENSAYOS!$Q$5:$Q$3004,ENSAYOS!$C$5:$C$3004,F476,ENSAYOS!$Q$5:$Q$3004,"&gt;0",ENSAYOS!$G$5:$G$3004,"&gt;="&amp;CONFIG!$B$27)))</f>
        <v/>
      </c>
      <c r="W476" s="18" t="str">
        <f aca="false">IF(AND(U476&lt;&gt;"",V476&lt;&gt;""),U476/V476,"")</f>
        <v/>
      </c>
      <c r="X476" s="18" t="str">
        <f aca="false">IF(U476="","",INDEX('CURVA EDAD'!$E$5:$E$32,MIN(28,MAX(1,N476))))</f>
        <v/>
      </c>
      <c r="Y476" s="16" t="str">
        <f aca="false">IF(V476&lt;&gt;"",V476,IF(U476="","",U476/X476))</f>
        <v/>
      </c>
      <c r="Z476" s="16" t="str">
        <f aca="false">IF(V476&lt;&gt;"",_xlfn.MINIFS(ENSAYOS!$Q$5:$Q$3004,ENSAYOS!$C$5:$C$3004,F476,ENSAYOS!$Q$5:$Q$3004,"&gt;0",ENSAYOS!$G$5:$G$3004,"&gt;="&amp;CONFIG!$B$27),IF(U476="","",_xlfn.MINIFS(ENSAYOS!$Q$5:$Q$3004,ENSAYOS!$C$5:$C$3004,F476,ENSAYOS!$Q$5:$Q$3004,"&gt;0",ENSAYOS!$G$5:$G$3004,N476)/X476))</f>
        <v/>
      </c>
      <c r="AA476" s="16" t="str">
        <f aca="false">IF(D476="","",IFERROR(1/(1/INDEX(CONFIG!$J$5:$J$14,MATCH(D476,CONFIG!$D$5:$D$14,0))),""))</f>
        <v/>
      </c>
      <c r="AB476" s="16" t="str">
        <f aca="false">IF(D476="","",IFERROR(1/(1/INDEX(CONFIG!$K$5:$K$14,MATCH(D476,CONFIG!$D$5:$D$14,0))),""))</f>
        <v/>
      </c>
      <c r="AC476" s="19" t="str">
        <f aca="false">IF(N(M476)=0,"",IF(AA476="","Sin spec",IF(AND(Y476&gt;=AA476,OR(AB476="",Z476&gt;=AB476)),"CUMPLE","NO CUMPLE")&amp;IF(V476=""," (est.)","")))</f>
        <v/>
      </c>
      <c r="AD476" s="20" t="str">
        <f aca="false">IF(F476="","",IF(COUNTIFS(ABSORCION!$C$5:$C$1004,F476,ABSORCION!$I$5:$I$1004,"&gt;0")=0,"",AVERAGEIFS(ABSORCION!$I$5:$I$1004,ABSORCION!$C$5:$C$1004,F476,ABSORCION!$I$5:$I$1004,"&gt;0")))</f>
        <v/>
      </c>
      <c r="AE476" s="20" t="str">
        <f aca="false">IF(F476="","",IF(COUNTIFS(ABSORCION!$C$5:$C$1004,F476,ABSORCION!$I$5:$I$1004,"&gt;0")=0,"",AVERAGEIFS(ABSORCION!$K$5:$K$1004,ABSORCION!$C$5:$C$1004,F476,ABSORCION!$I$5:$I$1004,"&gt;0")))</f>
        <v/>
      </c>
      <c r="AF476" s="20" t="str">
        <f aca="false">IF(AE476="","",IF(AE476&gt;=CONFIG!$E$21,CONFIG!$F$21,IF(AE476&gt;=CONFIG!$E$20,CONFIG!$F$20,CONFIG!$F$19)))</f>
        <v/>
      </c>
      <c r="AG476" s="21" t="str">
        <f aca="false">IF(F476="","",TRIM(IF(N(M476)=0,"Sin ensayos. ","")&amp;IF(AND(N(M476)&gt;0,N(M476)&lt;CONFIG!$B$26),"Menos de "&amp;CONFIG!$B$26&amp;" probetas. ","")&amp;IF(N(T476)&gt;CONFIG!$B$25,"CV alto. ","")&amp;IF(AND(N(AD476)&gt;0,N(AD476)&gt;N(AF476)),"Absorción alta. ","")))</f>
        <v/>
      </c>
      <c r="AH476" s="22" t="str">
        <f aca="false">IF(AND(N(M476)&gt;0,OR(CONTROL!$C$4="TODAS",C476=CONTROL!$C$4),D476=CONTROL!$C$5),MAX($AH$4:AH475)+1,"")</f>
        <v/>
      </c>
      <c r="AI476" s="22" t="str">
        <f aca="false">IF(AH476="","",P476^2)</f>
        <v/>
      </c>
    </row>
    <row r="477" customFormat="false" ht="15" hidden="false" customHeight="false" outlineLevel="0" collapsed="false">
      <c r="A477" s="11" t="str">
        <f aca="false">IF(B477="","",ROW()-4)</f>
        <v/>
      </c>
      <c r="B477" s="12"/>
      <c r="C477" s="13"/>
      <c r="D477" s="13"/>
      <c r="E477" s="13"/>
      <c r="F477" s="14" t="str">
        <f aca="false">IF(OR(B477="",C477="",D477=""),"",IFERROR(INDEX(CONFIG!$E$5:$E$14,MATCH(D477,CONFIG!$D$5:$D$14,0)),"?")&amp;RIGHT("0"&amp;DAY(B477),2)&amp;RIGHT("0"&amp;MONTH(B477),2)&amp;RIGHT(YEAR(B477),2)&amp;C477&amp;IF(E477="","","-"&amp;E477))</f>
        <v/>
      </c>
      <c r="G477" s="13"/>
      <c r="H477" s="13"/>
      <c r="I477" s="13"/>
      <c r="J477" s="13"/>
      <c r="K477" s="13"/>
      <c r="L477" s="13"/>
      <c r="M477" s="11" t="str">
        <f aca="false">IF(F477="","",COUNTIFS(ENSAYOS!$C$5:$C$3004,F477,ENSAYOS!$Q$5:$Q$3004,"&gt;0"))</f>
        <v/>
      </c>
      <c r="N477" s="15" t="str">
        <f aca="false">IF(N(M477)=0,"",_xlfn.MINIFS(ENSAYOS!$G$5:$G$3004,ENSAYOS!$C$5:$C$3004,F477,ENSAYOS!$Q$5:$Q$3004,"&gt;0"))</f>
        <v/>
      </c>
      <c r="O477" s="15" t="str">
        <f aca="false">IF(N(M477)=0,"",_xlfn.MAXIFS(ENSAYOS!$G$5:$G$3004,ENSAYOS!$C$5:$C$3004,F477,ENSAYOS!$Q$5:$Q$3004,"&gt;0"))</f>
        <v/>
      </c>
      <c r="P477" s="16" t="str">
        <f aca="false">IF(N(M477)=0,"",AVERAGEIFS(ENSAYOS!$Q$5:$Q$3004,ENSAYOS!$C$5:$C$3004,F477,ENSAYOS!$Q$5:$Q$3004,"&gt;0"))</f>
        <v/>
      </c>
      <c r="Q477" s="16" t="str">
        <f aca="false">IF(N(M477)=0,"",_xlfn.MINIFS(ENSAYOS!$Q$5:$Q$3004,ENSAYOS!$C$5:$C$3004,F477,ENSAYOS!$Q$5:$Q$3004,"&gt;0"))</f>
        <v/>
      </c>
      <c r="R477" s="16" t="str">
        <f aca="false">IF(N(M477)=0,"",_xlfn.MAXIFS(ENSAYOS!$Q$5:$Q$3004,ENSAYOS!$C$5:$C$3004,F477,ENSAYOS!$Q$5:$Q$3004,"&gt;0"))</f>
        <v/>
      </c>
      <c r="S477" s="16" t="str">
        <f aca="false">IF(N(M477)&lt;2,"",SQRT(MAX(0,(SUMIFS(ENSAYOS!$X$5:$X$3004,ENSAYOS!$C$5:$C$3004,F477,ENSAYOS!$Q$5:$Q$3004,"&gt;0")-M477*P477^2)/(M477-1))))</f>
        <v/>
      </c>
      <c r="T477" s="17" t="str">
        <f aca="false">IF(S477="","",S477/P477)</f>
        <v/>
      </c>
      <c r="U477" s="16" t="str">
        <f aca="false">IF(N(M477)=0,"",IF(N477&gt;=CONFIG!$B$27,"",AVERAGEIFS(ENSAYOS!$Q$5:$Q$3004,ENSAYOS!$C$5:$C$3004,F477,ENSAYOS!$Q$5:$Q$3004,"&gt;0",ENSAYOS!$G$5:$G$3004,N477)))</f>
        <v/>
      </c>
      <c r="V477" s="16" t="str">
        <f aca="false">IF(N(M477)=0,"",IF(COUNTIFS(ENSAYOS!$C$5:$C$3004,F477,ENSAYOS!$Q$5:$Q$3004,"&gt;0",ENSAYOS!$G$5:$G$3004,"&gt;="&amp;CONFIG!$B$27)=0,"",AVERAGEIFS(ENSAYOS!$Q$5:$Q$3004,ENSAYOS!$C$5:$C$3004,F477,ENSAYOS!$Q$5:$Q$3004,"&gt;0",ENSAYOS!$G$5:$G$3004,"&gt;="&amp;CONFIG!$B$27)))</f>
        <v/>
      </c>
      <c r="W477" s="18" t="str">
        <f aca="false">IF(AND(U477&lt;&gt;"",V477&lt;&gt;""),U477/V477,"")</f>
        <v/>
      </c>
      <c r="X477" s="18" t="str">
        <f aca="false">IF(U477="","",INDEX('CURVA EDAD'!$E$5:$E$32,MIN(28,MAX(1,N477))))</f>
        <v/>
      </c>
      <c r="Y477" s="16" t="str">
        <f aca="false">IF(V477&lt;&gt;"",V477,IF(U477="","",U477/X477))</f>
        <v/>
      </c>
      <c r="Z477" s="16" t="str">
        <f aca="false">IF(V477&lt;&gt;"",_xlfn.MINIFS(ENSAYOS!$Q$5:$Q$3004,ENSAYOS!$C$5:$C$3004,F477,ENSAYOS!$Q$5:$Q$3004,"&gt;0",ENSAYOS!$G$5:$G$3004,"&gt;="&amp;CONFIG!$B$27),IF(U477="","",_xlfn.MINIFS(ENSAYOS!$Q$5:$Q$3004,ENSAYOS!$C$5:$C$3004,F477,ENSAYOS!$Q$5:$Q$3004,"&gt;0",ENSAYOS!$G$5:$G$3004,N477)/X477))</f>
        <v/>
      </c>
      <c r="AA477" s="16" t="str">
        <f aca="false">IF(D477="","",IFERROR(1/(1/INDEX(CONFIG!$J$5:$J$14,MATCH(D477,CONFIG!$D$5:$D$14,0))),""))</f>
        <v/>
      </c>
      <c r="AB477" s="16" t="str">
        <f aca="false">IF(D477="","",IFERROR(1/(1/INDEX(CONFIG!$K$5:$K$14,MATCH(D477,CONFIG!$D$5:$D$14,0))),""))</f>
        <v/>
      </c>
      <c r="AC477" s="19" t="str">
        <f aca="false">IF(N(M477)=0,"",IF(AA477="","Sin spec",IF(AND(Y477&gt;=AA477,OR(AB477="",Z477&gt;=AB477)),"CUMPLE","NO CUMPLE")&amp;IF(V477=""," (est.)","")))</f>
        <v/>
      </c>
      <c r="AD477" s="20" t="str">
        <f aca="false">IF(F477="","",IF(COUNTIFS(ABSORCION!$C$5:$C$1004,F477,ABSORCION!$I$5:$I$1004,"&gt;0")=0,"",AVERAGEIFS(ABSORCION!$I$5:$I$1004,ABSORCION!$C$5:$C$1004,F477,ABSORCION!$I$5:$I$1004,"&gt;0")))</f>
        <v/>
      </c>
      <c r="AE477" s="20" t="str">
        <f aca="false">IF(F477="","",IF(COUNTIFS(ABSORCION!$C$5:$C$1004,F477,ABSORCION!$I$5:$I$1004,"&gt;0")=0,"",AVERAGEIFS(ABSORCION!$K$5:$K$1004,ABSORCION!$C$5:$C$1004,F477,ABSORCION!$I$5:$I$1004,"&gt;0")))</f>
        <v/>
      </c>
      <c r="AF477" s="20" t="str">
        <f aca="false">IF(AE477="","",IF(AE477&gt;=CONFIG!$E$21,CONFIG!$F$21,IF(AE477&gt;=CONFIG!$E$20,CONFIG!$F$20,CONFIG!$F$19)))</f>
        <v/>
      </c>
      <c r="AG477" s="21" t="str">
        <f aca="false">IF(F477="","",TRIM(IF(N(M477)=0,"Sin ensayos. ","")&amp;IF(AND(N(M477)&gt;0,N(M477)&lt;CONFIG!$B$26),"Menos de "&amp;CONFIG!$B$26&amp;" probetas. ","")&amp;IF(N(T477)&gt;CONFIG!$B$25,"CV alto. ","")&amp;IF(AND(N(AD477)&gt;0,N(AD477)&gt;N(AF477)),"Absorción alta. ","")))</f>
        <v/>
      </c>
      <c r="AH477" s="22" t="str">
        <f aca="false">IF(AND(N(M477)&gt;0,OR(CONTROL!$C$4="TODAS",C477=CONTROL!$C$4),D477=CONTROL!$C$5),MAX($AH$4:AH476)+1,"")</f>
        <v/>
      </c>
      <c r="AI477" s="22" t="str">
        <f aca="false">IF(AH477="","",P477^2)</f>
        <v/>
      </c>
    </row>
    <row r="478" customFormat="false" ht="15" hidden="false" customHeight="false" outlineLevel="0" collapsed="false">
      <c r="A478" s="11" t="str">
        <f aca="false">IF(B478="","",ROW()-4)</f>
        <v/>
      </c>
      <c r="B478" s="12"/>
      <c r="C478" s="13"/>
      <c r="D478" s="13"/>
      <c r="E478" s="13"/>
      <c r="F478" s="14" t="str">
        <f aca="false">IF(OR(B478="",C478="",D478=""),"",IFERROR(INDEX(CONFIG!$E$5:$E$14,MATCH(D478,CONFIG!$D$5:$D$14,0)),"?")&amp;RIGHT("0"&amp;DAY(B478),2)&amp;RIGHT("0"&amp;MONTH(B478),2)&amp;RIGHT(YEAR(B478),2)&amp;C478&amp;IF(E478="","","-"&amp;E478))</f>
        <v/>
      </c>
      <c r="G478" s="13"/>
      <c r="H478" s="13"/>
      <c r="I478" s="13"/>
      <c r="J478" s="13"/>
      <c r="K478" s="13"/>
      <c r="L478" s="13"/>
      <c r="M478" s="11" t="str">
        <f aca="false">IF(F478="","",COUNTIFS(ENSAYOS!$C$5:$C$3004,F478,ENSAYOS!$Q$5:$Q$3004,"&gt;0"))</f>
        <v/>
      </c>
      <c r="N478" s="15" t="str">
        <f aca="false">IF(N(M478)=0,"",_xlfn.MINIFS(ENSAYOS!$G$5:$G$3004,ENSAYOS!$C$5:$C$3004,F478,ENSAYOS!$Q$5:$Q$3004,"&gt;0"))</f>
        <v/>
      </c>
      <c r="O478" s="15" t="str">
        <f aca="false">IF(N(M478)=0,"",_xlfn.MAXIFS(ENSAYOS!$G$5:$G$3004,ENSAYOS!$C$5:$C$3004,F478,ENSAYOS!$Q$5:$Q$3004,"&gt;0"))</f>
        <v/>
      </c>
      <c r="P478" s="16" t="str">
        <f aca="false">IF(N(M478)=0,"",AVERAGEIFS(ENSAYOS!$Q$5:$Q$3004,ENSAYOS!$C$5:$C$3004,F478,ENSAYOS!$Q$5:$Q$3004,"&gt;0"))</f>
        <v/>
      </c>
      <c r="Q478" s="16" t="str">
        <f aca="false">IF(N(M478)=0,"",_xlfn.MINIFS(ENSAYOS!$Q$5:$Q$3004,ENSAYOS!$C$5:$C$3004,F478,ENSAYOS!$Q$5:$Q$3004,"&gt;0"))</f>
        <v/>
      </c>
      <c r="R478" s="16" t="str">
        <f aca="false">IF(N(M478)=0,"",_xlfn.MAXIFS(ENSAYOS!$Q$5:$Q$3004,ENSAYOS!$C$5:$C$3004,F478,ENSAYOS!$Q$5:$Q$3004,"&gt;0"))</f>
        <v/>
      </c>
      <c r="S478" s="16" t="str">
        <f aca="false">IF(N(M478)&lt;2,"",SQRT(MAX(0,(SUMIFS(ENSAYOS!$X$5:$X$3004,ENSAYOS!$C$5:$C$3004,F478,ENSAYOS!$Q$5:$Q$3004,"&gt;0")-M478*P478^2)/(M478-1))))</f>
        <v/>
      </c>
      <c r="T478" s="17" t="str">
        <f aca="false">IF(S478="","",S478/P478)</f>
        <v/>
      </c>
      <c r="U478" s="16" t="str">
        <f aca="false">IF(N(M478)=0,"",IF(N478&gt;=CONFIG!$B$27,"",AVERAGEIFS(ENSAYOS!$Q$5:$Q$3004,ENSAYOS!$C$5:$C$3004,F478,ENSAYOS!$Q$5:$Q$3004,"&gt;0",ENSAYOS!$G$5:$G$3004,N478)))</f>
        <v/>
      </c>
      <c r="V478" s="16" t="str">
        <f aca="false">IF(N(M478)=0,"",IF(COUNTIFS(ENSAYOS!$C$5:$C$3004,F478,ENSAYOS!$Q$5:$Q$3004,"&gt;0",ENSAYOS!$G$5:$G$3004,"&gt;="&amp;CONFIG!$B$27)=0,"",AVERAGEIFS(ENSAYOS!$Q$5:$Q$3004,ENSAYOS!$C$5:$C$3004,F478,ENSAYOS!$Q$5:$Q$3004,"&gt;0",ENSAYOS!$G$5:$G$3004,"&gt;="&amp;CONFIG!$B$27)))</f>
        <v/>
      </c>
      <c r="W478" s="18" t="str">
        <f aca="false">IF(AND(U478&lt;&gt;"",V478&lt;&gt;""),U478/V478,"")</f>
        <v/>
      </c>
      <c r="X478" s="18" t="str">
        <f aca="false">IF(U478="","",INDEX('CURVA EDAD'!$E$5:$E$32,MIN(28,MAX(1,N478))))</f>
        <v/>
      </c>
      <c r="Y478" s="16" t="str">
        <f aca="false">IF(V478&lt;&gt;"",V478,IF(U478="","",U478/X478))</f>
        <v/>
      </c>
      <c r="Z478" s="16" t="str">
        <f aca="false">IF(V478&lt;&gt;"",_xlfn.MINIFS(ENSAYOS!$Q$5:$Q$3004,ENSAYOS!$C$5:$C$3004,F478,ENSAYOS!$Q$5:$Q$3004,"&gt;0",ENSAYOS!$G$5:$G$3004,"&gt;="&amp;CONFIG!$B$27),IF(U478="","",_xlfn.MINIFS(ENSAYOS!$Q$5:$Q$3004,ENSAYOS!$C$5:$C$3004,F478,ENSAYOS!$Q$5:$Q$3004,"&gt;0",ENSAYOS!$G$5:$G$3004,N478)/X478))</f>
        <v/>
      </c>
      <c r="AA478" s="16" t="str">
        <f aca="false">IF(D478="","",IFERROR(1/(1/INDEX(CONFIG!$J$5:$J$14,MATCH(D478,CONFIG!$D$5:$D$14,0))),""))</f>
        <v/>
      </c>
      <c r="AB478" s="16" t="str">
        <f aca="false">IF(D478="","",IFERROR(1/(1/INDEX(CONFIG!$K$5:$K$14,MATCH(D478,CONFIG!$D$5:$D$14,0))),""))</f>
        <v/>
      </c>
      <c r="AC478" s="19" t="str">
        <f aca="false">IF(N(M478)=0,"",IF(AA478="","Sin spec",IF(AND(Y478&gt;=AA478,OR(AB478="",Z478&gt;=AB478)),"CUMPLE","NO CUMPLE")&amp;IF(V478=""," (est.)","")))</f>
        <v/>
      </c>
      <c r="AD478" s="20" t="str">
        <f aca="false">IF(F478="","",IF(COUNTIFS(ABSORCION!$C$5:$C$1004,F478,ABSORCION!$I$5:$I$1004,"&gt;0")=0,"",AVERAGEIFS(ABSORCION!$I$5:$I$1004,ABSORCION!$C$5:$C$1004,F478,ABSORCION!$I$5:$I$1004,"&gt;0")))</f>
        <v/>
      </c>
      <c r="AE478" s="20" t="str">
        <f aca="false">IF(F478="","",IF(COUNTIFS(ABSORCION!$C$5:$C$1004,F478,ABSORCION!$I$5:$I$1004,"&gt;0")=0,"",AVERAGEIFS(ABSORCION!$K$5:$K$1004,ABSORCION!$C$5:$C$1004,F478,ABSORCION!$I$5:$I$1004,"&gt;0")))</f>
        <v/>
      </c>
      <c r="AF478" s="20" t="str">
        <f aca="false">IF(AE478="","",IF(AE478&gt;=CONFIG!$E$21,CONFIG!$F$21,IF(AE478&gt;=CONFIG!$E$20,CONFIG!$F$20,CONFIG!$F$19)))</f>
        <v/>
      </c>
      <c r="AG478" s="21" t="str">
        <f aca="false">IF(F478="","",TRIM(IF(N(M478)=0,"Sin ensayos. ","")&amp;IF(AND(N(M478)&gt;0,N(M478)&lt;CONFIG!$B$26),"Menos de "&amp;CONFIG!$B$26&amp;" probetas. ","")&amp;IF(N(T478)&gt;CONFIG!$B$25,"CV alto. ","")&amp;IF(AND(N(AD478)&gt;0,N(AD478)&gt;N(AF478)),"Absorción alta. ","")))</f>
        <v/>
      </c>
      <c r="AH478" s="22" t="str">
        <f aca="false">IF(AND(N(M478)&gt;0,OR(CONTROL!$C$4="TODAS",C478=CONTROL!$C$4),D478=CONTROL!$C$5),MAX($AH$4:AH477)+1,"")</f>
        <v/>
      </c>
      <c r="AI478" s="22" t="str">
        <f aca="false">IF(AH478="","",P478^2)</f>
        <v/>
      </c>
    </row>
    <row r="479" customFormat="false" ht="15" hidden="false" customHeight="false" outlineLevel="0" collapsed="false">
      <c r="A479" s="11" t="str">
        <f aca="false">IF(B479="","",ROW()-4)</f>
        <v/>
      </c>
      <c r="B479" s="12"/>
      <c r="C479" s="13"/>
      <c r="D479" s="13"/>
      <c r="E479" s="13"/>
      <c r="F479" s="14" t="str">
        <f aca="false">IF(OR(B479="",C479="",D479=""),"",IFERROR(INDEX(CONFIG!$E$5:$E$14,MATCH(D479,CONFIG!$D$5:$D$14,0)),"?")&amp;RIGHT("0"&amp;DAY(B479),2)&amp;RIGHT("0"&amp;MONTH(B479),2)&amp;RIGHT(YEAR(B479),2)&amp;C479&amp;IF(E479="","","-"&amp;E479))</f>
        <v/>
      </c>
      <c r="G479" s="13"/>
      <c r="H479" s="13"/>
      <c r="I479" s="13"/>
      <c r="J479" s="13"/>
      <c r="K479" s="13"/>
      <c r="L479" s="13"/>
      <c r="M479" s="11" t="str">
        <f aca="false">IF(F479="","",COUNTIFS(ENSAYOS!$C$5:$C$3004,F479,ENSAYOS!$Q$5:$Q$3004,"&gt;0"))</f>
        <v/>
      </c>
      <c r="N479" s="15" t="str">
        <f aca="false">IF(N(M479)=0,"",_xlfn.MINIFS(ENSAYOS!$G$5:$G$3004,ENSAYOS!$C$5:$C$3004,F479,ENSAYOS!$Q$5:$Q$3004,"&gt;0"))</f>
        <v/>
      </c>
      <c r="O479" s="15" t="str">
        <f aca="false">IF(N(M479)=0,"",_xlfn.MAXIFS(ENSAYOS!$G$5:$G$3004,ENSAYOS!$C$5:$C$3004,F479,ENSAYOS!$Q$5:$Q$3004,"&gt;0"))</f>
        <v/>
      </c>
      <c r="P479" s="16" t="str">
        <f aca="false">IF(N(M479)=0,"",AVERAGEIFS(ENSAYOS!$Q$5:$Q$3004,ENSAYOS!$C$5:$C$3004,F479,ENSAYOS!$Q$5:$Q$3004,"&gt;0"))</f>
        <v/>
      </c>
      <c r="Q479" s="16" t="str">
        <f aca="false">IF(N(M479)=0,"",_xlfn.MINIFS(ENSAYOS!$Q$5:$Q$3004,ENSAYOS!$C$5:$C$3004,F479,ENSAYOS!$Q$5:$Q$3004,"&gt;0"))</f>
        <v/>
      </c>
      <c r="R479" s="16" t="str">
        <f aca="false">IF(N(M479)=0,"",_xlfn.MAXIFS(ENSAYOS!$Q$5:$Q$3004,ENSAYOS!$C$5:$C$3004,F479,ENSAYOS!$Q$5:$Q$3004,"&gt;0"))</f>
        <v/>
      </c>
      <c r="S479" s="16" t="str">
        <f aca="false">IF(N(M479)&lt;2,"",SQRT(MAX(0,(SUMIFS(ENSAYOS!$X$5:$X$3004,ENSAYOS!$C$5:$C$3004,F479,ENSAYOS!$Q$5:$Q$3004,"&gt;0")-M479*P479^2)/(M479-1))))</f>
        <v/>
      </c>
      <c r="T479" s="17" t="str">
        <f aca="false">IF(S479="","",S479/P479)</f>
        <v/>
      </c>
      <c r="U479" s="16" t="str">
        <f aca="false">IF(N(M479)=0,"",IF(N479&gt;=CONFIG!$B$27,"",AVERAGEIFS(ENSAYOS!$Q$5:$Q$3004,ENSAYOS!$C$5:$C$3004,F479,ENSAYOS!$Q$5:$Q$3004,"&gt;0",ENSAYOS!$G$5:$G$3004,N479)))</f>
        <v/>
      </c>
      <c r="V479" s="16" t="str">
        <f aca="false">IF(N(M479)=0,"",IF(COUNTIFS(ENSAYOS!$C$5:$C$3004,F479,ENSAYOS!$Q$5:$Q$3004,"&gt;0",ENSAYOS!$G$5:$G$3004,"&gt;="&amp;CONFIG!$B$27)=0,"",AVERAGEIFS(ENSAYOS!$Q$5:$Q$3004,ENSAYOS!$C$5:$C$3004,F479,ENSAYOS!$Q$5:$Q$3004,"&gt;0",ENSAYOS!$G$5:$G$3004,"&gt;="&amp;CONFIG!$B$27)))</f>
        <v/>
      </c>
      <c r="W479" s="18" t="str">
        <f aca="false">IF(AND(U479&lt;&gt;"",V479&lt;&gt;""),U479/V479,"")</f>
        <v/>
      </c>
      <c r="X479" s="18" t="str">
        <f aca="false">IF(U479="","",INDEX('CURVA EDAD'!$E$5:$E$32,MIN(28,MAX(1,N479))))</f>
        <v/>
      </c>
      <c r="Y479" s="16" t="str">
        <f aca="false">IF(V479&lt;&gt;"",V479,IF(U479="","",U479/X479))</f>
        <v/>
      </c>
      <c r="Z479" s="16" t="str">
        <f aca="false">IF(V479&lt;&gt;"",_xlfn.MINIFS(ENSAYOS!$Q$5:$Q$3004,ENSAYOS!$C$5:$C$3004,F479,ENSAYOS!$Q$5:$Q$3004,"&gt;0",ENSAYOS!$G$5:$G$3004,"&gt;="&amp;CONFIG!$B$27),IF(U479="","",_xlfn.MINIFS(ENSAYOS!$Q$5:$Q$3004,ENSAYOS!$C$5:$C$3004,F479,ENSAYOS!$Q$5:$Q$3004,"&gt;0",ENSAYOS!$G$5:$G$3004,N479)/X479))</f>
        <v/>
      </c>
      <c r="AA479" s="16" t="str">
        <f aca="false">IF(D479="","",IFERROR(1/(1/INDEX(CONFIG!$J$5:$J$14,MATCH(D479,CONFIG!$D$5:$D$14,0))),""))</f>
        <v/>
      </c>
      <c r="AB479" s="16" t="str">
        <f aca="false">IF(D479="","",IFERROR(1/(1/INDEX(CONFIG!$K$5:$K$14,MATCH(D479,CONFIG!$D$5:$D$14,0))),""))</f>
        <v/>
      </c>
      <c r="AC479" s="19" t="str">
        <f aca="false">IF(N(M479)=0,"",IF(AA479="","Sin spec",IF(AND(Y479&gt;=AA479,OR(AB479="",Z479&gt;=AB479)),"CUMPLE","NO CUMPLE")&amp;IF(V479=""," (est.)","")))</f>
        <v/>
      </c>
      <c r="AD479" s="20" t="str">
        <f aca="false">IF(F479="","",IF(COUNTIFS(ABSORCION!$C$5:$C$1004,F479,ABSORCION!$I$5:$I$1004,"&gt;0")=0,"",AVERAGEIFS(ABSORCION!$I$5:$I$1004,ABSORCION!$C$5:$C$1004,F479,ABSORCION!$I$5:$I$1004,"&gt;0")))</f>
        <v/>
      </c>
      <c r="AE479" s="20" t="str">
        <f aca="false">IF(F479="","",IF(COUNTIFS(ABSORCION!$C$5:$C$1004,F479,ABSORCION!$I$5:$I$1004,"&gt;0")=0,"",AVERAGEIFS(ABSORCION!$K$5:$K$1004,ABSORCION!$C$5:$C$1004,F479,ABSORCION!$I$5:$I$1004,"&gt;0")))</f>
        <v/>
      </c>
      <c r="AF479" s="20" t="str">
        <f aca="false">IF(AE479="","",IF(AE479&gt;=CONFIG!$E$21,CONFIG!$F$21,IF(AE479&gt;=CONFIG!$E$20,CONFIG!$F$20,CONFIG!$F$19)))</f>
        <v/>
      </c>
      <c r="AG479" s="21" t="str">
        <f aca="false">IF(F479="","",TRIM(IF(N(M479)=0,"Sin ensayos. ","")&amp;IF(AND(N(M479)&gt;0,N(M479)&lt;CONFIG!$B$26),"Menos de "&amp;CONFIG!$B$26&amp;" probetas. ","")&amp;IF(N(T479)&gt;CONFIG!$B$25,"CV alto. ","")&amp;IF(AND(N(AD479)&gt;0,N(AD479)&gt;N(AF479)),"Absorción alta. ","")))</f>
        <v/>
      </c>
      <c r="AH479" s="22" t="str">
        <f aca="false">IF(AND(N(M479)&gt;0,OR(CONTROL!$C$4="TODAS",C479=CONTROL!$C$4),D479=CONTROL!$C$5),MAX($AH$4:AH478)+1,"")</f>
        <v/>
      </c>
      <c r="AI479" s="22" t="str">
        <f aca="false">IF(AH479="","",P479^2)</f>
        <v/>
      </c>
    </row>
    <row r="480" customFormat="false" ht="15" hidden="false" customHeight="false" outlineLevel="0" collapsed="false">
      <c r="A480" s="11" t="str">
        <f aca="false">IF(B480="","",ROW()-4)</f>
        <v/>
      </c>
      <c r="B480" s="12"/>
      <c r="C480" s="13"/>
      <c r="D480" s="13"/>
      <c r="E480" s="13"/>
      <c r="F480" s="14" t="str">
        <f aca="false">IF(OR(B480="",C480="",D480=""),"",IFERROR(INDEX(CONFIG!$E$5:$E$14,MATCH(D480,CONFIG!$D$5:$D$14,0)),"?")&amp;RIGHT("0"&amp;DAY(B480),2)&amp;RIGHT("0"&amp;MONTH(B480),2)&amp;RIGHT(YEAR(B480),2)&amp;C480&amp;IF(E480="","","-"&amp;E480))</f>
        <v/>
      </c>
      <c r="G480" s="13"/>
      <c r="H480" s="13"/>
      <c r="I480" s="13"/>
      <c r="J480" s="13"/>
      <c r="K480" s="13"/>
      <c r="L480" s="13"/>
      <c r="M480" s="11" t="str">
        <f aca="false">IF(F480="","",COUNTIFS(ENSAYOS!$C$5:$C$3004,F480,ENSAYOS!$Q$5:$Q$3004,"&gt;0"))</f>
        <v/>
      </c>
      <c r="N480" s="15" t="str">
        <f aca="false">IF(N(M480)=0,"",_xlfn.MINIFS(ENSAYOS!$G$5:$G$3004,ENSAYOS!$C$5:$C$3004,F480,ENSAYOS!$Q$5:$Q$3004,"&gt;0"))</f>
        <v/>
      </c>
      <c r="O480" s="15" t="str">
        <f aca="false">IF(N(M480)=0,"",_xlfn.MAXIFS(ENSAYOS!$G$5:$G$3004,ENSAYOS!$C$5:$C$3004,F480,ENSAYOS!$Q$5:$Q$3004,"&gt;0"))</f>
        <v/>
      </c>
      <c r="P480" s="16" t="str">
        <f aca="false">IF(N(M480)=0,"",AVERAGEIFS(ENSAYOS!$Q$5:$Q$3004,ENSAYOS!$C$5:$C$3004,F480,ENSAYOS!$Q$5:$Q$3004,"&gt;0"))</f>
        <v/>
      </c>
      <c r="Q480" s="16" t="str">
        <f aca="false">IF(N(M480)=0,"",_xlfn.MINIFS(ENSAYOS!$Q$5:$Q$3004,ENSAYOS!$C$5:$C$3004,F480,ENSAYOS!$Q$5:$Q$3004,"&gt;0"))</f>
        <v/>
      </c>
      <c r="R480" s="16" t="str">
        <f aca="false">IF(N(M480)=0,"",_xlfn.MAXIFS(ENSAYOS!$Q$5:$Q$3004,ENSAYOS!$C$5:$C$3004,F480,ENSAYOS!$Q$5:$Q$3004,"&gt;0"))</f>
        <v/>
      </c>
      <c r="S480" s="16" t="str">
        <f aca="false">IF(N(M480)&lt;2,"",SQRT(MAX(0,(SUMIFS(ENSAYOS!$X$5:$X$3004,ENSAYOS!$C$5:$C$3004,F480,ENSAYOS!$Q$5:$Q$3004,"&gt;0")-M480*P480^2)/(M480-1))))</f>
        <v/>
      </c>
      <c r="T480" s="17" t="str">
        <f aca="false">IF(S480="","",S480/P480)</f>
        <v/>
      </c>
      <c r="U480" s="16" t="str">
        <f aca="false">IF(N(M480)=0,"",IF(N480&gt;=CONFIG!$B$27,"",AVERAGEIFS(ENSAYOS!$Q$5:$Q$3004,ENSAYOS!$C$5:$C$3004,F480,ENSAYOS!$Q$5:$Q$3004,"&gt;0",ENSAYOS!$G$5:$G$3004,N480)))</f>
        <v/>
      </c>
      <c r="V480" s="16" t="str">
        <f aca="false">IF(N(M480)=0,"",IF(COUNTIFS(ENSAYOS!$C$5:$C$3004,F480,ENSAYOS!$Q$5:$Q$3004,"&gt;0",ENSAYOS!$G$5:$G$3004,"&gt;="&amp;CONFIG!$B$27)=0,"",AVERAGEIFS(ENSAYOS!$Q$5:$Q$3004,ENSAYOS!$C$5:$C$3004,F480,ENSAYOS!$Q$5:$Q$3004,"&gt;0",ENSAYOS!$G$5:$G$3004,"&gt;="&amp;CONFIG!$B$27)))</f>
        <v/>
      </c>
      <c r="W480" s="18" t="str">
        <f aca="false">IF(AND(U480&lt;&gt;"",V480&lt;&gt;""),U480/V480,"")</f>
        <v/>
      </c>
      <c r="X480" s="18" t="str">
        <f aca="false">IF(U480="","",INDEX('CURVA EDAD'!$E$5:$E$32,MIN(28,MAX(1,N480))))</f>
        <v/>
      </c>
      <c r="Y480" s="16" t="str">
        <f aca="false">IF(V480&lt;&gt;"",V480,IF(U480="","",U480/X480))</f>
        <v/>
      </c>
      <c r="Z480" s="16" t="str">
        <f aca="false">IF(V480&lt;&gt;"",_xlfn.MINIFS(ENSAYOS!$Q$5:$Q$3004,ENSAYOS!$C$5:$C$3004,F480,ENSAYOS!$Q$5:$Q$3004,"&gt;0",ENSAYOS!$G$5:$G$3004,"&gt;="&amp;CONFIG!$B$27),IF(U480="","",_xlfn.MINIFS(ENSAYOS!$Q$5:$Q$3004,ENSAYOS!$C$5:$C$3004,F480,ENSAYOS!$Q$5:$Q$3004,"&gt;0",ENSAYOS!$G$5:$G$3004,N480)/X480))</f>
        <v/>
      </c>
      <c r="AA480" s="16" t="str">
        <f aca="false">IF(D480="","",IFERROR(1/(1/INDEX(CONFIG!$J$5:$J$14,MATCH(D480,CONFIG!$D$5:$D$14,0))),""))</f>
        <v/>
      </c>
      <c r="AB480" s="16" t="str">
        <f aca="false">IF(D480="","",IFERROR(1/(1/INDEX(CONFIG!$K$5:$K$14,MATCH(D480,CONFIG!$D$5:$D$14,0))),""))</f>
        <v/>
      </c>
      <c r="AC480" s="19" t="str">
        <f aca="false">IF(N(M480)=0,"",IF(AA480="","Sin spec",IF(AND(Y480&gt;=AA480,OR(AB480="",Z480&gt;=AB480)),"CUMPLE","NO CUMPLE")&amp;IF(V480=""," (est.)","")))</f>
        <v/>
      </c>
      <c r="AD480" s="20" t="str">
        <f aca="false">IF(F480="","",IF(COUNTIFS(ABSORCION!$C$5:$C$1004,F480,ABSORCION!$I$5:$I$1004,"&gt;0")=0,"",AVERAGEIFS(ABSORCION!$I$5:$I$1004,ABSORCION!$C$5:$C$1004,F480,ABSORCION!$I$5:$I$1004,"&gt;0")))</f>
        <v/>
      </c>
      <c r="AE480" s="20" t="str">
        <f aca="false">IF(F480="","",IF(COUNTIFS(ABSORCION!$C$5:$C$1004,F480,ABSORCION!$I$5:$I$1004,"&gt;0")=0,"",AVERAGEIFS(ABSORCION!$K$5:$K$1004,ABSORCION!$C$5:$C$1004,F480,ABSORCION!$I$5:$I$1004,"&gt;0")))</f>
        <v/>
      </c>
      <c r="AF480" s="20" t="str">
        <f aca="false">IF(AE480="","",IF(AE480&gt;=CONFIG!$E$21,CONFIG!$F$21,IF(AE480&gt;=CONFIG!$E$20,CONFIG!$F$20,CONFIG!$F$19)))</f>
        <v/>
      </c>
      <c r="AG480" s="21" t="str">
        <f aca="false">IF(F480="","",TRIM(IF(N(M480)=0,"Sin ensayos. ","")&amp;IF(AND(N(M480)&gt;0,N(M480)&lt;CONFIG!$B$26),"Menos de "&amp;CONFIG!$B$26&amp;" probetas. ","")&amp;IF(N(T480)&gt;CONFIG!$B$25,"CV alto. ","")&amp;IF(AND(N(AD480)&gt;0,N(AD480)&gt;N(AF480)),"Absorción alta. ","")))</f>
        <v/>
      </c>
      <c r="AH480" s="22" t="str">
        <f aca="false">IF(AND(N(M480)&gt;0,OR(CONTROL!$C$4="TODAS",C480=CONTROL!$C$4),D480=CONTROL!$C$5),MAX($AH$4:AH479)+1,"")</f>
        <v/>
      </c>
      <c r="AI480" s="22" t="str">
        <f aca="false">IF(AH480="","",P480^2)</f>
        <v/>
      </c>
    </row>
    <row r="481" customFormat="false" ht="15" hidden="false" customHeight="false" outlineLevel="0" collapsed="false">
      <c r="A481" s="11" t="str">
        <f aca="false">IF(B481="","",ROW()-4)</f>
        <v/>
      </c>
      <c r="B481" s="12"/>
      <c r="C481" s="13"/>
      <c r="D481" s="13"/>
      <c r="E481" s="13"/>
      <c r="F481" s="14" t="str">
        <f aca="false">IF(OR(B481="",C481="",D481=""),"",IFERROR(INDEX(CONFIG!$E$5:$E$14,MATCH(D481,CONFIG!$D$5:$D$14,0)),"?")&amp;RIGHT("0"&amp;DAY(B481),2)&amp;RIGHT("0"&amp;MONTH(B481),2)&amp;RIGHT(YEAR(B481),2)&amp;C481&amp;IF(E481="","","-"&amp;E481))</f>
        <v/>
      </c>
      <c r="G481" s="13"/>
      <c r="H481" s="13"/>
      <c r="I481" s="13"/>
      <c r="J481" s="13"/>
      <c r="K481" s="13"/>
      <c r="L481" s="13"/>
      <c r="M481" s="11" t="str">
        <f aca="false">IF(F481="","",COUNTIFS(ENSAYOS!$C$5:$C$3004,F481,ENSAYOS!$Q$5:$Q$3004,"&gt;0"))</f>
        <v/>
      </c>
      <c r="N481" s="15" t="str">
        <f aca="false">IF(N(M481)=0,"",_xlfn.MINIFS(ENSAYOS!$G$5:$G$3004,ENSAYOS!$C$5:$C$3004,F481,ENSAYOS!$Q$5:$Q$3004,"&gt;0"))</f>
        <v/>
      </c>
      <c r="O481" s="15" t="str">
        <f aca="false">IF(N(M481)=0,"",_xlfn.MAXIFS(ENSAYOS!$G$5:$G$3004,ENSAYOS!$C$5:$C$3004,F481,ENSAYOS!$Q$5:$Q$3004,"&gt;0"))</f>
        <v/>
      </c>
      <c r="P481" s="16" t="str">
        <f aca="false">IF(N(M481)=0,"",AVERAGEIFS(ENSAYOS!$Q$5:$Q$3004,ENSAYOS!$C$5:$C$3004,F481,ENSAYOS!$Q$5:$Q$3004,"&gt;0"))</f>
        <v/>
      </c>
      <c r="Q481" s="16" t="str">
        <f aca="false">IF(N(M481)=0,"",_xlfn.MINIFS(ENSAYOS!$Q$5:$Q$3004,ENSAYOS!$C$5:$C$3004,F481,ENSAYOS!$Q$5:$Q$3004,"&gt;0"))</f>
        <v/>
      </c>
      <c r="R481" s="16" t="str">
        <f aca="false">IF(N(M481)=0,"",_xlfn.MAXIFS(ENSAYOS!$Q$5:$Q$3004,ENSAYOS!$C$5:$C$3004,F481,ENSAYOS!$Q$5:$Q$3004,"&gt;0"))</f>
        <v/>
      </c>
      <c r="S481" s="16" t="str">
        <f aca="false">IF(N(M481)&lt;2,"",SQRT(MAX(0,(SUMIFS(ENSAYOS!$X$5:$X$3004,ENSAYOS!$C$5:$C$3004,F481,ENSAYOS!$Q$5:$Q$3004,"&gt;0")-M481*P481^2)/(M481-1))))</f>
        <v/>
      </c>
      <c r="T481" s="17" t="str">
        <f aca="false">IF(S481="","",S481/P481)</f>
        <v/>
      </c>
      <c r="U481" s="16" t="str">
        <f aca="false">IF(N(M481)=0,"",IF(N481&gt;=CONFIG!$B$27,"",AVERAGEIFS(ENSAYOS!$Q$5:$Q$3004,ENSAYOS!$C$5:$C$3004,F481,ENSAYOS!$Q$5:$Q$3004,"&gt;0",ENSAYOS!$G$5:$G$3004,N481)))</f>
        <v/>
      </c>
      <c r="V481" s="16" t="str">
        <f aca="false">IF(N(M481)=0,"",IF(COUNTIFS(ENSAYOS!$C$5:$C$3004,F481,ENSAYOS!$Q$5:$Q$3004,"&gt;0",ENSAYOS!$G$5:$G$3004,"&gt;="&amp;CONFIG!$B$27)=0,"",AVERAGEIFS(ENSAYOS!$Q$5:$Q$3004,ENSAYOS!$C$5:$C$3004,F481,ENSAYOS!$Q$5:$Q$3004,"&gt;0",ENSAYOS!$G$5:$G$3004,"&gt;="&amp;CONFIG!$B$27)))</f>
        <v/>
      </c>
      <c r="W481" s="18" t="str">
        <f aca="false">IF(AND(U481&lt;&gt;"",V481&lt;&gt;""),U481/V481,"")</f>
        <v/>
      </c>
      <c r="X481" s="18" t="str">
        <f aca="false">IF(U481="","",INDEX('CURVA EDAD'!$E$5:$E$32,MIN(28,MAX(1,N481))))</f>
        <v/>
      </c>
      <c r="Y481" s="16" t="str">
        <f aca="false">IF(V481&lt;&gt;"",V481,IF(U481="","",U481/X481))</f>
        <v/>
      </c>
      <c r="Z481" s="16" t="str">
        <f aca="false">IF(V481&lt;&gt;"",_xlfn.MINIFS(ENSAYOS!$Q$5:$Q$3004,ENSAYOS!$C$5:$C$3004,F481,ENSAYOS!$Q$5:$Q$3004,"&gt;0",ENSAYOS!$G$5:$G$3004,"&gt;="&amp;CONFIG!$B$27),IF(U481="","",_xlfn.MINIFS(ENSAYOS!$Q$5:$Q$3004,ENSAYOS!$C$5:$C$3004,F481,ENSAYOS!$Q$5:$Q$3004,"&gt;0",ENSAYOS!$G$5:$G$3004,N481)/X481))</f>
        <v/>
      </c>
      <c r="AA481" s="16" t="str">
        <f aca="false">IF(D481="","",IFERROR(1/(1/INDEX(CONFIG!$J$5:$J$14,MATCH(D481,CONFIG!$D$5:$D$14,0))),""))</f>
        <v/>
      </c>
      <c r="AB481" s="16" t="str">
        <f aca="false">IF(D481="","",IFERROR(1/(1/INDEX(CONFIG!$K$5:$K$14,MATCH(D481,CONFIG!$D$5:$D$14,0))),""))</f>
        <v/>
      </c>
      <c r="AC481" s="19" t="str">
        <f aca="false">IF(N(M481)=0,"",IF(AA481="","Sin spec",IF(AND(Y481&gt;=AA481,OR(AB481="",Z481&gt;=AB481)),"CUMPLE","NO CUMPLE")&amp;IF(V481=""," (est.)","")))</f>
        <v/>
      </c>
      <c r="AD481" s="20" t="str">
        <f aca="false">IF(F481="","",IF(COUNTIFS(ABSORCION!$C$5:$C$1004,F481,ABSORCION!$I$5:$I$1004,"&gt;0")=0,"",AVERAGEIFS(ABSORCION!$I$5:$I$1004,ABSORCION!$C$5:$C$1004,F481,ABSORCION!$I$5:$I$1004,"&gt;0")))</f>
        <v/>
      </c>
      <c r="AE481" s="20" t="str">
        <f aca="false">IF(F481="","",IF(COUNTIFS(ABSORCION!$C$5:$C$1004,F481,ABSORCION!$I$5:$I$1004,"&gt;0")=0,"",AVERAGEIFS(ABSORCION!$K$5:$K$1004,ABSORCION!$C$5:$C$1004,F481,ABSORCION!$I$5:$I$1004,"&gt;0")))</f>
        <v/>
      </c>
      <c r="AF481" s="20" t="str">
        <f aca="false">IF(AE481="","",IF(AE481&gt;=CONFIG!$E$21,CONFIG!$F$21,IF(AE481&gt;=CONFIG!$E$20,CONFIG!$F$20,CONFIG!$F$19)))</f>
        <v/>
      </c>
      <c r="AG481" s="21" t="str">
        <f aca="false">IF(F481="","",TRIM(IF(N(M481)=0,"Sin ensayos. ","")&amp;IF(AND(N(M481)&gt;0,N(M481)&lt;CONFIG!$B$26),"Menos de "&amp;CONFIG!$B$26&amp;" probetas. ","")&amp;IF(N(T481)&gt;CONFIG!$B$25,"CV alto. ","")&amp;IF(AND(N(AD481)&gt;0,N(AD481)&gt;N(AF481)),"Absorción alta. ","")))</f>
        <v/>
      </c>
      <c r="AH481" s="22" t="str">
        <f aca="false">IF(AND(N(M481)&gt;0,OR(CONTROL!$C$4="TODAS",C481=CONTROL!$C$4),D481=CONTROL!$C$5),MAX($AH$4:AH480)+1,"")</f>
        <v/>
      </c>
      <c r="AI481" s="22" t="str">
        <f aca="false">IF(AH481="","",P481^2)</f>
        <v/>
      </c>
    </row>
    <row r="482" customFormat="false" ht="15" hidden="false" customHeight="false" outlineLevel="0" collapsed="false">
      <c r="A482" s="11" t="str">
        <f aca="false">IF(B482="","",ROW()-4)</f>
        <v/>
      </c>
      <c r="B482" s="12"/>
      <c r="C482" s="13"/>
      <c r="D482" s="13"/>
      <c r="E482" s="13"/>
      <c r="F482" s="14" t="str">
        <f aca="false">IF(OR(B482="",C482="",D482=""),"",IFERROR(INDEX(CONFIG!$E$5:$E$14,MATCH(D482,CONFIG!$D$5:$D$14,0)),"?")&amp;RIGHT("0"&amp;DAY(B482),2)&amp;RIGHT("0"&amp;MONTH(B482),2)&amp;RIGHT(YEAR(B482),2)&amp;C482&amp;IF(E482="","","-"&amp;E482))</f>
        <v/>
      </c>
      <c r="G482" s="13"/>
      <c r="H482" s="13"/>
      <c r="I482" s="13"/>
      <c r="J482" s="13"/>
      <c r="K482" s="13"/>
      <c r="L482" s="13"/>
      <c r="M482" s="11" t="str">
        <f aca="false">IF(F482="","",COUNTIFS(ENSAYOS!$C$5:$C$3004,F482,ENSAYOS!$Q$5:$Q$3004,"&gt;0"))</f>
        <v/>
      </c>
      <c r="N482" s="15" t="str">
        <f aca="false">IF(N(M482)=0,"",_xlfn.MINIFS(ENSAYOS!$G$5:$G$3004,ENSAYOS!$C$5:$C$3004,F482,ENSAYOS!$Q$5:$Q$3004,"&gt;0"))</f>
        <v/>
      </c>
      <c r="O482" s="15" t="str">
        <f aca="false">IF(N(M482)=0,"",_xlfn.MAXIFS(ENSAYOS!$G$5:$G$3004,ENSAYOS!$C$5:$C$3004,F482,ENSAYOS!$Q$5:$Q$3004,"&gt;0"))</f>
        <v/>
      </c>
      <c r="P482" s="16" t="str">
        <f aca="false">IF(N(M482)=0,"",AVERAGEIFS(ENSAYOS!$Q$5:$Q$3004,ENSAYOS!$C$5:$C$3004,F482,ENSAYOS!$Q$5:$Q$3004,"&gt;0"))</f>
        <v/>
      </c>
      <c r="Q482" s="16" t="str">
        <f aca="false">IF(N(M482)=0,"",_xlfn.MINIFS(ENSAYOS!$Q$5:$Q$3004,ENSAYOS!$C$5:$C$3004,F482,ENSAYOS!$Q$5:$Q$3004,"&gt;0"))</f>
        <v/>
      </c>
      <c r="R482" s="16" t="str">
        <f aca="false">IF(N(M482)=0,"",_xlfn.MAXIFS(ENSAYOS!$Q$5:$Q$3004,ENSAYOS!$C$5:$C$3004,F482,ENSAYOS!$Q$5:$Q$3004,"&gt;0"))</f>
        <v/>
      </c>
      <c r="S482" s="16" t="str">
        <f aca="false">IF(N(M482)&lt;2,"",SQRT(MAX(0,(SUMIFS(ENSAYOS!$X$5:$X$3004,ENSAYOS!$C$5:$C$3004,F482,ENSAYOS!$Q$5:$Q$3004,"&gt;0")-M482*P482^2)/(M482-1))))</f>
        <v/>
      </c>
      <c r="T482" s="17" t="str">
        <f aca="false">IF(S482="","",S482/P482)</f>
        <v/>
      </c>
      <c r="U482" s="16" t="str">
        <f aca="false">IF(N(M482)=0,"",IF(N482&gt;=CONFIG!$B$27,"",AVERAGEIFS(ENSAYOS!$Q$5:$Q$3004,ENSAYOS!$C$5:$C$3004,F482,ENSAYOS!$Q$5:$Q$3004,"&gt;0",ENSAYOS!$G$5:$G$3004,N482)))</f>
        <v/>
      </c>
      <c r="V482" s="16" t="str">
        <f aca="false">IF(N(M482)=0,"",IF(COUNTIFS(ENSAYOS!$C$5:$C$3004,F482,ENSAYOS!$Q$5:$Q$3004,"&gt;0",ENSAYOS!$G$5:$G$3004,"&gt;="&amp;CONFIG!$B$27)=0,"",AVERAGEIFS(ENSAYOS!$Q$5:$Q$3004,ENSAYOS!$C$5:$C$3004,F482,ENSAYOS!$Q$5:$Q$3004,"&gt;0",ENSAYOS!$G$5:$G$3004,"&gt;="&amp;CONFIG!$B$27)))</f>
        <v/>
      </c>
      <c r="W482" s="18" t="str">
        <f aca="false">IF(AND(U482&lt;&gt;"",V482&lt;&gt;""),U482/V482,"")</f>
        <v/>
      </c>
      <c r="X482" s="18" t="str">
        <f aca="false">IF(U482="","",INDEX('CURVA EDAD'!$E$5:$E$32,MIN(28,MAX(1,N482))))</f>
        <v/>
      </c>
      <c r="Y482" s="16" t="str">
        <f aca="false">IF(V482&lt;&gt;"",V482,IF(U482="","",U482/X482))</f>
        <v/>
      </c>
      <c r="Z482" s="16" t="str">
        <f aca="false">IF(V482&lt;&gt;"",_xlfn.MINIFS(ENSAYOS!$Q$5:$Q$3004,ENSAYOS!$C$5:$C$3004,F482,ENSAYOS!$Q$5:$Q$3004,"&gt;0",ENSAYOS!$G$5:$G$3004,"&gt;="&amp;CONFIG!$B$27),IF(U482="","",_xlfn.MINIFS(ENSAYOS!$Q$5:$Q$3004,ENSAYOS!$C$5:$C$3004,F482,ENSAYOS!$Q$5:$Q$3004,"&gt;0",ENSAYOS!$G$5:$G$3004,N482)/X482))</f>
        <v/>
      </c>
      <c r="AA482" s="16" t="str">
        <f aca="false">IF(D482="","",IFERROR(1/(1/INDEX(CONFIG!$J$5:$J$14,MATCH(D482,CONFIG!$D$5:$D$14,0))),""))</f>
        <v/>
      </c>
      <c r="AB482" s="16" t="str">
        <f aca="false">IF(D482="","",IFERROR(1/(1/INDEX(CONFIG!$K$5:$K$14,MATCH(D482,CONFIG!$D$5:$D$14,0))),""))</f>
        <v/>
      </c>
      <c r="AC482" s="19" t="str">
        <f aca="false">IF(N(M482)=0,"",IF(AA482="","Sin spec",IF(AND(Y482&gt;=AA482,OR(AB482="",Z482&gt;=AB482)),"CUMPLE","NO CUMPLE")&amp;IF(V482=""," (est.)","")))</f>
        <v/>
      </c>
      <c r="AD482" s="20" t="str">
        <f aca="false">IF(F482="","",IF(COUNTIFS(ABSORCION!$C$5:$C$1004,F482,ABSORCION!$I$5:$I$1004,"&gt;0")=0,"",AVERAGEIFS(ABSORCION!$I$5:$I$1004,ABSORCION!$C$5:$C$1004,F482,ABSORCION!$I$5:$I$1004,"&gt;0")))</f>
        <v/>
      </c>
      <c r="AE482" s="20" t="str">
        <f aca="false">IF(F482="","",IF(COUNTIFS(ABSORCION!$C$5:$C$1004,F482,ABSORCION!$I$5:$I$1004,"&gt;0")=0,"",AVERAGEIFS(ABSORCION!$K$5:$K$1004,ABSORCION!$C$5:$C$1004,F482,ABSORCION!$I$5:$I$1004,"&gt;0")))</f>
        <v/>
      </c>
      <c r="AF482" s="20" t="str">
        <f aca="false">IF(AE482="","",IF(AE482&gt;=CONFIG!$E$21,CONFIG!$F$21,IF(AE482&gt;=CONFIG!$E$20,CONFIG!$F$20,CONFIG!$F$19)))</f>
        <v/>
      </c>
      <c r="AG482" s="21" t="str">
        <f aca="false">IF(F482="","",TRIM(IF(N(M482)=0,"Sin ensayos. ","")&amp;IF(AND(N(M482)&gt;0,N(M482)&lt;CONFIG!$B$26),"Menos de "&amp;CONFIG!$B$26&amp;" probetas. ","")&amp;IF(N(T482)&gt;CONFIG!$B$25,"CV alto. ","")&amp;IF(AND(N(AD482)&gt;0,N(AD482)&gt;N(AF482)),"Absorción alta. ","")))</f>
        <v/>
      </c>
      <c r="AH482" s="22" t="str">
        <f aca="false">IF(AND(N(M482)&gt;0,OR(CONTROL!$C$4="TODAS",C482=CONTROL!$C$4),D482=CONTROL!$C$5),MAX($AH$4:AH481)+1,"")</f>
        <v/>
      </c>
      <c r="AI482" s="22" t="str">
        <f aca="false">IF(AH482="","",P482^2)</f>
        <v/>
      </c>
    </row>
    <row r="483" customFormat="false" ht="15" hidden="false" customHeight="false" outlineLevel="0" collapsed="false">
      <c r="A483" s="11" t="str">
        <f aca="false">IF(B483="","",ROW()-4)</f>
        <v/>
      </c>
      <c r="B483" s="12"/>
      <c r="C483" s="13"/>
      <c r="D483" s="13"/>
      <c r="E483" s="13"/>
      <c r="F483" s="14" t="str">
        <f aca="false">IF(OR(B483="",C483="",D483=""),"",IFERROR(INDEX(CONFIG!$E$5:$E$14,MATCH(D483,CONFIG!$D$5:$D$14,0)),"?")&amp;RIGHT("0"&amp;DAY(B483),2)&amp;RIGHT("0"&amp;MONTH(B483),2)&amp;RIGHT(YEAR(B483),2)&amp;C483&amp;IF(E483="","","-"&amp;E483))</f>
        <v/>
      </c>
      <c r="G483" s="13"/>
      <c r="H483" s="13"/>
      <c r="I483" s="13"/>
      <c r="J483" s="13"/>
      <c r="K483" s="13"/>
      <c r="L483" s="13"/>
      <c r="M483" s="11" t="str">
        <f aca="false">IF(F483="","",COUNTIFS(ENSAYOS!$C$5:$C$3004,F483,ENSAYOS!$Q$5:$Q$3004,"&gt;0"))</f>
        <v/>
      </c>
      <c r="N483" s="15" t="str">
        <f aca="false">IF(N(M483)=0,"",_xlfn.MINIFS(ENSAYOS!$G$5:$G$3004,ENSAYOS!$C$5:$C$3004,F483,ENSAYOS!$Q$5:$Q$3004,"&gt;0"))</f>
        <v/>
      </c>
      <c r="O483" s="15" t="str">
        <f aca="false">IF(N(M483)=0,"",_xlfn.MAXIFS(ENSAYOS!$G$5:$G$3004,ENSAYOS!$C$5:$C$3004,F483,ENSAYOS!$Q$5:$Q$3004,"&gt;0"))</f>
        <v/>
      </c>
      <c r="P483" s="16" t="str">
        <f aca="false">IF(N(M483)=0,"",AVERAGEIFS(ENSAYOS!$Q$5:$Q$3004,ENSAYOS!$C$5:$C$3004,F483,ENSAYOS!$Q$5:$Q$3004,"&gt;0"))</f>
        <v/>
      </c>
      <c r="Q483" s="16" t="str">
        <f aca="false">IF(N(M483)=0,"",_xlfn.MINIFS(ENSAYOS!$Q$5:$Q$3004,ENSAYOS!$C$5:$C$3004,F483,ENSAYOS!$Q$5:$Q$3004,"&gt;0"))</f>
        <v/>
      </c>
      <c r="R483" s="16" t="str">
        <f aca="false">IF(N(M483)=0,"",_xlfn.MAXIFS(ENSAYOS!$Q$5:$Q$3004,ENSAYOS!$C$5:$C$3004,F483,ENSAYOS!$Q$5:$Q$3004,"&gt;0"))</f>
        <v/>
      </c>
      <c r="S483" s="16" t="str">
        <f aca="false">IF(N(M483)&lt;2,"",SQRT(MAX(0,(SUMIFS(ENSAYOS!$X$5:$X$3004,ENSAYOS!$C$5:$C$3004,F483,ENSAYOS!$Q$5:$Q$3004,"&gt;0")-M483*P483^2)/(M483-1))))</f>
        <v/>
      </c>
      <c r="T483" s="17" t="str">
        <f aca="false">IF(S483="","",S483/P483)</f>
        <v/>
      </c>
      <c r="U483" s="16" t="str">
        <f aca="false">IF(N(M483)=0,"",IF(N483&gt;=CONFIG!$B$27,"",AVERAGEIFS(ENSAYOS!$Q$5:$Q$3004,ENSAYOS!$C$5:$C$3004,F483,ENSAYOS!$Q$5:$Q$3004,"&gt;0",ENSAYOS!$G$5:$G$3004,N483)))</f>
        <v/>
      </c>
      <c r="V483" s="16" t="str">
        <f aca="false">IF(N(M483)=0,"",IF(COUNTIFS(ENSAYOS!$C$5:$C$3004,F483,ENSAYOS!$Q$5:$Q$3004,"&gt;0",ENSAYOS!$G$5:$G$3004,"&gt;="&amp;CONFIG!$B$27)=0,"",AVERAGEIFS(ENSAYOS!$Q$5:$Q$3004,ENSAYOS!$C$5:$C$3004,F483,ENSAYOS!$Q$5:$Q$3004,"&gt;0",ENSAYOS!$G$5:$G$3004,"&gt;="&amp;CONFIG!$B$27)))</f>
        <v/>
      </c>
      <c r="W483" s="18" t="str">
        <f aca="false">IF(AND(U483&lt;&gt;"",V483&lt;&gt;""),U483/V483,"")</f>
        <v/>
      </c>
      <c r="X483" s="18" t="str">
        <f aca="false">IF(U483="","",INDEX('CURVA EDAD'!$E$5:$E$32,MIN(28,MAX(1,N483))))</f>
        <v/>
      </c>
      <c r="Y483" s="16" t="str">
        <f aca="false">IF(V483&lt;&gt;"",V483,IF(U483="","",U483/X483))</f>
        <v/>
      </c>
      <c r="Z483" s="16" t="str">
        <f aca="false">IF(V483&lt;&gt;"",_xlfn.MINIFS(ENSAYOS!$Q$5:$Q$3004,ENSAYOS!$C$5:$C$3004,F483,ENSAYOS!$Q$5:$Q$3004,"&gt;0",ENSAYOS!$G$5:$G$3004,"&gt;="&amp;CONFIG!$B$27),IF(U483="","",_xlfn.MINIFS(ENSAYOS!$Q$5:$Q$3004,ENSAYOS!$C$5:$C$3004,F483,ENSAYOS!$Q$5:$Q$3004,"&gt;0",ENSAYOS!$G$5:$G$3004,N483)/X483))</f>
        <v/>
      </c>
      <c r="AA483" s="16" t="str">
        <f aca="false">IF(D483="","",IFERROR(1/(1/INDEX(CONFIG!$J$5:$J$14,MATCH(D483,CONFIG!$D$5:$D$14,0))),""))</f>
        <v/>
      </c>
      <c r="AB483" s="16" t="str">
        <f aca="false">IF(D483="","",IFERROR(1/(1/INDEX(CONFIG!$K$5:$K$14,MATCH(D483,CONFIG!$D$5:$D$14,0))),""))</f>
        <v/>
      </c>
      <c r="AC483" s="19" t="str">
        <f aca="false">IF(N(M483)=0,"",IF(AA483="","Sin spec",IF(AND(Y483&gt;=AA483,OR(AB483="",Z483&gt;=AB483)),"CUMPLE","NO CUMPLE")&amp;IF(V483=""," (est.)","")))</f>
        <v/>
      </c>
      <c r="AD483" s="20" t="str">
        <f aca="false">IF(F483="","",IF(COUNTIFS(ABSORCION!$C$5:$C$1004,F483,ABSORCION!$I$5:$I$1004,"&gt;0")=0,"",AVERAGEIFS(ABSORCION!$I$5:$I$1004,ABSORCION!$C$5:$C$1004,F483,ABSORCION!$I$5:$I$1004,"&gt;0")))</f>
        <v/>
      </c>
      <c r="AE483" s="20" t="str">
        <f aca="false">IF(F483="","",IF(COUNTIFS(ABSORCION!$C$5:$C$1004,F483,ABSORCION!$I$5:$I$1004,"&gt;0")=0,"",AVERAGEIFS(ABSORCION!$K$5:$K$1004,ABSORCION!$C$5:$C$1004,F483,ABSORCION!$I$5:$I$1004,"&gt;0")))</f>
        <v/>
      </c>
      <c r="AF483" s="20" t="str">
        <f aca="false">IF(AE483="","",IF(AE483&gt;=CONFIG!$E$21,CONFIG!$F$21,IF(AE483&gt;=CONFIG!$E$20,CONFIG!$F$20,CONFIG!$F$19)))</f>
        <v/>
      </c>
      <c r="AG483" s="21" t="str">
        <f aca="false">IF(F483="","",TRIM(IF(N(M483)=0,"Sin ensayos. ","")&amp;IF(AND(N(M483)&gt;0,N(M483)&lt;CONFIG!$B$26),"Menos de "&amp;CONFIG!$B$26&amp;" probetas. ","")&amp;IF(N(T483)&gt;CONFIG!$B$25,"CV alto. ","")&amp;IF(AND(N(AD483)&gt;0,N(AD483)&gt;N(AF483)),"Absorción alta. ","")))</f>
        <v/>
      </c>
      <c r="AH483" s="22" t="str">
        <f aca="false">IF(AND(N(M483)&gt;0,OR(CONTROL!$C$4="TODAS",C483=CONTROL!$C$4),D483=CONTROL!$C$5),MAX($AH$4:AH482)+1,"")</f>
        <v/>
      </c>
      <c r="AI483" s="22" t="str">
        <f aca="false">IF(AH483="","",P483^2)</f>
        <v/>
      </c>
    </row>
    <row r="484" customFormat="false" ht="15" hidden="false" customHeight="false" outlineLevel="0" collapsed="false">
      <c r="A484" s="11" t="str">
        <f aca="false">IF(B484="","",ROW()-4)</f>
        <v/>
      </c>
      <c r="B484" s="12"/>
      <c r="C484" s="13"/>
      <c r="D484" s="13"/>
      <c r="E484" s="13"/>
      <c r="F484" s="14" t="str">
        <f aca="false">IF(OR(B484="",C484="",D484=""),"",IFERROR(INDEX(CONFIG!$E$5:$E$14,MATCH(D484,CONFIG!$D$5:$D$14,0)),"?")&amp;RIGHT("0"&amp;DAY(B484),2)&amp;RIGHT("0"&amp;MONTH(B484),2)&amp;RIGHT(YEAR(B484),2)&amp;C484&amp;IF(E484="","","-"&amp;E484))</f>
        <v/>
      </c>
      <c r="G484" s="13"/>
      <c r="H484" s="13"/>
      <c r="I484" s="13"/>
      <c r="J484" s="13"/>
      <c r="K484" s="13"/>
      <c r="L484" s="13"/>
      <c r="M484" s="11" t="str">
        <f aca="false">IF(F484="","",COUNTIFS(ENSAYOS!$C$5:$C$3004,F484,ENSAYOS!$Q$5:$Q$3004,"&gt;0"))</f>
        <v/>
      </c>
      <c r="N484" s="15" t="str">
        <f aca="false">IF(N(M484)=0,"",_xlfn.MINIFS(ENSAYOS!$G$5:$G$3004,ENSAYOS!$C$5:$C$3004,F484,ENSAYOS!$Q$5:$Q$3004,"&gt;0"))</f>
        <v/>
      </c>
      <c r="O484" s="15" t="str">
        <f aca="false">IF(N(M484)=0,"",_xlfn.MAXIFS(ENSAYOS!$G$5:$G$3004,ENSAYOS!$C$5:$C$3004,F484,ENSAYOS!$Q$5:$Q$3004,"&gt;0"))</f>
        <v/>
      </c>
      <c r="P484" s="16" t="str">
        <f aca="false">IF(N(M484)=0,"",AVERAGEIFS(ENSAYOS!$Q$5:$Q$3004,ENSAYOS!$C$5:$C$3004,F484,ENSAYOS!$Q$5:$Q$3004,"&gt;0"))</f>
        <v/>
      </c>
      <c r="Q484" s="16" t="str">
        <f aca="false">IF(N(M484)=0,"",_xlfn.MINIFS(ENSAYOS!$Q$5:$Q$3004,ENSAYOS!$C$5:$C$3004,F484,ENSAYOS!$Q$5:$Q$3004,"&gt;0"))</f>
        <v/>
      </c>
      <c r="R484" s="16" t="str">
        <f aca="false">IF(N(M484)=0,"",_xlfn.MAXIFS(ENSAYOS!$Q$5:$Q$3004,ENSAYOS!$C$5:$C$3004,F484,ENSAYOS!$Q$5:$Q$3004,"&gt;0"))</f>
        <v/>
      </c>
      <c r="S484" s="16" t="str">
        <f aca="false">IF(N(M484)&lt;2,"",SQRT(MAX(0,(SUMIFS(ENSAYOS!$X$5:$X$3004,ENSAYOS!$C$5:$C$3004,F484,ENSAYOS!$Q$5:$Q$3004,"&gt;0")-M484*P484^2)/(M484-1))))</f>
        <v/>
      </c>
      <c r="T484" s="17" t="str">
        <f aca="false">IF(S484="","",S484/P484)</f>
        <v/>
      </c>
      <c r="U484" s="16" t="str">
        <f aca="false">IF(N(M484)=0,"",IF(N484&gt;=CONFIG!$B$27,"",AVERAGEIFS(ENSAYOS!$Q$5:$Q$3004,ENSAYOS!$C$5:$C$3004,F484,ENSAYOS!$Q$5:$Q$3004,"&gt;0",ENSAYOS!$G$5:$G$3004,N484)))</f>
        <v/>
      </c>
      <c r="V484" s="16" t="str">
        <f aca="false">IF(N(M484)=0,"",IF(COUNTIFS(ENSAYOS!$C$5:$C$3004,F484,ENSAYOS!$Q$5:$Q$3004,"&gt;0",ENSAYOS!$G$5:$G$3004,"&gt;="&amp;CONFIG!$B$27)=0,"",AVERAGEIFS(ENSAYOS!$Q$5:$Q$3004,ENSAYOS!$C$5:$C$3004,F484,ENSAYOS!$Q$5:$Q$3004,"&gt;0",ENSAYOS!$G$5:$G$3004,"&gt;="&amp;CONFIG!$B$27)))</f>
        <v/>
      </c>
      <c r="W484" s="18" t="str">
        <f aca="false">IF(AND(U484&lt;&gt;"",V484&lt;&gt;""),U484/V484,"")</f>
        <v/>
      </c>
      <c r="X484" s="18" t="str">
        <f aca="false">IF(U484="","",INDEX('CURVA EDAD'!$E$5:$E$32,MIN(28,MAX(1,N484))))</f>
        <v/>
      </c>
      <c r="Y484" s="16" t="str">
        <f aca="false">IF(V484&lt;&gt;"",V484,IF(U484="","",U484/X484))</f>
        <v/>
      </c>
      <c r="Z484" s="16" t="str">
        <f aca="false">IF(V484&lt;&gt;"",_xlfn.MINIFS(ENSAYOS!$Q$5:$Q$3004,ENSAYOS!$C$5:$C$3004,F484,ENSAYOS!$Q$5:$Q$3004,"&gt;0",ENSAYOS!$G$5:$G$3004,"&gt;="&amp;CONFIG!$B$27),IF(U484="","",_xlfn.MINIFS(ENSAYOS!$Q$5:$Q$3004,ENSAYOS!$C$5:$C$3004,F484,ENSAYOS!$Q$5:$Q$3004,"&gt;0",ENSAYOS!$G$5:$G$3004,N484)/X484))</f>
        <v/>
      </c>
      <c r="AA484" s="16" t="str">
        <f aca="false">IF(D484="","",IFERROR(1/(1/INDEX(CONFIG!$J$5:$J$14,MATCH(D484,CONFIG!$D$5:$D$14,0))),""))</f>
        <v/>
      </c>
      <c r="AB484" s="16" t="str">
        <f aca="false">IF(D484="","",IFERROR(1/(1/INDEX(CONFIG!$K$5:$K$14,MATCH(D484,CONFIG!$D$5:$D$14,0))),""))</f>
        <v/>
      </c>
      <c r="AC484" s="19" t="str">
        <f aca="false">IF(N(M484)=0,"",IF(AA484="","Sin spec",IF(AND(Y484&gt;=AA484,OR(AB484="",Z484&gt;=AB484)),"CUMPLE","NO CUMPLE")&amp;IF(V484=""," (est.)","")))</f>
        <v/>
      </c>
      <c r="AD484" s="20" t="str">
        <f aca="false">IF(F484="","",IF(COUNTIFS(ABSORCION!$C$5:$C$1004,F484,ABSORCION!$I$5:$I$1004,"&gt;0")=0,"",AVERAGEIFS(ABSORCION!$I$5:$I$1004,ABSORCION!$C$5:$C$1004,F484,ABSORCION!$I$5:$I$1004,"&gt;0")))</f>
        <v/>
      </c>
      <c r="AE484" s="20" t="str">
        <f aca="false">IF(F484="","",IF(COUNTIFS(ABSORCION!$C$5:$C$1004,F484,ABSORCION!$I$5:$I$1004,"&gt;0")=0,"",AVERAGEIFS(ABSORCION!$K$5:$K$1004,ABSORCION!$C$5:$C$1004,F484,ABSORCION!$I$5:$I$1004,"&gt;0")))</f>
        <v/>
      </c>
      <c r="AF484" s="20" t="str">
        <f aca="false">IF(AE484="","",IF(AE484&gt;=CONFIG!$E$21,CONFIG!$F$21,IF(AE484&gt;=CONFIG!$E$20,CONFIG!$F$20,CONFIG!$F$19)))</f>
        <v/>
      </c>
      <c r="AG484" s="21" t="str">
        <f aca="false">IF(F484="","",TRIM(IF(N(M484)=0,"Sin ensayos. ","")&amp;IF(AND(N(M484)&gt;0,N(M484)&lt;CONFIG!$B$26),"Menos de "&amp;CONFIG!$B$26&amp;" probetas. ","")&amp;IF(N(T484)&gt;CONFIG!$B$25,"CV alto. ","")&amp;IF(AND(N(AD484)&gt;0,N(AD484)&gt;N(AF484)),"Absorción alta. ","")))</f>
        <v/>
      </c>
      <c r="AH484" s="22" t="str">
        <f aca="false">IF(AND(N(M484)&gt;0,OR(CONTROL!$C$4="TODAS",C484=CONTROL!$C$4),D484=CONTROL!$C$5),MAX($AH$4:AH483)+1,"")</f>
        <v/>
      </c>
      <c r="AI484" s="22" t="str">
        <f aca="false">IF(AH484="","",P484^2)</f>
        <v/>
      </c>
    </row>
    <row r="485" customFormat="false" ht="15" hidden="false" customHeight="false" outlineLevel="0" collapsed="false">
      <c r="A485" s="11" t="str">
        <f aca="false">IF(B485="","",ROW()-4)</f>
        <v/>
      </c>
      <c r="B485" s="12"/>
      <c r="C485" s="13"/>
      <c r="D485" s="13"/>
      <c r="E485" s="13"/>
      <c r="F485" s="14" t="str">
        <f aca="false">IF(OR(B485="",C485="",D485=""),"",IFERROR(INDEX(CONFIG!$E$5:$E$14,MATCH(D485,CONFIG!$D$5:$D$14,0)),"?")&amp;RIGHT("0"&amp;DAY(B485),2)&amp;RIGHT("0"&amp;MONTH(B485),2)&amp;RIGHT(YEAR(B485),2)&amp;C485&amp;IF(E485="","","-"&amp;E485))</f>
        <v/>
      </c>
      <c r="G485" s="13"/>
      <c r="H485" s="13"/>
      <c r="I485" s="13"/>
      <c r="J485" s="13"/>
      <c r="K485" s="13"/>
      <c r="L485" s="13"/>
      <c r="M485" s="11" t="str">
        <f aca="false">IF(F485="","",COUNTIFS(ENSAYOS!$C$5:$C$3004,F485,ENSAYOS!$Q$5:$Q$3004,"&gt;0"))</f>
        <v/>
      </c>
      <c r="N485" s="15" t="str">
        <f aca="false">IF(N(M485)=0,"",_xlfn.MINIFS(ENSAYOS!$G$5:$G$3004,ENSAYOS!$C$5:$C$3004,F485,ENSAYOS!$Q$5:$Q$3004,"&gt;0"))</f>
        <v/>
      </c>
      <c r="O485" s="15" t="str">
        <f aca="false">IF(N(M485)=0,"",_xlfn.MAXIFS(ENSAYOS!$G$5:$G$3004,ENSAYOS!$C$5:$C$3004,F485,ENSAYOS!$Q$5:$Q$3004,"&gt;0"))</f>
        <v/>
      </c>
      <c r="P485" s="16" t="str">
        <f aca="false">IF(N(M485)=0,"",AVERAGEIFS(ENSAYOS!$Q$5:$Q$3004,ENSAYOS!$C$5:$C$3004,F485,ENSAYOS!$Q$5:$Q$3004,"&gt;0"))</f>
        <v/>
      </c>
      <c r="Q485" s="16" t="str">
        <f aca="false">IF(N(M485)=0,"",_xlfn.MINIFS(ENSAYOS!$Q$5:$Q$3004,ENSAYOS!$C$5:$C$3004,F485,ENSAYOS!$Q$5:$Q$3004,"&gt;0"))</f>
        <v/>
      </c>
      <c r="R485" s="16" t="str">
        <f aca="false">IF(N(M485)=0,"",_xlfn.MAXIFS(ENSAYOS!$Q$5:$Q$3004,ENSAYOS!$C$5:$C$3004,F485,ENSAYOS!$Q$5:$Q$3004,"&gt;0"))</f>
        <v/>
      </c>
      <c r="S485" s="16" t="str">
        <f aca="false">IF(N(M485)&lt;2,"",SQRT(MAX(0,(SUMIFS(ENSAYOS!$X$5:$X$3004,ENSAYOS!$C$5:$C$3004,F485,ENSAYOS!$Q$5:$Q$3004,"&gt;0")-M485*P485^2)/(M485-1))))</f>
        <v/>
      </c>
      <c r="T485" s="17" t="str">
        <f aca="false">IF(S485="","",S485/P485)</f>
        <v/>
      </c>
      <c r="U485" s="16" t="str">
        <f aca="false">IF(N(M485)=0,"",IF(N485&gt;=CONFIG!$B$27,"",AVERAGEIFS(ENSAYOS!$Q$5:$Q$3004,ENSAYOS!$C$5:$C$3004,F485,ENSAYOS!$Q$5:$Q$3004,"&gt;0",ENSAYOS!$G$5:$G$3004,N485)))</f>
        <v/>
      </c>
      <c r="V485" s="16" t="str">
        <f aca="false">IF(N(M485)=0,"",IF(COUNTIFS(ENSAYOS!$C$5:$C$3004,F485,ENSAYOS!$Q$5:$Q$3004,"&gt;0",ENSAYOS!$G$5:$G$3004,"&gt;="&amp;CONFIG!$B$27)=0,"",AVERAGEIFS(ENSAYOS!$Q$5:$Q$3004,ENSAYOS!$C$5:$C$3004,F485,ENSAYOS!$Q$5:$Q$3004,"&gt;0",ENSAYOS!$G$5:$G$3004,"&gt;="&amp;CONFIG!$B$27)))</f>
        <v/>
      </c>
      <c r="W485" s="18" t="str">
        <f aca="false">IF(AND(U485&lt;&gt;"",V485&lt;&gt;""),U485/V485,"")</f>
        <v/>
      </c>
      <c r="X485" s="18" t="str">
        <f aca="false">IF(U485="","",INDEX('CURVA EDAD'!$E$5:$E$32,MIN(28,MAX(1,N485))))</f>
        <v/>
      </c>
      <c r="Y485" s="16" t="str">
        <f aca="false">IF(V485&lt;&gt;"",V485,IF(U485="","",U485/X485))</f>
        <v/>
      </c>
      <c r="Z485" s="16" t="str">
        <f aca="false">IF(V485&lt;&gt;"",_xlfn.MINIFS(ENSAYOS!$Q$5:$Q$3004,ENSAYOS!$C$5:$C$3004,F485,ENSAYOS!$Q$5:$Q$3004,"&gt;0",ENSAYOS!$G$5:$G$3004,"&gt;="&amp;CONFIG!$B$27),IF(U485="","",_xlfn.MINIFS(ENSAYOS!$Q$5:$Q$3004,ENSAYOS!$C$5:$C$3004,F485,ENSAYOS!$Q$5:$Q$3004,"&gt;0",ENSAYOS!$G$5:$G$3004,N485)/X485))</f>
        <v/>
      </c>
      <c r="AA485" s="16" t="str">
        <f aca="false">IF(D485="","",IFERROR(1/(1/INDEX(CONFIG!$J$5:$J$14,MATCH(D485,CONFIG!$D$5:$D$14,0))),""))</f>
        <v/>
      </c>
      <c r="AB485" s="16" t="str">
        <f aca="false">IF(D485="","",IFERROR(1/(1/INDEX(CONFIG!$K$5:$K$14,MATCH(D485,CONFIG!$D$5:$D$14,0))),""))</f>
        <v/>
      </c>
      <c r="AC485" s="19" t="str">
        <f aca="false">IF(N(M485)=0,"",IF(AA485="","Sin spec",IF(AND(Y485&gt;=AA485,OR(AB485="",Z485&gt;=AB485)),"CUMPLE","NO CUMPLE")&amp;IF(V485=""," (est.)","")))</f>
        <v/>
      </c>
      <c r="AD485" s="20" t="str">
        <f aca="false">IF(F485="","",IF(COUNTIFS(ABSORCION!$C$5:$C$1004,F485,ABSORCION!$I$5:$I$1004,"&gt;0")=0,"",AVERAGEIFS(ABSORCION!$I$5:$I$1004,ABSORCION!$C$5:$C$1004,F485,ABSORCION!$I$5:$I$1004,"&gt;0")))</f>
        <v/>
      </c>
      <c r="AE485" s="20" t="str">
        <f aca="false">IF(F485="","",IF(COUNTIFS(ABSORCION!$C$5:$C$1004,F485,ABSORCION!$I$5:$I$1004,"&gt;0")=0,"",AVERAGEIFS(ABSORCION!$K$5:$K$1004,ABSORCION!$C$5:$C$1004,F485,ABSORCION!$I$5:$I$1004,"&gt;0")))</f>
        <v/>
      </c>
      <c r="AF485" s="20" t="str">
        <f aca="false">IF(AE485="","",IF(AE485&gt;=CONFIG!$E$21,CONFIG!$F$21,IF(AE485&gt;=CONFIG!$E$20,CONFIG!$F$20,CONFIG!$F$19)))</f>
        <v/>
      </c>
      <c r="AG485" s="21" t="str">
        <f aca="false">IF(F485="","",TRIM(IF(N(M485)=0,"Sin ensayos. ","")&amp;IF(AND(N(M485)&gt;0,N(M485)&lt;CONFIG!$B$26),"Menos de "&amp;CONFIG!$B$26&amp;" probetas. ","")&amp;IF(N(T485)&gt;CONFIG!$B$25,"CV alto. ","")&amp;IF(AND(N(AD485)&gt;0,N(AD485)&gt;N(AF485)),"Absorción alta. ","")))</f>
        <v/>
      </c>
      <c r="AH485" s="22" t="str">
        <f aca="false">IF(AND(N(M485)&gt;0,OR(CONTROL!$C$4="TODAS",C485=CONTROL!$C$4),D485=CONTROL!$C$5),MAX($AH$4:AH484)+1,"")</f>
        <v/>
      </c>
      <c r="AI485" s="22" t="str">
        <f aca="false">IF(AH485="","",P485^2)</f>
        <v/>
      </c>
    </row>
    <row r="486" customFormat="false" ht="15" hidden="false" customHeight="false" outlineLevel="0" collapsed="false">
      <c r="A486" s="11" t="str">
        <f aca="false">IF(B486="","",ROW()-4)</f>
        <v/>
      </c>
      <c r="B486" s="12"/>
      <c r="C486" s="13"/>
      <c r="D486" s="13"/>
      <c r="E486" s="13"/>
      <c r="F486" s="14" t="str">
        <f aca="false">IF(OR(B486="",C486="",D486=""),"",IFERROR(INDEX(CONFIG!$E$5:$E$14,MATCH(D486,CONFIG!$D$5:$D$14,0)),"?")&amp;RIGHT("0"&amp;DAY(B486),2)&amp;RIGHT("0"&amp;MONTH(B486),2)&amp;RIGHT(YEAR(B486),2)&amp;C486&amp;IF(E486="","","-"&amp;E486))</f>
        <v/>
      </c>
      <c r="G486" s="13"/>
      <c r="H486" s="13"/>
      <c r="I486" s="13"/>
      <c r="J486" s="13"/>
      <c r="K486" s="13"/>
      <c r="L486" s="13"/>
      <c r="M486" s="11" t="str">
        <f aca="false">IF(F486="","",COUNTIFS(ENSAYOS!$C$5:$C$3004,F486,ENSAYOS!$Q$5:$Q$3004,"&gt;0"))</f>
        <v/>
      </c>
      <c r="N486" s="15" t="str">
        <f aca="false">IF(N(M486)=0,"",_xlfn.MINIFS(ENSAYOS!$G$5:$G$3004,ENSAYOS!$C$5:$C$3004,F486,ENSAYOS!$Q$5:$Q$3004,"&gt;0"))</f>
        <v/>
      </c>
      <c r="O486" s="15" t="str">
        <f aca="false">IF(N(M486)=0,"",_xlfn.MAXIFS(ENSAYOS!$G$5:$G$3004,ENSAYOS!$C$5:$C$3004,F486,ENSAYOS!$Q$5:$Q$3004,"&gt;0"))</f>
        <v/>
      </c>
      <c r="P486" s="16" t="str">
        <f aca="false">IF(N(M486)=0,"",AVERAGEIFS(ENSAYOS!$Q$5:$Q$3004,ENSAYOS!$C$5:$C$3004,F486,ENSAYOS!$Q$5:$Q$3004,"&gt;0"))</f>
        <v/>
      </c>
      <c r="Q486" s="16" t="str">
        <f aca="false">IF(N(M486)=0,"",_xlfn.MINIFS(ENSAYOS!$Q$5:$Q$3004,ENSAYOS!$C$5:$C$3004,F486,ENSAYOS!$Q$5:$Q$3004,"&gt;0"))</f>
        <v/>
      </c>
      <c r="R486" s="16" t="str">
        <f aca="false">IF(N(M486)=0,"",_xlfn.MAXIFS(ENSAYOS!$Q$5:$Q$3004,ENSAYOS!$C$5:$C$3004,F486,ENSAYOS!$Q$5:$Q$3004,"&gt;0"))</f>
        <v/>
      </c>
      <c r="S486" s="16" t="str">
        <f aca="false">IF(N(M486)&lt;2,"",SQRT(MAX(0,(SUMIFS(ENSAYOS!$X$5:$X$3004,ENSAYOS!$C$5:$C$3004,F486,ENSAYOS!$Q$5:$Q$3004,"&gt;0")-M486*P486^2)/(M486-1))))</f>
        <v/>
      </c>
      <c r="T486" s="17" t="str">
        <f aca="false">IF(S486="","",S486/P486)</f>
        <v/>
      </c>
      <c r="U486" s="16" t="str">
        <f aca="false">IF(N(M486)=0,"",IF(N486&gt;=CONFIG!$B$27,"",AVERAGEIFS(ENSAYOS!$Q$5:$Q$3004,ENSAYOS!$C$5:$C$3004,F486,ENSAYOS!$Q$5:$Q$3004,"&gt;0",ENSAYOS!$G$5:$G$3004,N486)))</f>
        <v/>
      </c>
      <c r="V486" s="16" t="str">
        <f aca="false">IF(N(M486)=0,"",IF(COUNTIFS(ENSAYOS!$C$5:$C$3004,F486,ENSAYOS!$Q$5:$Q$3004,"&gt;0",ENSAYOS!$G$5:$G$3004,"&gt;="&amp;CONFIG!$B$27)=0,"",AVERAGEIFS(ENSAYOS!$Q$5:$Q$3004,ENSAYOS!$C$5:$C$3004,F486,ENSAYOS!$Q$5:$Q$3004,"&gt;0",ENSAYOS!$G$5:$G$3004,"&gt;="&amp;CONFIG!$B$27)))</f>
        <v/>
      </c>
      <c r="W486" s="18" t="str">
        <f aca="false">IF(AND(U486&lt;&gt;"",V486&lt;&gt;""),U486/V486,"")</f>
        <v/>
      </c>
      <c r="X486" s="18" t="str">
        <f aca="false">IF(U486="","",INDEX('CURVA EDAD'!$E$5:$E$32,MIN(28,MAX(1,N486))))</f>
        <v/>
      </c>
      <c r="Y486" s="16" t="str">
        <f aca="false">IF(V486&lt;&gt;"",V486,IF(U486="","",U486/X486))</f>
        <v/>
      </c>
      <c r="Z486" s="16" t="str">
        <f aca="false">IF(V486&lt;&gt;"",_xlfn.MINIFS(ENSAYOS!$Q$5:$Q$3004,ENSAYOS!$C$5:$C$3004,F486,ENSAYOS!$Q$5:$Q$3004,"&gt;0",ENSAYOS!$G$5:$G$3004,"&gt;="&amp;CONFIG!$B$27),IF(U486="","",_xlfn.MINIFS(ENSAYOS!$Q$5:$Q$3004,ENSAYOS!$C$5:$C$3004,F486,ENSAYOS!$Q$5:$Q$3004,"&gt;0",ENSAYOS!$G$5:$G$3004,N486)/X486))</f>
        <v/>
      </c>
      <c r="AA486" s="16" t="str">
        <f aca="false">IF(D486="","",IFERROR(1/(1/INDEX(CONFIG!$J$5:$J$14,MATCH(D486,CONFIG!$D$5:$D$14,0))),""))</f>
        <v/>
      </c>
      <c r="AB486" s="16" t="str">
        <f aca="false">IF(D486="","",IFERROR(1/(1/INDEX(CONFIG!$K$5:$K$14,MATCH(D486,CONFIG!$D$5:$D$14,0))),""))</f>
        <v/>
      </c>
      <c r="AC486" s="19" t="str">
        <f aca="false">IF(N(M486)=0,"",IF(AA486="","Sin spec",IF(AND(Y486&gt;=AA486,OR(AB486="",Z486&gt;=AB486)),"CUMPLE","NO CUMPLE")&amp;IF(V486=""," (est.)","")))</f>
        <v/>
      </c>
      <c r="AD486" s="20" t="str">
        <f aca="false">IF(F486="","",IF(COUNTIFS(ABSORCION!$C$5:$C$1004,F486,ABSORCION!$I$5:$I$1004,"&gt;0")=0,"",AVERAGEIFS(ABSORCION!$I$5:$I$1004,ABSORCION!$C$5:$C$1004,F486,ABSORCION!$I$5:$I$1004,"&gt;0")))</f>
        <v/>
      </c>
      <c r="AE486" s="20" t="str">
        <f aca="false">IF(F486="","",IF(COUNTIFS(ABSORCION!$C$5:$C$1004,F486,ABSORCION!$I$5:$I$1004,"&gt;0")=0,"",AVERAGEIFS(ABSORCION!$K$5:$K$1004,ABSORCION!$C$5:$C$1004,F486,ABSORCION!$I$5:$I$1004,"&gt;0")))</f>
        <v/>
      </c>
      <c r="AF486" s="20" t="str">
        <f aca="false">IF(AE486="","",IF(AE486&gt;=CONFIG!$E$21,CONFIG!$F$21,IF(AE486&gt;=CONFIG!$E$20,CONFIG!$F$20,CONFIG!$F$19)))</f>
        <v/>
      </c>
      <c r="AG486" s="21" t="str">
        <f aca="false">IF(F486="","",TRIM(IF(N(M486)=0,"Sin ensayos. ","")&amp;IF(AND(N(M486)&gt;0,N(M486)&lt;CONFIG!$B$26),"Menos de "&amp;CONFIG!$B$26&amp;" probetas. ","")&amp;IF(N(T486)&gt;CONFIG!$B$25,"CV alto. ","")&amp;IF(AND(N(AD486)&gt;0,N(AD486)&gt;N(AF486)),"Absorción alta. ","")))</f>
        <v/>
      </c>
      <c r="AH486" s="22" t="str">
        <f aca="false">IF(AND(N(M486)&gt;0,OR(CONTROL!$C$4="TODAS",C486=CONTROL!$C$4),D486=CONTROL!$C$5),MAX($AH$4:AH485)+1,"")</f>
        <v/>
      </c>
      <c r="AI486" s="22" t="str">
        <f aca="false">IF(AH486="","",P486^2)</f>
        <v/>
      </c>
    </row>
    <row r="487" customFormat="false" ht="15" hidden="false" customHeight="false" outlineLevel="0" collapsed="false">
      <c r="A487" s="11" t="str">
        <f aca="false">IF(B487="","",ROW()-4)</f>
        <v/>
      </c>
      <c r="B487" s="12"/>
      <c r="C487" s="13"/>
      <c r="D487" s="13"/>
      <c r="E487" s="13"/>
      <c r="F487" s="14" t="str">
        <f aca="false">IF(OR(B487="",C487="",D487=""),"",IFERROR(INDEX(CONFIG!$E$5:$E$14,MATCH(D487,CONFIG!$D$5:$D$14,0)),"?")&amp;RIGHT("0"&amp;DAY(B487),2)&amp;RIGHT("0"&amp;MONTH(B487),2)&amp;RIGHT(YEAR(B487),2)&amp;C487&amp;IF(E487="","","-"&amp;E487))</f>
        <v/>
      </c>
      <c r="G487" s="13"/>
      <c r="H487" s="13"/>
      <c r="I487" s="13"/>
      <c r="J487" s="13"/>
      <c r="K487" s="13"/>
      <c r="L487" s="13"/>
      <c r="M487" s="11" t="str">
        <f aca="false">IF(F487="","",COUNTIFS(ENSAYOS!$C$5:$C$3004,F487,ENSAYOS!$Q$5:$Q$3004,"&gt;0"))</f>
        <v/>
      </c>
      <c r="N487" s="15" t="str">
        <f aca="false">IF(N(M487)=0,"",_xlfn.MINIFS(ENSAYOS!$G$5:$G$3004,ENSAYOS!$C$5:$C$3004,F487,ENSAYOS!$Q$5:$Q$3004,"&gt;0"))</f>
        <v/>
      </c>
      <c r="O487" s="15" t="str">
        <f aca="false">IF(N(M487)=0,"",_xlfn.MAXIFS(ENSAYOS!$G$5:$G$3004,ENSAYOS!$C$5:$C$3004,F487,ENSAYOS!$Q$5:$Q$3004,"&gt;0"))</f>
        <v/>
      </c>
      <c r="P487" s="16" t="str">
        <f aca="false">IF(N(M487)=0,"",AVERAGEIFS(ENSAYOS!$Q$5:$Q$3004,ENSAYOS!$C$5:$C$3004,F487,ENSAYOS!$Q$5:$Q$3004,"&gt;0"))</f>
        <v/>
      </c>
      <c r="Q487" s="16" t="str">
        <f aca="false">IF(N(M487)=0,"",_xlfn.MINIFS(ENSAYOS!$Q$5:$Q$3004,ENSAYOS!$C$5:$C$3004,F487,ENSAYOS!$Q$5:$Q$3004,"&gt;0"))</f>
        <v/>
      </c>
      <c r="R487" s="16" t="str">
        <f aca="false">IF(N(M487)=0,"",_xlfn.MAXIFS(ENSAYOS!$Q$5:$Q$3004,ENSAYOS!$C$5:$C$3004,F487,ENSAYOS!$Q$5:$Q$3004,"&gt;0"))</f>
        <v/>
      </c>
      <c r="S487" s="16" t="str">
        <f aca="false">IF(N(M487)&lt;2,"",SQRT(MAX(0,(SUMIFS(ENSAYOS!$X$5:$X$3004,ENSAYOS!$C$5:$C$3004,F487,ENSAYOS!$Q$5:$Q$3004,"&gt;0")-M487*P487^2)/(M487-1))))</f>
        <v/>
      </c>
      <c r="T487" s="17" t="str">
        <f aca="false">IF(S487="","",S487/P487)</f>
        <v/>
      </c>
      <c r="U487" s="16" t="str">
        <f aca="false">IF(N(M487)=0,"",IF(N487&gt;=CONFIG!$B$27,"",AVERAGEIFS(ENSAYOS!$Q$5:$Q$3004,ENSAYOS!$C$5:$C$3004,F487,ENSAYOS!$Q$5:$Q$3004,"&gt;0",ENSAYOS!$G$5:$G$3004,N487)))</f>
        <v/>
      </c>
      <c r="V487" s="16" t="str">
        <f aca="false">IF(N(M487)=0,"",IF(COUNTIFS(ENSAYOS!$C$5:$C$3004,F487,ENSAYOS!$Q$5:$Q$3004,"&gt;0",ENSAYOS!$G$5:$G$3004,"&gt;="&amp;CONFIG!$B$27)=0,"",AVERAGEIFS(ENSAYOS!$Q$5:$Q$3004,ENSAYOS!$C$5:$C$3004,F487,ENSAYOS!$Q$5:$Q$3004,"&gt;0",ENSAYOS!$G$5:$G$3004,"&gt;="&amp;CONFIG!$B$27)))</f>
        <v/>
      </c>
      <c r="W487" s="18" t="str">
        <f aca="false">IF(AND(U487&lt;&gt;"",V487&lt;&gt;""),U487/V487,"")</f>
        <v/>
      </c>
      <c r="X487" s="18" t="str">
        <f aca="false">IF(U487="","",INDEX('CURVA EDAD'!$E$5:$E$32,MIN(28,MAX(1,N487))))</f>
        <v/>
      </c>
      <c r="Y487" s="16" t="str">
        <f aca="false">IF(V487&lt;&gt;"",V487,IF(U487="","",U487/X487))</f>
        <v/>
      </c>
      <c r="Z487" s="16" t="str">
        <f aca="false">IF(V487&lt;&gt;"",_xlfn.MINIFS(ENSAYOS!$Q$5:$Q$3004,ENSAYOS!$C$5:$C$3004,F487,ENSAYOS!$Q$5:$Q$3004,"&gt;0",ENSAYOS!$G$5:$G$3004,"&gt;="&amp;CONFIG!$B$27),IF(U487="","",_xlfn.MINIFS(ENSAYOS!$Q$5:$Q$3004,ENSAYOS!$C$5:$C$3004,F487,ENSAYOS!$Q$5:$Q$3004,"&gt;0",ENSAYOS!$G$5:$G$3004,N487)/X487))</f>
        <v/>
      </c>
      <c r="AA487" s="16" t="str">
        <f aca="false">IF(D487="","",IFERROR(1/(1/INDEX(CONFIG!$J$5:$J$14,MATCH(D487,CONFIG!$D$5:$D$14,0))),""))</f>
        <v/>
      </c>
      <c r="AB487" s="16" t="str">
        <f aca="false">IF(D487="","",IFERROR(1/(1/INDEX(CONFIG!$K$5:$K$14,MATCH(D487,CONFIG!$D$5:$D$14,0))),""))</f>
        <v/>
      </c>
      <c r="AC487" s="19" t="str">
        <f aca="false">IF(N(M487)=0,"",IF(AA487="","Sin spec",IF(AND(Y487&gt;=AA487,OR(AB487="",Z487&gt;=AB487)),"CUMPLE","NO CUMPLE")&amp;IF(V487=""," (est.)","")))</f>
        <v/>
      </c>
      <c r="AD487" s="20" t="str">
        <f aca="false">IF(F487="","",IF(COUNTIFS(ABSORCION!$C$5:$C$1004,F487,ABSORCION!$I$5:$I$1004,"&gt;0")=0,"",AVERAGEIFS(ABSORCION!$I$5:$I$1004,ABSORCION!$C$5:$C$1004,F487,ABSORCION!$I$5:$I$1004,"&gt;0")))</f>
        <v/>
      </c>
      <c r="AE487" s="20" t="str">
        <f aca="false">IF(F487="","",IF(COUNTIFS(ABSORCION!$C$5:$C$1004,F487,ABSORCION!$I$5:$I$1004,"&gt;0")=0,"",AVERAGEIFS(ABSORCION!$K$5:$K$1004,ABSORCION!$C$5:$C$1004,F487,ABSORCION!$I$5:$I$1004,"&gt;0")))</f>
        <v/>
      </c>
      <c r="AF487" s="20" t="str">
        <f aca="false">IF(AE487="","",IF(AE487&gt;=CONFIG!$E$21,CONFIG!$F$21,IF(AE487&gt;=CONFIG!$E$20,CONFIG!$F$20,CONFIG!$F$19)))</f>
        <v/>
      </c>
      <c r="AG487" s="21" t="str">
        <f aca="false">IF(F487="","",TRIM(IF(N(M487)=0,"Sin ensayos. ","")&amp;IF(AND(N(M487)&gt;0,N(M487)&lt;CONFIG!$B$26),"Menos de "&amp;CONFIG!$B$26&amp;" probetas. ","")&amp;IF(N(T487)&gt;CONFIG!$B$25,"CV alto. ","")&amp;IF(AND(N(AD487)&gt;0,N(AD487)&gt;N(AF487)),"Absorción alta. ","")))</f>
        <v/>
      </c>
      <c r="AH487" s="22" t="str">
        <f aca="false">IF(AND(N(M487)&gt;0,OR(CONTROL!$C$4="TODAS",C487=CONTROL!$C$4),D487=CONTROL!$C$5),MAX($AH$4:AH486)+1,"")</f>
        <v/>
      </c>
      <c r="AI487" s="22" t="str">
        <f aca="false">IF(AH487="","",P487^2)</f>
        <v/>
      </c>
    </row>
    <row r="488" customFormat="false" ht="15" hidden="false" customHeight="false" outlineLevel="0" collapsed="false">
      <c r="A488" s="11" t="str">
        <f aca="false">IF(B488="","",ROW()-4)</f>
        <v/>
      </c>
      <c r="B488" s="12"/>
      <c r="C488" s="13"/>
      <c r="D488" s="13"/>
      <c r="E488" s="13"/>
      <c r="F488" s="14" t="str">
        <f aca="false">IF(OR(B488="",C488="",D488=""),"",IFERROR(INDEX(CONFIG!$E$5:$E$14,MATCH(D488,CONFIG!$D$5:$D$14,0)),"?")&amp;RIGHT("0"&amp;DAY(B488),2)&amp;RIGHT("0"&amp;MONTH(B488),2)&amp;RIGHT(YEAR(B488),2)&amp;C488&amp;IF(E488="","","-"&amp;E488))</f>
        <v/>
      </c>
      <c r="G488" s="13"/>
      <c r="H488" s="13"/>
      <c r="I488" s="13"/>
      <c r="J488" s="13"/>
      <c r="K488" s="13"/>
      <c r="L488" s="13"/>
      <c r="M488" s="11" t="str">
        <f aca="false">IF(F488="","",COUNTIFS(ENSAYOS!$C$5:$C$3004,F488,ENSAYOS!$Q$5:$Q$3004,"&gt;0"))</f>
        <v/>
      </c>
      <c r="N488" s="15" t="str">
        <f aca="false">IF(N(M488)=0,"",_xlfn.MINIFS(ENSAYOS!$G$5:$G$3004,ENSAYOS!$C$5:$C$3004,F488,ENSAYOS!$Q$5:$Q$3004,"&gt;0"))</f>
        <v/>
      </c>
      <c r="O488" s="15" t="str">
        <f aca="false">IF(N(M488)=0,"",_xlfn.MAXIFS(ENSAYOS!$G$5:$G$3004,ENSAYOS!$C$5:$C$3004,F488,ENSAYOS!$Q$5:$Q$3004,"&gt;0"))</f>
        <v/>
      </c>
      <c r="P488" s="16" t="str">
        <f aca="false">IF(N(M488)=0,"",AVERAGEIFS(ENSAYOS!$Q$5:$Q$3004,ENSAYOS!$C$5:$C$3004,F488,ENSAYOS!$Q$5:$Q$3004,"&gt;0"))</f>
        <v/>
      </c>
      <c r="Q488" s="16" t="str">
        <f aca="false">IF(N(M488)=0,"",_xlfn.MINIFS(ENSAYOS!$Q$5:$Q$3004,ENSAYOS!$C$5:$C$3004,F488,ENSAYOS!$Q$5:$Q$3004,"&gt;0"))</f>
        <v/>
      </c>
      <c r="R488" s="16" t="str">
        <f aca="false">IF(N(M488)=0,"",_xlfn.MAXIFS(ENSAYOS!$Q$5:$Q$3004,ENSAYOS!$C$5:$C$3004,F488,ENSAYOS!$Q$5:$Q$3004,"&gt;0"))</f>
        <v/>
      </c>
      <c r="S488" s="16" t="str">
        <f aca="false">IF(N(M488)&lt;2,"",SQRT(MAX(0,(SUMIFS(ENSAYOS!$X$5:$X$3004,ENSAYOS!$C$5:$C$3004,F488,ENSAYOS!$Q$5:$Q$3004,"&gt;0")-M488*P488^2)/(M488-1))))</f>
        <v/>
      </c>
      <c r="T488" s="17" t="str">
        <f aca="false">IF(S488="","",S488/P488)</f>
        <v/>
      </c>
      <c r="U488" s="16" t="str">
        <f aca="false">IF(N(M488)=0,"",IF(N488&gt;=CONFIG!$B$27,"",AVERAGEIFS(ENSAYOS!$Q$5:$Q$3004,ENSAYOS!$C$5:$C$3004,F488,ENSAYOS!$Q$5:$Q$3004,"&gt;0",ENSAYOS!$G$5:$G$3004,N488)))</f>
        <v/>
      </c>
      <c r="V488" s="16" t="str">
        <f aca="false">IF(N(M488)=0,"",IF(COUNTIFS(ENSAYOS!$C$5:$C$3004,F488,ENSAYOS!$Q$5:$Q$3004,"&gt;0",ENSAYOS!$G$5:$G$3004,"&gt;="&amp;CONFIG!$B$27)=0,"",AVERAGEIFS(ENSAYOS!$Q$5:$Q$3004,ENSAYOS!$C$5:$C$3004,F488,ENSAYOS!$Q$5:$Q$3004,"&gt;0",ENSAYOS!$G$5:$G$3004,"&gt;="&amp;CONFIG!$B$27)))</f>
        <v/>
      </c>
      <c r="W488" s="18" t="str">
        <f aca="false">IF(AND(U488&lt;&gt;"",V488&lt;&gt;""),U488/V488,"")</f>
        <v/>
      </c>
      <c r="X488" s="18" t="str">
        <f aca="false">IF(U488="","",INDEX('CURVA EDAD'!$E$5:$E$32,MIN(28,MAX(1,N488))))</f>
        <v/>
      </c>
      <c r="Y488" s="16" t="str">
        <f aca="false">IF(V488&lt;&gt;"",V488,IF(U488="","",U488/X488))</f>
        <v/>
      </c>
      <c r="Z488" s="16" t="str">
        <f aca="false">IF(V488&lt;&gt;"",_xlfn.MINIFS(ENSAYOS!$Q$5:$Q$3004,ENSAYOS!$C$5:$C$3004,F488,ENSAYOS!$Q$5:$Q$3004,"&gt;0",ENSAYOS!$G$5:$G$3004,"&gt;="&amp;CONFIG!$B$27),IF(U488="","",_xlfn.MINIFS(ENSAYOS!$Q$5:$Q$3004,ENSAYOS!$C$5:$C$3004,F488,ENSAYOS!$Q$5:$Q$3004,"&gt;0",ENSAYOS!$G$5:$G$3004,N488)/X488))</f>
        <v/>
      </c>
      <c r="AA488" s="16" t="str">
        <f aca="false">IF(D488="","",IFERROR(1/(1/INDEX(CONFIG!$J$5:$J$14,MATCH(D488,CONFIG!$D$5:$D$14,0))),""))</f>
        <v/>
      </c>
      <c r="AB488" s="16" t="str">
        <f aca="false">IF(D488="","",IFERROR(1/(1/INDEX(CONFIG!$K$5:$K$14,MATCH(D488,CONFIG!$D$5:$D$14,0))),""))</f>
        <v/>
      </c>
      <c r="AC488" s="19" t="str">
        <f aca="false">IF(N(M488)=0,"",IF(AA488="","Sin spec",IF(AND(Y488&gt;=AA488,OR(AB488="",Z488&gt;=AB488)),"CUMPLE","NO CUMPLE")&amp;IF(V488=""," (est.)","")))</f>
        <v/>
      </c>
      <c r="AD488" s="20" t="str">
        <f aca="false">IF(F488="","",IF(COUNTIFS(ABSORCION!$C$5:$C$1004,F488,ABSORCION!$I$5:$I$1004,"&gt;0")=0,"",AVERAGEIFS(ABSORCION!$I$5:$I$1004,ABSORCION!$C$5:$C$1004,F488,ABSORCION!$I$5:$I$1004,"&gt;0")))</f>
        <v/>
      </c>
      <c r="AE488" s="20" t="str">
        <f aca="false">IF(F488="","",IF(COUNTIFS(ABSORCION!$C$5:$C$1004,F488,ABSORCION!$I$5:$I$1004,"&gt;0")=0,"",AVERAGEIFS(ABSORCION!$K$5:$K$1004,ABSORCION!$C$5:$C$1004,F488,ABSORCION!$I$5:$I$1004,"&gt;0")))</f>
        <v/>
      </c>
      <c r="AF488" s="20" t="str">
        <f aca="false">IF(AE488="","",IF(AE488&gt;=CONFIG!$E$21,CONFIG!$F$21,IF(AE488&gt;=CONFIG!$E$20,CONFIG!$F$20,CONFIG!$F$19)))</f>
        <v/>
      </c>
      <c r="AG488" s="21" t="str">
        <f aca="false">IF(F488="","",TRIM(IF(N(M488)=0,"Sin ensayos. ","")&amp;IF(AND(N(M488)&gt;0,N(M488)&lt;CONFIG!$B$26),"Menos de "&amp;CONFIG!$B$26&amp;" probetas. ","")&amp;IF(N(T488)&gt;CONFIG!$B$25,"CV alto. ","")&amp;IF(AND(N(AD488)&gt;0,N(AD488)&gt;N(AF488)),"Absorción alta. ","")))</f>
        <v/>
      </c>
      <c r="AH488" s="22" t="str">
        <f aca="false">IF(AND(N(M488)&gt;0,OR(CONTROL!$C$4="TODAS",C488=CONTROL!$C$4),D488=CONTROL!$C$5),MAX($AH$4:AH487)+1,"")</f>
        <v/>
      </c>
      <c r="AI488" s="22" t="str">
        <f aca="false">IF(AH488="","",P488^2)</f>
        <v/>
      </c>
    </row>
    <row r="489" customFormat="false" ht="15" hidden="false" customHeight="false" outlineLevel="0" collapsed="false">
      <c r="A489" s="11" t="str">
        <f aca="false">IF(B489="","",ROW()-4)</f>
        <v/>
      </c>
      <c r="B489" s="12"/>
      <c r="C489" s="13"/>
      <c r="D489" s="13"/>
      <c r="E489" s="13"/>
      <c r="F489" s="14" t="str">
        <f aca="false">IF(OR(B489="",C489="",D489=""),"",IFERROR(INDEX(CONFIG!$E$5:$E$14,MATCH(D489,CONFIG!$D$5:$D$14,0)),"?")&amp;RIGHT("0"&amp;DAY(B489),2)&amp;RIGHT("0"&amp;MONTH(B489),2)&amp;RIGHT(YEAR(B489),2)&amp;C489&amp;IF(E489="","","-"&amp;E489))</f>
        <v/>
      </c>
      <c r="G489" s="13"/>
      <c r="H489" s="13"/>
      <c r="I489" s="13"/>
      <c r="J489" s="13"/>
      <c r="K489" s="13"/>
      <c r="L489" s="13"/>
      <c r="M489" s="11" t="str">
        <f aca="false">IF(F489="","",COUNTIFS(ENSAYOS!$C$5:$C$3004,F489,ENSAYOS!$Q$5:$Q$3004,"&gt;0"))</f>
        <v/>
      </c>
      <c r="N489" s="15" t="str">
        <f aca="false">IF(N(M489)=0,"",_xlfn.MINIFS(ENSAYOS!$G$5:$G$3004,ENSAYOS!$C$5:$C$3004,F489,ENSAYOS!$Q$5:$Q$3004,"&gt;0"))</f>
        <v/>
      </c>
      <c r="O489" s="15" t="str">
        <f aca="false">IF(N(M489)=0,"",_xlfn.MAXIFS(ENSAYOS!$G$5:$G$3004,ENSAYOS!$C$5:$C$3004,F489,ENSAYOS!$Q$5:$Q$3004,"&gt;0"))</f>
        <v/>
      </c>
      <c r="P489" s="16" t="str">
        <f aca="false">IF(N(M489)=0,"",AVERAGEIFS(ENSAYOS!$Q$5:$Q$3004,ENSAYOS!$C$5:$C$3004,F489,ENSAYOS!$Q$5:$Q$3004,"&gt;0"))</f>
        <v/>
      </c>
      <c r="Q489" s="16" t="str">
        <f aca="false">IF(N(M489)=0,"",_xlfn.MINIFS(ENSAYOS!$Q$5:$Q$3004,ENSAYOS!$C$5:$C$3004,F489,ENSAYOS!$Q$5:$Q$3004,"&gt;0"))</f>
        <v/>
      </c>
      <c r="R489" s="16" t="str">
        <f aca="false">IF(N(M489)=0,"",_xlfn.MAXIFS(ENSAYOS!$Q$5:$Q$3004,ENSAYOS!$C$5:$C$3004,F489,ENSAYOS!$Q$5:$Q$3004,"&gt;0"))</f>
        <v/>
      </c>
      <c r="S489" s="16" t="str">
        <f aca="false">IF(N(M489)&lt;2,"",SQRT(MAX(0,(SUMIFS(ENSAYOS!$X$5:$X$3004,ENSAYOS!$C$5:$C$3004,F489,ENSAYOS!$Q$5:$Q$3004,"&gt;0")-M489*P489^2)/(M489-1))))</f>
        <v/>
      </c>
      <c r="T489" s="17" t="str">
        <f aca="false">IF(S489="","",S489/P489)</f>
        <v/>
      </c>
      <c r="U489" s="16" t="str">
        <f aca="false">IF(N(M489)=0,"",IF(N489&gt;=CONFIG!$B$27,"",AVERAGEIFS(ENSAYOS!$Q$5:$Q$3004,ENSAYOS!$C$5:$C$3004,F489,ENSAYOS!$Q$5:$Q$3004,"&gt;0",ENSAYOS!$G$5:$G$3004,N489)))</f>
        <v/>
      </c>
      <c r="V489" s="16" t="str">
        <f aca="false">IF(N(M489)=0,"",IF(COUNTIFS(ENSAYOS!$C$5:$C$3004,F489,ENSAYOS!$Q$5:$Q$3004,"&gt;0",ENSAYOS!$G$5:$G$3004,"&gt;="&amp;CONFIG!$B$27)=0,"",AVERAGEIFS(ENSAYOS!$Q$5:$Q$3004,ENSAYOS!$C$5:$C$3004,F489,ENSAYOS!$Q$5:$Q$3004,"&gt;0",ENSAYOS!$G$5:$G$3004,"&gt;="&amp;CONFIG!$B$27)))</f>
        <v/>
      </c>
      <c r="W489" s="18" t="str">
        <f aca="false">IF(AND(U489&lt;&gt;"",V489&lt;&gt;""),U489/V489,"")</f>
        <v/>
      </c>
      <c r="X489" s="18" t="str">
        <f aca="false">IF(U489="","",INDEX('CURVA EDAD'!$E$5:$E$32,MIN(28,MAX(1,N489))))</f>
        <v/>
      </c>
      <c r="Y489" s="16" t="str">
        <f aca="false">IF(V489&lt;&gt;"",V489,IF(U489="","",U489/X489))</f>
        <v/>
      </c>
      <c r="Z489" s="16" t="str">
        <f aca="false">IF(V489&lt;&gt;"",_xlfn.MINIFS(ENSAYOS!$Q$5:$Q$3004,ENSAYOS!$C$5:$C$3004,F489,ENSAYOS!$Q$5:$Q$3004,"&gt;0",ENSAYOS!$G$5:$G$3004,"&gt;="&amp;CONFIG!$B$27),IF(U489="","",_xlfn.MINIFS(ENSAYOS!$Q$5:$Q$3004,ENSAYOS!$C$5:$C$3004,F489,ENSAYOS!$Q$5:$Q$3004,"&gt;0",ENSAYOS!$G$5:$G$3004,N489)/X489))</f>
        <v/>
      </c>
      <c r="AA489" s="16" t="str">
        <f aca="false">IF(D489="","",IFERROR(1/(1/INDEX(CONFIG!$J$5:$J$14,MATCH(D489,CONFIG!$D$5:$D$14,0))),""))</f>
        <v/>
      </c>
      <c r="AB489" s="16" t="str">
        <f aca="false">IF(D489="","",IFERROR(1/(1/INDEX(CONFIG!$K$5:$K$14,MATCH(D489,CONFIG!$D$5:$D$14,0))),""))</f>
        <v/>
      </c>
      <c r="AC489" s="19" t="str">
        <f aca="false">IF(N(M489)=0,"",IF(AA489="","Sin spec",IF(AND(Y489&gt;=AA489,OR(AB489="",Z489&gt;=AB489)),"CUMPLE","NO CUMPLE")&amp;IF(V489=""," (est.)","")))</f>
        <v/>
      </c>
      <c r="AD489" s="20" t="str">
        <f aca="false">IF(F489="","",IF(COUNTIFS(ABSORCION!$C$5:$C$1004,F489,ABSORCION!$I$5:$I$1004,"&gt;0")=0,"",AVERAGEIFS(ABSORCION!$I$5:$I$1004,ABSORCION!$C$5:$C$1004,F489,ABSORCION!$I$5:$I$1004,"&gt;0")))</f>
        <v/>
      </c>
      <c r="AE489" s="20" t="str">
        <f aca="false">IF(F489="","",IF(COUNTIFS(ABSORCION!$C$5:$C$1004,F489,ABSORCION!$I$5:$I$1004,"&gt;0")=0,"",AVERAGEIFS(ABSORCION!$K$5:$K$1004,ABSORCION!$C$5:$C$1004,F489,ABSORCION!$I$5:$I$1004,"&gt;0")))</f>
        <v/>
      </c>
      <c r="AF489" s="20" t="str">
        <f aca="false">IF(AE489="","",IF(AE489&gt;=CONFIG!$E$21,CONFIG!$F$21,IF(AE489&gt;=CONFIG!$E$20,CONFIG!$F$20,CONFIG!$F$19)))</f>
        <v/>
      </c>
      <c r="AG489" s="21" t="str">
        <f aca="false">IF(F489="","",TRIM(IF(N(M489)=0,"Sin ensayos. ","")&amp;IF(AND(N(M489)&gt;0,N(M489)&lt;CONFIG!$B$26),"Menos de "&amp;CONFIG!$B$26&amp;" probetas. ","")&amp;IF(N(T489)&gt;CONFIG!$B$25,"CV alto. ","")&amp;IF(AND(N(AD489)&gt;0,N(AD489)&gt;N(AF489)),"Absorción alta. ","")))</f>
        <v/>
      </c>
      <c r="AH489" s="22" t="str">
        <f aca="false">IF(AND(N(M489)&gt;0,OR(CONTROL!$C$4="TODAS",C489=CONTROL!$C$4),D489=CONTROL!$C$5),MAX($AH$4:AH488)+1,"")</f>
        <v/>
      </c>
      <c r="AI489" s="22" t="str">
        <f aca="false">IF(AH489="","",P489^2)</f>
        <v/>
      </c>
    </row>
    <row r="490" customFormat="false" ht="15" hidden="false" customHeight="false" outlineLevel="0" collapsed="false">
      <c r="A490" s="11" t="str">
        <f aca="false">IF(B490="","",ROW()-4)</f>
        <v/>
      </c>
      <c r="B490" s="12"/>
      <c r="C490" s="13"/>
      <c r="D490" s="13"/>
      <c r="E490" s="13"/>
      <c r="F490" s="14" t="str">
        <f aca="false">IF(OR(B490="",C490="",D490=""),"",IFERROR(INDEX(CONFIG!$E$5:$E$14,MATCH(D490,CONFIG!$D$5:$D$14,0)),"?")&amp;RIGHT("0"&amp;DAY(B490),2)&amp;RIGHT("0"&amp;MONTH(B490),2)&amp;RIGHT(YEAR(B490),2)&amp;C490&amp;IF(E490="","","-"&amp;E490))</f>
        <v/>
      </c>
      <c r="G490" s="13"/>
      <c r="H490" s="13"/>
      <c r="I490" s="13"/>
      <c r="J490" s="13"/>
      <c r="K490" s="13"/>
      <c r="L490" s="13"/>
      <c r="M490" s="11" t="str">
        <f aca="false">IF(F490="","",COUNTIFS(ENSAYOS!$C$5:$C$3004,F490,ENSAYOS!$Q$5:$Q$3004,"&gt;0"))</f>
        <v/>
      </c>
      <c r="N490" s="15" t="str">
        <f aca="false">IF(N(M490)=0,"",_xlfn.MINIFS(ENSAYOS!$G$5:$G$3004,ENSAYOS!$C$5:$C$3004,F490,ENSAYOS!$Q$5:$Q$3004,"&gt;0"))</f>
        <v/>
      </c>
      <c r="O490" s="15" t="str">
        <f aca="false">IF(N(M490)=0,"",_xlfn.MAXIFS(ENSAYOS!$G$5:$G$3004,ENSAYOS!$C$5:$C$3004,F490,ENSAYOS!$Q$5:$Q$3004,"&gt;0"))</f>
        <v/>
      </c>
      <c r="P490" s="16" t="str">
        <f aca="false">IF(N(M490)=0,"",AVERAGEIFS(ENSAYOS!$Q$5:$Q$3004,ENSAYOS!$C$5:$C$3004,F490,ENSAYOS!$Q$5:$Q$3004,"&gt;0"))</f>
        <v/>
      </c>
      <c r="Q490" s="16" t="str">
        <f aca="false">IF(N(M490)=0,"",_xlfn.MINIFS(ENSAYOS!$Q$5:$Q$3004,ENSAYOS!$C$5:$C$3004,F490,ENSAYOS!$Q$5:$Q$3004,"&gt;0"))</f>
        <v/>
      </c>
      <c r="R490" s="16" t="str">
        <f aca="false">IF(N(M490)=0,"",_xlfn.MAXIFS(ENSAYOS!$Q$5:$Q$3004,ENSAYOS!$C$5:$C$3004,F490,ENSAYOS!$Q$5:$Q$3004,"&gt;0"))</f>
        <v/>
      </c>
      <c r="S490" s="16" t="str">
        <f aca="false">IF(N(M490)&lt;2,"",SQRT(MAX(0,(SUMIFS(ENSAYOS!$X$5:$X$3004,ENSAYOS!$C$5:$C$3004,F490,ENSAYOS!$Q$5:$Q$3004,"&gt;0")-M490*P490^2)/(M490-1))))</f>
        <v/>
      </c>
      <c r="T490" s="17" t="str">
        <f aca="false">IF(S490="","",S490/P490)</f>
        <v/>
      </c>
      <c r="U490" s="16" t="str">
        <f aca="false">IF(N(M490)=0,"",IF(N490&gt;=CONFIG!$B$27,"",AVERAGEIFS(ENSAYOS!$Q$5:$Q$3004,ENSAYOS!$C$5:$C$3004,F490,ENSAYOS!$Q$5:$Q$3004,"&gt;0",ENSAYOS!$G$5:$G$3004,N490)))</f>
        <v/>
      </c>
      <c r="V490" s="16" t="str">
        <f aca="false">IF(N(M490)=0,"",IF(COUNTIFS(ENSAYOS!$C$5:$C$3004,F490,ENSAYOS!$Q$5:$Q$3004,"&gt;0",ENSAYOS!$G$5:$G$3004,"&gt;="&amp;CONFIG!$B$27)=0,"",AVERAGEIFS(ENSAYOS!$Q$5:$Q$3004,ENSAYOS!$C$5:$C$3004,F490,ENSAYOS!$Q$5:$Q$3004,"&gt;0",ENSAYOS!$G$5:$G$3004,"&gt;="&amp;CONFIG!$B$27)))</f>
        <v/>
      </c>
      <c r="W490" s="18" t="str">
        <f aca="false">IF(AND(U490&lt;&gt;"",V490&lt;&gt;""),U490/V490,"")</f>
        <v/>
      </c>
      <c r="X490" s="18" t="str">
        <f aca="false">IF(U490="","",INDEX('CURVA EDAD'!$E$5:$E$32,MIN(28,MAX(1,N490))))</f>
        <v/>
      </c>
      <c r="Y490" s="16" t="str">
        <f aca="false">IF(V490&lt;&gt;"",V490,IF(U490="","",U490/X490))</f>
        <v/>
      </c>
      <c r="Z490" s="16" t="str">
        <f aca="false">IF(V490&lt;&gt;"",_xlfn.MINIFS(ENSAYOS!$Q$5:$Q$3004,ENSAYOS!$C$5:$C$3004,F490,ENSAYOS!$Q$5:$Q$3004,"&gt;0",ENSAYOS!$G$5:$G$3004,"&gt;="&amp;CONFIG!$B$27),IF(U490="","",_xlfn.MINIFS(ENSAYOS!$Q$5:$Q$3004,ENSAYOS!$C$5:$C$3004,F490,ENSAYOS!$Q$5:$Q$3004,"&gt;0",ENSAYOS!$G$5:$G$3004,N490)/X490))</f>
        <v/>
      </c>
      <c r="AA490" s="16" t="str">
        <f aca="false">IF(D490="","",IFERROR(1/(1/INDEX(CONFIG!$J$5:$J$14,MATCH(D490,CONFIG!$D$5:$D$14,0))),""))</f>
        <v/>
      </c>
      <c r="AB490" s="16" t="str">
        <f aca="false">IF(D490="","",IFERROR(1/(1/INDEX(CONFIG!$K$5:$K$14,MATCH(D490,CONFIG!$D$5:$D$14,0))),""))</f>
        <v/>
      </c>
      <c r="AC490" s="19" t="str">
        <f aca="false">IF(N(M490)=0,"",IF(AA490="","Sin spec",IF(AND(Y490&gt;=AA490,OR(AB490="",Z490&gt;=AB490)),"CUMPLE","NO CUMPLE")&amp;IF(V490=""," (est.)","")))</f>
        <v/>
      </c>
      <c r="AD490" s="20" t="str">
        <f aca="false">IF(F490="","",IF(COUNTIFS(ABSORCION!$C$5:$C$1004,F490,ABSORCION!$I$5:$I$1004,"&gt;0")=0,"",AVERAGEIFS(ABSORCION!$I$5:$I$1004,ABSORCION!$C$5:$C$1004,F490,ABSORCION!$I$5:$I$1004,"&gt;0")))</f>
        <v/>
      </c>
      <c r="AE490" s="20" t="str">
        <f aca="false">IF(F490="","",IF(COUNTIFS(ABSORCION!$C$5:$C$1004,F490,ABSORCION!$I$5:$I$1004,"&gt;0")=0,"",AVERAGEIFS(ABSORCION!$K$5:$K$1004,ABSORCION!$C$5:$C$1004,F490,ABSORCION!$I$5:$I$1004,"&gt;0")))</f>
        <v/>
      </c>
      <c r="AF490" s="20" t="str">
        <f aca="false">IF(AE490="","",IF(AE490&gt;=CONFIG!$E$21,CONFIG!$F$21,IF(AE490&gt;=CONFIG!$E$20,CONFIG!$F$20,CONFIG!$F$19)))</f>
        <v/>
      </c>
      <c r="AG490" s="21" t="str">
        <f aca="false">IF(F490="","",TRIM(IF(N(M490)=0,"Sin ensayos. ","")&amp;IF(AND(N(M490)&gt;0,N(M490)&lt;CONFIG!$B$26),"Menos de "&amp;CONFIG!$B$26&amp;" probetas. ","")&amp;IF(N(T490)&gt;CONFIG!$B$25,"CV alto. ","")&amp;IF(AND(N(AD490)&gt;0,N(AD490)&gt;N(AF490)),"Absorción alta. ","")))</f>
        <v/>
      </c>
      <c r="AH490" s="22" t="str">
        <f aca="false">IF(AND(N(M490)&gt;0,OR(CONTROL!$C$4="TODAS",C490=CONTROL!$C$4),D490=CONTROL!$C$5),MAX($AH$4:AH489)+1,"")</f>
        <v/>
      </c>
      <c r="AI490" s="22" t="str">
        <f aca="false">IF(AH490="","",P490^2)</f>
        <v/>
      </c>
    </row>
    <row r="491" customFormat="false" ht="15" hidden="false" customHeight="false" outlineLevel="0" collapsed="false">
      <c r="A491" s="11" t="str">
        <f aca="false">IF(B491="","",ROW()-4)</f>
        <v/>
      </c>
      <c r="B491" s="12"/>
      <c r="C491" s="13"/>
      <c r="D491" s="13"/>
      <c r="E491" s="13"/>
      <c r="F491" s="14" t="str">
        <f aca="false">IF(OR(B491="",C491="",D491=""),"",IFERROR(INDEX(CONFIG!$E$5:$E$14,MATCH(D491,CONFIG!$D$5:$D$14,0)),"?")&amp;RIGHT("0"&amp;DAY(B491),2)&amp;RIGHT("0"&amp;MONTH(B491),2)&amp;RIGHT(YEAR(B491),2)&amp;C491&amp;IF(E491="","","-"&amp;E491))</f>
        <v/>
      </c>
      <c r="G491" s="13"/>
      <c r="H491" s="13"/>
      <c r="I491" s="13"/>
      <c r="J491" s="13"/>
      <c r="K491" s="13"/>
      <c r="L491" s="13"/>
      <c r="M491" s="11" t="str">
        <f aca="false">IF(F491="","",COUNTIFS(ENSAYOS!$C$5:$C$3004,F491,ENSAYOS!$Q$5:$Q$3004,"&gt;0"))</f>
        <v/>
      </c>
      <c r="N491" s="15" t="str">
        <f aca="false">IF(N(M491)=0,"",_xlfn.MINIFS(ENSAYOS!$G$5:$G$3004,ENSAYOS!$C$5:$C$3004,F491,ENSAYOS!$Q$5:$Q$3004,"&gt;0"))</f>
        <v/>
      </c>
      <c r="O491" s="15" t="str">
        <f aca="false">IF(N(M491)=0,"",_xlfn.MAXIFS(ENSAYOS!$G$5:$G$3004,ENSAYOS!$C$5:$C$3004,F491,ENSAYOS!$Q$5:$Q$3004,"&gt;0"))</f>
        <v/>
      </c>
      <c r="P491" s="16" t="str">
        <f aca="false">IF(N(M491)=0,"",AVERAGEIFS(ENSAYOS!$Q$5:$Q$3004,ENSAYOS!$C$5:$C$3004,F491,ENSAYOS!$Q$5:$Q$3004,"&gt;0"))</f>
        <v/>
      </c>
      <c r="Q491" s="16" t="str">
        <f aca="false">IF(N(M491)=0,"",_xlfn.MINIFS(ENSAYOS!$Q$5:$Q$3004,ENSAYOS!$C$5:$C$3004,F491,ENSAYOS!$Q$5:$Q$3004,"&gt;0"))</f>
        <v/>
      </c>
      <c r="R491" s="16" t="str">
        <f aca="false">IF(N(M491)=0,"",_xlfn.MAXIFS(ENSAYOS!$Q$5:$Q$3004,ENSAYOS!$C$5:$C$3004,F491,ENSAYOS!$Q$5:$Q$3004,"&gt;0"))</f>
        <v/>
      </c>
      <c r="S491" s="16" t="str">
        <f aca="false">IF(N(M491)&lt;2,"",SQRT(MAX(0,(SUMIFS(ENSAYOS!$X$5:$X$3004,ENSAYOS!$C$5:$C$3004,F491,ENSAYOS!$Q$5:$Q$3004,"&gt;0")-M491*P491^2)/(M491-1))))</f>
        <v/>
      </c>
      <c r="T491" s="17" t="str">
        <f aca="false">IF(S491="","",S491/P491)</f>
        <v/>
      </c>
      <c r="U491" s="16" t="str">
        <f aca="false">IF(N(M491)=0,"",IF(N491&gt;=CONFIG!$B$27,"",AVERAGEIFS(ENSAYOS!$Q$5:$Q$3004,ENSAYOS!$C$5:$C$3004,F491,ENSAYOS!$Q$5:$Q$3004,"&gt;0",ENSAYOS!$G$5:$G$3004,N491)))</f>
        <v/>
      </c>
      <c r="V491" s="16" t="str">
        <f aca="false">IF(N(M491)=0,"",IF(COUNTIFS(ENSAYOS!$C$5:$C$3004,F491,ENSAYOS!$Q$5:$Q$3004,"&gt;0",ENSAYOS!$G$5:$G$3004,"&gt;="&amp;CONFIG!$B$27)=0,"",AVERAGEIFS(ENSAYOS!$Q$5:$Q$3004,ENSAYOS!$C$5:$C$3004,F491,ENSAYOS!$Q$5:$Q$3004,"&gt;0",ENSAYOS!$G$5:$G$3004,"&gt;="&amp;CONFIG!$B$27)))</f>
        <v/>
      </c>
      <c r="W491" s="18" t="str">
        <f aca="false">IF(AND(U491&lt;&gt;"",V491&lt;&gt;""),U491/V491,"")</f>
        <v/>
      </c>
      <c r="X491" s="18" t="str">
        <f aca="false">IF(U491="","",INDEX('CURVA EDAD'!$E$5:$E$32,MIN(28,MAX(1,N491))))</f>
        <v/>
      </c>
      <c r="Y491" s="16" t="str">
        <f aca="false">IF(V491&lt;&gt;"",V491,IF(U491="","",U491/X491))</f>
        <v/>
      </c>
      <c r="Z491" s="16" t="str">
        <f aca="false">IF(V491&lt;&gt;"",_xlfn.MINIFS(ENSAYOS!$Q$5:$Q$3004,ENSAYOS!$C$5:$C$3004,F491,ENSAYOS!$Q$5:$Q$3004,"&gt;0",ENSAYOS!$G$5:$G$3004,"&gt;="&amp;CONFIG!$B$27),IF(U491="","",_xlfn.MINIFS(ENSAYOS!$Q$5:$Q$3004,ENSAYOS!$C$5:$C$3004,F491,ENSAYOS!$Q$5:$Q$3004,"&gt;0",ENSAYOS!$G$5:$G$3004,N491)/X491))</f>
        <v/>
      </c>
      <c r="AA491" s="16" t="str">
        <f aca="false">IF(D491="","",IFERROR(1/(1/INDEX(CONFIG!$J$5:$J$14,MATCH(D491,CONFIG!$D$5:$D$14,0))),""))</f>
        <v/>
      </c>
      <c r="AB491" s="16" t="str">
        <f aca="false">IF(D491="","",IFERROR(1/(1/INDEX(CONFIG!$K$5:$K$14,MATCH(D491,CONFIG!$D$5:$D$14,0))),""))</f>
        <v/>
      </c>
      <c r="AC491" s="19" t="str">
        <f aca="false">IF(N(M491)=0,"",IF(AA491="","Sin spec",IF(AND(Y491&gt;=AA491,OR(AB491="",Z491&gt;=AB491)),"CUMPLE","NO CUMPLE")&amp;IF(V491=""," (est.)","")))</f>
        <v/>
      </c>
      <c r="AD491" s="20" t="str">
        <f aca="false">IF(F491="","",IF(COUNTIFS(ABSORCION!$C$5:$C$1004,F491,ABSORCION!$I$5:$I$1004,"&gt;0")=0,"",AVERAGEIFS(ABSORCION!$I$5:$I$1004,ABSORCION!$C$5:$C$1004,F491,ABSORCION!$I$5:$I$1004,"&gt;0")))</f>
        <v/>
      </c>
      <c r="AE491" s="20" t="str">
        <f aca="false">IF(F491="","",IF(COUNTIFS(ABSORCION!$C$5:$C$1004,F491,ABSORCION!$I$5:$I$1004,"&gt;0")=0,"",AVERAGEIFS(ABSORCION!$K$5:$K$1004,ABSORCION!$C$5:$C$1004,F491,ABSORCION!$I$5:$I$1004,"&gt;0")))</f>
        <v/>
      </c>
      <c r="AF491" s="20" t="str">
        <f aca="false">IF(AE491="","",IF(AE491&gt;=CONFIG!$E$21,CONFIG!$F$21,IF(AE491&gt;=CONFIG!$E$20,CONFIG!$F$20,CONFIG!$F$19)))</f>
        <v/>
      </c>
      <c r="AG491" s="21" t="str">
        <f aca="false">IF(F491="","",TRIM(IF(N(M491)=0,"Sin ensayos. ","")&amp;IF(AND(N(M491)&gt;0,N(M491)&lt;CONFIG!$B$26),"Menos de "&amp;CONFIG!$B$26&amp;" probetas. ","")&amp;IF(N(T491)&gt;CONFIG!$B$25,"CV alto. ","")&amp;IF(AND(N(AD491)&gt;0,N(AD491)&gt;N(AF491)),"Absorción alta. ","")))</f>
        <v/>
      </c>
      <c r="AH491" s="22" t="str">
        <f aca="false">IF(AND(N(M491)&gt;0,OR(CONTROL!$C$4="TODAS",C491=CONTROL!$C$4),D491=CONTROL!$C$5),MAX($AH$4:AH490)+1,"")</f>
        <v/>
      </c>
      <c r="AI491" s="22" t="str">
        <f aca="false">IF(AH491="","",P491^2)</f>
        <v/>
      </c>
    </row>
    <row r="492" customFormat="false" ht="15" hidden="false" customHeight="false" outlineLevel="0" collapsed="false">
      <c r="A492" s="11" t="str">
        <f aca="false">IF(B492="","",ROW()-4)</f>
        <v/>
      </c>
      <c r="B492" s="12"/>
      <c r="C492" s="13"/>
      <c r="D492" s="13"/>
      <c r="E492" s="13"/>
      <c r="F492" s="14" t="str">
        <f aca="false">IF(OR(B492="",C492="",D492=""),"",IFERROR(INDEX(CONFIG!$E$5:$E$14,MATCH(D492,CONFIG!$D$5:$D$14,0)),"?")&amp;RIGHT("0"&amp;DAY(B492),2)&amp;RIGHT("0"&amp;MONTH(B492),2)&amp;RIGHT(YEAR(B492),2)&amp;C492&amp;IF(E492="","","-"&amp;E492))</f>
        <v/>
      </c>
      <c r="G492" s="13"/>
      <c r="H492" s="13"/>
      <c r="I492" s="13"/>
      <c r="J492" s="13"/>
      <c r="K492" s="13"/>
      <c r="L492" s="13"/>
      <c r="M492" s="11" t="str">
        <f aca="false">IF(F492="","",COUNTIFS(ENSAYOS!$C$5:$C$3004,F492,ENSAYOS!$Q$5:$Q$3004,"&gt;0"))</f>
        <v/>
      </c>
      <c r="N492" s="15" t="str">
        <f aca="false">IF(N(M492)=0,"",_xlfn.MINIFS(ENSAYOS!$G$5:$G$3004,ENSAYOS!$C$5:$C$3004,F492,ENSAYOS!$Q$5:$Q$3004,"&gt;0"))</f>
        <v/>
      </c>
      <c r="O492" s="15" t="str">
        <f aca="false">IF(N(M492)=0,"",_xlfn.MAXIFS(ENSAYOS!$G$5:$G$3004,ENSAYOS!$C$5:$C$3004,F492,ENSAYOS!$Q$5:$Q$3004,"&gt;0"))</f>
        <v/>
      </c>
      <c r="P492" s="16" t="str">
        <f aca="false">IF(N(M492)=0,"",AVERAGEIFS(ENSAYOS!$Q$5:$Q$3004,ENSAYOS!$C$5:$C$3004,F492,ENSAYOS!$Q$5:$Q$3004,"&gt;0"))</f>
        <v/>
      </c>
      <c r="Q492" s="16" t="str">
        <f aca="false">IF(N(M492)=0,"",_xlfn.MINIFS(ENSAYOS!$Q$5:$Q$3004,ENSAYOS!$C$5:$C$3004,F492,ENSAYOS!$Q$5:$Q$3004,"&gt;0"))</f>
        <v/>
      </c>
      <c r="R492" s="16" t="str">
        <f aca="false">IF(N(M492)=0,"",_xlfn.MAXIFS(ENSAYOS!$Q$5:$Q$3004,ENSAYOS!$C$5:$C$3004,F492,ENSAYOS!$Q$5:$Q$3004,"&gt;0"))</f>
        <v/>
      </c>
      <c r="S492" s="16" t="str">
        <f aca="false">IF(N(M492)&lt;2,"",SQRT(MAX(0,(SUMIFS(ENSAYOS!$X$5:$X$3004,ENSAYOS!$C$5:$C$3004,F492,ENSAYOS!$Q$5:$Q$3004,"&gt;0")-M492*P492^2)/(M492-1))))</f>
        <v/>
      </c>
      <c r="T492" s="17" t="str">
        <f aca="false">IF(S492="","",S492/P492)</f>
        <v/>
      </c>
      <c r="U492" s="16" t="str">
        <f aca="false">IF(N(M492)=0,"",IF(N492&gt;=CONFIG!$B$27,"",AVERAGEIFS(ENSAYOS!$Q$5:$Q$3004,ENSAYOS!$C$5:$C$3004,F492,ENSAYOS!$Q$5:$Q$3004,"&gt;0",ENSAYOS!$G$5:$G$3004,N492)))</f>
        <v/>
      </c>
      <c r="V492" s="16" t="str">
        <f aca="false">IF(N(M492)=0,"",IF(COUNTIFS(ENSAYOS!$C$5:$C$3004,F492,ENSAYOS!$Q$5:$Q$3004,"&gt;0",ENSAYOS!$G$5:$G$3004,"&gt;="&amp;CONFIG!$B$27)=0,"",AVERAGEIFS(ENSAYOS!$Q$5:$Q$3004,ENSAYOS!$C$5:$C$3004,F492,ENSAYOS!$Q$5:$Q$3004,"&gt;0",ENSAYOS!$G$5:$G$3004,"&gt;="&amp;CONFIG!$B$27)))</f>
        <v/>
      </c>
      <c r="W492" s="18" t="str">
        <f aca="false">IF(AND(U492&lt;&gt;"",V492&lt;&gt;""),U492/V492,"")</f>
        <v/>
      </c>
      <c r="X492" s="18" t="str">
        <f aca="false">IF(U492="","",INDEX('CURVA EDAD'!$E$5:$E$32,MIN(28,MAX(1,N492))))</f>
        <v/>
      </c>
      <c r="Y492" s="16" t="str">
        <f aca="false">IF(V492&lt;&gt;"",V492,IF(U492="","",U492/X492))</f>
        <v/>
      </c>
      <c r="Z492" s="16" t="str">
        <f aca="false">IF(V492&lt;&gt;"",_xlfn.MINIFS(ENSAYOS!$Q$5:$Q$3004,ENSAYOS!$C$5:$C$3004,F492,ENSAYOS!$Q$5:$Q$3004,"&gt;0",ENSAYOS!$G$5:$G$3004,"&gt;="&amp;CONFIG!$B$27),IF(U492="","",_xlfn.MINIFS(ENSAYOS!$Q$5:$Q$3004,ENSAYOS!$C$5:$C$3004,F492,ENSAYOS!$Q$5:$Q$3004,"&gt;0",ENSAYOS!$G$5:$G$3004,N492)/X492))</f>
        <v/>
      </c>
      <c r="AA492" s="16" t="str">
        <f aca="false">IF(D492="","",IFERROR(1/(1/INDEX(CONFIG!$J$5:$J$14,MATCH(D492,CONFIG!$D$5:$D$14,0))),""))</f>
        <v/>
      </c>
      <c r="AB492" s="16" t="str">
        <f aca="false">IF(D492="","",IFERROR(1/(1/INDEX(CONFIG!$K$5:$K$14,MATCH(D492,CONFIG!$D$5:$D$14,0))),""))</f>
        <v/>
      </c>
      <c r="AC492" s="19" t="str">
        <f aca="false">IF(N(M492)=0,"",IF(AA492="","Sin spec",IF(AND(Y492&gt;=AA492,OR(AB492="",Z492&gt;=AB492)),"CUMPLE","NO CUMPLE")&amp;IF(V492=""," (est.)","")))</f>
        <v/>
      </c>
      <c r="AD492" s="20" t="str">
        <f aca="false">IF(F492="","",IF(COUNTIFS(ABSORCION!$C$5:$C$1004,F492,ABSORCION!$I$5:$I$1004,"&gt;0")=0,"",AVERAGEIFS(ABSORCION!$I$5:$I$1004,ABSORCION!$C$5:$C$1004,F492,ABSORCION!$I$5:$I$1004,"&gt;0")))</f>
        <v/>
      </c>
      <c r="AE492" s="20" t="str">
        <f aca="false">IF(F492="","",IF(COUNTIFS(ABSORCION!$C$5:$C$1004,F492,ABSORCION!$I$5:$I$1004,"&gt;0")=0,"",AVERAGEIFS(ABSORCION!$K$5:$K$1004,ABSORCION!$C$5:$C$1004,F492,ABSORCION!$I$5:$I$1004,"&gt;0")))</f>
        <v/>
      </c>
      <c r="AF492" s="20" t="str">
        <f aca="false">IF(AE492="","",IF(AE492&gt;=CONFIG!$E$21,CONFIG!$F$21,IF(AE492&gt;=CONFIG!$E$20,CONFIG!$F$20,CONFIG!$F$19)))</f>
        <v/>
      </c>
      <c r="AG492" s="21" t="str">
        <f aca="false">IF(F492="","",TRIM(IF(N(M492)=0,"Sin ensayos. ","")&amp;IF(AND(N(M492)&gt;0,N(M492)&lt;CONFIG!$B$26),"Menos de "&amp;CONFIG!$B$26&amp;" probetas. ","")&amp;IF(N(T492)&gt;CONFIG!$B$25,"CV alto. ","")&amp;IF(AND(N(AD492)&gt;0,N(AD492)&gt;N(AF492)),"Absorción alta. ","")))</f>
        <v/>
      </c>
      <c r="AH492" s="22" t="str">
        <f aca="false">IF(AND(N(M492)&gt;0,OR(CONTROL!$C$4="TODAS",C492=CONTROL!$C$4),D492=CONTROL!$C$5),MAX($AH$4:AH491)+1,"")</f>
        <v/>
      </c>
      <c r="AI492" s="22" t="str">
        <f aca="false">IF(AH492="","",P492^2)</f>
        <v/>
      </c>
    </row>
    <row r="493" customFormat="false" ht="15" hidden="false" customHeight="false" outlineLevel="0" collapsed="false">
      <c r="A493" s="11" t="str">
        <f aca="false">IF(B493="","",ROW()-4)</f>
        <v/>
      </c>
      <c r="B493" s="12"/>
      <c r="C493" s="13"/>
      <c r="D493" s="13"/>
      <c r="E493" s="13"/>
      <c r="F493" s="14" t="str">
        <f aca="false">IF(OR(B493="",C493="",D493=""),"",IFERROR(INDEX(CONFIG!$E$5:$E$14,MATCH(D493,CONFIG!$D$5:$D$14,0)),"?")&amp;RIGHT("0"&amp;DAY(B493),2)&amp;RIGHT("0"&amp;MONTH(B493),2)&amp;RIGHT(YEAR(B493),2)&amp;C493&amp;IF(E493="","","-"&amp;E493))</f>
        <v/>
      </c>
      <c r="G493" s="13"/>
      <c r="H493" s="13"/>
      <c r="I493" s="13"/>
      <c r="J493" s="13"/>
      <c r="K493" s="13"/>
      <c r="L493" s="13"/>
      <c r="M493" s="11" t="str">
        <f aca="false">IF(F493="","",COUNTIFS(ENSAYOS!$C$5:$C$3004,F493,ENSAYOS!$Q$5:$Q$3004,"&gt;0"))</f>
        <v/>
      </c>
      <c r="N493" s="15" t="str">
        <f aca="false">IF(N(M493)=0,"",_xlfn.MINIFS(ENSAYOS!$G$5:$G$3004,ENSAYOS!$C$5:$C$3004,F493,ENSAYOS!$Q$5:$Q$3004,"&gt;0"))</f>
        <v/>
      </c>
      <c r="O493" s="15" t="str">
        <f aca="false">IF(N(M493)=0,"",_xlfn.MAXIFS(ENSAYOS!$G$5:$G$3004,ENSAYOS!$C$5:$C$3004,F493,ENSAYOS!$Q$5:$Q$3004,"&gt;0"))</f>
        <v/>
      </c>
      <c r="P493" s="16" t="str">
        <f aca="false">IF(N(M493)=0,"",AVERAGEIFS(ENSAYOS!$Q$5:$Q$3004,ENSAYOS!$C$5:$C$3004,F493,ENSAYOS!$Q$5:$Q$3004,"&gt;0"))</f>
        <v/>
      </c>
      <c r="Q493" s="16" t="str">
        <f aca="false">IF(N(M493)=0,"",_xlfn.MINIFS(ENSAYOS!$Q$5:$Q$3004,ENSAYOS!$C$5:$C$3004,F493,ENSAYOS!$Q$5:$Q$3004,"&gt;0"))</f>
        <v/>
      </c>
      <c r="R493" s="16" t="str">
        <f aca="false">IF(N(M493)=0,"",_xlfn.MAXIFS(ENSAYOS!$Q$5:$Q$3004,ENSAYOS!$C$5:$C$3004,F493,ENSAYOS!$Q$5:$Q$3004,"&gt;0"))</f>
        <v/>
      </c>
      <c r="S493" s="16" t="str">
        <f aca="false">IF(N(M493)&lt;2,"",SQRT(MAX(0,(SUMIFS(ENSAYOS!$X$5:$X$3004,ENSAYOS!$C$5:$C$3004,F493,ENSAYOS!$Q$5:$Q$3004,"&gt;0")-M493*P493^2)/(M493-1))))</f>
        <v/>
      </c>
      <c r="T493" s="17" t="str">
        <f aca="false">IF(S493="","",S493/P493)</f>
        <v/>
      </c>
      <c r="U493" s="16" t="str">
        <f aca="false">IF(N(M493)=0,"",IF(N493&gt;=CONFIG!$B$27,"",AVERAGEIFS(ENSAYOS!$Q$5:$Q$3004,ENSAYOS!$C$5:$C$3004,F493,ENSAYOS!$Q$5:$Q$3004,"&gt;0",ENSAYOS!$G$5:$G$3004,N493)))</f>
        <v/>
      </c>
      <c r="V493" s="16" t="str">
        <f aca="false">IF(N(M493)=0,"",IF(COUNTIFS(ENSAYOS!$C$5:$C$3004,F493,ENSAYOS!$Q$5:$Q$3004,"&gt;0",ENSAYOS!$G$5:$G$3004,"&gt;="&amp;CONFIG!$B$27)=0,"",AVERAGEIFS(ENSAYOS!$Q$5:$Q$3004,ENSAYOS!$C$5:$C$3004,F493,ENSAYOS!$Q$5:$Q$3004,"&gt;0",ENSAYOS!$G$5:$G$3004,"&gt;="&amp;CONFIG!$B$27)))</f>
        <v/>
      </c>
      <c r="W493" s="18" t="str">
        <f aca="false">IF(AND(U493&lt;&gt;"",V493&lt;&gt;""),U493/V493,"")</f>
        <v/>
      </c>
      <c r="X493" s="18" t="str">
        <f aca="false">IF(U493="","",INDEX('CURVA EDAD'!$E$5:$E$32,MIN(28,MAX(1,N493))))</f>
        <v/>
      </c>
      <c r="Y493" s="16" t="str">
        <f aca="false">IF(V493&lt;&gt;"",V493,IF(U493="","",U493/X493))</f>
        <v/>
      </c>
      <c r="Z493" s="16" t="str">
        <f aca="false">IF(V493&lt;&gt;"",_xlfn.MINIFS(ENSAYOS!$Q$5:$Q$3004,ENSAYOS!$C$5:$C$3004,F493,ENSAYOS!$Q$5:$Q$3004,"&gt;0",ENSAYOS!$G$5:$G$3004,"&gt;="&amp;CONFIG!$B$27),IF(U493="","",_xlfn.MINIFS(ENSAYOS!$Q$5:$Q$3004,ENSAYOS!$C$5:$C$3004,F493,ENSAYOS!$Q$5:$Q$3004,"&gt;0",ENSAYOS!$G$5:$G$3004,N493)/X493))</f>
        <v/>
      </c>
      <c r="AA493" s="16" t="str">
        <f aca="false">IF(D493="","",IFERROR(1/(1/INDEX(CONFIG!$J$5:$J$14,MATCH(D493,CONFIG!$D$5:$D$14,0))),""))</f>
        <v/>
      </c>
      <c r="AB493" s="16" t="str">
        <f aca="false">IF(D493="","",IFERROR(1/(1/INDEX(CONFIG!$K$5:$K$14,MATCH(D493,CONFIG!$D$5:$D$14,0))),""))</f>
        <v/>
      </c>
      <c r="AC493" s="19" t="str">
        <f aca="false">IF(N(M493)=0,"",IF(AA493="","Sin spec",IF(AND(Y493&gt;=AA493,OR(AB493="",Z493&gt;=AB493)),"CUMPLE","NO CUMPLE")&amp;IF(V493=""," (est.)","")))</f>
        <v/>
      </c>
      <c r="AD493" s="20" t="str">
        <f aca="false">IF(F493="","",IF(COUNTIFS(ABSORCION!$C$5:$C$1004,F493,ABSORCION!$I$5:$I$1004,"&gt;0")=0,"",AVERAGEIFS(ABSORCION!$I$5:$I$1004,ABSORCION!$C$5:$C$1004,F493,ABSORCION!$I$5:$I$1004,"&gt;0")))</f>
        <v/>
      </c>
      <c r="AE493" s="20" t="str">
        <f aca="false">IF(F493="","",IF(COUNTIFS(ABSORCION!$C$5:$C$1004,F493,ABSORCION!$I$5:$I$1004,"&gt;0")=0,"",AVERAGEIFS(ABSORCION!$K$5:$K$1004,ABSORCION!$C$5:$C$1004,F493,ABSORCION!$I$5:$I$1004,"&gt;0")))</f>
        <v/>
      </c>
      <c r="AF493" s="20" t="str">
        <f aca="false">IF(AE493="","",IF(AE493&gt;=CONFIG!$E$21,CONFIG!$F$21,IF(AE493&gt;=CONFIG!$E$20,CONFIG!$F$20,CONFIG!$F$19)))</f>
        <v/>
      </c>
      <c r="AG493" s="21" t="str">
        <f aca="false">IF(F493="","",TRIM(IF(N(M493)=0,"Sin ensayos. ","")&amp;IF(AND(N(M493)&gt;0,N(M493)&lt;CONFIG!$B$26),"Menos de "&amp;CONFIG!$B$26&amp;" probetas. ","")&amp;IF(N(T493)&gt;CONFIG!$B$25,"CV alto. ","")&amp;IF(AND(N(AD493)&gt;0,N(AD493)&gt;N(AF493)),"Absorción alta. ","")))</f>
        <v/>
      </c>
      <c r="AH493" s="22" t="str">
        <f aca="false">IF(AND(N(M493)&gt;0,OR(CONTROL!$C$4="TODAS",C493=CONTROL!$C$4),D493=CONTROL!$C$5),MAX($AH$4:AH492)+1,"")</f>
        <v/>
      </c>
      <c r="AI493" s="22" t="str">
        <f aca="false">IF(AH493="","",P493^2)</f>
        <v/>
      </c>
    </row>
    <row r="494" customFormat="false" ht="15" hidden="false" customHeight="false" outlineLevel="0" collapsed="false">
      <c r="A494" s="11" t="str">
        <f aca="false">IF(B494="","",ROW()-4)</f>
        <v/>
      </c>
      <c r="B494" s="12"/>
      <c r="C494" s="13"/>
      <c r="D494" s="13"/>
      <c r="E494" s="13"/>
      <c r="F494" s="14" t="str">
        <f aca="false">IF(OR(B494="",C494="",D494=""),"",IFERROR(INDEX(CONFIG!$E$5:$E$14,MATCH(D494,CONFIG!$D$5:$D$14,0)),"?")&amp;RIGHT("0"&amp;DAY(B494),2)&amp;RIGHT("0"&amp;MONTH(B494),2)&amp;RIGHT(YEAR(B494),2)&amp;C494&amp;IF(E494="","","-"&amp;E494))</f>
        <v/>
      </c>
      <c r="G494" s="13"/>
      <c r="H494" s="13"/>
      <c r="I494" s="13"/>
      <c r="J494" s="13"/>
      <c r="K494" s="13"/>
      <c r="L494" s="13"/>
      <c r="M494" s="11" t="str">
        <f aca="false">IF(F494="","",COUNTIFS(ENSAYOS!$C$5:$C$3004,F494,ENSAYOS!$Q$5:$Q$3004,"&gt;0"))</f>
        <v/>
      </c>
      <c r="N494" s="15" t="str">
        <f aca="false">IF(N(M494)=0,"",_xlfn.MINIFS(ENSAYOS!$G$5:$G$3004,ENSAYOS!$C$5:$C$3004,F494,ENSAYOS!$Q$5:$Q$3004,"&gt;0"))</f>
        <v/>
      </c>
      <c r="O494" s="15" t="str">
        <f aca="false">IF(N(M494)=0,"",_xlfn.MAXIFS(ENSAYOS!$G$5:$G$3004,ENSAYOS!$C$5:$C$3004,F494,ENSAYOS!$Q$5:$Q$3004,"&gt;0"))</f>
        <v/>
      </c>
      <c r="P494" s="16" t="str">
        <f aca="false">IF(N(M494)=0,"",AVERAGEIFS(ENSAYOS!$Q$5:$Q$3004,ENSAYOS!$C$5:$C$3004,F494,ENSAYOS!$Q$5:$Q$3004,"&gt;0"))</f>
        <v/>
      </c>
      <c r="Q494" s="16" t="str">
        <f aca="false">IF(N(M494)=0,"",_xlfn.MINIFS(ENSAYOS!$Q$5:$Q$3004,ENSAYOS!$C$5:$C$3004,F494,ENSAYOS!$Q$5:$Q$3004,"&gt;0"))</f>
        <v/>
      </c>
      <c r="R494" s="16" t="str">
        <f aca="false">IF(N(M494)=0,"",_xlfn.MAXIFS(ENSAYOS!$Q$5:$Q$3004,ENSAYOS!$C$5:$C$3004,F494,ENSAYOS!$Q$5:$Q$3004,"&gt;0"))</f>
        <v/>
      </c>
      <c r="S494" s="16" t="str">
        <f aca="false">IF(N(M494)&lt;2,"",SQRT(MAX(0,(SUMIFS(ENSAYOS!$X$5:$X$3004,ENSAYOS!$C$5:$C$3004,F494,ENSAYOS!$Q$5:$Q$3004,"&gt;0")-M494*P494^2)/(M494-1))))</f>
        <v/>
      </c>
      <c r="T494" s="17" t="str">
        <f aca="false">IF(S494="","",S494/P494)</f>
        <v/>
      </c>
      <c r="U494" s="16" t="str">
        <f aca="false">IF(N(M494)=0,"",IF(N494&gt;=CONFIG!$B$27,"",AVERAGEIFS(ENSAYOS!$Q$5:$Q$3004,ENSAYOS!$C$5:$C$3004,F494,ENSAYOS!$Q$5:$Q$3004,"&gt;0",ENSAYOS!$G$5:$G$3004,N494)))</f>
        <v/>
      </c>
      <c r="V494" s="16" t="str">
        <f aca="false">IF(N(M494)=0,"",IF(COUNTIFS(ENSAYOS!$C$5:$C$3004,F494,ENSAYOS!$Q$5:$Q$3004,"&gt;0",ENSAYOS!$G$5:$G$3004,"&gt;="&amp;CONFIG!$B$27)=0,"",AVERAGEIFS(ENSAYOS!$Q$5:$Q$3004,ENSAYOS!$C$5:$C$3004,F494,ENSAYOS!$Q$5:$Q$3004,"&gt;0",ENSAYOS!$G$5:$G$3004,"&gt;="&amp;CONFIG!$B$27)))</f>
        <v/>
      </c>
      <c r="W494" s="18" t="str">
        <f aca="false">IF(AND(U494&lt;&gt;"",V494&lt;&gt;""),U494/V494,"")</f>
        <v/>
      </c>
      <c r="X494" s="18" t="str">
        <f aca="false">IF(U494="","",INDEX('CURVA EDAD'!$E$5:$E$32,MIN(28,MAX(1,N494))))</f>
        <v/>
      </c>
      <c r="Y494" s="16" t="str">
        <f aca="false">IF(V494&lt;&gt;"",V494,IF(U494="","",U494/X494))</f>
        <v/>
      </c>
      <c r="Z494" s="16" t="str">
        <f aca="false">IF(V494&lt;&gt;"",_xlfn.MINIFS(ENSAYOS!$Q$5:$Q$3004,ENSAYOS!$C$5:$C$3004,F494,ENSAYOS!$Q$5:$Q$3004,"&gt;0",ENSAYOS!$G$5:$G$3004,"&gt;="&amp;CONFIG!$B$27),IF(U494="","",_xlfn.MINIFS(ENSAYOS!$Q$5:$Q$3004,ENSAYOS!$C$5:$C$3004,F494,ENSAYOS!$Q$5:$Q$3004,"&gt;0",ENSAYOS!$G$5:$G$3004,N494)/X494))</f>
        <v/>
      </c>
      <c r="AA494" s="16" t="str">
        <f aca="false">IF(D494="","",IFERROR(1/(1/INDEX(CONFIG!$J$5:$J$14,MATCH(D494,CONFIG!$D$5:$D$14,0))),""))</f>
        <v/>
      </c>
      <c r="AB494" s="16" t="str">
        <f aca="false">IF(D494="","",IFERROR(1/(1/INDEX(CONFIG!$K$5:$K$14,MATCH(D494,CONFIG!$D$5:$D$14,0))),""))</f>
        <v/>
      </c>
      <c r="AC494" s="19" t="str">
        <f aca="false">IF(N(M494)=0,"",IF(AA494="","Sin spec",IF(AND(Y494&gt;=AA494,OR(AB494="",Z494&gt;=AB494)),"CUMPLE","NO CUMPLE")&amp;IF(V494=""," (est.)","")))</f>
        <v/>
      </c>
      <c r="AD494" s="20" t="str">
        <f aca="false">IF(F494="","",IF(COUNTIFS(ABSORCION!$C$5:$C$1004,F494,ABSORCION!$I$5:$I$1004,"&gt;0")=0,"",AVERAGEIFS(ABSORCION!$I$5:$I$1004,ABSORCION!$C$5:$C$1004,F494,ABSORCION!$I$5:$I$1004,"&gt;0")))</f>
        <v/>
      </c>
      <c r="AE494" s="20" t="str">
        <f aca="false">IF(F494="","",IF(COUNTIFS(ABSORCION!$C$5:$C$1004,F494,ABSORCION!$I$5:$I$1004,"&gt;0")=0,"",AVERAGEIFS(ABSORCION!$K$5:$K$1004,ABSORCION!$C$5:$C$1004,F494,ABSORCION!$I$5:$I$1004,"&gt;0")))</f>
        <v/>
      </c>
      <c r="AF494" s="20" t="str">
        <f aca="false">IF(AE494="","",IF(AE494&gt;=CONFIG!$E$21,CONFIG!$F$21,IF(AE494&gt;=CONFIG!$E$20,CONFIG!$F$20,CONFIG!$F$19)))</f>
        <v/>
      </c>
      <c r="AG494" s="21" t="str">
        <f aca="false">IF(F494="","",TRIM(IF(N(M494)=0,"Sin ensayos. ","")&amp;IF(AND(N(M494)&gt;0,N(M494)&lt;CONFIG!$B$26),"Menos de "&amp;CONFIG!$B$26&amp;" probetas. ","")&amp;IF(N(T494)&gt;CONFIG!$B$25,"CV alto. ","")&amp;IF(AND(N(AD494)&gt;0,N(AD494)&gt;N(AF494)),"Absorción alta. ","")))</f>
        <v/>
      </c>
      <c r="AH494" s="22" t="str">
        <f aca="false">IF(AND(N(M494)&gt;0,OR(CONTROL!$C$4="TODAS",C494=CONTROL!$C$4),D494=CONTROL!$C$5),MAX($AH$4:AH493)+1,"")</f>
        <v/>
      </c>
      <c r="AI494" s="22" t="str">
        <f aca="false">IF(AH494="","",P494^2)</f>
        <v/>
      </c>
    </row>
    <row r="495" customFormat="false" ht="15" hidden="false" customHeight="false" outlineLevel="0" collapsed="false">
      <c r="A495" s="11" t="str">
        <f aca="false">IF(B495="","",ROW()-4)</f>
        <v/>
      </c>
      <c r="B495" s="12"/>
      <c r="C495" s="13"/>
      <c r="D495" s="13"/>
      <c r="E495" s="13"/>
      <c r="F495" s="14" t="str">
        <f aca="false">IF(OR(B495="",C495="",D495=""),"",IFERROR(INDEX(CONFIG!$E$5:$E$14,MATCH(D495,CONFIG!$D$5:$D$14,0)),"?")&amp;RIGHT("0"&amp;DAY(B495),2)&amp;RIGHT("0"&amp;MONTH(B495),2)&amp;RIGHT(YEAR(B495),2)&amp;C495&amp;IF(E495="","","-"&amp;E495))</f>
        <v/>
      </c>
      <c r="G495" s="13"/>
      <c r="H495" s="13"/>
      <c r="I495" s="13"/>
      <c r="J495" s="13"/>
      <c r="K495" s="13"/>
      <c r="L495" s="13"/>
      <c r="M495" s="11" t="str">
        <f aca="false">IF(F495="","",COUNTIFS(ENSAYOS!$C$5:$C$3004,F495,ENSAYOS!$Q$5:$Q$3004,"&gt;0"))</f>
        <v/>
      </c>
      <c r="N495" s="15" t="str">
        <f aca="false">IF(N(M495)=0,"",_xlfn.MINIFS(ENSAYOS!$G$5:$G$3004,ENSAYOS!$C$5:$C$3004,F495,ENSAYOS!$Q$5:$Q$3004,"&gt;0"))</f>
        <v/>
      </c>
      <c r="O495" s="15" t="str">
        <f aca="false">IF(N(M495)=0,"",_xlfn.MAXIFS(ENSAYOS!$G$5:$G$3004,ENSAYOS!$C$5:$C$3004,F495,ENSAYOS!$Q$5:$Q$3004,"&gt;0"))</f>
        <v/>
      </c>
      <c r="P495" s="16" t="str">
        <f aca="false">IF(N(M495)=0,"",AVERAGEIFS(ENSAYOS!$Q$5:$Q$3004,ENSAYOS!$C$5:$C$3004,F495,ENSAYOS!$Q$5:$Q$3004,"&gt;0"))</f>
        <v/>
      </c>
      <c r="Q495" s="16" t="str">
        <f aca="false">IF(N(M495)=0,"",_xlfn.MINIFS(ENSAYOS!$Q$5:$Q$3004,ENSAYOS!$C$5:$C$3004,F495,ENSAYOS!$Q$5:$Q$3004,"&gt;0"))</f>
        <v/>
      </c>
      <c r="R495" s="16" t="str">
        <f aca="false">IF(N(M495)=0,"",_xlfn.MAXIFS(ENSAYOS!$Q$5:$Q$3004,ENSAYOS!$C$5:$C$3004,F495,ENSAYOS!$Q$5:$Q$3004,"&gt;0"))</f>
        <v/>
      </c>
      <c r="S495" s="16" t="str">
        <f aca="false">IF(N(M495)&lt;2,"",SQRT(MAX(0,(SUMIFS(ENSAYOS!$X$5:$X$3004,ENSAYOS!$C$5:$C$3004,F495,ENSAYOS!$Q$5:$Q$3004,"&gt;0")-M495*P495^2)/(M495-1))))</f>
        <v/>
      </c>
      <c r="T495" s="17" t="str">
        <f aca="false">IF(S495="","",S495/P495)</f>
        <v/>
      </c>
      <c r="U495" s="16" t="str">
        <f aca="false">IF(N(M495)=0,"",IF(N495&gt;=CONFIG!$B$27,"",AVERAGEIFS(ENSAYOS!$Q$5:$Q$3004,ENSAYOS!$C$5:$C$3004,F495,ENSAYOS!$Q$5:$Q$3004,"&gt;0",ENSAYOS!$G$5:$G$3004,N495)))</f>
        <v/>
      </c>
      <c r="V495" s="16" t="str">
        <f aca="false">IF(N(M495)=0,"",IF(COUNTIFS(ENSAYOS!$C$5:$C$3004,F495,ENSAYOS!$Q$5:$Q$3004,"&gt;0",ENSAYOS!$G$5:$G$3004,"&gt;="&amp;CONFIG!$B$27)=0,"",AVERAGEIFS(ENSAYOS!$Q$5:$Q$3004,ENSAYOS!$C$5:$C$3004,F495,ENSAYOS!$Q$5:$Q$3004,"&gt;0",ENSAYOS!$G$5:$G$3004,"&gt;="&amp;CONFIG!$B$27)))</f>
        <v/>
      </c>
      <c r="W495" s="18" t="str">
        <f aca="false">IF(AND(U495&lt;&gt;"",V495&lt;&gt;""),U495/V495,"")</f>
        <v/>
      </c>
      <c r="X495" s="18" t="str">
        <f aca="false">IF(U495="","",INDEX('CURVA EDAD'!$E$5:$E$32,MIN(28,MAX(1,N495))))</f>
        <v/>
      </c>
      <c r="Y495" s="16" t="str">
        <f aca="false">IF(V495&lt;&gt;"",V495,IF(U495="","",U495/X495))</f>
        <v/>
      </c>
      <c r="Z495" s="16" t="str">
        <f aca="false">IF(V495&lt;&gt;"",_xlfn.MINIFS(ENSAYOS!$Q$5:$Q$3004,ENSAYOS!$C$5:$C$3004,F495,ENSAYOS!$Q$5:$Q$3004,"&gt;0",ENSAYOS!$G$5:$G$3004,"&gt;="&amp;CONFIG!$B$27),IF(U495="","",_xlfn.MINIFS(ENSAYOS!$Q$5:$Q$3004,ENSAYOS!$C$5:$C$3004,F495,ENSAYOS!$Q$5:$Q$3004,"&gt;0",ENSAYOS!$G$5:$G$3004,N495)/X495))</f>
        <v/>
      </c>
      <c r="AA495" s="16" t="str">
        <f aca="false">IF(D495="","",IFERROR(1/(1/INDEX(CONFIG!$J$5:$J$14,MATCH(D495,CONFIG!$D$5:$D$14,0))),""))</f>
        <v/>
      </c>
      <c r="AB495" s="16" t="str">
        <f aca="false">IF(D495="","",IFERROR(1/(1/INDEX(CONFIG!$K$5:$K$14,MATCH(D495,CONFIG!$D$5:$D$14,0))),""))</f>
        <v/>
      </c>
      <c r="AC495" s="19" t="str">
        <f aca="false">IF(N(M495)=0,"",IF(AA495="","Sin spec",IF(AND(Y495&gt;=AA495,OR(AB495="",Z495&gt;=AB495)),"CUMPLE","NO CUMPLE")&amp;IF(V495=""," (est.)","")))</f>
        <v/>
      </c>
      <c r="AD495" s="20" t="str">
        <f aca="false">IF(F495="","",IF(COUNTIFS(ABSORCION!$C$5:$C$1004,F495,ABSORCION!$I$5:$I$1004,"&gt;0")=0,"",AVERAGEIFS(ABSORCION!$I$5:$I$1004,ABSORCION!$C$5:$C$1004,F495,ABSORCION!$I$5:$I$1004,"&gt;0")))</f>
        <v/>
      </c>
      <c r="AE495" s="20" t="str">
        <f aca="false">IF(F495="","",IF(COUNTIFS(ABSORCION!$C$5:$C$1004,F495,ABSORCION!$I$5:$I$1004,"&gt;0")=0,"",AVERAGEIFS(ABSORCION!$K$5:$K$1004,ABSORCION!$C$5:$C$1004,F495,ABSORCION!$I$5:$I$1004,"&gt;0")))</f>
        <v/>
      </c>
      <c r="AF495" s="20" t="str">
        <f aca="false">IF(AE495="","",IF(AE495&gt;=CONFIG!$E$21,CONFIG!$F$21,IF(AE495&gt;=CONFIG!$E$20,CONFIG!$F$20,CONFIG!$F$19)))</f>
        <v/>
      </c>
      <c r="AG495" s="21" t="str">
        <f aca="false">IF(F495="","",TRIM(IF(N(M495)=0,"Sin ensayos. ","")&amp;IF(AND(N(M495)&gt;0,N(M495)&lt;CONFIG!$B$26),"Menos de "&amp;CONFIG!$B$26&amp;" probetas. ","")&amp;IF(N(T495)&gt;CONFIG!$B$25,"CV alto. ","")&amp;IF(AND(N(AD495)&gt;0,N(AD495)&gt;N(AF495)),"Absorción alta. ","")))</f>
        <v/>
      </c>
      <c r="AH495" s="22" t="str">
        <f aca="false">IF(AND(N(M495)&gt;0,OR(CONTROL!$C$4="TODAS",C495=CONTROL!$C$4),D495=CONTROL!$C$5),MAX($AH$4:AH494)+1,"")</f>
        <v/>
      </c>
      <c r="AI495" s="22" t="str">
        <f aca="false">IF(AH495="","",P495^2)</f>
        <v/>
      </c>
    </row>
    <row r="496" customFormat="false" ht="15" hidden="false" customHeight="false" outlineLevel="0" collapsed="false">
      <c r="A496" s="11" t="str">
        <f aca="false">IF(B496="","",ROW()-4)</f>
        <v/>
      </c>
      <c r="B496" s="12"/>
      <c r="C496" s="13"/>
      <c r="D496" s="13"/>
      <c r="E496" s="13"/>
      <c r="F496" s="14" t="str">
        <f aca="false">IF(OR(B496="",C496="",D496=""),"",IFERROR(INDEX(CONFIG!$E$5:$E$14,MATCH(D496,CONFIG!$D$5:$D$14,0)),"?")&amp;RIGHT("0"&amp;DAY(B496),2)&amp;RIGHT("0"&amp;MONTH(B496),2)&amp;RIGHT(YEAR(B496),2)&amp;C496&amp;IF(E496="","","-"&amp;E496))</f>
        <v/>
      </c>
      <c r="G496" s="13"/>
      <c r="H496" s="13"/>
      <c r="I496" s="13"/>
      <c r="J496" s="13"/>
      <c r="K496" s="13"/>
      <c r="L496" s="13"/>
      <c r="M496" s="11" t="str">
        <f aca="false">IF(F496="","",COUNTIFS(ENSAYOS!$C$5:$C$3004,F496,ENSAYOS!$Q$5:$Q$3004,"&gt;0"))</f>
        <v/>
      </c>
      <c r="N496" s="15" t="str">
        <f aca="false">IF(N(M496)=0,"",_xlfn.MINIFS(ENSAYOS!$G$5:$G$3004,ENSAYOS!$C$5:$C$3004,F496,ENSAYOS!$Q$5:$Q$3004,"&gt;0"))</f>
        <v/>
      </c>
      <c r="O496" s="15" t="str">
        <f aca="false">IF(N(M496)=0,"",_xlfn.MAXIFS(ENSAYOS!$G$5:$G$3004,ENSAYOS!$C$5:$C$3004,F496,ENSAYOS!$Q$5:$Q$3004,"&gt;0"))</f>
        <v/>
      </c>
      <c r="P496" s="16" t="str">
        <f aca="false">IF(N(M496)=0,"",AVERAGEIFS(ENSAYOS!$Q$5:$Q$3004,ENSAYOS!$C$5:$C$3004,F496,ENSAYOS!$Q$5:$Q$3004,"&gt;0"))</f>
        <v/>
      </c>
      <c r="Q496" s="16" t="str">
        <f aca="false">IF(N(M496)=0,"",_xlfn.MINIFS(ENSAYOS!$Q$5:$Q$3004,ENSAYOS!$C$5:$C$3004,F496,ENSAYOS!$Q$5:$Q$3004,"&gt;0"))</f>
        <v/>
      </c>
      <c r="R496" s="16" t="str">
        <f aca="false">IF(N(M496)=0,"",_xlfn.MAXIFS(ENSAYOS!$Q$5:$Q$3004,ENSAYOS!$C$5:$C$3004,F496,ENSAYOS!$Q$5:$Q$3004,"&gt;0"))</f>
        <v/>
      </c>
      <c r="S496" s="16" t="str">
        <f aca="false">IF(N(M496)&lt;2,"",SQRT(MAX(0,(SUMIFS(ENSAYOS!$X$5:$X$3004,ENSAYOS!$C$5:$C$3004,F496,ENSAYOS!$Q$5:$Q$3004,"&gt;0")-M496*P496^2)/(M496-1))))</f>
        <v/>
      </c>
      <c r="T496" s="17" t="str">
        <f aca="false">IF(S496="","",S496/P496)</f>
        <v/>
      </c>
      <c r="U496" s="16" t="str">
        <f aca="false">IF(N(M496)=0,"",IF(N496&gt;=CONFIG!$B$27,"",AVERAGEIFS(ENSAYOS!$Q$5:$Q$3004,ENSAYOS!$C$5:$C$3004,F496,ENSAYOS!$Q$5:$Q$3004,"&gt;0",ENSAYOS!$G$5:$G$3004,N496)))</f>
        <v/>
      </c>
      <c r="V496" s="16" t="str">
        <f aca="false">IF(N(M496)=0,"",IF(COUNTIFS(ENSAYOS!$C$5:$C$3004,F496,ENSAYOS!$Q$5:$Q$3004,"&gt;0",ENSAYOS!$G$5:$G$3004,"&gt;="&amp;CONFIG!$B$27)=0,"",AVERAGEIFS(ENSAYOS!$Q$5:$Q$3004,ENSAYOS!$C$5:$C$3004,F496,ENSAYOS!$Q$5:$Q$3004,"&gt;0",ENSAYOS!$G$5:$G$3004,"&gt;="&amp;CONFIG!$B$27)))</f>
        <v/>
      </c>
      <c r="W496" s="18" t="str">
        <f aca="false">IF(AND(U496&lt;&gt;"",V496&lt;&gt;""),U496/V496,"")</f>
        <v/>
      </c>
      <c r="X496" s="18" t="str">
        <f aca="false">IF(U496="","",INDEX('CURVA EDAD'!$E$5:$E$32,MIN(28,MAX(1,N496))))</f>
        <v/>
      </c>
      <c r="Y496" s="16" t="str">
        <f aca="false">IF(V496&lt;&gt;"",V496,IF(U496="","",U496/X496))</f>
        <v/>
      </c>
      <c r="Z496" s="16" t="str">
        <f aca="false">IF(V496&lt;&gt;"",_xlfn.MINIFS(ENSAYOS!$Q$5:$Q$3004,ENSAYOS!$C$5:$C$3004,F496,ENSAYOS!$Q$5:$Q$3004,"&gt;0",ENSAYOS!$G$5:$G$3004,"&gt;="&amp;CONFIG!$B$27),IF(U496="","",_xlfn.MINIFS(ENSAYOS!$Q$5:$Q$3004,ENSAYOS!$C$5:$C$3004,F496,ENSAYOS!$Q$5:$Q$3004,"&gt;0",ENSAYOS!$G$5:$G$3004,N496)/X496))</f>
        <v/>
      </c>
      <c r="AA496" s="16" t="str">
        <f aca="false">IF(D496="","",IFERROR(1/(1/INDEX(CONFIG!$J$5:$J$14,MATCH(D496,CONFIG!$D$5:$D$14,0))),""))</f>
        <v/>
      </c>
      <c r="AB496" s="16" t="str">
        <f aca="false">IF(D496="","",IFERROR(1/(1/INDEX(CONFIG!$K$5:$K$14,MATCH(D496,CONFIG!$D$5:$D$14,0))),""))</f>
        <v/>
      </c>
      <c r="AC496" s="19" t="str">
        <f aca="false">IF(N(M496)=0,"",IF(AA496="","Sin spec",IF(AND(Y496&gt;=AA496,OR(AB496="",Z496&gt;=AB496)),"CUMPLE","NO CUMPLE")&amp;IF(V496=""," (est.)","")))</f>
        <v/>
      </c>
      <c r="AD496" s="20" t="str">
        <f aca="false">IF(F496="","",IF(COUNTIFS(ABSORCION!$C$5:$C$1004,F496,ABSORCION!$I$5:$I$1004,"&gt;0")=0,"",AVERAGEIFS(ABSORCION!$I$5:$I$1004,ABSORCION!$C$5:$C$1004,F496,ABSORCION!$I$5:$I$1004,"&gt;0")))</f>
        <v/>
      </c>
      <c r="AE496" s="20" t="str">
        <f aca="false">IF(F496="","",IF(COUNTIFS(ABSORCION!$C$5:$C$1004,F496,ABSORCION!$I$5:$I$1004,"&gt;0")=0,"",AVERAGEIFS(ABSORCION!$K$5:$K$1004,ABSORCION!$C$5:$C$1004,F496,ABSORCION!$I$5:$I$1004,"&gt;0")))</f>
        <v/>
      </c>
      <c r="AF496" s="20" t="str">
        <f aca="false">IF(AE496="","",IF(AE496&gt;=CONFIG!$E$21,CONFIG!$F$21,IF(AE496&gt;=CONFIG!$E$20,CONFIG!$F$20,CONFIG!$F$19)))</f>
        <v/>
      </c>
      <c r="AG496" s="21" t="str">
        <f aca="false">IF(F496="","",TRIM(IF(N(M496)=0,"Sin ensayos. ","")&amp;IF(AND(N(M496)&gt;0,N(M496)&lt;CONFIG!$B$26),"Menos de "&amp;CONFIG!$B$26&amp;" probetas. ","")&amp;IF(N(T496)&gt;CONFIG!$B$25,"CV alto. ","")&amp;IF(AND(N(AD496)&gt;0,N(AD496)&gt;N(AF496)),"Absorción alta. ","")))</f>
        <v/>
      </c>
      <c r="AH496" s="22" t="str">
        <f aca="false">IF(AND(N(M496)&gt;0,OR(CONTROL!$C$4="TODAS",C496=CONTROL!$C$4),D496=CONTROL!$C$5),MAX($AH$4:AH495)+1,"")</f>
        <v/>
      </c>
      <c r="AI496" s="22" t="str">
        <f aca="false">IF(AH496="","",P496^2)</f>
        <v/>
      </c>
    </row>
    <row r="497" customFormat="false" ht="15" hidden="false" customHeight="false" outlineLevel="0" collapsed="false">
      <c r="A497" s="11" t="str">
        <f aca="false">IF(B497="","",ROW()-4)</f>
        <v/>
      </c>
      <c r="B497" s="12"/>
      <c r="C497" s="13"/>
      <c r="D497" s="13"/>
      <c r="E497" s="13"/>
      <c r="F497" s="14" t="str">
        <f aca="false">IF(OR(B497="",C497="",D497=""),"",IFERROR(INDEX(CONFIG!$E$5:$E$14,MATCH(D497,CONFIG!$D$5:$D$14,0)),"?")&amp;RIGHT("0"&amp;DAY(B497),2)&amp;RIGHT("0"&amp;MONTH(B497),2)&amp;RIGHT(YEAR(B497),2)&amp;C497&amp;IF(E497="","","-"&amp;E497))</f>
        <v/>
      </c>
      <c r="G497" s="13"/>
      <c r="H497" s="13"/>
      <c r="I497" s="13"/>
      <c r="J497" s="13"/>
      <c r="K497" s="13"/>
      <c r="L497" s="13"/>
      <c r="M497" s="11" t="str">
        <f aca="false">IF(F497="","",COUNTIFS(ENSAYOS!$C$5:$C$3004,F497,ENSAYOS!$Q$5:$Q$3004,"&gt;0"))</f>
        <v/>
      </c>
      <c r="N497" s="15" t="str">
        <f aca="false">IF(N(M497)=0,"",_xlfn.MINIFS(ENSAYOS!$G$5:$G$3004,ENSAYOS!$C$5:$C$3004,F497,ENSAYOS!$Q$5:$Q$3004,"&gt;0"))</f>
        <v/>
      </c>
      <c r="O497" s="15" t="str">
        <f aca="false">IF(N(M497)=0,"",_xlfn.MAXIFS(ENSAYOS!$G$5:$G$3004,ENSAYOS!$C$5:$C$3004,F497,ENSAYOS!$Q$5:$Q$3004,"&gt;0"))</f>
        <v/>
      </c>
      <c r="P497" s="16" t="str">
        <f aca="false">IF(N(M497)=0,"",AVERAGEIFS(ENSAYOS!$Q$5:$Q$3004,ENSAYOS!$C$5:$C$3004,F497,ENSAYOS!$Q$5:$Q$3004,"&gt;0"))</f>
        <v/>
      </c>
      <c r="Q497" s="16" t="str">
        <f aca="false">IF(N(M497)=0,"",_xlfn.MINIFS(ENSAYOS!$Q$5:$Q$3004,ENSAYOS!$C$5:$C$3004,F497,ENSAYOS!$Q$5:$Q$3004,"&gt;0"))</f>
        <v/>
      </c>
      <c r="R497" s="16" t="str">
        <f aca="false">IF(N(M497)=0,"",_xlfn.MAXIFS(ENSAYOS!$Q$5:$Q$3004,ENSAYOS!$C$5:$C$3004,F497,ENSAYOS!$Q$5:$Q$3004,"&gt;0"))</f>
        <v/>
      </c>
      <c r="S497" s="16" t="str">
        <f aca="false">IF(N(M497)&lt;2,"",SQRT(MAX(0,(SUMIFS(ENSAYOS!$X$5:$X$3004,ENSAYOS!$C$5:$C$3004,F497,ENSAYOS!$Q$5:$Q$3004,"&gt;0")-M497*P497^2)/(M497-1))))</f>
        <v/>
      </c>
      <c r="T497" s="17" t="str">
        <f aca="false">IF(S497="","",S497/P497)</f>
        <v/>
      </c>
      <c r="U497" s="16" t="str">
        <f aca="false">IF(N(M497)=0,"",IF(N497&gt;=CONFIG!$B$27,"",AVERAGEIFS(ENSAYOS!$Q$5:$Q$3004,ENSAYOS!$C$5:$C$3004,F497,ENSAYOS!$Q$5:$Q$3004,"&gt;0",ENSAYOS!$G$5:$G$3004,N497)))</f>
        <v/>
      </c>
      <c r="V497" s="16" t="str">
        <f aca="false">IF(N(M497)=0,"",IF(COUNTIFS(ENSAYOS!$C$5:$C$3004,F497,ENSAYOS!$Q$5:$Q$3004,"&gt;0",ENSAYOS!$G$5:$G$3004,"&gt;="&amp;CONFIG!$B$27)=0,"",AVERAGEIFS(ENSAYOS!$Q$5:$Q$3004,ENSAYOS!$C$5:$C$3004,F497,ENSAYOS!$Q$5:$Q$3004,"&gt;0",ENSAYOS!$G$5:$G$3004,"&gt;="&amp;CONFIG!$B$27)))</f>
        <v/>
      </c>
      <c r="W497" s="18" t="str">
        <f aca="false">IF(AND(U497&lt;&gt;"",V497&lt;&gt;""),U497/V497,"")</f>
        <v/>
      </c>
      <c r="X497" s="18" t="str">
        <f aca="false">IF(U497="","",INDEX('CURVA EDAD'!$E$5:$E$32,MIN(28,MAX(1,N497))))</f>
        <v/>
      </c>
      <c r="Y497" s="16" t="str">
        <f aca="false">IF(V497&lt;&gt;"",V497,IF(U497="","",U497/X497))</f>
        <v/>
      </c>
      <c r="Z497" s="16" t="str">
        <f aca="false">IF(V497&lt;&gt;"",_xlfn.MINIFS(ENSAYOS!$Q$5:$Q$3004,ENSAYOS!$C$5:$C$3004,F497,ENSAYOS!$Q$5:$Q$3004,"&gt;0",ENSAYOS!$G$5:$G$3004,"&gt;="&amp;CONFIG!$B$27),IF(U497="","",_xlfn.MINIFS(ENSAYOS!$Q$5:$Q$3004,ENSAYOS!$C$5:$C$3004,F497,ENSAYOS!$Q$5:$Q$3004,"&gt;0",ENSAYOS!$G$5:$G$3004,N497)/X497))</f>
        <v/>
      </c>
      <c r="AA497" s="16" t="str">
        <f aca="false">IF(D497="","",IFERROR(1/(1/INDEX(CONFIG!$J$5:$J$14,MATCH(D497,CONFIG!$D$5:$D$14,0))),""))</f>
        <v/>
      </c>
      <c r="AB497" s="16" t="str">
        <f aca="false">IF(D497="","",IFERROR(1/(1/INDEX(CONFIG!$K$5:$K$14,MATCH(D497,CONFIG!$D$5:$D$14,0))),""))</f>
        <v/>
      </c>
      <c r="AC497" s="19" t="str">
        <f aca="false">IF(N(M497)=0,"",IF(AA497="","Sin spec",IF(AND(Y497&gt;=AA497,OR(AB497="",Z497&gt;=AB497)),"CUMPLE","NO CUMPLE")&amp;IF(V497=""," (est.)","")))</f>
        <v/>
      </c>
      <c r="AD497" s="20" t="str">
        <f aca="false">IF(F497="","",IF(COUNTIFS(ABSORCION!$C$5:$C$1004,F497,ABSORCION!$I$5:$I$1004,"&gt;0")=0,"",AVERAGEIFS(ABSORCION!$I$5:$I$1004,ABSORCION!$C$5:$C$1004,F497,ABSORCION!$I$5:$I$1004,"&gt;0")))</f>
        <v/>
      </c>
      <c r="AE497" s="20" t="str">
        <f aca="false">IF(F497="","",IF(COUNTIFS(ABSORCION!$C$5:$C$1004,F497,ABSORCION!$I$5:$I$1004,"&gt;0")=0,"",AVERAGEIFS(ABSORCION!$K$5:$K$1004,ABSORCION!$C$5:$C$1004,F497,ABSORCION!$I$5:$I$1004,"&gt;0")))</f>
        <v/>
      </c>
      <c r="AF497" s="20" t="str">
        <f aca="false">IF(AE497="","",IF(AE497&gt;=CONFIG!$E$21,CONFIG!$F$21,IF(AE497&gt;=CONFIG!$E$20,CONFIG!$F$20,CONFIG!$F$19)))</f>
        <v/>
      </c>
      <c r="AG497" s="21" t="str">
        <f aca="false">IF(F497="","",TRIM(IF(N(M497)=0,"Sin ensayos. ","")&amp;IF(AND(N(M497)&gt;0,N(M497)&lt;CONFIG!$B$26),"Menos de "&amp;CONFIG!$B$26&amp;" probetas. ","")&amp;IF(N(T497)&gt;CONFIG!$B$25,"CV alto. ","")&amp;IF(AND(N(AD497)&gt;0,N(AD497)&gt;N(AF497)),"Absorción alta. ","")))</f>
        <v/>
      </c>
      <c r="AH497" s="22" t="str">
        <f aca="false">IF(AND(N(M497)&gt;0,OR(CONTROL!$C$4="TODAS",C497=CONTROL!$C$4),D497=CONTROL!$C$5),MAX($AH$4:AH496)+1,"")</f>
        <v/>
      </c>
      <c r="AI497" s="22" t="str">
        <f aca="false">IF(AH497="","",P497^2)</f>
        <v/>
      </c>
    </row>
    <row r="498" customFormat="false" ht="15" hidden="false" customHeight="false" outlineLevel="0" collapsed="false">
      <c r="A498" s="11" t="str">
        <f aca="false">IF(B498="","",ROW()-4)</f>
        <v/>
      </c>
      <c r="B498" s="12"/>
      <c r="C498" s="13"/>
      <c r="D498" s="13"/>
      <c r="E498" s="13"/>
      <c r="F498" s="14" t="str">
        <f aca="false">IF(OR(B498="",C498="",D498=""),"",IFERROR(INDEX(CONFIG!$E$5:$E$14,MATCH(D498,CONFIG!$D$5:$D$14,0)),"?")&amp;RIGHT("0"&amp;DAY(B498),2)&amp;RIGHT("0"&amp;MONTH(B498),2)&amp;RIGHT(YEAR(B498),2)&amp;C498&amp;IF(E498="","","-"&amp;E498))</f>
        <v/>
      </c>
      <c r="G498" s="13"/>
      <c r="H498" s="13"/>
      <c r="I498" s="13"/>
      <c r="J498" s="13"/>
      <c r="K498" s="13"/>
      <c r="L498" s="13"/>
      <c r="M498" s="11" t="str">
        <f aca="false">IF(F498="","",COUNTIFS(ENSAYOS!$C$5:$C$3004,F498,ENSAYOS!$Q$5:$Q$3004,"&gt;0"))</f>
        <v/>
      </c>
      <c r="N498" s="15" t="str">
        <f aca="false">IF(N(M498)=0,"",_xlfn.MINIFS(ENSAYOS!$G$5:$G$3004,ENSAYOS!$C$5:$C$3004,F498,ENSAYOS!$Q$5:$Q$3004,"&gt;0"))</f>
        <v/>
      </c>
      <c r="O498" s="15" t="str">
        <f aca="false">IF(N(M498)=0,"",_xlfn.MAXIFS(ENSAYOS!$G$5:$G$3004,ENSAYOS!$C$5:$C$3004,F498,ENSAYOS!$Q$5:$Q$3004,"&gt;0"))</f>
        <v/>
      </c>
      <c r="P498" s="16" t="str">
        <f aca="false">IF(N(M498)=0,"",AVERAGEIFS(ENSAYOS!$Q$5:$Q$3004,ENSAYOS!$C$5:$C$3004,F498,ENSAYOS!$Q$5:$Q$3004,"&gt;0"))</f>
        <v/>
      </c>
      <c r="Q498" s="16" t="str">
        <f aca="false">IF(N(M498)=0,"",_xlfn.MINIFS(ENSAYOS!$Q$5:$Q$3004,ENSAYOS!$C$5:$C$3004,F498,ENSAYOS!$Q$5:$Q$3004,"&gt;0"))</f>
        <v/>
      </c>
      <c r="R498" s="16" t="str">
        <f aca="false">IF(N(M498)=0,"",_xlfn.MAXIFS(ENSAYOS!$Q$5:$Q$3004,ENSAYOS!$C$5:$C$3004,F498,ENSAYOS!$Q$5:$Q$3004,"&gt;0"))</f>
        <v/>
      </c>
      <c r="S498" s="16" t="str">
        <f aca="false">IF(N(M498)&lt;2,"",SQRT(MAX(0,(SUMIFS(ENSAYOS!$X$5:$X$3004,ENSAYOS!$C$5:$C$3004,F498,ENSAYOS!$Q$5:$Q$3004,"&gt;0")-M498*P498^2)/(M498-1))))</f>
        <v/>
      </c>
      <c r="T498" s="17" t="str">
        <f aca="false">IF(S498="","",S498/P498)</f>
        <v/>
      </c>
      <c r="U498" s="16" t="str">
        <f aca="false">IF(N(M498)=0,"",IF(N498&gt;=CONFIG!$B$27,"",AVERAGEIFS(ENSAYOS!$Q$5:$Q$3004,ENSAYOS!$C$5:$C$3004,F498,ENSAYOS!$Q$5:$Q$3004,"&gt;0",ENSAYOS!$G$5:$G$3004,N498)))</f>
        <v/>
      </c>
      <c r="V498" s="16" t="str">
        <f aca="false">IF(N(M498)=0,"",IF(COUNTIFS(ENSAYOS!$C$5:$C$3004,F498,ENSAYOS!$Q$5:$Q$3004,"&gt;0",ENSAYOS!$G$5:$G$3004,"&gt;="&amp;CONFIG!$B$27)=0,"",AVERAGEIFS(ENSAYOS!$Q$5:$Q$3004,ENSAYOS!$C$5:$C$3004,F498,ENSAYOS!$Q$5:$Q$3004,"&gt;0",ENSAYOS!$G$5:$G$3004,"&gt;="&amp;CONFIG!$B$27)))</f>
        <v/>
      </c>
      <c r="W498" s="18" t="str">
        <f aca="false">IF(AND(U498&lt;&gt;"",V498&lt;&gt;""),U498/V498,"")</f>
        <v/>
      </c>
      <c r="X498" s="18" t="str">
        <f aca="false">IF(U498="","",INDEX('CURVA EDAD'!$E$5:$E$32,MIN(28,MAX(1,N498))))</f>
        <v/>
      </c>
      <c r="Y498" s="16" t="str">
        <f aca="false">IF(V498&lt;&gt;"",V498,IF(U498="","",U498/X498))</f>
        <v/>
      </c>
      <c r="Z498" s="16" t="str">
        <f aca="false">IF(V498&lt;&gt;"",_xlfn.MINIFS(ENSAYOS!$Q$5:$Q$3004,ENSAYOS!$C$5:$C$3004,F498,ENSAYOS!$Q$5:$Q$3004,"&gt;0",ENSAYOS!$G$5:$G$3004,"&gt;="&amp;CONFIG!$B$27),IF(U498="","",_xlfn.MINIFS(ENSAYOS!$Q$5:$Q$3004,ENSAYOS!$C$5:$C$3004,F498,ENSAYOS!$Q$5:$Q$3004,"&gt;0",ENSAYOS!$G$5:$G$3004,N498)/X498))</f>
        <v/>
      </c>
      <c r="AA498" s="16" t="str">
        <f aca="false">IF(D498="","",IFERROR(1/(1/INDEX(CONFIG!$J$5:$J$14,MATCH(D498,CONFIG!$D$5:$D$14,0))),""))</f>
        <v/>
      </c>
      <c r="AB498" s="16" t="str">
        <f aca="false">IF(D498="","",IFERROR(1/(1/INDEX(CONFIG!$K$5:$K$14,MATCH(D498,CONFIG!$D$5:$D$14,0))),""))</f>
        <v/>
      </c>
      <c r="AC498" s="19" t="str">
        <f aca="false">IF(N(M498)=0,"",IF(AA498="","Sin spec",IF(AND(Y498&gt;=AA498,OR(AB498="",Z498&gt;=AB498)),"CUMPLE","NO CUMPLE")&amp;IF(V498=""," (est.)","")))</f>
        <v/>
      </c>
      <c r="AD498" s="20" t="str">
        <f aca="false">IF(F498="","",IF(COUNTIFS(ABSORCION!$C$5:$C$1004,F498,ABSORCION!$I$5:$I$1004,"&gt;0")=0,"",AVERAGEIFS(ABSORCION!$I$5:$I$1004,ABSORCION!$C$5:$C$1004,F498,ABSORCION!$I$5:$I$1004,"&gt;0")))</f>
        <v/>
      </c>
      <c r="AE498" s="20" t="str">
        <f aca="false">IF(F498="","",IF(COUNTIFS(ABSORCION!$C$5:$C$1004,F498,ABSORCION!$I$5:$I$1004,"&gt;0")=0,"",AVERAGEIFS(ABSORCION!$K$5:$K$1004,ABSORCION!$C$5:$C$1004,F498,ABSORCION!$I$5:$I$1004,"&gt;0")))</f>
        <v/>
      </c>
      <c r="AF498" s="20" t="str">
        <f aca="false">IF(AE498="","",IF(AE498&gt;=CONFIG!$E$21,CONFIG!$F$21,IF(AE498&gt;=CONFIG!$E$20,CONFIG!$F$20,CONFIG!$F$19)))</f>
        <v/>
      </c>
      <c r="AG498" s="21" t="str">
        <f aca="false">IF(F498="","",TRIM(IF(N(M498)=0,"Sin ensayos. ","")&amp;IF(AND(N(M498)&gt;0,N(M498)&lt;CONFIG!$B$26),"Menos de "&amp;CONFIG!$B$26&amp;" probetas. ","")&amp;IF(N(T498)&gt;CONFIG!$B$25,"CV alto. ","")&amp;IF(AND(N(AD498)&gt;0,N(AD498)&gt;N(AF498)),"Absorción alta. ","")))</f>
        <v/>
      </c>
      <c r="AH498" s="22" t="str">
        <f aca="false">IF(AND(N(M498)&gt;0,OR(CONTROL!$C$4="TODAS",C498=CONTROL!$C$4),D498=CONTROL!$C$5),MAX($AH$4:AH497)+1,"")</f>
        <v/>
      </c>
      <c r="AI498" s="22" t="str">
        <f aca="false">IF(AH498="","",P498^2)</f>
        <v/>
      </c>
    </row>
    <row r="499" customFormat="false" ht="15" hidden="false" customHeight="false" outlineLevel="0" collapsed="false">
      <c r="A499" s="11" t="str">
        <f aca="false">IF(B499="","",ROW()-4)</f>
        <v/>
      </c>
      <c r="B499" s="12"/>
      <c r="C499" s="13"/>
      <c r="D499" s="13"/>
      <c r="E499" s="13"/>
      <c r="F499" s="14" t="str">
        <f aca="false">IF(OR(B499="",C499="",D499=""),"",IFERROR(INDEX(CONFIG!$E$5:$E$14,MATCH(D499,CONFIG!$D$5:$D$14,0)),"?")&amp;RIGHT("0"&amp;DAY(B499),2)&amp;RIGHT("0"&amp;MONTH(B499),2)&amp;RIGHT(YEAR(B499),2)&amp;C499&amp;IF(E499="","","-"&amp;E499))</f>
        <v/>
      </c>
      <c r="G499" s="13"/>
      <c r="H499" s="13"/>
      <c r="I499" s="13"/>
      <c r="J499" s="13"/>
      <c r="K499" s="13"/>
      <c r="L499" s="13"/>
      <c r="M499" s="11" t="str">
        <f aca="false">IF(F499="","",COUNTIFS(ENSAYOS!$C$5:$C$3004,F499,ENSAYOS!$Q$5:$Q$3004,"&gt;0"))</f>
        <v/>
      </c>
      <c r="N499" s="15" t="str">
        <f aca="false">IF(N(M499)=0,"",_xlfn.MINIFS(ENSAYOS!$G$5:$G$3004,ENSAYOS!$C$5:$C$3004,F499,ENSAYOS!$Q$5:$Q$3004,"&gt;0"))</f>
        <v/>
      </c>
      <c r="O499" s="15" t="str">
        <f aca="false">IF(N(M499)=0,"",_xlfn.MAXIFS(ENSAYOS!$G$5:$G$3004,ENSAYOS!$C$5:$C$3004,F499,ENSAYOS!$Q$5:$Q$3004,"&gt;0"))</f>
        <v/>
      </c>
      <c r="P499" s="16" t="str">
        <f aca="false">IF(N(M499)=0,"",AVERAGEIFS(ENSAYOS!$Q$5:$Q$3004,ENSAYOS!$C$5:$C$3004,F499,ENSAYOS!$Q$5:$Q$3004,"&gt;0"))</f>
        <v/>
      </c>
      <c r="Q499" s="16" t="str">
        <f aca="false">IF(N(M499)=0,"",_xlfn.MINIFS(ENSAYOS!$Q$5:$Q$3004,ENSAYOS!$C$5:$C$3004,F499,ENSAYOS!$Q$5:$Q$3004,"&gt;0"))</f>
        <v/>
      </c>
      <c r="R499" s="16" t="str">
        <f aca="false">IF(N(M499)=0,"",_xlfn.MAXIFS(ENSAYOS!$Q$5:$Q$3004,ENSAYOS!$C$5:$C$3004,F499,ENSAYOS!$Q$5:$Q$3004,"&gt;0"))</f>
        <v/>
      </c>
      <c r="S499" s="16" t="str">
        <f aca="false">IF(N(M499)&lt;2,"",SQRT(MAX(0,(SUMIFS(ENSAYOS!$X$5:$X$3004,ENSAYOS!$C$5:$C$3004,F499,ENSAYOS!$Q$5:$Q$3004,"&gt;0")-M499*P499^2)/(M499-1))))</f>
        <v/>
      </c>
      <c r="T499" s="17" t="str">
        <f aca="false">IF(S499="","",S499/P499)</f>
        <v/>
      </c>
      <c r="U499" s="16" t="str">
        <f aca="false">IF(N(M499)=0,"",IF(N499&gt;=CONFIG!$B$27,"",AVERAGEIFS(ENSAYOS!$Q$5:$Q$3004,ENSAYOS!$C$5:$C$3004,F499,ENSAYOS!$Q$5:$Q$3004,"&gt;0",ENSAYOS!$G$5:$G$3004,N499)))</f>
        <v/>
      </c>
      <c r="V499" s="16" t="str">
        <f aca="false">IF(N(M499)=0,"",IF(COUNTIFS(ENSAYOS!$C$5:$C$3004,F499,ENSAYOS!$Q$5:$Q$3004,"&gt;0",ENSAYOS!$G$5:$G$3004,"&gt;="&amp;CONFIG!$B$27)=0,"",AVERAGEIFS(ENSAYOS!$Q$5:$Q$3004,ENSAYOS!$C$5:$C$3004,F499,ENSAYOS!$Q$5:$Q$3004,"&gt;0",ENSAYOS!$G$5:$G$3004,"&gt;="&amp;CONFIG!$B$27)))</f>
        <v/>
      </c>
      <c r="W499" s="18" t="str">
        <f aca="false">IF(AND(U499&lt;&gt;"",V499&lt;&gt;""),U499/V499,"")</f>
        <v/>
      </c>
      <c r="X499" s="18" t="str">
        <f aca="false">IF(U499="","",INDEX('CURVA EDAD'!$E$5:$E$32,MIN(28,MAX(1,N499))))</f>
        <v/>
      </c>
      <c r="Y499" s="16" t="str">
        <f aca="false">IF(V499&lt;&gt;"",V499,IF(U499="","",U499/X499))</f>
        <v/>
      </c>
      <c r="Z499" s="16" t="str">
        <f aca="false">IF(V499&lt;&gt;"",_xlfn.MINIFS(ENSAYOS!$Q$5:$Q$3004,ENSAYOS!$C$5:$C$3004,F499,ENSAYOS!$Q$5:$Q$3004,"&gt;0",ENSAYOS!$G$5:$G$3004,"&gt;="&amp;CONFIG!$B$27),IF(U499="","",_xlfn.MINIFS(ENSAYOS!$Q$5:$Q$3004,ENSAYOS!$C$5:$C$3004,F499,ENSAYOS!$Q$5:$Q$3004,"&gt;0",ENSAYOS!$G$5:$G$3004,N499)/X499))</f>
        <v/>
      </c>
      <c r="AA499" s="16" t="str">
        <f aca="false">IF(D499="","",IFERROR(1/(1/INDEX(CONFIG!$J$5:$J$14,MATCH(D499,CONFIG!$D$5:$D$14,0))),""))</f>
        <v/>
      </c>
      <c r="AB499" s="16" t="str">
        <f aca="false">IF(D499="","",IFERROR(1/(1/INDEX(CONFIG!$K$5:$K$14,MATCH(D499,CONFIG!$D$5:$D$14,0))),""))</f>
        <v/>
      </c>
      <c r="AC499" s="19" t="str">
        <f aca="false">IF(N(M499)=0,"",IF(AA499="","Sin spec",IF(AND(Y499&gt;=AA499,OR(AB499="",Z499&gt;=AB499)),"CUMPLE","NO CUMPLE")&amp;IF(V499=""," (est.)","")))</f>
        <v/>
      </c>
      <c r="AD499" s="20" t="str">
        <f aca="false">IF(F499="","",IF(COUNTIFS(ABSORCION!$C$5:$C$1004,F499,ABSORCION!$I$5:$I$1004,"&gt;0")=0,"",AVERAGEIFS(ABSORCION!$I$5:$I$1004,ABSORCION!$C$5:$C$1004,F499,ABSORCION!$I$5:$I$1004,"&gt;0")))</f>
        <v/>
      </c>
      <c r="AE499" s="20" t="str">
        <f aca="false">IF(F499="","",IF(COUNTIFS(ABSORCION!$C$5:$C$1004,F499,ABSORCION!$I$5:$I$1004,"&gt;0")=0,"",AVERAGEIFS(ABSORCION!$K$5:$K$1004,ABSORCION!$C$5:$C$1004,F499,ABSORCION!$I$5:$I$1004,"&gt;0")))</f>
        <v/>
      </c>
      <c r="AF499" s="20" t="str">
        <f aca="false">IF(AE499="","",IF(AE499&gt;=CONFIG!$E$21,CONFIG!$F$21,IF(AE499&gt;=CONFIG!$E$20,CONFIG!$F$20,CONFIG!$F$19)))</f>
        <v/>
      </c>
      <c r="AG499" s="21" t="str">
        <f aca="false">IF(F499="","",TRIM(IF(N(M499)=0,"Sin ensayos. ","")&amp;IF(AND(N(M499)&gt;0,N(M499)&lt;CONFIG!$B$26),"Menos de "&amp;CONFIG!$B$26&amp;" probetas. ","")&amp;IF(N(T499)&gt;CONFIG!$B$25,"CV alto. ","")&amp;IF(AND(N(AD499)&gt;0,N(AD499)&gt;N(AF499)),"Absorción alta. ","")))</f>
        <v/>
      </c>
      <c r="AH499" s="22" t="str">
        <f aca="false">IF(AND(N(M499)&gt;0,OR(CONTROL!$C$4="TODAS",C499=CONTROL!$C$4),D499=CONTROL!$C$5),MAX($AH$4:AH498)+1,"")</f>
        <v/>
      </c>
      <c r="AI499" s="22" t="str">
        <f aca="false">IF(AH499="","",P499^2)</f>
        <v/>
      </c>
    </row>
    <row r="500" customFormat="false" ht="15" hidden="false" customHeight="false" outlineLevel="0" collapsed="false">
      <c r="A500" s="11" t="str">
        <f aca="false">IF(B500="","",ROW()-4)</f>
        <v/>
      </c>
      <c r="B500" s="12"/>
      <c r="C500" s="13"/>
      <c r="D500" s="13"/>
      <c r="E500" s="13"/>
      <c r="F500" s="14" t="str">
        <f aca="false">IF(OR(B500="",C500="",D500=""),"",IFERROR(INDEX(CONFIG!$E$5:$E$14,MATCH(D500,CONFIG!$D$5:$D$14,0)),"?")&amp;RIGHT("0"&amp;DAY(B500),2)&amp;RIGHT("0"&amp;MONTH(B500),2)&amp;RIGHT(YEAR(B500),2)&amp;C500&amp;IF(E500="","","-"&amp;E500))</f>
        <v/>
      </c>
      <c r="G500" s="13"/>
      <c r="H500" s="13"/>
      <c r="I500" s="13"/>
      <c r="J500" s="13"/>
      <c r="K500" s="13"/>
      <c r="L500" s="13"/>
      <c r="M500" s="11" t="str">
        <f aca="false">IF(F500="","",COUNTIFS(ENSAYOS!$C$5:$C$3004,F500,ENSAYOS!$Q$5:$Q$3004,"&gt;0"))</f>
        <v/>
      </c>
      <c r="N500" s="15" t="str">
        <f aca="false">IF(N(M500)=0,"",_xlfn.MINIFS(ENSAYOS!$G$5:$G$3004,ENSAYOS!$C$5:$C$3004,F500,ENSAYOS!$Q$5:$Q$3004,"&gt;0"))</f>
        <v/>
      </c>
      <c r="O500" s="15" t="str">
        <f aca="false">IF(N(M500)=0,"",_xlfn.MAXIFS(ENSAYOS!$G$5:$G$3004,ENSAYOS!$C$5:$C$3004,F500,ENSAYOS!$Q$5:$Q$3004,"&gt;0"))</f>
        <v/>
      </c>
      <c r="P500" s="16" t="str">
        <f aca="false">IF(N(M500)=0,"",AVERAGEIFS(ENSAYOS!$Q$5:$Q$3004,ENSAYOS!$C$5:$C$3004,F500,ENSAYOS!$Q$5:$Q$3004,"&gt;0"))</f>
        <v/>
      </c>
      <c r="Q500" s="16" t="str">
        <f aca="false">IF(N(M500)=0,"",_xlfn.MINIFS(ENSAYOS!$Q$5:$Q$3004,ENSAYOS!$C$5:$C$3004,F500,ENSAYOS!$Q$5:$Q$3004,"&gt;0"))</f>
        <v/>
      </c>
      <c r="R500" s="16" t="str">
        <f aca="false">IF(N(M500)=0,"",_xlfn.MAXIFS(ENSAYOS!$Q$5:$Q$3004,ENSAYOS!$C$5:$C$3004,F500,ENSAYOS!$Q$5:$Q$3004,"&gt;0"))</f>
        <v/>
      </c>
      <c r="S500" s="16" t="str">
        <f aca="false">IF(N(M500)&lt;2,"",SQRT(MAX(0,(SUMIFS(ENSAYOS!$X$5:$X$3004,ENSAYOS!$C$5:$C$3004,F500,ENSAYOS!$Q$5:$Q$3004,"&gt;0")-M500*P500^2)/(M500-1))))</f>
        <v/>
      </c>
      <c r="T500" s="17" t="str">
        <f aca="false">IF(S500="","",S500/P500)</f>
        <v/>
      </c>
      <c r="U500" s="16" t="str">
        <f aca="false">IF(N(M500)=0,"",IF(N500&gt;=CONFIG!$B$27,"",AVERAGEIFS(ENSAYOS!$Q$5:$Q$3004,ENSAYOS!$C$5:$C$3004,F500,ENSAYOS!$Q$5:$Q$3004,"&gt;0",ENSAYOS!$G$5:$G$3004,N500)))</f>
        <v/>
      </c>
      <c r="V500" s="16" t="str">
        <f aca="false">IF(N(M500)=0,"",IF(COUNTIFS(ENSAYOS!$C$5:$C$3004,F500,ENSAYOS!$Q$5:$Q$3004,"&gt;0",ENSAYOS!$G$5:$G$3004,"&gt;="&amp;CONFIG!$B$27)=0,"",AVERAGEIFS(ENSAYOS!$Q$5:$Q$3004,ENSAYOS!$C$5:$C$3004,F500,ENSAYOS!$Q$5:$Q$3004,"&gt;0",ENSAYOS!$G$5:$G$3004,"&gt;="&amp;CONFIG!$B$27)))</f>
        <v/>
      </c>
      <c r="W500" s="18" t="str">
        <f aca="false">IF(AND(U500&lt;&gt;"",V500&lt;&gt;""),U500/V500,"")</f>
        <v/>
      </c>
      <c r="X500" s="18" t="str">
        <f aca="false">IF(U500="","",INDEX('CURVA EDAD'!$E$5:$E$32,MIN(28,MAX(1,N500))))</f>
        <v/>
      </c>
      <c r="Y500" s="16" t="str">
        <f aca="false">IF(V500&lt;&gt;"",V500,IF(U500="","",U500/X500))</f>
        <v/>
      </c>
      <c r="Z500" s="16" t="str">
        <f aca="false">IF(V500&lt;&gt;"",_xlfn.MINIFS(ENSAYOS!$Q$5:$Q$3004,ENSAYOS!$C$5:$C$3004,F500,ENSAYOS!$Q$5:$Q$3004,"&gt;0",ENSAYOS!$G$5:$G$3004,"&gt;="&amp;CONFIG!$B$27),IF(U500="","",_xlfn.MINIFS(ENSAYOS!$Q$5:$Q$3004,ENSAYOS!$C$5:$C$3004,F500,ENSAYOS!$Q$5:$Q$3004,"&gt;0",ENSAYOS!$G$5:$G$3004,N500)/X500))</f>
        <v/>
      </c>
      <c r="AA500" s="16" t="str">
        <f aca="false">IF(D500="","",IFERROR(1/(1/INDEX(CONFIG!$J$5:$J$14,MATCH(D500,CONFIG!$D$5:$D$14,0))),""))</f>
        <v/>
      </c>
      <c r="AB500" s="16" t="str">
        <f aca="false">IF(D500="","",IFERROR(1/(1/INDEX(CONFIG!$K$5:$K$14,MATCH(D500,CONFIG!$D$5:$D$14,0))),""))</f>
        <v/>
      </c>
      <c r="AC500" s="19" t="str">
        <f aca="false">IF(N(M500)=0,"",IF(AA500="","Sin spec",IF(AND(Y500&gt;=AA500,OR(AB500="",Z500&gt;=AB500)),"CUMPLE","NO CUMPLE")&amp;IF(V500=""," (est.)","")))</f>
        <v/>
      </c>
      <c r="AD500" s="20" t="str">
        <f aca="false">IF(F500="","",IF(COUNTIFS(ABSORCION!$C$5:$C$1004,F500,ABSORCION!$I$5:$I$1004,"&gt;0")=0,"",AVERAGEIFS(ABSORCION!$I$5:$I$1004,ABSORCION!$C$5:$C$1004,F500,ABSORCION!$I$5:$I$1004,"&gt;0")))</f>
        <v/>
      </c>
      <c r="AE500" s="20" t="str">
        <f aca="false">IF(F500="","",IF(COUNTIFS(ABSORCION!$C$5:$C$1004,F500,ABSORCION!$I$5:$I$1004,"&gt;0")=0,"",AVERAGEIFS(ABSORCION!$K$5:$K$1004,ABSORCION!$C$5:$C$1004,F500,ABSORCION!$I$5:$I$1004,"&gt;0")))</f>
        <v/>
      </c>
      <c r="AF500" s="20" t="str">
        <f aca="false">IF(AE500="","",IF(AE500&gt;=CONFIG!$E$21,CONFIG!$F$21,IF(AE500&gt;=CONFIG!$E$20,CONFIG!$F$20,CONFIG!$F$19)))</f>
        <v/>
      </c>
      <c r="AG500" s="21" t="str">
        <f aca="false">IF(F500="","",TRIM(IF(N(M500)=0,"Sin ensayos. ","")&amp;IF(AND(N(M500)&gt;0,N(M500)&lt;CONFIG!$B$26),"Menos de "&amp;CONFIG!$B$26&amp;" probetas. ","")&amp;IF(N(T500)&gt;CONFIG!$B$25,"CV alto. ","")&amp;IF(AND(N(AD500)&gt;0,N(AD500)&gt;N(AF500)),"Absorción alta. ","")))</f>
        <v/>
      </c>
      <c r="AH500" s="22" t="str">
        <f aca="false">IF(AND(N(M500)&gt;0,OR(CONTROL!$C$4="TODAS",C500=CONTROL!$C$4),D500=CONTROL!$C$5),MAX($AH$4:AH499)+1,"")</f>
        <v/>
      </c>
      <c r="AI500" s="22" t="str">
        <f aca="false">IF(AH500="","",P500^2)</f>
        <v/>
      </c>
    </row>
    <row r="501" customFormat="false" ht="15" hidden="false" customHeight="false" outlineLevel="0" collapsed="false">
      <c r="A501" s="11" t="str">
        <f aca="false">IF(B501="","",ROW()-4)</f>
        <v/>
      </c>
      <c r="B501" s="12"/>
      <c r="C501" s="13"/>
      <c r="D501" s="13"/>
      <c r="E501" s="13"/>
      <c r="F501" s="14" t="str">
        <f aca="false">IF(OR(B501="",C501="",D501=""),"",IFERROR(INDEX(CONFIG!$E$5:$E$14,MATCH(D501,CONFIG!$D$5:$D$14,0)),"?")&amp;RIGHT("0"&amp;DAY(B501),2)&amp;RIGHT("0"&amp;MONTH(B501),2)&amp;RIGHT(YEAR(B501),2)&amp;C501&amp;IF(E501="","","-"&amp;E501))</f>
        <v/>
      </c>
      <c r="G501" s="13"/>
      <c r="H501" s="13"/>
      <c r="I501" s="13"/>
      <c r="J501" s="13"/>
      <c r="K501" s="13"/>
      <c r="L501" s="13"/>
      <c r="M501" s="11" t="str">
        <f aca="false">IF(F501="","",COUNTIFS(ENSAYOS!$C$5:$C$3004,F501,ENSAYOS!$Q$5:$Q$3004,"&gt;0"))</f>
        <v/>
      </c>
      <c r="N501" s="15" t="str">
        <f aca="false">IF(N(M501)=0,"",_xlfn.MINIFS(ENSAYOS!$G$5:$G$3004,ENSAYOS!$C$5:$C$3004,F501,ENSAYOS!$Q$5:$Q$3004,"&gt;0"))</f>
        <v/>
      </c>
      <c r="O501" s="15" t="str">
        <f aca="false">IF(N(M501)=0,"",_xlfn.MAXIFS(ENSAYOS!$G$5:$G$3004,ENSAYOS!$C$5:$C$3004,F501,ENSAYOS!$Q$5:$Q$3004,"&gt;0"))</f>
        <v/>
      </c>
      <c r="P501" s="16" t="str">
        <f aca="false">IF(N(M501)=0,"",AVERAGEIFS(ENSAYOS!$Q$5:$Q$3004,ENSAYOS!$C$5:$C$3004,F501,ENSAYOS!$Q$5:$Q$3004,"&gt;0"))</f>
        <v/>
      </c>
      <c r="Q501" s="16" t="str">
        <f aca="false">IF(N(M501)=0,"",_xlfn.MINIFS(ENSAYOS!$Q$5:$Q$3004,ENSAYOS!$C$5:$C$3004,F501,ENSAYOS!$Q$5:$Q$3004,"&gt;0"))</f>
        <v/>
      </c>
      <c r="R501" s="16" t="str">
        <f aca="false">IF(N(M501)=0,"",_xlfn.MAXIFS(ENSAYOS!$Q$5:$Q$3004,ENSAYOS!$C$5:$C$3004,F501,ENSAYOS!$Q$5:$Q$3004,"&gt;0"))</f>
        <v/>
      </c>
      <c r="S501" s="16" t="str">
        <f aca="false">IF(N(M501)&lt;2,"",SQRT(MAX(0,(SUMIFS(ENSAYOS!$X$5:$X$3004,ENSAYOS!$C$5:$C$3004,F501,ENSAYOS!$Q$5:$Q$3004,"&gt;0")-M501*P501^2)/(M501-1))))</f>
        <v/>
      </c>
      <c r="T501" s="17" t="str">
        <f aca="false">IF(S501="","",S501/P501)</f>
        <v/>
      </c>
      <c r="U501" s="16" t="str">
        <f aca="false">IF(N(M501)=0,"",IF(N501&gt;=CONFIG!$B$27,"",AVERAGEIFS(ENSAYOS!$Q$5:$Q$3004,ENSAYOS!$C$5:$C$3004,F501,ENSAYOS!$Q$5:$Q$3004,"&gt;0",ENSAYOS!$G$5:$G$3004,N501)))</f>
        <v/>
      </c>
      <c r="V501" s="16" t="str">
        <f aca="false">IF(N(M501)=0,"",IF(COUNTIFS(ENSAYOS!$C$5:$C$3004,F501,ENSAYOS!$Q$5:$Q$3004,"&gt;0",ENSAYOS!$G$5:$G$3004,"&gt;="&amp;CONFIG!$B$27)=0,"",AVERAGEIFS(ENSAYOS!$Q$5:$Q$3004,ENSAYOS!$C$5:$C$3004,F501,ENSAYOS!$Q$5:$Q$3004,"&gt;0",ENSAYOS!$G$5:$G$3004,"&gt;="&amp;CONFIG!$B$27)))</f>
        <v/>
      </c>
      <c r="W501" s="18" t="str">
        <f aca="false">IF(AND(U501&lt;&gt;"",V501&lt;&gt;""),U501/V501,"")</f>
        <v/>
      </c>
      <c r="X501" s="18" t="str">
        <f aca="false">IF(U501="","",INDEX('CURVA EDAD'!$E$5:$E$32,MIN(28,MAX(1,N501))))</f>
        <v/>
      </c>
      <c r="Y501" s="16" t="str">
        <f aca="false">IF(V501&lt;&gt;"",V501,IF(U501="","",U501/X501))</f>
        <v/>
      </c>
      <c r="Z501" s="16" t="str">
        <f aca="false">IF(V501&lt;&gt;"",_xlfn.MINIFS(ENSAYOS!$Q$5:$Q$3004,ENSAYOS!$C$5:$C$3004,F501,ENSAYOS!$Q$5:$Q$3004,"&gt;0",ENSAYOS!$G$5:$G$3004,"&gt;="&amp;CONFIG!$B$27),IF(U501="","",_xlfn.MINIFS(ENSAYOS!$Q$5:$Q$3004,ENSAYOS!$C$5:$C$3004,F501,ENSAYOS!$Q$5:$Q$3004,"&gt;0",ENSAYOS!$G$5:$G$3004,N501)/X501))</f>
        <v/>
      </c>
      <c r="AA501" s="16" t="str">
        <f aca="false">IF(D501="","",IFERROR(1/(1/INDEX(CONFIG!$J$5:$J$14,MATCH(D501,CONFIG!$D$5:$D$14,0))),""))</f>
        <v/>
      </c>
      <c r="AB501" s="16" t="str">
        <f aca="false">IF(D501="","",IFERROR(1/(1/INDEX(CONFIG!$K$5:$K$14,MATCH(D501,CONFIG!$D$5:$D$14,0))),""))</f>
        <v/>
      </c>
      <c r="AC501" s="19" t="str">
        <f aca="false">IF(N(M501)=0,"",IF(AA501="","Sin spec",IF(AND(Y501&gt;=AA501,OR(AB501="",Z501&gt;=AB501)),"CUMPLE","NO CUMPLE")&amp;IF(V501=""," (est.)","")))</f>
        <v/>
      </c>
      <c r="AD501" s="20" t="str">
        <f aca="false">IF(F501="","",IF(COUNTIFS(ABSORCION!$C$5:$C$1004,F501,ABSORCION!$I$5:$I$1004,"&gt;0")=0,"",AVERAGEIFS(ABSORCION!$I$5:$I$1004,ABSORCION!$C$5:$C$1004,F501,ABSORCION!$I$5:$I$1004,"&gt;0")))</f>
        <v/>
      </c>
      <c r="AE501" s="20" t="str">
        <f aca="false">IF(F501="","",IF(COUNTIFS(ABSORCION!$C$5:$C$1004,F501,ABSORCION!$I$5:$I$1004,"&gt;0")=0,"",AVERAGEIFS(ABSORCION!$K$5:$K$1004,ABSORCION!$C$5:$C$1004,F501,ABSORCION!$I$5:$I$1004,"&gt;0")))</f>
        <v/>
      </c>
      <c r="AF501" s="20" t="str">
        <f aca="false">IF(AE501="","",IF(AE501&gt;=CONFIG!$E$21,CONFIG!$F$21,IF(AE501&gt;=CONFIG!$E$20,CONFIG!$F$20,CONFIG!$F$19)))</f>
        <v/>
      </c>
      <c r="AG501" s="21" t="str">
        <f aca="false">IF(F501="","",TRIM(IF(N(M501)=0,"Sin ensayos. ","")&amp;IF(AND(N(M501)&gt;0,N(M501)&lt;CONFIG!$B$26),"Menos de "&amp;CONFIG!$B$26&amp;" probetas. ","")&amp;IF(N(T501)&gt;CONFIG!$B$25,"CV alto. ","")&amp;IF(AND(N(AD501)&gt;0,N(AD501)&gt;N(AF501)),"Absorción alta. ","")))</f>
        <v/>
      </c>
      <c r="AH501" s="22" t="str">
        <f aca="false">IF(AND(N(M501)&gt;0,OR(CONTROL!$C$4="TODAS",C501=CONTROL!$C$4),D501=CONTROL!$C$5),MAX($AH$4:AH500)+1,"")</f>
        <v/>
      </c>
      <c r="AI501" s="22" t="str">
        <f aca="false">IF(AH501="","",P501^2)</f>
        <v/>
      </c>
    </row>
    <row r="502" customFormat="false" ht="15" hidden="false" customHeight="false" outlineLevel="0" collapsed="false">
      <c r="A502" s="11" t="str">
        <f aca="false">IF(B502="","",ROW()-4)</f>
        <v/>
      </c>
      <c r="B502" s="12"/>
      <c r="C502" s="13"/>
      <c r="D502" s="13"/>
      <c r="E502" s="13"/>
      <c r="F502" s="14" t="str">
        <f aca="false">IF(OR(B502="",C502="",D502=""),"",IFERROR(INDEX(CONFIG!$E$5:$E$14,MATCH(D502,CONFIG!$D$5:$D$14,0)),"?")&amp;RIGHT("0"&amp;DAY(B502),2)&amp;RIGHT("0"&amp;MONTH(B502),2)&amp;RIGHT(YEAR(B502),2)&amp;C502&amp;IF(E502="","","-"&amp;E502))</f>
        <v/>
      </c>
      <c r="G502" s="13"/>
      <c r="H502" s="13"/>
      <c r="I502" s="13"/>
      <c r="J502" s="13"/>
      <c r="K502" s="13"/>
      <c r="L502" s="13"/>
      <c r="M502" s="11" t="str">
        <f aca="false">IF(F502="","",COUNTIFS(ENSAYOS!$C$5:$C$3004,F502,ENSAYOS!$Q$5:$Q$3004,"&gt;0"))</f>
        <v/>
      </c>
      <c r="N502" s="15" t="str">
        <f aca="false">IF(N(M502)=0,"",_xlfn.MINIFS(ENSAYOS!$G$5:$G$3004,ENSAYOS!$C$5:$C$3004,F502,ENSAYOS!$Q$5:$Q$3004,"&gt;0"))</f>
        <v/>
      </c>
      <c r="O502" s="15" t="str">
        <f aca="false">IF(N(M502)=0,"",_xlfn.MAXIFS(ENSAYOS!$G$5:$G$3004,ENSAYOS!$C$5:$C$3004,F502,ENSAYOS!$Q$5:$Q$3004,"&gt;0"))</f>
        <v/>
      </c>
      <c r="P502" s="16" t="str">
        <f aca="false">IF(N(M502)=0,"",AVERAGEIFS(ENSAYOS!$Q$5:$Q$3004,ENSAYOS!$C$5:$C$3004,F502,ENSAYOS!$Q$5:$Q$3004,"&gt;0"))</f>
        <v/>
      </c>
      <c r="Q502" s="16" t="str">
        <f aca="false">IF(N(M502)=0,"",_xlfn.MINIFS(ENSAYOS!$Q$5:$Q$3004,ENSAYOS!$C$5:$C$3004,F502,ENSAYOS!$Q$5:$Q$3004,"&gt;0"))</f>
        <v/>
      </c>
      <c r="R502" s="16" t="str">
        <f aca="false">IF(N(M502)=0,"",_xlfn.MAXIFS(ENSAYOS!$Q$5:$Q$3004,ENSAYOS!$C$5:$C$3004,F502,ENSAYOS!$Q$5:$Q$3004,"&gt;0"))</f>
        <v/>
      </c>
      <c r="S502" s="16" t="str">
        <f aca="false">IF(N(M502)&lt;2,"",SQRT(MAX(0,(SUMIFS(ENSAYOS!$X$5:$X$3004,ENSAYOS!$C$5:$C$3004,F502,ENSAYOS!$Q$5:$Q$3004,"&gt;0")-M502*P502^2)/(M502-1))))</f>
        <v/>
      </c>
      <c r="T502" s="17" t="str">
        <f aca="false">IF(S502="","",S502/P502)</f>
        <v/>
      </c>
      <c r="U502" s="16" t="str">
        <f aca="false">IF(N(M502)=0,"",IF(N502&gt;=CONFIG!$B$27,"",AVERAGEIFS(ENSAYOS!$Q$5:$Q$3004,ENSAYOS!$C$5:$C$3004,F502,ENSAYOS!$Q$5:$Q$3004,"&gt;0",ENSAYOS!$G$5:$G$3004,N502)))</f>
        <v/>
      </c>
      <c r="V502" s="16" t="str">
        <f aca="false">IF(N(M502)=0,"",IF(COUNTIFS(ENSAYOS!$C$5:$C$3004,F502,ENSAYOS!$Q$5:$Q$3004,"&gt;0",ENSAYOS!$G$5:$G$3004,"&gt;="&amp;CONFIG!$B$27)=0,"",AVERAGEIFS(ENSAYOS!$Q$5:$Q$3004,ENSAYOS!$C$5:$C$3004,F502,ENSAYOS!$Q$5:$Q$3004,"&gt;0",ENSAYOS!$G$5:$G$3004,"&gt;="&amp;CONFIG!$B$27)))</f>
        <v/>
      </c>
      <c r="W502" s="18" t="str">
        <f aca="false">IF(AND(U502&lt;&gt;"",V502&lt;&gt;""),U502/V502,"")</f>
        <v/>
      </c>
      <c r="X502" s="18" t="str">
        <f aca="false">IF(U502="","",INDEX('CURVA EDAD'!$E$5:$E$32,MIN(28,MAX(1,N502))))</f>
        <v/>
      </c>
      <c r="Y502" s="16" t="str">
        <f aca="false">IF(V502&lt;&gt;"",V502,IF(U502="","",U502/X502))</f>
        <v/>
      </c>
      <c r="Z502" s="16" t="str">
        <f aca="false">IF(V502&lt;&gt;"",_xlfn.MINIFS(ENSAYOS!$Q$5:$Q$3004,ENSAYOS!$C$5:$C$3004,F502,ENSAYOS!$Q$5:$Q$3004,"&gt;0",ENSAYOS!$G$5:$G$3004,"&gt;="&amp;CONFIG!$B$27),IF(U502="","",_xlfn.MINIFS(ENSAYOS!$Q$5:$Q$3004,ENSAYOS!$C$5:$C$3004,F502,ENSAYOS!$Q$5:$Q$3004,"&gt;0",ENSAYOS!$G$5:$G$3004,N502)/X502))</f>
        <v/>
      </c>
      <c r="AA502" s="16" t="str">
        <f aca="false">IF(D502="","",IFERROR(1/(1/INDEX(CONFIG!$J$5:$J$14,MATCH(D502,CONFIG!$D$5:$D$14,0))),""))</f>
        <v/>
      </c>
      <c r="AB502" s="16" t="str">
        <f aca="false">IF(D502="","",IFERROR(1/(1/INDEX(CONFIG!$K$5:$K$14,MATCH(D502,CONFIG!$D$5:$D$14,0))),""))</f>
        <v/>
      </c>
      <c r="AC502" s="19" t="str">
        <f aca="false">IF(N(M502)=0,"",IF(AA502="","Sin spec",IF(AND(Y502&gt;=AA502,OR(AB502="",Z502&gt;=AB502)),"CUMPLE","NO CUMPLE")&amp;IF(V502=""," (est.)","")))</f>
        <v/>
      </c>
      <c r="AD502" s="20" t="str">
        <f aca="false">IF(F502="","",IF(COUNTIFS(ABSORCION!$C$5:$C$1004,F502,ABSORCION!$I$5:$I$1004,"&gt;0")=0,"",AVERAGEIFS(ABSORCION!$I$5:$I$1004,ABSORCION!$C$5:$C$1004,F502,ABSORCION!$I$5:$I$1004,"&gt;0")))</f>
        <v/>
      </c>
      <c r="AE502" s="20" t="str">
        <f aca="false">IF(F502="","",IF(COUNTIFS(ABSORCION!$C$5:$C$1004,F502,ABSORCION!$I$5:$I$1004,"&gt;0")=0,"",AVERAGEIFS(ABSORCION!$K$5:$K$1004,ABSORCION!$C$5:$C$1004,F502,ABSORCION!$I$5:$I$1004,"&gt;0")))</f>
        <v/>
      </c>
      <c r="AF502" s="20" t="str">
        <f aca="false">IF(AE502="","",IF(AE502&gt;=CONFIG!$E$21,CONFIG!$F$21,IF(AE502&gt;=CONFIG!$E$20,CONFIG!$F$20,CONFIG!$F$19)))</f>
        <v/>
      </c>
      <c r="AG502" s="21" t="str">
        <f aca="false">IF(F502="","",TRIM(IF(N(M502)=0,"Sin ensayos. ","")&amp;IF(AND(N(M502)&gt;0,N(M502)&lt;CONFIG!$B$26),"Menos de "&amp;CONFIG!$B$26&amp;" probetas. ","")&amp;IF(N(T502)&gt;CONFIG!$B$25,"CV alto. ","")&amp;IF(AND(N(AD502)&gt;0,N(AD502)&gt;N(AF502)),"Absorción alta. ","")))</f>
        <v/>
      </c>
      <c r="AH502" s="22" t="str">
        <f aca="false">IF(AND(N(M502)&gt;0,OR(CONTROL!$C$4="TODAS",C502=CONTROL!$C$4),D502=CONTROL!$C$5),MAX($AH$4:AH501)+1,"")</f>
        <v/>
      </c>
      <c r="AI502" s="22" t="str">
        <f aca="false">IF(AH502="","",P502^2)</f>
        <v/>
      </c>
    </row>
    <row r="503" customFormat="false" ht="15" hidden="false" customHeight="false" outlineLevel="0" collapsed="false">
      <c r="A503" s="11" t="str">
        <f aca="false">IF(B503="","",ROW()-4)</f>
        <v/>
      </c>
      <c r="B503" s="12"/>
      <c r="C503" s="13"/>
      <c r="D503" s="13"/>
      <c r="E503" s="13"/>
      <c r="F503" s="14" t="str">
        <f aca="false">IF(OR(B503="",C503="",D503=""),"",IFERROR(INDEX(CONFIG!$E$5:$E$14,MATCH(D503,CONFIG!$D$5:$D$14,0)),"?")&amp;RIGHT("0"&amp;DAY(B503),2)&amp;RIGHT("0"&amp;MONTH(B503),2)&amp;RIGHT(YEAR(B503),2)&amp;C503&amp;IF(E503="","","-"&amp;E503))</f>
        <v/>
      </c>
      <c r="G503" s="13"/>
      <c r="H503" s="13"/>
      <c r="I503" s="13"/>
      <c r="J503" s="13"/>
      <c r="K503" s="13"/>
      <c r="L503" s="13"/>
      <c r="M503" s="11" t="str">
        <f aca="false">IF(F503="","",COUNTIFS(ENSAYOS!$C$5:$C$3004,F503,ENSAYOS!$Q$5:$Q$3004,"&gt;0"))</f>
        <v/>
      </c>
      <c r="N503" s="15" t="str">
        <f aca="false">IF(N(M503)=0,"",_xlfn.MINIFS(ENSAYOS!$G$5:$G$3004,ENSAYOS!$C$5:$C$3004,F503,ENSAYOS!$Q$5:$Q$3004,"&gt;0"))</f>
        <v/>
      </c>
      <c r="O503" s="15" t="str">
        <f aca="false">IF(N(M503)=0,"",_xlfn.MAXIFS(ENSAYOS!$G$5:$G$3004,ENSAYOS!$C$5:$C$3004,F503,ENSAYOS!$Q$5:$Q$3004,"&gt;0"))</f>
        <v/>
      </c>
      <c r="P503" s="16" t="str">
        <f aca="false">IF(N(M503)=0,"",AVERAGEIFS(ENSAYOS!$Q$5:$Q$3004,ENSAYOS!$C$5:$C$3004,F503,ENSAYOS!$Q$5:$Q$3004,"&gt;0"))</f>
        <v/>
      </c>
      <c r="Q503" s="16" t="str">
        <f aca="false">IF(N(M503)=0,"",_xlfn.MINIFS(ENSAYOS!$Q$5:$Q$3004,ENSAYOS!$C$5:$C$3004,F503,ENSAYOS!$Q$5:$Q$3004,"&gt;0"))</f>
        <v/>
      </c>
      <c r="R503" s="16" t="str">
        <f aca="false">IF(N(M503)=0,"",_xlfn.MAXIFS(ENSAYOS!$Q$5:$Q$3004,ENSAYOS!$C$5:$C$3004,F503,ENSAYOS!$Q$5:$Q$3004,"&gt;0"))</f>
        <v/>
      </c>
      <c r="S503" s="16" t="str">
        <f aca="false">IF(N(M503)&lt;2,"",SQRT(MAX(0,(SUMIFS(ENSAYOS!$X$5:$X$3004,ENSAYOS!$C$5:$C$3004,F503,ENSAYOS!$Q$5:$Q$3004,"&gt;0")-M503*P503^2)/(M503-1))))</f>
        <v/>
      </c>
      <c r="T503" s="17" t="str">
        <f aca="false">IF(S503="","",S503/P503)</f>
        <v/>
      </c>
      <c r="U503" s="16" t="str">
        <f aca="false">IF(N(M503)=0,"",IF(N503&gt;=CONFIG!$B$27,"",AVERAGEIFS(ENSAYOS!$Q$5:$Q$3004,ENSAYOS!$C$5:$C$3004,F503,ENSAYOS!$Q$5:$Q$3004,"&gt;0",ENSAYOS!$G$5:$G$3004,N503)))</f>
        <v/>
      </c>
      <c r="V503" s="16" t="str">
        <f aca="false">IF(N(M503)=0,"",IF(COUNTIFS(ENSAYOS!$C$5:$C$3004,F503,ENSAYOS!$Q$5:$Q$3004,"&gt;0",ENSAYOS!$G$5:$G$3004,"&gt;="&amp;CONFIG!$B$27)=0,"",AVERAGEIFS(ENSAYOS!$Q$5:$Q$3004,ENSAYOS!$C$5:$C$3004,F503,ENSAYOS!$Q$5:$Q$3004,"&gt;0",ENSAYOS!$G$5:$G$3004,"&gt;="&amp;CONFIG!$B$27)))</f>
        <v/>
      </c>
      <c r="W503" s="18" t="str">
        <f aca="false">IF(AND(U503&lt;&gt;"",V503&lt;&gt;""),U503/V503,"")</f>
        <v/>
      </c>
      <c r="X503" s="18" t="str">
        <f aca="false">IF(U503="","",INDEX('CURVA EDAD'!$E$5:$E$32,MIN(28,MAX(1,N503))))</f>
        <v/>
      </c>
      <c r="Y503" s="16" t="str">
        <f aca="false">IF(V503&lt;&gt;"",V503,IF(U503="","",U503/X503))</f>
        <v/>
      </c>
      <c r="Z503" s="16" t="str">
        <f aca="false">IF(V503&lt;&gt;"",_xlfn.MINIFS(ENSAYOS!$Q$5:$Q$3004,ENSAYOS!$C$5:$C$3004,F503,ENSAYOS!$Q$5:$Q$3004,"&gt;0",ENSAYOS!$G$5:$G$3004,"&gt;="&amp;CONFIG!$B$27),IF(U503="","",_xlfn.MINIFS(ENSAYOS!$Q$5:$Q$3004,ENSAYOS!$C$5:$C$3004,F503,ENSAYOS!$Q$5:$Q$3004,"&gt;0",ENSAYOS!$G$5:$G$3004,N503)/X503))</f>
        <v/>
      </c>
      <c r="AA503" s="16" t="str">
        <f aca="false">IF(D503="","",IFERROR(1/(1/INDEX(CONFIG!$J$5:$J$14,MATCH(D503,CONFIG!$D$5:$D$14,0))),""))</f>
        <v/>
      </c>
      <c r="AB503" s="16" t="str">
        <f aca="false">IF(D503="","",IFERROR(1/(1/INDEX(CONFIG!$K$5:$K$14,MATCH(D503,CONFIG!$D$5:$D$14,0))),""))</f>
        <v/>
      </c>
      <c r="AC503" s="19" t="str">
        <f aca="false">IF(N(M503)=0,"",IF(AA503="","Sin spec",IF(AND(Y503&gt;=AA503,OR(AB503="",Z503&gt;=AB503)),"CUMPLE","NO CUMPLE")&amp;IF(V503=""," (est.)","")))</f>
        <v/>
      </c>
      <c r="AD503" s="20" t="str">
        <f aca="false">IF(F503="","",IF(COUNTIFS(ABSORCION!$C$5:$C$1004,F503,ABSORCION!$I$5:$I$1004,"&gt;0")=0,"",AVERAGEIFS(ABSORCION!$I$5:$I$1004,ABSORCION!$C$5:$C$1004,F503,ABSORCION!$I$5:$I$1004,"&gt;0")))</f>
        <v/>
      </c>
      <c r="AE503" s="20" t="str">
        <f aca="false">IF(F503="","",IF(COUNTIFS(ABSORCION!$C$5:$C$1004,F503,ABSORCION!$I$5:$I$1004,"&gt;0")=0,"",AVERAGEIFS(ABSORCION!$K$5:$K$1004,ABSORCION!$C$5:$C$1004,F503,ABSORCION!$I$5:$I$1004,"&gt;0")))</f>
        <v/>
      </c>
      <c r="AF503" s="20" t="str">
        <f aca="false">IF(AE503="","",IF(AE503&gt;=CONFIG!$E$21,CONFIG!$F$21,IF(AE503&gt;=CONFIG!$E$20,CONFIG!$F$20,CONFIG!$F$19)))</f>
        <v/>
      </c>
      <c r="AG503" s="21" t="str">
        <f aca="false">IF(F503="","",TRIM(IF(N(M503)=0,"Sin ensayos. ","")&amp;IF(AND(N(M503)&gt;0,N(M503)&lt;CONFIG!$B$26),"Menos de "&amp;CONFIG!$B$26&amp;" probetas. ","")&amp;IF(N(T503)&gt;CONFIG!$B$25,"CV alto. ","")&amp;IF(AND(N(AD503)&gt;0,N(AD503)&gt;N(AF503)),"Absorción alta. ","")))</f>
        <v/>
      </c>
      <c r="AH503" s="22" t="str">
        <f aca="false">IF(AND(N(M503)&gt;0,OR(CONTROL!$C$4="TODAS",C503=CONTROL!$C$4),D503=CONTROL!$C$5),MAX($AH$4:AH502)+1,"")</f>
        <v/>
      </c>
      <c r="AI503" s="22" t="str">
        <f aca="false">IF(AH503="","",P503^2)</f>
        <v/>
      </c>
    </row>
    <row r="504" customFormat="false" ht="15" hidden="false" customHeight="false" outlineLevel="0" collapsed="false">
      <c r="A504" s="11" t="str">
        <f aca="false">IF(B504="","",ROW()-4)</f>
        <v/>
      </c>
      <c r="B504" s="12"/>
      <c r="C504" s="13"/>
      <c r="D504" s="13"/>
      <c r="E504" s="13"/>
      <c r="F504" s="14" t="str">
        <f aca="false">IF(OR(B504="",C504="",D504=""),"",IFERROR(INDEX(CONFIG!$E$5:$E$14,MATCH(D504,CONFIG!$D$5:$D$14,0)),"?")&amp;RIGHT("0"&amp;DAY(B504),2)&amp;RIGHT("0"&amp;MONTH(B504),2)&amp;RIGHT(YEAR(B504),2)&amp;C504&amp;IF(E504="","","-"&amp;E504))</f>
        <v/>
      </c>
      <c r="G504" s="13"/>
      <c r="H504" s="13"/>
      <c r="I504" s="13"/>
      <c r="J504" s="13"/>
      <c r="K504" s="13"/>
      <c r="L504" s="13"/>
      <c r="M504" s="11" t="str">
        <f aca="false">IF(F504="","",COUNTIFS(ENSAYOS!$C$5:$C$3004,F504,ENSAYOS!$Q$5:$Q$3004,"&gt;0"))</f>
        <v/>
      </c>
      <c r="N504" s="15" t="str">
        <f aca="false">IF(N(M504)=0,"",_xlfn.MINIFS(ENSAYOS!$G$5:$G$3004,ENSAYOS!$C$5:$C$3004,F504,ENSAYOS!$Q$5:$Q$3004,"&gt;0"))</f>
        <v/>
      </c>
      <c r="O504" s="15" t="str">
        <f aca="false">IF(N(M504)=0,"",_xlfn.MAXIFS(ENSAYOS!$G$5:$G$3004,ENSAYOS!$C$5:$C$3004,F504,ENSAYOS!$Q$5:$Q$3004,"&gt;0"))</f>
        <v/>
      </c>
      <c r="P504" s="16" t="str">
        <f aca="false">IF(N(M504)=0,"",AVERAGEIFS(ENSAYOS!$Q$5:$Q$3004,ENSAYOS!$C$5:$C$3004,F504,ENSAYOS!$Q$5:$Q$3004,"&gt;0"))</f>
        <v/>
      </c>
      <c r="Q504" s="16" t="str">
        <f aca="false">IF(N(M504)=0,"",_xlfn.MINIFS(ENSAYOS!$Q$5:$Q$3004,ENSAYOS!$C$5:$C$3004,F504,ENSAYOS!$Q$5:$Q$3004,"&gt;0"))</f>
        <v/>
      </c>
      <c r="R504" s="16" t="str">
        <f aca="false">IF(N(M504)=0,"",_xlfn.MAXIFS(ENSAYOS!$Q$5:$Q$3004,ENSAYOS!$C$5:$C$3004,F504,ENSAYOS!$Q$5:$Q$3004,"&gt;0"))</f>
        <v/>
      </c>
      <c r="S504" s="16" t="str">
        <f aca="false">IF(N(M504)&lt;2,"",SQRT(MAX(0,(SUMIFS(ENSAYOS!$X$5:$X$3004,ENSAYOS!$C$5:$C$3004,F504,ENSAYOS!$Q$5:$Q$3004,"&gt;0")-M504*P504^2)/(M504-1))))</f>
        <v/>
      </c>
      <c r="T504" s="17" t="str">
        <f aca="false">IF(S504="","",S504/P504)</f>
        <v/>
      </c>
      <c r="U504" s="16" t="str">
        <f aca="false">IF(N(M504)=0,"",IF(N504&gt;=CONFIG!$B$27,"",AVERAGEIFS(ENSAYOS!$Q$5:$Q$3004,ENSAYOS!$C$5:$C$3004,F504,ENSAYOS!$Q$5:$Q$3004,"&gt;0",ENSAYOS!$G$5:$G$3004,N504)))</f>
        <v/>
      </c>
      <c r="V504" s="16" t="str">
        <f aca="false">IF(N(M504)=0,"",IF(COUNTIFS(ENSAYOS!$C$5:$C$3004,F504,ENSAYOS!$Q$5:$Q$3004,"&gt;0",ENSAYOS!$G$5:$G$3004,"&gt;="&amp;CONFIG!$B$27)=0,"",AVERAGEIFS(ENSAYOS!$Q$5:$Q$3004,ENSAYOS!$C$5:$C$3004,F504,ENSAYOS!$Q$5:$Q$3004,"&gt;0",ENSAYOS!$G$5:$G$3004,"&gt;="&amp;CONFIG!$B$27)))</f>
        <v/>
      </c>
      <c r="W504" s="18" t="str">
        <f aca="false">IF(AND(U504&lt;&gt;"",V504&lt;&gt;""),U504/V504,"")</f>
        <v/>
      </c>
      <c r="X504" s="18" t="str">
        <f aca="false">IF(U504="","",INDEX('CURVA EDAD'!$E$5:$E$32,MIN(28,MAX(1,N504))))</f>
        <v/>
      </c>
      <c r="Y504" s="16" t="str">
        <f aca="false">IF(V504&lt;&gt;"",V504,IF(U504="","",U504/X504))</f>
        <v/>
      </c>
      <c r="Z504" s="16" t="str">
        <f aca="false">IF(V504&lt;&gt;"",_xlfn.MINIFS(ENSAYOS!$Q$5:$Q$3004,ENSAYOS!$C$5:$C$3004,F504,ENSAYOS!$Q$5:$Q$3004,"&gt;0",ENSAYOS!$G$5:$G$3004,"&gt;="&amp;CONFIG!$B$27),IF(U504="","",_xlfn.MINIFS(ENSAYOS!$Q$5:$Q$3004,ENSAYOS!$C$5:$C$3004,F504,ENSAYOS!$Q$5:$Q$3004,"&gt;0",ENSAYOS!$G$5:$G$3004,N504)/X504))</f>
        <v/>
      </c>
      <c r="AA504" s="16" t="str">
        <f aca="false">IF(D504="","",IFERROR(1/(1/INDEX(CONFIG!$J$5:$J$14,MATCH(D504,CONFIG!$D$5:$D$14,0))),""))</f>
        <v/>
      </c>
      <c r="AB504" s="16" t="str">
        <f aca="false">IF(D504="","",IFERROR(1/(1/INDEX(CONFIG!$K$5:$K$14,MATCH(D504,CONFIG!$D$5:$D$14,0))),""))</f>
        <v/>
      </c>
      <c r="AC504" s="19" t="str">
        <f aca="false">IF(N(M504)=0,"",IF(AA504="","Sin spec",IF(AND(Y504&gt;=AA504,OR(AB504="",Z504&gt;=AB504)),"CUMPLE","NO CUMPLE")&amp;IF(V504=""," (est.)","")))</f>
        <v/>
      </c>
      <c r="AD504" s="20" t="str">
        <f aca="false">IF(F504="","",IF(COUNTIFS(ABSORCION!$C$5:$C$1004,F504,ABSORCION!$I$5:$I$1004,"&gt;0")=0,"",AVERAGEIFS(ABSORCION!$I$5:$I$1004,ABSORCION!$C$5:$C$1004,F504,ABSORCION!$I$5:$I$1004,"&gt;0")))</f>
        <v/>
      </c>
      <c r="AE504" s="20" t="str">
        <f aca="false">IF(F504="","",IF(COUNTIFS(ABSORCION!$C$5:$C$1004,F504,ABSORCION!$I$5:$I$1004,"&gt;0")=0,"",AVERAGEIFS(ABSORCION!$K$5:$K$1004,ABSORCION!$C$5:$C$1004,F504,ABSORCION!$I$5:$I$1004,"&gt;0")))</f>
        <v/>
      </c>
      <c r="AF504" s="20" t="str">
        <f aca="false">IF(AE504="","",IF(AE504&gt;=CONFIG!$E$21,CONFIG!$F$21,IF(AE504&gt;=CONFIG!$E$20,CONFIG!$F$20,CONFIG!$F$19)))</f>
        <v/>
      </c>
      <c r="AG504" s="21" t="str">
        <f aca="false">IF(F504="","",TRIM(IF(N(M504)=0,"Sin ensayos. ","")&amp;IF(AND(N(M504)&gt;0,N(M504)&lt;CONFIG!$B$26),"Menos de "&amp;CONFIG!$B$26&amp;" probetas. ","")&amp;IF(N(T504)&gt;CONFIG!$B$25,"CV alto. ","")&amp;IF(AND(N(AD504)&gt;0,N(AD504)&gt;N(AF504)),"Absorción alta. ","")))</f>
        <v/>
      </c>
      <c r="AH504" s="22" t="str">
        <f aca="false">IF(AND(N(M504)&gt;0,OR(CONTROL!$C$4="TODAS",C504=CONTROL!$C$4),D504=CONTROL!$C$5),MAX($AH$4:AH503)+1,"")</f>
        <v/>
      </c>
      <c r="AI504" s="22" t="str">
        <f aca="false">IF(AH504="","",P504^2)</f>
        <v/>
      </c>
    </row>
    <row r="505" customFormat="false" ht="15" hidden="false" customHeight="false" outlineLevel="0" collapsed="false">
      <c r="A505" s="11" t="str">
        <f aca="false">IF(B505="","",ROW()-4)</f>
        <v/>
      </c>
      <c r="B505" s="12"/>
      <c r="C505" s="13"/>
      <c r="D505" s="13"/>
      <c r="E505" s="13"/>
      <c r="F505" s="14" t="str">
        <f aca="false">IF(OR(B505="",C505="",D505=""),"",IFERROR(INDEX(CONFIG!$E$5:$E$14,MATCH(D505,CONFIG!$D$5:$D$14,0)),"?")&amp;RIGHT("0"&amp;DAY(B505),2)&amp;RIGHT("0"&amp;MONTH(B505),2)&amp;RIGHT(YEAR(B505),2)&amp;C505&amp;IF(E505="","","-"&amp;E505))</f>
        <v/>
      </c>
      <c r="G505" s="13"/>
      <c r="H505" s="13"/>
      <c r="I505" s="13"/>
      <c r="J505" s="13"/>
      <c r="K505" s="13"/>
      <c r="L505" s="13"/>
      <c r="M505" s="11" t="str">
        <f aca="false">IF(F505="","",COUNTIFS(ENSAYOS!$C$5:$C$3004,F505,ENSAYOS!$Q$5:$Q$3004,"&gt;0"))</f>
        <v/>
      </c>
      <c r="N505" s="15" t="str">
        <f aca="false">IF(N(M505)=0,"",_xlfn.MINIFS(ENSAYOS!$G$5:$G$3004,ENSAYOS!$C$5:$C$3004,F505,ENSAYOS!$Q$5:$Q$3004,"&gt;0"))</f>
        <v/>
      </c>
      <c r="O505" s="15" t="str">
        <f aca="false">IF(N(M505)=0,"",_xlfn.MAXIFS(ENSAYOS!$G$5:$G$3004,ENSAYOS!$C$5:$C$3004,F505,ENSAYOS!$Q$5:$Q$3004,"&gt;0"))</f>
        <v/>
      </c>
      <c r="P505" s="16" t="str">
        <f aca="false">IF(N(M505)=0,"",AVERAGEIFS(ENSAYOS!$Q$5:$Q$3004,ENSAYOS!$C$5:$C$3004,F505,ENSAYOS!$Q$5:$Q$3004,"&gt;0"))</f>
        <v/>
      </c>
      <c r="Q505" s="16" t="str">
        <f aca="false">IF(N(M505)=0,"",_xlfn.MINIFS(ENSAYOS!$Q$5:$Q$3004,ENSAYOS!$C$5:$C$3004,F505,ENSAYOS!$Q$5:$Q$3004,"&gt;0"))</f>
        <v/>
      </c>
      <c r="R505" s="16" t="str">
        <f aca="false">IF(N(M505)=0,"",_xlfn.MAXIFS(ENSAYOS!$Q$5:$Q$3004,ENSAYOS!$C$5:$C$3004,F505,ENSAYOS!$Q$5:$Q$3004,"&gt;0"))</f>
        <v/>
      </c>
      <c r="S505" s="16" t="str">
        <f aca="false">IF(N(M505)&lt;2,"",SQRT(MAX(0,(SUMIFS(ENSAYOS!$X$5:$X$3004,ENSAYOS!$C$5:$C$3004,F505,ENSAYOS!$Q$5:$Q$3004,"&gt;0")-M505*P505^2)/(M505-1))))</f>
        <v/>
      </c>
      <c r="T505" s="17" t="str">
        <f aca="false">IF(S505="","",S505/P505)</f>
        <v/>
      </c>
      <c r="U505" s="16" t="str">
        <f aca="false">IF(N(M505)=0,"",IF(N505&gt;=CONFIG!$B$27,"",AVERAGEIFS(ENSAYOS!$Q$5:$Q$3004,ENSAYOS!$C$5:$C$3004,F505,ENSAYOS!$Q$5:$Q$3004,"&gt;0",ENSAYOS!$G$5:$G$3004,N505)))</f>
        <v/>
      </c>
      <c r="V505" s="16" t="str">
        <f aca="false">IF(N(M505)=0,"",IF(COUNTIFS(ENSAYOS!$C$5:$C$3004,F505,ENSAYOS!$Q$5:$Q$3004,"&gt;0",ENSAYOS!$G$5:$G$3004,"&gt;="&amp;CONFIG!$B$27)=0,"",AVERAGEIFS(ENSAYOS!$Q$5:$Q$3004,ENSAYOS!$C$5:$C$3004,F505,ENSAYOS!$Q$5:$Q$3004,"&gt;0",ENSAYOS!$G$5:$G$3004,"&gt;="&amp;CONFIG!$B$27)))</f>
        <v/>
      </c>
      <c r="W505" s="18" t="str">
        <f aca="false">IF(AND(U505&lt;&gt;"",V505&lt;&gt;""),U505/V505,"")</f>
        <v/>
      </c>
      <c r="X505" s="18" t="str">
        <f aca="false">IF(U505="","",INDEX('CURVA EDAD'!$E$5:$E$32,MIN(28,MAX(1,N505))))</f>
        <v/>
      </c>
      <c r="Y505" s="16" t="str">
        <f aca="false">IF(V505&lt;&gt;"",V505,IF(U505="","",U505/X505))</f>
        <v/>
      </c>
      <c r="Z505" s="16" t="str">
        <f aca="false">IF(V505&lt;&gt;"",_xlfn.MINIFS(ENSAYOS!$Q$5:$Q$3004,ENSAYOS!$C$5:$C$3004,F505,ENSAYOS!$Q$5:$Q$3004,"&gt;0",ENSAYOS!$G$5:$G$3004,"&gt;="&amp;CONFIG!$B$27),IF(U505="","",_xlfn.MINIFS(ENSAYOS!$Q$5:$Q$3004,ENSAYOS!$C$5:$C$3004,F505,ENSAYOS!$Q$5:$Q$3004,"&gt;0",ENSAYOS!$G$5:$G$3004,N505)/X505))</f>
        <v/>
      </c>
      <c r="AA505" s="16" t="str">
        <f aca="false">IF(D505="","",IFERROR(1/(1/INDEX(CONFIG!$J$5:$J$14,MATCH(D505,CONFIG!$D$5:$D$14,0))),""))</f>
        <v/>
      </c>
      <c r="AB505" s="16" t="str">
        <f aca="false">IF(D505="","",IFERROR(1/(1/INDEX(CONFIG!$K$5:$K$14,MATCH(D505,CONFIG!$D$5:$D$14,0))),""))</f>
        <v/>
      </c>
      <c r="AC505" s="19" t="str">
        <f aca="false">IF(N(M505)=0,"",IF(AA505="","Sin spec",IF(AND(Y505&gt;=AA505,OR(AB505="",Z505&gt;=AB505)),"CUMPLE","NO CUMPLE")&amp;IF(V505=""," (est.)","")))</f>
        <v/>
      </c>
      <c r="AD505" s="20" t="str">
        <f aca="false">IF(F505="","",IF(COUNTIFS(ABSORCION!$C$5:$C$1004,F505,ABSORCION!$I$5:$I$1004,"&gt;0")=0,"",AVERAGEIFS(ABSORCION!$I$5:$I$1004,ABSORCION!$C$5:$C$1004,F505,ABSORCION!$I$5:$I$1004,"&gt;0")))</f>
        <v/>
      </c>
      <c r="AE505" s="20" t="str">
        <f aca="false">IF(F505="","",IF(COUNTIFS(ABSORCION!$C$5:$C$1004,F505,ABSORCION!$I$5:$I$1004,"&gt;0")=0,"",AVERAGEIFS(ABSORCION!$K$5:$K$1004,ABSORCION!$C$5:$C$1004,F505,ABSORCION!$I$5:$I$1004,"&gt;0")))</f>
        <v/>
      </c>
      <c r="AF505" s="20" t="str">
        <f aca="false">IF(AE505="","",IF(AE505&gt;=CONFIG!$E$21,CONFIG!$F$21,IF(AE505&gt;=CONFIG!$E$20,CONFIG!$F$20,CONFIG!$F$19)))</f>
        <v/>
      </c>
      <c r="AG505" s="21" t="str">
        <f aca="false">IF(F505="","",TRIM(IF(N(M505)=0,"Sin ensayos. ","")&amp;IF(AND(N(M505)&gt;0,N(M505)&lt;CONFIG!$B$26),"Menos de "&amp;CONFIG!$B$26&amp;" probetas. ","")&amp;IF(N(T505)&gt;CONFIG!$B$25,"CV alto. ","")&amp;IF(AND(N(AD505)&gt;0,N(AD505)&gt;N(AF505)),"Absorción alta. ","")))</f>
        <v/>
      </c>
      <c r="AH505" s="22" t="str">
        <f aca="false">IF(AND(N(M505)&gt;0,OR(CONTROL!$C$4="TODAS",C505=CONTROL!$C$4),D505=CONTROL!$C$5),MAX($AH$4:AH504)+1,"")</f>
        <v/>
      </c>
      <c r="AI505" s="22" t="str">
        <f aca="false">IF(AH505="","",P505^2)</f>
        <v/>
      </c>
    </row>
    <row r="506" customFormat="false" ht="15" hidden="false" customHeight="false" outlineLevel="0" collapsed="false">
      <c r="A506" s="11" t="str">
        <f aca="false">IF(B506="","",ROW()-4)</f>
        <v/>
      </c>
      <c r="B506" s="12"/>
      <c r="C506" s="13"/>
      <c r="D506" s="13"/>
      <c r="E506" s="13"/>
      <c r="F506" s="14" t="str">
        <f aca="false">IF(OR(B506="",C506="",D506=""),"",IFERROR(INDEX(CONFIG!$E$5:$E$14,MATCH(D506,CONFIG!$D$5:$D$14,0)),"?")&amp;RIGHT("0"&amp;DAY(B506),2)&amp;RIGHT("0"&amp;MONTH(B506),2)&amp;RIGHT(YEAR(B506),2)&amp;C506&amp;IF(E506="","","-"&amp;E506))</f>
        <v/>
      </c>
      <c r="G506" s="13"/>
      <c r="H506" s="13"/>
      <c r="I506" s="13"/>
      <c r="J506" s="13"/>
      <c r="K506" s="13"/>
      <c r="L506" s="13"/>
      <c r="M506" s="11" t="str">
        <f aca="false">IF(F506="","",COUNTIFS(ENSAYOS!$C$5:$C$3004,F506,ENSAYOS!$Q$5:$Q$3004,"&gt;0"))</f>
        <v/>
      </c>
      <c r="N506" s="15" t="str">
        <f aca="false">IF(N(M506)=0,"",_xlfn.MINIFS(ENSAYOS!$G$5:$G$3004,ENSAYOS!$C$5:$C$3004,F506,ENSAYOS!$Q$5:$Q$3004,"&gt;0"))</f>
        <v/>
      </c>
      <c r="O506" s="15" t="str">
        <f aca="false">IF(N(M506)=0,"",_xlfn.MAXIFS(ENSAYOS!$G$5:$G$3004,ENSAYOS!$C$5:$C$3004,F506,ENSAYOS!$Q$5:$Q$3004,"&gt;0"))</f>
        <v/>
      </c>
      <c r="P506" s="16" t="str">
        <f aca="false">IF(N(M506)=0,"",AVERAGEIFS(ENSAYOS!$Q$5:$Q$3004,ENSAYOS!$C$5:$C$3004,F506,ENSAYOS!$Q$5:$Q$3004,"&gt;0"))</f>
        <v/>
      </c>
      <c r="Q506" s="16" t="str">
        <f aca="false">IF(N(M506)=0,"",_xlfn.MINIFS(ENSAYOS!$Q$5:$Q$3004,ENSAYOS!$C$5:$C$3004,F506,ENSAYOS!$Q$5:$Q$3004,"&gt;0"))</f>
        <v/>
      </c>
      <c r="R506" s="16" t="str">
        <f aca="false">IF(N(M506)=0,"",_xlfn.MAXIFS(ENSAYOS!$Q$5:$Q$3004,ENSAYOS!$C$5:$C$3004,F506,ENSAYOS!$Q$5:$Q$3004,"&gt;0"))</f>
        <v/>
      </c>
      <c r="S506" s="16" t="str">
        <f aca="false">IF(N(M506)&lt;2,"",SQRT(MAX(0,(SUMIFS(ENSAYOS!$X$5:$X$3004,ENSAYOS!$C$5:$C$3004,F506,ENSAYOS!$Q$5:$Q$3004,"&gt;0")-M506*P506^2)/(M506-1))))</f>
        <v/>
      </c>
      <c r="T506" s="17" t="str">
        <f aca="false">IF(S506="","",S506/P506)</f>
        <v/>
      </c>
      <c r="U506" s="16" t="str">
        <f aca="false">IF(N(M506)=0,"",IF(N506&gt;=CONFIG!$B$27,"",AVERAGEIFS(ENSAYOS!$Q$5:$Q$3004,ENSAYOS!$C$5:$C$3004,F506,ENSAYOS!$Q$5:$Q$3004,"&gt;0",ENSAYOS!$G$5:$G$3004,N506)))</f>
        <v/>
      </c>
      <c r="V506" s="16" t="str">
        <f aca="false">IF(N(M506)=0,"",IF(COUNTIFS(ENSAYOS!$C$5:$C$3004,F506,ENSAYOS!$Q$5:$Q$3004,"&gt;0",ENSAYOS!$G$5:$G$3004,"&gt;="&amp;CONFIG!$B$27)=0,"",AVERAGEIFS(ENSAYOS!$Q$5:$Q$3004,ENSAYOS!$C$5:$C$3004,F506,ENSAYOS!$Q$5:$Q$3004,"&gt;0",ENSAYOS!$G$5:$G$3004,"&gt;="&amp;CONFIG!$B$27)))</f>
        <v/>
      </c>
      <c r="W506" s="18" t="str">
        <f aca="false">IF(AND(U506&lt;&gt;"",V506&lt;&gt;""),U506/V506,"")</f>
        <v/>
      </c>
      <c r="X506" s="18" t="str">
        <f aca="false">IF(U506="","",INDEX('CURVA EDAD'!$E$5:$E$32,MIN(28,MAX(1,N506))))</f>
        <v/>
      </c>
      <c r="Y506" s="16" t="str">
        <f aca="false">IF(V506&lt;&gt;"",V506,IF(U506="","",U506/X506))</f>
        <v/>
      </c>
      <c r="Z506" s="16" t="str">
        <f aca="false">IF(V506&lt;&gt;"",_xlfn.MINIFS(ENSAYOS!$Q$5:$Q$3004,ENSAYOS!$C$5:$C$3004,F506,ENSAYOS!$Q$5:$Q$3004,"&gt;0",ENSAYOS!$G$5:$G$3004,"&gt;="&amp;CONFIG!$B$27),IF(U506="","",_xlfn.MINIFS(ENSAYOS!$Q$5:$Q$3004,ENSAYOS!$C$5:$C$3004,F506,ENSAYOS!$Q$5:$Q$3004,"&gt;0",ENSAYOS!$G$5:$G$3004,N506)/X506))</f>
        <v/>
      </c>
      <c r="AA506" s="16" t="str">
        <f aca="false">IF(D506="","",IFERROR(1/(1/INDEX(CONFIG!$J$5:$J$14,MATCH(D506,CONFIG!$D$5:$D$14,0))),""))</f>
        <v/>
      </c>
      <c r="AB506" s="16" t="str">
        <f aca="false">IF(D506="","",IFERROR(1/(1/INDEX(CONFIG!$K$5:$K$14,MATCH(D506,CONFIG!$D$5:$D$14,0))),""))</f>
        <v/>
      </c>
      <c r="AC506" s="19" t="str">
        <f aca="false">IF(N(M506)=0,"",IF(AA506="","Sin spec",IF(AND(Y506&gt;=AA506,OR(AB506="",Z506&gt;=AB506)),"CUMPLE","NO CUMPLE")&amp;IF(V506=""," (est.)","")))</f>
        <v/>
      </c>
      <c r="AD506" s="20" t="str">
        <f aca="false">IF(F506="","",IF(COUNTIFS(ABSORCION!$C$5:$C$1004,F506,ABSORCION!$I$5:$I$1004,"&gt;0")=0,"",AVERAGEIFS(ABSORCION!$I$5:$I$1004,ABSORCION!$C$5:$C$1004,F506,ABSORCION!$I$5:$I$1004,"&gt;0")))</f>
        <v/>
      </c>
      <c r="AE506" s="20" t="str">
        <f aca="false">IF(F506="","",IF(COUNTIFS(ABSORCION!$C$5:$C$1004,F506,ABSORCION!$I$5:$I$1004,"&gt;0")=0,"",AVERAGEIFS(ABSORCION!$K$5:$K$1004,ABSORCION!$C$5:$C$1004,F506,ABSORCION!$I$5:$I$1004,"&gt;0")))</f>
        <v/>
      </c>
      <c r="AF506" s="20" t="str">
        <f aca="false">IF(AE506="","",IF(AE506&gt;=CONFIG!$E$21,CONFIG!$F$21,IF(AE506&gt;=CONFIG!$E$20,CONFIG!$F$20,CONFIG!$F$19)))</f>
        <v/>
      </c>
      <c r="AG506" s="21" t="str">
        <f aca="false">IF(F506="","",TRIM(IF(N(M506)=0,"Sin ensayos. ","")&amp;IF(AND(N(M506)&gt;0,N(M506)&lt;CONFIG!$B$26),"Menos de "&amp;CONFIG!$B$26&amp;" probetas. ","")&amp;IF(N(T506)&gt;CONFIG!$B$25,"CV alto. ","")&amp;IF(AND(N(AD506)&gt;0,N(AD506)&gt;N(AF506)),"Absorción alta. ","")))</f>
        <v/>
      </c>
      <c r="AH506" s="22" t="str">
        <f aca="false">IF(AND(N(M506)&gt;0,OR(CONTROL!$C$4="TODAS",C506=CONTROL!$C$4),D506=CONTROL!$C$5),MAX($AH$4:AH505)+1,"")</f>
        <v/>
      </c>
      <c r="AI506" s="22" t="str">
        <f aca="false">IF(AH506="","",P506^2)</f>
        <v/>
      </c>
    </row>
    <row r="507" customFormat="false" ht="15" hidden="false" customHeight="false" outlineLevel="0" collapsed="false">
      <c r="A507" s="11" t="str">
        <f aca="false">IF(B507="","",ROW()-4)</f>
        <v/>
      </c>
      <c r="B507" s="12"/>
      <c r="C507" s="13"/>
      <c r="D507" s="13"/>
      <c r="E507" s="13"/>
      <c r="F507" s="14" t="str">
        <f aca="false">IF(OR(B507="",C507="",D507=""),"",IFERROR(INDEX(CONFIG!$E$5:$E$14,MATCH(D507,CONFIG!$D$5:$D$14,0)),"?")&amp;RIGHT("0"&amp;DAY(B507),2)&amp;RIGHT("0"&amp;MONTH(B507),2)&amp;RIGHT(YEAR(B507),2)&amp;C507&amp;IF(E507="","","-"&amp;E507))</f>
        <v/>
      </c>
      <c r="G507" s="13"/>
      <c r="H507" s="13"/>
      <c r="I507" s="13"/>
      <c r="J507" s="13"/>
      <c r="K507" s="13"/>
      <c r="L507" s="13"/>
      <c r="M507" s="11" t="str">
        <f aca="false">IF(F507="","",COUNTIFS(ENSAYOS!$C$5:$C$3004,F507,ENSAYOS!$Q$5:$Q$3004,"&gt;0"))</f>
        <v/>
      </c>
      <c r="N507" s="15" t="str">
        <f aca="false">IF(N(M507)=0,"",_xlfn.MINIFS(ENSAYOS!$G$5:$G$3004,ENSAYOS!$C$5:$C$3004,F507,ENSAYOS!$Q$5:$Q$3004,"&gt;0"))</f>
        <v/>
      </c>
      <c r="O507" s="15" t="str">
        <f aca="false">IF(N(M507)=0,"",_xlfn.MAXIFS(ENSAYOS!$G$5:$G$3004,ENSAYOS!$C$5:$C$3004,F507,ENSAYOS!$Q$5:$Q$3004,"&gt;0"))</f>
        <v/>
      </c>
      <c r="P507" s="16" t="str">
        <f aca="false">IF(N(M507)=0,"",AVERAGEIFS(ENSAYOS!$Q$5:$Q$3004,ENSAYOS!$C$5:$C$3004,F507,ENSAYOS!$Q$5:$Q$3004,"&gt;0"))</f>
        <v/>
      </c>
      <c r="Q507" s="16" t="str">
        <f aca="false">IF(N(M507)=0,"",_xlfn.MINIFS(ENSAYOS!$Q$5:$Q$3004,ENSAYOS!$C$5:$C$3004,F507,ENSAYOS!$Q$5:$Q$3004,"&gt;0"))</f>
        <v/>
      </c>
      <c r="R507" s="16" t="str">
        <f aca="false">IF(N(M507)=0,"",_xlfn.MAXIFS(ENSAYOS!$Q$5:$Q$3004,ENSAYOS!$C$5:$C$3004,F507,ENSAYOS!$Q$5:$Q$3004,"&gt;0"))</f>
        <v/>
      </c>
      <c r="S507" s="16" t="str">
        <f aca="false">IF(N(M507)&lt;2,"",SQRT(MAX(0,(SUMIFS(ENSAYOS!$X$5:$X$3004,ENSAYOS!$C$5:$C$3004,F507,ENSAYOS!$Q$5:$Q$3004,"&gt;0")-M507*P507^2)/(M507-1))))</f>
        <v/>
      </c>
      <c r="T507" s="17" t="str">
        <f aca="false">IF(S507="","",S507/P507)</f>
        <v/>
      </c>
      <c r="U507" s="16" t="str">
        <f aca="false">IF(N(M507)=0,"",IF(N507&gt;=CONFIG!$B$27,"",AVERAGEIFS(ENSAYOS!$Q$5:$Q$3004,ENSAYOS!$C$5:$C$3004,F507,ENSAYOS!$Q$5:$Q$3004,"&gt;0",ENSAYOS!$G$5:$G$3004,N507)))</f>
        <v/>
      </c>
      <c r="V507" s="16" t="str">
        <f aca="false">IF(N(M507)=0,"",IF(COUNTIFS(ENSAYOS!$C$5:$C$3004,F507,ENSAYOS!$Q$5:$Q$3004,"&gt;0",ENSAYOS!$G$5:$G$3004,"&gt;="&amp;CONFIG!$B$27)=0,"",AVERAGEIFS(ENSAYOS!$Q$5:$Q$3004,ENSAYOS!$C$5:$C$3004,F507,ENSAYOS!$Q$5:$Q$3004,"&gt;0",ENSAYOS!$G$5:$G$3004,"&gt;="&amp;CONFIG!$B$27)))</f>
        <v/>
      </c>
      <c r="W507" s="18" t="str">
        <f aca="false">IF(AND(U507&lt;&gt;"",V507&lt;&gt;""),U507/V507,"")</f>
        <v/>
      </c>
      <c r="X507" s="18" t="str">
        <f aca="false">IF(U507="","",INDEX('CURVA EDAD'!$E$5:$E$32,MIN(28,MAX(1,N507))))</f>
        <v/>
      </c>
      <c r="Y507" s="16" t="str">
        <f aca="false">IF(V507&lt;&gt;"",V507,IF(U507="","",U507/X507))</f>
        <v/>
      </c>
      <c r="Z507" s="16" t="str">
        <f aca="false">IF(V507&lt;&gt;"",_xlfn.MINIFS(ENSAYOS!$Q$5:$Q$3004,ENSAYOS!$C$5:$C$3004,F507,ENSAYOS!$Q$5:$Q$3004,"&gt;0",ENSAYOS!$G$5:$G$3004,"&gt;="&amp;CONFIG!$B$27),IF(U507="","",_xlfn.MINIFS(ENSAYOS!$Q$5:$Q$3004,ENSAYOS!$C$5:$C$3004,F507,ENSAYOS!$Q$5:$Q$3004,"&gt;0",ENSAYOS!$G$5:$G$3004,N507)/X507))</f>
        <v/>
      </c>
      <c r="AA507" s="16" t="str">
        <f aca="false">IF(D507="","",IFERROR(1/(1/INDEX(CONFIG!$J$5:$J$14,MATCH(D507,CONFIG!$D$5:$D$14,0))),""))</f>
        <v/>
      </c>
      <c r="AB507" s="16" t="str">
        <f aca="false">IF(D507="","",IFERROR(1/(1/INDEX(CONFIG!$K$5:$K$14,MATCH(D507,CONFIG!$D$5:$D$14,0))),""))</f>
        <v/>
      </c>
      <c r="AC507" s="19" t="str">
        <f aca="false">IF(N(M507)=0,"",IF(AA507="","Sin spec",IF(AND(Y507&gt;=AA507,OR(AB507="",Z507&gt;=AB507)),"CUMPLE","NO CUMPLE")&amp;IF(V507=""," (est.)","")))</f>
        <v/>
      </c>
      <c r="AD507" s="20" t="str">
        <f aca="false">IF(F507="","",IF(COUNTIFS(ABSORCION!$C$5:$C$1004,F507,ABSORCION!$I$5:$I$1004,"&gt;0")=0,"",AVERAGEIFS(ABSORCION!$I$5:$I$1004,ABSORCION!$C$5:$C$1004,F507,ABSORCION!$I$5:$I$1004,"&gt;0")))</f>
        <v/>
      </c>
      <c r="AE507" s="20" t="str">
        <f aca="false">IF(F507="","",IF(COUNTIFS(ABSORCION!$C$5:$C$1004,F507,ABSORCION!$I$5:$I$1004,"&gt;0")=0,"",AVERAGEIFS(ABSORCION!$K$5:$K$1004,ABSORCION!$C$5:$C$1004,F507,ABSORCION!$I$5:$I$1004,"&gt;0")))</f>
        <v/>
      </c>
      <c r="AF507" s="20" t="str">
        <f aca="false">IF(AE507="","",IF(AE507&gt;=CONFIG!$E$21,CONFIG!$F$21,IF(AE507&gt;=CONFIG!$E$20,CONFIG!$F$20,CONFIG!$F$19)))</f>
        <v/>
      </c>
      <c r="AG507" s="21" t="str">
        <f aca="false">IF(F507="","",TRIM(IF(N(M507)=0,"Sin ensayos. ","")&amp;IF(AND(N(M507)&gt;0,N(M507)&lt;CONFIG!$B$26),"Menos de "&amp;CONFIG!$B$26&amp;" probetas. ","")&amp;IF(N(T507)&gt;CONFIG!$B$25,"CV alto. ","")&amp;IF(AND(N(AD507)&gt;0,N(AD507)&gt;N(AF507)),"Absorción alta. ","")))</f>
        <v/>
      </c>
      <c r="AH507" s="22" t="str">
        <f aca="false">IF(AND(N(M507)&gt;0,OR(CONTROL!$C$4="TODAS",C507=CONTROL!$C$4),D507=CONTROL!$C$5),MAX($AH$4:AH506)+1,"")</f>
        <v/>
      </c>
      <c r="AI507" s="22" t="str">
        <f aca="false">IF(AH507="","",P507^2)</f>
        <v/>
      </c>
    </row>
    <row r="508" customFormat="false" ht="15" hidden="false" customHeight="false" outlineLevel="0" collapsed="false">
      <c r="A508" s="11" t="str">
        <f aca="false">IF(B508="","",ROW()-4)</f>
        <v/>
      </c>
      <c r="B508" s="12"/>
      <c r="C508" s="13"/>
      <c r="D508" s="13"/>
      <c r="E508" s="13"/>
      <c r="F508" s="14" t="str">
        <f aca="false">IF(OR(B508="",C508="",D508=""),"",IFERROR(INDEX(CONFIG!$E$5:$E$14,MATCH(D508,CONFIG!$D$5:$D$14,0)),"?")&amp;RIGHT("0"&amp;DAY(B508),2)&amp;RIGHT("0"&amp;MONTH(B508),2)&amp;RIGHT(YEAR(B508),2)&amp;C508&amp;IF(E508="","","-"&amp;E508))</f>
        <v/>
      </c>
      <c r="G508" s="13"/>
      <c r="H508" s="13"/>
      <c r="I508" s="13"/>
      <c r="J508" s="13"/>
      <c r="K508" s="13"/>
      <c r="L508" s="13"/>
      <c r="M508" s="11" t="str">
        <f aca="false">IF(F508="","",COUNTIFS(ENSAYOS!$C$5:$C$3004,F508,ENSAYOS!$Q$5:$Q$3004,"&gt;0"))</f>
        <v/>
      </c>
      <c r="N508" s="15" t="str">
        <f aca="false">IF(N(M508)=0,"",_xlfn.MINIFS(ENSAYOS!$G$5:$G$3004,ENSAYOS!$C$5:$C$3004,F508,ENSAYOS!$Q$5:$Q$3004,"&gt;0"))</f>
        <v/>
      </c>
      <c r="O508" s="15" t="str">
        <f aca="false">IF(N(M508)=0,"",_xlfn.MAXIFS(ENSAYOS!$G$5:$G$3004,ENSAYOS!$C$5:$C$3004,F508,ENSAYOS!$Q$5:$Q$3004,"&gt;0"))</f>
        <v/>
      </c>
      <c r="P508" s="16" t="str">
        <f aca="false">IF(N(M508)=0,"",AVERAGEIFS(ENSAYOS!$Q$5:$Q$3004,ENSAYOS!$C$5:$C$3004,F508,ENSAYOS!$Q$5:$Q$3004,"&gt;0"))</f>
        <v/>
      </c>
      <c r="Q508" s="16" t="str">
        <f aca="false">IF(N(M508)=0,"",_xlfn.MINIFS(ENSAYOS!$Q$5:$Q$3004,ENSAYOS!$C$5:$C$3004,F508,ENSAYOS!$Q$5:$Q$3004,"&gt;0"))</f>
        <v/>
      </c>
      <c r="R508" s="16" t="str">
        <f aca="false">IF(N(M508)=0,"",_xlfn.MAXIFS(ENSAYOS!$Q$5:$Q$3004,ENSAYOS!$C$5:$C$3004,F508,ENSAYOS!$Q$5:$Q$3004,"&gt;0"))</f>
        <v/>
      </c>
      <c r="S508" s="16" t="str">
        <f aca="false">IF(N(M508)&lt;2,"",SQRT(MAX(0,(SUMIFS(ENSAYOS!$X$5:$X$3004,ENSAYOS!$C$5:$C$3004,F508,ENSAYOS!$Q$5:$Q$3004,"&gt;0")-M508*P508^2)/(M508-1))))</f>
        <v/>
      </c>
      <c r="T508" s="17" t="str">
        <f aca="false">IF(S508="","",S508/P508)</f>
        <v/>
      </c>
      <c r="U508" s="16" t="str">
        <f aca="false">IF(N(M508)=0,"",IF(N508&gt;=CONFIG!$B$27,"",AVERAGEIFS(ENSAYOS!$Q$5:$Q$3004,ENSAYOS!$C$5:$C$3004,F508,ENSAYOS!$Q$5:$Q$3004,"&gt;0",ENSAYOS!$G$5:$G$3004,N508)))</f>
        <v/>
      </c>
      <c r="V508" s="16" t="str">
        <f aca="false">IF(N(M508)=0,"",IF(COUNTIFS(ENSAYOS!$C$5:$C$3004,F508,ENSAYOS!$Q$5:$Q$3004,"&gt;0",ENSAYOS!$G$5:$G$3004,"&gt;="&amp;CONFIG!$B$27)=0,"",AVERAGEIFS(ENSAYOS!$Q$5:$Q$3004,ENSAYOS!$C$5:$C$3004,F508,ENSAYOS!$Q$5:$Q$3004,"&gt;0",ENSAYOS!$G$5:$G$3004,"&gt;="&amp;CONFIG!$B$27)))</f>
        <v/>
      </c>
      <c r="W508" s="18" t="str">
        <f aca="false">IF(AND(U508&lt;&gt;"",V508&lt;&gt;""),U508/V508,"")</f>
        <v/>
      </c>
      <c r="X508" s="18" t="str">
        <f aca="false">IF(U508="","",INDEX('CURVA EDAD'!$E$5:$E$32,MIN(28,MAX(1,N508))))</f>
        <v/>
      </c>
      <c r="Y508" s="16" t="str">
        <f aca="false">IF(V508&lt;&gt;"",V508,IF(U508="","",U508/X508))</f>
        <v/>
      </c>
      <c r="Z508" s="16" t="str">
        <f aca="false">IF(V508&lt;&gt;"",_xlfn.MINIFS(ENSAYOS!$Q$5:$Q$3004,ENSAYOS!$C$5:$C$3004,F508,ENSAYOS!$Q$5:$Q$3004,"&gt;0",ENSAYOS!$G$5:$G$3004,"&gt;="&amp;CONFIG!$B$27),IF(U508="","",_xlfn.MINIFS(ENSAYOS!$Q$5:$Q$3004,ENSAYOS!$C$5:$C$3004,F508,ENSAYOS!$Q$5:$Q$3004,"&gt;0",ENSAYOS!$G$5:$G$3004,N508)/X508))</f>
        <v/>
      </c>
      <c r="AA508" s="16" t="str">
        <f aca="false">IF(D508="","",IFERROR(1/(1/INDEX(CONFIG!$J$5:$J$14,MATCH(D508,CONFIG!$D$5:$D$14,0))),""))</f>
        <v/>
      </c>
      <c r="AB508" s="16" t="str">
        <f aca="false">IF(D508="","",IFERROR(1/(1/INDEX(CONFIG!$K$5:$K$14,MATCH(D508,CONFIG!$D$5:$D$14,0))),""))</f>
        <v/>
      </c>
      <c r="AC508" s="19" t="str">
        <f aca="false">IF(N(M508)=0,"",IF(AA508="","Sin spec",IF(AND(Y508&gt;=AA508,OR(AB508="",Z508&gt;=AB508)),"CUMPLE","NO CUMPLE")&amp;IF(V508=""," (est.)","")))</f>
        <v/>
      </c>
      <c r="AD508" s="20" t="str">
        <f aca="false">IF(F508="","",IF(COUNTIFS(ABSORCION!$C$5:$C$1004,F508,ABSORCION!$I$5:$I$1004,"&gt;0")=0,"",AVERAGEIFS(ABSORCION!$I$5:$I$1004,ABSORCION!$C$5:$C$1004,F508,ABSORCION!$I$5:$I$1004,"&gt;0")))</f>
        <v/>
      </c>
      <c r="AE508" s="20" t="str">
        <f aca="false">IF(F508="","",IF(COUNTIFS(ABSORCION!$C$5:$C$1004,F508,ABSORCION!$I$5:$I$1004,"&gt;0")=0,"",AVERAGEIFS(ABSORCION!$K$5:$K$1004,ABSORCION!$C$5:$C$1004,F508,ABSORCION!$I$5:$I$1004,"&gt;0")))</f>
        <v/>
      </c>
      <c r="AF508" s="20" t="str">
        <f aca="false">IF(AE508="","",IF(AE508&gt;=CONFIG!$E$21,CONFIG!$F$21,IF(AE508&gt;=CONFIG!$E$20,CONFIG!$F$20,CONFIG!$F$19)))</f>
        <v/>
      </c>
      <c r="AG508" s="21" t="str">
        <f aca="false">IF(F508="","",TRIM(IF(N(M508)=0,"Sin ensayos. ","")&amp;IF(AND(N(M508)&gt;0,N(M508)&lt;CONFIG!$B$26),"Menos de "&amp;CONFIG!$B$26&amp;" probetas. ","")&amp;IF(N(T508)&gt;CONFIG!$B$25,"CV alto. ","")&amp;IF(AND(N(AD508)&gt;0,N(AD508)&gt;N(AF508)),"Absorción alta. ","")))</f>
        <v/>
      </c>
      <c r="AH508" s="22" t="str">
        <f aca="false">IF(AND(N(M508)&gt;0,OR(CONTROL!$C$4="TODAS",C508=CONTROL!$C$4),D508=CONTROL!$C$5),MAX($AH$4:AH507)+1,"")</f>
        <v/>
      </c>
      <c r="AI508" s="22" t="str">
        <f aca="false">IF(AH508="","",P508^2)</f>
        <v/>
      </c>
    </row>
    <row r="509" customFormat="false" ht="15" hidden="false" customHeight="false" outlineLevel="0" collapsed="false">
      <c r="A509" s="11" t="str">
        <f aca="false">IF(B509="","",ROW()-4)</f>
        <v/>
      </c>
      <c r="B509" s="12"/>
      <c r="C509" s="13"/>
      <c r="D509" s="13"/>
      <c r="E509" s="13"/>
      <c r="F509" s="14" t="str">
        <f aca="false">IF(OR(B509="",C509="",D509=""),"",IFERROR(INDEX(CONFIG!$E$5:$E$14,MATCH(D509,CONFIG!$D$5:$D$14,0)),"?")&amp;RIGHT("0"&amp;DAY(B509),2)&amp;RIGHT("0"&amp;MONTH(B509),2)&amp;RIGHT(YEAR(B509),2)&amp;C509&amp;IF(E509="","","-"&amp;E509))</f>
        <v/>
      </c>
      <c r="G509" s="13"/>
      <c r="H509" s="13"/>
      <c r="I509" s="13"/>
      <c r="J509" s="13"/>
      <c r="K509" s="13"/>
      <c r="L509" s="13"/>
      <c r="M509" s="11" t="str">
        <f aca="false">IF(F509="","",COUNTIFS(ENSAYOS!$C$5:$C$3004,F509,ENSAYOS!$Q$5:$Q$3004,"&gt;0"))</f>
        <v/>
      </c>
      <c r="N509" s="15" t="str">
        <f aca="false">IF(N(M509)=0,"",_xlfn.MINIFS(ENSAYOS!$G$5:$G$3004,ENSAYOS!$C$5:$C$3004,F509,ENSAYOS!$Q$5:$Q$3004,"&gt;0"))</f>
        <v/>
      </c>
      <c r="O509" s="15" t="str">
        <f aca="false">IF(N(M509)=0,"",_xlfn.MAXIFS(ENSAYOS!$G$5:$G$3004,ENSAYOS!$C$5:$C$3004,F509,ENSAYOS!$Q$5:$Q$3004,"&gt;0"))</f>
        <v/>
      </c>
      <c r="P509" s="16" t="str">
        <f aca="false">IF(N(M509)=0,"",AVERAGEIFS(ENSAYOS!$Q$5:$Q$3004,ENSAYOS!$C$5:$C$3004,F509,ENSAYOS!$Q$5:$Q$3004,"&gt;0"))</f>
        <v/>
      </c>
      <c r="Q509" s="16" t="str">
        <f aca="false">IF(N(M509)=0,"",_xlfn.MINIFS(ENSAYOS!$Q$5:$Q$3004,ENSAYOS!$C$5:$C$3004,F509,ENSAYOS!$Q$5:$Q$3004,"&gt;0"))</f>
        <v/>
      </c>
      <c r="R509" s="16" t="str">
        <f aca="false">IF(N(M509)=0,"",_xlfn.MAXIFS(ENSAYOS!$Q$5:$Q$3004,ENSAYOS!$C$5:$C$3004,F509,ENSAYOS!$Q$5:$Q$3004,"&gt;0"))</f>
        <v/>
      </c>
      <c r="S509" s="16" t="str">
        <f aca="false">IF(N(M509)&lt;2,"",SQRT(MAX(0,(SUMIFS(ENSAYOS!$X$5:$X$3004,ENSAYOS!$C$5:$C$3004,F509,ENSAYOS!$Q$5:$Q$3004,"&gt;0")-M509*P509^2)/(M509-1))))</f>
        <v/>
      </c>
      <c r="T509" s="17" t="str">
        <f aca="false">IF(S509="","",S509/P509)</f>
        <v/>
      </c>
      <c r="U509" s="16" t="str">
        <f aca="false">IF(N(M509)=0,"",IF(N509&gt;=CONFIG!$B$27,"",AVERAGEIFS(ENSAYOS!$Q$5:$Q$3004,ENSAYOS!$C$5:$C$3004,F509,ENSAYOS!$Q$5:$Q$3004,"&gt;0",ENSAYOS!$G$5:$G$3004,N509)))</f>
        <v/>
      </c>
      <c r="V509" s="16" t="str">
        <f aca="false">IF(N(M509)=0,"",IF(COUNTIFS(ENSAYOS!$C$5:$C$3004,F509,ENSAYOS!$Q$5:$Q$3004,"&gt;0",ENSAYOS!$G$5:$G$3004,"&gt;="&amp;CONFIG!$B$27)=0,"",AVERAGEIFS(ENSAYOS!$Q$5:$Q$3004,ENSAYOS!$C$5:$C$3004,F509,ENSAYOS!$Q$5:$Q$3004,"&gt;0",ENSAYOS!$G$5:$G$3004,"&gt;="&amp;CONFIG!$B$27)))</f>
        <v/>
      </c>
      <c r="W509" s="18" t="str">
        <f aca="false">IF(AND(U509&lt;&gt;"",V509&lt;&gt;""),U509/V509,"")</f>
        <v/>
      </c>
      <c r="X509" s="18" t="str">
        <f aca="false">IF(U509="","",INDEX('CURVA EDAD'!$E$5:$E$32,MIN(28,MAX(1,N509))))</f>
        <v/>
      </c>
      <c r="Y509" s="16" t="str">
        <f aca="false">IF(V509&lt;&gt;"",V509,IF(U509="","",U509/X509))</f>
        <v/>
      </c>
      <c r="Z509" s="16" t="str">
        <f aca="false">IF(V509&lt;&gt;"",_xlfn.MINIFS(ENSAYOS!$Q$5:$Q$3004,ENSAYOS!$C$5:$C$3004,F509,ENSAYOS!$Q$5:$Q$3004,"&gt;0",ENSAYOS!$G$5:$G$3004,"&gt;="&amp;CONFIG!$B$27),IF(U509="","",_xlfn.MINIFS(ENSAYOS!$Q$5:$Q$3004,ENSAYOS!$C$5:$C$3004,F509,ENSAYOS!$Q$5:$Q$3004,"&gt;0",ENSAYOS!$G$5:$G$3004,N509)/X509))</f>
        <v/>
      </c>
      <c r="AA509" s="16" t="str">
        <f aca="false">IF(D509="","",IFERROR(1/(1/INDEX(CONFIG!$J$5:$J$14,MATCH(D509,CONFIG!$D$5:$D$14,0))),""))</f>
        <v/>
      </c>
      <c r="AB509" s="16" t="str">
        <f aca="false">IF(D509="","",IFERROR(1/(1/INDEX(CONFIG!$K$5:$K$14,MATCH(D509,CONFIG!$D$5:$D$14,0))),""))</f>
        <v/>
      </c>
      <c r="AC509" s="19" t="str">
        <f aca="false">IF(N(M509)=0,"",IF(AA509="","Sin spec",IF(AND(Y509&gt;=AA509,OR(AB509="",Z509&gt;=AB509)),"CUMPLE","NO CUMPLE")&amp;IF(V509=""," (est.)","")))</f>
        <v/>
      </c>
      <c r="AD509" s="20" t="str">
        <f aca="false">IF(F509="","",IF(COUNTIFS(ABSORCION!$C$5:$C$1004,F509,ABSORCION!$I$5:$I$1004,"&gt;0")=0,"",AVERAGEIFS(ABSORCION!$I$5:$I$1004,ABSORCION!$C$5:$C$1004,F509,ABSORCION!$I$5:$I$1004,"&gt;0")))</f>
        <v/>
      </c>
      <c r="AE509" s="20" t="str">
        <f aca="false">IF(F509="","",IF(COUNTIFS(ABSORCION!$C$5:$C$1004,F509,ABSORCION!$I$5:$I$1004,"&gt;0")=0,"",AVERAGEIFS(ABSORCION!$K$5:$K$1004,ABSORCION!$C$5:$C$1004,F509,ABSORCION!$I$5:$I$1004,"&gt;0")))</f>
        <v/>
      </c>
      <c r="AF509" s="20" t="str">
        <f aca="false">IF(AE509="","",IF(AE509&gt;=CONFIG!$E$21,CONFIG!$F$21,IF(AE509&gt;=CONFIG!$E$20,CONFIG!$F$20,CONFIG!$F$19)))</f>
        <v/>
      </c>
      <c r="AG509" s="21" t="str">
        <f aca="false">IF(F509="","",TRIM(IF(N(M509)=0,"Sin ensayos. ","")&amp;IF(AND(N(M509)&gt;0,N(M509)&lt;CONFIG!$B$26),"Menos de "&amp;CONFIG!$B$26&amp;" probetas. ","")&amp;IF(N(T509)&gt;CONFIG!$B$25,"CV alto. ","")&amp;IF(AND(N(AD509)&gt;0,N(AD509)&gt;N(AF509)),"Absorción alta. ","")))</f>
        <v/>
      </c>
      <c r="AH509" s="22" t="str">
        <f aca="false">IF(AND(N(M509)&gt;0,OR(CONTROL!$C$4="TODAS",C509=CONTROL!$C$4),D509=CONTROL!$C$5),MAX($AH$4:AH508)+1,"")</f>
        <v/>
      </c>
      <c r="AI509" s="22" t="str">
        <f aca="false">IF(AH509="","",P509^2)</f>
        <v/>
      </c>
    </row>
    <row r="510" customFormat="false" ht="15" hidden="false" customHeight="false" outlineLevel="0" collapsed="false">
      <c r="A510" s="11" t="str">
        <f aca="false">IF(B510="","",ROW()-4)</f>
        <v/>
      </c>
      <c r="B510" s="12"/>
      <c r="C510" s="13"/>
      <c r="D510" s="13"/>
      <c r="E510" s="13"/>
      <c r="F510" s="14" t="str">
        <f aca="false">IF(OR(B510="",C510="",D510=""),"",IFERROR(INDEX(CONFIG!$E$5:$E$14,MATCH(D510,CONFIG!$D$5:$D$14,0)),"?")&amp;RIGHT("0"&amp;DAY(B510),2)&amp;RIGHT("0"&amp;MONTH(B510),2)&amp;RIGHT(YEAR(B510),2)&amp;C510&amp;IF(E510="","","-"&amp;E510))</f>
        <v/>
      </c>
      <c r="G510" s="13"/>
      <c r="H510" s="13"/>
      <c r="I510" s="13"/>
      <c r="J510" s="13"/>
      <c r="K510" s="13"/>
      <c r="L510" s="13"/>
      <c r="M510" s="11" t="str">
        <f aca="false">IF(F510="","",COUNTIFS(ENSAYOS!$C$5:$C$3004,F510,ENSAYOS!$Q$5:$Q$3004,"&gt;0"))</f>
        <v/>
      </c>
      <c r="N510" s="15" t="str">
        <f aca="false">IF(N(M510)=0,"",_xlfn.MINIFS(ENSAYOS!$G$5:$G$3004,ENSAYOS!$C$5:$C$3004,F510,ENSAYOS!$Q$5:$Q$3004,"&gt;0"))</f>
        <v/>
      </c>
      <c r="O510" s="15" t="str">
        <f aca="false">IF(N(M510)=0,"",_xlfn.MAXIFS(ENSAYOS!$G$5:$G$3004,ENSAYOS!$C$5:$C$3004,F510,ENSAYOS!$Q$5:$Q$3004,"&gt;0"))</f>
        <v/>
      </c>
      <c r="P510" s="16" t="str">
        <f aca="false">IF(N(M510)=0,"",AVERAGEIFS(ENSAYOS!$Q$5:$Q$3004,ENSAYOS!$C$5:$C$3004,F510,ENSAYOS!$Q$5:$Q$3004,"&gt;0"))</f>
        <v/>
      </c>
      <c r="Q510" s="16" t="str">
        <f aca="false">IF(N(M510)=0,"",_xlfn.MINIFS(ENSAYOS!$Q$5:$Q$3004,ENSAYOS!$C$5:$C$3004,F510,ENSAYOS!$Q$5:$Q$3004,"&gt;0"))</f>
        <v/>
      </c>
      <c r="R510" s="16" t="str">
        <f aca="false">IF(N(M510)=0,"",_xlfn.MAXIFS(ENSAYOS!$Q$5:$Q$3004,ENSAYOS!$C$5:$C$3004,F510,ENSAYOS!$Q$5:$Q$3004,"&gt;0"))</f>
        <v/>
      </c>
      <c r="S510" s="16" t="str">
        <f aca="false">IF(N(M510)&lt;2,"",SQRT(MAX(0,(SUMIFS(ENSAYOS!$X$5:$X$3004,ENSAYOS!$C$5:$C$3004,F510,ENSAYOS!$Q$5:$Q$3004,"&gt;0")-M510*P510^2)/(M510-1))))</f>
        <v/>
      </c>
      <c r="T510" s="17" t="str">
        <f aca="false">IF(S510="","",S510/P510)</f>
        <v/>
      </c>
      <c r="U510" s="16" t="str">
        <f aca="false">IF(N(M510)=0,"",IF(N510&gt;=CONFIG!$B$27,"",AVERAGEIFS(ENSAYOS!$Q$5:$Q$3004,ENSAYOS!$C$5:$C$3004,F510,ENSAYOS!$Q$5:$Q$3004,"&gt;0",ENSAYOS!$G$5:$G$3004,N510)))</f>
        <v/>
      </c>
      <c r="V510" s="16" t="str">
        <f aca="false">IF(N(M510)=0,"",IF(COUNTIFS(ENSAYOS!$C$5:$C$3004,F510,ENSAYOS!$Q$5:$Q$3004,"&gt;0",ENSAYOS!$G$5:$G$3004,"&gt;="&amp;CONFIG!$B$27)=0,"",AVERAGEIFS(ENSAYOS!$Q$5:$Q$3004,ENSAYOS!$C$5:$C$3004,F510,ENSAYOS!$Q$5:$Q$3004,"&gt;0",ENSAYOS!$G$5:$G$3004,"&gt;="&amp;CONFIG!$B$27)))</f>
        <v/>
      </c>
      <c r="W510" s="18" t="str">
        <f aca="false">IF(AND(U510&lt;&gt;"",V510&lt;&gt;""),U510/V510,"")</f>
        <v/>
      </c>
      <c r="X510" s="18" t="str">
        <f aca="false">IF(U510="","",INDEX('CURVA EDAD'!$E$5:$E$32,MIN(28,MAX(1,N510))))</f>
        <v/>
      </c>
      <c r="Y510" s="16" t="str">
        <f aca="false">IF(V510&lt;&gt;"",V510,IF(U510="","",U510/X510))</f>
        <v/>
      </c>
      <c r="Z510" s="16" t="str">
        <f aca="false">IF(V510&lt;&gt;"",_xlfn.MINIFS(ENSAYOS!$Q$5:$Q$3004,ENSAYOS!$C$5:$C$3004,F510,ENSAYOS!$Q$5:$Q$3004,"&gt;0",ENSAYOS!$G$5:$G$3004,"&gt;="&amp;CONFIG!$B$27),IF(U510="","",_xlfn.MINIFS(ENSAYOS!$Q$5:$Q$3004,ENSAYOS!$C$5:$C$3004,F510,ENSAYOS!$Q$5:$Q$3004,"&gt;0",ENSAYOS!$G$5:$G$3004,N510)/X510))</f>
        <v/>
      </c>
      <c r="AA510" s="16" t="str">
        <f aca="false">IF(D510="","",IFERROR(1/(1/INDEX(CONFIG!$J$5:$J$14,MATCH(D510,CONFIG!$D$5:$D$14,0))),""))</f>
        <v/>
      </c>
      <c r="AB510" s="16" t="str">
        <f aca="false">IF(D510="","",IFERROR(1/(1/INDEX(CONFIG!$K$5:$K$14,MATCH(D510,CONFIG!$D$5:$D$14,0))),""))</f>
        <v/>
      </c>
      <c r="AC510" s="19" t="str">
        <f aca="false">IF(N(M510)=0,"",IF(AA510="","Sin spec",IF(AND(Y510&gt;=AA510,OR(AB510="",Z510&gt;=AB510)),"CUMPLE","NO CUMPLE")&amp;IF(V510=""," (est.)","")))</f>
        <v/>
      </c>
      <c r="AD510" s="20" t="str">
        <f aca="false">IF(F510="","",IF(COUNTIFS(ABSORCION!$C$5:$C$1004,F510,ABSORCION!$I$5:$I$1004,"&gt;0")=0,"",AVERAGEIFS(ABSORCION!$I$5:$I$1004,ABSORCION!$C$5:$C$1004,F510,ABSORCION!$I$5:$I$1004,"&gt;0")))</f>
        <v/>
      </c>
      <c r="AE510" s="20" t="str">
        <f aca="false">IF(F510="","",IF(COUNTIFS(ABSORCION!$C$5:$C$1004,F510,ABSORCION!$I$5:$I$1004,"&gt;0")=0,"",AVERAGEIFS(ABSORCION!$K$5:$K$1004,ABSORCION!$C$5:$C$1004,F510,ABSORCION!$I$5:$I$1004,"&gt;0")))</f>
        <v/>
      </c>
      <c r="AF510" s="20" t="str">
        <f aca="false">IF(AE510="","",IF(AE510&gt;=CONFIG!$E$21,CONFIG!$F$21,IF(AE510&gt;=CONFIG!$E$20,CONFIG!$F$20,CONFIG!$F$19)))</f>
        <v/>
      </c>
      <c r="AG510" s="21" t="str">
        <f aca="false">IF(F510="","",TRIM(IF(N(M510)=0,"Sin ensayos. ","")&amp;IF(AND(N(M510)&gt;0,N(M510)&lt;CONFIG!$B$26),"Menos de "&amp;CONFIG!$B$26&amp;" probetas. ","")&amp;IF(N(T510)&gt;CONFIG!$B$25,"CV alto. ","")&amp;IF(AND(N(AD510)&gt;0,N(AD510)&gt;N(AF510)),"Absorción alta. ","")))</f>
        <v/>
      </c>
      <c r="AH510" s="22" t="str">
        <f aca="false">IF(AND(N(M510)&gt;0,OR(CONTROL!$C$4="TODAS",C510=CONTROL!$C$4),D510=CONTROL!$C$5),MAX($AH$4:AH509)+1,"")</f>
        <v/>
      </c>
      <c r="AI510" s="22" t="str">
        <f aca="false">IF(AH510="","",P510^2)</f>
        <v/>
      </c>
    </row>
    <row r="511" customFormat="false" ht="15" hidden="false" customHeight="false" outlineLevel="0" collapsed="false">
      <c r="A511" s="11" t="str">
        <f aca="false">IF(B511="","",ROW()-4)</f>
        <v/>
      </c>
      <c r="B511" s="12"/>
      <c r="C511" s="13"/>
      <c r="D511" s="13"/>
      <c r="E511" s="13"/>
      <c r="F511" s="14" t="str">
        <f aca="false">IF(OR(B511="",C511="",D511=""),"",IFERROR(INDEX(CONFIG!$E$5:$E$14,MATCH(D511,CONFIG!$D$5:$D$14,0)),"?")&amp;RIGHT("0"&amp;DAY(B511),2)&amp;RIGHT("0"&amp;MONTH(B511),2)&amp;RIGHT(YEAR(B511),2)&amp;C511&amp;IF(E511="","","-"&amp;E511))</f>
        <v/>
      </c>
      <c r="G511" s="13"/>
      <c r="H511" s="13"/>
      <c r="I511" s="13"/>
      <c r="J511" s="13"/>
      <c r="K511" s="13"/>
      <c r="L511" s="13"/>
      <c r="M511" s="11" t="str">
        <f aca="false">IF(F511="","",COUNTIFS(ENSAYOS!$C$5:$C$3004,F511,ENSAYOS!$Q$5:$Q$3004,"&gt;0"))</f>
        <v/>
      </c>
      <c r="N511" s="15" t="str">
        <f aca="false">IF(N(M511)=0,"",_xlfn.MINIFS(ENSAYOS!$G$5:$G$3004,ENSAYOS!$C$5:$C$3004,F511,ENSAYOS!$Q$5:$Q$3004,"&gt;0"))</f>
        <v/>
      </c>
      <c r="O511" s="15" t="str">
        <f aca="false">IF(N(M511)=0,"",_xlfn.MAXIFS(ENSAYOS!$G$5:$G$3004,ENSAYOS!$C$5:$C$3004,F511,ENSAYOS!$Q$5:$Q$3004,"&gt;0"))</f>
        <v/>
      </c>
      <c r="P511" s="16" t="str">
        <f aca="false">IF(N(M511)=0,"",AVERAGEIFS(ENSAYOS!$Q$5:$Q$3004,ENSAYOS!$C$5:$C$3004,F511,ENSAYOS!$Q$5:$Q$3004,"&gt;0"))</f>
        <v/>
      </c>
      <c r="Q511" s="16" t="str">
        <f aca="false">IF(N(M511)=0,"",_xlfn.MINIFS(ENSAYOS!$Q$5:$Q$3004,ENSAYOS!$C$5:$C$3004,F511,ENSAYOS!$Q$5:$Q$3004,"&gt;0"))</f>
        <v/>
      </c>
      <c r="R511" s="16" t="str">
        <f aca="false">IF(N(M511)=0,"",_xlfn.MAXIFS(ENSAYOS!$Q$5:$Q$3004,ENSAYOS!$C$5:$C$3004,F511,ENSAYOS!$Q$5:$Q$3004,"&gt;0"))</f>
        <v/>
      </c>
      <c r="S511" s="16" t="str">
        <f aca="false">IF(N(M511)&lt;2,"",SQRT(MAX(0,(SUMIFS(ENSAYOS!$X$5:$X$3004,ENSAYOS!$C$5:$C$3004,F511,ENSAYOS!$Q$5:$Q$3004,"&gt;0")-M511*P511^2)/(M511-1))))</f>
        <v/>
      </c>
      <c r="T511" s="17" t="str">
        <f aca="false">IF(S511="","",S511/P511)</f>
        <v/>
      </c>
      <c r="U511" s="16" t="str">
        <f aca="false">IF(N(M511)=0,"",IF(N511&gt;=CONFIG!$B$27,"",AVERAGEIFS(ENSAYOS!$Q$5:$Q$3004,ENSAYOS!$C$5:$C$3004,F511,ENSAYOS!$Q$5:$Q$3004,"&gt;0",ENSAYOS!$G$5:$G$3004,N511)))</f>
        <v/>
      </c>
      <c r="V511" s="16" t="str">
        <f aca="false">IF(N(M511)=0,"",IF(COUNTIFS(ENSAYOS!$C$5:$C$3004,F511,ENSAYOS!$Q$5:$Q$3004,"&gt;0",ENSAYOS!$G$5:$G$3004,"&gt;="&amp;CONFIG!$B$27)=0,"",AVERAGEIFS(ENSAYOS!$Q$5:$Q$3004,ENSAYOS!$C$5:$C$3004,F511,ENSAYOS!$Q$5:$Q$3004,"&gt;0",ENSAYOS!$G$5:$G$3004,"&gt;="&amp;CONFIG!$B$27)))</f>
        <v/>
      </c>
      <c r="W511" s="18" t="str">
        <f aca="false">IF(AND(U511&lt;&gt;"",V511&lt;&gt;""),U511/V511,"")</f>
        <v/>
      </c>
      <c r="X511" s="18" t="str">
        <f aca="false">IF(U511="","",INDEX('CURVA EDAD'!$E$5:$E$32,MIN(28,MAX(1,N511))))</f>
        <v/>
      </c>
      <c r="Y511" s="16" t="str">
        <f aca="false">IF(V511&lt;&gt;"",V511,IF(U511="","",U511/X511))</f>
        <v/>
      </c>
      <c r="Z511" s="16" t="str">
        <f aca="false">IF(V511&lt;&gt;"",_xlfn.MINIFS(ENSAYOS!$Q$5:$Q$3004,ENSAYOS!$C$5:$C$3004,F511,ENSAYOS!$Q$5:$Q$3004,"&gt;0",ENSAYOS!$G$5:$G$3004,"&gt;="&amp;CONFIG!$B$27),IF(U511="","",_xlfn.MINIFS(ENSAYOS!$Q$5:$Q$3004,ENSAYOS!$C$5:$C$3004,F511,ENSAYOS!$Q$5:$Q$3004,"&gt;0",ENSAYOS!$G$5:$G$3004,N511)/X511))</f>
        <v/>
      </c>
      <c r="AA511" s="16" t="str">
        <f aca="false">IF(D511="","",IFERROR(1/(1/INDEX(CONFIG!$J$5:$J$14,MATCH(D511,CONFIG!$D$5:$D$14,0))),""))</f>
        <v/>
      </c>
      <c r="AB511" s="16" t="str">
        <f aca="false">IF(D511="","",IFERROR(1/(1/INDEX(CONFIG!$K$5:$K$14,MATCH(D511,CONFIG!$D$5:$D$14,0))),""))</f>
        <v/>
      </c>
      <c r="AC511" s="19" t="str">
        <f aca="false">IF(N(M511)=0,"",IF(AA511="","Sin spec",IF(AND(Y511&gt;=AA511,OR(AB511="",Z511&gt;=AB511)),"CUMPLE","NO CUMPLE")&amp;IF(V511=""," (est.)","")))</f>
        <v/>
      </c>
      <c r="AD511" s="20" t="str">
        <f aca="false">IF(F511="","",IF(COUNTIFS(ABSORCION!$C$5:$C$1004,F511,ABSORCION!$I$5:$I$1004,"&gt;0")=0,"",AVERAGEIFS(ABSORCION!$I$5:$I$1004,ABSORCION!$C$5:$C$1004,F511,ABSORCION!$I$5:$I$1004,"&gt;0")))</f>
        <v/>
      </c>
      <c r="AE511" s="20" t="str">
        <f aca="false">IF(F511="","",IF(COUNTIFS(ABSORCION!$C$5:$C$1004,F511,ABSORCION!$I$5:$I$1004,"&gt;0")=0,"",AVERAGEIFS(ABSORCION!$K$5:$K$1004,ABSORCION!$C$5:$C$1004,F511,ABSORCION!$I$5:$I$1004,"&gt;0")))</f>
        <v/>
      </c>
      <c r="AF511" s="20" t="str">
        <f aca="false">IF(AE511="","",IF(AE511&gt;=CONFIG!$E$21,CONFIG!$F$21,IF(AE511&gt;=CONFIG!$E$20,CONFIG!$F$20,CONFIG!$F$19)))</f>
        <v/>
      </c>
      <c r="AG511" s="21" t="str">
        <f aca="false">IF(F511="","",TRIM(IF(N(M511)=0,"Sin ensayos. ","")&amp;IF(AND(N(M511)&gt;0,N(M511)&lt;CONFIG!$B$26),"Menos de "&amp;CONFIG!$B$26&amp;" probetas. ","")&amp;IF(N(T511)&gt;CONFIG!$B$25,"CV alto. ","")&amp;IF(AND(N(AD511)&gt;0,N(AD511)&gt;N(AF511)),"Absorción alta. ","")))</f>
        <v/>
      </c>
      <c r="AH511" s="22" t="str">
        <f aca="false">IF(AND(N(M511)&gt;0,OR(CONTROL!$C$4="TODAS",C511=CONTROL!$C$4),D511=CONTROL!$C$5),MAX($AH$4:AH510)+1,"")</f>
        <v/>
      </c>
      <c r="AI511" s="22" t="str">
        <f aca="false">IF(AH511="","",P511^2)</f>
        <v/>
      </c>
    </row>
    <row r="512" customFormat="false" ht="15" hidden="false" customHeight="false" outlineLevel="0" collapsed="false">
      <c r="A512" s="11" t="str">
        <f aca="false">IF(B512="","",ROW()-4)</f>
        <v/>
      </c>
      <c r="B512" s="12"/>
      <c r="C512" s="13"/>
      <c r="D512" s="13"/>
      <c r="E512" s="13"/>
      <c r="F512" s="14" t="str">
        <f aca="false">IF(OR(B512="",C512="",D512=""),"",IFERROR(INDEX(CONFIG!$E$5:$E$14,MATCH(D512,CONFIG!$D$5:$D$14,0)),"?")&amp;RIGHT("0"&amp;DAY(B512),2)&amp;RIGHT("0"&amp;MONTH(B512),2)&amp;RIGHT(YEAR(B512),2)&amp;C512&amp;IF(E512="","","-"&amp;E512))</f>
        <v/>
      </c>
      <c r="G512" s="13"/>
      <c r="H512" s="13"/>
      <c r="I512" s="13"/>
      <c r="J512" s="13"/>
      <c r="K512" s="13"/>
      <c r="L512" s="13"/>
      <c r="M512" s="11" t="str">
        <f aca="false">IF(F512="","",COUNTIFS(ENSAYOS!$C$5:$C$3004,F512,ENSAYOS!$Q$5:$Q$3004,"&gt;0"))</f>
        <v/>
      </c>
      <c r="N512" s="15" t="str">
        <f aca="false">IF(N(M512)=0,"",_xlfn.MINIFS(ENSAYOS!$G$5:$G$3004,ENSAYOS!$C$5:$C$3004,F512,ENSAYOS!$Q$5:$Q$3004,"&gt;0"))</f>
        <v/>
      </c>
      <c r="O512" s="15" t="str">
        <f aca="false">IF(N(M512)=0,"",_xlfn.MAXIFS(ENSAYOS!$G$5:$G$3004,ENSAYOS!$C$5:$C$3004,F512,ENSAYOS!$Q$5:$Q$3004,"&gt;0"))</f>
        <v/>
      </c>
      <c r="P512" s="16" t="str">
        <f aca="false">IF(N(M512)=0,"",AVERAGEIFS(ENSAYOS!$Q$5:$Q$3004,ENSAYOS!$C$5:$C$3004,F512,ENSAYOS!$Q$5:$Q$3004,"&gt;0"))</f>
        <v/>
      </c>
      <c r="Q512" s="16" t="str">
        <f aca="false">IF(N(M512)=0,"",_xlfn.MINIFS(ENSAYOS!$Q$5:$Q$3004,ENSAYOS!$C$5:$C$3004,F512,ENSAYOS!$Q$5:$Q$3004,"&gt;0"))</f>
        <v/>
      </c>
      <c r="R512" s="16" t="str">
        <f aca="false">IF(N(M512)=0,"",_xlfn.MAXIFS(ENSAYOS!$Q$5:$Q$3004,ENSAYOS!$C$5:$C$3004,F512,ENSAYOS!$Q$5:$Q$3004,"&gt;0"))</f>
        <v/>
      </c>
      <c r="S512" s="16" t="str">
        <f aca="false">IF(N(M512)&lt;2,"",SQRT(MAX(0,(SUMIFS(ENSAYOS!$X$5:$X$3004,ENSAYOS!$C$5:$C$3004,F512,ENSAYOS!$Q$5:$Q$3004,"&gt;0")-M512*P512^2)/(M512-1))))</f>
        <v/>
      </c>
      <c r="T512" s="17" t="str">
        <f aca="false">IF(S512="","",S512/P512)</f>
        <v/>
      </c>
      <c r="U512" s="16" t="str">
        <f aca="false">IF(N(M512)=0,"",IF(N512&gt;=CONFIG!$B$27,"",AVERAGEIFS(ENSAYOS!$Q$5:$Q$3004,ENSAYOS!$C$5:$C$3004,F512,ENSAYOS!$Q$5:$Q$3004,"&gt;0",ENSAYOS!$G$5:$G$3004,N512)))</f>
        <v/>
      </c>
      <c r="V512" s="16" t="str">
        <f aca="false">IF(N(M512)=0,"",IF(COUNTIFS(ENSAYOS!$C$5:$C$3004,F512,ENSAYOS!$Q$5:$Q$3004,"&gt;0",ENSAYOS!$G$5:$G$3004,"&gt;="&amp;CONFIG!$B$27)=0,"",AVERAGEIFS(ENSAYOS!$Q$5:$Q$3004,ENSAYOS!$C$5:$C$3004,F512,ENSAYOS!$Q$5:$Q$3004,"&gt;0",ENSAYOS!$G$5:$G$3004,"&gt;="&amp;CONFIG!$B$27)))</f>
        <v/>
      </c>
      <c r="W512" s="18" t="str">
        <f aca="false">IF(AND(U512&lt;&gt;"",V512&lt;&gt;""),U512/V512,"")</f>
        <v/>
      </c>
      <c r="X512" s="18" t="str">
        <f aca="false">IF(U512="","",INDEX('CURVA EDAD'!$E$5:$E$32,MIN(28,MAX(1,N512))))</f>
        <v/>
      </c>
      <c r="Y512" s="16" t="str">
        <f aca="false">IF(V512&lt;&gt;"",V512,IF(U512="","",U512/X512))</f>
        <v/>
      </c>
      <c r="Z512" s="16" t="str">
        <f aca="false">IF(V512&lt;&gt;"",_xlfn.MINIFS(ENSAYOS!$Q$5:$Q$3004,ENSAYOS!$C$5:$C$3004,F512,ENSAYOS!$Q$5:$Q$3004,"&gt;0",ENSAYOS!$G$5:$G$3004,"&gt;="&amp;CONFIG!$B$27),IF(U512="","",_xlfn.MINIFS(ENSAYOS!$Q$5:$Q$3004,ENSAYOS!$C$5:$C$3004,F512,ENSAYOS!$Q$5:$Q$3004,"&gt;0",ENSAYOS!$G$5:$G$3004,N512)/X512))</f>
        <v/>
      </c>
      <c r="AA512" s="16" t="str">
        <f aca="false">IF(D512="","",IFERROR(1/(1/INDEX(CONFIG!$J$5:$J$14,MATCH(D512,CONFIG!$D$5:$D$14,0))),""))</f>
        <v/>
      </c>
      <c r="AB512" s="16" t="str">
        <f aca="false">IF(D512="","",IFERROR(1/(1/INDEX(CONFIG!$K$5:$K$14,MATCH(D512,CONFIG!$D$5:$D$14,0))),""))</f>
        <v/>
      </c>
      <c r="AC512" s="19" t="str">
        <f aca="false">IF(N(M512)=0,"",IF(AA512="","Sin spec",IF(AND(Y512&gt;=AA512,OR(AB512="",Z512&gt;=AB512)),"CUMPLE","NO CUMPLE")&amp;IF(V512=""," (est.)","")))</f>
        <v/>
      </c>
      <c r="AD512" s="20" t="str">
        <f aca="false">IF(F512="","",IF(COUNTIFS(ABSORCION!$C$5:$C$1004,F512,ABSORCION!$I$5:$I$1004,"&gt;0")=0,"",AVERAGEIFS(ABSORCION!$I$5:$I$1004,ABSORCION!$C$5:$C$1004,F512,ABSORCION!$I$5:$I$1004,"&gt;0")))</f>
        <v/>
      </c>
      <c r="AE512" s="20" t="str">
        <f aca="false">IF(F512="","",IF(COUNTIFS(ABSORCION!$C$5:$C$1004,F512,ABSORCION!$I$5:$I$1004,"&gt;0")=0,"",AVERAGEIFS(ABSORCION!$K$5:$K$1004,ABSORCION!$C$5:$C$1004,F512,ABSORCION!$I$5:$I$1004,"&gt;0")))</f>
        <v/>
      </c>
      <c r="AF512" s="20" t="str">
        <f aca="false">IF(AE512="","",IF(AE512&gt;=CONFIG!$E$21,CONFIG!$F$21,IF(AE512&gt;=CONFIG!$E$20,CONFIG!$F$20,CONFIG!$F$19)))</f>
        <v/>
      </c>
      <c r="AG512" s="21" t="str">
        <f aca="false">IF(F512="","",TRIM(IF(N(M512)=0,"Sin ensayos. ","")&amp;IF(AND(N(M512)&gt;0,N(M512)&lt;CONFIG!$B$26),"Menos de "&amp;CONFIG!$B$26&amp;" probetas. ","")&amp;IF(N(T512)&gt;CONFIG!$B$25,"CV alto. ","")&amp;IF(AND(N(AD512)&gt;0,N(AD512)&gt;N(AF512)),"Absorción alta. ","")))</f>
        <v/>
      </c>
      <c r="AH512" s="22" t="str">
        <f aca="false">IF(AND(N(M512)&gt;0,OR(CONTROL!$C$4="TODAS",C512=CONTROL!$C$4),D512=CONTROL!$C$5),MAX($AH$4:AH511)+1,"")</f>
        <v/>
      </c>
      <c r="AI512" s="22" t="str">
        <f aca="false">IF(AH512="","",P512^2)</f>
        <v/>
      </c>
    </row>
    <row r="513" customFormat="false" ht="15" hidden="false" customHeight="false" outlineLevel="0" collapsed="false">
      <c r="A513" s="11" t="str">
        <f aca="false">IF(B513="","",ROW()-4)</f>
        <v/>
      </c>
      <c r="B513" s="12"/>
      <c r="C513" s="13"/>
      <c r="D513" s="13"/>
      <c r="E513" s="13"/>
      <c r="F513" s="14" t="str">
        <f aca="false">IF(OR(B513="",C513="",D513=""),"",IFERROR(INDEX(CONFIG!$E$5:$E$14,MATCH(D513,CONFIG!$D$5:$D$14,0)),"?")&amp;RIGHT("0"&amp;DAY(B513),2)&amp;RIGHT("0"&amp;MONTH(B513),2)&amp;RIGHT(YEAR(B513),2)&amp;C513&amp;IF(E513="","","-"&amp;E513))</f>
        <v/>
      </c>
      <c r="G513" s="13"/>
      <c r="H513" s="13"/>
      <c r="I513" s="13"/>
      <c r="J513" s="13"/>
      <c r="K513" s="13"/>
      <c r="L513" s="13"/>
      <c r="M513" s="11" t="str">
        <f aca="false">IF(F513="","",COUNTIFS(ENSAYOS!$C$5:$C$3004,F513,ENSAYOS!$Q$5:$Q$3004,"&gt;0"))</f>
        <v/>
      </c>
      <c r="N513" s="15" t="str">
        <f aca="false">IF(N(M513)=0,"",_xlfn.MINIFS(ENSAYOS!$G$5:$G$3004,ENSAYOS!$C$5:$C$3004,F513,ENSAYOS!$Q$5:$Q$3004,"&gt;0"))</f>
        <v/>
      </c>
      <c r="O513" s="15" t="str">
        <f aca="false">IF(N(M513)=0,"",_xlfn.MAXIFS(ENSAYOS!$G$5:$G$3004,ENSAYOS!$C$5:$C$3004,F513,ENSAYOS!$Q$5:$Q$3004,"&gt;0"))</f>
        <v/>
      </c>
      <c r="P513" s="16" t="str">
        <f aca="false">IF(N(M513)=0,"",AVERAGEIFS(ENSAYOS!$Q$5:$Q$3004,ENSAYOS!$C$5:$C$3004,F513,ENSAYOS!$Q$5:$Q$3004,"&gt;0"))</f>
        <v/>
      </c>
      <c r="Q513" s="16" t="str">
        <f aca="false">IF(N(M513)=0,"",_xlfn.MINIFS(ENSAYOS!$Q$5:$Q$3004,ENSAYOS!$C$5:$C$3004,F513,ENSAYOS!$Q$5:$Q$3004,"&gt;0"))</f>
        <v/>
      </c>
      <c r="R513" s="16" t="str">
        <f aca="false">IF(N(M513)=0,"",_xlfn.MAXIFS(ENSAYOS!$Q$5:$Q$3004,ENSAYOS!$C$5:$C$3004,F513,ENSAYOS!$Q$5:$Q$3004,"&gt;0"))</f>
        <v/>
      </c>
      <c r="S513" s="16" t="str">
        <f aca="false">IF(N(M513)&lt;2,"",SQRT(MAX(0,(SUMIFS(ENSAYOS!$X$5:$X$3004,ENSAYOS!$C$5:$C$3004,F513,ENSAYOS!$Q$5:$Q$3004,"&gt;0")-M513*P513^2)/(M513-1))))</f>
        <v/>
      </c>
      <c r="T513" s="17" t="str">
        <f aca="false">IF(S513="","",S513/P513)</f>
        <v/>
      </c>
      <c r="U513" s="16" t="str">
        <f aca="false">IF(N(M513)=0,"",IF(N513&gt;=CONFIG!$B$27,"",AVERAGEIFS(ENSAYOS!$Q$5:$Q$3004,ENSAYOS!$C$5:$C$3004,F513,ENSAYOS!$Q$5:$Q$3004,"&gt;0",ENSAYOS!$G$5:$G$3004,N513)))</f>
        <v/>
      </c>
      <c r="V513" s="16" t="str">
        <f aca="false">IF(N(M513)=0,"",IF(COUNTIFS(ENSAYOS!$C$5:$C$3004,F513,ENSAYOS!$Q$5:$Q$3004,"&gt;0",ENSAYOS!$G$5:$G$3004,"&gt;="&amp;CONFIG!$B$27)=0,"",AVERAGEIFS(ENSAYOS!$Q$5:$Q$3004,ENSAYOS!$C$5:$C$3004,F513,ENSAYOS!$Q$5:$Q$3004,"&gt;0",ENSAYOS!$G$5:$G$3004,"&gt;="&amp;CONFIG!$B$27)))</f>
        <v/>
      </c>
      <c r="W513" s="18" t="str">
        <f aca="false">IF(AND(U513&lt;&gt;"",V513&lt;&gt;""),U513/V513,"")</f>
        <v/>
      </c>
      <c r="X513" s="18" t="str">
        <f aca="false">IF(U513="","",INDEX('CURVA EDAD'!$E$5:$E$32,MIN(28,MAX(1,N513))))</f>
        <v/>
      </c>
      <c r="Y513" s="16" t="str">
        <f aca="false">IF(V513&lt;&gt;"",V513,IF(U513="","",U513/X513))</f>
        <v/>
      </c>
      <c r="Z513" s="16" t="str">
        <f aca="false">IF(V513&lt;&gt;"",_xlfn.MINIFS(ENSAYOS!$Q$5:$Q$3004,ENSAYOS!$C$5:$C$3004,F513,ENSAYOS!$Q$5:$Q$3004,"&gt;0",ENSAYOS!$G$5:$G$3004,"&gt;="&amp;CONFIG!$B$27),IF(U513="","",_xlfn.MINIFS(ENSAYOS!$Q$5:$Q$3004,ENSAYOS!$C$5:$C$3004,F513,ENSAYOS!$Q$5:$Q$3004,"&gt;0",ENSAYOS!$G$5:$G$3004,N513)/X513))</f>
        <v/>
      </c>
      <c r="AA513" s="16" t="str">
        <f aca="false">IF(D513="","",IFERROR(1/(1/INDEX(CONFIG!$J$5:$J$14,MATCH(D513,CONFIG!$D$5:$D$14,0))),""))</f>
        <v/>
      </c>
      <c r="AB513" s="16" t="str">
        <f aca="false">IF(D513="","",IFERROR(1/(1/INDEX(CONFIG!$K$5:$K$14,MATCH(D513,CONFIG!$D$5:$D$14,0))),""))</f>
        <v/>
      </c>
      <c r="AC513" s="19" t="str">
        <f aca="false">IF(N(M513)=0,"",IF(AA513="","Sin spec",IF(AND(Y513&gt;=AA513,OR(AB513="",Z513&gt;=AB513)),"CUMPLE","NO CUMPLE")&amp;IF(V513=""," (est.)","")))</f>
        <v/>
      </c>
      <c r="AD513" s="20" t="str">
        <f aca="false">IF(F513="","",IF(COUNTIFS(ABSORCION!$C$5:$C$1004,F513,ABSORCION!$I$5:$I$1004,"&gt;0")=0,"",AVERAGEIFS(ABSORCION!$I$5:$I$1004,ABSORCION!$C$5:$C$1004,F513,ABSORCION!$I$5:$I$1004,"&gt;0")))</f>
        <v/>
      </c>
      <c r="AE513" s="20" t="str">
        <f aca="false">IF(F513="","",IF(COUNTIFS(ABSORCION!$C$5:$C$1004,F513,ABSORCION!$I$5:$I$1004,"&gt;0")=0,"",AVERAGEIFS(ABSORCION!$K$5:$K$1004,ABSORCION!$C$5:$C$1004,F513,ABSORCION!$I$5:$I$1004,"&gt;0")))</f>
        <v/>
      </c>
      <c r="AF513" s="20" t="str">
        <f aca="false">IF(AE513="","",IF(AE513&gt;=CONFIG!$E$21,CONFIG!$F$21,IF(AE513&gt;=CONFIG!$E$20,CONFIG!$F$20,CONFIG!$F$19)))</f>
        <v/>
      </c>
      <c r="AG513" s="21" t="str">
        <f aca="false">IF(F513="","",TRIM(IF(N(M513)=0,"Sin ensayos. ","")&amp;IF(AND(N(M513)&gt;0,N(M513)&lt;CONFIG!$B$26),"Menos de "&amp;CONFIG!$B$26&amp;" probetas. ","")&amp;IF(N(T513)&gt;CONFIG!$B$25,"CV alto. ","")&amp;IF(AND(N(AD513)&gt;0,N(AD513)&gt;N(AF513)),"Absorción alta. ","")))</f>
        <v/>
      </c>
      <c r="AH513" s="22" t="str">
        <f aca="false">IF(AND(N(M513)&gt;0,OR(CONTROL!$C$4="TODAS",C513=CONTROL!$C$4),D513=CONTROL!$C$5),MAX($AH$4:AH512)+1,"")</f>
        <v/>
      </c>
      <c r="AI513" s="22" t="str">
        <f aca="false">IF(AH513="","",P513^2)</f>
        <v/>
      </c>
    </row>
    <row r="514" customFormat="false" ht="15" hidden="false" customHeight="false" outlineLevel="0" collapsed="false">
      <c r="A514" s="11" t="str">
        <f aca="false">IF(B514="","",ROW()-4)</f>
        <v/>
      </c>
      <c r="B514" s="12"/>
      <c r="C514" s="13"/>
      <c r="D514" s="13"/>
      <c r="E514" s="13"/>
      <c r="F514" s="14" t="str">
        <f aca="false">IF(OR(B514="",C514="",D514=""),"",IFERROR(INDEX(CONFIG!$E$5:$E$14,MATCH(D514,CONFIG!$D$5:$D$14,0)),"?")&amp;RIGHT("0"&amp;DAY(B514),2)&amp;RIGHT("0"&amp;MONTH(B514),2)&amp;RIGHT(YEAR(B514),2)&amp;C514&amp;IF(E514="","","-"&amp;E514))</f>
        <v/>
      </c>
      <c r="G514" s="13"/>
      <c r="H514" s="13"/>
      <c r="I514" s="13"/>
      <c r="J514" s="13"/>
      <c r="K514" s="13"/>
      <c r="L514" s="13"/>
      <c r="M514" s="11" t="str">
        <f aca="false">IF(F514="","",COUNTIFS(ENSAYOS!$C$5:$C$3004,F514,ENSAYOS!$Q$5:$Q$3004,"&gt;0"))</f>
        <v/>
      </c>
      <c r="N514" s="15" t="str">
        <f aca="false">IF(N(M514)=0,"",_xlfn.MINIFS(ENSAYOS!$G$5:$G$3004,ENSAYOS!$C$5:$C$3004,F514,ENSAYOS!$Q$5:$Q$3004,"&gt;0"))</f>
        <v/>
      </c>
      <c r="O514" s="15" t="str">
        <f aca="false">IF(N(M514)=0,"",_xlfn.MAXIFS(ENSAYOS!$G$5:$G$3004,ENSAYOS!$C$5:$C$3004,F514,ENSAYOS!$Q$5:$Q$3004,"&gt;0"))</f>
        <v/>
      </c>
      <c r="P514" s="16" t="str">
        <f aca="false">IF(N(M514)=0,"",AVERAGEIFS(ENSAYOS!$Q$5:$Q$3004,ENSAYOS!$C$5:$C$3004,F514,ENSAYOS!$Q$5:$Q$3004,"&gt;0"))</f>
        <v/>
      </c>
      <c r="Q514" s="16" t="str">
        <f aca="false">IF(N(M514)=0,"",_xlfn.MINIFS(ENSAYOS!$Q$5:$Q$3004,ENSAYOS!$C$5:$C$3004,F514,ENSAYOS!$Q$5:$Q$3004,"&gt;0"))</f>
        <v/>
      </c>
      <c r="R514" s="16" t="str">
        <f aca="false">IF(N(M514)=0,"",_xlfn.MAXIFS(ENSAYOS!$Q$5:$Q$3004,ENSAYOS!$C$5:$C$3004,F514,ENSAYOS!$Q$5:$Q$3004,"&gt;0"))</f>
        <v/>
      </c>
      <c r="S514" s="16" t="str">
        <f aca="false">IF(N(M514)&lt;2,"",SQRT(MAX(0,(SUMIFS(ENSAYOS!$X$5:$X$3004,ENSAYOS!$C$5:$C$3004,F514,ENSAYOS!$Q$5:$Q$3004,"&gt;0")-M514*P514^2)/(M514-1))))</f>
        <v/>
      </c>
      <c r="T514" s="17" t="str">
        <f aca="false">IF(S514="","",S514/P514)</f>
        <v/>
      </c>
      <c r="U514" s="16" t="str">
        <f aca="false">IF(N(M514)=0,"",IF(N514&gt;=CONFIG!$B$27,"",AVERAGEIFS(ENSAYOS!$Q$5:$Q$3004,ENSAYOS!$C$5:$C$3004,F514,ENSAYOS!$Q$5:$Q$3004,"&gt;0",ENSAYOS!$G$5:$G$3004,N514)))</f>
        <v/>
      </c>
      <c r="V514" s="16" t="str">
        <f aca="false">IF(N(M514)=0,"",IF(COUNTIFS(ENSAYOS!$C$5:$C$3004,F514,ENSAYOS!$Q$5:$Q$3004,"&gt;0",ENSAYOS!$G$5:$G$3004,"&gt;="&amp;CONFIG!$B$27)=0,"",AVERAGEIFS(ENSAYOS!$Q$5:$Q$3004,ENSAYOS!$C$5:$C$3004,F514,ENSAYOS!$Q$5:$Q$3004,"&gt;0",ENSAYOS!$G$5:$G$3004,"&gt;="&amp;CONFIG!$B$27)))</f>
        <v/>
      </c>
      <c r="W514" s="18" t="str">
        <f aca="false">IF(AND(U514&lt;&gt;"",V514&lt;&gt;""),U514/V514,"")</f>
        <v/>
      </c>
      <c r="X514" s="18" t="str">
        <f aca="false">IF(U514="","",INDEX('CURVA EDAD'!$E$5:$E$32,MIN(28,MAX(1,N514))))</f>
        <v/>
      </c>
      <c r="Y514" s="16" t="str">
        <f aca="false">IF(V514&lt;&gt;"",V514,IF(U514="","",U514/X514))</f>
        <v/>
      </c>
      <c r="Z514" s="16" t="str">
        <f aca="false">IF(V514&lt;&gt;"",_xlfn.MINIFS(ENSAYOS!$Q$5:$Q$3004,ENSAYOS!$C$5:$C$3004,F514,ENSAYOS!$Q$5:$Q$3004,"&gt;0",ENSAYOS!$G$5:$G$3004,"&gt;="&amp;CONFIG!$B$27),IF(U514="","",_xlfn.MINIFS(ENSAYOS!$Q$5:$Q$3004,ENSAYOS!$C$5:$C$3004,F514,ENSAYOS!$Q$5:$Q$3004,"&gt;0",ENSAYOS!$G$5:$G$3004,N514)/X514))</f>
        <v/>
      </c>
      <c r="AA514" s="16" t="str">
        <f aca="false">IF(D514="","",IFERROR(1/(1/INDEX(CONFIG!$J$5:$J$14,MATCH(D514,CONFIG!$D$5:$D$14,0))),""))</f>
        <v/>
      </c>
      <c r="AB514" s="16" t="str">
        <f aca="false">IF(D514="","",IFERROR(1/(1/INDEX(CONFIG!$K$5:$K$14,MATCH(D514,CONFIG!$D$5:$D$14,0))),""))</f>
        <v/>
      </c>
      <c r="AC514" s="19" t="str">
        <f aca="false">IF(N(M514)=0,"",IF(AA514="","Sin spec",IF(AND(Y514&gt;=AA514,OR(AB514="",Z514&gt;=AB514)),"CUMPLE","NO CUMPLE")&amp;IF(V514=""," (est.)","")))</f>
        <v/>
      </c>
      <c r="AD514" s="20" t="str">
        <f aca="false">IF(F514="","",IF(COUNTIFS(ABSORCION!$C$5:$C$1004,F514,ABSORCION!$I$5:$I$1004,"&gt;0")=0,"",AVERAGEIFS(ABSORCION!$I$5:$I$1004,ABSORCION!$C$5:$C$1004,F514,ABSORCION!$I$5:$I$1004,"&gt;0")))</f>
        <v/>
      </c>
      <c r="AE514" s="20" t="str">
        <f aca="false">IF(F514="","",IF(COUNTIFS(ABSORCION!$C$5:$C$1004,F514,ABSORCION!$I$5:$I$1004,"&gt;0")=0,"",AVERAGEIFS(ABSORCION!$K$5:$K$1004,ABSORCION!$C$5:$C$1004,F514,ABSORCION!$I$5:$I$1004,"&gt;0")))</f>
        <v/>
      </c>
      <c r="AF514" s="20" t="str">
        <f aca="false">IF(AE514="","",IF(AE514&gt;=CONFIG!$E$21,CONFIG!$F$21,IF(AE514&gt;=CONFIG!$E$20,CONFIG!$F$20,CONFIG!$F$19)))</f>
        <v/>
      </c>
      <c r="AG514" s="21" t="str">
        <f aca="false">IF(F514="","",TRIM(IF(N(M514)=0,"Sin ensayos. ","")&amp;IF(AND(N(M514)&gt;0,N(M514)&lt;CONFIG!$B$26),"Menos de "&amp;CONFIG!$B$26&amp;" probetas. ","")&amp;IF(N(T514)&gt;CONFIG!$B$25,"CV alto. ","")&amp;IF(AND(N(AD514)&gt;0,N(AD514)&gt;N(AF514)),"Absorción alta. ","")))</f>
        <v/>
      </c>
      <c r="AH514" s="22" t="str">
        <f aca="false">IF(AND(N(M514)&gt;0,OR(CONTROL!$C$4="TODAS",C514=CONTROL!$C$4),D514=CONTROL!$C$5),MAX($AH$4:AH513)+1,"")</f>
        <v/>
      </c>
      <c r="AI514" s="22" t="str">
        <f aca="false">IF(AH514="","",P514^2)</f>
        <v/>
      </c>
    </row>
    <row r="515" customFormat="false" ht="15" hidden="false" customHeight="false" outlineLevel="0" collapsed="false">
      <c r="A515" s="11" t="str">
        <f aca="false">IF(B515="","",ROW()-4)</f>
        <v/>
      </c>
      <c r="B515" s="12"/>
      <c r="C515" s="13"/>
      <c r="D515" s="13"/>
      <c r="E515" s="13"/>
      <c r="F515" s="14" t="str">
        <f aca="false">IF(OR(B515="",C515="",D515=""),"",IFERROR(INDEX(CONFIG!$E$5:$E$14,MATCH(D515,CONFIG!$D$5:$D$14,0)),"?")&amp;RIGHT("0"&amp;DAY(B515),2)&amp;RIGHT("0"&amp;MONTH(B515),2)&amp;RIGHT(YEAR(B515),2)&amp;C515&amp;IF(E515="","","-"&amp;E515))</f>
        <v/>
      </c>
      <c r="G515" s="13"/>
      <c r="H515" s="13"/>
      <c r="I515" s="13"/>
      <c r="J515" s="13"/>
      <c r="K515" s="13"/>
      <c r="L515" s="13"/>
      <c r="M515" s="11" t="str">
        <f aca="false">IF(F515="","",COUNTIFS(ENSAYOS!$C$5:$C$3004,F515,ENSAYOS!$Q$5:$Q$3004,"&gt;0"))</f>
        <v/>
      </c>
      <c r="N515" s="15" t="str">
        <f aca="false">IF(N(M515)=0,"",_xlfn.MINIFS(ENSAYOS!$G$5:$G$3004,ENSAYOS!$C$5:$C$3004,F515,ENSAYOS!$Q$5:$Q$3004,"&gt;0"))</f>
        <v/>
      </c>
      <c r="O515" s="15" t="str">
        <f aca="false">IF(N(M515)=0,"",_xlfn.MAXIFS(ENSAYOS!$G$5:$G$3004,ENSAYOS!$C$5:$C$3004,F515,ENSAYOS!$Q$5:$Q$3004,"&gt;0"))</f>
        <v/>
      </c>
      <c r="P515" s="16" t="str">
        <f aca="false">IF(N(M515)=0,"",AVERAGEIFS(ENSAYOS!$Q$5:$Q$3004,ENSAYOS!$C$5:$C$3004,F515,ENSAYOS!$Q$5:$Q$3004,"&gt;0"))</f>
        <v/>
      </c>
      <c r="Q515" s="16" t="str">
        <f aca="false">IF(N(M515)=0,"",_xlfn.MINIFS(ENSAYOS!$Q$5:$Q$3004,ENSAYOS!$C$5:$C$3004,F515,ENSAYOS!$Q$5:$Q$3004,"&gt;0"))</f>
        <v/>
      </c>
      <c r="R515" s="16" t="str">
        <f aca="false">IF(N(M515)=0,"",_xlfn.MAXIFS(ENSAYOS!$Q$5:$Q$3004,ENSAYOS!$C$5:$C$3004,F515,ENSAYOS!$Q$5:$Q$3004,"&gt;0"))</f>
        <v/>
      </c>
      <c r="S515" s="16" t="str">
        <f aca="false">IF(N(M515)&lt;2,"",SQRT(MAX(0,(SUMIFS(ENSAYOS!$X$5:$X$3004,ENSAYOS!$C$5:$C$3004,F515,ENSAYOS!$Q$5:$Q$3004,"&gt;0")-M515*P515^2)/(M515-1))))</f>
        <v/>
      </c>
      <c r="T515" s="17" t="str">
        <f aca="false">IF(S515="","",S515/P515)</f>
        <v/>
      </c>
      <c r="U515" s="16" t="str">
        <f aca="false">IF(N(M515)=0,"",IF(N515&gt;=CONFIG!$B$27,"",AVERAGEIFS(ENSAYOS!$Q$5:$Q$3004,ENSAYOS!$C$5:$C$3004,F515,ENSAYOS!$Q$5:$Q$3004,"&gt;0",ENSAYOS!$G$5:$G$3004,N515)))</f>
        <v/>
      </c>
      <c r="V515" s="16" t="str">
        <f aca="false">IF(N(M515)=0,"",IF(COUNTIFS(ENSAYOS!$C$5:$C$3004,F515,ENSAYOS!$Q$5:$Q$3004,"&gt;0",ENSAYOS!$G$5:$G$3004,"&gt;="&amp;CONFIG!$B$27)=0,"",AVERAGEIFS(ENSAYOS!$Q$5:$Q$3004,ENSAYOS!$C$5:$C$3004,F515,ENSAYOS!$Q$5:$Q$3004,"&gt;0",ENSAYOS!$G$5:$G$3004,"&gt;="&amp;CONFIG!$B$27)))</f>
        <v/>
      </c>
      <c r="W515" s="18" t="str">
        <f aca="false">IF(AND(U515&lt;&gt;"",V515&lt;&gt;""),U515/V515,"")</f>
        <v/>
      </c>
      <c r="X515" s="18" t="str">
        <f aca="false">IF(U515="","",INDEX('CURVA EDAD'!$E$5:$E$32,MIN(28,MAX(1,N515))))</f>
        <v/>
      </c>
      <c r="Y515" s="16" t="str">
        <f aca="false">IF(V515&lt;&gt;"",V515,IF(U515="","",U515/X515))</f>
        <v/>
      </c>
      <c r="Z515" s="16" t="str">
        <f aca="false">IF(V515&lt;&gt;"",_xlfn.MINIFS(ENSAYOS!$Q$5:$Q$3004,ENSAYOS!$C$5:$C$3004,F515,ENSAYOS!$Q$5:$Q$3004,"&gt;0",ENSAYOS!$G$5:$G$3004,"&gt;="&amp;CONFIG!$B$27),IF(U515="","",_xlfn.MINIFS(ENSAYOS!$Q$5:$Q$3004,ENSAYOS!$C$5:$C$3004,F515,ENSAYOS!$Q$5:$Q$3004,"&gt;0",ENSAYOS!$G$5:$G$3004,N515)/X515))</f>
        <v/>
      </c>
      <c r="AA515" s="16" t="str">
        <f aca="false">IF(D515="","",IFERROR(1/(1/INDEX(CONFIG!$J$5:$J$14,MATCH(D515,CONFIG!$D$5:$D$14,0))),""))</f>
        <v/>
      </c>
      <c r="AB515" s="16" t="str">
        <f aca="false">IF(D515="","",IFERROR(1/(1/INDEX(CONFIG!$K$5:$K$14,MATCH(D515,CONFIG!$D$5:$D$14,0))),""))</f>
        <v/>
      </c>
      <c r="AC515" s="19" t="str">
        <f aca="false">IF(N(M515)=0,"",IF(AA515="","Sin spec",IF(AND(Y515&gt;=AA515,OR(AB515="",Z515&gt;=AB515)),"CUMPLE","NO CUMPLE")&amp;IF(V515=""," (est.)","")))</f>
        <v/>
      </c>
      <c r="AD515" s="20" t="str">
        <f aca="false">IF(F515="","",IF(COUNTIFS(ABSORCION!$C$5:$C$1004,F515,ABSORCION!$I$5:$I$1004,"&gt;0")=0,"",AVERAGEIFS(ABSORCION!$I$5:$I$1004,ABSORCION!$C$5:$C$1004,F515,ABSORCION!$I$5:$I$1004,"&gt;0")))</f>
        <v/>
      </c>
      <c r="AE515" s="20" t="str">
        <f aca="false">IF(F515="","",IF(COUNTIFS(ABSORCION!$C$5:$C$1004,F515,ABSORCION!$I$5:$I$1004,"&gt;0")=0,"",AVERAGEIFS(ABSORCION!$K$5:$K$1004,ABSORCION!$C$5:$C$1004,F515,ABSORCION!$I$5:$I$1004,"&gt;0")))</f>
        <v/>
      </c>
      <c r="AF515" s="20" t="str">
        <f aca="false">IF(AE515="","",IF(AE515&gt;=CONFIG!$E$21,CONFIG!$F$21,IF(AE515&gt;=CONFIG!$E$20,CONFIG!$F$20,CONFIG!$F$19)))</f>
        <v/>
      </c>
      <c r="AG515" s="21" t="str">
        <f aca="false">IF(F515="","",TRIM(IF(N(M515)=0,"Sin ensayos. ","")&amp;IF(AND(N(M515)&gt;0,N(M515)&lt;CONFIG!$B$26),"Menos de "&amp;CONFIG!$B$26&amp;" probetas. ","")&amp;IF(N(T515)&gt;CONFIG!$B$25,"CV alto. ","")&amp;IF(AND(N(AD515)&gt;0,N(AD515)&gt;N(AF515)),"Absorción alta. ","")))</f>
        <v/>
      </c>
      <c r="AH515" s="22" t="str">
        <f aca="false">IF(AND(N(M515)&gt;0,OR(CONTROL!$C$4="TODAS",C515=CONTROL!$C$4),D515=CONTROL!$C$5),MAX($AH$4:AH514)+1,"")</f>
        <v/>
      </c>
      <c r="AI515" s="22" t="str">
        <f aca="false">IF(AH515="","",P515^2)</f>
        <v/>
      </c>
    </row>
    <row r="516" customFormat="false" ht="15" hidden="false" customHeight="false" outlineLevel="0" collapsed="false">
      <c r="A516" s="11" t="str">
        <f aca="false">IF(B516="","",ROW()-4)</f>
        <v/>
      </c>
      <c r="B516" s="12"/>
      <c r="C516" s="13"/>
      <c r="D516" s="13"/>
      <c r="E516" s="13"/>
      <c r="F516" s="14" t="str">
        <f aca="false">IF(OR(B516="",C516="",D516=""),"",IFERROR(INDEX(CONFIG!$E$5:$E$14,MATCH(D516,CONFIG!$D$5:$D$14,0)),"?")&amp;RIGHT("0"&amp;DAY(B516),2)&amp;RIGHT("0"&amp;MONTH(B516),2)&amp;RIGHT(YEAR(B516),2)&amp;C516&amp;IF(E516="","","-"&amp;E516))</f>
        <v/>
      </c>
      <c r="G516" s="13"/>
      <c r="H516" s="13"/>
      <c r="I516" s="13"/>
      <c r="J516" s="13"/>
      <c r="K516" s="13"/>
      <c r="L516" s="13"/>
      <c r="M516" s="11" t="str">
        <f aca="false">IF(F516="","",COUNTIFS(ENSAYOS!$C$5:$C$3004,F516,ENSAYOS!$Q$5:$Q$3004,"&gt;0"))</f>
        <v/>
      </c>
      <c r="N516" s="15" t="str">
        <f aca="false">IF(N(M516)=0,"",_xlfn.MINIFS(ENSAYOS!$G$5:$G$3004,ENSAYOS!$C$5:$C$3004,F516,ENSAYOS!$Q$5:$Q$3004,"&gt;0"))</f>
        <v/>
      </c>
      <c r="O516" s="15" t="str">
        <f aca="false">IF(N(M516)=0,"",_xlfn.MAXIFS(ENSAYOS!$G$5:$G$3004,ENSAYOS!$C$5:$C$3004,F516,ENSAYOS!$Q$5:$Q$3004,"&gt;0"))</f>
        <v/>
      </c>
      <c r="P516" s="16" t="str">
        <f aca="false">IF(N(M516)=0,"",AVERAGEIFS(ENSAYOS!$Q$5:$Q$3004,ENSAYOS!$C$5:$C$3004,F516,ENSAYOS!$Q$5:$Q$3004,"&gt;0"))</f>
        <v/>
      </c>
      <c r="Q516" s="16" t="str">
        <f aca="false">IF(N(M516)=0,"",_xlfn.MINIFS(ENSAYOS!$Q$5:$Q$3004,ENSAYOS!$C$5:$C$3004,F516,ENSAYOS!$Q$5:$Q$3004,"&gt;0"))</f>
        <v/>
      </c>
      <c r="R516" s="16" t="str">
        <f aca="false">IF(N(M516)=0,"",_xlfn.MAXIFS(ENSAYOS!$Q$5:$Q$3004,ENSAYOS!$C$5:$C$3004,F516,ENSAYOS!$Q$5:$Q$3004,"&gt;0"))</f>
        <v/>
      </c>
      <c r="S516" s="16" t="str">
        <f aca="false">IF(N(M516)&lt;2,"",SQRT(MAX(0,(SUMIFS(ENSAYOS!$X$5:$X$3004,ENSAYOS!$C$5:$C$3004,F516,ENSAYOS!$Q$5:$Q$3004,"&gt;0")-M516*P516^2)/(M516-1))))</f>
        <v/>
      </c>
      <c r="T516" s="17" t="str">
        <f aca="false">IF(S516="","",S516/P516)</f>
        <v/>
      </c>
      <c r="U516" s="16" t="str">
        <f aca="false">IF(N(M516)=0,"",IF(N516&gt;=CONFIG!$B$27,"",AVERAGEIFS(ENSAYOS!$Q$5:$Q$3004,ENSAYOS!$C$5:$C$3004,F516,ENSAYOS!$Q$5:$Q$3004,"&gt;0",ENSAYOS!$G$5:$G$3004,N516)))</f>
        <v/>
      </c>
      <c r="V516" s="16" t="str">
        <f aca="false">IF(N(M516)=0,"",IF(COUNTIFS(ENSAYOS!$C$5:$C$3004,F516,ENSAYOS!$Q$5:$Q$3004,"&gt;0",ENSAYOS!$G$5:$G$3004,"&gt;="&amp;CONFIG!$B$27)=0,"",AVERAGEIFS(ENSAYOS!$Q$5:$Q$3004,ENSAYOS!$C$5:$C$3004,F516,ENSAYOS!$Q$5:$Q$3004,"&gt;0",ENSAYOS!$G$5:$G$3004,"&gt;="&amp;CONFIG!$B$27)))</f>
        <v/>
      </c>
      <c r="W516" s="18" t="str">
        <f aca="false">IF(AND(U516&lt;&gt;"",V516&lt;&gt;""),U516/V516,"")</f>
        <v/>
      </c>
      <c r="X516" s="18" t="str">
        <f aca="false">IF(U516="","",INDEX('CURVA EDAD'!$E$5:$E$32,MIN(28,MAX(1,N516))))</f>
        <v/>
      </c>
      <c r="Y516" s="16" t="str">
        <f aca="false">IF(V516&lt;&gt;"",V516,IF(U516="","",U516/X516))</f>
        <v/>
      </c>
      <c r="Z516" s="16" t="str">
        <f aca="false">IF(V516&lt;&gt;"",_xlfn.MINIFS(ENSAYOS!$Q$5:$Q$3004,ENSAYOS!$C$5:$C$3004,F516,ENSAYOS!$Q$5:$Q$3004,"&gt;0",ENSAYOS!$G$5:$G$3004,"&gt;="&amp;CONFIG!$B$27),IF(U516="","",_xlfn.MINIFS(ENSAYOS!$Q$5:$Q$3004,ENSAYOS!$C$5:$C$3004,F516,ENSAYOS!$Q$5:$Q$3004,"&gt;0",ENSAYOS!$G$5:$G$3004,N516)/X516))</f>
        <v/>
      </c>
      <c r="AA516" s="16" t="str">
        <f aca="false">IF(D516="","",IFERROR(1/(1/INDEX(CONFIG!$J$5:$J$14,MATCH(D516,CONFIG!$D$5:$D$14,0))),""))</f>
        <v/>
      </c>
      <c r="AB516" s="16" t="str">
        <f aca="false">IF(D516="","",IFERROR(1/(1/INDEX(CONFIG!$K$5:$K$14,MATCH(D516,CONFIG!$D$5:$D$14,0))),""))</f>
        <v/>
      </c>
      <c r="AC516" s="19" t="str">
        <f aca="false">IF(N(M516)=0,"",IF(AA516="","Sin spec",IF(AND(Y516&gt;=AA516,OR(AB516="",Z516&gt;=AB516)),"CUMPLE","NO CUMPLE")&amp;IF(V516=""," (est.)","")))</f>
        <v/>
      </c>
      <c r="AD516" s="20" t="str">
        <f aca="false">IF(F516="","",IF(COUNTIFS(ABSORCION!$C$5:$C$1004,F516,ABSORCION!$I$5:$I$1004,"&gt;0")=0,"",AVERAGEIFS(ABSORCION!$I$5:$I$1004,ABSORCION!$C$5:$C$1004,F516,ABSORCION!$I$5:$I$1004,"&gt;0")))</f>
        <v/>
      </c>
      <c r="AE516" s="20" t="str">
        <f aca="false">IF(F516="","",IF(COUNTIFS(ABSORCION!$C$5:$C$1004,F516,ABSORCION!$I$5:$I$1004,"&gt;0")=0,"",AVERAGEIFS(ABSORCION!$K$5:$K$1004,ABSORCION!$C$5:$C$1004,F516,ABSORCION!$I$5:$I$1004,"&gt;0")))</f>
        <v/>
      </c>
      <c r="AF516" s="20" t="str">
        <f aca="false">IF(AE516="","",IF(AE516&gt;=CONFIG!$E$21,CONFIG!$F$21,IF(AE516&gt;=CONFIG!$E$20,CONFIG!$F$20,CONFIG!$F$19)))</f>
        <v/>
      </c>
      <c r="AG516" s="21" t="str">
        <f aca="false">IF(F516="","",TRIM(IF(N(M516)=0,"Sin ensayos. ","")&amp;IF(AND(N(M516)&gt;0,N(M516)&lt;CONFIG!$B$26),"Menos de "&amp;CONFIG!$B$26&amp;" probetas. ","")&amp;IF(N(T516)&gt;CONFIG!$B$25,"CV alto. ","")&amp;IF(AND(N(AD516)&gt;0,N(AD516)&gt;N(AF516)),"Absorción alta. ","")))</f>
        <v/>
      </c>
      <c r="AH516" s="22" t="str">
        <f aca="false">IF(AND(N(M516)&gt;0,OR(CONTROL!$C$4="TODAS",C516=CONTROL!$C$4),D516=CONTROL!$C$5),MAX($AH$4:AH515)+1,"")</f>
        <v/>
      </c>
      <c r="AI516" s="22" t="str">
        <f aca="false">IF(AH516="","",P516^2)</f>
        <v/>
      </c>
    </row>
    <row r="517" customFormat="false" ht="15" hidden="false" customHeight="false" outlineLevel="0" collapsed="false">
      <c r="A517" s="11" t="str">
        <f aca="false">IF(B517="","",ROW()-4)</f>
        <v/>
      </c>
      <c r="B517" s="12"/>
      <c r="C517" s="13"/>
      <c r="D517" s="13"/>
      <c r="E517" s="13"/>
      <c r="F517" s="14" t="str">
        <f aca="false">IF(OR(B517="",C517="",D517=""),"",IFERROR(INDEX(CONFIG!$E$5:$E$14,MATCH(D517,CONFIG!$D$5:$D$14,0)),"?")&amp;RIGHT("0"&amp;DAY(B517),2)&amp;RIGHT("0"&amp;MONTH(B517),2)&amp;RIGHT(YEAR(B517),2)&amp;C517&amp;IF(E517="","","-"&amp;E517))</f>
        <v/>
      </c>
      <c r="G517" s="13"/>
      <c r="H517" s="13"/>
      <c r="I517" s="13"/>
      <c r="J517" s="13"/>
      <c r="K517" s="13"/>
      <c r="L517" s="13"/>
      <c r="M517" s="11" t="str">
        <f aca="false">IF(F517="","",COUNTIFS(ENSAYOS!$C$5:$C$3004,F517,ENSAYOS!$Q$5:$Q$3004,"&gt;0"))</f>
        <v/>
      </c>
      <c r="N517" s="15" t="str">
        <f aca="false">IF(N(M517)=0,"",_xlfn.MINIFS(ENSAYOS!$G$5:$G$3004,ENSAYOS!$C$5:$C$3004,F517,ENSAYOS!$Q$5:$Q$3004,"&gt;0"))</f>
        <v/>
      </c>
      <c r="O517" s="15" t="str">
        <f aca="false">IF(N(M517)=0,"",_xlfn.MAXIFS(ENSAYOS!$G$5:$G$3004,ENSAYOS!$C$5:$C$3004,F517,ENSAYOS!$Q$5:$Q$3004,"&gt;0"))</f>
        <v/>
      </c>
      <c r="P517" s="16" t="str">
        <f aca="false">IF(N(M517)=0,"",AVERAGEIFS(ENSAYOS!$Q$5:$Q$3004,ENSAYOS!$C$5:$C$3004,F517,ENSAYOS!$Q$5:$Q$3004,"&gt;0"))</f>
        <v/>
      </c>
      <c r="Q517" s="16" t="str">
        <f aca="false">IF(N(M517)=0,"",_xlfn.MINIFS(ENSAYOS!$Q$5:$Q$3004,ENSAYOS!$C$5:$C$3004,F517,ENSAYOS!$Q$5:$Q$3004,"&gt;0"))</f>
        <v/>
      </c>
      <c r="R517" s="16" t="str">
        <f aca="false">IF(N(M517)=0,"",_xlfn.MAXIFS(ENSAYOS!$Q$5:$Q$3004,ENSAYOS!$C$5:$C$3004,F517,ENSAYOS!$Q$5:$Q$3004,"&gt;0"))</f>
        <v/>
      </c>
      <c r="S517" s="16" t="str">
        <f aca="false">IF(N(M517)&lt;2,"",SQRT(MAX(0,(SUMIFS(ENSAYOS!$X$5:$X$3004,ENSAYOS!$C$5:$C$3004,F517,ENSAYOS!$Q$5:$Q$3004,"&gt;0")-M517*P517^2)/(M517-1))))</f>
        <v/>
      </c>
      <c r="T517" s="17" t="str">
        <f aca="false">IF(S517="","",S517/P517)</f>
        <v/>
      </c>
      <c r="U517" s="16" t="str">
        <f aca="false">IF(N(M517)=0,"",IF(N517&gt;=CONFIG!$B$27,"",AVERAGEIFS(ENSAYOS!$Q$5:$Q$3004,ENSAYOS!$C$5:$C$3004,F517,ENSAYOS!$Q$5:$Q$3004,"&gt;0",ENSAYOS!$G$5:$G$3004,N517)))</f>
        <v/>
      </c>
      <c r="V517" s="16" t="str">
        <f aca="false">IF(N(M517)=0,"",IF(COUNTIFS(ENSAYOS!$C$5:$C$3004,F517,ENSAYOS!$Q$5:$Q$3004,"&gt;0",ENSAYOS!$G$5:$G$3004,"&gt;="&amp;CONFIG!$B$27)=0,"",AVERAGEIFS(ENSAYOS!$Q$5:$Q$3004,ENSAYOS!$C$5:$C$3004,F517,ENSAYOS!$Q$5:$Q$3004,"&gt;0",ENSAYOS!$G$5:$G$3004,"&gt;="&amp;CONFIG!$B$27)))</f>
        <v/>
      </c>
      <c r="W517" s="18" t="str">
        <f aca="false">IF(AND(U517&lt;&gt;"",V517&lt;&gt;""),U517/V517,"")</f>
        <v/>
      </c>
      <c r="X517" s="18" t="str">
        <f aca="false">IF(U517="","",INDEX('CURVA EDAD'!$E$5:$E$32,MIN(28,MAX(1,N517))))</f>
        <v/>
      </c>
      <c r="Y517" s="16" t="str">
        <f aca="false">IF(V517&lt;&gt;"",V517,IF(U517="","",U517/X517))</f>
        <v/>
      </c>
      <c r="Z517" s="16" t="str">
        <f aca="false">IF(V517&lt;&gt;"",_xlfn.MINIFS(ENSAYOS!$Q$5:$Q$3004,ENSAYOS!$C$5:$C$3004,F517,ENSAYOS!$Q$5:$Q$3004,"&gt;0",ENSAYOS!$G$5:$G$3004,"&gt;="&amp;CONFIG!$B$27),IF(U517="","",_xlfn.MINIFS(ENSAYOS!$Q$5:$Q$3004,ENSAYOS!$C$5:$C$3004,F517,ENSAYOS!$Q$5:$Q$3004,"&gt;0",ENSAYOS!$G$5:$G$3004,N517)/X517))</f>
        <v/>
      </c>
      <c r="AA517" s="16" t="str">
        <f aca="false">IF(D517="","",IFERROR(1/(1/INDEX(CONFIG!$J$5:$J$14,MATCH(D517,CONFIG!$D$5:$D$14,0))),""))</f>
        <v/>
      </c>
      <c r="AB517" s="16" t="str">
        <f aca="false">IF(D517="","",IFERROR(1/(1/INDEX(CONFIG!$K$5:$K$14,MATCH(D517,CONFIG!$D$5:$D$14,0))),""))</f>
        <v/>
      </c>
      <c r="AC517" s="19" t="str">
        <f aca="false">IF(N(M517)=0,"",IF(AA517="","Sin spec",IF(AND(Y517&gt;=AA517,OR(AB517="",Z517&gt;=AB517)),"CUMPLE","NO CUMPLE")&amp;IF(V517=""," (est.)","")))</f>
        <v/>
      </c>
      <c r="AD517" s="20" t="str">
        <f aca="false">IF(F517="","",IF(COUNTIFS(ABSORCION!$C$5:$C$1004,F517,ABSORCION!$I$5:$I$1004,"&gt;0")=0,"",AVERAGEIFS(ABSORCION!$I$5:$I$1004,ABSORCION!$C$5:$C$1004,F517,ABSORCION!$I$5:$I$1004,"&gt;0")))</f>
        <v/>
      </c>
      <c r="AE517" s="20" t="str">
        <f aca="false">IF(F517="","",IF(COUNTIFS(ABSORCION!$C$5:$C$1004,F517,ABSORCION!$I$5:$I$1004,"&gt;0")=0,"",AVERAGEIFS(ABSORCION!$K$5:$K$1004,ABSORCION!$C$5:$C$1004,F517,ABSORCION!$I$5:$I$1004,"&gt;0")))</f>
        <v/>
      </c>
      <c r="AF517" s="20" t="str">
        <f aca="false">IF(AE517="","",IF(AE517&gt;=CONFIG!$E$21,CONFIG!$F$21,IF(AE517&gt;=CONFIG!$E$20,CONFIG!$F$20,CONFIG!$F$19)))</f>
        <v/>
      </c>
      <c r="AG517" s="21" t="str">
        <f aca="false">IF(F517="","",TRIM(IF(N(M517)=0,"Sin ensayos. ","")&amp;IF(AND(N(M517)&gt;0,N(M517)&lt;CONFIG!$B$26),"Menos de "&amp;CONFIG!$B$26&amp;" probetas. ","")&amp;IF(N(T517)&gt;CONFIG!$B$25,"CV alto. ","")&amp;IF(AND(N(AD517)&gt;0,N(AD517)&gt;N(AF517)),"Absorción alta. ","")))</f>
        <v/>
      </c>
      <c r="AH517" s="22" t="str">
        <f aca="false">IF(AND(N(M517)&gt;0,OR(CONTROL!$C$4="TODAS",C517=CONTROL!$C$4),D517=CONTROL!$C$5),MAX($AH$4:AH516)+1,"")</f>
        <v/>
      </c>
      <c r="AI517" s="22" t="str">
        <f aca="false">IF(AH517="","",P517^2)</f>
        <v/>
      </c>
    </row>
    <row r="518" customFormat="false" ht="15" hidden="false" customHeight="false" outlineLevel="0" collapsed="false">
      <c r="A518" s="11" t="str">
        <f aca="false">IF(B518="","",ROW()-4)</f>
        <v/>
      </c>
      <c r="B518" s="12"/>
      <c r="C518" s="13"/>
      <c r="D518" s="13"/>
      <c r="E518" s="13"/>
      <c r="F518" s="14" t="str">
        <f aca="false">IF(OR(B518="",C518="",D518=""),"",IFERROR(INDEX(CONFIG!$E$5:$E$14,MATCH(D518,CONFIG!$D$5:$D$14,0)),"?")&amp;RIGHT("0"&amp;DAY(B518),2)&amp;RIGHT("0"&amp;MONTH(B518),2)&amp;RIGHT(YEAR(B518),2)&amp;C518&amp;IF(E518="","","-"&amp;E518))</f>
        <v/>
      </c>
      <c r="G518" s="13"/>
      <c r="H518" s="13"/>
      <c r="I518" s="13"/>
      <c r="J518" s="13"/>
      <c r="K518" s="13"/>
      <c r="L518" s="13"/>
      <c r="M518" s="11" t="str">
        <f aca="false">IF(F518="","",COUNTIFS(ENSAYOS!$C$5:$C$3004,F518,ENSAYOS!$Q$5:$Q$3004,"&gt;0"))</f>
        <v/>
      </c>
      <c r="N518" s="15" t="str">
        <f aca="false">IF(N(M518)=0,"",_xlfn.MINIFS(ENSAYOS!$G$5:$G$3004,ENSAYOS!$C$5:$C$3004,F518,ENSAYOS!$Q$5:$Q$3004,"&gt;0"))</f>
        <v/>
      </c>
      <c r="O518" s="15" t="str">
        <f aca="false">IF(N(M518)=0,"",_xlfn.MAXIFS(ENSAYOS!$G$5:$G$3004,ENSAYOS!$C$5:$C$3004,F518,ENSAYOS!$Q$5:$Q$3004,"&gt;0"))</f>
        <v/>
      </c>
      <c r="P518" s="16" t="str">
        <f aca="false">IF(N(M518)=0,"",AVERAGEIFS(ENSAYOS!$Q$5:$Q$3004,ENSAYOS!$C$5:$C$3004,F518,ENSAYOS!$Q$5:$Q$3004,"&gt;0"))</f>
        <v/>
      </c>
      <c r="Q518" s="16" t="str">
        <f aca="false">IF(N(M518)=0,"",_xlfn.MINIFS(ENSAYOS!$Q$5:$Q$3004,ENSAYOS!$C$5:$C$3004,F518,ENSAYOS!$Q$5:$Q$3004,"&gt;0"))</f>
        <v/>
      </c>
      <c r="R518" s="16" t="str">
        <f aca="false">IF(N(M518)=0,"",_xlfn.MAXIFS(ENSAYOS!$Q$5:$Q$3004,ENSAYOS!$C$5:$C$3004,F518,ENSAYOS!$Q$5:$Q$3004,"&gt;0"))</f>
        <v/>
      </c>
      <c r="S518" s="16" t="str">
        <f aca="false">IF(N(M518)&lt;2,"",SQRT(MAX(0,(SUMIFS(ENSAYOS!$X$5:$X$3004,ENSAYOS!$C$5:$C$3004,F518,ENSAYOS!$Q$5:$Q$3004,"&gt;0")-M518*P518^2)/(M518-1))))</f>
        <v/>
      </c>
      <c r="T518" s="17" t="str">
        <f aca="false">IF(S518="","",S518/P518)</f>
        <v/>
      </c>
      <c r="U518" s="16" t="str">
        <f aca="false">IF(N(M518)=0,"",IF(N518&gt;=CONFIG!$B$27,"",AVERAGEIFS(ENSAYOS!$Q$5:$Q$3004,ENSAYOS!$C$5:$C$3004,F518,ENSAYOS!$Q$5:$Q$3004,"&gt;0",ENSAYOS!$G$5:$G$3004,N518)))</f>
        <v/>
      </c>
      <c r="V518" s="16" t="str">
        <f aca="false">IF(N(M518)=0,"",IF(COUNTIFS(ENSAYOS!$C$5:$C$3004,F518,ENSAYOS!$Q$5:$Q$3004,"&gt;0",ENSAYOS!$G$5:$G$3004,"&gt;="&amp;CONFIG!$B$27)=0,"",AVERAGEIFS(ENSAYOS!$Q$5:$Q$3004,ENSAYOS!$C$5:$C$3004,F518,ENSAYOS!$Q$5:$Q$3004,"&gt;0",ENSAYOS!$G$5:$G$3004,"&gt;="&amp;CONFIG!$B$27)))</f>
        <v/>
      </c>
      <c r="W518" s="18" t="str">
        <f aca="false">IF(AND(U518&lt;&gt;"",V518&lt;&gt;""),U518/V518,"")</f>
        <v/>
      </c>
      <c r="X518" s="18" t="str">
        <f aca="false">IF(U518="","",INDEX('CURVA EDAD'!$E$5:$E$32,MIN(28,MAX(1,N518))))</f>
        <v/>
      </c>
      <c r="Y518" s="16" t="str">
        <f aca="false">IF(V518&lt;&gt;"",V518,IF(U518="","",U518/X518))</f>
        <v/>
      </c>
      <c r="Z518" s="16" t="str">
        <f aca="false">IF(V518&lt;&gt;"",_xlfn.MINIFS(ENSAYOS!$Q$5:$Q$3004,ENSAYOS!$C$5:$C$3004,F518,ENSAYOS!$Q$5:$Q$3004,"&gt;0",ENSAYOS!$G$5:$G$3004,"&gt;="&amp;CONFIG!$B$27),IF(U518="","",_xlfn.MINIFS(ENSAYOS!$Q$5:$Q$3004,ENSAYOS!$C$5:$C$3004,F518,ENSAYOS!$Q$5:$Q$3004,"&gt;0",ENSAYOS!$G$5:$G$3004,N518)/X518))</f>
        <v/>
      </c>
      <c r="AA518" s="16" t="str">
        <f aca="false">IF(D518="","",IFERROR(1/(1/INDEX(CONFIG!$J$5:$J$14,MATCH(D518,CONFIG!$D$5:$D$14,0))),""))</f>
        <v/>
      </c>
      <c r="AB518" s="16" t="str">
        <f aca="false">IF(D518="","",IFERROR(1/(1/INDEX(CONFIG!$K$5:$K$14,MATCH(D518,CONFIG!$D$5:$D$14,0))),""))</f>
        <v/>
      </c>
      <c r="AC518" s="19" t="str">
        <f aca="false">IF(N(M518)=0,"",IF(AA518="","Sin spec",IF(AND(Y518&gt;=AA518,OR(AB518="",Z518&gt;=AB518)),"CUMPLE","NO CUMPLE")&amp;IF(V518=""," (est.)","")))</f>
        <v/>
      </c>
      <c r="AD518" s="20" t="str">
        <f aca="false">IF(F518="","",IF(COUNTIFS(ABSORCION!$C$5:$C$1004,F518,ABSORCION!$I$5:$I$1004,"&gt;0")=0,"",AVERAGEIFS(ABSORCION!$I$5:$I$1004,ABSORCION!$C$5:$C$1004,F518,ABSORCION!$I$5:$I$1004,"&gt;0")))</f>
        <v/>
      </c>
      <c r="AE518" s="20" t="str">
        <f aca="false">IF(F518="","",IF(COUNTIFS(ABSORCION!$C$5:$C$1004,F518,ABSORCION!$I$5:$I$1004,"&gt;0")=0,"",AVERAGEIFS(ABSORCION!$K$5:$K$1004,ABSORCION!$C$5:$C$1004,F518,ABSORCION!$I$5:$I$1004,"&gt;0")))</f>
        <v/>
      </c>
      <c r="AF518" s="20" t="str">
        <f aca="false">IF(AE518="","",IF(AE518&gt;=CONFIG!$E$21,CONFIG!$F$21,IF(AE518&gt;=CONFIG!$E$20,CONFIG!$F$20,CONFIG!$F$19)))</f>
        <v/>
      </c>
      <c r="AG518" s="21" t="str">
        <f aca="false">IF(F518="","",TRIM(IF(N(M518)=0,"Sin ensayos. ","")&amp;IF(AND(N(M518)&gt;0,N(M518)&lt;CONFIG!$B$26),"Menos de "&amp;CONFIG!$B$26&amp;" probetas. ","")&amp;IF(N(T518)&gt;CONFIG!$B$25,"CV alto. ","")&amp;IF(AND(N(AD518)&gt;0,N(AD518)&gt;N(AF518)),"Absorción alta. ","")))</f>
        <v/>
      </c>
      <c r="AH518" s="22" t="str">
        <f aca="false">IF(AND(N(M518)&gt;0,OR(CONTROL!$C$4="TODAS",C518=CONTROL!$C$4),D518=CONTROL!$C$5),MAX($AH$4:AH517)+1,"")</f>
        <v/>
      </c>
      <c r="AI518" s="22" t="str">
        <f aca="false">IF(AH518="","",P518^2)</f>
        <v/>
      </c>
    </row>
    <row r="519" customFormat="false" ht="15" hidden="false" customHeight="false" outlineLevel="0" collapsed="false">
      <c r="A519" s="11" t="str">
        <f aca="false">IF(B519="","",ROW()-4)</f>
        <v/>
      </c>
      <c r="B519" s="12"/>
      <c r="C519" s="13"/>
      <c r="D519" s="13"/>
      <c r="E519" s="13"/>
      <c r="F519" s="14" t="str">
        <f aca="false">IF(OR(B519="",C519="",D519=""),"",IFERROR(INDEX(CONFIG!$E$5:$E$14,MATCH(D519,CONFIG!$D$5:$D$14,0)),"?")&amp;RIGHT("0"&amp;DAY(B519),2)&amp;RIGHT("0"&amp;MONTH(B519),2)&amp;RIGHT(YEAR(B519),2)&amp;C519&amp;IF(E519="","","-"&amp;E519))</f>
        <v/>
      </c>
      <c r="G519" s="13"/>
      <c r="H519" s="13"/>
      <c r="I519" s="13"/>
      <c r="J519" s="13"/>
      <c r="K519" s="13"/>
      <c r="L519" s="13"/>
      <c r="M519" s="11" t="str">
        <f aca="false">IF(F519="","",COUNTIFS(ENSAYOS!$C$5:$C$3004,F519,ENSAYOS!$Q$5:$Q$3004,"&gt;0"))</f>
        <v/>
      </c>
      <c r="N519" s="15" t="str">
        <f aca="false">IF(N(M519)=0,"",_xlfn.MINIFS(ENSAYOS!$G$5:$G$3004,ENSAYOS!$C$5:$C$3004,F519,ENSAYOS!$Q$5:$Q$3004,"&gt;0"))</f>
        <v/>
      </c>
      <c r="O519" s="15" t="str">
        <f aca="false">IF(N(M519)=0,"",_xlfn.MAXIFS(ENSAYOS!$G$5:$G$3004,ENSAYOS!$C$5:$C$3004,F519,ENSAYOS!$Q$5:$Q$3004,"&gt;0"))</f>
        <v/>
      </c>
      <c r="P519" s="16" t="str">
        <f aca="false">IF(N(M519)=0,"",AVERAGEIFS(ENSAYOS!$Q$5:$Q$3004,ENSAYOS!$C$5:$C$3004,F519,ENSAYOS!$Q$5:$Q$3004,"&gt;0"))</f>
        <v/>
      </c>
      <c r="Q519" s="16" t="str">
        <f aca="false">IF(N(M519)=0,"",_xlfn.MINIFS(ENSAYOS!$Q$5:$Q$3004,ENSAYOS!$C$5:$C$3004,F519,ENSAYOS!$Q$5:$Q$3004,"&gt;0"))</f>
        <v/>
      </c>
      <c r="R519" s="16" t="str">
        <f aca="false">IF(N(M519)=0,"",_xlfn.MAXIFS(ENSAYOS!$Q$5:$Q$3004,ENSAYOS!$C$5:$C$3004,F519,ENSAYOS!$Q$5:$Q$3004,"&gt;0"))</f>
        <v/>
      </c>
      <c r="S519" s="16" t="str">
        <f aca="false">IF(N(M519)&lt;2,"",SQRT(MAX(0,(SUMIFS(ENSAYOS!$X$5:$X$3004,ENSAYOS!$C$5:$C$3004,F519,ENSAYOS!$Q$5:$Q$3004,"&gt;0")-M519*P519^2)/(M519-1))))</f>
        <v/>
      </c>
      <c r="T519" s="17" t="str">
        <f aca="false">IF(S519="","",S519/P519)</f>
        <v/>
      </c>
      <c r="U519" s="16" t="str">
        <f aca="false">IF(N(M519)=0,"",IF(N519&gt;=CONFIG!$B$27,"",AVERAGEIFS(ENSAYOS!$Q$5:$Q$3004,ENSAYOS!$C$5:$C$3004,F519,ENSAYOS!$Q$5:$Q$3004,"&gt;0",ENSAYOS!$G$5:$G$3004,N519)))</f>
        <v/>
      </c>
      <c r="V519" s="16" t="str">
        <f aca="false">IF(N(M519)=0,"",IF(COUNTIFS(ENSAYOS!$C$5:$C$3004,F519,ENSAYOS!$Q$5:$Q$3004,"&gt;0",ENSAYOS!$G$5:$G$3004,"&gt;="&amp;CONFIG!$B$27)=0,"",AVERAGEIFS(ENSAYOS!$Q$5:$Q$3004,ENSAYOS!$C$5:$C$3004,F519,ENSAYOS!$Q$5:$Q$3004,"&gt;0",ENSAYOS!$G$5:$G$3004,"&gt;="&amp;CONFIG!$B$27)))</f>
        <v/>
      </c>
      <c r="W519" s="18" t="str">
        <f aca="false">IF(AND(U519&lt;&gt;"",V519&lt;&gt;""),U519/V519,"")</f>
        <v/>
      </c>
      <c r="X519" s="18" t="str">
        <f aca="false">IF(U519="","",INDEX('CURVA EDAD'!$E$5:$E$32,MIN(28,MAX(1,N519))))</f>
        <v/>
      </c>
      <c r="Y519" s="16" t="str">
        <f aca="false">IF(V519&lt;&gt;"",V519,IF(U519="","",U519/X519))</f>
        <v/>
      </c>
      <c r="Z519" s="16" t="str">
        <f aca="false">IF(V519&lt;&gt;"",_xlfn.MINIFS(ENSAYOS!$Q$5:$Q$3004,ENSAYOS!$C$5:$C$3004,F519,ENSAYOS!$Q$5:$Q$3004,"&gt;0",ENSAYOS!$G$5:$G$3004,"&gt;="&amp;CONFIG!$B$27),IF(U519="","",_xlfn.MINIFS(ENSAYOS!$Q$5:$Q$3004,ENSAYOS!$C$5:$C$3004,F519,ENSAYOS!$Q$5:$Q$3004,"&gt;0",ENSAYOS!$G$5:$G$3004,N519)/X519))</f>
        <v/>
      </c>
      <c r="AA519" s="16" t="str">
        <f aca="false">IF(D519="","",IFERROR(1/(1/INDEX(CONFIG!$J$5:$J$14,MATCH(D519,CONFIG!$D$5:$D$14,0))),""))</f>
        <v/>
      </c>
      <c r="AB519" s="16" t="str">
        <f aca="false">IF(D519="","",IFERROR(1/(1/INDEX(CONFIG!$K$5:$K$14,MATCH(D519,CONFIG!$D$5:$D$14,0))),""))</f>
        <v/>
      </c>
      <c r="AC519" s="19" t="str">
        <f aca="false">IF(N(M519)=0,"",IF(AA519="","Sin spec",IF(AND(Y519&gt;=AA519,OR(AB519="",Z519&gt;=AB519)),"CUMPLE","NO CUMPLE")&amp;IF(V519=""," (est.)","")))</f>
        <v/>
      </c>
      <c r="AD519" s="20" t="str">
        <f aca="false">IF(F519="","",IF(COUNTIFS(ABSORCION!$C$5:$C$1004,F519,ABSORCION!$I$5:$I$1004,"&gt;0")=0,"",AVERAGEIFS(ABSORCION!$I$5:$I$1004,ABSORCION!$C$5:$C$1004,F519,ABSORCION!$I$5:$I$1004,"&gt;0")))</f>
        <v/>
      </c>
      <c r="AE519" s="20" t="str">
        <f aca="false">IF(F519="","",IF(COUNTIFS(ABSORCION!$C$5:$C$1004,F519,ABSORCION!$I$5:$I$1004,"&gt;0")=0,"",AVERAGEIFS(ABSORCION!$K$5:$K$1004,ABSORCION!$C$5:$C$1004,F519,ABSORCION!$I$5:$I$1004,"&gt;0")))</f>
        <v/>
      </c>
      <c r="AF519" s="20" t="str">
        <f aca="false">IF(AE519="","",IF(AE519&gt;=CONFIG!$E$21,CONFIG!$F$21,IF(AE519&gt;=CONFIG!$E$20,CONFIG!$F$20,CONFIG!$F$19)))</f>
        <v/>
      </c>
      <c r="AG519" s="21" t="str">
        <f aca="false">IF(F519="","",TRIM(IF(N(M519)=0,"Sin ensayos. ","")&amp;IF(AND(N(M519)&gt;0,N(M519)&lt;CONFIG!$B$26),"Menos de "&amp;CONFIG!$B$26&amp;" probetas. ","")&amp;IF(N(T519)&gt;CONFIG!$B$25,"CV alto. ","")&amp;IF(AND(N(AD519)&gt;0,N(AD519)&gt;N(AF519)),"Absorción alta. ","")))</f>
        <v/>
      </c>
      <c r="AH519" s="22" t="str">
        <f aca="false">IF(AND(N(M519)&gt;0,OR(CONTROL!$C$4="TODAS",C519=CONTROL!$C$4),D519=CONTROL!$C$5),MAX($AH$4:AH518)+1,"")</f>
        <v/>
      </c>
      <c r="AI519" s="22" t="str">
        <f aca="false">IF(AH519="","",P519^2)</f>
        <v/>
      </c>
    </row>
    <row r="520" customFormat="false" ht="15" hidden="false" customHeight="false" outlineLevel="0" collapsed="false">
      <c r="A520" s="11" t="str">
        <f aca="false">IF(B520="","",ROW()-4)</f>
        <v/>
      </c>
      <c r="B520" s="12"/>
      <c r="C520" s="13"/>
      <c r="D520" s="13"/>
      <c r="E520" s="13"/>
      <c r="F520" s="14" t="str">
        <f aca="false">IF(OR(B520="",C520="",D520=""),"",IFERROR(INDEX(CONFIG!$E$5:$E$14,MATCH(D520,CONFIG!$D$5:$D$14,0)),"?")&amp;RIGHT("0"&amp;DAY(B520),2)&amp;RIGHT("0"&amp;MONTH(B520),2)&amp;RIGHT(YEAR(B520),2)&amp;C520&amp;IF(E520="","","-"&amp;E520))</f>
        <v/>
      </c>
      <c r="G520" s="13"/>
      <c r="H520" s="13"/>
      <c r="I520" s="13"/>
      <c r="J520" s="13"/>
      <c r="K520" s="13"/>
      <c r="L520" s="13"/>
      <c r="M520" s="11" t="str">
        <f aca="false">IF(F520="","",COUNTIFS(ENSAYOS!$C$5:$C$3004,F520,ENSAYOS!$Q$5:$Q$3004,"&gt;0"))</f>
        <v/>
      </c>
      <c r="N520" s="15" t="str">
        <f aca="false">IF(N(M520)=0,"",_xlfn.MINIFS(ENSAYOS!$G$5:$G$3004,ENSAYOS!$C$5:$C$3004,F520,ENSAYOS!$Q$5:$Q$3004,"&gt;0"))</f>
        <v/>
      </c>
      <c r="O520" s="15" t="str">
        <f aca="false">IF(N(M520)=0,"",_xlfn.MAXIFS(ENSAYOS!$G$5:$G$3004,ENSAYOS!$C$5:$C$3004,F520,ENSAYOS!$Q$5:$Q$3004,"&gt;0"))</f>
        <v/>
      </c>
      <c r="P520" s="16" t="str">
        <f aca="false">IF(N(M520)=0,"",AVERAGEIFS(ENSAYOS!$Q$5:$Q$3004,ENSAYOS!$C$5:$C$3004,F520,ENSAYOS!$Q$5:$Q$3004,"&gt;0"))</f>
        <v/>
      </c>
      <c r="Q520" s="16" t="str">
        <f aca="false">IF(N(M520)=0,"",_xlfn.MINIFS(ENSAYOS!$Q$5:$Q$3004,ENSAYOS!$C$5:$C$3004,F520,ENSAYOS!$Q$5:$Q$3004,"&gt;0"))</f>
        <v/>
      </c>
      <c r="R520" s="16" t="str">
        <f aca="false">IF(N(M520)=0,"",_xlfn.MAXIFS(ENSAYOS!$Q$5:$Q$3004,ENSAYOS!$C$5:$C$3004,F520,ENSAYOS!$Q$5:$Q$3004,"&gt;0"))</f>
        <v/>
      </c>
      <c r="S520" s="16" t="str">
        <f aca="false">IF(N(M520)&lt;2,"",SQRT(MAX(0,(SUMIFS(ENSAYOS!$X$5:$X$3004,ENSAYOS!$C$5:$C$3004,F520,ENSAYOS!$Q$5:$Q$3004,"&gt;0")-M520*P520^2)/(M520-1))))</f>
        <v/>
      </c>
      <c r="T520" s="17" t="str">
        <f aca="false">IF(S520="","",S520/P520)</f>
        <v/>
      </c>
      <c r="U520" s="16" t="str">
        <f aca="false">IF(N(M520)=0,"",IF(N520&gt;=CONFIG!$B$27,"",AVERAGEIFS(ENSAYOS!$Q$5:$Q$3004,ENSAYOS!$C$5:$C$3004,F520,ENSAYOS!$Q$5:$Q$3004,"&gt;0",ENSAYOS!$G$5:$G$3004,N520)))</f>
        <v/>
      </c>
      <c r="V520" s="16" t="str">
        <f aca="false">IF(N(M520)=0,"",IF(COUNTIFS(ENSAYOS!$C$5:$C$3004,F520,ENSAYOS!$Q$5:$Q$3004,"&gt;0",ENSAYOS!$G$5:$G$3004,"&gt;="&amp;CONFIG!$B$27)=0,"",AVERAGEIFS(ENSAYOS!$Q$5:$Q$3004,ENSAYOS!$C$5:$C$3004,F520,ENSAYOS!$Q$5:$Q$3004,"&gt;0",ENSAYOS!$G$5:$G$3004,"&gt;="&amp;CONFIG!$B$27)))</f>
        <v/>
      </c>
      <c r="W520" s="18" t="str">
        <f aca="false">IF(AND(U520&lt;&gt;"",V520&lt;&gt;""),U520/V520,"")</f>
        <v/>
      </c>
      <c r="X520" s="18" t="str">
        <f aca="false">IF(U520="","",INDEX('CURVA EDAD'!$E$5:$E$32,MIN(28,MAX(1,N520))))</f>
        <v/>
      </c>
      <c r="Y520" s="16" t="str">
        <f aca="false">IF(V520&lt;&gt;"",V520,IF(U520="","",U520/X520))</f>
        <v/>
      </c>
      <c r="Z520" s="16" t="str">
        <f aca="false">IF(V520&lt;&gt;"",_xlfn.MINIFS(ENSAYOS!$Q$5:$Q$3004,ENSAYOS!$C$5:$C$3004,F520,ENSAYOS!$Q$5:$Q$3004,"&gt;0",ENSAYOS!$G$5:$G$3004,"&gt;="&amp;CONFIG!$B$27),IF(U520="","",_xlfn.MINIFS(ENSAYOS!$Q$5:$Q$3004,ENSAYOS!$C$5:$C$3004,F520,ENSAYOS!$Q$5:$Q$3004,"&gt;0",ENSAYOS!$G$5:$G$3004,N520)/X520))</f>
        <v/>
      </c>
      <c r="AA520" s="16" t="str">
        <f aca="false">IF(D520="","",IFERROR(1/(1/INDEX(CONFIG!$J$5:$J$14,MATCH(D520,CONFIG!$D$5:$D$14,0))),""))</f>
        <v/>
      </c>
      <c r="AB520" s="16" t="str">
        <f aca="false">IF(D520="","",IFERROR(1/(1/INDEX(CONFIG!$K$5:$K$14,MATCH(D520,CONFIG!$D$5:$D$14,0))),""))</f>
        <v/>
      </c>
      <c r="AC520" s="19" t="str">
        <f aca="false">IF(N(M520)=0,"",IF(AA520="","Sin spec",IF(AND(Y520&gt;=AA520,OR(AB520="",Z520&gt;=AB520)),"CUMPLE","NO CUMPLE")&amp;IF(V520=""," (est.)","")))</f>
        <v/>
      </c>
      <c r="AD520" s="20" t="str">
        <f aca="false">IF(F520="","",IF(COUNTIFS(ABSORCION!$C$5:$C$1004,F520,ABSORCION!$I$5:$I$1004,"&gt;0")=0,"",AVERAGEIFS(ABSORCION!$I$5:$I$1004,ABSORCION!$C$5:$C$1004,F520,ABSORCION!$I$5:$I$1004,"&gt;0")))</f>
        <v/>
      </c>
      <c r="AE520" s="20" t="str">
        <f aca="false">IF(F520="","",IF(COUNTIFS(ABSORCION!$C$5:$C$1004,F520,ABSORCION!$I$5:$I$1004,"&gt;0")=0,"",AVERAGEIFS(ABSORCION!$K$5:$K$1004,ABSORCION!$C$5:$C$1004,F520,ABSORCION!$I$5:$I$1004,"&gt;0")))</f>
        <v/>
      </c>
      <c r="AF520" s="20" t="str">
        <f aca="false">IF(AE520="","",IF(AE520&gt;=CONFIG!$E$21,CONFIG!$F$21,IF(AE520&gt;=CONFIG!$E$20,CONFIG!$F$20,CONFIG!$F$19)))</f>
        <v/>
      </c>
      <c r="AG520" s="21" t="str">
        <f aca="false">IF(F520="","",TRIM(IF(N(M520)=0,"Sin ensayos. ","")&amp;IF(AND(N(M520)&gt;0,N(M520)&lt;CONFIG!$B$26),"Menos de "&amp;CONFIG!$B$26&amp;" probetas. ","")&amp;IF(N(T520)&gt;CONFIG!$B$25,"CV alto. ","")&amp;IF(AND(N(AD520)&gt;0,N(AD520)&gt;N(AF520)),"Absorción alta. ","")))</f>
        <v/>
      </c>
      <c r="AH520" s="22" t="str">
        <f aca="false">IF(AND(N(M520)&gt;0,OR(CONTROL!$C$4="TODAS",C520=CONTROL!$C$4),D520=CONTROL!$C$5),MAX($AH$4:AH519)+1,"")</f>
        <v/>
      </c>
      <c r="AI520" s="22" t="str">
        <f aca="false">IF(AH520="","",P520^2)</f>
        <v/>
      </c>
    </row>
    <row r="521" customFormat="false" ht="15" hidden="false" customHeight="false" outlineLevel="0" collapsed="false">
      <c r="A521" s="11" t="str">
        <f aca="false">IF(B521="","",ROW()-4)</f>
        <v/>
      </c>
      <c r="B521" s="12"/>
      <c r="C521" s="13"/>
      <c r="D521" s="13"/>
      <c r="E521" s="13"/>
      <c r="F521" s="14" t="str">
        <f aca="false">IF(OR(B521="",C521="",D521=""),"",IFERROR(INDEX(CONFIG!$E$5:$E$14,MATCH(D521,CONFIG!$D$5:$D$14,0)),"?")&amp;RIGHT("0"&amp;DAY(B521),2)&amp;RIGHT("0"&amp;MONTH(B521),2)&amp;RIGHT(YEAR(B521),2)&amp;C521&amp;IF(E521="","","-"&amp;E521))</f>
        <v/>
      </c>
      <c r="G521" s="13"/>
      <c r="H521" s="13"/>
      <c r="I521" s="13"/>
      <c r="J521" s="13"/>
      <c r="K521" s="13"/>
      <c r="L521" s="13"/>
      <c r="M521" s="11" t="str">
        <f aca="false">IF(F521="","",COUNTIFS(ENSAYOS!$C$5:$C$3004,F521,ENSAYOS!$Q$5:$Q$3004,"&gt;0"))</f>
        <v/>
      </c>
      <c r="N521" s="15" t="str">
        <f aca="false">IF(N(M521)=0,"",_xlfn.MINIFS(ENSAYOS!$G$5:$G$3004,ENSAYOS!$C$5:$C$3004,F521,ENSAYOS!$Q$5:$Q$3004,"&gt;0"))</f>
        <v/>
      </c>
      <c r="O521" s="15" t="str">
        <f aca="false">IF(N(M521)=0,"",_xlfn.MAXIFS(ENSAYOS!$G$5:$G$3004,ENSAYOS!$C$5:$C$3004,F521,ENSAYOS!$Q$5:$Q$3004,"&gt;0"))</f>
        <v/>
      </c>
      <c r="P521" s="16" t="str">
        <f aca="false">IF(N(M521)=0,"",AVERAGEIFS(ENSAYOS!$Q$5:$Q$3004,ENSAYOS!$C$5:$C$3004,F521,ENSAYOS!$Q$5:$Q$3004,"&gt;0"))</f>
        <v/>
      </c>
      <c r="Q521" s="16" t="str">
        <f aca="false">IF(N(M521)=0,"",_xlfn.MINIFS(ENSAYOS!$Q$5:$Q$3004,ENSAYOS!$C$5:$C$3004,F521,ENSAYOS!$Q$5:$Q$3004,"&gt;0"))</f>
        <v/>
      </c>
      <c r="R521" s="16" t="str">
        <f aca="false">IF(N(M521)=0,"",_xlfn.MAXIFS(ENSAYOS!$Q$5:$Q$3004,ENSAYOS!$C$5:$C$3004,F521,ENSAYOS!$Q$5:$Q$3004,"&gt;0"))</f>
        <v/>
      </c>
      <c r="S521" s="16" t="str">
        <f aca="false">IF(N(M521)&lt;2,"",SQRT(MAX(0,(SUMIFS(ENSAYOS!$X$5:$X$3004,ENSAYOS!$C$5:$C$3004,F521,ENSAYOS!$Q$5:$Q$3004,"&gt;0")-M521*P521^2)/(M521-1))))</f>
        <v/>
      </c>
      <c r="T521" s="17" t="str">
        <f aca="false">IF(S521="","",S521/P521)</f>
        <v/>
      </c>
      <c r="U521" s="16" t="str">
        <f aca="false">IF(N(M521)=0,"",IF(N521&gt;=CONFIG!$B$27,"",AVERAGEIFS(ENSAYOS!$Q$5:$Q$3004,ENSAYOS!$C$5:$C$3004,F521,ENSAYOS!$Q$5:$Q$3004,"&gt;0",ENSAYOS!$G$5:$G$3004,N521)))</f>
        <v/>
      </c>
      <c r="V521" s="16" t="str">
        <f aca="false">IF(N(M521)=0,"",IF(COUNTIFS(ENSAYOS!$C$5:$C$3004,F521,ENSAYOS!$Q$5:$Q$3004,"&gt;0",ENSAYOS!$G$5:$G$3004,"&gt;="&amp;CONFIG!$B$27)=0,"",AVERAGEIFS(ENSAYOS!$Q$5:$Q$3004,ENSAYOS!$C$5:$C$3004,F521,ENSAYOS!$Q$5:$Q$3004,"&gt;0",ENSAYOS!$G$5:$G$3004,"&gt;="&amp;CONFIG!$B$27)))</f>
        <v/>
      </c>
      <c r="W521" s="18" t="str">
        <f aca="false">IF(AND(U521&lt;&gt;"",V521&lt;&gt;""),U521/V521,"")</f>
        <v/>
      </c>
      <c r="X521" s="18" t="str">
        <f aca="false">IF(U521="","",INDEX('CURVA EDAD'!$E$5:$E$32,MIN(28,MAX(1,N521))))</f>
        <v/>
      </c>
      <c r="Y521" s="16" t="str">
        <f aca="false">IF(V521&lt;&gt;"",V521,IF(U521="","",U521/X521))</f>
        <v/>
      </c>
      <c r="Z521" s="16" t="str">
        <f aca="false">IF(V521&lt;&gt;"",_xlfn.MINIFS(ENSAYOS!$Q$5:$Q$3004,ENSAYOS!$C$5:$C$3004,F521,ENSAYOS!$Q$5:$Q$3004,"&gt;0",ENSAYOS!$G$5:$G$3004,"&gt;="&amp;CONFIG!$B$27),IF(U521="","",_xlfn.MINIFS(ENSAYOS!$Q$5:$Q$3004,ENSAYOS!$C$5:$C$3004,F521,ENSAYOS!$Q$5:$Q$3004,"&gt;0",ENSAYOS!$G$5:$G$3004,N521)/X521))</f>
        <v/>
      </c>
      <c r="AA521" s="16" t="str">
        <f aca="false">IF(D521="","",IFERROR(1/(1/INDEX(CONFIG!$J$5:$J$14,MATCH(D521,CONFIG!$D$5:$D$14,0))),""))</f>
        <v/>
      </c>
      <c r="AB521" s="16" t="str">
        <f aca="false">IF(D521="","",IFERROR(1/(1/INDEX(CONFIG!$K$5:$K$14,MATCH(D521,CONFIG!$D$5:$D$14,0))),""))</f>
        <v/>
      </c>
      <c r="AC521" s="19" t="str">
        <f aca="false">IF(N(M521)=0,"",IF(AA521="","Sin spec",IF(AND(Y521&gt;=AA521,OR(AB521="",Z521&gt;=AB521)),"CUMPLE","NO CUMPLE")&amp;IF(V521=""," (est.)","")))</f>
        <v/>
      </c>
      <c r="AD521" s="20" t="str">
        <f aca="false">IF(F521="","",IF(COUNTIFS(ABSORCION!$C$5:$C$1004,F521,ABSORCION!$I$5:$I$1004,"&gt;0")=0,"",AVERAGEIFS(ABSORCION!$I$5:$I$1004,ABSORCION!$C$5:$C$1004,F521,ABSORCION!$I$5:$I$1004,"&gt;0")))</f>
        <v/>
      </c>
      <c r="AE521" s="20" t="str">
        <f aca="false">IF(F521="","",IF(COUNTIFS(ABSORCION!$C$5:$C$1004,F521,ABSORCION!$I$5:$I$1004,"&gt;0")=0,"",AVERAGEIFS(ABSORCION!$K$5:$K$1004,ABSORCION!$C$5:$C$1004,F521,ABSORCION!$I$5:$I$1004,"&gt;0")))</f>
        <v/>
      </c>
      <c r="AF521" s="20" t="str">
        <f aca="false">IF(AE521="","",IF(AE521&gt;=CONFIG!$E$21,CONFIG!$F$21,IF(AE521&gt;=CONFIG!$E$20,CONFIG!$F$20,CONFIG!$F$19)))</f>
        <v/>
      </c>
      <c r="AG521" s="21" t="str">
        <f aca="false">IF(F521="","",TRIM(IF(N(M521)=0,"Sin ensayos. ","")&amp;IF(AND(N(M521)&gt;0,N(M521)&lt;CONFIG!$B$26),"Menos de "&amp;CONFIG!$B$26&amp;" probetas. ","")&amp;IF(N(T521)&gt;CONFIG!$B$25,"CV alto. ","")&amp;IF(AND(N(AD521)&gt;0,N(AD521)&gt;N(AF521)),"Absorción alta. ","")))</f>
        <v/>
      </c>
      <c r="AH521" s="22" t="str">
        <f aca="false">IF(AND(N(M521)&gt;0,OR(CONTROL!$C$4="TODAS",C521=CONTROL!$C$4),D521=CONTROL!$C$5),MAX($AH$4:AH520)+1,"")</f>
        <v/>
      </c>
      <c r="AI521" s="22" t="str">
        <f aca="false">IF(AH521="","",P521^2)</f>
        <v/>
      </c>
    </row>
    <row r="522" customFormat="false" ht="15" hidden="false" customHeight="false" outlineLevel="0" collapsed="false">
      <c r="A522" s="11" t="str">
        <f aca="false">IF(B522="","",ROW()-4)</f>
        <v/>
      </c>
      <c r="B522" s="12"/>
      <c r="C522" s="13"/>
      <c r="D522" s="13"/>
      <c r="E522" s="13"/>
      <c r="F522" s="14" t="str">
        <f aca="false">IF(OR(B522="",C522="",D522=""),"",IFERROR(INDEX(CONFIG!$E$5:$E$14,MATCH(D522,CONFIG!$D$5:$D$14,0)),"?")&amp;RIGHT("0"&amp;DAY(B522),2)&amp;RIGHT("0"&amp;MONTH(B522),2)&amp;RIGHT(YEAR(B522),2)&amp;C522&amp;IF(E522="","","-"&amp;E522))</f>
        <v/>
      </c>
      <c r="G522" s="13"/>
      <c r="H522" s="13"/>
      <c r="I522" s="13"/>
      <c r="J522" s="13"/>
      <c r="K522" s="13"/>
      <c r="L522" s="13"/>
      <c r="M522" s="11" t="str">
        <f aca="false">IF(F522="","",COUNTIFS(ENSAYOS!$C$5:$C$3004,F522,ENSAYOS!$Q$5:$Q$3004,"&gt;0"))</f>
        <v/>
      </c>
      <c r="N522" s="15" t="str">
        <f aca="false">IF(N(M522)=0,"",_xlfn.MINIFS(ENSAYOS!$G$5:$G$3004,ENSAYOS!$C$5:$C$3004,F522,ENSAYOS!$Q$5:$Q$3004,"&gt;0"))</f>
        <v/>
      </c>
      <c r="O522" s="15" t="str">
        <f aca="false">IF(N(M522)=0,"",_xlfn.MAXIFS(ENSAYOS!$G$5:$G$3004,ENSAYOS!$C$5:$C$3004,F522,ENSAYOS!$Q$5:$Q$3004,"&gt;0"))</f>
        <v/>
      </c>
      <c r="P522" s="16" t="str">
        <f aca="false">IF(N(M522)=0,"",AVERAGEIFS(ENSAYOS!$Q$5:$Q$3004,ENSAYOS!$C$5:$C$3004,F522,ENSAYOS!$Q$5:$Q$3004,"&gt;0"))</f>
        <v/>
      </c>
      <c r="Q522" s="16" t="str">
        <f aca="false">IF(N(M522)=0,"",_xlfn.MINIFS(ENSAYOS!$Q$5:$Q$3004,ENSAYOS!$C$5:$C$3004,F522,ENSAYOS!$Q$5:$Q$3004,"&gt;0"))</f>
        <v/>
      </c>
      <c r="R522" s="16" t="str">
        <f aca="false">IF(N(M522)=0,"",_xlfn.MAXIFS(ENSAYOS!$Q$5:$Q$3004,ENSAYOS!$C$5:$C$3004,F522,ENSAYOS!$Q$5:$Q$3004,"&gt;0"))</f>
        <v/>
      </c>
      <c r="S522" s="16" t="str">
        <f aca="false">IF(N(M522)&lt;2,"",SQRT(MAX(0,(SUMIFS(ENSAYOS!$X$5:$X$3004,ENSAYOS!$C$5:$C$3004,F522,ENSAYOS!$Q$5:$Q$3004,"&gt;0")-M522*P522^2)/(M522-1))))</f>
        <v/>
      </c>
      <c r="T522" s="17" t="str">
        <f aca="false">IF(S522="","",S522/P522)</f>
        <v/>
      </c>
      <c r="U522" s="16" t="str">
        <f aca="false">IF(N(M522)=0,"",IF(N522&gt;=CONFIG!$B$27,"",AVERAGEIFS(ENSAYOS!$Q$5:$Q$3004,ENSAYOS!$C$5:$C$3004,F522,ENSAYOS!$Q$5:$Q$3004,"&gt;0",ENSAYOS!$G$5:$G$3004,N522)))</f>
        <v/>
      </c>
      <c r="V522" s="16" t="str">
        <f aca="false">IF(N(M522)=0,"",IF(COUNTIFS(ENSAYOS!$C$5:$C$3004,F522,ENSAYOS!$Q$5:$Q$3004,"&gt;0",ENSAYOS!$G$5:$G$3004,"&gt;="&amp;CONFIG!$B$27)=0,"",AVERAGEIFS(ENSAYOS!$Q$5:$Q$3004,ENSAYOS!$C$5:$C$3004,F522,ENSAYOS!$Q$5:$Q$3004,"&gt;0",ENSAYOS!$G$5:$G$3004,"&gt;="&amp;CONFIG!$B$27)))</f>
        <v/>
      </c>
      <c r="W522" s="18" t="str">
        <f aca="false">IF(AND(U522&lt;&gt;"",V522&lt;&gt;""),U522/V522,"")</f>
        <v/>
      </c>
      <c r="X522" s="18" t="str">
        <f aca="false">IF(U522="","",INDEX('CURVA EDAD'!$E$5:$E$32,MIN(28,MAX(1,N522))))</f>
        <v/>
      </c>
      <c r="Y522" s="16" t="str">
        <f aca="false">IF(V522&lt;&gt;"",V522,IF(U522="","",U522/X522))</f>
        <v/>
      </c>
      <c r="Z522" s="16" t="str">
        <f aca="false">IF(V522&lt;&gt;"",_xlfn.MINIFS(ENSAYOS!$Q$5:$Q$3004,ENSAYOS!$C$5:$C$3004,F522,ENSAYOS!$Q$5:$Q$3004,"&gt;0",ENSAYOS!$G$5:$G$3004,"&gt;="&amp;CONFIG!$B$27),IF(U522="","",_xlfn.MINIFS(ENSAYOS!$Q$5:$Q$3004,ENSAYOS!$C$5:$C$3004,F522,ENSAYOS!$Q$5:$Q$3004,"&gt;0",ENSAYOS!$G$5:$G$3004,N522)/X522))</f>
        <v/>
      </c>
      <c r="AA522" s="16" t="str">
        <f aca="false">IF(D522="","",IFERROR(1/(1/INDEX(CONFIG!$J$5:$J$14,MATCH(D522,CONFIG!$D$5:$D$14,0))),""))</f>
        <v/>
      </c>
      <c r="AB522" s="16" t="str">
        <f aca="false">IF(D522="","",IFERROR(1/(1/INDEX(CONFIG!$K$5:$K$14,MATCH(D522,CONFIG!$D$5:$D$14,0))),""))</f>
        <v/>
      </c>
      <c r="AC522" s="19" t="str">
        <f aca="false">IF(N(M522)=0,"",IF(AA522="","Sin spec",IF(AND(Y522&gt;=AA522,OR(AB522="",Z522&gt;=AB522)),"CUMPLE","NO CUMPLE")&amp;IF(V522=""," (est.)","")))</f>
        <v/>
      </c>
      <c r="AD522" s="20" t="str">
        <f aca="false">IF(F522="","",IF(COUNTIFS(ABSORCION!$C$5:$C$1004,F522,ABSORCION!$I$5:$I$1004,"&gt;0")=0,"",AVERAGEIFS(ABSORCION!$I$5:$I$1004,ABSORCION!$C$5:$C$1004,F522,ABSORCION!$I$5:$I$1004,"&gt;0")))</f>
        <v/>
      </c>
      <c r="AE522" s="20" t="str">
        <f aca="false">IF(F522="","",IF(COUNTIFS(ABSORCION!$C$5:$C$1004,F522,ABSORCION!$I$5:$I$1004,"&gt;0")=0,"",AVERAGEIFS(ABSORCION!$K$5:$K$1004,ABSORCION!$C$5:$C$1004,F522,ABSORCION!$I$5:$I$1004,"&gt;0")))</f>
        <v/>
      </c>
      <c r="AF522" s="20" t="str">
        <f aca="false">IF(AE522="","",IF(AE522&gt;=CONFIG!$E$21,CONFIG!$F$21,IF(AE522&gt;=CONFIG!$E$20,CONFIG!$F$20,CONFIG!$F$19)))</f>
        <v/>
      </c>
      <c r="AG522" s="21" t="str">
        <f aca="false">IF(F522="","",TRIM(IF(N(M522)=0,"Sin ensayos. ","")&amp;IF(AND(N(M522)&gt;0,N(M522)&lt;CONFIG!$B$26),"Menos de "&amp;CONFIG!$B$26&amp;" probetas. ","")&amp;IF(N(T522)&gt;CONFIG!$B$25,"CV alto. ","")&amp;IF(AND(N(AD522)&gt;0,N(AD522)&gt;N(AF522)),"Absorción alta. ","")))</f>
        <v/>
      </c>
      <c r="AH522" s="22" t="str">
        <f aca="false">IF(AND(N(M522)&gt;0,OR(CONTROL!$C$4="TODAS",C522=CONTROL!$C$4),D522=CONTROL!$C$5),MAX($AH$4:AH521)+1,"")</f>
        <v/>
      </c>
      <c r="AI522" s="22" t="str">
        <f aca="false">IF(AH522="","",P522^2)</f>
        <v/>
      </c>
    </row>
    <row r="523" customFormat="false" ht="15" hidden="false" customHeight="false" outlineLevel="0" collapsed="false">
      <c r="A523" s="11" t="str">
        <f aca="false">IF(B523="","",ROW()-4)</f>
        <v/>
      </c>
      <c r="B523" s="12"/>
      <c r="C523" s="13"/>
      <c r="D523" s="13"/>
      <c r="E523" s="13"/>
      <c r="F523" s="14" t="str">
        <f aca="false">IF(OR(B523="",C523="",D523=""),"",IFERROR(INDEX(CONFIG!$E$5:$E$14,MATCH(D523,CONFIG!$D$5:$D$14,0)),"?")&amp;RIGHT("0"&amp;DAY(B523),2)&amp;RIGHT("0"&amp;MONTH(B523),2)&amp;RIGHT(YEAR(B523),2)&amp;C523&amp;IF(E523="","","-"&amp;E523))</f>
        <v/>
      </c>
      <c r="G523" s="13"/>
      <c r="H523" s="13"/>
      <c r="I523" s="13"/>
      <c r="J523" s="13"/>
      <c r="K523" s="13"/>
      <c r="L523" s="13"/>
      <c r="M523" s="11" t="str">
        <f aca="false">IF(F523="","",COUNTIFS(ENSAYOS!$C$5:$C$3004,F523,ENSAYOS!$Q$5:$Q$3004,"&gt;0"))</f>
        <v/>
      </c>
      <c r="N523" s="15" t="str">
        <f aca="false">IF(N(M523)=0,"",_xlfn.MINIFS(ENSAYOS!$G$5:$G$3004,ENSAYOS!$C$5:$C$3004,F523,ENSAYOS!$Q$5:$Q$3004,"&gt;0"))</f>
        <v/>
      </c>
      <c r="O523" s="15" t="str">
        <f aca="false">IF(N(M523)=0,"",_xlfn.MAXIFS(ENSAYOS!$G$5:$G$3004,ENSAYOS!$C$5:$C$3004,F523,ENSAYOS!$Q$5:$Q$3004,"&gt;0"))</f>
        <v/>
      </c>
      <c r="P523" s="16" t="str">
        <f aca="false">IF(N(M523)=0,"",AVERAGEIFS(ENSAYOS!$Q$5:$Q$3004,ENSAYOS!$C$5:$C$3004,F523,ENSAYOS!$Q$5:$Q$3004,"&gt;0"))</f>
        <v/>
      </c>
      <c r="Q523" s="16" t="str">
        <f aca="false">IF(N(M523)=0,"",_xlfn.MINIFS(ENSAYOS!$Q$5:$Q$3004,ENSAYOS!$C$5:$C$3004,F523,ENSAYOS!$Q$5:$Q$3004,"&gt;0"))</f>
        <v/>
      </c>
      <c r="R523" s="16" t="str">
        <f aca="false">IF(N(M523)=0,"",_xlfn.MAXIFS(ENSAYOS!$Q$5:$Q$3004,ENSAYOS!$C$5:$C$3004,F523,ENSAYOS!$Q$5:$Q$3004,"&gt;0"))</f>
        <v/>
      </c>
      <c r="S523" s="16" t="str">
        <f aca="false">IF(N(M523)&lt;2,"",SQRT(MAX(0,(SUMIFS(ENSAYOS!$X$5:$X$3004,ENSAYOS!$C$5:$C$3004,F523,ENSAYOS!$Q$5:$Q$3004,"&gt;0")-M523*P523^2)/(M523-1))))</f>
        <v/>
      </c>
      <c r="T523" s="17" t="str">
        <f aca="false">IF(S523="","",S523/P523)</f>
        <v/>
      </c>
      <c r="U523" s="16" t="str">
        <f aca="false">IF(N(M523)=0,"",IF(N523&gt;=CONFIG!$B$27,"",AVERAGEIFS(ENSAYOS!$Q$5:$Q$3004,ENSAYOS!$C$5:$C$3004,F523,ENSAYOS!$Q$5:$Q$3004,"&gt;0",ENSAYOS!$G$5:$G$3004,N523)))</f>
        <v/>
      </c>
      <c r="V523" s="16" t="str">
        <f aca="false">IF(N(M523)=0,"",IF(COUNTIFS(ENSAYOS!$C$5:$C$3004,F523,ENSAYOS!$Q$5:$Q$3004,"&gt;0",ENSAYOS!$G$5:$G$3004,"&gt;="&amp;CONFIG!$B$27)=0,"",AVERAGEIFS(ENSAYOS!$Q$5:$Q$3004,ENSAYOS!$C$5:$C$3004,F523,ENSAYOS!$Q$5:$Q$3004,"&gt;0",ENSAYOS!$G$5:$G$3004,"&gt;="&amp;CONFIG!$B$27)))</f>
        <v/>
      </c>
      <c r="W523" s="18" t="str">
        <f aca="false">IF(AND(U523&lt;&gt;"",V523&lt;&gt;""),U523/V523,"")</f>
        <v/>
      </c>
      <c r="X523" s="18" t="str">
        <f aca="false">IF(U523="","",INDEX('CURVA EDAD'!$E$5:$E$32,MIN(28,MAX(1,N523))))</f>
        <v/>
      </c>
      <c r="Y523" s="16" t="str">
        <f aca="false">IF(V523&lt;&gt;"",V523,IF(U523="","",U523/X523))</f>
        <v/>
      </c>
      <c r="Z523" s="16" t="str">
        <f aca="false">IF(V523&lt;&gt;"",_xlfn.MINIFS(ENSAYOS!$Q$5:$Q$3004,ENSAYOS!$C$5:$C$3004,F523,ENSAYOS!$Q$5:$Q$3004,"&gt;0",ENSAYOS!$G$5:$G$3004,"&gt;="&amp;CONFIG!$B$27),IF(U523="","",_xlfn.MINIFS(ENSAYOS!$Q$5:$Q$3004,ENSAYOS!$C$5:$C$3004,F523,ENSAYOS!$Q$5:$Q$3004,"&gt;0",ENSAYOS!$G$5:$G$3004,N523)/X523))</f>
        <v/>
      </c>
      <c r="AA523" s="16" t="str">
        <f aca="false">IF(D523="","",IFERROR(1/(1/INDEX(CONFIG!$J$5:$J$14,MATCH(D523,CONFIG!$D$5:$D$14,0))),""))</f>
        <v/>
      </c>
      <c r="AB523" s="16" t="str">
        <f aca="false">IF(D523="","",IFERROR(1/(1/INDEX(CONFIG!$K$5:$K$14,MATCH(D523,CONFIG!$D$5:$D$14,0))),""))</f>
        <v/>
      </c>
      <c r="AC523" s="19" t="str">
        <f aca="false">IF(N(M523)=0,"",IF(AA523="","Sin spec",IF(AND(Y523&gt;=AA523,OR(AB523="",Z523&gt;=AB523)),"CUMPLE","NO CUMPLE")&amp;IF(V523=""," (est.)","")))</f>
        <v/>
      </c>
      <c r="AD523" s="20" t="str">
        <f aca="false">IF(F523="","",IF(COUNTIFS(ABSORCION!$C$5:$C$1004,F523,ABSORCION!$I$5:$I$1004,"&gt;0")=0,"",AVERAGEIFS(ABSORCION!$I$5:$I$1004,ABSORCION!$C$5:$C$1004,F523,ABSORCION!$I$5:$I$1004,"&gt;0")))</f>
        <v/>
      </c>
      <c r="AE523" s="20" t="str">
        <f aca="false">IF(F523="","",IF(COUNTIFS(ABSORCION!$C$5:$C$1004,F523,ABSORCION!$I$5:$I$1004,"&gt;0")=0,"",AVERAGEIFS(ABSORCION!$K$5:$K$1004,ABSORCION!$C$5:$C$1004,F523,ABSORCION!$I$5:$I$1004,"&gt;0")))</f>
        <v/>
      </c>
      <c r="AF523" s="20" t="str">
        <f aca="false">IF(AE523="","",IF(AE523&gt;=CONFIG!$E$21,CONFIG!$F$21,IF(AE523&gt;=CONFIG!$E$20,CONFIG!$F$20,CONFIG!$F$19)))</f>
        <v/>
      </c>
      <c r="AG523" s="21" t="str">
        <f aca="false">IF(F523="","",TRIM(IF(N(M523)=0,"Sin ensayos. ","")&amp;IF(AND(N(M523)&gt;0,N(M523)&lt;CONFIG!$B$26),"Menos de "&amp;CONFIG!$B$26&amp;" probetas. ","")&amp;IF(N(T523)&gt;CONFIG!$B$25,"CV alto. ","")&amp;IF(AND(N(AD523)&gt;0,N(AD523)&gt;N(AF523)),"Absorción alta. ","")))</f>
        <v/>
      </c>
      <c r="AH523" s="22" t="str">
        <f aca="false">IF(AND(N(M523)&gt;0,OR(CONTROL!$C$4="TODAS",C523=CONTROL!$C$4),D523=CONTROL!$C$5),MAX($AH$4:AH522)+1,"")</f>
        <v/>
      </c>
      <c r="AI523" s="22" t="str">
        <f aca="false">IF(AH523="","",P523^2)</f>
        <v/>
      </c>
    </row>
    <row r="524" customFormat="false" ht="15" hidden="false" customHeight="false" outlineLevel="0" collapsed="false">
      <c r="A524" s="11" t="str">
        <f aca="false">IF(B524="","",ROW()-4)</f>
        <v/>
      </c>
      <c r="B524" s="12"/>
      <c r="C524" s="13"/>
      <c r="D524" s="13"/>
      <c r="E524" s="13"/>
      <c r="F524" s="14" t="str">
        <f aca="false">IF(OR(B524="",C524="",D524=""),"",IFERROR(INDEX(CONFIG!$E$5:$E$14,MATCH(D524,CONFIG!$D$5:$D$14,0)),"?")&amp;RIGHT("0"&amp;DAY(B524),2)&amp;RIGHT("0"&amp;MONTH(B524),2)&amp;RIGHT(YEAR(B524),2)&amp;C524&amp;IF(E524="","","-"&amp;E524))</f>
        <v/>
      </c>
      <c r="G524" s="13"/>
      <c r="H524" s="13"/>
      <c r="I524" s="13"/>
      <c r="J524" s="13"/>
      <c r="K524" s="13"/>
      <c r="L524" s="13"/>
      <c r="M524" s="11" t="str">
        <f aca="false">IF(F524="","",COUNTIFS(ENSAYOS!$C$5:$C$3004,F524,ENSAYOS!$Q$5:$Q$3004,"&gt;0"))</f>
        <v/>
      </c>
      <c r="N524" s="15" t="str">
        <f aca="false">IF(N(M524)=0,"",_xlfn.MINIFS(ENSAYOS!$G$5:$G$3004,ENSAYOS!$C$5:$C$3004,F524,ENSAYOS!$Q$5:$Q$3004,"&gt;0"))</f>
        <v/>
      </c>
      <c r="O524" s="15" t="str">
        <f aca="false">IF(N(M524)=0,"",_xlfn.MAXIFS(ENSAYOS!$G$5:$G$3004,ENSAYOS!$C$5:$C$3004,F524,ENSAYOS!$Q$5:$Q$3004,"&gt;0"))</f>
        <v/>
      </c>
      <c r="P524" s="16" t="str">
        <f aca="false">IF(N(M524)=0,"",AVERAGEIFS(ENSAYOS!$Q$5:$Q$3004,ENSAYOS!$C$5:$C$3004,F524,ENSAYOS!$Q$5:$Q$3004,"&gt;0"))</f>
        <v/>
      </c>
      <c r="Q524" s="16" t="str">
        <f aca="false">IF(N(M524)=0,"",_xlfn.MINIFS(ENSAYOS!$Q$5:$Q$3004,ENSAYOS!$C$5:$C$3004,F524,ENSAYOS!$Q$5:$Q$3004,"&gt;0"))</f>
        <v/>
      </c>
      <c r="R524" s="16" t="str">
        <f aca="false">IF(N(M524)=0,"",_xlfn.MAXIFS(ENSAYOS!$Q$5:$Q$3004,ENSAYOS!$C$5:$C$3004,F524,ENSAYOS!$Q$5:$Q$3004,"&gt;0"))</f>
        <v/>
      </c>
      <c r="S524" s="16" t="str">
        <f aca="false">IF(N(M524)&lt;2,"",SQRT(MAX(0,(SUMIFS(ENSAYOS!$X$5:$X$3004,ENSAYOS!$C$5:$C$3004,F524,ENSAYOS!$Q$5:$Q$3004,"&gt;0")-M524*P524^2)/(M524-1))))</f>
        <v/>
      </c>
      <c r="T524" s="17" t="str">
        <f aca="false">IF(S524="","",S524/P524)</f>
        <v/>
      </c>
      <c r="U524" s="16" t="str">
        <f aca="false">IF(N(M524)=0,"",IF(N524&gt;=CONFIG!$B$27,"",AVERAGEIFS(ENSAYOS!$Q$5:$Q$3004,ENSAYOS!$C$5:$C$3004,F524,ENSAYOS!$Q$5:$Q$3004,"&gt;0",ENSAYOS!$G$5:$G$3004,N524)))</f>
        <v/>
      </c>
      <c r="V524" s="16" t="str">
        <f aca="false">IF(N(M524)=0,"",IF(COUNTIFS(ENSAYOS!$C$5:$C$3004,F524,ENSAYOS!$Q$5:$Q$3004,"&gt;0",ENSAYOS!$G$5:$G$3004,"&gt;="&amp;CONFIG!$B$27)=0,"",AVERAGEIFS(ENSAYOS!$Q$5:$Q$3004,ENSAYOS!$C$5:$C$3004,F524,ENSAYOS!$Q$5:$Q$3004,"&gt;0",ENSAYOS!$G$5:$G$3004,"&gt;="&amp;CONFIG!$B$27)))</f>
        <v/>
      </c>
      <c r="W524" s="18" t="str">
        <f aca="false">IF(AND(U524&lt;&gt;"",V524&lt;&gt;""),U524/V524,"")</f>
        <v/>
      </c>
      <c r="X524" s="18" t="str">
        <f aca="false">IF(U524="","",INDEX('CURVA EDAD'!$E$5:$E$32,MIN(28,MAX(1,N524))))</f>
        <v/>
      </c>
      <c r="Y524" s="16" t="str">
        <f aca="false">IF(V524&lt;&gt;"",V524,IF(U524="","",U524/X524))</f>
        <v/>
      </c>
      <c r="Z524" s="16" t="str">
        <f aca="false">IF(V524&lt;&gt;"",_xlfn.MINIFS(ENSAYOS!$Q$5:$Q$3004,ENSAYOS!$C$5:$C$3004,F524,ENSAYOS!$Q$5:$Q$3004,"&gt;0",ENSAYOS!$G$5:$G$3004,"&gt;="&amp;CONFIG!$B$27),IF(U524="","",_xlfn.MINIFS(ENSAYOS!$Q$5:$Q$3004,ENSAYOS!$C$5:$C$3004,F524,ENSAYOS!$Q$5:$Q$3004,"&gt;0",ENSAYOS!$G$5:$G$3004,N524)/X524))</f>
        <v/>
      </c>
      <c r="AA524" s="16" t="str">
        <f aca="false">IF(D524="","",IFERROR(1/(1/INDEX(CONFIG!$J$5:$J$14,MATCH(D524,CONFIG!$D$5:$D$14,0))),""))</f>
        <v/>
      </c>
      <c r="AB524" s="16" t="str">
        <f aca="false">IF(D524="","",IFERROR(1/(1/INDEX(CONFIG!$K$5:$K$14,MATCH(D524,CONFIG!$D$5:$D$14,0))),""))</f>
        <v/>
      </c>
      <c r="AC524" s="19" t="str">
        <f aca="false">IF(N(M524)=0,"",IF(AA524="","Sin spec",IF(AND(Y524&gt;=AA524,OR(AB524="",Z524&gt;=AB524)),"CUMPLE","NO CUMPLE")&amp;IF(V524=""," (est.)","")))</f>
        <v/>
      </c>
      <c r="AD524" s="20" t="str">
        <f aca="false">IF(F524="","",IF(COUNTIFS(ABSORCION!$C$5:$C$1004,F524,ABSORCION!$I$5:$I$1004,"&gt;0")=0,"",AVERAGEIFS(ABSORCION!$I$5:$I$1004,ABSORCION!$C$5:$C$1004,F524,ABSORCION!$I$5:$I$1004,"&gt;0")))</f>
        <v/>
      </c>
      <c r="AE524" s="20" t="str">
        <f aca="false">IF(F524="","",IF(COUNTIFS(ABSORCION!$C$5:$C$1004,F524,ABSORCION!$I$5:$I$1004,"&gt;0")=0,"",AVERAGEIFS(ABSORCION!$K$5:$K$1004,ABSORCION!$C$5:$C$1004,F524,ABSORCION!$I$5:$I$1004,"&gt;0")))</f>
        <v/>
      </c>
      <c r="AF524" s="20" t="str">
        <f aca="false">IF(AE524="","",IF(AE524&gt;=CONFIG!$E$21,CONFIG!$F$21,IF(AE524&gt;=CONFIG!$E$20,CONFIG!$F$20,CONFIG!$F$19)))</f>
        <v/>
      </c>
      <c r="AG524" s="21" t="str">
        <f aca="false">IF(F524="","",TRIM(IF(N(M524)=0,"Sin ensayos. ","")&amp;IF(AND(N(M524)&gt;0,N(M524)&lt;CONFIG!$B$26),"Menos de "&amp;CONFIG!$B$26&amp;" probetas. ","")&amp;IF(N(T524)&gt;CONFIG!$B$25,"CV alto. ","")&amp;IF(AND(N(AD524)&gt;0,N(AD524)&gt;N(AF524)),"Absorción alta. ","")))</f>
        <v/>
      </c>
      <c r="AH524" s="22" t="str">
        <f aca="false">IF(AND(N(M524)&gt;0,OR(CONTROL!$C$4="TODAS",C524=CONTROL!$C$4),D524=CONTROL!$C$5),MAX($AH$4:AH523)+1,"")</f>
        <v/>
      </c>
      <c r="AI524" s="22" t="str">
        <f aca="false">IF(AH524="","",P524^2)</f>
        <v/>
      </c>
    </row>
    <row r="525" customFormat="false" ht="15" hidden="false" customHeight="false" outlineLevel="0" collapsed="false">
      <c r="A525" s="11" t="str">
        <f aca="false">IF(B525="","",ROW()-4)</f>
        <v/>
      </c>
      <c r="B525" s="12"/>
      <c r="C525" s="13"/>
      <c r="D525" s="13"/>
      <c r="E525" s="13"/>
      <c r="F525" s="14" t="str">
        <f aca="false">IF(OR(B525="",C525="",D525=""),"",IFERROR(INDEX(CONFIG!$E$5:$E$14,MATCH(D525,CONFIG!$D$5:$D$14,0)),"?")&amp;RIGHT("0"&amp;DAY(B525),2)&amp;RIGHT("0"&amp;MONTH(B525),2)&amp;RIGHT(YEAR(B525),2)&amp;C525&amp;IF(E525="","","-"&amp;E525))</f>
        <v/>
      </c>
      <c r="G525" s="13"/>
      <c r="H525" s="13"/>
      <c r="I525" s="13"/>
      <c r="J525" s="13"/>
      <c r="K525" s="13"/>
      <c r="L525" s="13"/>
      <c r="M525" s="11" t="str">
        <f aca="false">IF(F525="","",COUNTIFS(ENSAYOS!$C$5:$C$3004,F525,ENSAYOS!$Q$5:$Q$3004,"&gt;0"))</f>
        <v/>
      </c>
      <c r="N525" s="15" t="str">
        <f aca="false">IF(N(M525)=0,"",_xlfn.MINIFS(ENSAYOS!$G$5:$G$3004,ENSAYOS!$C$5:$C$3004,F525,ENSAYOS!$Q$5:$Q$3004,"&gt;0"))</f>
        <v/>
      </c>
      <c r="O525" s="15" t="str">
        <f aca="false">IF(N(M525)=0,"",_xlfn.MAXIFS(ENSAYOS!$G$5:$G$3004,ENSAYOS!$C$5:$C$3004,F525,ENSAYOS!$Q$5:$Q$3004,"&gt;0"))</f>
        <v/>
      </c>
      <c r="P525" s="16" t="str">
        <f aca="false">IF(N(M525)=0,"",AVERAGEIFS(ENSAYOS!$Q$5:$Q$3004,ENSAYOS!$C$5:$C$3004,F525,ENSAYOS!$Q$5:$Q$3004,"&gt;0"))</f>
        <v/>
      </c>
      <c r="Q525" s="16" t="str">
        <f aca="false">IF(N(M525)=0,"",_xlfn.MINIFS(ENSAYOS!$Q$5:$Q$3004,ENSAYOS!$C$5:$C$3004,F525,ENSAYOS!$Q$5:$Q$3004,"&gt;0"))</f>
        <v/>
      </c>
      <c r="R525" s="16" t="str">
        <f aca="false">IF(N(M525)=0,"",_xlfn.MAXIFS(ENSAYOS!$Q$5:$Q$3004,ENSAYOS!$C$5:$C$3004,F525,ENSAYOS!$Q$5:$Q$3004,"&gt;0"))</f>
        <v/>
      </c>
      <c r="S525" s="16" t="str">
        <f aca="false">IF(N(M525)&lt;2,"",SQRT(MAX(0,(SUMIFS(ENSAYOS!$X$5:$X$3004,ENSAYOS!$C$5:$C$3004,F525,ENSAYOS!$Q$5:$Q$3004,"&gt;0")-M525*P525^2)/(M525-1))))</f>
        <v/>
      </c>
      <c r="T525" s="17" t="str">
        <f aca="false">IF(S525="","",S525/P525)</f>
        <v/>
      </c>
      <c r="U525" s="16" t="str">
        <f aca="false">IF(N(M525)=0,"",IF(N525&gt;=CONFIG!$B$27,"",AVERAGEIFS(ENSAYOS!$Q$5:$Q$3004,ENSAYOS!$C$5:$C$3004,F525,ENSAYOS!$Q$5:$Q$3004,"&gt;0",ENSAYOS!$G$5:$G$3004,N525)))</f>
        <v/>
      </c>
      <c r="V525" s="16" t="str">
        <f aca="false">IF(N(M525)=0,"",IF(COUNTIFS(ENSAYOS!$C$5:$C$3004,F525,ENSAYOS!$Q$5:$Q$3004,"&gt;0",ENSAYOS!$G$5:$G$3004,"&gt;="&amp;CONFIG!$B$27)=0,"",AVERAGEIFS(ENSAYOS!$Q$5:$Q$3004,ENSAYOS!$C$5:$C$3004,F525,ENSAYOS!$Q$5:$Q$3004,"&gt;0",ENSAYOS!$G$5:$G$3004,"&gt;="&amp;CONFIG!$B$27)))</f>
        <v/>
      </c>
      <c r="W525" s="18" t="str">
        <f aca="false">IF(AND(U525&lt;&gt;"",V525&lt;&gt;""),U525/V525,"")</f>
        <v/>
      </c>
      <c r="X525" s="18" t="str">
        <f aca="false">IF(U525="","",INDEX('CURVA EDAD'!$E$5:$E$32,MIN(28,MAX(1,N525))))</f>
        <v/>
      </c>
      <c r="Y525" s="16" t="str">
        <f aca="false">IF(V525&lt;&gt;"",V525,IF(U525="","",U525/X525))</f>
        <v/>
      </c>
      <c r="Z525" s="16" t="str">
        <f aca="false">IF(V525&lt;&gt;"",_xlfn.MINIFS(ENSAYOS!$Q$5:$Q$3004,ENSAYOS!$C$5:$C$3004,F525,ENSAYOS!$Q$5:$Q$3004,"&gt;0",ENSAYOS!$G$5:$G$3004,"&gt;="&amp;CONFIG!$B$27),IF(U525="","",_xlfn.MINIFS(ENSAYOS!$Q$5:$Q$3004,ENSAYOS!$C$5:$C$3004,F525,ENSAYOS!$Q$5:$Q$3004,"&gt;0",ENSAYOS!$G$5:$G$3004,N525)/X525))</f>
        <v/>
      </c>
      <c r="AA525" s="16" t="str">
        <f aca="false">IF(D525="","",IFERROR(1/(1/INDEX(CONFIG!$J$5:$J$14,MATCH(D525,CONFIG!$D$5:$D$14,0))),""))</f>
        <v/>
      </c>
      <c r="AB525" s="16" t="str">
        <f aca="false">IF(D525="","",IFERROR(1/(1/INDEX(CONFIG!$K$5:$K$14,MATCH(D525,CONFIG!$D$5:$D$14,0))),""))</f>
        <v/>
      </c>
      <c r="AC525" s="19" t="str">
        <f aca="false">IF(N(M525)=0,"",IF(AA525="","Sin spec",IF(AND(Y525&gt;=AA525,OR(AB525="",Z525&gt;=AB525)),"CUMPLE","NO CUMPLE")&amp;IF(V525=""," (est.)","")))</f>
        <v/>
      </c>
      <c r="AD525" s="20" t="str">
        <f aca="false">IF(F525="","",IF(COUNTIFS(ABSORCION!$C$5:$C$1004,F525,ABSORCION!$I$5:$I$1004,"&gt;0")=0,"",AVERAGEIFS(ABSORCION!$I$5:$I$1004,ABSORCION!$C$5:$C$1004,F525,ABSORCION!$I$5:$I$1004,"&gt;0")))</f>
        <v/>
      </c>
      <c r="AE525" s="20" t="str">
        <f aca="false">IF(F525="","",IF(COUNTIFS(ABSORCION!$C$5:$C$1004,F525,ABSORCION!$I$5:$I$1004,"&gt;0")=0,"",AVERAGEIFS(ABSORCION!$K$5:$K$1004,ABSORCION!$C$5:$C$1004,F525,ABSORCION!$I$5:$I$1004,"&gt;0")))</f>
        <v/>
      </c>
      <c r="AF525" s="20" t="str">
        <f aca="false">IF(AE525="","",IF(AE525&gt;=CONFIG!$E$21,CONFIG!$F$21,IF(AE525&gt;=CONFIG!$E$20,CONFIG!$F$20,CONFIG!$F$19)))</f>
        <v/>
      </c>
      <c r="AG525" s="21" t="str">
        <f aca="false">IF(F525="","",TRIM(IF(N(M525)=0,"Sin ensayos. ","")&amp;IF(AND(N(M525)&gt;0,N(M525)&lt;CONFIG!$B$26),"Menos de "&amp;CONFIG!$B$26&amp;" probetas. ","")&amp;IF(N(T525)&gt;CONFIG!$B$25,"CV alto. ","")&amp;IF(AND(N(AD525)&gt;0,N(AD525)&gt;N(AF525)),"Absorción alta. ","")))</f>
        <v/>
      </c>
      <c r="AH525" s="22" t="str">
        <f aca="false">IF(AND(N(M525)&gt;0,OR(CONTROL!$C$4="TODAS",C525=CONTROL!$C$4),D525=CONTROL!$C$5),MAX($AH$4:AH524)+1,"")</f>
        <v/>
      </c>
      <c r="AI525" s="22" t="str">
        <f aca="false">IF(AH525="","",P525^2)</f>
        <v/>
      </c>
    </row>
    <row r="526" customFormat="false" ht="15" hidden="false" customHeight="false" outlineLevel="0" collapsed="false">
      <c r="A526" s="11" t="str">
        <f aca="false">IF(B526="","",ROW()-4)</f>
        <v/>
      </c>
      <c r="B526" s="12"/>
      <c r="C526" s="13"/>
      <c r="D526" s="13"/>
      <c r="E526" s="13"/>
      <c r="F526" s="14" t="str">
        <f aca="false">IF(OR(B526="",C526="",D526=""),"",IFERROR(INDEX(CONFIG!$E$5:$E$14,MATCH(D526,CONFIG!$D$5:$D$14,0)),"?")&amp;RIGHT("0"&amp;DAY(B526),2)&amp;RIGHT("0"&amp;MONTH(B526),2)&amp;RIGHT(YEAR(B526),2)&amp;C526&amp;IF(E526="","","-"&amp;E526))</f>
        <v/>
      </c>
      <c r="G526" s="13"/>
      <c r="H526" s="13"/>
      <c r="I526" s="13"/>
      <c r="J526" s="13"/>
      <c r="K526" s="13"/>
      <c r="L526" s="13"/>
      <c r="M526" s="11" t="str">
        <f aca="false">IF(F526="","",COUNTIFS(ENSAYOS!$C$5:$C$3004,F526,ENSAYOS!$Q$5:$Q$3004,"&gt;0"))</f>
        <v/>
      </c>
      <c r="N526" s="15" t="str">
        <f aca="false">IF(N(M526)=0,"",_xlfn.MINIFS(ENSAYOS!$G$5:$G$3004,ENSAYOS!$C$5:$C$3004,F526,ENSAYOS!$Q$5:$Q$3004,"&gt;0"))</f>
        <v/>
      </c>
      <c r="O526" s="15" t="str">
        <f aca="false">IF(N(M526)=0,"",_xlfn.MAXIFS(ENSAYOS!$G$5:$G$3004,ENSAYOS!$C$5:$C$3004,F526,ENSAYOS!$Q$5:$Q$3004,"&gt;0"))</f>
        <v/>
      </c>
      <c r="P526" s="16" t="str">
        <f aca="false">IF(N(M526)=0,"",AVERAGEIFS(ENSAYOS!$Q$5:$Q$3004,ENSAYOS!$C$5:$C$3004,F526,ENSAYOS!$Q$5:$Q$3004,"&gt;0"))</f>
        <v/>
      </c>
      <c r="Q526" s="16" t="str">
        <f aca="false">IF(N(M526)=0,"",_xlfn.MINIFS(ENSAYOS!$Q$5:$Q$3004,ENSAYOS!$C$5:$C$3004,F526,ENSAYOS!$Q$5:$Q$3004,"&gt;0"))</f>
        <v/>
      </c>
      <c r="R526" s="16" t="str">
        <f aca="false">IF(N(M526)=0,"",_xlfn.MAXIFS(ENSAYOS!$Q$5:$Q$3004,ENSAYOS!$C$5:$C$3004,F526,ENSAYOS!$Q$5:$Q$3004,"&gt;0"))</f>
        <v/>
      </c>
      <c r="S526" s="16" t="str">
        <f aca="false">IF(N(M526)&lt;2,"",SQRT(MAX(0,(SUMIFS(ENSAYOS!$X$5:$X$3004,ENSAYOS!$C$5:$C$3004,F526,ENSAYOS!$Q$5:$Q$3004,"&gt;0")-M526*P526^2)/(M526-1))))</f>
        <v/>
      </c>
      <c r="T526" s="17" t="str">
        <f aca="false">IF(S526="","",S526/P526)</f>
        <v/>
      </c>
      <c r="U526" s="16" t="str">
        <f aca="false">IF(N(M526)=0,"",IF(N526&gt;=CONFIG!$B$27,"",AVERAGEIFS(ENSAYOS!$Q$5:$Q$3004,ENSAYOS!$C$5:$C$3004,F526,ENSAYOS!$Q$5:$Q$3004,"&gt;0",ENSAYOS!$G$5:$G$3004,N526)))</f>
        <v/>
      </c>
      <c r="V526" s="16" t="str">
        <f aca="false">IF(N(M526)=0,"",IF(COUNTIFS(ENSAYOS!$C$5:$C$3004,F526,ENSAYOS!$Q$5:$Q$3004,"&gt;0",ENSAYOS!$G$5:$G$3004,"&gt;="&amp;CONFIG!$B$27)=0,"",AVERAGEIFS(ENSAYOS!$Q$5:$Q$3004,ENSAYOS!$C$5:$C$3004,F526,ENSAYOS!$Q$5:$Q$3004,"&gt;0",ENSAYOS!$G$5:$G$3004,"&gt;="&amp;CONFIG!$B$27)))</f>
        <v/>
      </c>
      <c r="W526" s="18" t="str">
        <f aca="false">IF(AND(U526&lt;&gt;"",V526&lt;&gt;""),U526/V526,"")</f>
        <v/>
      </c>
      <c r="X526" s="18" t="str">
        <f aca="false">IF(U526="","",INDEX('CURVA EDAD'!$E$5:$E$32,MIN(28,MAX(1,N526))))</f>
        <v/>
      </c>
      <c r="Y526" s="16" t="str">
        <f aca="false">IF(V526&lt;&gt;"",V526,IF(U526="","",U526/X526))</f>
        <v/>
      </c>
      <c r="Z526" s="16" t="str">
        <f aca="false">IF(V526&lt;&gt;"",_xlfn.MINIFS(ENSAYOS!$Q$5:$Q$3004,ENSAYOS!$C$5:$C$3004,F526,ENSAYOS!$Q$5:$Q$3004,"&gt;0",ENSAYOS!$G$5:$G$3004,"&gt;="&amp;CONFIG!$B$27),IF(U526="","",_xlfn.MINIFS(ENSAYOS!$Q$5:$Q$3004,ENSAYOS!$C$5:$C$3004,F526,ENSAYOS!$Q$5:$Q$3004,"&gt;0",ENSAYOS!$G$5:$G$3004,N526)/X526))</f>
        <v/>
      </c>
      <c r="AA526" s="16" t="str">
        <f aca="false">IF(D526="","",IFERROR(1/(1/INDEX(CONFIG!$J$5:$J$14,MATCH(D526,CONFIG!$D$5:$D$14,0))),""))</f>
        <v/>
      </c>
      <c r="AB526" s="16" t="str">
        <f aca="false">IF(D526="","",IFERROR(1/(1/INDEX(CONFIG!$K$5:$K$14,MATCH(D526,CONFIG!$D$5:$D$14,0))),""))</f>
        <v/>
      </c>
      <c r="AC526" s="19" t="str">
        <f aca="false">IF(N(M526)=0,"",IF(AA526="","Sin spec",IF(AND(Y526&gt;=AA526,OR(AB526="",Z526&gt;=AB526)),"CUMPLE","NO CUMPLE")&amp;IF(V526=""," (est.)","")))</f>
        <v/>
      </c>
      <c r="AD526" s="20" t="str">
        <f aca="false">IF(F526="","",IF(COUNTIFS(ABSORCION!$C$5:$C$1004,F526,ABSORCION!$I$5:$I$1004,"&gt;0")=0,"",AVERAGEIFS(ABSORCION!$I$5:$I$1004,ABSORCION!$C$5:$C$1004,F526,ABSORCION!$I$5:$I$1004,"&gt;0")))</f>
        <v/>
      </c>
      <c r="AE526" s="20" t="str">
        <f aca="false">IF(F526="","",IF(COUNTIFS(ABSORCION!$C$5:$C$1004,F526,ABSORCION!$I$5:$I$1004,"&gt;0")=0,"",AVERAGEIFS(ABSORCION!$K$5:$K$1004,ABSORCION!$C$5:$C$1004,F526,ABSORCION!$I$5:$I$1004,"&gt;0")))</f>
        <v/>
      </c>
      <c r="AF526" s="20" t="str">
        <f aca="false">IF(AE526="","",IF(AE526&gt;=CONFIG!$E$21,CONFIG!$F$21,IF(AE526&gt;=CONFIG!$E$20,CONFIG!$F$20,CONFIG!$F$19)))</f>
        <v/>
      </c>
      <c r="AG526" s="21" t="str">
        <f aca="false">IF(F526="","",TRIM(IF(N(M526)=0,"Sin ensayos. ","")&amp;IF(AND(N(M526)&gt;0,N(M526)&lt;CONFIG!$B$26),"Menos de "&amp;CONFIG!$B$26&amp;" probetas. ","")&amp;IF(N(T526)&gt;CONFIG!$B$25,"CV alto. ","")&amp;IF(AND(N(AD526)&gt;0,N(AD526)&gt;N(AF526)),"Absorción alta. ","")))</f>
        <v/>
      </c>
      <c r="AH526" s="22" t="str">
        <f aca="false">IF(AND(N(M526)&gt;0,OR(CONTROL!$C$4="TODAS",C526=CONTROL!$C$4),D526=CONTROL!$C$5),MAX($AH$4:AH525)+1,"")</f>
        <v/>
      </c>
      <c r="AI526" s="22" t="str">
        <f aca="false">IF(AH526="","",P526^2)</f>
        <v/>
      </c>
    </row>
    <row r="527" customFormat="false" ht="15" hidden="false" customHeight="false" outlineLevel="0" collapsed="false">
      <c r="A527" s="11" t="str">
        <f aca="false">IF(B527="","",ROW()-4)</f>
        <v/>
      </c>
      <c r="B527" s="12"/>
      <c r="C527" s="13"/>
      <c r="D527" s="13"/>
      <c r="E527" s="13"/>
      <c r="F527" s="14" t="str">
        <f aca="false">IF(OR(B527="",C527="",D527=""),"",IFERROR(INDEX(CONFIG!$E$5:$E$14,MATCH(D527,CONFIG!$D$5:$D$14,0)),"?")&amp;RIGHT("0"&amp;DAY(B527),2)&amp;RIGHT("0"&amp;MONTH(B527),2)&amp;RIGHT(YEAR(B527),2)&amp;C527&amp;IF(E527="","","-"&amp;E527))</f>
        <v/>
      </c>
      <c r="G527" s="13"/>
      <c r="H527" s="13"/>
      <c r="I527" s="13"/>
      <c r="J527" s="13"/>
      <c r="K527" s="13"/>
      <c r="L527" s="13"/>
      <c r="M527" s="11" t="str">
        <f aca="false">IF(F527="","",COUNTIFS(ENSAYOS!$C$5:$C$3004,F527,ENSAYOS!$Q$5:$Q$3004,"&gt;0"))</f>
        <v/>
      </c>
      <c r="N527" s="15" t="str">
        <f aca="false">IF(N(M527)=0,"",_xlfn.MINIFS(ENSAYOS!$G$5:$G$3004,ENSAYOS!$C$5:$C$3004,F527,ENSAYOS!$Q$5:$Q$3004,"&gt;0"))</f>
        <v/>
      </c>
      <c r="O527" s="15" t="str">
        <f aca="false">IF(N(M527)=0,"",_xlfn.MAXIFS(ENSAYOS!$G$5:$G$3004,ENSAYOS!$C$5:$C$3004,F527,ENSAYOS!$Q$5:$Q$3004,"&gt;0"))</f>
        <v/>
      </c>
      <c r="P527" s="16" t="str">
        <f aca="false">IF(N(M527)=0,"",AVERAGEIFS(ENSAYOS!$Q$5:$Q$3004,ENSAYOS!$C$5:$C$3004,F527,ENSAYOS!$Q$5:$Q$3004,"&gt;0"))</f>
        <v/>
      </c>
      <c r="Q527" s="16" t="str">
        <f aca="false">IF(N(M527)=0,"",_xlfn.MINIFS(ENSAYOS!$Q$5:$Q$3004,ENSAYOS!$C$5:$C$3004,F527,ENSAYOS!$Q$5:$Q$3004,"&gt;0"))</f>
        <v/>
      </c>
      <c r="R527" s="16" t="str">
        <f aca="false">IF(N(M527)=0,"",_xlfn.MAXIFS(ENSAYOS!$Q$5:$Q$3004,ENSAYOS!$C$5:$C$3004,F527,ENSAYOS!$Q$5:$Q$3004,"&gt;0"))</f>
        <v/>
      </c>
      <c r="S527" s="16" t="str">
        <f aca="false">IF(N(M527)&lt;2,"",SQRT(MAX(0,(SUMIFS(ENSAYOS!$X$5:$X$3004,ENSAYOS!$C$5:$C$3004,F527,ENSAYOS!$Q$5:$Q$3004,"&gt;0")-M527*P527^2)/(M527-1))))</f>
        <v/>
      </c>
      <c r="T527" s="17" t="str">
        <f aca="false">IF(S527="","",S527/P527)</f>
        <v/>
      </c>
      <c r="U527" s="16" t="str">
        <f aca="false">IF(N(M527)=0,"",IF(N527&gt;=CONFIG!$B$27,"",AVERAGEIFS(ENSAYOS!$Q$5:$Q$3004,ENSAYOS!$C$5:$C$3004,F527,ENSAYOS!$Q$5:$Q$3004,"&gt;0",ENSAYOS!$G$5:$G$3004,N527)))</f>
        <v/>
      </c>
      <c r="V527" s="16" t="str">
        <f aca="false">IF(N(M527)=0,"",IF(COUNTIFS(ENSAYOS!$C$5:$C$3004,F527,ENSAYOS!$Q$5:$Q$3004,"&gt;0",ENSAYOS!$G$5:$G$3004,"&gt;="&amp;CONFIG!$B$27)=0,"",AVERAGEIFS(ENSAYOS!$Q$5:$Q$3004,ENSAYOS!$C$5:$C$3004,F527,ENSAYOS!$Q$5:$Q$3004,"&gt;0",ENSAYOS!$G$5:$G$3004,"&gt;="&amp;CONFIG!$B$27)))</f>
        <v/>
      </c>
      <c r="W527" s="18" t="str">
        <f aca="false">IF(AND(U527&lt;&gt;"",V527&lt;&gt;""),U527/V527,"")</f>
        <v/>
      </c>
      <c r="X527" s="18" t="str">
        <f aca="false">IF(U527="","",INDEX('CURVA EDAD'!$E$5:$E$32,MIN(28,MAX(1,N527))))</f>
        <v/>
      </c>
      <c r="Y527" s="16" t="str">
        <f aca="false">IF(V527&lt;&gt;"",V527,IF(U527="","",U527/X527))</f>
        <v/>
      </c>
      <c r="Z527" s="16" t="str">
        <f aca="false">IF(V527&lt;&gt;"",_xlfn.MINIFS(ENSAYOS!$Q$5:$Q$3004,ENSAYOS!$C$5:$C$3004,F527,ENSAYOS!$Q$5:$Q$3004,"&gt;0",ENSAYOS!$G$5:$G$3004,"&gt;="&amp;CONFIG!$B$27),IF(U527="","",_xlfn.MINIFS(ENSAYOS!$Q$5:$Q$3004,ENSAYOS!$C$5:$C$3004,F527,ENSAYOS!$Q$5:$Q$3004,"&gt;0",ENSAYOS!$G$5:$G$3004,N527)/X527))</f>
        <v/>
      </c>
      <c r="AA527" s="16" t="str">
        <f aca="false">IF(D527="","",IFERROR(1/(1/INDEX(CONFIG!$J$5:$J$14,MATCH(D527,CONFIG!$D$5:$D$14,0))),""))</f>
        <v/>
      </c>
      <c r="AB527" s="16" t="str">
        <f aca="false">IF(D527="","",IFERROR(1/(1/INDEX(CONFIG!$K$5:$K$14,MATCH(D527,CONFIG!$D$5:$D$14,0))),""))</f>
        <v/>
      </c>
      <c r="AC527" s="19" t="str">
        <f aca="false">IF(N(M527)=0,"",IF(AA527="","Sin spec",IF(AND(Y527&gt;=AA527,OR(AB527="",Z527&gt;=AB527)),"CUMPLE","NO CUMPLE")&amp;IF(V527=""," (est.)","")))</f>
        <v/>
      </c>
      <c r="AD527" s="20" t="str">
        <f aca="false">IF(F527="","",IF(COUNTIFS(ABSORCION!$C$5:$C$1004,F527,ABSORCION!$I$5:$I$1004,"&gt;0")=0,"",AVERAGEIFS(ABSORCION!$I$5:$I$1004,ABSORCION!$C$5:$C$1004,F527,ABSORCION!$I$5:$I$1004,"&gt;0")))</f>
        <v/>
      </c>
      <c r="AE527" s="20" t="str">
        <f aca="false">IF(F527="","",IF(COUNTIFS(ABSORCION!$C$5:$C$1004,F527,ABSORCION!$I$5:$I$1004,"&gt;0")=0,"",AVERAGEIFS(ABSORCION!$K$5:$K$1004,ABSORCION!$C$5:$C$1004,F527,ABSORCION!$I$5:$I$1004,"&gt;0")))</f>
        <v/>
      </c>
      <c r="AF527" s="20" t="str">
        <f aca="false">IF(AE527="","",IF(AE527&gt;=CONFIG!$E$21,CONFIG!$F$21,IF(AE527&gt;=CONFIG!$E$20,CONFIG!$F$20,CONFIG!$F$19)))</f>
        <v/>
      </c>
      <c r="AG527" s="21" t="str">
        <f aca="false">IF(F527="","",TRIM(IF(N(M527)=0,"Sin ensayos. ","")&amp;IF(AND(N(M527)&gt;0,N(M527)&lt;CONFIG!$B$26),"Menos de "&amp;CONFIG!$B$26&amp;" probetas. ","")&amp;IF(N(T527)&gt;CONFIG!$B$25,"CV alto. ","")&amp;IF(AND(N(AD527)&gt;0,N(AD527)&gt;N(AF527)),"Absorción alta. ","")))</f>
        <v/>
      </c>
      <c r="AH527" s="22" t="str">
        <f aca="false">IF(AND(N(M527)&gt;0,OR(CONTROL!$C$4="TODAS",C527=CONTROL!$C$4),D527=CONTROL!$C$5),MAX($AH$4:AH526)+1,"")</f>
        <v/>
      </c>
      <c r="AI527" s="22" t="str">
        <f aca="false">IF(AH527="","",P527^2)</f>
        <v/>
      </c>
    </row>
    <row r="528" customFormat="false" ht="15" hidden="false" customHeight="false" outlineLevel="0" collapsed="false">
      <c r="A528" s="11" t="str">
        <f aca="false">IF(B528="","",ROW()-4)</f>
        <v/>
      </c>
      <c r="B528" s="12"/>
      <c r="C528" s="13"/>
      <c r="D528" s="13"/>
      <c r="E528" s="13"/>
      <c r="F528" s="14" t="str">
        <f aca="false">IF(OR(B528="",C528="",D528=""),"",IFERROR(INDEX(CONFIG!$E$5:$E$14,MATCH(D528,CONFIG!$D$5:$D$14,0)),"?")&amp;RIGHT("0"&amp;DAY(B528),2)&amp;RIGHT("0"&amp;MONTH(B528),2)&amp;RIGHT(YEAR(B528),2)&amp;C528&amp;IF(E528="","","-"&amp;E528))</f>
        <v/>
      </c>
      <c r="G528" s="13"/>
      <c r="H528" s="13"/>
      <c r="I528" s="13"/>
      <c r="J528" s="13"/>
      <c r="K528" s="13"/>
      <c r="L528" s="13"/>
      <c r="M528" s="11" t="str">
        <f aca="false">IF(F528="","",COUNTIFS(ENSAYOS!$C$5:$C$3004,F528,ENSAYOS!$Q$5:$Q$3004,"&gt;0"))</f>
        <v/>
      </c>
      <c r="N528" s="15" t="str">
        <f aca="false">IF(N(M528)=0,"",_xlfn.MINIFS(ENSAYOS!$G$5:$G$3004,ENSAYOS!$C$5:$C$3004,F528,ENSAYOS!$Q$5:$Q$3004,"&gt;0"))</f>
        <v/>
      </c>
      <c r="O528" s="15" t="str">
        <f aca="false">IF(N(M528)=0,"",_xlfn.MAXIFS(ENSAYOS!$G$5:$G$3004,ENSAYOS!$C$5:$C$3004,F528,ENSAYOS!$Q$5:$Q$3004,"&gt;0"))</f>
        <v/>
      </c>
      <c r="P528" s="16" t="str">
        <f aca="false">IF(N(M528)=0,"",AVERAGEIFS(ENSAYOS!$Q$5:$Q$3004,ENSAYOS!$C$5:$C$3004,F528,ENSAYOS!$Q$5:$Q$3004,"&gt;0"))</f>
        <v/>
      </c>
      <c r="Q528" s="16" t="str">
        <f aca="false">IF(N(M528)=0,"",_xlfn.MINIFS(ENSAYOS!$Q$5:$Q$3004,ENSAYOS!$C$5:$C$3004,F528,ENSAYOS!$Q$5:$Q$3004,"&gt;0"))</f>
        <v/>
      </c>
      <c r="R528" s="16" t="str">
        <f aca="false">IF(N(M528)=0,"",_xlfn.MAXIFS(ENSAYOS!$Q$5:$Q$3004,ENSAYOS!$C$5:$C$3004,F528,ENSAYOS!$Q$5:$Q$3004,"&gt;0"))</f>
        <v/>
      </c>
      <c r="S528" s="16" t="str">
        <f aca="false">IF(N(M528)&lt;2,"",SQRT(MAX(0,(SUMIFS(ENSAYOS!$X$5:$X$3004,ENSAYOS!$C$5:$C$3004,F528,ENSAYOS!$Q$5:$Q$3004,"&gt;0")-M528*P528^2)/(M528-1))))</f>
        <v/>
      </c>
      <c r="T528" s="17" t="str">
        <f aca="false">IF(S528="","",S528/P528)</f>
        <v/>
      </c>
      <c r="U528" s="16" t="str">
        <f aca="false">IF(N(M528)=0,"",IF(N528&gt;=CONFIG!$B$27,"",AVERAGEIFS(ENSAYOS!$Q$5:$Q$3004,ENSAYOS!$C$5:$C$3004,F528,ENSAYOS!$Q$5:$Q$3004,"&gt;0",ENSAYOS!$G$5:$G$3004,N528)))</f>
        <v/>
      </c>
      <c r="V528" s="16" t="str">
        <f aca="false">IF(N(M528)=0,"",IF(COUNTIFS(ENSAYOS!$C$5:$C$3004,F528,ENSAYOS!$Q$5:$Q$3004,"&gt;0",ENSAYOS!$G$5:$G$3004,"&gt;="&amp;CONFIG!$B$27)=0,"",AVERAGEIFS(ENSAYOS!$Q$5:$Q$3004,ENSAYOS!$C$5:$C$3004,F528,ENSAYOS!$Q$5:$Q$3004,"&gt;0",ENSAYOS!$G$5:$G$3004,"&gt;="&amp;CONFIG!$B$27)))</f>
        <v/>
      </c>
      <c r="W528" s="18" t="str">
        <f aca="false">IF(AND(U528&lt;&gt;"",V528&lt;&gt;""),U528/V528,"")</f>
        <v/>
      </c>
      <c r="X528" s="18" t="str">
        <f aca="false">IF(U528="","",INDEX('CURVA EDAD'!$E$5:$E$32,MIN(28,MAX(1,N528))))</f>
        <v/>
      </c>
      <c r="Y528" s="16" t="str">
        <f aca="false">IF(V528&lt;&gt;"",V528,IF(U528="","",U528/X528))</f>
        <v/>
      </c>
      <c r="Z528" s="16" t="str">
        <f aca="false">IF(V528&lt;&gt;"",_xlfn.MINIFS(ENSAYOS!$Q$5:$Q$3004,ENSAYOS!$C$5:$C$3004,F528,ENSAYOS!$Q$5:$Q$3004,"&gt;0",ENSAYOS!$G$5:$G$3004,"&gt;="&amp;CONFIG!$B$27),IF(U528="","",_xlfn.MINIFS(ENSAYOS!$Q$5:$Q$3004,ENSAYOS!$C$5:$C$3004,F528,ENSAYOS!$Q$5:$Q$3004,"&gt;0",ENSAYOS!$G$5:$G$3004,N528)/X528))</f>
        <v/>
      </c>
      <c r="AA528" s="16" t="str">
        <f aca="false">IF(D528="","",IFERROR(1/(1/INDEX(CONFIG!$J$5:$J$14,MATCH(D528,CONFIG!$D$5:$D$14,0))),""))</f>
        <v/>
      </c>
      <c r="AB528" s="16" t="str">
        <f aca="false">IF(D528="","",IFERROR(1/(1/INDEX(CONFIG!$K$5:$K$14,MATCH(D528,CONFIG!$D$5:$D$14,0))),""))</f>
        <v/>
      </c>
      <c r="AC528" s="19" t="str">
        <f aca="false">IF(N(M528)=0,"",IF(AA528="","Sin spec",IF(AND(Y528&gt;=AA528,OR(AB528="",Z528&gt;=AB528)),"CUMPLE","NO CUMPLE")&amp;IF(V528=""," (est.)","")))</f>
        <v/>
      </c>
      <c r="AD528" s="20" t="str">
        <f aca="false">IF(F528="","",IF(COUNTIFS(ABSORCION!$C$5:$C$1004,F528,ABSORCION!$I$5:$I$1004,"&gt;0")=0,"",AVERAGEIFS(ABSORCION!$I$5:$I$1004,ABSORCION!$C$5:$C$1004,F528,ABSORCION!$I$5:$I$1004,"&gt;0")))</f>
        <v/>
      </c>
      <c r="AE528" s="20" t="str">
        <f aca="false">IF(F528="","",IF(COUNTIFS(ABSORCION!$C$5:$C$1004,F528,ABSORCION!$I$5:$I$1004,"&gt;0")=0,"",AVERAGEIFS(ABSORCION!$K$5:$K$1004,ABSORCION!$C$5:$C$1004,F528,ABSORCION!$I$5:$I$1004,"&gt;0")))</f>
        <v/>
      </c>
      <c r="AF528" s="20" t="str">
        <f aca="false">IF(AE528="","",IF(AE528&gt;=CONFIG!$E$21,CONFIG!$F$21,IF(AE528&gt;=CONFIG!$E$20,CONFIG!$F$20,CONFIG!$F$19)))</f>
        <v/>
      </c>
      <c r="AG528" s="21" t="str">
        <f aca="false">IF(F528="","",TRIM(IF(N(M528)=0,"Sin ensayos. ","")&amp;IF(AND(N(M528)&gt;0,N(M528)&lt;CONFIG!$B$26),"Menos de "&amp;CONFIG!$B$26&amp;" probetas. ","")&amp;IF(N(T528)&gt;CONFIG!$B$25,"CV alto. ","")&amp;IF(AND(N(AD528)&gt;0,N(AD528)&gt;N(AF528)),"Absorción alta. ","")))</f>
        <v/>
      </c>
      <c r="AH528" s="22" t="str">
        <f aca="false">IF(AND(N(M528)&gt;0,OR(CONTROL!$C$4="TODAS",C528=CONTROL!$C$4),D528=CONTROL!$C$5),MAX($AH$4:AH527)+1,"")</f>
        <v/>
      </c>
      <c r="AI528" s="22" t="str">
        <f aca="false">IF(AH528="","",P528^2)</f>
        <v/>
      </c>
    </row>
    <row r="529" customFormat="false" ht="15" hidden="false" customHeight="false" outlineLevel="0" collapsed="false">
      <c r="A529" s="11" t="str">
        <f aca="false">IF(B529="","",ROW()-4)</f>
        <v/>
      </c>
      <c r="B529" s="12"/>
      <c r="C529" s="13"/>
      <c r="D529" s="13"/>
      <c r="E529" s="13"/>
      <c r="F529" s="14" t="str">
        <f aca="false">IF(OR(B529="",C529="",D529=""),"",IFERROR(INDEX(CONFIG!$E$5:$E$14,MATCH(D529,CONFIG!$D$5:$D$14,0)),"?")&amp;RIGHT("0"&amp;DAY(B529),2)&amp;RIGHT("0"&amp;MONTH(B529),2)&amp;RIGHT(YEAR(B529),2)&amp;C529&amp;IF(E529="","","-"&amp;E529))</f>
        <v/>
      </c>
      <c r="G529" s="13"/>
      <c r="H529" s="13"/>
      <c r="I529" s="13"/>
      <c r="J529" s="13"/>
      <c r="K529" s="13"/>
      <c r="L529" s="13"/>
      <c r="M529" s="11" t="str">
        <f aca="false">IF(F529="","",COUNTIFS(ENSAYOS!$C$5:$C$3004,F529,ENSAYOS!$Q$5:$Q$3004,"&gt;0"))</f>
        <v/>
      </c>
      <c r="N529" s="15" t="str">
        <f aca="false">IF(N(M529)=0,"",_xlfn.MINIFS(ENSAYOS!$G$5:$G$3004,ENSAYOS!$C$5:$C$3004,F529,ENSAYOS!$Q$5:$Q$3004,"&gt;0"))</f>
        <v/>
      </c>
      <c r="O529" s="15" t="str">
        <f aca="false">IF(N(M529)=0,"",_xlfn.MAXIFS(ENSAYOS!$G$5:$G$3004,ENSAYOS!$C$5:$C$3004,F529,ENSAYOS!$Q$5:$Q$3004,"&gt;0"))</f>
        <v/>
      </c>
      <c r="P529" s="16" t="str">
        <f aca="false">IF(N(M529)=0,"",AVERAGEIFS(ENSAYOS!$Q$5:$Q$3004,ENSAYOS!$C$5:$C$3004,F529,ENSAYOS!$Q$5:$Q$3004,"&gt;0"))</f>
        <v/>
      </c>
      <c r="Q529" s="16" t="str">
        <f aca="false">IF(N(M529)=0,"",_xlfn.MINIFS(ENSAYOS!$Q$5:$Q$3004,ENSAYOS!$C$5:$C$3004,F529,ENSAYOS!$Q$5:$Q$3004,"&gt;0"))</f>
        <v/>
      </c>
      <c r="R529" s="16" t="str">
        <f aca="false">IF(N(M529)=0,"",_xlfn.MAXIFS(ENSAYOS!$Q$5:$Q$3004,ENSAYOS!$C$5:$C$3004,F529,ENSAYOS!$Q$5:$Q$3004,"&gt;0"))</f>
        <v/>
      </c>
      <c r="S529" s="16" t="str">
        <f aca="false">IF(N(M529)&lt;2,"",SQRT(MAX(0,(SUMIFS(ENSAYOS!$X$5:$X$3004,ENSAYOS!$C$5:$C$3004,F529,ENSAYOS!$Q$5:$Q$3004,"&gt;0")-M529*P529^2)/(M529-1))))</f>
        <v/>
      </c>
      <c r="T529" s="17" t="str">
        <f aca="false">IF(S529="","",S529/P529)</f>
        <v/>
      </c>
      <c r="U529" s="16" t="str">
        <f aca="false">IF(N(M529)=0,"",IF(N529&gt;=CONFIG!$B$27,"",AVERAGEIFS(ENSAYOS!$Q$5:$Q$3004,ENSAYOS!$C$5:$C$3004,F529,ENSAYOS!$Q$5:$Q$3004,"&gt;0",ENSAYOS!$G$5:$G$3004,N529)))</f>
        <v/>
      </c>
      <c r="V529" s="16" t="str">
        <f aca="false">IF(N(M529)=0,"",IF(COUNTIFS(ENSAYOS!$C$5:$C$3004,F529,ENSAYOS!$Q$5:$Q$3004,"&gt;0",ENSAYOS!$G$5:$G$3004,"&gt;="&amp;CONFIG!$B$27)=0,"",AVERAGEIFS(ENSAYOS!$Q$5:$Q$3004,ENSAYOS!$C$5:$C$3004,F529,ENSAYOS!$Q$5:$Q$3004,"&gt;0",ENSAYOS!$G$5:$G$3004,"&gt;="&amp;CONFIG!$B$27)))</f>
        <v/>
      </c>
      <c r="W529" s="18" t="str">
        <f aca="false">IF(AND(U529&lt;&gt;"",V529&lt;&gt;""),U529/V529,"")</f>
        <v/>
      </c>
      <c r="X529" s="18" t="str">
        <f aca="false">IF(U529="","",INDEX('CURVA EDAD'!$E$5:$E$32,MIN(28,MAX(1,N529))))</f>
        <v/>
      </c>
      <c r="Y529" s="16" t="str">
        <f aca="false">IF(V529&lt;&gt;"",V529,IF(U529="","",U529/X529))</f>
        <v/>
      </c>
      <c r="Z529" s="16" t="str">
        <f aca="false">IF(V529&lt;&gt;"",_xlfn.MINIFS(ENSAYOS!$Q$5:$Q$3004,ENSAYOS!$C$5:$C$3004,F529,ENSAYOS!$Q$5:$Q$3004,"&gt;0",ENSAYOS!$G$5:$G$3004,"&gt;="&amp;CONFIG!$B$27),IF(U529="","",_xlfn.MINIFS(ENSAYOS!$Q$5:$Q$3004,ENSAYOS!$C$5:$C$3004,F529,ENSAYOS!$Q$5:$Q$3004,"&gt;0",ENSAYOS!$G$5:$G$3004,N529)/X529))</f>
        <v/>
      </c>
      <c r="AA529" s="16" t="str">
        <f aca="false">IF(D529="","",IFERROR(1/(1/INDEX(CONFIG!$J$5:$J$14,MATCH(D529,CONFIG!$D$5:$D$14,0))),""))</f>
        <v/>
      </c>
      <c r="AB529" s="16" t="str">
        <f aca="false">IF(D529="","",IFERROR(1/(1/INDEX(CONFIG!$K$5:$K$14,MATCH(D529,CONFIG!$D$5:$D$14,0))),""))</f>
        <v/>
      </c>
      <c r="AC529" s="19" t="str">
        <f aca="false">IF(N(M529)=0,"",IF(AA529="","Sin spec",IF(AND(Y529&gt;=AA529,OR(AB529="",Z529&gt;=AB529)),"CUMPLE","NO CUMPLE")&amp;IF(V529=""," (est.)","")))</f>
        <v/>
      </c>
      <c r="AD529" s="20" t="str">
        <f aca="false">IF(F529="","",IF(COUNTIFS(ABSORCION!$C$5:$C$1004,F529,ABSORCION!$I$5:$I$1004,"&gt;0")=0,"",AVERAGEIFS(ABSORCION!$I$5:$I$1004,ABSORCION!$C$5:$C$1004,F529,ABSORCION!$I$5:$I$1004,"&gt;0")))</f>
        <v/>
      </c>
      <c r="AE529" s="20" t="str">
        <f aca="false">IF(F529="","",IF(COUNTIFS(ABSORCION!$C$5:$C$1004,F529,ABSORCION!$I$5:$I$1004,"&gt;0")=0,"",AVERAGEIFS(ABSORCION!$K$5:$K$1004,ABSORCION!$C$5:$C$1004,F529,ABSORCION!$I$5:$I$1004,"&gt;0")))</f>
        <v/>
      </c>
      <c r="AF529" s="20" t="str">
        <f aca="false">IF(AE529="","",IF(AE529&gt;=CONFIG!$E$21,CONFIG!$F$21,IF(AE529&gt;=CONFIG!$E$20,CONFIG!$F$20,CONFIG!$F$19)))</f>
        <v/>
      </c>
      <c r="AG529" s="21" t="str">
        <f aca="false">IF(F529="","",TRIM(IF(N(M529)=0,"Sin ensayos. ","")&amp;IF(AND(N(M529)&gt;0,N(M529)&lt;CONFIG!$B$26),"Menos de "&amp;CONFIG!$B$26&amp;" probetas. ","")&amp;IF(N(T529)&gt;CONFIG!$B$25,"CV alto. ","")&amp;IF(AND(N(AD529)&gt;0,N(AD529)&gt;N(AF529)),"Absorción alta. ","")))</f>
        <v/>
      </c>
      <c r="AH529" s="22" t="str">
        <f aca="false">IF(AND(N(M529)&gt;0,OR(CONTROL!$C$4="TODAS",C529=CONTROL!$C$4),D529=CONTROL!$C$5),MAX($AH$4:AH528)+1,"")</f>
        <v/>
      </c>
      <c r="AI529" s="22" t="str">
        <f aca="false">IF(AH529="","",P529^2)</f>
        <v/>
      </c>
    </row>
    <row r="530" customFormat="false" ht="15" hidden="false" customHeight="false" outlineLevel="0" collapsed="false">
      <c r="A530" s="11" t="str">
        <f aca="false">IF(B530="","",ROW()-4)</f>
        <v/>
      </c>
      <c r="B530" s="12"/>
      <c r="C530" s="13"/>
      <c r="D530" s="13"/>
      <c r="E530" s="13"/>
      <c r="F530" s="14" t="str">
        <f aca="false">IF(OR(B530="",C530="",D530=""),"",IFERROR(INDEX(CONFIG!$E$5:$E$14,MATCH(D530,CONFIG!$D$5:$D$14,0)),"?")&amp;RIGHT("0"&amp;DAY(B530),2)&amp;RIGHT("0"&amp;MONTH(B530),2)&amp;RIGHT(YEAR(B530),2)&amp;C530&amp;IF(E530="","","-"&amp;E530))</f>
        <v/>
      </c>
      <c r="G530" s="13"/>
      <c r="H530" s="13"/>
      <c r="I530" s="13"/>
      <c r="J530" s="13"/>
      <c r="K530" s="13"/>
      <c r="L530" s="13"/>
      <c r="M530" s="11" t="str">
        <f aca="false">IF(F530="","",COUNTIFS(ENSAYOS!$C$5:$C$3004,F530,ENSAYOS!$Q$5:$Q$3004,"&gt;0"))</f>
        <v/>
      </c>
      <c r="N530" s="15" t="str">
        <f aca="false">IF(N(M530)=0,"",_xlfn.MINIFS(ENSAYOS!$G$5:$G$3004,ENSAYOS!$C$5:$C$3004,F530,ENSAYOS!$Q$5:$Q$3004,"&gt;0"))</f>
        <v/>
      </c>
      <c r="O530" s="15" t="str">
        <f aca="false">IF(N(M530)=0,"",_xlfn.MAXIFS(ENSAYOS!$G$5:$G$3004,ENSAYOS!$C$5:$C$3004,F530,ENSAYOS!$Q$5:$Q$3004,"&gt;0"))</f>
        <v/>
      </c>
      <c r="P530" s="16" t="str">
        <f aca="false">IF(N(M530)=0,"",AVERAGEIFS(ENSAYOS!$Q$5:$Q$3004,ENSAYOS!$C$5:$C$3004,F530,ENSAYOS!$Q$5:$Q$3004,"&gt;0"))</f>
        <v/>
      </c>
      <c r="Q530" s="16" t="str">
        <f aca="false">IF(N(M530)=0,"",_xlfn.MINIFS(ENSAYOS!$Q$5:$Q$3004,ENSAYOS!$C$5:$C$3004,F530,ENSAYOS!$Q$5:$Q$3004,"&gt;0"))</f>
        <v/>
      </c>
      <c r="R530" s="16" t="str">
        <f aca="false">IF(N(M530)=0,"",_xlfn.MAXIFS(ENSAYOS!$Q$5:$Q$3004,ENSAYOS!$C$5:$C$3004,F530,ENSAYOS!$Q$5:$Q$3004,"&gt;0"))</f>
        <v/>
      </c>
      <c r="S530" s="16" t="str">
        <f aca="false">IF(N(M530)&lt;2,"",SQRT(MAX(0,(SUMIFS(ENSAYOS!$X$5:$X$3004,ENSAYOS!$C$5:$C$3004,F530,ENSAYOS!$Q$5:$Q$3004,"&gt;0")-M530*P530^2)/(M530-1))))</f>
        <v/>
      </c>
      <c r="T530" s="17" t="str">
        <f aca="false">IF(S530="","",S530/P530)</f>
        <v/>
      </c>
      <c r="U530" s="16" t="str">
        <f aca="false">IF(N(M530)=0,"",IF(N530&gt;=CONFIG!$B$27,"",AVERAGEIFS(ENSAYOS!$Q$5:$Q$3004,ENSAYOS!$C$5:$C$3004,F530,ENSAYOS!$Q$5:$Q$3004,"&gt;0",ENSAYOS!$G$5:$G$3004,N530)))</f>
        <v/>
      </c>
      <c r="V530" s="16" t="str">
        <f aca="false">IF(N(M530)=0,"",IF(COUNTIFS(ENSAYOS!$C$5:$C$3004,F530,ENSAYOS!$Q$5:$Q$3004,"&gt;0",ENSAYOS!$G$5:$G$3004,"&gt;="&amp;CONFIG!$B$27)=0,"",AVERAGEIFS(ENSAYOS!$Q$5:$Q$3004,ENSAYOS!$C$5:$C$3004,F530,ENSAYOS!$Q$5:$Q$3004,"&gt;0",ENSAYOS!$G$5:$G$3004,"&gt;="&amp;CONFIG!$B$27)))</f>
        <v/>
      </c>
      <c r="W530" s="18" t="str">
        <f aca="false">IF(AND(U530&lt;&gt;"",V530&lt;&gt;""),U530/V530,"")</f>
        <v/>
      </c>
      <c r="X530" s="18" t="str">
        <f aca="false">IF(U530="","",INDEX('CURVA EDAD'!$E$5:$E$32,MIN(28,MAX(1,N530))))</f>
        <v/>
      </c>
      <c r="Y530" s="16" t="str">
        <f aca="false">IF(V530&lt;&gt;"",V530,IF(U530="","",U530/X530))</f>
        <v/>
      </c>
      <c r="Z530" s="16" t="str">
        <f aca="false">IF(V530&lt;&gt;"",_xlfn.MINIFS(ENSAYOS!$Q$5:$Q$3004,ENSAYOS!$C$5:$C$3004,F530,ENSAYOS!$Q$5:$Q$3004,"&gt;0",ENSAYOS!$G$5:$G$3004,"&gt;="&amp;CONFIG!$B$27),IF(U530="","",_xlfn.MINIFS(ENSAYOS!$Q$5:$Q$3004,ENSAYOS!$C$5:$C$3004,F530,ENSAYOS!$Q$5:$Q$3004,"&gt;0",ENSAYOS!$G$5:$G$3004,N530)/X530))</f>
        <v/>
      </c>
      <c r="AA530" s="16" t="str">
        <f aca="false">IF(D530="","",IFERROR(1/(1/INDEX(CONFIG!$J$5:$J$14,MATCH(D530,CONFIG!$D$5:$D$14,0))),""))</f>
        <v/>
      </c>
      <c r="AB530" s="16" t="str">
        <f aca="false">IF(D530="","",IFERROR(1/(1/INDEX(CONFIG!$K$5:$K$14,MATCH(D530,CONFIG!$D$5:$D$14,0))),""))</f>
        <v/>
      </c>
      <c r="AC530" s="19" t="str">
        <f aca="false">IF(N(M530)=0,"",IF(AA530="","Sin spec",IF(AND(Y530&gt;=AA530,OR(AB530="",Z530&gt;=AB530)),"CUMPLE","NO CUMPLE")&amp;IF(V530=""," (est.)","")))</f>
        <v/>
      </c>
      <c r="AD530" s="20" t="str">
        <f aca="false">IF(F530="","",IF(COUNTIFS(ABSORCION!$C$5:$C$1004,F530,ABSORCION!$I$5:$I$1004,"&gt;0")=0,"",AVERAGEIFS(ABSORCION!$I$5:$I$1004,ABSORCION!$C$5:$C$1004,F530,ABSORCION!$I$5:$I$1004,"&gt;0")))</f>
        <v/>
      </c>
      <c r="AE530" s="20" t="str">
        <f aca="false">IF(F530="","",IF(COUNTIFS(ABSORCION!$C$5:$C$1004,F530,ABSORCION!$I$5:$I$1004,"&gt;0")=0,"",AVERAGEIFS(ABSORCION!$K$5:$K$1004,ABSORCION!$C$5:$C$1004,F530,ABSORCION!$I$5:$I$1004,"&gt;0")))</f>
        <v/>
      </c>
      <c r="AF530" s="20" t="str">
        <f aca="false">IF(AE530="","",IF(AE530&gt;=CONFIG!$E$21,CONFIG!$F$21,IF(AE530&gt;=CONFIG!$E$20,CONFIG!$F$20,CONFIG!$F$19)))</f>
        <v/>
      </c>
      <c r="AG530" s="21" t="str">
        <f aca="false">IF(F530="","",TRIM(IF(N(M530)=0,"Sin ensayos. ","")&amp;IF(AND(N(M530)&gt;0,N(M530)&lt;CONFIG!$B$26),"Menos de "&amp;CONFIG!$B$26&amp;" probetas. ","")&amp;IF(N(T530)&gt;CONFIG!$B$25,"CV alto. ","")&amp;IF(AND(N(AD530)&gt;0,N(AD530)&gt;N(AF530)),"Absorción alta. ","")))</f>
        <v/>
      </c>
      <c r="AH530" s="22" t="str">
        <f aca="false">IF(AND(N(M530)&gt;0,OR(CONTROL!$C$4="TODAS",C530=CONTROL!$C$4),D530=CONTROL!$C$5),MAX($AH$4:AH529)+1,"")</f>
        <v/>
      </c>
      <c r="AI530" s="22" t="str">
        <f aca="false">IF(AH530="","",P530^2)</f>
        <v/>
      </c>
    </row>
    <row r="531" customFormat="false" ht="15" hidden="false" customHeight="false" outlineLevel="0" collapsed="false">
      <c r="A531" s="11" t="str">
        <f aca="false">IF(B531="","",ROW()-4)</f>
        <v/>
      </c>
      <c r="B531" s="12"/>
      <c r="C531" s="13"/>
      <c r="D531" s="13"/>
      <c r="E531" s="13"/>
      <c r="F531" s="14" t="str">
        <f aca="false">IF(OR(B531="",C531="",D531=""),"",IFERROR(INDEX(CONFIG!$E$5:$E$14,MATCH(D531,CONFIG!$D$5:$D$14,0)),"?")&amp;RIGHT("0"&amp;DAY(B531),2)&amp;RIGHT("0"&amp;MONTH(B531),2)&amp;RIGHT(YEAR(B531),2)&amp;C531&amp;IF(E531="","","-"&amp;E531))</f>
        <v/>
      </c>
      <c r="G531" s="13"/>
      <c r="H531" s="13"/>
      <c r="I531" s="13"/>
      <c r="J531" s="13"/>
      <c r="K531" s="13"/>
      <c r="L531" s="13"/>
      <c r="M531" s="11" t="str">
        <f aca="false">IF(F531="","",COUNTIFS(ENSAYOS!$C$5:$C$3004,F531,ENSAYOS!$Q$5:$Q$3004,"&gt;0"))</f>
        <v/>
      </c>
      <c r="N531" s="15" t="str">
        <f aca="false">IF(N(M531)=0,"",_xlfn.MINIFS(ENSAYOS!$G$5:$G$3004,ENSAYOS!$C$5:$C$3004,F531,ENSAYOS!$Q$5:$Q$3004,"&gt;0"))</f>
        <v/>
      </c>
      <c r="O531" s="15" t="str">
        <f aca="false">IF(N(M531)=0,"",_xlfn.MAXIFS(ENSAYOS!$G$5:$G$3004,ENSAYOS!$C$5:$C$3004,F531,ENSAYOS!$Q$5:$Q$3004,"&gt;0"))</f>
        <v/>
      </c>
      <c r="P531" s="16" t="str">
        <f aca="false">IF(N(M531)=0,"",AVERAGEIFS(ENSAYOS!$Q$5:$Q$3004,ENSAYOS!$C$5:$C$3004,F531,ENSAYOS!$Q$5:$Q$3004,"&gt;0"))</f>
        <v/>
      </c>
      <c r="Q531" s="16" t="str">
        <f aca="false">IF(N(M531)=0,"",_xlfn.MINIFS(ENSAYOS!$Q$5:$Q$3004,ENSAYOS!$C$5:$C$3004,F531,ENSAYOS!$Q$5:$Q$3004,"&gt;0"))</f>
        <v/>
      </c>
      <c r="R531" s="16" t="str">
        <f aca="false">IF(N(M531)=0,"",_xlfn.MAXIFS(ENSAYOS!$Q$5:$Q$3004,ENSAYOS!$C$5:$C$3004,F531,ENSAYOS!$Q$5:$Q$3004,"&gt;0"))</f>
        <v/>
      </c>
      <c r="S531" s="16" t="str">
        <f aca="false">IF(N(M531)&lt;2,"",SQRT(MAX(0,(SUMIFS(ENSAYOS!$X$5:$X$3004,ENSAYOS!$C$5:$C$3004,F531,ENSAYOS!$Q$5:$Q$3004,"&gt;0")-M531*P531^2)/(M531-1))))</f>
        <v/>
      </c>
      <c r="T531" s="17" t="str">
        <f aca="false">IF(S531="","",S531/P531)</f>
        <v/>
      </c>
      <c r="U531" s="16" t="str">
        <f aca="false">IF(N(M531)=0,"",IF(N531&gt;=CONFIG!$B$27,"",AVERAGEIFS(ENSAYOS!$Q$5:$Q$3004,ENSAYOS!$C$5:$C$3004,F531,ENSAYOS!$Q$5:$Q$3004,"&gt;0",ENSAYOS!$G$5:$G$3004,N531)))</f>
        <v/>
      </c>
      <c r="V531" s="16" t="str">
        <f aca="false">IF(N(M531)=0,"",IF(COUNTIFS(ENSAYOS!$C$5:$C$3004,F531,ENSAYOS!$Q$5:$Q$3004,"&gt;0",ENSAYOS!$G$5:$G$3004,"&gt;="&amp;CONFIG!$B$27)=0,"",AVERAGEIFS(ENSAYOS!$Q$5:$Q$3004,ENSAYOS!$C$5:$C$3004,F531,ENSAYOS!$Q$5:$Q$3004,"&gt;0",ENSAYOS!$G$5:$G$3004,"&gt;="&amp;CONFIG!$B$27)))</f>
        <v/>
      </c>
      <c r="W531" s="18" t="str">
        <f aca="false">IF(AND(U531&lt;&gt;"",V531&lt;&gt;""),U531/V531,"")</f>
        <v/>
      </c>
      <c r="X531" s="18" t="str">
        <f aca="false">IF(U531="","",INDEX('CURVA EDAD'!$E$5:$E$32,MIN(28,MAX(1,N531))))</f>
        <v/>
      </c>
      <c r="Y531" s="16" t="str">
        <f aca="false">IF(V531&lt;&gt;"",V531,IF(U531="","",U531/X531))</f>
        <v/>
      </c>
      <c r="Z531" s="16" t="str">
        <f aca="false">IF(V531&lt;&gt;"",_xlfn.MINIFS(ENSAYOS!$Q$5:$Q$3004,ENSAYOS!$C$5:$C$3004,F531,ENSAYOS!$Q$5:$Q$3004,"&gt;0",ENSAYOS!$G$5:$G$3004,"&gt;="&amp;CONFIG!$B$27),IF(U531="","",_xlfn.MINIFS(ENSAYOS!$Q$5:$Q$3004,ENSAYOS!$C$5:$C$3004,F531,ENSAYOS!$Q$5:$Q$3004,"&gt;0",ENSAYOS!$G$5:$G$3004,N531)/X531))</f>
        <v/>
      </c>
      <c r="AA531" s="16" t="str">
        <f aca="false">IF(D531="","",IFERROR(1/(1/INDEX(CONFIG!$J$5:$J$14,MATCH(D531,CONFIG!$D$5:$D$14,0))),""))</f>
        <v/>
      </c>
      <c r="AB531" s="16" t="str">
        <f aca="false">IF(D531="","",IFERROR(1/(1/INDEX(CONFIG!$K$5:$K$14,MATCH(D531,CONFIG!$D$5:$D$14,0))),""))</f>
        <v/>
      </c>
      <c r="AC531" s="19" t="str">
        <f aca="false">IF(N(M531)=0,"",IF(AA531="","Sin spec",IF(AND(Y531&gt;=AA531,OR(AB531="",Z531&gt;=AB531)),"CUMPLE","NO CUMPLE")&amp;IF(V531=""," (est.)","")))</f>
        <v/>
      </c>
      <c r="AD531" s="20" t="str">
        <f aca="false">IF(F531="","",IF(COUNTIFS(ABSORCION!$C$5:$C$1004,F531,ABSORCION!$I$5:$I$1004,"&gt;0")=0,"",AVERAGEIFS(ABSORCION!$I$5:$I$1004,ABSORCION!$C$5:$C$1004,F531,ABSORCION!$I$5:$I$1004,"&gt;0")))</f>
        <v/>
      </c>
      <c r="AE531" s="20" t="str">
        <f aca="false">IF(F531="","",IF(COUNTIFS(ABSORCION!$C$5:$C$1004,F531,ABSORCION!$I$5:$I$1004,"&gt;0")=0,"",AVERAGEIFS(ABSORCION!$K$5:$K$1004,ABSORCION!$C$5:$C$1004,F531,ABSORCION!$I$5:$I$1004,"&gt;0")))</f>
        <v/>
      </c>
      <c r="AF531" s="20" t="str">
        <f aca="false">IF(AE531="","",IF(AE531&gt;=CONFIG!$E$21,CONFIG!$F$21,IF(AE531&gt;=CONFIG!$E$20,CONFIG!$F$20,CONFIG!$F$19)))</f>
        <v/>
      </c>
      <c r="AG531" s="21" t="str">
        <f aca="false">IF(F531="","",TRIM(IF(N(M531)=0,"Sin ensayos. ","")&amp;IF(AND(N(M531)&gt;0,N(M531)&lt;CONFIG!$B$26),"Menos de "&amp;CONFIG!$B$26&amp;" probetas. ","")&amp;IF(N(T531)&gt;CONFIG!$B$25,"CV alto. ","")&amp;IF(AND(N(AD531)&gt;0,N(AD531)&gt;N(AF531)),"Absorción alta. ","")))</f>
        <v/>
      </c>
      <c r="AH531" s="22" t="str">
        <f aca="false">IF(AND(N(M531)&gt;0,OR(CONTROL!$C$4="TODAS",C531=CONTROL!$C$4),D531=CONTROL!$C$5),MAX($AH$4:AH530)+1,"")</f>
        <v/>
      </c>
      <c r="AI531" s="22" t="str">
        <f aca="false">IF(AH531="","",P531^2)</f>
        <v/>
      </c>
    </row>
    <row r="532" customFormat="false" ht="15" hidden="false" customHeight="false" outlineLevel="0" collapsed="false">
      <c r="A532" s="11" t="str">
        <f aca="false">IF(B532="","",ROW()-4)</f>
        <v/>
      </c>
      <c r="B532" s="12"/>
      <c r="C532" s="13"/>
      <c r="D532" s="13"/>
      <c r="E532" s="13"/>
      <c r="F532" s="14" t="str">
        <f aca="false">IF(OR(B532="",C532="",D532=""),"",IFERROR(INDEX(CONFIG!$E$5:$E$14,MATCH(D532,CONFIG!$D$5:$D$14,0)),"?")&amp;RIGHT("0"&amp;DAY(B532),2)&amp;RIGHT("0"&amp;MONTH(B532),2)&amp;RIGHT(YEAR(B532),2)&amp;C532&amp;IF(E532="","","-"&amp;E532))</f>
        <v/>
      </c>
      <c r="G532" s="13"/>
      <c r="H532" s="13"/>
      <c r="I532" s="13"/>
      <c r="J532" s="13"/>
      <c r="K532" s="13"/>
      <c r="L532" s="13"/>
      <c r="M532" s="11" t="str">
        <f aca="false">IF(F532="","",COUNTIFS(ENSAYOS!$C$5:$C$3004,F532,ENSAYOS!$Q$5:$Q$3004,"&gt;0"))</f>
        <v/>
      </c>
      <c r="N532" s="15" t="str">
        <f aca="false">IF(N(M532)=0,"",_xlfn.MINIFS(ENSAYOS!$G$5:$G$3004,ENSAYOS!$C$5:$C$3004,F532,ENSAYOS!$Q$5:$Q$3004,"&gt;0"))</f>
        <v/>
      </c>
      <c r="O532" s="15" t="str">
        <f aca="false">IF(N(M532)=0,"",_xlfn.MAXIFS(ENSAYOS!$G$5:$G$3004,ENSAYOS!$C$5:$C$3004,F532,ENSAYOS!$Q$5:$Q$3004,"&gt;0"))</f>
        <v/>
      </c>
      <c r="P532" s="16" t="str">
        <f aca="false">IF(N(M532)=0,"",AVERAGEIFS(ENSAYOS!$Q$5:$Q$3004,ENSAYOS!$C$5:$C$3004,F532,ENSAYOS!$Q$5:$Q$3004,"&gt;0"))</f>
        <v/>
      </c>
      <c r="Q532" s="16" t="str">
        <f aca="false">IF(N(M532)=0,"",_xlfn.MINIFS(ENSAYOS!$Q$5:$Q$3004,ENSAYOS!$C$5:$C$3004,F532,ENSAYOS!$Q$5:$Q$3004,"&gt;0"))</f>
        <v/>
      </c>
      <c r="R532" s="16" t="str">
        <f aca="false">IF(N(M532)=0,"",_xlfn.MAXIFS(ENSAYOS!$Q$5:$Q$3004,ENSAYOS!$C$5:$C$3004,F532,ENSAYOS!$Q$5:$Q$3004,"&gt;0"))</f>
        <v/>
      </c>
      <c r="S532" s="16" t="str">
        <f aca="false">IF(N(M532)&lt;2,"",SQRT(MAX(0,(SUMIFS(ENSAYOS!$X$5:$X$3004,ENSAYOS!$C$5:$C$3004,F532,ENSAYOS!$Q$5:$Q$3004,"&gt;0")-M532*P532^2)/(M532-1))))</f>
        <v/>
      </c>
      <c r="T532" s="17" t="str">
        <f aca="false">IF(S532="","",S532/P532)</f>
        <v/>
      </c>
      <c r="U532" s="16" t="str">
        <f aca="false">IF(N(M532)=0,"",IF(N532&gt;=CONFIG!$B$27,"",AVERAGEIFS(ENSAYOS!$Q$5:$Q$3004,ENSAYOS!$C$5:$C$3004,F532,ENSAYOS!$Q$5:$Q$3004,"&gt;0",ENSAYOS!$G$5:$G$3004,N532)))</f>
        <v/>
      </c>
      <c r="V532" s="16" t="str">
        <f aca="false">IF(N(M532)=0,"",IF(COUNTIFS(ENSAYOS!$C$5:$C$3004,F532,ENSAYOS!$Q$5:$Q$3004,"&gt;0",ENSAYOS!$G$5:$G$3004,"&gt;="&amp;CONFIG!$B$27)=0,"",AVERAGEIFS(ENSAYOS!$Q$5:$Q$3004,ENSAYOS!$C$5:$C$3004,F532,ENSAYOS!$Q$5:$Q$3004,"&gt;0",ENSAYOS!$G$5:$G$3004,"&gt;="&amp;CONFIG!$B$27)))</f>
        <v/>
      </c>
      <c r="W532" s="18" t="str">
        <f aca="false">IF(AND(U532&lt;&gt;"",V532&lt;&gt;""),U532/V532,"")</f>
        <v/>
      </c>
      <c r="X532" s="18" t="str">
        <f aca="false">IF(U532="","",INDEX('CURVA EDAD'!$E$5:$E$32,MIN(28,MAX(1,N532))))</f>
        <v/>
      </c>
      <c r="Y532" s="16" t="str">
        <f aca="false">IF(V532&lt;&gt;"",V532,IF(U532="","",U532/X532))</f>
        <v/>
      </c>
      <c r="Z532" s="16" t="str">
        <f aca="false">IF(V532&lt;&gt;"",_xlfn.MINIFS(ENSAYOS!$Q$5:$Q$3004,ENSAYOS!$C$5:$C$3004,F532,ENSAYOS!$Q$5:$Q$3004,"&gt;0",ENSAYOS!$G$5:$G$3004,"&gt;="&amp;CONFIG!$B$27),IF(U532="","",_xlfn.MINIFS(ENSAYOS!$Q$5:$Q$3004,ENSAYOS!$C$5:$C$3004,F532,ENSAYOS!$Q$5:$Q$3004,"&gt;0",ENSAYOS!$G$5:$G$3004,N532)/X532))</f>
        <v/>
      </c>
      <c r="AA532" s="16" t="str">
        <f aca="false">IF(D532="","",IFERROR(1/(1/INDEX(CONFIG!$J$5:$J$14,MATCH(D532,CONFIG!$D$5:$D$14,0))),""))</f>
        <v/>
      </c>
      <c r="AB532" s="16" t="str">
        <f aca="false">IF(D532="","",IFERROR(1/(1/INDEX(CONFIG!$K$5:$K$14,MATCH(D532,CONFIG!$D$5:$D$14,0))),""))</f>
        <v/>
      </c>
      <c r="AC532" s="19" t="str">
        <f aca="false">IF(N(M532)=0,"",IF(AA532="","Sin spec",IF(AND(Y532&gt;=AA532,OR(AB532="",Z532&gt;=AB532)),"CUMPLE","NO CUMPLE")&amp;IF(V532=""," (est.)","")))</f>
        <v/>
      </c>
      <c r="AD532" s="20" t="str">
        <f aca="false">IF(F532="","",IF(COUNTIFS(ABSORCION!$C$5:$C$1004,F532,ABSORCION!$I$5:$I$1004,"&gt;0")=0,"",AVERAGEIFS(ABSORCION!$I$5:$I$1004,ABSORCION!$C$5:$C$1004,F532,ABSORCION!$I$5:$I$1004,"&gt;0")))</f>
        <v/>
      </c>
      <c r="AE532" s="20" t="str">
        <f aca="false">IF(F532="","",IF(COUNTIFS(ABSORCION!$C$5:$C$1004,F532,ABSORCION!$I$5:$I$1004,"&gt;0")=0,"",AVERAGEIFS(ABSORCION!$K$5:$K$1004,ABSORCION!$C$5:$C$1004,F532,ABSORCION!$I$5:$I$1004,"&gt;0")))</f>
        <v/>
      </c>
      <c r="AF532" s="20" t="str">
        <f aca="false">IF(AE532="","",IF(AE532&gt;=CONFIG!$E$21,CONFIG!$F$21,IF(AE532&gt;=CONFIG!$E$20,CONFIG!$F$20,CONFIG!$F$19)))</f>
        <v/>
      </c>
      <c r="AG532" s="21" t="str">
        <f aca="false">IF(F532="","",TRIM(IF(N(M532)=0,"Sin ensayos. ","")&amp;IF(AND(N(M532)&gt;0,N(M532)&lt;CONFIG!$B$26),"Menos de "&amp;CONFIG!$B$26&amp;" probetas. ","")&amp;IF(N(T532)&gt;CONFIG!$B$25,"CV alto. ","")&amp;IF(AND(N(AD532)&gt;0,N(AD532)&gt;N(AF532)),"Absorción alta. ","")))</f>
        <v/>
      </c>
      <c r="AH532" s="22" t="str">
        <f aca="false">IF(AND(N(M532)&gt;0,OR(CONTROL!$C$4="TODAS",C532=CONTROL!$C$4),D532=CONTROL!$C$5),MAX($AH$4:AH531)+1,"")</f>
        <v/>
      </c>
      <c r="AI532" s="22" t="str">
        <f aca="false">IF(AH532="","",P532^2)</f>
        <v/>
      </c>
    </row>
    <row r="533" customFormat="false" ht="15" hidden="false" customHeight="false" outlineLevel="0" collapsed="false">
      <c r="A533" s="11" t="str">
        <f aca="false">IF(B533="","",ROW()-4)</f>
        <v/>
      </c>
      <c r="B533" s="12"/>
      <c r="C533" s="13"/>
      <c r="D533" s="13"/>
      <c r="E533" s="13"/>
      <c r="F533" s="14" t="str">
        <f aca="false">IF(OR(B533="",C533="",D533=""),"",IFERROR(INDEX(CONFIG!$E$5:$E$14,MATCH(D533,CONFIG!$D$5:$D$14,0)),"?")&amp;RIGHT("0"&amp;DAY(B533),2)&amp;RIGHT("0"&amp;MONTH(B533),2)&amp;RIGHT(YEAR(B533),2)&amp;C533&amp;IF(E533="","","-"&amp;E533))</f>
        <v/>
      </c>
      <c r="G533" s="13"/>
      <c r="H533" s="13"/>
      <c r="I533" s="13"/>
      <c r="J533" s="13"/>
      <c r="K533" s="13"/>
      <c r="L533" s="13"/>
      <c r="M533" s="11" t="str">
        <f aca="false">IF(F533="","",COUNTIFS(ENSAYOS!$C$5:$C$3004,F533,ENSAYOS!$Q$5:$Q$3004,"&gt;0"))</f>
        <v/>
      </c>
      <c r="N533" s="15" t="str">
        <f aca="false">IF(N(M533)=0,"",_xlfn.MINIFS(ENSAYOS!$G$5:$G$3004,ENSAYOS!$C$5:$C$3004,F533,ENSAYOS!$Q$5:$Q$3004,"&gt;0"))</f>
        <v/>
      </c>
      <c r="O533" s="15" t="str">
        <f aca="false">IF(N(M533)=0,"",_xlfn.MAXIFS(ENSAYOS!$G$5:$G$3004,ENSAYOS!$C$5:$C$3004,F533,ENSAYOS!$Q$5:$Q$3004,"&gt;0"))</f>
        <v/>
      </c>
      <c r="P533" s="16" t="str">
        <f aca="false">IF(N(M533)=0,"",AVERAGEIFS(ENSAYOS!$Q$5:$Q$3004,ENSAYOS!$C$5:$C$3004,F533,ENSAYOS!$Q$5:$Q$3004,"&gt;0"))</f>
        <v/>
      </c>
      <c r="Q533" s="16" t="str">
        <f aca="false">IF(N(M533)=0,"",_xlfn.MINIFS(ENSAYOS!$Q$5:$Q$3004,ENSAYOS!$C$5:$C$3004,F533,ENSAYOS!$Q$5:$Q$3004,"&gt;0"))</f>
        <v/>
      </c>
      <c r="R533" s="16" t="str">
        <f aca="false">IF(N(M533)=0,"",_xlfn.MAXIFS(ENSAYOS!$Q$5:$Q$3004,ENSAYOS!$C$5:$C$3004,F533,ENSAYOS!$Q$5:$Q$3004,"&gt;0"))</f>
        <v/>
      </c>
      <c r="S533" s="16" t="str">
        <f aca="false">IF(N(M533)&lt;2,"",SQRT(MAX(0,(SUMIFS(ENSAYOS!$X$5:$X$3004,ENSAYOS!$C$5:$C$3004,F533,ENSAYOS!$Q$5:$Q$3004,"&gt;0")-M533*P533^2)/(M533-1))))</f>
        <v/>
      </c>
      <c r="T533" s="17" t="str">
        <f aca="false">IF(S533="","",S533/P533)</f>
        <v/>
      </c>
      <c r="U533" s="16" t="str">
        <f aca="false">IF(N(M533)=0,"",IF(N533&gt;=CONFIG!$B$27,"",AVERAGEIFS(ENSAYOS!$Q$5:$Q$3004,ENSAYOS!$C$5:$C$3004,F533,ENSAYOS!$Q$5:$Q$3004,"&gt;0",ENSAYOS!$G$5:$G$3004,N533)))</f>
        <v/>
      </c>
      <c r="V533" s="16" t="str">
        <f aca="false">IF(N(M533)=0,"",IF(COUNTIFS(ENSAYOS!$C$5:$C$3004,F533,ENSAYOS!$Q$5:$Q$3004,"&gt;0",ENSAYOS!$G$5:$G$3004,"&gt;="&amp;CONFIG!$B$27)=0,"",AVERAGEIFS(ENSAYOS!$Q$5:$Q$3004,ENSAYOS!$C$5:$C$3004,F533,ENSAYOS!$Q$5:$Q$3004,"&gt;0",ENSAYOS!$G$5:$G$3004,"&gt;="&amp;CONFIG!$B$27)))</f>
        <v/>
      </c>
      <c r="W533" s="18" t="str">
        <f aca="false">IF(AND(U533&lt;&gt;"",V533&lt;&gt;""),U533/V533,"")</f>
        <v/>
      </c>
      <c r="X533" s="18" t="str">
        <f aca="false">IF(U533="","",INDEX('CURVA EDAD'!$E$5:$E$32,MIN(28,MAX(1,N533))))</f>
        <v/>
      </c>
      <c r="Y533" s="16" t="str">
        <f aca="false">IF(V533&lt;&gt;"",V533,IF(U533="","",U533/X533))</f>
        <v/>
      </c>
      <c r="Z533" s="16" t="str">
        <f aca="false">IF(V533&lt;&gt;"",_xlfn.MINIFS(ENSAYOS!$Q$5:$Q$3004,ENSAYOS!$C$5:$C$3004,F533,ENSAYOS!$Q$5:$Q$3004,"&gt;0",ENSAYOS!$G$5:$G$3004,"&gt;="&amp;CONFIG!$B$27),IF(U533="","",_xlfn.MINIFS(ENSAYOS!$Q$5:$Q$3004,ENSAYOS!$C$5:$C$3004,F533,ENSAYOS!$Q$5:$Q$3004,"&gt;0",ENSAYOS!$G$5:$G$3004,N533)/X533))</f>
        <v/>
      </c>
      <c r="AA533" s="16" t="str">
        <f aca="false">IF(D533="","",IFERROR(1/(1/INDEX(CONFIG!$J$5:$J$14,MATCH(D533,CONFIG!$D$5:$D$14,0))),""))</f>
        <v/>
      </c>
      <c r="AB533" s="16" t="str">
        <f aca="false">IF(D533="","",IFERROR(1/(1/INDEX(CONFIG!$K$5:$K$14,MATCH(D533,CONFIG!$D$5:$D$14,0))),""))</f>
        <v/>
      </c>
      <c r="AC533" s="19" t="str">
        <f aca="false">IF(N(M533)=0,"",IF(AA533="","Sin spec",IF(AND(Y533&gt;=AA533,OR(AB533="",Z533&gt;=AB533)),"CUMPLE","NO CUMPLE")&amp;IF(V533=""," (est.)","")))</f>
        <v/>
      </c>
      <c r="AD533" s="20" t="str">
        <f aca="false">IF(F533="","",IF(COUNTIFS(ABSORCION!$C$5:$C$1004,F533,ABSORCION!$I$5:$I$1004,"&gt;0")=0,"",AVERAGEIFS(ABSORCION!$I$5:$I$1004,ABSORCION!$C$5:$C$1004,F533,ABSORCION!$I$5:$I$1004,"&gt;0")))</f>
        <v/>
      </c>
      <c r="AE533" s="20" t="str">
        <f aca="false">IF(F533="","",IF(COUNTIFS(ABSORCION!$C$5:$C$1004,F533,ABSORCION!$I$5:$I$1004,"&gt;0")=0,"",AVERAGEIFS(ABSORCION!$K$5:$K$1004,ABSORCION!$C$5:$C$1004,F533,ABSORCION!$I$5:$I$1004,"&gt;0")))</f>
        <v/>
      </c>
      <c r="AF533" s="20" t="str">
        <f aca="false">IF(AE533="","",IF(AE533&gt;=CONFIG!$E$21,CONFIG!$F$21,IF(AE533&gt;=CONFIG!$E$20,CONFIG!$F$20,CONFIG!$F$19)))</f>
        <v/>
      </c>
      <c r="AG533" s="21" t="str">
        <f aca="false">IF(F533="","",TRIM(IF(N(M533)=0,"Sin ensayos. ","")&amp;IF(AND(N(M533)&gt;0,N(M533)&lt;CONFIG!$B$26),"Menos de "&amp;CONFIG!$B$26&amp;" probetas. ","")&amp;IF(N(T533)&gt;CONFIG!$B$25,"CV alto. ","")&amp;IF(AND(N(AD533)&gt;0,N(AD533)&gt;N(AF533)),"Absorción alta. ","")))</f>
        <v/>
      </c>
      <c r="AH533" s="22" t="str">
        <f aca="false">IF(AND(N(M533)&gt;0,OR(CONTROL!$C$4="TODAS",C533=CONTROL!$C$4),D533=CONTROL!$C$5),MAX($AH$4:AH532)+1,"")</f>
        <v/>
      </c>
      <c r="AI533" s="22" t="str">
        <f aca="false">IF(AH533="","",P533^2)</f>
        <v/>
      </c>
    </row>
    <row r="534" customFormat="false" ht="15" hidden="false" customHeight="false" outlineLevel="0" collapsed="false">
      <c r="A534" s="11" t="str">
        <f aca="false">IF(B534="","",ROW()-4)</f>
        <v/>
      </c>
      <c r="B534" s="12"/>
      <c r="C534" s="13"/>
      <c r="D534" s="13"/>
      <c r="E534" s="13"/>
      <c r="F534" s="14" t="str">
        <f aca="false">IF(OR(B534="",C534="",D534=""),"",IFERROR(INDEX(CONFIG!$E$5:$E$14,MATCH(D534,CONFIG!$D$5:$D$14,0)),"?")&amp;RIGHT("0"&amp;DAY(B534),2)&amp;RIGHT("0"&amp;MONTH(B534),2)&amp;RIGHT(YEAR(B534),2)&amp;C534&amp;IF(E534="","","-"&amp;E534))</f>
        <v/>
      </c>
      <c r="G534" s="13"/>
      <c r="H534" s="13"/>
      <c r="I534" s="13"/>
      <c r="J534" s="13"/>
      <c r="K534" s="13"/>
      <c r="L534" s="13"/>
      <c r="M534" s="11" t="str">
        <f aca="false">IF(F534="","",COUNTIFS(ENSAYOS!$C$5:$C$3004,F534,ENSAYOS!$Q$5:$Q$3004,"&gt;0"))</f>
        <v/>
      </c>
      <c r="N534" s="15" t="str">
        <f aca="false">IF(N(M534)=0,"",_xlfn.MINIFS(ENSAYOS!$G$5:$G$3004,ENSAYOS!$C$5:$C$3004,F534,ENSAYOS!$Q$5:$Q$3004,"&gt;0"))</f>
        <v/>
      </c>
      <c r="O534" s="15" t="str">
        <f aca="false">IF(N(M534)=0,"",_xlfn.MAXIFS(ENSAYOS!$G$5:$G$3004,ENSAYOS!$C$5:$C$3004,F534,ENSAYOS!$Q$5:$Q$3004,"&gt;0"))</f>
        <v/>
      </c>
      <c r="P534" s="16" t="str">
        <f aca="false">IF(N(M534)=0,"",AVERAGEIFS(ENSAYOS!$Q$5:$Q$3004,ENSAYOS!$C$5:$C$3004,F534,ENSAYOS!$Q$5:$Q$3004,"&gt;0"))</f>
        <v/>
      </c>
      <c r="Q534" s="16" t="str">
        <f aca="false">IF(N(M534)=0,"",_xlfn.MINIFS(ENSAYOS!$Q$5:$Q$3004,ENSAYOS!$C$5:$C$3004,F534,ENSAYOS!$Q$5:$Q$3004,"&gt;0"))</f>
        <v/>
      </c>
      <c r="R534" s="16" t="str">
        <f aca="false">IF(N(M534)=0,"",_xlfn.MAXIFS(ENSAYOS!$Q$5:$Q$3004,ENSAYOS!$C$5:$C$3004,F534,ENSAYOS!$Q$5:$Q$3004,"&gt;0"))</f>
        <v/>
      </c>
      <c r="S534" s="16" t="str">
        <f aca="false">IF(N(M534)&lt;2,"",SQRT(MAX(0,(SUMIFS(ENSAYOS!$X$5:$X$3004,ENSAYOS!$C$5:$C$3004,F534,ENSAYOS!$Q$5:$Q$3004,"&gt;0")-M534*P534^2)/(M534-1))))</f>
        <v/>
      </c>
      <c r="T534" s="17" t="str">
        <f aca="false">IF(S534="","",S534/P534)</f>
        <v/>
      </c>
      <c r="U534" s="16" t="str">
        <f aca="false">IF(N(M534)=0,"",IF(N534&gt;=CONFIG!$B$27,"",AVERAGEIFS(ENSAYOS!$Q$5:$Q$3004,ENSAYOS!$C$5:$C$3004,F534,ENSAYOS!$Q$5:$Q$3004,"&gt;0",ENSAYOS!$G$5:$G$3004,N534)))</f>
        <v/>
      </c>
      <c r="V534" s="16" t="str">
        <f aca="false">IF(N(M534)=0,"",IF(COUNTIFS(ENSAYOS!$C$5:$C$3004,F534,ENSAYOS!$Q$5:$Q$3004,"&gt;0",ENSAYOS!$G$5:$G$3004,"&gt;="&amp;CONFIG!$B$27)=0,"",AVERAGEIFS(ENSAYOS!$Q$5:$Q$3004,ENSAYOS!$C$5:$C$3004,F534,ENSAYOS!$Q$5:$Q$3004,"&gt;0",ENSAYOS!$G$5:$G$3004,"&gt;="&amp;CONFIG!$B$27)))</f>
        <v/>
      </c>
      <c r="W534" s="18" t="str">
        <f aca="false">IF(AND(U534&lt;&gt;"",V534&lt;&gt;""),U534/V534,"")</f>
        <v/>
      </c>
      <c r="X534" s="18" t="str">
        <f aca="false">IF(U534="","",INDEX('CURVA EDAD'!$E$5:$E$32,MIN(28,MAX(1,N534))))</f>
        <v/>
      </c>
      <c r="Y534" s="16" t="str">
        <f aca="false">IF(V534&lt;&gt;"",V534,IF(U534="","",U534/X534))</f>
        <v/>
      </c>
      <c r="Z534" s="16" t="str">
        <f aca="false">IF(V534&lt;&gt;"",_xlfn.MINIFS(ENSAYOS!$Q$5:$Q$3004,ENSAYOS!$C$5:$C$3004,F534,ENSAYOS!$Q$5:$Q$3004,"&gt;0",ENSAYOS!$G$5:$G$3004,"&gt;="&amp;CONFIG!$B$27),IF(U534="","",_xlfn.MINIFS(ENSAYOS!$Q$5:$Q$3004,ENSAYOS!$C$5:$C$3004,F534,ENSAYOS!$Q$5:$Q$3004,"&gt;0",ENSAYOS!$G$5:$G$3004,N534)/X534))</f>
        <v/>
      </c>
      <c r="AA534" s="16" t="str">
        <f aca="false">IF(D534="","",IFERROR(1/(1/INDEX(CONFIG!$J$5:$J$14,MATCH(D534,CONFIG!$D$5:$D$14,0))),""))</f>
        <v/>
      </c>
      <c r="AB534" s="16" t="str">
        <f aca="false">IF(D534="","",IFERROR(1/(1/INDEX(CONFIG!$K$5:$K$14,MATCH(D534,CONFIG!$D$5:$D$14,0))),""))</f>
        <v/>
      </c>
      <c r="AC534" s="19" t="str">
        <f aca="false">IF(N(M534)=0,"",IF(AA534="","Sin spec",IF(AND(Y534&gt;=AA534,OR(AB534="",Z534&gt;=AB534)),"CUMPLE","NO CUMPLE")&amp;IF(V534=""," (est.)","")))</f>
        <v/>
      </c>
      <c r="AD534" s="20" t="str">
        <f aca="false">IF(F534="","",IF(COUNTIFS(ABSORCION!$C$5:$C$1004,F534,ABSORCION!$I$5:$I$1004,"&gt;0")=0,"",AVERAGEIFS(ABSORCION!$I$5:$I$1004,ABSORCION!$C$5:$C$1004,F534,ABSORCION!$I$5:$I$1004,"&gt;0")))</f>
        <v/>
      </c>
      <c r="AE534" s="20" t="str">
        <f aca="false">IF(F534="","",IF(COUNTIFS(ABSORCION!$C$5:$C$1004,F534,ABSORCION!$I$5:$I$1004,"&gt;0")=0,"",AVERAGEIFS(ABSORCION!$K$5:$K$1004,ABSORCION!$C$5:$C$1004,F534,ABSORCION!$I$5:$I$1004,"&gt;0")))</f>
        <v/>
      </c>
      <c r="AF534" s="20" t="str">
        <f aca="false">IF(AE534="","",IF(AE534&gt;=CONFIG!$E$21,CONFIG!$F$21,IF(AE534&gt;=CONFIG!$E$20,CONFIG!$F$20,CONFIG!$F$19)))</f>
        <v/>
      </c>
      <c r="AG534" s="21" t="str">
        <f aca="false">IF(F534="","",TRIM(IF(N(M534)=0,"Sin ensayos. ","")&amp;IF(AND(N(M534)&gt;0,N(M534)&lt;CONFIG!$B$26),"Menos de "&amp;CONFIG!$B$26&amp;" probetas. ","")&amp;IF(N(T534)&gt;CONFIG!$B$25,"CV alto. ","")&amp;IF(AND(N(AD534)&gt;0,N(AD534)&gt;N(AF534)),"Absorción alta. ","")))</f>
        <v/>
      </c>
      <c r="AH534" s="22" t="str">
        <f aca="false">IF(AND(N(M534)&gt;0,OR(CONTROL!$C$4="TODAS",C534=CONTROL!$C$4),D534=CONTROL!$C$5),MAX($AH$4:AH533)+1,"")</f>
        <v/>
      </c>
      <c r="AI534" s="22" t="str">
        <f aca="false">IF(AH534="","",P534^2)</f>
        <v/>
      </c>
    </row>
    <row r="535" customFormat="false" ht="15" hidden="false" customHeight="false" outlineLevel="0" collapsed="false">
      <c r="A535" s="11" t="str">
        <f aca="false">IF(B535="","",ROW()-4)</f>
        <v/>
      </c>
      <c r="B535" s="12"/>
      <c r="C535" s="13"/>
      <c r="D535" s="13"/>
      <c r="E535" s="13"/>
      <c r="F535" s="14" t="str">
        <f aca="false">IF(OR(B535="",C535="",D535=""),"",IFERROR(INDEX(CONFIG!$E$5:$E$14,MATCH(D535,CONFIG!$D$5:$D$14,0)),"?")&amp;RIGHT("0"&amp;DAY(B535),2)&amp;RIGHT("0"&amp;MONTH(B535),2)&amp;RIGHT(YEAR(B535),2)&amp;C535&amp;IF(E535="","","-"&amp;E535))</f>
        <v/>
      </c>
      <c r="G535" s="13"/>
      <c r="H535" s="13"/>
      <c r="I535" s="13"/>
      <c r="J535" s="13"/>
      <c r="K535" s="13"/>
      <c r="L535" s="13"/>
      <c r="M535" s="11" t="str">
        <f aca="false">IF(F535="","",COUNTIFS(ENSAYOS!$C$5:$C$3004,F535,ENSAYOS!$Q$5:$Q$3004,"&gt;0"))</f>
        <v/>
      </c>
      <c r="N535" s="15" t="str">
        <f aca="false">IF(N(M535)=0,"",_xlfn.MINIFS(ENSAYOS!$G$5:$G$3004,ENSAYOS!$C$5:$C$3004,F535,ENSAYOS!$Q$5:$Q$3004,"&gt;0"))</f>
        <v/>
      </c>
      <c r="O535" s="15" t="str">
        <f aca="false">IF(N(M535)=0,"",_xlfn.MAXIFS(ENSAYOS!$G$5:$G$3004,ENSAYOS!$C$5:$C$3004,F535,ENSAYOS!$Q$5:$Q$3004,"&gt;0"))</f>
        <v/>
      </c>
      <c r="P535" s="16" t="str">
        <f aca="false">IF(N(M535)=0,"",AVERAGEIFS(ENSAYOS!$Q$5:$Q$3004,ENSAYOS!$C$5:$C$3004,F535,ENSAYOS!$Q$5:$Q$3004,"&gt;0"))</f>
        <v/>
      </c>
      <c r="Q535" s="16" t="str">
        <f aca="false">IF(N(M535)=0,"",_xlfn.MINIFS(ENSAYOS!$Q$5:$Q$3004,ENSAYOS!$C$5:$C$3004,F535,ENSAYOS!$Q$5:$Q$3004,"&gt;0"))</f>
        <v/>
      </c>
      <c r="R535" s="16" t="str">
        <f aca="false">IF(N(M535)=0,"",_xlfn.MAXIFS(ENSAYOS!$Q$5:$Q$3004,ENSAYOS!$C$5:$C$3004,F535,ENSAYOS!$Q$5:$Q$3004,"&gt;0"))</f>
        <v/>
      </c>
      <c r="S535" s="16" t="str">
        <f aca="false">IF(N(M535)&lt;2,"",SQRT(MAX(0,(SUMIFS(ENSAYOS!$X$5:$X$3004,ENSAYOS!$C$5:$C$3004,F535,ENSAYOS!$Q$5:$Q$3004,"&gt;0")-M535*P535^2)/(M535-1))))</f>
        <v/>
      </c>
      <c r="T535" s="17" t="str">
        <f aca="false">IF(S535="","",S535/P535)</f>
        <v/>
      </c>
      <c r="U535" s="16" t="str">
        <f aca="false">IF(N(M535)=0,"",IF(N535&gt;=CONFIG!$B$27,"",AVERAGEIFS(ENSAYOS!$Q$5:$Q$3004,ENSAYOS!$C$5:$C$3004,F535,ENSAYOS!$Q$5:$Q$3004,"&gt;0",ENSAYOS!$G$5:$G$3004,N535)))</f>
        <v/>
      </c>
      <c r="V535" s="16" t="str">
        <f aca="false">IF(N(M535)=0,"",IF(COUNTIFS(ENSAYOS!$C$5:$C$3004,F535,ENSAYOS!$Q$5:$Q$3004,"&gt;0",ENSAYOS!$G$5:$G$3004,"&gt;="&amp;CONFIG!$B$27)=0,"",AVERAGEIFS(ENSAYOS!$Q$5:$Q$3004,ENSAYOS!$C$5:$C$3004,F535,ENSAYOS!$Q$5:$Q$3004,"&gt;0",ENSAYOS!$G$5:$G$3004,"&gt;="&amp;CONFIG!$B$27)))</f>
        <v/>
      </c>
      <c r="W535" s="18" t="str">
        <f aca="false">IF(AND(U535&lt;&gt;"",V535&lt;&gt;""),U535/V535,"")</f>
        <v/>
      </c>
      <c r="X535" s="18" t="str">
        <f aca="false">IF(U535="","",INDEX('CURVA EDAD'!$E$5:$E$32,MIN(28,MAX(1,N535))))</f>
        <v/>
      </c>
      <c r="Y535" s="16" t="str">
        <f aca="false">IF(V535&lt;&gt;"",V535,IF(U535="","",U535/X535))</f>
        <v/>
      </c>
      <c r="Z535" s="16" t="str">
        <f aca="false">IF(V535&lt;&gt;"",_xlfn.MINIFS(ENSAYOS!$Q$5:$Q$3004,ENSAYOS!$C$5:$C$3004,F535,ENSAYOS!$Q$5:$Q$3004,"&gt;0",ENSAYOS!$G$5:$G$3004,"&gt;="&amp;CONFIG!$B$27),IF(U535="","",_xlfn.MINIFS(ENSAYOS!$Q$5:$Q$3004,ENSAYOS!$C$5:$C$3004,F535,ENSAYOS!$Q$5:$Q$3004,"&gt;0",ENSAYOS!$G$5:$G$3004,N535)/X535))</f>
        <v/>
      </c>
      <c r="AA535" s="16" t="str">
        <f aca="false">IF(D535="","",IFERROR(1/(1/INDEX(CONFIG!$J$5:$J$14,MATCH(D535,CONFIG!$D$5:$D$14,0))),""))</f>
        <v/>
      </c>
      <c r="AB535" s="16" t="str">
        <f aca="false">IF(D535="","",IFERROR(1/(1/INDEX(CONFIG!$K$5:$K$14,MATCH(D535,CONFIG!$D$5:$D$14,0))),""))</f>
        <v/>
      </c>
      <c r="AC535" s="19" t="str">
        <f aca="false">IF(N(M535)=0,"",IF(AA535="","Sin spec",IF(AND(Y535&gt;=AA535,OR(AB535="",Z535&gt;=AB535)),"CUMPLE","NO CUMPLE")&amp;IF(V535=""," (est.)","")))</f>
        <v/>
      </c>
      <c r="AD535" s="20" t="str">
        <f aca="false">IF(F535="","",IF(COUNTIFS(ABSORCION!$C$5:$C$1004,F535,ABSORCION!$I$5:$I$1004,"&gt;0")=0,"",AVERAGEIFS(ABSORCION!$I$5:$I$1004,ABSORCION!$C$5:$C$1004,F535,ABSORCION!$I$5:$I$1004,"&gt;0")))</f>
        <v/>
      </c>
      <c r="AE535" s="20" t="str">
        <f aca="false">IF(F535="","",IF(COUNTIFS(ABSORCION!$C$5:$C$1004,F535,ABSORCION!$I$5:$I$1004,"&gt;0")=0,"",AVERAGEIFS(ABSORCION!$K$5:$K$1004,ABSORCION!$C$5:$C$1004,F535,ABSORCION!$I$5:$I$1004,"&gt;0")))</f>
        <v/>
      </c>
      <c r="AF535" s="20" t="str">
        <f aca="false">IF(AE535="","",IF(AE535&gt;=CONFIG!$E$21,CONFIG!$F$21,IF(AE535&gt;=CONFIG!$E$20,CONFIG!$F$20,CONFIG!$F$19)))</f>
        <v/>
      </c>
      <c r="AG535" s="21" t="str">
        <f aca="false">IF(F535="","",TRIM(IF(N(M535)=0,"Sin ensayos. ","")&amp;IF(AND(N(M535)&gt;0,N(M535)&lt;CONFIG!$B$26),"Menos de "&amp;CONFIG!$B$26&amp;" probetas. ","")&amp;IF(N(T535)&gt;CONFIG!$B$25,"CV alto. ","")&amp;IF(AND(N(AD535)&gt;0,N(AD535)&gt;N(AF535)),"Absorción alta. ","")))</f>
        <v/>
      </c>
      <c r="AH535" s="22" t="str">
        <f aca="false">IF(AND(N(M535)&gt;0,OR(CONTROL!$C$4="TODAS",C535=CONTROL!$C$4),D535=CONTROL!$C$5),MAX($AH$4:AH534)+1,"")</f>
        <v/>
      </c>
      <c r="AI535" s="22" t="str">
        <f aca="false">IF(AH535="","",P535^2)</f>
        <v/>
      </c>
    </row>
    <row r="536" customFormat="false" ht="15" hidden="false" customHeight="false" outlineLevel="0" collapsed="false">
      <c r="A536" s="11" t="str">
        <f aca="false">IF(B536="","",ROW()-4)</f>
        <v/>
      </c>
      <c r="B536" s="12"/>
      <c r="C536" s="13"/>
      <c r="D536" s="13"/>
      <c r="E536" s="13"/>
      <c r="F536" s="14" t="str">
        <f aca="false">IF(OR(B536="",C536="",D536=""),"",IFERROR(INDEX(CONFIG!$E$5:$E$14,MATCH(D536,CONFIG!$D$5:$D$14,0)),"?")&amp;RIGHT("0"&amp;DAY(B536),2)&amp;RIGHT("0"&amp;MONTH(B536),2)&amp;RIGHT(YEAR(B536),2)&amp;C536&amp;IF(E536="","","-"&amp;E536))</f>
        <v/>
      </c>
      <c r="G536" s="13"/>
      <c r="H536" s="13"/>
      <c r="I536" s="13"/>
      <c r="J536" s="13"/>
      <c r="K536" s="13"/>
      <c r="L536" s="13"/>
      <c r="M536" s="11" t="str">
        <f aca="false">IF(F536="","",COUNTIFS(ENSAYOS!$C$5:$C$3004,F536,ENSAYOS!$Q$5:$Q$3004,"&gt;0"))</f>
        <v/>
      </c>
      <c r="N536" s="15" t="str">
        <f aca="false">IF(N(M536)=0,"",_xlfn.MINIFS(ENSAYOS!$G$5:$G$3004,ENSAYOS!$C$5:$C$3004,F536,ENSAYOS!$Q$5:$Q$3004,"&gt;0"))</f>
        <v/>
      </c>
      <c r="O536" s="15" t="str">
        <f aca="false">IF(N(M536)=0,"",_xlfn.MAXIFS(ENSAYOS!$G$5:$G$3004,ENSAYOS!$C$5:$C$3004,F536,ENSAYOS!$Q$5:$Q$3004,"&gt;0"))</f>
        <v/>
      </c>
      <c r="P536" s="16" t="str">
        <f aca="false">IF(N(M536)=0,"",AVERAGEIFS(ENSAYOS!$Q$5:$Q$3004,ENSAYOS!$C$5:$C$3004,F536,ENSAYOS!$Q$5:$Q$3004,"&gt;0"))</f>
        <v/>
      </c>
      <c r="Q536" s="16" t="str">
        <f aca="false">IF(N(M536)=0,"",_xlfn.MINIFS(ENSAYOS!$Q$5:$Q$3004,ENSAYOS!$C$5:$C$3004,F536,ENSAYOS!$Q$5:$Q$3004,"&gt;0"))</f>
        <v/>
      </c>
      <c r="R536" s="16" t="str">
        <f aca="false">IF(N(M536)=0,"",_xlfn.MAXIFS(ENSAYOS!$Q$5:$Q$3004,ENSAYOS!$C$5:$C$3004,F536,ENSAYOS!$Q$5:$Q$3004,"&gt;0"))</f>
        <v/>
      </c>
      <c r="S536" s="16" t="str">
        <f aca="false">IF(N(M536)&lt;2,"",SQRT(MAX(0,(SUMIFS(ENSAYOS!$X$5:$X$3004,ENSAYOS!$C$5:$C$3004,F536,ENSAYOS!$Q$5:$Q$3004,"&gt;0")-M536*P536^2)/(M536-1))))</f>
        <v/>
      </c>
      <c r="T536" s="17" t="str">
        <f aca="false">IF(S536="","",S536/P536)</f>
        <v/>
      </c>
      <c r="U536" s="16" t="str">
        <f aca="false">IF(N(M536)=0,"",IF(N536&gt;=CONFIG!$B$27,"",AVERAGEIFS(ENSAYOS!$Q$5:$Q$3004,ENSAYOS!$C$5:$C$3004,F536,ENSAYOS!$Q$5:$Q$3004,"&gt;0",ENSAYOS!$G$5:$G$3004,N536)))</f>
        <v/>
      </c>
      <c r="V536" s="16" t="str">
        <f aca="false">IF(N(M536)=0,"",IF(COUNTIFS(ENSAYOS!$C$5:$C$3004,F536,ENSAYOS!$Q$5:$Q$3004,"&gt;0",ENSAYOS!$G$5:$G$3004,"&gt;="&amp;CONFIG!$B$27)=0,"",AVERAGEIFS(ENSAYOS!$Q$5:$Q$3004,ENSAYOS!$C$5:$C$3004,F536,ENSAYOS!$Q$5:$Q$3004,"&gt;0",ENSAYOS!$G$5:$G$3004,"&gt;="&amp;CONFIG!$B$27)))</f>
        <v/>
      </c>
      <c r="W536" s="18" t="str">
        <f aca="false">IF(AND(U536&lt;&gt;"",V536&lt;&gt;""),U536/V536,"")</f>
        <v/>
      </c>
      <c r="X536" s="18" t="str">
        <f aca="false">IF(U536="","",INDEX('CURVA EDAD'!$E$5:$E$32,MIN(28,MAX(1,N536))))</f>
        <v/>
      </c>
      <c r="Y536" s="16" t="str">
        <f aca="false">IF(V536&lt;&gt;"",V536,IF(U536="","",U536/X536))</f>
        <v/>
      </c>
      <c r="Z536" s="16" t="str">
        <f aca="false">IF(V536&lt;&gt;"",_xlfn.MINIFS(ENSAYOS!$Q$5:$Q$3004,ENSAYOS!$C$5:$C$3004,F536,ENSAYOS!$Q$5:$Q$3004,"&gt;0",ENSAYOS!$G$5:$G$3004,"&gt;="&amp;CONFIG!$B$27),IF(U536="","",_xlfn.MINIFS(ENSAYOS!$Q$5:$Q$3004,ENSAYOS!$C$5:$C$3004,F536,ENSAYOS!$Q$5:$Q$3004,"&gt;0",ENSAYOS!$G$5:$G$3004,N536)/X536))</f>
        <v/>
      </c>
      <c r="AA536" s="16" t="str">
        <f aca="false">IF(D536="","",IFERROR(1/(1/INDEX(CONFIG!$J$5:$J$14,MATCH(D536,CONFIG!$D$5:$D$14,0))),""))</f>
        <v/>
      </c>
      <c r="AB536" s="16" t="str">
        <f aca="false">IF(D536="","",IFERROR(1/(1/INDEX(CONFIG!$K$5:$K$14,MATCH(D536,CONFIG!$D$5:$D$14,0))),""))</f>
        <v/>
      </c>
      <c r="AC536" s="19" t="str">
        <f aca="false">IF(N(M536)=0,"",IF(AA536="","Sin spec",IF(AND(Y536&gt;=AA536,OR(AB536="",Z536&gt;=AB536)),"CUMPLE","NO CUMPLE")&amp;IF(V536=""," (est.)","")))</f>
        <v/>
      </c>
      <c r="AD536" s="20" t="str">
        <f aca="false">IF(F536="","",IF(COUNTIFS(ABSORCION!$C$5:$C$1004,F536,ABSORCION!$I$5:$I$1004,"&gt;0")=0,"",AVERAGEIFS(ABSORCION!$I$5:$I$1004,ABSORCION!$C$5:$C$1004,F536,ABSORCION!$I$5:$I$1004,"&gt;0")))</f>
        <v/>
      </c>
      <c r="AE536" s="20" t="str">
        <f aca="false">IF(F536="","",IF(COUNTIFS(ABSORCION!$C$5:$C$1004,F536,ABSORCION!$I$5:$I$1004,"&gt;0")=0,"",AVERAGEIFS(ABSORCION!$K$5:$K$1004,ABSORCION!$C$5:$C$1004,F536,ABSORCION!$I$5:$I$1004,"&gt;0")))</f>
        <v/>
      </c>
      <c r="AF536" s="20" t="str">
        <f aca="false">IF(AE536="","",IF(AE536&gt;=CONFIG!$E$21,CONFIG!$F$21,IF(AE536&gt;=CONFIG!$E$20,CONFIG!$F$20,CONFIG!$F$19)))</f>
        <v/>
      </c>
      <c r="AG536" s="21" t="str">
        <f aca="false">IF(F536="","",TRIM(IF(N(M536)=0,"Sin ensayos. ","")&amp;IF(AND(N(M536)&gt;0,N(M536)&lt;CONFIG!$B$26),"Menos de "&amp;CONFIG!$B$26&amp;" probetas. ","")&amp;IF(N(T536)&gt;CONFIG!$B$25,"CV alto. ","")&amp;IF(AND(N(AD536)&gt;0,N(AD536)&gt;N(AF536)),"Absorción alta. ","")))</f>
        <v/>
      </c>
      <c r="AH536" s="22" t="str">
        <f aca="false">IF(AND(N(M536)&gt;0,OR(CONTROL!$C$4="TODAS",C536=CONTROL!$C$4),D536=CONTROL!$C$5),MAX($AH$4:AH535)+1,"")</f>
        <v/>
      </c>
      <c r="AI536" s="22" t="str">
        <f aca="false">IF(AH536="","",P536^2)</f>
        <v/>
      </c>
    </row>
    <row r="537" customFormat="false" ht="15" hidden="false" customHeight="false" outlineLevel="0" collapsed="false">
      <c r="A537" s="11" t="str">
        <f aca="false">IF(B537="","",ROW()-4)</f>
        <v/>
      </c>
      <c r="B537" s="12"/>
      <c r="C537" s="13"/>
      <c r="D537" s="13"/>
      <c r="E537" s="13"/>
      <c r="F537" s="14" t="str">
        <f aca="false">IF(OR(B537="",C537="",D537=""),"",IFERROR(INDEX(CONFIG!$E$5:$E$14,MATCH(D537,CONFIG!$D$5:$D$14,0)),"?")&amp;RIGHT("0"&amp;DAY(B537),2)&amp;RIGHT("0"&amp;MONTH(B537),2)&amp;RIGHT(YEAR(B537),2)&amp;C537&amp;IF(E537="","","-"&amp;E537))</f>
        <v/>
      </c>
      <c r="G537" s="13"/>
      <c r="H537" s="13"/>
      <c r="I537" s="13"/>
      <c r="J537" s="13"/>
      <c r="K537" s="13"/>
      <c r="L537" s="13"/>
      <c r="M537" s="11" t="str">
        <f aca="false">IF(F537="","",COUNTIFS(ENSAYOS!$C$5:$C$3004,F537,ENSAYOS!$Q$5:$Q$3004,"&gt;0"))</f>
        <v/>
      </c>
      <c r="N537" s="15" t="str">
        <f aca="false">IF(N(M537)=0,"",_xlfn.MINIFS(ENSAYOS!$G$5:$G$3004,ENSAYOS!$C$5:$C$3004,F537,ENSAYOS!$Q$5:$Q$3004,"&gt;0"))</f>
        <v/>
      </c>
      <c r="O537" s="15" t="str">
        <f aca="false">IF(N(M537)=0,"",_xlfn.MAXIFS(ENSAYOS!$G$5:$G$3004,ENSAYOS!$C$5:$C$3004,F537,ENSAYOS!$Q$5:$Q$3004,"&gt;0"))</f>
        <v/>
      </c>
      <c r="P537" s="16" t="str">
        <f aca="false">IF(N(M537)=0,"",AVERAGEIFS(ENSAYOS!$Q$5:$Q$3004,ENSAYOS!$C$5:$C$3004,F537,ENSAYOS!$Q$5:$Q$3004,"&gt;0"))</f>
        <v/>
      </c>
      <c r="Q537" s="16" t="str">
        <f aca="false">IF(N(M537)=0,"",_xlfn.MINIFS(ENSAYOS!$Q$5:$Q$3004,ENSAYOS!$C$5:$C$3004,F537,ENSAYOS!$Q$5:$Q$3004,"&gt;0"))</f>
        <v/>
      </c>
      <c r="R537" s="16" t="str">
        <f aca="false">IF(N(M537)=0,"",_xlfn.MAXIFS(ENSAYOS!$Q$5:$Q$3004,ENSAYOS!$C$5:$C$3004,F537,ENSAYOS!$Q$5:$Q$3004,"&gt;0"))</f>
        <v/>
      </c>
      <c r="S537" s="16" t="str">
        <f aca="false">IF(N(M537)&lt;2,"",SQRT(MAX(0,(SUMIFS(ENSAYOS!$X$5:$X$3004,ENSAYOS!$C$5:$C$3004,F537,ENSAYOS!$Q$5:$Q$3004,"&gt;0")-M537*P537^2)/(M537-1))))</f>
        <v/>
      </c>
      <c r="T537" s="17" t="str">
        <f aca="false">IF(S537="","",S537/P537)</f>
        <v/>
      </c>
      <c r="U537" s="16" t="str">
        <f aca="false">IF(N(M537)=0,"",IF(N537&gt;=CONFIG!$B$27,"",AVERAGEIFS(ENSAYOS!$Q$5:$Q$3004,ENSAYOS!$C$5:$C$3004,F537,ENSAYOS!$Q$5:$Q$3004,"&gt;0",ENSAYOS!$G$5:$G$3004,N537)))</f>
        <v/>
      </c>
      <c r="V537" s="16" t="str">
        <f aca="false">IF(N(M537)=0,"",IF(COUNTIFS(ENSAYOS!$C$5:$C$3004,F537,ENSAYOS!$Q$5:$Q$3004,"&gt;0",ENSAYOS!$G$5:$G$3004,"&gt;="&amp;CONFIG!$B$27)=0,"",AVERAGEIFS(ENSAYOS!$Q$5:$Q$3004,ENSAYOS!$C$5:$C$3004,F537,ENSAYOS!$Q$5:$Q$3004,"&gt;0",ENSAYOS!$G$5:$G$3004,"&gt;="&amp;CONFIG!$B$27)))</f>
        <v/>
      </c>
      <c r="W537" s="18" t="str">
        <f aca="false">IF(AND(U537&lt;&gt;"",V537&lt;&gt;""),U537/V537,"")</f>
        <v/>
      </c>
      <c r="X537" s="18" t="str">
        <f aca="false">IF(U537="","",INDEX('CURVA EDAD'!$E$5:$E$32,MIN(28,MAX(1,N537))))</f>
        <v/>
      </c>
      <c r="Y537" s="16" t="str">
        <f aca="false">IF(V537&lt;&gt;"",V537,IF(U537="","",U537/X537))</f>
        <v/>
      </c>
      <c r="Z537" s="16" t="str">
        <f aca="false">IF(V537&lt;&gt;"",_xlfn.MINIFS(ENSAYOS!$Q$5:$Q$3004,ENSAYOS!$C$5:$C$3004,F537,ENSAYOS!$Q$5:$Q$3004,"&gt;0",ENSAYOS!$G$5:$G$3004,"&gt;="&amp;CONFIG!$B$27),IF(U537="","",_xlfn.MINIFS(ENSAYOS!$Q$5:$Q$3004,ENSAYOS!$C$5:$C$3004,F537,ENSAYOS!$Q$5:$Q$3004,"&gt;0",ENSAYOS!$G$5:$G$3004,N537)/X537))</f>
        <v/>
      </c>
      <c r="AA537" s="16" t="str">
        <f aca="false">IF(D537="","",IFERROR(1/(1/INDEX(CONFIG!$J$5:$J$14,MATCH(D537,CONFIG!$D$5:$D$14,0))),""))</f>
        <v/>
      </c>
      <c r="AB537" s="16" t="str">
        <f aca="false">IF(D537="","",IFERROR(1/(1/INDEX(CONFIG!$K$5:$K$14,MATCH(D537,CONFIG!$D$5:$D$14,0))),""))</f>
        <v/>
      </c>
      <c r="AC537" s="19" t="str">
        <f aca="false">IF(N(M537)=0,"",IF(AA537="","Sin spec",IF(AND(Y537&gt;=AA537,OR(AB537="",Z537&gt;=AB537)),"CUMPLE","NO CUMPLE")&amp;IF(V537=""," (est.)","")))</f>
        <v/>
      </c>
      <c r="AD537" s="20" t="str">
        <f aca="false">IF(F537="","",IF(COUNTIFS(ABSORCION!$C$5:$C$1004,F537,ABSORCION!$I$5:$I$1004,"&gt;0")=0,"",AVERAGEIFS(ABSORCION!$I$5:$I$1004,ABSORCION!$C$5:$C$1004,F537,ABSORCION!$I$5:$I$1004,"&gt;0")))</f>
        <v/>
      </c>
      <c r="AE537" s="20" t="str">
        <f aca="false">IF(F537="","",IF(COUNTIFS(ABSORCION!$C$5:$C$1004,F537,ABSORCION!$I$5:$I$1004,"&gt;0")=0,"",AVERAGEIFS(ABSORCION!$K$5:$K$1004,ABSORCION!$C$5:$C$1004,F537,ABSORCION!$I$5:$I$1004,"&gt;0")))</f>
        <v/>
      </c>
      <c r="AF537" s="20" t="str">
        <f aca="false">IF(AE537="","",IF(AE537&gt;=CONFIG!$E$21,CONFIG!$F$21,IF(AE537&gt;=CONFIG!$E$20,CONFIG!$F$20,CONFIG!$F$19)))</f>
        <v/>
      </c>
      <c r="AG537" s="21" t="str">
        <f aca="false">IF(F537="","",TRIM(IF(N(M537)=0,"Sin ensayos. ","")&amp;IF(AND(N(M537)&gt;0,N(M537)&lt;CONFIG!$B$26),"Menos de "&amp;CONFIG!$B$26&amp;" probetas. ","")&amp;IF(N(T537)&gt;CONFIG!$B$25,"CV alto. ","")&amp;IF(AND(N(AD537)&gt;0,N(AD537)&gt;N(AF537)),"Absorción alta. ","")))</f>
        <v/>
      </c>
      <c r="AH537" s="22" t="str">
        <f aca="false">IF(AND(N(M537)&gt;0,OR(CONTROL!$C$4="TODAS",C537=CONTROL!$C$4),D537=CONTROL!$C$5),MAX($AH$4:AH536)+1,"")</f>
        <v/>
      </c>
      <c r="AI537" s="22" t="str">
        <f aca="false">IF(AH537="","",P537^2)</f>
        <v/>
      </c>
    </row>
    <row r="538" customFormat="false" ht="15" hidden="false" customHeight="false" outlineLevel="0" collapsed="false">
      <c r="A538" s="11" t="str">
        <f aca="false">IF(B538="","",ROW()-4)</f>
        <v/>
      </c>
      <c r="B538" s="12"/>
      <c r="C538" s="13"/>
      <c r="D538" s="13"/>
      <c r="E538" s="13"/>
      <c r="F538" s="14" t="str">
        <f aca="false">IF(OR(B538="",C538="",D538=""),"",IFERROR(INDEX(CONFIG!$E$5:$E$14,MATCH(D538,CONFIG!$D$5:$D$14,0)),"?")&amp;RIGHT("0"&amp;DAY(B538),2)&amp;RIGHT("0"&amp;MONTH(B538),2)&amp;RIGHT(YEAR(B538),2)&amp;C538&amp;IF(E538="","","-"&amp;E538))</f>
        <v/>
      </c>
      <c r="G538" s="13"/>
      <c r="H538" s="13"/>
      <c r="I538" s="13"/>
      <c r="J538" s="13"/>
      <c r="K538" s="13"/>
      <c r="L538" s="13"/>
      <c r="M538" s="11" t="str">
        <f aca="false">IF(F538="","",COUNTIFS(ENSAYOS!$C$5:$C$3004,F538,ENSAYOS!$Q$5:$Q$3004,"&gt;0"))</f>
        <v/>
      </c>
      <c r="N538" s="15" t="str">
        <f aca="false">IF(N(M538)=0,"",_xlfn.MINIFS(ENSAYOS!$G$5:$G$3004,ENSAYOS!$C$5:$C$3004,F538,ENSAYOS!$Q$5:$Q$3004,"&gt;0"))</f>
        <v/>
      </c>
      <c r="O538" s="15" t="str">
        <f aca="false">IF(N(M538)=0,"",_xlfn.MAXIFS(ENSAYOS!$G$5:$G$3004,ENSAYOS!$C$5:$C$3004,F538,ENSAYOS!$Q$5:$Q$3004,"&gt;0"))</f>
        <v/>
      </c>
      <c r="P538" s="16" t="str">
        <f aca="false">IF(N(M538)=0,"",AVERAGEIFS(ENSAYOS!$Q$5:$Q$3004,ENSAYOS!$C$5:$C$3004,F538,ENSAYOS!$Q$5:$Q$3004,"&gt;0"))</f>
        <v/>
      </c>
      <c r="Q538" s="16" t="str">
        <f aca="false">IF(N(M538)=0,"",_xlfn.MINIFS(ENSAYOS!$Q$5:$Q$3004,ENSAYOS!$C$5:$C$3004,F538,ENSAYOS!$Q$5:$Q$3004,"&gt;0"))</f>
        <v/>
      </c>
      <c r="R538" s="16" t="str">
        <f aca="false">IF(N(M538)=0,"",_xlfn.MAXIFS(ENSAYOS!$Q$5:$Q$3004,ENSAYOS!$C$5:$C$3004,F538,ENSAYOS!$Q$5:$Q$3004,"&gt;0"))</f>
        <v/>
      </c>
      <c r="S538" s="16" t="str">
        <f aca="false">IF(N(M538)&lt;2,"",SQRT(MAX(0,(SUMIFS(ENSAYOS!$X$5:$X$3004,ENSAYOS!$C$5:$C$3004,F538,ENSAYOS!$Q$5:$Q$3004,"&gt;0")-M538*P538^2)/(M538-1))))</f>
        <v/>
      </c>
      <c r="T538" s="17" t="str">
        <f aca="false">IF(S538="","",S538/P538)</f>
        <v/>
      </c>
      <c r="U538" s="16" t="str">
        <f aca="false">IF(N(M538)=0,"",IF(N538&gt;=CONFIG!$B$27,"",AVERAGEIFS(ENSAYOS!$Q$5:$Q$3004,ENSAYOS!$C$5:$C$3004,F538,ENSAYOS!$Q$5:$Q$3004,"&gt;0",ENSAYOS!$G$5:$G$3004,N538)))</f>
        <v/>
      </c>
      <c r="V538" s="16" t="str">
        <f aca="false">IF(N(M538)=0,"",IF(COUNTIFS(ENSAYOS!$C$5:$C$3004,F538,ENSAYOS!$Q$5:$Q$3004,"&gt;0",ENSAYOS!$G$5:$G$3004,"&gt;="&amp;CONFIG!$B$27)=0,"",AVERAGEIFS(ENSAYOS!$Q$5:$Q$3004,ENSAYOS!$C$5:$C$3004,F538,ENSAYOS!$Q$5:$Q$3004,"&gt;0",ENSAYOS!$G$5:$G$3004,"&gt;="&amp;CONFIG!$B$27)))</f>
        <v/>
      </c>
      <c r="W538" s="18" t="str">
        <f aca="false">IF(AND(U538&lt;&gt;"",V538&lt;&gt;""),U538/V538,"")</f>
        <v/>
      </c>
      <c r="X538" s="18" t="str">
        <f aca="false">IF(U538="","",INDEX('CURVA EDAD'!$E$5:$E$32,MIN(28,MAX(1,N538))))</f>
        <v/>
      </c>
      <c r="Y538" s="16" t="str">
        <f aca="false">IF(V538&lt;&gt;"",V538,IF(U538="","",U538/X538))</f>
        <v/>
      </c>
      <c r="Z538" s="16" t="str">
        <f aca="false">IF(V538&lt;&gt;"",_xlfn.MINIFS(ENSAYOS!$Q$5:$Q$3004,ENSAYOS!$C$5:$C$3004,F538,ENSAYOS!$Q$5:$Q$3004,"&gt;0",ENSAYOS!$G$5:$G$3004,"&gt;="&amp;CONFIG!$B$27),IF(U538="","",_xlfn.MINIFS(ENSAYOS!$Q$5:$Q$3004,ENSAYOS!$C$5:$C$3004,F538,ENSAYOS!$Q$5:$Q$3004,"&gt;0",ENSAYOS!$G$5:$G$3004,N538)/X538))</f>
        <v/>
      </c>
      <c r="AA538" s="16" t="str">
        <f aca="false">IF(D538="","",IFERROR(1/(1/INDEX(CONFIG!$J$5:$J$14,MATCH(D538,CONFIG!$D$5:$D$14,0))),""))</f>
        <v/>
      </c>
      <c r="AB538" s="16" t="str">
        <f aca="false">IF(D538="","",IFERROR(1/(1/INDEX(CONFIG!$K$5:$K$14,MATCH(D538,CONFIG!$D$5:$D$14,0))),""))</f>
        <v/>
      </c>
      <c r="AC538" s="19" t="str">
        <f aca="false">IF(N(M538)=0,"",IF(AA538="","Sin spec",IF(AND(Y538&gt;=AA538,OR(AB538="",Z538&gt;=AB538)),"CUMPLE","NO CUMPLE")&amp;IF(V538=""," (est.)","")))</f>
        <v/>
      </c>
      <c r="AD538" s="20" t="str">
        <f aca="false">IF(F538="","",IF(COUNTIFS(ABSORCION!$C$5:$C$1004,F538,ABSORCION!$I$5:$I$1004,"&gt;0")=0,"",AVERAGEIFS(ABSORCION!$I$5:$I$1004,ABSORCION!$C$5:$C$1004,F538,ABSORCION!$I$5:$I$1004,"&gt;0")))</f>
        <v/>
      </c>
      <c r="AE538" s="20" t="str">
        <f aca="false">IF(F538="","",IF(COUNTIFS(ABSORCION!$C$5:$C$1004,F538,ABSORCION!$I$5:$I$1004,"&gt;0")=0,"",AVERAGEIFS(ABSORCION!$K$5:$K$1004,ABSORCION!$C$5:$C$1004,F538,ABSORCION!$I$5:$I$1004,"&gt;0")))</f>
        <v/>
      </c>
      <c r="AF538" s="20" t="str">
        <f aca="false">IF(AE538="","",IF(AE538&gt;=CONFIG!$E$21,CONFIG!$F$21,IF(AE538&gt;=CONFIG!$E$20,CONFIG!$F$20,CONFIG!$F$19)))</f>
        <v/>
      </c>
      <c r="AG538" s="21" t="str">
        <f aca="false">IF(F538="","",TRIM(IF(N(M538)=0,"Sin ensayos. ","")&amp;IF(AND(N(M538)&gt;0,N(M538)&lt;CONFIG!$B$26),"Menos de "&amp;CONFIG!$B$26&amp;" probetas. ","")&amp;IF(N(T538)&gt;CONFIG!$B$25,"CV alto. ","")&amp;IF(AND(N(AD538)&gt;0,N(AD538)&gt;N(AF538)),"Absorción alta. ","")))</f>
        <v/>
      </c>
      <c r="AH538" s="22" t="str">
        <f aca="false">IF(AND(N(M538)&gt;0,OR(CONTROL!$C$4="TODAS",C538=CONTROL!$C$4),D538=CONTROL!$C$5),MAX($AH$4:AH537)+1,"")</f>
        <v/>
      </c>
      <c r="AI538" s="22" t="str">
        <f aca="false">IF(AH538="","",P538^2)</f>
        <v/>
      </c>
    </row>
    <row r="539" customFormat="false" ht="15" hidden="false" customHeight="false" outlineLevel="0" collapsed="false">
      <c r="A539" s="11" t="str">
        <f aca="false">IF(B539="","",ROW()-4)</f>
        <v/>
      </c>
      <c r="B539" s="12"/>
      <c r="C539" s="13"/>
      <c r="D539" s="13"/>
      <c r="E539" s="13"/>
      <c r="F539" s="14" t="str">
        <f aca="false">IF(OR(B539="",C539="",D539=""),"",IFERROR(INDEX(CONFIG!$E$5:$E$14,MATCH(D539,CONFIG!$D$5:$D$14,0)),"?")&amp;RIGHT("0"&amp;DAY(B539),2)&amp;RIGHT("0"&amp;MONTH(B539),2)&amp;RIGHT(YEAR(B539),2)&amp;C539&amp;IF(E539="","","-"&amp;E539))</f>
        <v/>
      </c>
      <c r="G539" s="13"/>
      <c r="H539" s="13"/>
      <c r="I539" s="13"/>
      <c r="J539" s="13"/>
      <c r="K539" s="13"/>
      <c r="L539" s="13"/>
      <c r="M539" s="11" t="str">
        <f aca="false">IF(F539="","",COUNTIFS(ENSAYOS!$C$5:$C$3004,F539,ENSAYOS!$Q$5:$Q$3004,"&gt;0"))</f>
        <v/>
      </c>
      <c r="N539" s="15" t="str">
        <f aca="false">IF(N(M539)=0,"",_xlfn.MINIFS(ENSAYOS!$G$5:$G$3004,ENSAYOS!$C$5:$C$3004,F539,ENSAYOS!$Q$5:$Q$3004,"&gt;0"))</f>
        <v/>
      </c>
      <c r="O539" s="15" t="str">
        <f aca="false">IF(N(M539)=0,"",_xlfn.MAXIFS(ENSAYOS!$G$5:$G$3004,ENSAYOS!$C$5:$C$3004,F539,ENSAYOS!$Q$5:$Q$3004,"&gt;0"))</f>
        <v/>
      </c>
      <c r="P539" s="16" t="str">
        <f aca="false">IF(N(M539)=0,"",AVERAGEIFS(ENSAYOS!$Q$5:$Q$3004,ENSAYOS!$C$5:$C$3004,F539,ENSAYOS!$Q$5:$Q$3004,"&gt;0"))</f>
        <v/>
      </c>
      <c r="Q539" s="16" t="str">
        <f aca="false">IF(N(M539)=0,"",_xlfn.MINIFS(ENSAYOS!$Q$5:$Q$3004,ENSAYOS!$C$5:$C$3004,F539,ENSAYOS!$Q$5:$Q$3004,"&gt;0"))</f>
        <v/>
      </c>
      <c r="R539" s="16" t="str">
        <f aca="false">IF(N(M539)=0,"",_xlfn.MAXIFS(ENSAYOS!$Q$5:$Q$3004,ENSAYOS!$C$5:$C$3004,F539,ENSAYOS!$Q$5:$Q$3004,"&gt;0"))</f>
        <v/>
      </c>
      <c r="S539" s="16" t="str">
        <f aca="false">IF(N(M539)&lt;2,"",SQRT(MAX(0,(SUMIFS(ENSAYOS!$X$5:$X$3004,ENSAYOS!$C$5:$C$3004,F539,ENSAYOS!$Q$5:$Q$3004,"&gt;0")-M539*P539^2)/(M539-1))))</f>
        <v/>
      </c>
      <c r="T539" s="17" t="str">
        <f aca="false">IF(S539="","",S539/P539)</f>
        <v/>
      </c>
      <c r="U539" s="16" t="str">
        <f aca="false">IF(N(M539)=0,"",IF(N539&gt;=CONFIG!$B$27,"",AVERAGEIFS(ENSAYOS!$Q$5:$Q$3004,ENSAYOS!$C$5:$C$3004,F539,ENSAYOS!$Q$5:$Q$3004,"&gt;0",ENSAYOS!$G$5:$G$3004,N539)))</f>
        <v/>
      </c>
      <c r="V539" s="16" t="str">
        <f aca="false">IF(N(M539)=0,"",IF(COUNTIFS(ENSAYOS!$C$5:$C$3004,F539,ENSAYOS!$Q$5:$Q$3004,"&gt;0",ENSAYOS!$G$5:$G$3004,"&gt;="&amp;CONFIG!$B$27)=0,"",AVERAGEIFS(ENSAYOS!$Q$5:$Q$3004,ENSAYOS!$C$5:$C$3004,F539,ENSAYOS!$Q$5:$Q$3004,"&gt;0",ENSAYOS!$G$5:$G$3004,"&gt;="&amp;CONFIG!$B$27)))</f>
        <v/>
      </c>
      <c r="W539" s="18" t="str">
        <f aca="false">IF(AND(U539&lt;&gt;"",V539&lt;&gt;""),U539/V539,"")</f>
        <v/>
      </c>
      <c r="X539" s="18" t="str">
        <f aca="false">IF(U539="","",INDEX('CURVA EDAD'!$E$5:$E$32,MIN(28,MAX(1,N539))))</f>
        <v/>
      </c>
      <c r="Y539" s="16" t="str">
        <f aca="false">IF(V539&lt;&gt;"",V539,IF(U539="","",U539/X539))</f>
        <v/>
      </c>
      <c r="Z539" s="16" t="str">
        <f aca="false">IF(V539&lt;&gt;"",_xlfn.MINIFS(ENSAYOS!$Q$5:$Q$3004,ENSAYOS!$C$5:$C$3004,F539,ENSAYOS!$Q$5:$Q$3004,"&gt;0",ENSAYOS!$G$5:$G$3004,"&gt;="&amp;CONFIG!$B$27),IF(U539="","",_xlfn.MINIFS(ENSAYOS!$Q$5:$Q$3004,ENSAYOS!$C$5:$C$3004,F539,ENSAYOS!$Q$5:$Q$3004,"&gt;0",ENSAYOS!$G$5:$G$3004,N539)/X539))</f>
        <v/>
      </c>
      <c r="AA539" s="16" t="str">
        <f aca="false">IF(D539="","",IFERROR(1/(1/INDEX(CONFIG!$J$5:$J$14,MATCH(D539,CONFIG!$D$5:$D$14,0))),""))</f>
        <v/>
      </c>
      <c r="AB539" s="16" t="str">
        <f aca="false">IF(D539="","",IFERROR(1/(1/INDEX(CONFIG!$K$5:$K$14,MATCH(D539,CONFIG!$D$5:$D$14,0))),""))</f>
        <v/>
      </c>
      <c r="AC539" s="19" t="str">
        <f aca="false">IF(N(M539)=0,"",IF(AA539="","Sin spec",IF(AND(Y539&gt;=AA539,OR(AB539="",Z539&gt;=AB539)),"CUMPLE","NO CUMPLE")&amp;IF(V539=""," (est.)","")))</f>
        <v/>
      </c>
      <c r="AD539" s="20" t="str">
        <f aca="false">IF(F539="","",IF(COUNTIFS(ABSORCION!$C$5:$C$1004,F539,ABSORCION!$I$5:$I$1004,"&gt;0")=0,"",AVERAGEIFS(ABSORCION!$I$5:$I$1004,ABSORCION!$C$5:$C$1004,F539,ABSORCION!$I$5:$I$1004,"&gt;0")))</f>
        <v/>
      </c>
      <c r="AE539" s="20" t="str">
        <f aca="false">IF(F539="","",IF(COUNTIFS(ABSORCION!$C$5:$C$1004,F539,ABSORCION!$I$5:$I$1004,"&gt;0")=0,"",AVERAGEIFS(ABSORCION!$K$5:$K$1004,ABSORCION!$C$5:$C$1004,F539,ABSORCION!$I$5:$I$1004,"&gt;0")))</f>
        <v/>
      </c>
      <c r="AF539" s="20" t="str">
        <f aca="false">IF(AE539="","",IF(AE539&gt;=CONFIG!$E$21,CONFIG!$F$21,IF(AE539&gt;=CONFIG!$E$20,CONFIG!$F$20,CONFIG!$F$19)))</f>
        <v/>
      </c>
      <c r="AG539" s="21" t="str">
        <f aca="false">IF(F539="","",TRIM(IF(N(M539)=0,"Sin ensayos. ","")&amp;IF(AND(N(M539)&gt;0,N(M539)&lt;CONFIG!$B$26),"Menos de "&amp;CONFIG!$B$26&amp;" probetas. ","")&amp;IF(N(T539)&gt;CONFIG!$B$25,"CV alto. ","")&amp;IF(AND(N(AD539)&gt;0,N(AD539)&gt;N(AF539)),"Absorción alta. ","")))</f>
        <v/>
      </c>
      <c r="AH539" s="22" t="str">
        <f aca="false">IF(AND(N(M539)&gt;0,OR(CONTROL!$C$4="TODAS",C539=CONTROL!$C$4),D539=CONTROL!$C$5),MAX($AH$4:AH538)+1,"")</f>
        <v/>
      </c>
      <c r="AI539" s="22" t="str">
        <f aca="false">IF(AH539="","",P539^2)</f>
        <v/>
      </c>
    </row>
    <row r="540" customFormat="false" ht="15" hidden="false" customHeight="false" outlineLevel="0" collapsed="false">
      <c r="A540" s="11" t="str">
        <f aca="false">IF(B540="","",ROW()-4)</f>
        <v/>
      </c>
      <c r="B540" s="12"/>
      <c r="C540" s="13"/>
      <c r="D540" s="13"/>
      <c r="E540" s="13"/>
      <c r="F540" s="14" t="str">
        <f aca="false">IF(OR(B540="",C540="",D540=""),"",IFERROR(INDEX(CONFIG!$E$5:$E$14,MATCH(D540,CONFIG!$D$5:$D$14,0)),"?")&amp;RIGHT("0"&amp;DAY(B540),2)&amp;RIGHT("0"&amp;MONTH(B540),2)&amp;RIGHT(YEAR(B540),2)&amp;C540&amp;IF(E540="","","-"&amp;E540))</f>
        <v/>
      </c>
      <c r="G540" s="13"/>
      <c r="H540" s="13"/>
      <c r="I540" s="13"/>
      <c r="J540" s="13"/>
      <c r="K540" s="13"/>
      <c r="L540" s="13"/>
      <c r="M540" s="11" t="str">
        <f aca="false">IF(F540="","",COUNTIFS(ENSAYOS!$C$5:$C$3004,F540,ENSAYOS!$Q$5:$Q$3004,"&gt;0"))</f>
        <v/>
      </c>
      <c r="N540" s="15" t="str">
        <f aca="false">IF(N(M540)=0,"",_xlfn.MINIFS(ENSAYOS!$G$5:$G$3004,ENSAYOS!$C$5:$C$3004,F540,ENSAYOS!$Q$5:$Q$3004,"&gt;0"))</f>
        <v/>
      </c>
      <c r="O540" s="15" t="str">
        <f aca="false">IF(N(M540)=0,"",_xlfn.MAXIFS(ENSAYOS!$G$5:$G$3004,ENSAYOS!$C$5:$C$3004,F540,ENSAYOS!$Q$5:$Q$3004,"&gt;0"))</f>
        <v/>
      </c>
      <c r="P540" s="16" t="str">
        <f aca="false">IF(N(M540)=0,"",AVERAGEIFS(ENSAYOS!$Q$5:$Q$3004,ENSAYOS!$C$5:$C$3004,F540,ENSAYOS!$Q$5:$Q$3004,"&gt;0"))</f>
        <v/>
      </c>
      <c r="Q540" s="16" t="str">
        <f aca="false">IF(N(M540)=0,"",_xlfn.MINIFS(ENSAYOS!$Q$5:$Q$3004,ENSAYOS!$C$5:$C$3004,F540,ENSAYOS!$Q$5:$Q$3004,"&gt;0"))</f>
        <v/>
      </c>
      <c r="R540" s="16" t="str">
        <f aca="false">IF(N(M540)=0,"",_xlfn.MAXIFS(ENSAYOS!$Q$5:$Q$3004,ENSAYOS!$C$5:$C$3004,F540,ENSAYOS!$Q$5:$Q$3004,"&gt;0"))</f>
        <v/>
      </c>
      <c r="S540" s="16" t="str">
        <f aca="false">IF(N(M540)&lt;2,"",SQRT(MAX(0,(SUMIFS(ENSAYOS!$X$5:$X$3004,ENSAYOS!$C$5:$C$3004,F540,ENSAYOS!$Q$5:$Q$3004,"&gt;0")-M540*P540^2)/(M540-1))))</f>
        <v/>
      </c>
      <c r="T540" s="17" t="str">
        <f aca="false">IF(S540="","",S540/P540)</f>
        <v/>
      </c>
      <c r="U540" s="16" t="str">
        <f aca="false">IF(N(M540)=0,"",IF(N540&gt;=CONFIG!$B$27,"",AVERAGEIFS(ENSAYOS!$Q$5:$Q$3004,ENSAYOS!$C$5:$C$3004,F540,ENSAYOS!$Q$5:$Q$3004,"&gt;0",ENSAYOS!$G$5:$G$3004,N540)))</f>
        <v/>
      </c>
      <c r="V540" s="16" t="str">
        <f aca="false">IF(N(M540)=0,"",IF(COUNTIFS(ENSAYOS!$C$5:$C$3004,F540,ENSAYOS!$Q$5:$Q$3004,"&gt;0",ENSAYOS!$G$5:$G$3004,"&gt;="&amp;CONFIG!$B$27)=0,"",AVERAGEIFS(ENSAYOS!$Q$5:$Q$3004,ENSAYOS!$C$5:$C$3004,F540,ENSAYOS!$Q$5:$Q$3004,"&gt;0",ENSAYOS!$G$5:$G$3004,"&gt;="&amp;CONFIG!$B$27)))</f>
        <v/>
      </c>
      <c r="W540" s="18" t="str">
        <f aca="false">IF(AND(U540&lt;&gt;"",V540&lt;&gt;""),U540/V540,"")</f>
        <v/>
      </c>
      <c r="X540" s="18" t="str">
        <f aca="false">IF(U540="","",INDEX('CURVA EDAD'!$E$5:$E$32,MIN(28,MAX(1,N540))))</f>
        <v/>
      </c>
      <c r="Y540" s="16" t="str">
        <f aca="false">IF(V540&lt;&gt;"",V540,IF(U540="","",U540/X540))</f>
        <v/>
      </c>
      <c r="Z540" s="16" t="str">
        <f aca="false">IF(V540&lt;&gt;"",_xlfn.MINIFS(ENSAYOS!$Q$5:$Q$3004,ENSAYOS!$C$5:$C$3004,F540,ENSAYOS!$Q$5:$Q$3004,"&gt;0",ENSAYOS!$G$5:$G$3004,"&gt;="&amp;CONFIG!$B$27),IF(U540="","",_xlfn.MINIFS(ENSAYOS!$Q$5:$Q$3004,ENSAYOS!$C$5:$C$3004,F540,ENSAYOS!$Q$5:$Q$3004,"&gt;0",ENSAYOS!$G$5:$G$3004,N540)/X540))</f>
        <v/>
      </c>
      <c r="AA540" s="16" t="str">
        <f aca="false">IF(D540="","",IFERROR(1/(1/INDEX(CONFIG!$J$5:$J$14,MATCH(D540,CONFIG!$D$5:$D$14,0))),""))</f>
        <v/>
      </c>
      <c r="AB540" s="16" t="str">
        <f aca="false">IF(D540="","",IFERROR(1/(1/INDEX(CONFIG!$K$5:$K$14,MATCH(D540,CONFIG!$D$5:$D$14,0))),""))</f>
        <v/>
      </c>
      <c r="AC540" s="19" t="str">
        <f aca="false">IF(N(M540)=0,"",IF(AA540="","Sin spec",IF(AND(Y540&gt;=AA540,OR(AB540="",Z540&gt;=AB540)),"CUMPLE","NO CUMPLE")&amp;IF(V540=""," (est.)","")))</f>
        <v/>
      </c>
      <c r="AD540" s="20" t="str">
        <f aca="false">IF(F540="","",IF(COUNTIFS(ABSORCION!$C$5:$C$1004,F540,ABSORCION!$I$5:$I$1004,"&gt;0")=0,"",AVERAGEIFS(ABSORCION!$I$5:$I$1004,ABSORCION!$C$5:$C$1004,F540,ABSORCION!$I$5:$I$1004,"&gt;0")))</f>
        <v/>
      </c>
      <c r="AE540" s="20" t="str">
        <f aca="false">IF(F540="","",IF(COUNTIFS(ABSORCION!$C$5:$C$1004,F540,ABSORCION!$I$5:$I$1004,"&gt;0")=0,"",AVERAGEIFS(ABSORCION!$K$5:$K$1004,ABSORCION!$C$5:$C$1004,F540,ABSORCION!$I$5:$I$1004,"&gt;0")))</f>
        <v/>
      </c>
      <c r="AF540" s="20" t="str">
        <f aca="false">IF(AE540="","",IF(AE540&gt;=CONFIG!$E$21,CONFIG!$F$21,IF(AE540&gt;=CONFIG!$E$20,CONFIG!$F$20,CONFIG!$F$19)))</f>
        <v/>
      </c>
      <c r="AG540" s="21" t="str">
        <f aca="false">IF(F540="","",TRIM(IF(N(M540)=0,"Sin ensayos. ","")&amp;IF(AND(N(M540)&gt;0,N(M540)&lt;CONFIG!$B$26),"Menos de "&amp;CONFIG!$B$26&amp;" probetas. ","")&amp;IF(N(T540)&gt;CONFIG!$B$25,"CV alto. ","")&amp;IF(AND(N(AD540)&gt;0,N(AD540)&gt;N(AF540)),"Absorción alta. ","")))</f>
        <v/>
      </c>
      <c r="AH540" s="22" t="str">
        <f aca="false">IF(AND(N(M540)&gt;0,OR(CONTROL!$C$4="TODAS",C540=CONTROL!$C$4),D540=CONTROL!$C$5),MAX($AH$4:AH539)+1,"")</f>
        <v/>
      </c>
      <c r="AI540" s="22" t="str">
        <f aca="false">IF(AH540="","",P540^2)</f>
        <v/>
      </c>
    </row>
    <row r="541" customFormat="false" ht="15" hidden="false" customHeight="false" outlineLevel="0" collapsed="false">
      <c r="A541" s="11" t="str">
        <f aca="false">IF(B541="","",ROW()-4)</f>
        <v/>
      </c>
      <c r="B541" s="12"/>
      <c r="C541" s="13"/>
      <c r="D541" s="13"/>
      <c r="E541" s="13"/>
      <c r="F541" s="14" t="str">
        <f aca="false">IF(OR(B541="",C541="",D541=""),"",IFERROR(INDEX(CONFIG!$E$5:$E$14,MATCH(D541,CONFIG!$D$5:$D$14,0)),"?")&amp;RIGHT("0"&amp;DAY(B541),2)&amp;RIGHT("0"&amp;MONTH(B541),2)&amp;RIGHT(YEAR(B541),2)&amp;C541&amp;IF(E541="","","-"&amp;E541))</f>
        <v/>
      </c>
      <c r="G541" s="13"/>
      <c r="H541" s="13"/>
      <c r="I541" s="13"/>
      <c r="J541" s="13"/>
      <c r="K541" s="13"/>
      <c r="L541" s="13"/>
      <c r="M541" s="11" t="str">
        <f aca="false">IF(F541="","",COUNTIFS(ENSAYOS!$C$5:$C$3004,F541,ENSAYOS!$Q$5:$Q$3004,"&gt;0"))</f>
        <v/>
      </c>
      <c r="N541" s="15" t="str">
        <f aca="false">IF(N(M541)=0,"",_xlfn.MINIFS(ENSAYOS!$G$5:$G$3004,ENSAYOS!$C$5:$C$3004,F541,ENSAYOS!$Q$5:$Q$3004,"&gt;0"))</f>
        <v/>
      </c>
      <c r="O541" s="15" t="str">
        <f aca="false">IF(N(M541)=0,"",_xlfn.MAXIFS(ENSAYOS!$G$5:$G$3004,ENSAYOS!$C$5:$C$3004,F541,ENSAYOS!$Q$5:$Q$3004,"&gt;0"))</f>
        <v/>
      </c>
      <c r="P541" s="16" t="str">
        <f aca="false">IF(N(M541)=0,"",AVERAGEIFS(ENSAYOS!$Q$5:$Q$3004,ENSAYOS!$C$5:$C$3004,F541,ENSAYOS!$Q$5:$Q$3004,"&gt;0"))</f>
        <v/>
      </c>
      <c r="Q541" s="16" t="str">
        <f aca="false">IF(N(M541)=0,"",_xlfn.MINIFS(ENSAYOS!$Q$5:$Q$3004,ENSAYOS!$C$5:$C$3004,F541,ENSAYOS!$Q$5:$Q$3004,"&gt;0"))</f>
        <v/>
      </c>
      <c r="R541" s="16" t="str">
        <f aca="false">IF(N(M541)=0,"",_xlfn.MAXIFS(ENSAYOS!$Q$5:$Q$3004,ENSAYOS!$C$5:$C$3004,F541,ENSAYOS!$Q$5:$Q$3004,"&gt;0"))</f>
        <v/>
      </c>
      <c r="S541" s="16" t="str">
        <f aca="false">IF(N(M541)&lt;2,"",SQRT(MAX(0,(SUMIFS(ENSAYOS!$X$5:$X$3004,ENSAYOS!$C$5:$C$3004,F541,ENSAYOS!$Q$5:$Q$3004,"&gt;0")-M541*P541^2)/(M541-1))))</f>
        <v/>
      </c>
      <c r="T541" s="17" t="str">
        <f aca="false">IF(S541="","",S541/P541)</f>
        <v/>
      </c>
      <c r="U541" s="16" t="str">
        <f aca="false">IF(N(M541)=0,"",IF(N541&gt;=CONFIG!$B$27,"",AVERAGEIFS(ENSAYOS!$Q$5:$Q$3004,ENSAYOS!$C$5:$C$3004,F541,ENSAYOS!$Q$5:$Q$3004,"&gt;0",ENSAYOS!$G$5:$G$3004,N541)))</f>
        <v/>
      </c>
      <c r="V541" s="16" t="str">
        <f aca="false">IF(N(M541)=0,"",IF(COUNTIFS(ENSAYOS!$C$5:$C$3004,F541,ENSAYOS!$Q$5:$Q$3004,"&gt;0",ENSAYOS!$G$5:$G$3004,"&gt;="&amp;CONFIG!$B$27)=0,"",AVERAGEIFS(ENSAYOS!$Q$5:$Q$3004,ENSAYOS!$C$5:$C$3004,F541,ENSAYOS!$Q$5:$Q$3004,"&gt;0",ENSAYOS!$G$5:$G$3004,"&gt;="&amp;CONFIG!$B$27)))</f>
        <v/>
      </c>
      <c r="W541" s="18" t="str">
        <f aca="false">IF(AND(U541&lt;&gt;"",V541&lt;&gt;""),U541/V541,"")</f>
        <v/>
      </c>
      <c r="X541" s="18" t="str">
        <f aca="false">IF(U541="","",INDEX('CURVA EDAD'!$E$5:$E$32,MIN(28,MAX(1,N541))))</f>
        <v/>
      </c>
      <c r="Y541" s="16" t="str">
        <f aca="false">IF(V541&lt;&gt;"",V541,IF(U541="","",U541/X541))</f>
        <v/>
      </c>
      <c r="Z541" s="16" t="str">
        <f aca="false">IF(V541&lt;&gt;"",_xlfn.MINIFS(ENSAYOS!$Q$5:$Q$3004,ENSAYOS!$C$5:$C$3004,F541,ENSAYOS!$Q$5:$Q$3004,"&gt;0",ENSAYOS!$G$5:$G$3004,"&gt;="&amp;CONFIG!$B$27),IF(U541="","",_xlfn.MINIFS(ENSAYOS!$Q$5:$Q$3004,ENSAYOS!$C$5:$C$3004,F541,ENSAYOS!$Q$5:$Q$3004,"&gt;0",ENSAYOS!$G$5:$G$3004,N541)/X541))</f>
        <v/>
      </c>
      <c r="AA541" s="16" t="str">
        <f aca="false">IF(D541="","",IFERROR(1/(1/INDEX(CONFIG!$J$5:$J$14,MATCH(D541,CONFIG!$D$5:$D$14,0))),""))</f>
        <v/>
      </c>
      <c r="AB541" s="16" t="str">
        <f aca="false">IF(D541="","",IFERROR(1/(1/INDEX(CONFIG!$K$5:$K$14,MATCH(D541,CONFIG!$D$5:$D$14,0))),""))</f>
        <v/>
      </c>
      <c r="AC541" s="19" t="str">
        <f aca="false">IF(N(M541)=0,"",IF(AA541="","Sin spec",IF(AND(Y541&gt;=AA541,OR(AB541="",Z541&gt;=AB541)),"CUMPLE","NO CUMPLE")&amp;IF(V541=""," (est.)","")))</f>
        <v/>
      </c>
      <c r="AD541" s="20" t="str">
        <f aca="false">IF(F541="","",IF(COUNTIFS(ABSORCION!$C$5:$C$1004,F541,ABSORCION!$I$5:$I$1004,"&gt;0")=0,"",AVERAGEIFS(ABSORCION!$I$5:$I$1004,ABSORCION!$C$5:$C$1004,F541,ABSORCION!$I$5:$I$1004,"&gt;0")))</f>
        <v/>
      </c>
      <c r="AE541" s="20" t="str">
        <f aca="false">IF(F541="","",IF(COUNTIFS(ABSORCION!$C$5:$C$1004,F541,ABSORCION!$I$5:$I$1004,"&gt;0")=0,"",AVERAGEIFS(ABSORCION!$K$5:$K$1004,ABSORCION!$C$5:$C$1004,F541,ABSORCION!$I$5:$I$1004,"&gt;0")))</f>
        <v/>
      </c>
      <c r="AF541" s="20" t="str">
        <f aca="false">IF(AE541="","",IF(AE541&gt;=CONFIG!$E$21,CONFIG!$F$21,IF(AE541&gt;=CONFIG!$E$20,CONFIG!$F$20,CONFIG!$F$19)))</f>
        <v/>
      </c>
      <c r="AG541" s="21" t="str">
        <f aca="false">IF(F541="","",TRIM(IF(N(M541)=0,"Sin ensayos. ","")&amp;IF(AND(N(M541)&gt;0,N(M541)&lt;CONFIG!$B$26),"Menos de "&amp;CONFIG!$B$26&amp;" probetas. ","")&amp;IF(N(T541)&gt;CONFIG!$B$25,"CV alto. ","")&amp;IF(AND(N(AD541)&gt;0,N(AD541)&gt;N(AF541)),"Absorción alta. ","")))</f>
        <v/>
      </c>
      <c r="AH541" s="22" t="str">
        <f aca="false">IF(AND(N(M541)&gt;0,OR(CONTROL!$C$4="TODAS",C541=CONTROL!$C$4),D541=CONTROL!$C$5),MAX($AH$4:AH540)+1,"")</f>
        <v/>
      </c>
      <c r="AI541" s="22" t="str">
        <f aca="false">IF(AH541="","",P541^2)</f>
        <v/>
      </c>
    </row>
    <row r="542" customFormat="false" ht="15" hidden="false" customHeight="false" outlineLevel="0" collapsed="false">
      <c r="A542" s="11" t="str">
        <f aca="false">IF(B542="","",ROW()-4)</f>
        <v/>
      </c>
      <c r="B542" s="12"/>
      <c r="C542" s="13"/>
      <c r="D542" s="13"/>
      <c r="E542" s="13"/>
      <c r="F542" s="14" t="str">
        <f aca="false">IF(OR(B542="",C542="",D542=""),"",IFERROR(INDEX(CONFIG!$E$5:$E$14,MATCH(D542,CONFIG!$D$5:$D$14,0)),"?")&amp;RIGHT("0"&amp;DAY(B542),2)&amp;RIGHT("0"&amp;MONTH(B542),2)&amp;RIGHT(YEAR(B542),2)&amp;C542&amp;IF(E542="","","-"&amp;E542))</f>
        <v/>
      </c>
      <c r="G542" s="13"/>
      <c r="H542" s="13"/>
      <c r="I542" s="13"/>
      <c r="J542" s="13"/>
      <c r="K542" s="13"/>
      <c r="L542" s="13"/>
      <c r="M542" s="11" t="str">
        <f aca="false">IF(F542="","",COUNTIFS(ENSAYOS!$C$5:$C$3004,F542,ENSAYOS!$Q$5:$Q$3004,"&gt;0"))</f>
        <v/>
      </c>
      <c r="N542" s="15" t="str">
        <f aca="false">IF(N(M542)=0,"",_xlfn.MINIFS(ENSAYOS!$G$5:$G$3004,ENSAYOS!$C$5:$C$3004,F542,ENSAYOS!$Q$5:$Q$3004,"&gt;0"))</f>
        <v/>
      </c>
      <c r="O542" s="15" t="str">
        <f aca="false">IF(N(M542)=0,"",_xlfn.MAXIFS(ENSAYOS!$G$5:$G$3004,ENSAYOS!$C$5:$C$3004,F542,ENSAYOS!$Q$5:$Q$3004,"&gt;0"))</f>
        <v/>
      </c>
      <c r="P542" s="16" t="str">
        <f aca="false">IF(N(M542)=0,"",AVERAGEIFS(ENSAYOS!$Q$5:$Q$3004,ENSAYOS!$C$5:$C$3004,F542,ENSAYOS!$Q$5:$Q$3004,"&gt;0"))</f>
        <v/>
      </c>
      <c r="Q542" s="16" t="str">
        <f aca="false">IF(N(M542)=0,"",_xlfn.MINIFS(ENSAYOS!$Q$5:$Q$3004,ENSAYOS!$C$5:$C$3004,F542,ENSAYOS!$Q$5:$Q$3004,"&gt;0"))</f>
        <v/>
      </c>
      <c r="R542" s="16" t="str">
        <f aca="false">IF(N(M542)=0,"",_xlfn.MAXIFS(ENSAYOS!$Q$5:$Q$3004,ENSAYOS!$C$5:$C$3004,F542,ENSAYOS!$Q$5:$Q$3004,"&gt;0"))</f>
        <v/>
      </c>
      <c r="S542" s="16" t="str">
        <f aca="false">IF(N(M542)&lt;2,"",SQRT(MAX(0,(SUMIFS(ENSAYOS!$X$5:$X$3004,ENSAYOS!$C$5:$C$3004,F542,ENSAYOS!$Q$5:$Q$3004,"&gt;0")-M542*P542^2)/(M542-1))))</f>
        <v/>
      </c>
      <c r="T542" s="17" t="str">
        <f aca="false">IF(S542="","",S542/P542)</f>
        <v/>
      </c>
      <c r="U542" s="16" t="str">
        <f aca="false">IF(N(M542)=0,"",IF(N542&gt;=CONFIG!$B$27,"",AVERAGEIFS(ENSAYOS!$Q$5:$Q$3004,ENSAYOS!$C$5:$C$3004,F542,ENSAYOS!$Q$5:$Q$3004,"&gt;0",ENSAYOS!$G$5:$G$3004,N542)))</f>
        <v/>
      </c>
      <c r="V542" s="16" t="str">
        <f aca="false">IF(N(M542)=0,"",IF(COUNTIFS(ENSAYOS!$C$5:$C$3004,F542,ENSAYOS!$Q$5:$Q$3004,"&gt;0",ENSAYOS!$G$5:$G$3004,"&gt;="&amp;CONFIG!$B$27)=0,"",AVERAGEIFS(ENSAYOS!$Q$5:$Q$3004,ENSAYOS!$C$5:$C$3004,F542,ENSAYOS!$Q$5:$Q$3004,"&gt;0",ENSAYOS!$G$5:$G$3004,"&gt;="&amp;CONFIG!$B$27)))</f>
        <v/>
      </c>
      <c r="W542" s="18" t="str">
        <f aca="false">IF(AND(U542&lt;&gt;"",V542&lt;&gt;""),U542/V542,"")</f>
        <v/>
      </c>
      <c r="X542" s="18" t="str">
        <f aca="false">IF(U542="","",INDEX('CURVA EDAD'!$E$5:$E$32,MIN(28,MAX(1,N542))))</f>
        <v/>
      </c>
      <c r="Y542" s="16" t="str">
        <f aca="false">IF(V542&lt;&gt;"",V542,IF(U542="","",U542/X542))</f>
        <v/>
      </c>
      <c r="Z542" s="16" t="str">
        <f aca="false">IF(V542&lt;&gt;"",_xlfn.MINIFS(ENSAYOS!$Q$5:$Q$3004,ENSAYOS!$C$5:$C$3004,F542,ENSAYOS!$Q$5:$Q$3004,"&gt;0",ENSAYOS!$G$5:$G$3004,"&gt;="&amp;CONFIG!$B$27),IF(U542="","",_xlfn.MINIFS(ENSAYOS!$Q$5:$Q$3004,ENSAYOS!$C$5:$C$3004,F542,ENSAYOS!$Q$5:$Q$3004,"&gt;0",ENSAYOS!$G$5:$G$3004,N542)/X542))</f>
        <v/>
      </c>
      <c r="AA542" s="16" t="str">
        <f aca="false">IF(D542="","",IFERROR(1/(1/INDEX(CONFIG!$J$5:$J$14,MATCH(D542,CONFIG!$D$5:$D$14,0))),""))</f>
        <v/>
      </c>
      <c r="AB542" s="16" t="str">
        <f aca="false">IF(D542="","",IFERROR(1/(1/INDEX(CONFIG!$K$5:$K$14,MATCH(D542,CONFIG!$D$5:$D$14,0))),""))</f>
        <v/>
      </c>
      <c r="AC542" s="19" t="str">
        <f aca="false">IF(N(M542)=0,"",IF(AA542="","Sin spec",IF(AND(Y542&gt;=AA542,OR(AB542="",Z542&gt;=AB542)),"CUMPLE","NO CUMPLE")&amp;IF(V542=""," (est.)","")))</f>
        <v/>
      </c>
      <c r="AD542" s="20" t="str">
        <f aca="false">IF(F542="","",IF(COUNTIFS(ABSORCION!$C$5:$C$1004,F542,ABSORCION!$I$5:$I$1004,"&gt;0")=0,"",AVERAGEIFS(ABSORCION!$I$5:$I$1004,ABSORCION!$C$5:$C$1004,F542,ABSORCION!$I$5:$I$1004,"&gt;0")))</f>
        <v/>
      </c>
      <c r="AE542" s="20" t="str">
        <f aca="false">IF(F542="","",IF(COUNTIFS(ABSORCION!$C$5:$C$1004,F542,ABSORCION!$I$5:$I$1004,"&gt;0")=0,"",AVERAGEIFS(ABSORCION!$K$5:$K$1004,ABSORCION!$C$5:$C$1004,F542,ABSORCION!$I$5:$I$1004,"&gt;0")))</f>
        <v/>
      </c>
      <c r="AF542" s="20" t="str">
        <f aca="false">IF(AE542="","",IF(AE542&gt;=CONFIG!$E$21,CONFIG!$F$21,IF(AE542&gt;=CONFIG!$E$20,CONFIG!$F$20,CONFIG!$F$19)))</f>
        <v/>
      </c>
      <c r="AG542" s="21" t="str">
        <f aca="false">IF(F542="","",TRIM(IF(N(M542)=0,"Sin ensayos. ","")&amp;IF(AND(N(M542)&gt;0,N(M542)&lt;CONFIG!$B$26),"Menos de "&amp;CONFIG!$B$26&amp;" probetas. ","")&amp;IF(N(T542)&gt;CONFIG!$B$25,"CV alto. ","")&amp;IF(AND(N(AD542)&gt;0,N(AD542)&gt;N(AF542)),"Absorción alta. ","")))</f>
        <v/>
      </c>
      <c r="AH542" s="22" t="str">
        <f aca="false">IF(AND(N(M542)&gt;0,OR(CONTROL!$C$4="TODAS",C542=CONTROL!$C$4),D542=CONTROL!$C$5),MAX($AH$4:AH541)+1,"")</f>
        <v/>
      </c>
      <c r="AI542" s="22" t="str">
        <f aca="false">IF(AH542="","",P542^2)</f>
        <v/>
      </c>
    </row>
    <row r="543" customFormat="false" ht="15" hidden="false" customHeight="false" outlineLevel="0" collapsed="false">
      <c r="A543" s="11" t="str">
        <f aca="false">IF(B543="","",ROW()-4)</f>
        <v/>
      </c>
      <c r="B543" s="12"/>
      <c r="C543" s="13"/>
      <c r="D543" s="13"/>
      <c r="E543" s="13"/>
      <c r="F543" s="14" t="str">
        <f aca="false">IF(OR(B543="",C543="",D543=""),"",IFERROR(INDEX(CONFIG!$E$5:$E$14,MATCH(D543,CONFIG!$D$5:$D$14,0)),"?")&amp;RIGHT("0"&amp;DAY(B543),2)&amp;RIGHT("0"&amp;MONTH(B543),2)&amp;RIGHT(YEAR(B543),2)&amp;C543&amp;IF(E543="","","-"&amp;E543))</f>
        <v/>
      </c>
      <c r="G543" s="13"/>
      <c r="H543" s="13"/>
      <c r="I543" s="13"/>
      <c r="J543" s="13"/>
      <c r="K543" s="13"/>
      <c r="L543" s="13"/>
      <c r="M543" s="11" t="str">
        <f aca="false">IF(F543="","",COUNTIFS(ENSAYOS!$C$5:$C$3004,F543,ENSAYOS!$Q$5:$Q$3004,"&gt;0"))</f>
        <v/>
      </c>
      <c r="N543" s="15" t="str">
        <f aca="false">IF(N(M543)=0,"",_xlfn.MINIFS(ENSAYOS!$G$5:$G$3004,ENSAYOS!$C$5:$C$3004,F543,ENSAYOS!$Q$5:$Q$3004,"&gt;0"))</f>
        <v/>
      </c>
      <c r="O543" s="15" t="str">
        <f aca="false">IF(N(M543)=0,"",_xlfn.MAXIFS(ENSAYOS!$G$5:$G$3004,ENSAYOS!$C$5:$C$3004,F543,ENSAYOS!$Q$5:$Q$3004,"&gt;0"))</f>
        <v/>
      </c>
      <c r="P543" s="16" t="str">
        <f aca="false">IF(N(M543)=0,"",AVERAGEIFS(ENSAYOS!$Q$5:$Q$3004,ENSAYOS!$C$5:$C$3004,F543,ENSAYOS!$Q$5:$Q$3004,"&gt;0"))</f>
        <v/>
      </c>
      <c r="Q543" s="16" t="str">
        <f aca="false">IF(N(M543)=0,"",_xlfn.MINIFS(ENSAYOS!$Q$5:$Q$3004,ENSAYOS!$C$5:$C$3004,F543,ENSAYOS!$Q$5:$Q$3004,"&gt;0"))</f>
        <v/>
      </c>
      <c r="R543" s="16" t="str">
        <f aca="false">IF(N(M543)=0,"",_xlfn.MAXIFS(ENSAYOS!$Q$5:$Q$3004,ENSAYOS!$C$5:$C$3004,F543,ENSAYOS!$Q$5:$Q$3004,"&gt;0"))</f>
        <v/>
      </c>
      <c r="S543" s="16" t="str">
        <f aca="false">IF(N(M543)&lt;2,"",SQRT(MAX(0,(SUMIFS(ENSAYOS!$X$5:$X$3004,ENSAYOS!$C$5:$C$3004,F543,ENSAYOS!$Q$5:$Q$3004,"&gt;0")-M543*P543^2)/(M543-1))))</f>
        <v/>
      </c>
      <c r="T543" s="17" t="str">
        <f aca="false">IF(S543="","",S543/P543)</f>
        <v/>
      </c>
      <c r="U543" s="16" t="str">
        <f aca="false">IF(N(M543)=0,"",IF(N543&gt;=CONFIG!$B$27,"",AVERAGEIFS(ENSAYOS!$Q$5:$Q$3004,ENSAYOS!$C$5:$C$3004,F543,ENSAYOS!$Q$5:$Q$3004,"&gt;0",ENSAYOS!$G$5:$G$3004,N543)))</f>
        <v/>
      </c>
      <c r="V543" s="16" t="str">
        <f aca="false">IF(N(M543)=0,"",IF(COUNTIFS(ENSAYOS!$C$5:$C$3004,F543,ENSAYOS!$Q$5:$Q$3004,"&gt;0",ENSAYOS!$G$5:$G$3004,"&gt;="&amp;CONFIG!$B$27)=0,"",AVERAGEIFS(ENSAYOS!$Q$5:$Q$3004,ENSAYOS!$C$5:$C$3004,F543,ENSAYOS!$Q$5:$Q$3004,"&gt;0",ENSAYOS!$G$5:$G$3004,"&gt;="&amp;CONFIG!$B$27)))</f>
        <v/>
      </c>
      <c r="W543" s="18" t="str">
        <f aca="false">IF(AND(U543&lt;&gt;"",V543&lt;&gt;""),U543/V543,"")</f>
        <v/>
      </c>
      <c r="X543" s="18" t="str">
        <f aca="false">IF(U543="","",INDEX('CURVA EDAD'!$E$5:$E$32,MIN(28,MAX(1,N543))))</f>
        <v/>
      </c>
      <c r="Y543" s="16" t="str">
        <f aca="false">IF(V543&lt;&gt;"",V543,IF(U543="","",U543/X543))</f>
        <v/>
      </c>
      <c r="Z543" s="16" t="str">
        <f aca="false">IF(V543&lt;&gt;"",_xlfn.MINIFS(ENSAYOS!$Q$5:$Q$3004,ENSAYOS!$C$5:$C$3004,F543,ENSAYOS!$Q$5:$Q$3004,"&gt;0",ENSAYOS!$G$5:$G$3004,"&gt;="&amp;CONFIG!$B$27),IF(U543="","",_xlfn.MINIFS(ENSAYOS!$Q$5:$Q$3004,ENSAYOS!$C$5:$C$3004,F543,ENSAYOS!$Q$5:$Q$3004,"&gt;0",ENSAYOS!$G$5:$G$3004,N543)/X543))</f>
        <v/>
      </c>
      <c r="AA543" s="16" t="str">
        <f aca="false">IF(D543="","",IFERROR(1/(1/INDEX(CONFIG!$J$5:$J$14,MATCH(D543,CONFIG!$D$5:$D$14,0))),""))</f>
        <v/>
      </c>
      <c r="AB543" s="16" t="str">
        <f aca="false">IF(D543="","",IFERROR(1/(1/INDEX(CONFIG!$K$5:$K$14,MATCH(D543,CONFIG!$D$5:$D$14,0))),""))</f>
        <v/>
      </c>
      <c r="AC543" s="19" t="str">
        <f aca="false">IF(N(M543)=0,"",IF(AA543="","Sin spec",IF(AND(Y543&gt;=AA543,OR(AB543="",Z543&gt;=AB543)),"CUMPLE","NO CUMPLE")&amp;IF(V543=""," (est.)","")))</f>
        <v/>
      </c>
      <c r="AD543" s="20" t="str">
        <f aca="false">IF(F543="","",IF(COUNTIFS(ABSORCION!$C$5:$C$1004,F543,ABSORCION!$I$5:$I$1004,"&gt;0")=0,"",AVERAGEIFS(ABSORCION!$I$5:$I$1004,ABSORCION!$C$5:$C$1004,F543,ABSORCION!$I$5:$I$1004,"&gt;0")))</f>
        <v/>
      </c>
      <c r="AE543" s="20" t="str">
        <f aca="false">IF(F543="","",IF(COUNTIFS(ABSORCION!$C$5:$C$1004,F543,ABSORCION!$I$5:$I$1004,"&gt;0")=0,"",AVERAGEIFS(ABSORCION!$K$5:$K$1004,ABSORCION!$C$5:$C$1004,F543,ABSORCION!$I$5:$I$1004,"&gt;0")))</f>
        <v/>
      </c>
      <c r="AF543" s="20" t="str">
        <f aca="false">IF(AE543="","",IF(AE543&gt;=CONFIG!$E$21,CONFIG!$F$21,IF(AE543&gt;=CONFIG!$E$20,CONFIG!$F$20,CONFIG!$F$19)))</f>
        <v/>
      </c>
      <c r="AG543" s="21" t="str">
        <f aca="false">IF(F543="","",TRIM(IF(N(M543)=0,"Sin ensayos. ","")&amp;IF(AND(N(M543)&gt;0,N(M543)&lt;CONFIG!$B$26),"Menos de "&amp;CONFIG!$B$26&amp;" probetas. ","")&amp;IF(N(T543)&gt;CONFIG!$B$25,"CV alto. ","")&amp;IF(AND(N(AD543)&gt;0,N(AD543)&gt;N(AF543)),"Absorción alta. ","")))</f>
        <v/>
      </c>
      <c r="AH543" s="22" t="str">
        <f aca="false">IF(AND(N(M543)&gt;0,OR(CONTROL!$C$4="TODAS",C543=CONTROL!$C$4),D543=CONTROL!$C$5),MAX($AH$4:AH542)+1,"")</f>
        <v/>
      </c>
      <c r="AI543" s="22" t="str">
        <f aca="false">IF(AH543="","",P543^2)</f>
        <v/>
      </c>
    </row>
    <row r="544" customFormat="false" ht="15" hidden="false" customHeight="false" outlineLevel="0" collapsed="false">
      <c r="A544" s="11" t="str">
        <f aca="false">IF(B544="","",ROW()-4)</f>
        <v/>
      </c>
      <c r="B544" s="12"/>
      <c r="C544" s="13"/>
      <c r="D544" s="13"/>
      <c r="E544" s="13"/>
      <c r="F544" s="14" t="str">
        <f aca="false">IF(OR(B544="",C544="",D544=""),"",IFERROR(INDEX(CONFIG!$E$5:$E$14,MATCH(D544,CONFIG!$D$5:$D$14,0)),"?")&amp;RIGHT("0"&amp;DAY(B544),2)&amp;RIGHT("0"&amp;MONTH(B544),2)&amp;RIGHT(YEAR(B544),2)&amp;C544&amp;IF(E544="","","-"&amp;E544))</f>
        <v/>
      </c>
      <c r="G544" s="13"/>
      <c r="H544" s="13"/>
      <c r="I544" s="13"/>
      <c r="J544" s="13"/>
      <c r="K544" s="13"/>
      <c r="L544" s="13"/>
      <c r="M544" s="11" t="str">
        <f aca="false">IF(F544="","",COUNTIFS(ENSAYOS!$C$5:$C$3004,F544,ENSAYOS!$Q$5:$Q$3004,"&gt;0"))</f>
        <v/>
      </c>
      <c r="N544" s="15" t="str">
        <f aca="false">IF(N(M544)=0,"",_xlfn.MINIFS(ENSAYOS!$G$5:$G$3004,ENSAYOS!$C$5:$C$3004,F544,ENSAYOS!$Q$5:$Q$3004,"&gt;0"))</f>
        <v/>
      </c>
      <c r="O544" s="15" t="str">
        <f aca="false">IF(N(M544)=0,"",_xlfn.MAXIFS(ENSAYOS!$G$5:$G$3004,ENSAYOS!$C$5:$C$3004,F544,ENSAYOS!$Q$5:$Q$3004,"&gt;0"))</f>
        <v/>
      </c>
      <c r="P544" s="16" t="str">
        <f aca="false">IF(N(M544)=0,"",AVERAGEIFS(ENSAYOS!$Q$5:$Q$3004,ENSAYOS!$C$5:$C$3004,F544,ENSAYOS!$Q$5:$Q$3004,"&gt;0"))</f>
        <v/>
      </c>
      <c r="Q544" s="16" t="str">
        <f aca="false">IF(N(M544)=0,"",_xlfn.MINIFS(ENSAYOS!$Q$5:$Q$3004,ENSAYOS!$C$5:$C$3004,F544,ENSAYOS!$Q$5:$Q$3004,"&gt;0"))</f>
        <v/>
      </c>
      <c r="R544" s="16" t="str">
        <f aca="false">IF(N(M544)=0,"",_xlfn.MAXIFS(ENSAYOS!$Q$5:$Q$3004,ENSAYOS!$C$5:$C$3004,F544,ENSAYOS!$Q$5:$Q$3004,"&gt;0"))</f>
        <v/>
      </c>
      <c r="S544" s="16" t="str">
        <f aca="false">IF(N(M544)&lt;2,"",SQRT(MAX(0,(SUMIFS(ENSAYOS!$X$5:$X$3004,ENSAYOS!$C$5:$C$3004,F544,ENSAYOS!$Q$5:$Q$3004,"&gt;0")-M544*P544^2)/(M544-1))))</f>
        <v/>
      </c>
      <c r="T544" s="17" t="str">
        <f aca="false">IF(S544="","",S544/P544)</f>
        <v/>
      </c>
      <c r="U544" s="16" t="str">
        <f aca="false">IF(N(M544)=0,"",IF(N544&gt;=CONFIG!$B$27,"",AVERAGEIFS(ENSAYOS!$Q$5:$Q$3004,ENSAYOS!$C$5:$C$3004,F544,ENSAYOS!$Q$5:$Q$3004,"&gt;0",ENSAYOS!$G$5:$G$3004,N544)))</f>
        <v/>
      </c>
      <c r="V544" s="16" t="str">
        <f aca="false">IF(N(M544)=0,"",IF(COUNTIFS(ENSAYOS!$C$5:$C$3004,F544,ENSAYOS!$Q$5:$Q$3004,"&gt;0",ENSAYOS!$G$5:$G$3004,"&gt;="&amp;CONFIG!$B$27)=0,"",AVERAGEIFS(ENSAYOS!$Q$5:$Q$3004,ENSAYOS!$C$5:$C$3004,F544,ENSAYOS!$Q$5:$Q$3004,"&gt;0",ENSAYOS!$G$5:$G$3004,"&gt;="&amp;CONFIG!$B$27)))</f>
        <v/>
      </c>
      <c r="W544" s="18" t="str">
        <f aca="false">IF(AND(U544&lt;&gt;"",V544&lt;&gt;""),U544/V544,"")</f>
        <v/>
      </c>
      <c r="X544" s="18" t="str">
        <f aca="false">IF(U544="","",INDEX('CURVA EDAD'!$E$5:$E$32,MIN(28,MAX(1,N544))))</f>
        <v/>
      </c>
      <c r="Y544" s="16" t="str">
        <f aca="false">IF(V544&lt;&gt;"",V544,IF(U544="","",U544/X544))</f>
        <v/>
      </c>
      <c r="Z544" s="16" t="str">
        <f aca="false">IF(V544&lt;&gt;"",_xlfn.MINIFS(ENSAYOS!$Q$5:$Q$3004,ENSAYOS!$C$5:$C$3004,F544,ENSAYOS!$Q$5:$Q$3004,"&gt;0",ENSAYOS!$G$5:$G$3004,"&gt;="&amp;CONFIG!$B$27),IF(U544="","",_xlfn.MINIFS(ENSAYOS!$Q$5:$Q$3004,ENSAYOS!$C$5:$C$3004,F544,ENSAYOS!$Q$5:$Q$3004,"&gt;0",ENSAYOS!$G$5:$G$3004,N544)/X544))</f>
        <v/>
      </c>
      <c r="AA544" s="16" t="str">
        <f aca="false">IF(D544="","",IFERROR(1/(1/INDEX(CONFIG!$J$5:$J$14,MATCH(D544,CONFIG!$D$5:$D$14,0))),""))</f>
        <v/>
      </c>
      <c r="AB544" s="16" t="str">
        <f aca="false">IF(D544="","",IFERROR(1/(1/INDEX(CONFIG!$K$5:$K$14,MATCH(D544,CONFIG!$D$5:$D$14,0))),""))</f>
        <v/>
      </c>
      <c r="AC544" s="19" t="str">
        <f aca="false">IF(N(M544)=0,"",IF(AA544="","Sin spec",IF(AND(Y544&gt;=AA544,OR(AB544="",Z544&gt;=AB544)),"CUMPLE","NO CUMPLE")&amp;IF(V544=""," (est.)","")))</f>
        <v/>
      </c>
      <c r="AD544" s="20" t="str">
        <f aca="false">IF(F544="","",IF(COUNTIFS(ABSORCION!$C$5:$C$1004,F544,ABSORCION!$I$5:$I$1004,"&gt;0")=0,"",AVERAGEIFS(ABSORCION!$I$5:$I$1004,ABSORCION!$C$5:$C$1004,F544,ABSORCION!$I$5:$I$1004,"&gt;0")))</f>
        <v/>
      </c>
      <c r="AE544" s="20" t="str">
        <f aca="false">IF(F544="","",IF(COUNTIFS(ABSORCION!$C$5:$C$1004,F544,ABSORCION!$I$5:$I$1004,"&gt;0")=0,"",AVERAGEIFS(ABSORCION!$K$5:$K$1004,ABSORCION!$C$5:$C$1004,F544,ABSORCION!$I$5:$I$1004,"&gt;0")))</f>
        <v/>
      </c>
      <c r="AF544" s="20" t="str">
        <f aca="false">IF(AE544="","",IF(AE544&gt;=CONFIG!$E$21,CONFIG!$F$21,IF(AE544&gt;=CONFIG!$E$20,CONFIG!$F$20,CONFIG!$F$19)))</f>
        <v/>
      </c>
      <c r="AG544" s="21" t="str">
        <f aca="false">IF(F544="","",TRIM(IF(N(M544)=0,"Sin ensayos. ","")&amp;IF(AND(N(M544)&gt;0,N(M544)&lt;CONFIG!$B$26),"Menos de "&amp;CONFIG!$B$26&amp;" probetas. ","")&amp;IF(N(T544)&gt;CONFIG!$B$25,"CV alto. ","")&amp;IF(AND(N(AD544)&gt;0,N(AD544)&gt;N(AF544)),"Absorción alta. ","")))</f>
        <v/>
      </c>
      <c r="AH544" s="22" t="str">
        <f aca="false">IF(AND(N(M544)&gt;0,OR(CONTROL!$C$4="TODAS",C544=CONTROL!$C$4),D544=CONTROL!$C$5),MAX($AH$4:AH543)+1,"")</f>
        <v/>
      </c>
      <c r="AI544" s="22" t="str">
        <f aca="false">IF(AH544="","",P544^2)</f>
        <v/>
      </c>
    </row>
    <row r="545" customFormat="false" ht="15" hidden="false" customHeight="false" outlineLevel="0" collapsed="false">
      <c r="A545" s="11" t="str">
        <f aca="false">IF(B545="","",ROW()-4)</f>
        <v/>
      </c>
      <c r="B545" s="12"/>
      <c r="C545" s="13"/>
      <c r="D545" s="13"/>
      <c r="E545" s="13"/>
      <c r="F545" s="14" t="str">
        <f aca="false">IF(OR(B545="",C545="",D545=""),"",IFERROR(INDEX(CONFIG!$E$5:$E$14,MATCH(D545,CONFIG!$D$5:$D$14,0)),"?")&amp;RIGHT("0"&amp;DAY(B545),2)&amp;RIGHT("0"&amp;MONTH(B545),2)&amp;RIGHT(YEAR(B545),2)&amp;C545&amp;IF(E545="","","-"&amp;E545))</f>
        <v/>
      </c>
      <c r="G545" s="13"/>
      <c r="H545" s="13"/>
      <c r="I545" s="13"/>
      <c r="J545" s="13"/>
      <c r="K545" s="13"/>
      <c r="L545" s="13"/>
      <c r="M545" s="11" t="str">
        <f aca="false">IF(F545="","",COUNTIFS(ENSAYOS!$C$5:$C$3004,F545,ENSAYOS!$Q$5:$Q$3004,"&gt;0"))</f>
        <v/>
      </c>
      <c r="N545" s="15" t="str">
        <f aca="false">IF(N(M545)=0,"",_xlfn.MINIFS(ENSAYOS!$G$5:$G$3004,ENSAYOS!$C$5:$C$3004,F545,ENSAYOS!$Q$5:$Q$3004,"&gt;0"))</f>
        <v/>
      </c>
      <c r="O545" s="15" t="str">
        <f aca="false">IF(N(M545)=0,"",_xlfn.MAXIFS(ENSAYOS!$G$5:$G$3004,ENSAYOS!$C$5:$C$3004,F545,ENSAYOS!$Q$5:$Q$3004,"&gt;0"))</f>
        <v/>
      </c>
      <c r="P545" s="16" t="str">
        <f aca="false">IF(N(M545)=0,"",AVERAGEIFS(ENSAYOS!$Q$5:$Q$3004,ENSAYOS!$C$5:$C$3004,F545,ENSAYOS!$Q$5:$Q$3004,"&gt;0"))</f>
        <v/>
      </c>
      <c r="Q545" s="16" t="str">
        <f aca="false">IF(N(M545)=0,"",_xlfn.MINIFS(ENSAYOS!$Q$5:$Q$3004,ENSAYOS!$C$5:$C$3004,F545,ENSAYOS!$Q$5:$Q$3004,"&gt;0"))</f>
        <v/>
      </c>
      <c r="R545" s="16" t="str">
        <f aca="false">IF(N(M545)=0,"",_xlfn.MAXIFS(ENSAYOS!$Q$5:$Q$3004,ENSAYOS!$C$5:$C$3004,F545,ENSAYOS!$Q$5:$Q$3004,"&gt;0"))</f>
        <v/>
      </c>
      <c r="S545" s="16" t="str">
        <f aca="false">IF(N(M545)&lt;2,"",SQRT(MAX(0,(SUMIFS(ENSAYOS!$X$5:$X$3004,ENSAYOS!$C$5:$C$3004,F545,ENSAYOS!$Q$5:$Q$3004,"&gt;0")-M545*P545^2)/(M545-1))))</f>
        <v/>
      </c>
      <c r="T545" s="17" t="str">
        <f aca="false">IF(S545="","",S545/P545)</f>
        <v/>
      </c>
      <c r="U545" s="16" t="str">
        <f aca="false">IF(N(M545)=0,"",IF(N545&gt;=CONFIG!$B$27,"",AVERAGEIFS(ENSAYOS!$Q$5:$Q$3004,ENSAYOS!$C$5:$C$3004,F545,ENSAYOS!$Q$5:$Q$3004,"&gt;0",ENSAYOS!$G$5:$G$3004,N545)))</f>
        <v/>
      </c>
      <c r="V545" s="16" t="str">
        <f aca="false">IF(N(M545)=0,"",IF(COUNTIFS(ENSAYOS!$C$5:$C$3004,F545,ENSAYOS!$Q$5:$Q$3004,"&gt;0",ENSAYOS!$G$5:$G$3004,"&gt;="&amp;CONFIG!$B$27)=0,"",AVERAGEIFS(ENSAYOS!$Q$5:$Q$3004,ENSAYOS!$C$5:$C$3004,F545,ENSAYOS!$Q$5:$Q$3004,"&gt;0",ENSAYOS!$G$5:$G$3004,"&gt;="&amp;CONFIG!$B$27)))</f>
        <v/>
      </c>
      <c r="W545" s="18" t="str">
        <f aca="false">IF(AND(U545&lt;&gt;"",V545&lt;&gt;""),U545/V545,"")</f>
        <v/>
      </c>
      <c r="X545" s="18" t="str">
        <f aca="false">IF(U545="","",INDEX('CURVA EDAD'!$E$5:$E$32,MIN(28,MAX(1,N545))))</f>
        <v/>
      </c>
      <c r="Y545" s="16" t="str">
        <f aca="false">IF(V545&lt;&gt;"",V545,IF(U545="","",U545/X545))</f>
        <v/>
      </c>
      <c r="Z545" s="16" t="str">
        <f aca="false">IF(V545&lt;&gt;"",_xlfn.MINIFS(ENSAYOS!$Q$5:$Q$3004,ENSAYOS!$C$5:$C$3004,F545,ENSAYOS!$Q$5:$Q$3004,"&gt;0",ENSAYOS!$G$5:$G$3004,"&gt;="&amp;CONFIG!$B$27),IF(U545="","",_xlfn.MINIFS(ENSAYOS!$Q$5:$Q$3004,ENSAYOS!$C$5:$C$3004,F545,ENSAYOS!$Q$5:$Q$3004,"&gt;0",ENSAYOS!$G$5:$G$3004,N545)/X545))</f>
        <v/>
      </c>
      <c r="AA545" s="16" t="str">
        <f aca="false">IF(D545="","",IFERROR(1/(1/INDEX(CONFIG!$J$5:$J$14,MATCH(D545,CONFIG!$D$5:$D$14,0))),""))</f>
        <v/>
      </c>
      <c r="AB545" s="16" t="str">
        <f aca="false">IF(D545="","",IFERROR(1/(1/INDEX(CONFIG!$K$5:$K$14,MATCH(D545,CONFIG!$D$5:$D$14,0))),""))</f>
        <v/>
      </c>
      <c r="AC545" s="19" t="str">
        <f aca="false">IF(N(M545)=0,"",IF(AA545="","Sin spec",IF(AND(Y545&gt;=AA545,OR(AB545="",Z545&gt;=AB545)),"CUMPLE","NO CUMPLE")&amp;IF(V545=""," (est.)","")))</f>
        <v/>
      </c>
      <c r="AD545" s="20" t="str">
        <f aca="false">IF(F545="","",IF(COUNTIFS(ABSORCION!$C$5:$C$1004,F545,ABSORCION!$I$5:$I$1004,"&gt;0")=0,"",AVERAGEIFS(ABSORCION!$I$5:$I$1004,ABSORCION!$C$5:$C$1004,F545,ABSORCION!$I$5:$I$1004,"&gt;0")))</f>
        <v/>
      </c>
      <c r="AE545" s="20" t="str">
        <f aca="false">IF(F545="","",IF(COUNTIFS(ABSORCION!$C$5:$C$1004,F545,ABSORCION!$I$5:$I$1004,"&gt;0")=0,"",AVERAGEIFS(ABSORCION!$K$5:$K$1004,ABSORCION!$C$5:$C$1004,F545,ABSORCION!$I$5:$I$1004,"&gt;0")))</f>
        <v/>
      </c>
      <c r="AF545" s="20" t="str">
        <f aca="false">IF(AE545="","",IF(AE545&gt;=CONFIG!$E$21,CONFIG!$F$21,IF(AE545&gt;=CONFIG!$E$20,CONFIG!$F$20,CONFIG!$F$19)))</f>
        <v/>
      </c>
      <c r="AG545" s="21" t="str">
        <f aca="false">IF(F545="","",TRIM(IF(N(M545)=0,"Sin ensayos. ","")&amp;IF(AND(N(M545)&gt;0,N(M545)&lt;CONFIG!$B$26),"Menos de "&amp;CONFIG!$B$26&amp;" probetas. ","")&amp;IF(N(T545)&gt;CONFIG!$B$25,"CV alto. ","")&amp;IF(AND(N(AD545)&gt;0,N(AD545)&gt;N(AF545)),"Absorción alta. ","")))</f>
        <v/>
      </c>
      <c r="AH545" s="22" t="str">
        <f aca="false">IF(AND(N(M545)&gt;0,OR(CONTROL!$C$4="TODAS",C545=CONTROL!$C$4),D545=CONTROL!$C$5),MAX($AH$4:AH544)+1,"")</f>
        <v/>
      </c>
      <c r="AI545" s="22" t="str">
        <f aca="false">IF(AH545="","",P545^2)</f>
        <v/>
      </c>
    </row>
    <row r="546" customFormat="false" ht="15" hidden="false" customHeight="false" outlineLevel="0" collapsed="false">
      <c r="A546" s="11" t="str">
        <f aca="false">IF(B546="","",ROW()-4)</f>
        <v/>
      </c>
      <c r="B546" s="12"/>
      <c r="C546" s="13"/>
      <c r="D546" s="13"/>
      <c r="E546" s="13"/>
      <c r="F546" s="14" t="str">
        <f aca="false">IF(OR(B546="",C546="",D546=""),"",IFERROR(INDEX(CONFIG!$E$5:$E$14,MATCH(D546,CONFIG!$D$5:$D$14,0)),"?")&amp;RIGHT("0"&amp;DAY(B546),2)&amp;RIGHT("0"&amp;MONTH(B546),2)&amp;RIGHT(YEAR(B546),2)&amp;C546&amp;IF(E546="","","-"&amp;E546))</f>
        <v/>
      </c>
      <c r="G546" s="13"/>
      <c r="H546" s="13"/>
      <c r="I546" s="13"/>
      <c r="J546" s="13"/>
      <c r="K546" s="13"/>
      <c r="L546" s="13"/>
      <c r="M546" s="11" t="str">
        <f aca="false">IF(F546="","",COUNTIFS(ENSAYOS!$C$5:$C$3004,F546,ENSAYOS!$Q$5:$Q$3004,"&gt;0"))</f>
        <v/>
      </c>
      <c r="N546" s="15" t="str">
        <f aca="false">IF(N(M546)=0,"",_xlfn.MINIFS(ENSAYOS!$G$5:$G$3004,ENSAYOS!$C$5:$C$3004,F546,ENSAYOS!$Q$5:$Q$3004,"&gt;0"))</f>
        <v/>
      </c>
      <c r="O546" s="15" t="str">
        <f aca="false">IF(N(M546)=0,"",_xlfn.MAXIFS(ENSAYOS!$G$5:$G$3004,ENSAYOS!$C$5:$C$3004,F546,ENSAYOS!$Q$5:$Q$3004,"&gt;0"))</f>
        <v/>
      </c>
      <c r="P546" s="16" t="str">
        <f aca="false">IF(N(M546)=0,"",AVERAGEIFS(ENSAYOS!$Q$5:$Q$3004,ENSAYOS!$C$5:$C$3004,F546,ENSAYOS!$Q$5:$Q$3004,"&gt;0"))</f>
        <v/>
      </c>
      <c r="Q546" s="16" t="str">
        <f aca="false">IF(N(M546)=0,"",_xlfn.MINIFS(ENSAYOS!$Q$5:$Q$3004,ENSAYOS!$C$5:$C$3004,F546,ENSAYOS!$Q$5:$Q$3004,"&gt;0"))</f>
        <v/>
      </c>
      <c r="R546" s="16" t="str">
        <f aca="false">IF(N(M546)=0,"",_xlfn.MAXIFS(ENSAYOS!$Q$5:$Q$3004,ENSAYOS!$C$5:$C$3004,F546,ENSAYOS!$Q$5:$Q$3004,"&gt;0"))</f>
        <v/>
      </c>
      <c r="S546" s="16" t="str">
        <f aca="false">IF(N(M546)&lt;2,"",SQRT(MAX(0,(SUMIFS(ENSAYOS!$X$5:$X$3004,ENSAYOS!$C$5:$C$3004,F546,ENSAYOS!$Q$5:$Q$3004,"&gt;0")-M546*P546^2)/(M546-1))))</f>
        <v/>
      </c>
      <c r="T546" s="17" t="str">
        <f aca="false">IF(S546="","",S546/P546)</f>
        <v/>
      </c>
      <c r="U546" s="16" t="str">
        <f aca="false">IF(N(M546)=0,"",IF(N546&gt;=CONFIG!$B$27,"",AVERAGEIFS(ENSAYOS!$Q$5:$Q$3004,ENSAYOS!$C$5:$C$3004,F546,ENSAYOS!$Q$5:$Q$3004,"&gt;0",ENSAYOS!$G$5:$G$3004,N546)))</f>
        <v/>
      </c>
      <c r="V546" s="16" t="str">
        <f aca="false">IF(N(M546)=0,"",IF(COUNTIFS(ENSAYOS!$C$5:$C$3004,F546,ENSAYOS!$Q$5:$Q$3004,"&gt;0",ENSAYOS!$G$5:$G$3004,"&gt;="&amp;CONFIG!$B$27)=0,"",AVERAGEIFS(ENSAYOS!$Q$5:$Q$3004,ENSAYOS!$C$5:$C$3004,F546,ENSAYOS!$Q$5:$Q$3004,"&gt;0",ENSAYOS!$G$5:$G$3004,"&gt;="&amp;CONFIG!$B$27)))</f>
        <v/>
      </c>
      <c r="W546" s="18" t="str">
        <f aca="false">IF(AND(U546&lt;&gt;"",V546&lt;&gt;""),U546/V546,"")</f>
        <v/>
      </c>
      <c r="X546" s="18" t="str">
        <f aca="false">IF(U546="","",INDEX('CURVA EDAD'!$E$5:$E$32,MIN(28,MAX(1,N546))))</f>
        <v/>
      </c>
      <c r="Y546" s="16" t="str">
        <f aca="false">IF(V546&lt;&gt;"",V546,IF(U546="","",U546/X546))</f>
        <v/>
      </c>
      <c r="Z546" s="16" t="str">
        <f aca="false">IF(V546&lt;&gt;"",_xlfn.MINIFS(ENSAYOS!$Q$5:$Q$3004,ENSAYOS!$C$5:$C$3004,F546,ENSAYOS!$Q$5:$Q$3004,"&gt;0",ENSAYOS!$G$5:$G$3004,"&gt;="&amp;CONFIG!$B$27),IF(U546="","",_xlfn.MINIFS(ENSAYOS!$Q$5:$Q$3004,ENSAYOS!$C$5:$C$3004,F546,ENSAYOS!$Q$5:$Q$3004,"&gt;0",ENSAYOS!$G$5:$G$3004,N546)/X546))</f>
        <v/>
      </c>
      <c r="AA546" s="16" t="str">
        <f aca="false">IF(D546="","",IFERROR(1/(1/INDEX(CONFIG!$J$5:$J$14,MATCH(D546,CONFIG!$D$5:$D$14,0))),""))</f>
        <v/>
      </c>
      <c r="AB546" s="16" t="str">
        <f aca="false">IF(D546="","",IFERROR(1/(1/INDEX(CONFIG!$K$5:$K$14,MATCH(D546,CONFIG!$D$5:$D$14,0))),""))</f>
        <v/>
      </c>
      <c r="AC546" s="19" t="str">
        <f aca="false">IF(N(M546)=0,"",IF(AA546="","Sin spec",IF(AND(Y546&gt;=AA546,OR(AB546="",Z546&gt;=AB546)),"CUMPLE","NO CUMPLE")&amp;IF(V546=""," (est.)","")))</f>
        <v/>
      </c>
      <c r="AD546" s="20" t="str">
        <f aca="false">IF(F546="","",IF(COUNTIFS(ABSORCION!$C$5:$C$1004,F546,ABSORCION!$I$5:$I$1004,"&gt;0")=0,"",AVERAGEIFS(ABSORCION!$I$5:$I$1004,ABSORCION!$C$5:$C$1004,F546,ABSORCION!$I$5:$I$1004,"&gt;0")))</f>
        <v/>
      </c>
      <c r="AE546" s="20" t="str">
        <f aca="false">IF(F546="","",IF(COUNTIFS(ABSORCION!$C$5:$C$1004,F546,ABSORCION!$I$5:$I$1004,"&gt;0")=0,"",AVERAGEIFS(ABSORCION!$K$5:$K$1004,ABSORCION!$C$5:$C$1004,F546,ABSORCION!$I$5:$I$1004,"&gt;0")))</f>
        <v/>
      </c>
      <c r="AF546" s="20" t="str">
        <f aca="false">IF(AE546="","",IF(AE546&gt;=CONFIG!$E$21,CONFIG!$F$21,IF(AE546&gt;=CONFIG!$E$20,CONFIG!$F$20,CONFIG!$F$19)))</f>
        <v/>
      </c>
      <c r="AG546" s="21" t="str">
        <f aca="false">IF(F546="","",TRIM(IF(N(M546)=0,"Sin ensayos. ","")&amp;IF(AND(N(M546)&gt;0,N(M546)&lt;CONFIG!$B$26),"Menos de "&amp;CONFIG!$B$26&amp;" probetas. ","")&amp;IF(N(T546)&gt;CONFIG!$B$25,"CV alto. ","")&amp;IF(AND(N(AD546)&gt;0,N(AD546)&gt;N(AF546)),"Absorción alta. ","")))</f>
        <v/>
      </c>
      <c r="AH546" s="22" t="str">
        <f aca="false">IF(AND(N(M546)&gt;0,OR(CONTROL!$C$4="TODAS",C546=CONTROL!$C$4),D546=CONTROL!$C$5),MAX($AH$4:AH545)+1,"")</f>
        <v/>
      </c>
      <c r="AI546" s="22" t="str">
        <f aca="false">IF(AH546="","",P546^2)</f>
        <v/>
      </c>
    </row>
    <row r="547" customFormat="false" ht="15" hidden="false" customHeight="false" outlineLevel="0" collapsed="false">
      <c r="A547" s="11" t="str">
        <f aca="false">IF(B547="","",ROW()-4)</f>
        <v/>
      </c>
      <c r="B547" s="12"/>
      <c r="C547" s="13"/>
      <c r="D547" s="13"/>
      <c r="E547" s="13"/>
      <c r="F547" s="14" t="str">
        <f aca="false">IF(OR(B547="",C547="",D547=""),"",IFERROR(INDEX(CONFIG!$E$5:$E$14,MATCH(D547,CONFIG!$D$5:$D$14,0)),"?")&amp;RIGHT("0"&amp;DAY(B547),2)&amp;RIGHT("0"&amp;MONTH(B547),2)&amp;RIGHT(YEAR(B547),2)&amp;C547&amp;IF(E547="","","-"&amp;E547))</f>
        <v/>
      </c>
      <c r="G547" s="13"/>
      <c r="H547" s="13"/>
      <c r="I547" s="13"/>
      <c r="J547" s="13"/>
      <c r="K547" s="13"/>
      <c r="L547" s="13"/>
      <c r="M547" s="11" t="str">
        <f aca="false">IF(F547="","",COUNTIFS(ENSAYOS!$C$5:$C$3004,F547,ENSAYOS!$Q$5:$Q$3004,"&gt;0"))</f>
        <v/>
      </c>
      <c r="N547" s="15" t="str">
        <f aca="false">IF(N(M547)=0,"",_xlfn.MINIFS(ENSAYOS!$G$5:$G$3004,ENSAYOS!$C$5:$C$3004,F547,ENSAYOS!$Q$5:$Q$3004,"&gt;0"))</f>
        <v/>
      </c>
      <c r="O547" s="15" t="str">
        <f aca="false">IF(N(M547)=0,"",_xlfn.MAXIFS(ENSAYOS!$G$5:$G$3004,ENSAYOS!$C$5:$C$3004,F547,ENSAYOS!$Q$5:$Q$3004,"&gt;0"))</f>
        <v/>
      </c>
      <c r="P547" s="16" t="str">
        <f aca="false">IF(N(M547)=0,"",AVERAGEIFS(ENSAYOS!$Q$5:$Q$3004,ENSAYOS!$C$5:$C$3004,F547,ENSAYOS!$Q$5:$Q$3004,"&gt;0"))</f>
        <v/>
      </c>
      <c r="Q547" s="16" t="str">
        <f aca="false">IF(N(M547)=0,"",_xlfn.MINIFS(ENSAYOS!$Q$5:$Q$3004,ENSAYOS!$C$5:$C$3004,F547,ENSAYOS!$Q$5:$Q$3004,"&gt;0"))</f>
        <v/>
      </c>
      <c r="R547" s="16" t="str">
        <f aca="false">IF(N(M547)=0,"",_xlfn.MAXIFS(ENSAYOS!$Q$5:$Q$3004,ENSAYOS!$C$5:$C$3004,F547,ENSAYOS!$Q$5:$Q$3004,"&gt;0"))</f>
        <v/>
      </c>
      <c r="S547" s="16" t="str">
        <f aca="false">IF(N(M547)&lt;2,"",SQRT(MAX(0,(SUMIFS(ENSAYOS!$X$5:$X$3004,ENSAYOS!$C$5:$C$3004,F547,ENSAYOS!$Q$5:$Q$3004,"&gt;0")-M547*P547^2)/(M547-1))))</f>
        <v/>
      </c>
      <c r="T547" s="17" t="str">
        <f aca="false">IF(S547="","",S547/P547)</f>
        <v/>
      </c>
      <c r="U547" s="16" t="str">
        <f aca="false">IF(N(M547)=0,"",IF(N547&gt;=CONFIG!$B$27,"",AVERAGEIFS(ENSAYOS!$Q$5:$Q$3004,ENSAYOS!$C$5:$C$3004,F547,ENSAYOS!$Q$5:$Q$3004,"&gt;0",ENSAYOS!$G$5:$G$3004,N547)))</f>
        <v/>
      </c>
      <c r="V547" s="16" t="str">
        <f aca="false">IF(N(M547)=0,"",IF(COUNTIFS(ENSAYOS!$C$5:$C$3004,F547,ENSAYOS!$Q$5:$Q$3004,"&gt;0",ENSAYOS!$G$5:$G$3004,"&gt;="&amp;CONFIG!$B$27)=0,"",AVERAGEIFS(ENSAYOS!$Q$5:$Q$3004,ENSAYOS!$C$5:$C$3004,F547,ENSAYOS!$Q$5:$Q$3004,"&gt;0",ENSAYOS!$G$5:$G$3004,"&gt;="&amp;CONFIG!$B$27)))</f>
        <v/>
      </c>
      <c r="W547" s="18" t="str">
        <f aca="false">IF(AND(U547&lt;&gt;"",V547&lt;&gt;""),U547/V547,"")</f>
        <v/>
      </c>
      <c r="X547" s="18" t="str">
        <f aca="false">IF(U547="","",INDEX('CURVA EDAD'!$E$5:$E$32,MIN(28,MAX(1,N547))))</f>
        <v/>
      </c>
      <c r="Y547" s="16" t="str">
        <f aca="false">IF(V547&lt;&gt;"",V547,IF(U547="","",U547/X547))</f>
        <v/>
      </c>
      <c r="Z547" s="16" t="str">
        <f aca="false">IF(V547&lt;&gt;"",_xlfn.MINIFS(ENSAYOS!$Q$5:$Q$3004,ENSAYOS!$C$5:$C$3004,F547,ENSAYOS!$Q$5:$Q$3004,"&gt;0",ENSAYOS!$G$5:$G$3004,"&gt;="&amp;CONFIG!$B$27),IF(U547="","",_xlfn.MINIFS(ENSAYOS!$Q$5:$Q$3004,ENSAYOS!$C$5:$C$3004,F547,ENSAYOS!$Q$5:$Q$3004,"&gt;0",ENSAYOS!$G$5:$G$3004,N547)/X547))</f>
        <v/>
      </c>
      <c r="AA547" s="16" t="str">
        <f aca="false">IF(D547="","",IFERROR(1/(1/INDEX(CONFIG!$J$5:$J$14,MATCH(D547,CONFIG!$D$5:$D$14,0))),""))</f>
        <v/>
      </c>
      <c r="AB547" s="16" t="str">
        <f aca="false">IF(D547="","",IFERROR(1/(1/INDEX(CONFIG!$K$5:$K$14,MATCH(D547,CONFIG!$D$5:$D$14,0))),""))</f>
        <v/>
      </c>
      <c r="AC547" s="19" t="str">
        <f aca="false">IF(N(M547)=0,"",IF(AA547="","Sin spec",IF(AND(Y547&gt;=AA547,OR(AB547="",Z547&gt;=AB547)),"CUMPLE","NO CUMPLE")&amp;IF(V547=""," (est.)","")))</f>
        <v/>
      </c>
      <c r="AD547" s="20" t="str">
        <f aca="false">IF(F547="","",IF(COUNTIFS(ABSORCION!$C$5:$C$1004,F547,ABSORCION!$I$5:$I$1004,"&gt;0")=0,"",AVERAGEIFS(ABSORCION!$I$5:$I$1004,ABSORCION!$C$5:$C$1004,F547,ABSORCION!$I$5:$I$1004,"&gt;0")))</f>
        <v/>
      </c>
      <c r="AE547" s="20" t="str">
        <f aca="false">IF(F547="","",IF(COUNTIFS(ABSORCION!$C$5:$C$1004,F547,ABSORCION!$I$5:$I$1004,"&gt;0")=0,"",AVERAGEIFS(ABSORCION!$K$5:$K$1004,ABSORCION!$C$5:$C$1004,F547,ABSORCION!$I$5:$I$1004,"&gt;0")))</f>
        <v/>
      </c>
      <c r="AF547" s="20" t="str">
        <f aca="false">IF(AE547="","",IF(AE547&gt;=CONFIG!$E$21,CONFIG!$F$21,IF(AE547&gt;=CONFIG!$E$20,CONFIG!$F$20,CONFIG!$F$19)))</f>
        <v/>
      </c>
      <c r="AG547" s="21" t="str">
        <f aca="false">IF(F547="","",TRIM(IF(N(M547)=0,"Sin ensayos. ","")&amp;IF(AND(N(M547)&gt;0,N(M547)&lt;CONFIG!$B$26),"Menos de "&amp;CONFIG!$B$26&amp;" probetas. ","")&amp;IF(N(T547)&gt;CONFIG!$B$25,"CV alto. ","")&amp;IF(AND(N(AD547)&gt;0,N(AD547)&gt;N(AF547)),"Absorción alta. ","")))</f>
        <v/>
      </c>
      <c r="AH547" s="22" t="str">
        <f aca="false">IF(AND(N(M547)&gt;0,OR(CONTROL!$C$4="TODAS",C547=CONTROL!$C$4),D547=CONTROL!$C$5),MAX($AH$4:AH546)+1,"")</f>
        <v/>
      </c>
      <c r="AI547" s="22" t="str">
        <f aca="false">IF(AH547="","",P547^2)</f>
        <v/>
      </c>
    </row>
    <row r="548" customFormat="false" ht="15" hidden="false" customHeight="false" outlineLevel="0" collapsed="false">
      <c r="A548" s="11" t="str">
        <f aca="false">IF(B548="","",ROW()-4)</f>
        <v/>
      </c>
      <c r="B548" s="12"/>
      <c r="C548" s="13"/>
      <c r="D548" s="13"/>
      <c r="E548" s="13"/>
      <c r="F548" s="14" t="str">
        <f aca="false">IF(OR(B548="",C548="",D548=""),"",IFERROR(INDEX(CONFIG!$E$5:$E$14,MATCH(D548,CONFIG!$D$5:$D$14,0)),"?")&amp;RIGHT("0"&amp;DAY(B548),2)&amp;RIGHT("0"&amp;MONTH(B548),2)&amp;RIGHT(YEAR(B548),2)&amp;C548&amp;IF(E548="","","-"&amp;E548))</f>
        <v/>
      </c>
      <c r="G548" s="13"/>
      <c r="H548" s="13"/>
      <c r="I548" s="13"/>
      <c r="J548" s="13"/>
      <c r="K548" s="13"/>
      <c r="L548" s="13"/>
      <c r="M548" s="11" t="str">
        <f aca="false">IF(F548="","",COUNTIFS(ENSAYOS!$C$5:$C$3004,F548,ENSAYOS!$Q$5:$Q$3004,"&gt;0"))</f>
        <v/>
      </c>
      <c r="N548" s="15" t="str">
        <f aca="false">IF(N(M548)=0,"",_xlfn.MINIFS(ENSAYOS!$G$5:$G$3004,ENSAYOS!$C$5:$C$3004,F548,ENSAYOS!$Q$5:$Q$3004,"&gt;0"))</f>
        <v/>
      </c>
      <c r="O548" s="15" t="str">
        <f aca="false">IF(N(M548)=0,"",_xlfn.MAXIFS(ENSAYOS!$G$5:$G$3004,ENSAYOS!$C$5:$C$3004,F548,ENSAYOS!$Q$5:$Q$3004,"&gt;0"))</f>
        <v/>
      </c>
      <c r="P548" s="16" t="str">
        <f aca="false">IF(N(M548)=0,"",AVERAGEIFS(ENSAYOS!$Q$5:$Q$3004,ENSAYOS!$C$5:$C$3004,F548,ENSAYOS!$Q$5:$Q$3004,"&gt;0"))</f>
        <v/>
      </c>
      <c r="Q548" s="16" t="str">
        <f aca="false">IF(N(M548)=0,"",_xlfn.MINIFS(ENSAYOS!$Q$5:$Q$3004,ENSAYOS!$C$5:$C$3004,F548,ENSAYOS!$Q$5:$Q$3004,"&gt;0"))</f>
        <v/>
      </c>
      <c r="R548" s="16" t="str">
        <f aca="false">IF(N(M548)=0,"",_xlfn.MAXIFS(ENSAYOS!$Q$5:$Q$3004,ENSAYOS!$C$5:$C$3004,F548,ENSAYOS!$Q$5:$Q$3004,"&gt;0"))</f>
        <v/>
      </c>
      <c r="S548" s="16" t="str">
        <f aca="false">IF(N(M548)&lt;2,"",SQRT(MAX(0,(SUMIFS(ENSAYOS!$X$5:$X$3004,ENSAYOS!$C$5:$C$3004,F548,ENSAYOS!$Q$5:$Q$3004,"&gt;0")-M548*P548^2)/(M548-1))))</f>
        <v/>
      </c>
      <c r="T548" s="17" t="str">
        <f aca="false">IF(S548="","",S548/P548)</f>
        <v/>
      </c>
      <c r="U548" s="16" t="str">
        <f aca="false">IF(N(M548)=0,"",IF(N548&gt;=CONFIG!$B$27,"",AVERAGEIFS(ENSAYOS!$Q$5:$Q$3004,ENSAYOS!$C$5:$C$3004,F548,ENSAYOS!$Q$5:$Q$3004,"&gt;0",ENSAYOS!$G$5:$G$3004,N548)))</f>
        <v/>
      </c>
      <c r="V548" s="16" t="str">
        <f aca="false">IF(N(M548)=0,"",IF(COUNTIFS(ENSAYOS!$C$5:$C$3004,F548,ENSAYOS!$Q$5:$Q$3004,"&gt;0",ENSAYOS!$G$5:$G$3004,"&gt;="&amp;CONFIG!$B$27)=0,"",AVERAGEIFS(ENSAYOS!$Q$5:$Q$3004,ENSAYOS!$C$5:$C$3004,F548,ENSAYOS!$Q$5:$Q$3004,"&gt;0",ENSAYOS!$G$5:$G$3004,"&gt;="&amp;CONFIG!$B$27)))</f>
        <v/>
      </c>
      <c r="W548" s="18" t="str">
        <f aca="false">IF(AND(U548&lt;&gt;"",V548&lt;&gt;""),U548/V548,"")</f>
        <v/>
      </c>
      <c r="X548" s="18" t="str">
        <f aca="false">IF(U548="","",INDEX('CURVA EDAD'!$E$5:$E$32,MIN(28,MAX(1,N548))))</f>
        <v/>
      </c>
      <c r="Y548" s="16" t="str">
        <f aca="false">IF(V548&lt;&gt;"",V548,IF(U548="","",U548/X548))</f>
        <v/>
      </c>
      <c r="Z548" s="16" t="str">
        <f aca="false">IF(V548&lt;&gt;"",_xlfn.MINIFS(ENSAYOS!$Q$5:$Q$3004,ENSAYOS!$C$5:$C$3004,F548,ENSAYOS!$Q$5:$Q$3004,"&gt;0",ENSAYOS!$G$5:$G$3004,"&gt;="&amp;CONFIG!$B$27),IF(U548="","",_xlfn.MINIFS(ENSAYOS!$Q$5:$Q$3004,ENSAYOS!$C$5:$C$3004,F548,ENSAYOS!$Q$5:$Q$3004,"&gt;0",ENSAYOS!$G$5:$G$3004,N548)/X548))</f>
        <v/>
      </c>
      <c r="AA548" s="16" t="str">
        <f aca="false">IF(D548="","",IFERROR(1/(1/INDEX(CONFIG!$J$5:$J$14,MATCH(D548,CONFIG!$D$5:$D$14,0))),""))</f>
        <v/>
      </c>
      <c r="AB548" s="16" t="str">
        <f aca="false">IF(D548="","",IFERROR(1/(1/INDEX(CONFIG!$K$5:$K$14,MATCH(D548,CONFIG!$D$5:$D$14,0))),""))</f>
        <v/>
      </c>
      <c r="AC548" s="19" t="str">
        <f aca="false">IF(N(M548)=0,"",IF(AA548="","Sin spec",IF(AND(Y548&gt;=AA548,OR(AB548="",Z548&gt;=AB548)),"CUMPLE","NO CUMPLE")&amp;IF(V548=""," (est.)","")))</f>
        <v/>
      </c>
      <c r="AD548" s="20" t="str">
        <f aca="false">IF(F548="","",IF(COUNTIFS(ABSORCION!$C$5:$C$1004,F548,ABSORCION!$I$5:$I$1004,"&gt;0")=0,"",AVERAGEIFS(ABSORCION!$I$5:$I$1004,ABSORCION!$C$5:$C$1004,F548,ABSORCION!$I$5:$I$1004,"&gt;0")))</f>
        <v/>
      </c>
      <c r="AE548" s="20" t="str">
        <f aca="false">IF(F548="","",IF(COUNTIFS(ABSORCION!$C$5:$C$1004,F548,ABSORCION!$I$5:$I$1004,"&gt;0")=0,"",AVERAGEIFS(ABSORCION!$K$5:$K$1004,ABSORCION!$C$5:$C$1004,F548,ABSORCION!$I$5:$I$1004,"&gt;0")))</f>
        <v/>
      </c>
      <c r="AF548" s="20" t="str">
        <f aca="false">IF(AE548="","",IF(AE548&gt;=CONFIG!$E$21,CONFIG!$F$21,IF(AE548&gt;=CONFIG!$E$20,CONFIG!$F$20,CONFIG!$F$19)))</f>
        <v/>
      </c>
      <c r="AG548" s="21" t="str">
        <f aca="false">IF(F548="","",TRIM(IF(N(M548)=0,"Sin ensayos. ","")&amp;IF(AND(N(M548)&gt;0,N(M548)&lt;CONFIG!$B$26),"Menos de "&amp;CONFIG!$B$26&amp;" probetas. ","")&amp;IF(N(T548)&gt;CONFIG!$B$25,"CV alto. ","")&amp;IF(AND(N(AD548)&gt;0,N(AD548)&gt;N(AF548)),"Absorción alta. ","")))</f>
        <v/>
      </c>
      <c r="AH548" s="22" t="str">
        <f aca="false">IF(AND(N(M548)&gt;0,OR(CONTROL!$C$4="TODAS",C548=CONTROL!$C$4),D548=CONTROL!$C$5),MAX($AH$4:AH547)+1,"")</f>
        <v/>
      </c>
      <c r="AI548" s="22" t="str">
        <f aca="false">IF(AH548="","",P548^2)</f>
        <v/>
      </c>
    </row>
    <row r="549" customFormat="false" ht="15" hidden="false" customHeight="false" outlineLevel="0" collapsed="false">
      <c r="A549" s="11" t="str">
        <f aca="false">IF(B549="","",ROW()-4)</f>
        <v/>
      </c>
      <c r="B549" s="12"/>
      <c r="C549" s="13"/>
      <c r="D549" s="13"/>
      <c r="E549" s="13"/>
      <c r="F549" s="14" t="str">
        <f aca="false">IF(OR(B549="",C549="",D549=""),"",IFERROR(INDEX(CONFIG!$E$5:$E$14,MATCH(D549,CONFIG!$D$5:$D$14,0)),"?")&amp;RIGHT("0"&amp;DAY(B549),2)&amp;RIGHT("0"&amp;MONTH(B549),2)&amp;RIGHT(YEAR(B549),2)&amp;C549&amp;IF(E549="","","-"&amp;E549))</f>
        <v/>
      </c>
      <c r="G549" s="13"/>
      <c r="H549" s="13"/>
      <c r="I549" s="13"/>
      <c r="J549" s="13"/>
      <c r="K549" s="13"/>
      <c r="L549" s="13"/>
      <c r="M549" s="11" t="str">
        <f aca="false">IF(F549="","",COUNTIFS(ENSAYOS!$C$5:$C$3004,F549,ENSAYOS!$Q$5:$Q$3004,"&gt;0"))</f>
        <v/>
      </c>
      <c r="N549" s="15" t="str">
        <f aca="false">IF(N(M549)=0,"",_xlfn.MINIFS(ENSAYOS!$G$5:$G$3004,ENSAYOS!$C$5:$C$3004,F549,ENSAYOS!$Q$5:$Q$3004,"&gt;0"))</f>
        <v/>
      </c>
      <c r="O549" s="15" t="str">
        <f aca="false">IF(N(M549)=0,"",_xlfn.MAXIFS(ENSAYOS!$G$5:$G$3004,ENSAYOS!$C$5:$C$3004,F549,ENSAYOS!$Q$5:$Q$3004,"&gt;0"))</f>
        <v/>
      </c>
      <c r="P549" s="16" t="str">
        <f aca="false">IF(N(M549)=0,"",AVERAGEIFS(ENSAYOS!$Q$5:$Q$3004,ENSAYOS!$C$5:$C$3004,F549,ENSAYOS!$Q$5:$Q$3004,"&gt;0"))</f>
        <v/>
      </c>
      <c r="Q549" s="16" t="str">
        <f aca="false">IF(N(M549)=0,"",_xlfn.MINIFS(ENSAYOS!$Q$5:$Q$3004,ENSAYOS!$C$5:$C$3004,F549,ENSAYOS!$Q$5:$Q$3004,"&gt;0"))</f>
        <v/>
      </c>
      <c r="R549" s="16" t="str">
        <f aca="false">IF(N(M549)=0,"",_xlfn.MAXIFS(ENSAYOS!$Q$5:$Q$3004,ENSAYOS!$C$5:$C$3004,F549,ENSAYOS!$Q$5:$Q$3004,"&gt;0"))</f>
        <v/>
      </c>
      <c r="S549" s="16" t="str">
        <f aca="false">IF(N(M549)&lt;2,"",SQRT(MAX(0,(SUMIFS(ENSAYOS!$X$5:$X$3004,ENSAYOS!$C$5:$C$3004,F549,ENSAYOS!$Q$5:$Q$3004,"&gt;0")-M549*P549^2)/(M549-1))))</f>
        <v/>
      </c>
      <c r="T549" s="17" t="str">
        <f aca="false">IF(S549="","",S549/P549)</f>
        <v/>
      </c>
      <c r="U549" s="16" t="str">
        <f aca="false">IF(N(M549)=0,"",IF(N549&gt;=CONFIG!$B$27,"",AVERAGEIFS(ENSAYOS!$Q$5:$Q$3004,ENSAYOS!$C$5:$C$3004,F549,ENSAYOS!$Q$5:$Q$3004,"&gt;0",ENSAYOS!$G$5:$G$3004,N549)))</f>
        <v/>
      </c>
      <c r="V549" s="16" t="str">
        <f aca="false">IF(N(M549)=0,"",IF(COUNTIFS(ENSAYOS!$C$5:$C$3004,F549,ENSAYOS!$Q$5:$Q$3004,"&gt;0",ENSAYOS!$G$5:$G$3004,"&gt;="&amp;CONFIG!$B$27)=0,"",AVERAGEIFS(ENSAYOS!$Q$5:$Q$3004,ENSAYOS!$C$5:$C$3004,F549,ENSAYOS!$Q$5:$Q$3004,"&gt;0",ENSAYOS!$G$5:$G$3004,"&gt;="&amp;CONFIG!$B$27)))</f>
        <v/>
      </c>
      <c r="W549" s="18" t="str">
        <f aca="false">IF(AND(U549&lt;&gt;"",V549&lt;&gt;""),U549/V549,"")</f>
        <v/>
      </c>
      <c r="X549" s="18" t="str">
        <f aca="false">IF(U549="","",INDEX('CURVA EDAD'!$E$5:$E$32,MIN(28,MAX(1,N549))))</f>
        <v/>
      </c>
      <c r="Y549" s="16" t="str">
        <f aca="false">IF(V549&lt;&gt;"",V549,IF(U549="","",U549/X549))</f>
        <v/>
      </c>
      <c r="Z549" s="16" t="str">
        <f aca="false">IF(V549&lt;&gt;"",_xlfn.MINIFS(ENSAYOS!$Q$5:$Q$3004,ENSAYOS!$C$5:$C$3004,F549,ENSAYOS!$Q$5:$Q$3004,"&gt;0",ENSAYOS!$G$5:$G$3004,"&gt;="&amp;CONFIG!$B$27),IF(U549="","",_xlfn.MINIFS(ENSAYOS!$Q$5:$Q$3004,ENSAYOS!$C$5:$C$3004,F549,ENSAYOS!$Q$5:$Q$3004,"&gt;0",ENSAYOS!$G$5:$G$3004,N549)/X549))</f>
        <v/>
      </c>
      <c r="AA549" s="16" t="str">
        <f aca="false">IF(D549="","",IFERROR(1/(1/INDEX(CONFIG!$J$5:$J$14,MATCH(D549,CONFIG!$D$5:$D$14,0))),""))</f>
        <v/>
      </c>
      <c r="AB549" s="16" t="str">
        <f aca="false">IF(D549="","",IFERROR(1/(1/INDEX(CONFIG!$K$5:$K$14,MATCH(D549,CONFIG!$D$5:$D$14,0))),""))</f>
        <v/>
      </c>
      <c r="AC549" s="19" t="str">
        <f aca="false">IF(N(M549)=0,"",IF(AA549="","Sin spec",IF(AND(Y549&gt;=AA549,OR(AB549="",Z549&gt;=AB549)),"CUMPLE","NO CUMPLE")&amp;IF(V549=""," (est.)","")))</f>
        <v/>
      </c>
      <c r="AD549" s="20" t="str">
        <f aca="false">IF(F549="","",IF(COUNTIFS(ABSORCION!$C$5:$C$1004,F549,ABSORCION!$I$5:$I$1004,"&gt;0")=0,"",AVERAGEIFS(ABSORCION!$I$5:$I$1004,ABSORCION!$C$5:$C$1004,F549,ABSORCION!$I$5:$I$1004,"&gt;0")))</f>
        <v/>
      </c>
      <c r="AE549" s="20" t="str">
        <f aca="false">IF(F549="","",IF(COUNTIFS(ABSORCION!$C$5:$C$1004,F549,ABSORCION!$I$5:$I$1004,"&gt;0")=0,"",AVERAGEIFS(ABSORCION!$K$5:$K$1004,ABSORCION!$C$5:$C$1004,F549,ABSORCION!$I$5:$I$1004,"&gt;0")))</f>
        <v/>
      </c>
      <c r="AF549" s="20" t="str">
        <f aca="false">IF(AE549="","",IF(AE549&gt;=CONFIG!$E$21,CONFIG!$F$21,IF(AE549&gt;=CONFIG!$E$20,CONFIG!$F$20,CONFIG!$F$19)))</f>
        <v/>
      </c>
      <c r="AG549" s="21" t="str">
        <f aca="false">IF(F549="","",TRIM(IF(N(M549)=0,"Sin ensayos. ","")&amp;IF(AND(N(M549)&gt;0,N(M549)&lt;CONFIG!$B$26),"Menos de "&amp;CONFIG!$B$26&amp;" probetas. ","")&amp;IF(N(T549)&gt;CONFIG!$B$25,"CV alto. ","")&amp;IF(AND(N(AD549)&gt;0,N(AD549)&gt;N(AF549)),"Absorción alta. ","")))</f>
        <v/>
      </c>
      <c r="AH549" s="22" t="str">
        <f aca="false">IF(AND(N(M549)&gt;0,OR(CONTROL!$C$4="TODAS",C549=CONTROL!$C$4),D549=CONTROL!$C$5),MAX($AH$4:AH548)+1,"")</f>
        <v/>
      </c>
      <c r="AI549" s="22" t="str">
        <f aca="false">IF(AH549="","",P549^2)</f>
        <v/>
      </c>
    </row>
    <row r="550" customFormat="false" ht="15" hidden="false" customHeight="false" outlineLevel="0" collapsed="false">
      <c r="A550" s="11" t="str">
        <f aca="false">IF(B550="","",ROW()-4)</f>
        <v/>
      </c>
      <c r="B550" s="12"/>
      <c r="C550" s="13"/>
      <c r="D550" s="13"/>
      <c r="E550" s="13"/>
      <c r="F550" s="14" t="str">
        <f aca="false">IF(OR(B550="",C550="",D550=""),"",IFERROR(INDEX(CONFIG!$E$5:$E$14,MATCH(D550,CONFIG!$D$5:$D$14,0)),"?")&amp;RIGHT("0"&amp;DAY(B550),2)&amp;RIGHT("0"&amp;MONTH(B550),2)&amp;RIGHT(YEAR(B550),2)&amp;C550&amp;IF(E550="","","-"&amp;E550))</f>
        <v/>
      </c>
      <c r="G550" s="13"/>
      <c r="H550" s="13"/>
      <c r="I550" s="13"/>
      <c r="J550" s="13"/>
      <c r="K550" s="13"/>
      <c r="L550" s="13"/>
      <c r="M550" s="11" t="str">
        <f aca="false">IF(F550="","",COUNTIFS(ENSAYOS!$C$5:$C$3004,F550,ENSAYOS!$Q$5:$Q$3004,"&gt;0"))</f>
        <v/>
      </c>
      <c r="N550" s="15" t="str">
        <f aca="false">IF(N(M550)=0,"",_xlfn.MINIFS(ENSAYOS!$G$5:$G$3004,ENSAYOS!$C$5:$C$3004,F550,ENSAYOS!$Q$5:$Q$3004,"&gt;0"))</f>
        <v/>
      </c>
      <c r="O550" s="15" t="str">
        <f aca="false">IF(N(M550)=0,"",_xlfn.MAXIFS(ENSAYOS!$G$5:$G$3004,ENSAYOS!$C$5:$C$3004,F550,ENSAYOS!$Q$5:$Q$3004,"&gt;0"))</f>
        <v/>
      </c>
      <c r="P550" s="16" t="str">
        <f aca="false">IF(N(M550)=0,"",AVERAGEIFS(ENSAYOS!$Q$5:$Q$3004,ENSAYOS!$C$5:$C$3004,F550,ENSAYOS!$Q$5:$Q$3004,"&gt;0"))</f>
        <v/>
      </c>
      <c r="Q550" s="16" t="str">
        <f aca="false">IF(N(M550)=0,"",_xlfn.MINIFS(ENSAYOS!$Q$5:$Q$3004,ENSAYOS!$C$5:$C$3004,F550,ENSAYOS!$Q$5:$Q$3004,"&gt;0"))</f>
        <v/>
      </c>
      <c r="R550" s="16" t="str">
        <f aca="false">IF(N(M550)=0,"",_xlfn.MAXIFS(ENSAYOS!$Q$5:$Q$3004,ENSAYOS!$C$5:$C$3004,F550,ENSAYOS!$Q$5:$Q$3004,"&gt;0"))</f>
        <v/>
      </c>
      <c r="S550" s="16" t="str">
        <f aca="false">IF(N(M550)&lt;2,"",SQRT(MAX(0,(SUMIFS(ENSAYOS!$X$5:$X$3004,ENSAYOS!$C$5:$C$3004,F550,ENSAYOS!$Q$5:$Q$3004,"&gt;0")-M550*P550^2)/(M550-1))))</f>
        <v/>
      </c>
      <c r="T550" s="17" t="str">
        <f aca="false">IF(S550="","",S550/P550)</f>
        <v/>
      </c>
      <c r="U550" s="16" t="str">
        <f aca="false">IF(N(M550)=0,"",IF(N550&gt;=CONFIG!$B$27,"",AVERAGEIFS(ENSAYOS!$Q$5:$Q$3004,ENSAYOS!$C$5:$C$3004,F550,ENSAYOS!$Q$5:$Q$3004,"&gt;0",ENSAYOS!$G$5:$G$3004,N550)))</f>
        <v/>
      </c>
      <c r="V550" s="16" t="str">
        <f aca="false">IF(N(M550)=0,"",IF(COUNTIFS(ENSAYOS!$C$5:$C$3004,F550,ENSAYOS!$Q$5:$Q$3004,"&gt;0",ENSAYOS!$G$5:$G$3004,"&gt;="&amp;CONFIG!$B$27)=0,"",AVERAGEIFS(ENSAYOS!$Q$5:$Q$3004,ENSAYOS!$C$5:$C$3004,F550,ENSAYOS!$Q$5:$Q$3004,"&gt;0",ENSAYOS!$G$5:$G$3004,"&gt;="&amp;CONFIG!$B$27)))</f>
        <v/>
      </c>
      <c r="W550" s="18" t="str">
        <f aca="false">IF(AND(U550&lt;&gt;"",V550&lt;&gt;""),U550/V550,"")</f>
        <v/>
      </c>
      <c r="X550" s="18" t="str">
        <f aca="false">IF(U550="","",INDEX('CURVA EDAD'!$E$5:$E$32,MIN(28,MAX(1,N550))))</f>
        <v/>
      </c>
      <c r="Y550" s="16" t="str">
        <f aca="false">IF(V550&lt;&gt;"",V550,IF(U550="","",U550/X550))</f>
        <v/>
      </c>
      <c r="Z550" s="16" t="str">
        <f aca="false">IF(V550&lt;&gt;"",_xlfn.MINIFS(ENSAYOS!$Q$5:$Q$3004,ENSAYOS!$C$5:$C$3004,F550,ENSAYOS!$Q$5:$Q$3004,"&gt;0",ENSAYOS!$G$5:$G$3004,"&gt;="&amp;CONFIG!$B$27),IF(U550="","",_xlfn.MINIFS(ENSAYOS!$Q$5:$Q$3004,ENSAYOS!$C$5:$C$3004,F550,ENSAYOS!$Q$5:$Q$3004,"&gt;0",ENSAYOS!$G$5:$G$3004,N550)/X550))</f>
        <v/>
      </c>
      <c r="AA550" s="16" t="str">
        <f aca="false">IF(D550="","",IFERROR(1/(1/INDEX(CONFIG!$J$5:$J$14,MATCH(D550,CONFIG!$D$5:$D$14,0))),""))</f>
        <v/>
      </c>
      <c r="AB550" s="16" t="str">
        <f aca="false">IF(D550="","",IFERROR(1/(1/INDEX(CONFIG!$K$5:$K$14,MATCH(D550,CONFIG!$D$5:$D$14,0))),""))</f>
        <v/>
      </c>
      <c r="AC550" s="19" t="str">
        <f aca="false">IF(N(M550)=0,"",IF(AA550="","Sin spec",IF(AND(Y550&gt;=AA550,OR(AB550="",Z550&gt;=AB550)),"CUMPLE","NO CUMPLE")&amp;IF(V550=""," (est.)","")))</f>
        <v/>
      </c>
      <c r="AD550" s="20" t="str">
        <f aca="false">IF(F550="","",IF(COUNTIFS(ABSORCION!$C$5:$C$1004,F550,ABSORCION!$I$5:$I$1004,"&gt;0")=0,"",AVERAGEIFS(ABSORCION!$I$5:$I$1004,ABSORCION!$C$5:$C$1004,F550,ABSORCION!$I$5:$I$1004,"&gt;0")))</f>
        <v/>
      </c>
      <c r="AE550" s="20" t="str">
        <f aca="false">IF(F550="","",IF(COUNTIFS(ABSORCION!$C$5:$C$1004,F550,ABSORCION!$I$5:$I$1004,"&gt;0")=0,"",AVERAGEIFS(ABSORCION!$K$5:$K$1004,ABSORCION!$C$5:$C$1004,F550,ABSORCION!$I$5:$I$1004,"&gt;0")))</f>
        <v/>
      </c>
      <c r="AF550" s="20" t="str">
        <f aca="false">IF(AE550="","",IF(AE550&gt;=CONFIG!$E$21,CONFIG!$F$21,IF(AE550&gt;=CONFIG!$E$20,CONFIG!$F$20,CONFIG!$F$19)))</f>
        <v/>
      </c>
      <c r="AG550" s="21" t="str">
        <f aca="false">IF(F550="","",TRIM(IF(N(M550)=0,"Sin ensayos. ","")&amp;IF(AND(N(M550)&gt;0,N(M550)&lt;CONFIG!$B$26),"Menos de "&amp;CONFIG!$B$26&amp;" probetas. ","")&amp;IF(N(T550)&gt;CONFIG!$B$25,"CV alto. ","")&amp;IF(AND(N(AD550)&gt;0,N(AD550)&gt;N(AF550)),"Absorción alta. ","")))</f>
        <v/>
      </c>
      <c r="AH550" s="22" t="str">
        <f aca="false">IF(AND(N(M550)&gt;0,OR(CONTROL!$C$4="TODAS",C550=CONTROL!$C$4),D550=CONTROL!$C$5),MAX($AH$4:AH549)+1,"")</f>
        <v/>
      </c>
      <c r="AI550" s="22" t="str">
        <f aca="false">IF(AH550="","",P550^2)</f>
        <v/>
      </c>
    </row>
    <row r="551" customFormat="false" ht="15" hidden="false" customHeight="false" outlineLevel="0" collapsed="false">
      <c r="A551" s="11" t="str">
        <f aca="false">IF(B551="","",ROW()-4)</f>
        <v/>
      </c>
      <c r="B551" s="12"/>
      <c r="C551" s="13"/>
      <c r="D551" s="13"/>
      <c r="E551" s="13"/>
      <c r="F551" s="14" t="str">
        <f aca="false">IF(OR(B551="",C551="",D551=""),"",IFERROR(INDEX(CONFIG!$E$5:$E$14,MATCH(D551,CONFIG!$D$5:$D$14,0)),"?")&amp;RIGHT("0"&amp;DAY(B551),2)&amp;RIGHT("0"&amp;MONTH(B551),2)&amp;RIGHT(YEAR(B551),2)&amp;C551&amp;IF(E551="","","-"&amp;E551))</f>
        <v/>
      </c>
      <c r="G551" s="13"/>
      <c r="H551" s="13"/>
      <c r="I551" s="13"/>
      <c r="J551" s="13"/>
      <c r="K551" s="13"/>
      <c r="L551" s="13"/>
      <c r="M551" s="11" t="str">
        <f aca="false">IF(F551="","",COUNTIFS(ENSAYOS!$C$5:$C$3004,F551,ENSAYOS!$Q$5:$Q$3004,"&gt;0"))</f>
        <v/>
      </c>
      <c r="N551" s="15" t="str">
        <f aca="false">IF(N(M551)=0,"",_xlfn.MINIFS(ENSAYOS!$G$5:$G$3004,ENSAYOS!$C$5:$C$3004,F551,ENSAYOS!$Q$5:$Q$3004,"&gt;0"))</f>
        <v/>
      </c>
      <c r="O551" s="15" t="str">
        <f aca="false">IF(N(M551)=0,"",_xlfn.MAXIFS(ENSAYOS!$G$5:$G$3004,ENSAYOS!$C$5:$C$3004,F551,ENSAYOS!$Q$5:$Q$3004,"&gt;0"))</f>
        <v/>
      </c>
      <c r="P551" s="16" t="str">
        <f aca="false">IF(N(M551)=0,"",AVERAGEIFS(ENSAYOS!$Q$5:$Q$3004,ENSAYOS!$C$5:$C$3004,F551,ENSAYOS!$Q$5:$Q$3004,"&gt;0"))</f>
        <v/>
      </c>
      <c r="Q551" s="16" t="str">
        <f aca="false">IF(N(M551)=0,"",_xlfn.MINIFS(ENSAYOS!$Q$5:$Q$3004,ENSAYOS!$C$5:$C$3004,F551,ENSAYOS!$Q$5:$Q$3004,"&gt;0"))</f>
        <v/>
      </c>
      <c r="R551" s="16" t="str">
        <f aca="false">IF(N(M551)=0,"",_xlfn.MAXIFS(ENSAYOS!$Q$5:$Q$3004,ENSAYOS!$C$5:$C$3004,F551,ENSAYOS!$Q$5:$Q$3004,"&gt;0"))</f>
        <v/>
      </c>
      <c r="S551" s="16" t="str">
        <f aca="false">IF(N(M551)&lt;2,"",SQRT(MAX(0,(SUMIFS(ENSAYOS!$X$5:$X$3004,ENSAYOS!$C$5:$C$3004,F551,ENSAYOS!$Q$5:$Q$3004,"&gt;0")-M551*P551^2)/(M551-1))))</f>
        <v/>
      </c>
      <c r="T551" s="17" t="str">
        <f aca="false">IF(S551="","",S551/P551)</f>
        <v/>
      </c>
      <c r="U551" s="16" t="str">
        <f aca="false">IF(N(M551)=0,"",IF(N551&gt;=CONFIG!$B$27,"",AVERAGEIFS(ENSAYOS!$Q$5:$Q$3004,ENSAYOS!$C$5:$C$3004,F551,ENSAYOS!$Q$5:$Q$3004,"&gt;0",ENSAYOS!$G$5:$G$3004,N551)))</f>
        <v/>
      </c>
      <c r="V551" s="16" t="str">
        <f aca="false">IF(N(M551)=0,"",IF(COUNTIFS(ENSAYOS!$C$5:$C$3004,F551,ENSAYOS!$Q$5:$Q$3004,"&gt;0",ENSAYOS!$G$5:$G$3004,"&gt;="&amp;CONFIG!$B$27)=0,"",AVERAGEIFS(ENSAYOS!$Q$5:$Q$3004,ENSAYOS!$C$5:$C$3004,F551,ENSAYOS!$Q$5:$Q$3004,"&gt;0",ENSAYOS!$G$5:$G$3004,"&gt;="&amp;CONFIG!$B$27)))</f>
        <v/>
      </c>
      <c r="W551" s="18" t="str">
        <f aca="false">IF(AND(U551&lt;&gt;"",V551&lt;&gt;""),U551/V551,"")</f>
        <v/>
      </c>
      <c r="X551" s="18" t="str">
        <f aca="false">IF(U551="","",INDEX('CURVA EDAD'!$E$5:$E$32,MIN(28,MAX(1,N551))))</f>
        <v/>
      </c>
      <c r="Y551" s="16" t="str">
        <f aca="false">IF(V551&lt;&gt;"",V551,IF(U551="","",U551/X551))</f>
        <v/>
      </c>
      <c r="Z551" s="16" t="str">
        <f aca="false">IF(V551&lt;&gt;"",_xlfn.MINIFS(ENSAYOS!$Q$5:$Q$3004,ENSAYOS!$C$5:$C$3004,F551,ENSAYOS!$Q$5:$Q$3004,"&gt;0",ENSAYOS!$G$5:$G$3004,"&gt;="&amp;CONFIG!$B$27),IF(U551="","",_xlfn.MINIFS(ENSAYOS!$Q$5:$Q$3004,ENSAYOS!$C$5:$C$3004,F551,ENSAYOS!$Q$5:$Q$3004,"&gt;0",ENSAYOS!$G$5:$G$3004,N551)/X551))</f>
        <v/>
      </c>
      <c r="AA551" s="16" t="str">
        <f aca="false">IF(D551="","",IFERROR(1/(1/INDEX(CONFIG!$J$5:$J$14,MATCH(D551,CONFIG!$D$5:$D$14,0))),""))</f>
        <v/>
      </c>
      <c r="AB551" s="16" t="str">
        <f aca="false">IF(D551="","",IFERROR(1/(1/INDEX(CONFIG!$K$5:$K$14,MATCH(D551,CONFIG!$D$5:$D$14,0))),""))</f>
        <v/>
      </c>
      <c r="AC551" s="19" t="str">
        <f aca="false">IF(N(M551)=0,"",IF(AA551="","Sin spec",IF(AND(Y551&gt;=AA551,OR(AB551="",Z551&gt;=AB551)),"CUMPLE","NO CUMPLE")&amp;IF(V551=""," (est.)","")))</f>
        <v/>
      </c>
      <c r="AD551" s="20" t="str">
        <f aca="false">IF(F551="","",IF(COUNTIFS(ABSORCION!$C$5:$C$1004,F551,ABSORCION!$I$5:$I$1004,"&gt;0")=0,"",AVERAGEIFS(ABSORCION!$I$5:$I$1004,ABSORCION!$C$5:$C$1004,F551,ABSORCION!$I$5:$I$1004,"&gt;0")))</f>
        <v/>
      </c>
      <c r="AE551" s="20" t="str">
        <f aca="false">IF(F551="","",IF(COUNTIFS(ABSORCION!$C$5:$C$1004,F551,ABSORCION!$I$5:$I$1004,"&gt;0")=0,"",AVERAGEIFS(ABSORCION!$K$5:$K$1004,ABSORCION!$C$5:$C$1004,F551,ABSORCION!$I$5:$I$1004,"&gt;0")))</f>
        <v/>
      </c>
      <c r="AF551" s="20" t="str">
        <f aca="false">IF(AE551="","",IF(AE551&gt;=CONFIG!$E$21,CONFIG!$F$21,IF(AE551&gt;=CONFIG!$E$20,CONFIG!$F$20,CONFIG!$F$19)))</f>
        <v/>
      </c>
      <c r="AG551" s="21" t="str">
        <f aca="false">IF(F551="","",TRIM(IF(N(M551)=0,"Sin ensayos. ","")&amp;IF(AND(N(M551)&gt;0,N(M551)&lt;CONFIG!$B$26),"Menos de "&amp;CONFIG!$B$26&amp;" probetas. ","")&amp;IF(N(T551)&gt;CONFIG!$B$25,"CV alto. ","")&amp;IF(AND(N(AD551)&gt;0,N(AD551)&gt;N(AF551)),"Absorción alta. ","")))</f>
        <v/>
      </c>
      <c r="AH551" s="22" t="str">
        <f aca="false">IF(AND(N(M551)&gt;0,OR(CONTROL!$C$4="TODAS",C551=CONTROL!$C$4),D551=CONTROL!$C$5),MAX($AH$4:AH550)+1,"")</f>
        <v/>
      </c>
      <c r="AI551" s="22" t="str">
        <f aca="false">IF(AH551="","",P551^2)</f>
        <v/>
      </c>
    </row>
    <row r="552" customFormat="false" ht="15" hidden="false" customHeight="false" outlineLevel="0" collapsed="false">
      <c r="A552" s="11" t="str">
        <f aca="false">IF(B552="","",ROW()-4)</f>
        <v/>
      </c>
      <c r="B552" s="12"/>
      <c r="C552" s="13"/>
      <c r="D552" s="13"/>
      <c r="E552" s="13"/>
      <c r="F552" s="14" t="str">
        <f aca="false">IF(OR(B552="",C552="",D552=""),"",IFERROR(INDEX(CONFIG!$E$5:$E$14,MATCH(D552,CONFIG!$D$5:$D$14,0)),"?")&amp;RIGHT("0"&amp;DAY(B552),2)&amp;RIGHT("0"&amp;MONTH(B552),2)&amp;RIGHT(YEAR(B552),2)&amp;C552&amp;IF(E552="","","-"&amp;E552))</f>
        <v/>
      </c>
      <c r="G552" s="13"/>
      <c r="H552" s="13"/>
      <c r="I552" s="13"/>
      <c r="J552" s="13"/>
      <c r="K552" s="13"/>
      <c r="L552" s="13"/>
      <c r="M552" s="11" t="str">
        <f aca="false">IF(F552="","",COUNTIFS(ENSAYOS!$C$5:$C$3004,F552,ENSAYOS!$Q$5:$Q$3004,"&gt;0"))</f>
        <v/>
      </c>
      <c r="N552" s="15" t="str">
        <f aca="false">IF(N(M552)=0,"",_xlfn.MINIFS(ENSAYOS!$G$5:$G$3004,ENSAYOS!$C$5:$C$3004,F552,ENSAYOS!$Q$5:$Q$3004,"&gt;0"))</f>
        <v/>
      </c>
      <c r="O552" s="15" t="str">
        <f aca="false">IF(N(M552)=0,"",_xlfn.MAXIFS(ENSAYOS!$G$5:$G$3004,ENSAYOS!$C$5:$C$3004,F552,ENSAYOS!$Q$5:$Q$3004,"&gt;0"))</f>
        <v/>
      </c>
      <c r="P552" s="16" t="str">
        <f aca="false">IF(N(M552)=0,"",AVERAGEIFS(ENSAYOS!$Q$5:$Q$3004,ENSAYOS!$C$5:$C$3004,F552,ENSAYOS!$Q$5:$Q$3004,"&gt;0"))</f>
        <v/>
      </c>
      <c r="Q552" s="16" t="str">
        <f aca="false">IF(N(M552)=0,"",_xlfn.MINIFS(ENSAYOS!$Q$5:$Q$3004,ENSAYOS!$C$5:$C$3004,F552,ENSAYOS!$Q$5:$Q$3004,"&gt;0"))</f>
        <v/>
      </c>
      <c r="R552" s="16" t="str">
        <f aca="false">IF(N(M552)=0,"",_xlfn.MAXIFS(ENSAYOS!$Q$5:$Q$3004,ENSAYOS!$C$5:$C$3004,F552,ENSAYOS!$Q$5:$Q$3004,"&gt;0"))</f>
        <v/>
      </c>
      <c r="S552" s="16" t="str">
        <f aca="false">IF(N(M552)&lt;2,"",SQRT(MAX(0,(SUMIFS(ENSAYOS!$X$5:$X$3004,ENSAYOS!$C$5:$C$3004,F552,ENSAYOS!$Q$5:$Q$3004,"&gt;0")-M552*P552^2)/(M552-1))))</f>
        <v/>
      </c>
      <c r="T552" s="17" t="str">
        <f aca="false">IF(S552="","",S552/P552)</f>
        <v/>
      </c>
      <c r="U552" s="16" t="str">
        <f aca="false">IF(N(M552)=0,"",IF(N552&gt;=CONFIG!$B$27,"",AVERAGEIFS(ENSAYOS!$Q$5:$Q$3004,ENSAYOS!$C$5:$C$3004,F552,ENSAYOS!$Q$5:$Q$3004,"&gt;0",ENSAYOS!$G$5:$G$3004,N552)))</f>
        <v/>
      </c>
      <c r="V552" s="16" t="str">
        <f aca="false">IF(N(M552)=0,"",IF(COUNTIFS(ENSAYOS!$C$5:$C$3004,F552,ENSAYOS!$Q$5:$Q$3004,"&gt;0",ENSAYOS!$G$5:$G$3004,"&gt;="&amp;CONFIG!$B$27)=0,"",AVERAGEIFS(ENSAYOS!$Q$5:$Q$3004,ENSAYOS!$C$5:$C$3004,F552,ENSAYOS!$Q$5:$Q$3004,"&gt;0",ENSAYOS!$G$5:$G$3004,"&gt;="&amp;CONFIG!$B$27)))</f>
        <v/>
      </c>
      <c r="W552" s="18" t="str">
        <f aca="false">IF(AND(U552&lt;&gt;"",V552&lt;&gt;""),U552/V552,"")</f>
        <v/>
      </c>
      <c r="X552" s="18" t="str">
        <f aca="false">IF(U552="","",INDEX('CURVA EDAD'!$E$5:$E$32,MIN(28,MAX(1,N552))))</f>
        <v/>
      </c>
      <c r="Y552" s="16" t="str">
        <f aca="false">IF(V552&lt;&gt;"",V552,IF(U552="","",U552/X552))</f>
        <v/>
      </c>
      <c r="Z552" s="16" t="str">
        <f aca="false">IF(V552&lt;&gt;"",_xlfn.MINIFS(ENSAYOS!$Q$5:$Q$3004,ENSAYOS!$C$5:$C$3004,F552,ENSAYOS!$Q$5:$Q$3004,"&gt;0",ENSAYOS!$G$5:$G$3004,"&gt;="&amp;CONFIG!$B$27),IF(U552="","",_xlfn.MINIFS(ENSAYOS!$Q$5:$Q$3004,ENSAYOS!$C$5:$C$3004,F552,ENSAYOS!$Q$5:$Q$3004,"&gt;0",ENSAYOS!$G$5:$G$3004,N552)/X552))</f>
        <v/>
      </c>
      <c r="AA552" s="16" t="str">
        <f aca="false">IF(D552="","",IFERROR(1/(1/INDEX(CONFIG!$J$5:$J$14,MATCH(D552,CONFIG!$D$5:$D$14,0))),""))</f>
        <v/>
      </c>
      <c r="AB552" s="16" t="str">
        <f aca="false">IF(D552="","",IFERROR(1/(1/INDEX(CONFIG!$K$5:$K$14,MATCH(D552,CONFIG!$D$5:$D$14,0))),""))</f>
        <v/>
      </c>
      <c r="AC552" s="19" t="str">
        <f aca="false">IF(N(M552)=0,"",IF(AA552="","Sin spec",IF(AND(Y552&gt;=AA552,OR(AB552="",Z552&gt;=AB552)),"CUMPLE","NO CUMPLE")&amp;IF(V552=""," (est.)","")))</f>
        <v/>
      </c>
      <c r="AD552" s="20" t="str">
        <f aca="false">IF(F552="","",IF(COUNTIFS(ABSORCION!$C$5:$C$1004,F552,ABSORCION!$I$5:$I$1004,"&gt;0")=0,"",AVERAGEIFS(ABSORCION!$I$5:$I$1004,ABSORCION!$C$5:$C$1004,F552,ABSORCION!$I$5:$I$1004,"&gt;0")))</f>
        <v/>
      </c>
      <c r="AE552" s="20" t="str">
        <f aca="false">IF(F552="","",IF(COUNTIFS(ABSORCION!$C$5:$C$1004,F552,ABSORCION!$I$5:$I$1004,"&gt;0")=0,"",AVERAGEIFS(ABSORCION!$K$5:$K$1004,ABSORCION!$C$5:$C$1004,F552,ABSORCION!$I$5:$I$1004,"&gt;0")))</f>
        <v/>
      </c>
      <c r="AF552" s="20" t="str">
        <f aca="false">IF(AE552="","",IF(AE552&gt;=CONFIG!$E$21,CONFIG!$F$21,IF(AE552&gt;=CONFIG!$E$20,CONFIG!$F$20,CONFIG!$F$19)))</f>
        <v/>
      </c>
      <c r="AG552" s="21" t="str">
        <f aca="false">IF(F552="","",TRIM(IF(N(M552)=0,"Sin ensayos. ","")&amp;IF(AND(N(M552)&gt;0,N(M552)&lt;CONFIG!$B$26),"Menos de "&amp;CONFIG!$B$26&amp;" probetas. ","")&amp;IF(N(T552)&gt;CONFIG!$B$25,"CV alto. ","")&amp;IF(AND(N(AD552)&gt;0,N(AD552)&gt;N(AF552)),"Absorción alta. ","")))</f>
        <v/>
      </c>
      <c r="AH552" s="22" t="str">
        <f aca="false">IF(AND(N(M552)&gt;0,OR(CONTROL!$C$4="TODAS",C552=CONTROL!$C$4),D552=CONTROL!$C$5),MAX($AH$4:AH551)+1,"")</f>
        <v/>
      </c>
      <c r="AI552" s="22" t="str">
        <f aca="false">IF(AH552="","",P552^2)</f>
        <v/>
      </c>
    </row>
    <row r="553" customFormat="false" ht="15" hidden="false" customHeight="false" outlineLevel="0" collapsed="false">
      <c r="A553" s="11" t="str">
        <f aca="false">IF(B553="","",ROW()-4)</f>
        <v/>
      </c>
      <c r="B553" s="12"/>
      <c r="C553" s="13"/>
      <c r="D553" s="13"/>
      <c r="E553" s="13"/>
      <c r="F553" s="14" t="str">
        <f aca="false">IF(OR(B553="",C553="",D553=""),"",IFERROR(INDEX(CONFIG!$E$5:$E$14,MATCH(D553,CONFIG!$D$5:$D$14,0)),"?")&amp;RIGHT("0"&amp;DAY(B553),2)&amp;RIGHT("0"&amp;MONTH(B553),2)&amp;RIGHT(YEAR(B553),2)&amp;C553&amp;IF(E553="","","-"&amp;E553))</f>
        <v/>
      </c>
      <c r="G553" s="13"/>
      <c r="H553" s="13"/>
      <c r="I553" s="13"/>
      <c r="J553" s="13"/>
      <c r="K553" s="13"/>
      <c r="L553" s="13"/>
      <c r="M553" s="11" t="str">
        <f aca="false">IF(F553="","",COUNTIFS(ENSAYOS!$C$5:$C$3004,F553,ENSAYOS!$Q$5:$Q$3004,"&gt;0"))</f>
        <v/>
      </c>
      <c r="N553" s="15" t="str">
        <f aca="false">IF(N(M553)=0,"",_xlfn.MINIFS(ENSAYOS!$G$5:$G$3004,ENSAYOS!$C$5:$C$3004,F553,ENSAYOS!$Q$5:$Q$3004,"&gt;0"))</f>
        <v/>
      </c>
      <c r="O553" s="15" t="str">
        <f aca="false">IF(N(M553)=0,"",_xlfn.MAXIFS(ENSAYOS!$G$5:$G$3004,ENSAYOS!$C$5:$C$3004,F553,ENSAYOS!$Q$5:$Q$3004,"&gt;0"))</f>
        <v/>
      </c>
      <c r="P553" s="16" t="str">
        <f aca="false">IF(N(M553)=0,"",AVERAGEIFS(ENSAYOS!$Q$5:$Q$3004,ENSAYOS!$C$5:$C$3004,F553,ENSAYOS!$Q$5:$Q$3004,"&gt;0"))</f>
        <v/>
      </c>
      <c r="Q553" s="16" t="str">
        <f aca="false">IF(N(M553)=0,"",_xlfn.MINIFS(ENSAYOS!$Q$5:$Q$3004,ENSAYOS!$C$5:$C$3004,F553,ENSAYOS!$Q$5:$Q$3004,"&gt;0"))</f>
        <v/>
      </c>
      <c r="R553" s="16" t="str">
        <f aca="false">IF(N(M553)=0,"",_xlfn.MAXIFS(ENSAYOS!$Q$5:$Q$3004,ENSAYOS!$C$5:$C$3004,F553,ENSAYOS!$Q$5:$Q$3004,"&gt;0"))</f>
        <v/>
      </c>
      <c r="S553" s="16" t="str">
        <f aca="false">IF(N(M553)&lt;2,"",SQRT(MAX(0,(SUMIFS(ENSAYOS!$X$5:$X$3004,ENSAYOS!$C$5:$C$3004,F553,ENSAYOS!$Q$5:$Q$3004,"&gt;0")-M553*P553^2)/(M553-1))))</f>
        <v/>
      </c>
      <c r="T553" s="17" t="str">
        <f aca="false">IF(S553="","",S553/P553)</f>
        <v/>
      </c>
      <c r="U553" s="16" t="str">
        <f aca="false">IF(N(M553)=0,"",IF(N553&gt;=CONFIG!$B$27,"",AVERAGEIFS(ENSAYOS!$Q$5:$Q$3004,ENSAYOS!$C$5:$C$3004,F553,ENSAYOS!$Q$5:$Q$3004,"&gt;0",ENSAYOS!$G$5:$G$3004,N553)))</f>
        <v/>
      </c>
      <c r="V553" s="16" t="str">
        <f aca="false">IF(N(M553)=0,"",IF(COUNTIFS(ENSAYOS!$C$5:$C$3004,F553,ENSAYOS!$Q$5:$Q$3004,"&gt;0",ENSAYOS!$G$5:$G$3004,"&gt;="&amp;CONFIG!$B$27)=0,"",AVERAGEIFS(ENSAYOS!$Q$5:$Q$3004,ENSAYOS!$C$5:$C$3004,F553,ENSAYOS!$Q$5:$Q$3004,"&gt;0",ENSAYOS!$G$5:$G$3004,"&gt;="&amp;CONFIG!$B$27)))</f>
        <v/>
      </c>
      <c r="W553" s="18" t="str">
        <f aca="false">IF(AND(U553&lt;&gt;"",V553&lt;&gt;""),U553/V553,"")</f>
        <v/>
      </c>
      <c r="X553" s="18" t="str">
        <f aca="false">IF(U553="","",INDEX('CURVA EDAD'!$E$5:$E$32,MIN(28,MAX(1,N553))))</f>
        <v/>
      </c>
      <c r="Y553" s="16" t="str">
        <f aca="false">IF(V553&lt;&gt;"",V553,IF(U553="","",U553/X553))</f>
        <v/>
      </c>
      <c r="Z553" s="16" t="str">
        <f aca="false">IF(V553&lt;&gt;"",_xlfn.MINIFS(ENSAYOS!$Q$5:$Q$3004,ENSAYOS!$C$5:$C$3004,F553,ENSAYOS!$Q$5:$Q$3004,"&gt;0",ENSAYOS!$G$5:$G$3004,"&gt;="&amp;CONFIG!$B$27),IF(U553="","",_xlfn.MINIFS(ENSAYOS!$Q$5:$Q$3004,ENSAYOS!$C$5:$C$3004,F553,ENSAYOS!$Q$5:$Q$3004,"&gt;0",ENSAYOS!$G$5:$G$3004,N553)/X553))</f>
        <v/>
      </c>
      <c r="AA553" s="16" t="str">
        <f aca="false">IF(D553="","",IFERROR(1/(1/INDEX(CONFIG!$J$5:$J$14,MATCH(D553,CONFIG!$D$5:$D$14,0))),""))</f>
        <v/>
      </c>
      <c r="AB553" s="16" t="str">
        <f aca="false">IF(D553="","",IFERROR(1/(1/INDEX(CONFIG!$K$5:$K$14,MATCH(D553,CONFIG!$D$5:$D$14,0))),""))</f>
        <v/>
      </c>
      <c r="AC553" s="19" t="str">
        <f aca="false">IF(N(M553)=0,"",IF(AA553="","Sin spec",IF(AND(Y553&gt;=AA553,OR(AB553="",Z553&gt;=AB553)),"CUMPLE","NO CUMPLE")&amp;IF(V553=""," (est.)","")))</f>
        <v/>
      </c>
      <c r="AD553" s="20" t="str">
        <f aca="false">IF(F553="","",IF(COUNTIFS(ABSORCION!$C$5:$C$1004,F553,ABSORCION!$I$5:$I$1004,"&gt;0")=0,"",AVERAGEIFS(ABSORCION!$I$5:$I$1004,ABSORCION!$C$5:$C$1004,F553,ABSORCION!$I$5:$I$1004,"&gt;0")))</f>
        <v/>
      </c>
      <c r="AE553" s="20" t="str">
        <f aca="false">IF(F553="","",IF(COUNTIFS(ABSORCION!$C$5:$C$1004,F553,ABSORCION!$I$5:$I$1004,"&gt;0")=0,"",AVERAGEIFS(ABSORCION!$K$5:$K$1004,ABSORCION!$C$5:$C$1004,F553,ABSORCION!$I$5:$I$1004,"&gt;0")))</f>
        <v/>
      </c>
      <c r="AF553" s="20" t="str">
        <f aca="false">IF(AE553="","",IF(AE553&gt;=CONFIG!$E$21,CONFIG!$F$21,IF(AE553&gt;=CONFIG!$E$20,CONFIG!$F$20,CONFIG!$F$19)))</f>
        <v/>
      </c>
      <c r="AG553" s="21" t="str">
        <f aca="false">IF(F553="","",TRIM(IF(N(M553)=0,"Sin ensayos. ","")&amp;IF(AND(N(M553)&gt;0,N(M553)&lt;CONFIG!$B$26),"Menos de "&amp;CONFIG!$B$26&amp;" probetas. ","")&amp;IF(N(T553)&gt;CONFIG!$B$25,"CV alto. ","")&amp;IF(AND(N(AD553)&gt;0,N(AD553)&gt;N(AF553)),"Absorción alta. ","")))</f>
        <v/>
      </c>
      <c r="AH553" s="22" t="str">
        <f aca="false">IF(AND(N(M553)&gt;0,OR(CONTROL!$C$4="TODAS",C553=CONTROL!$C$4),D553=CONTROL!$C$5),MAX($AH$4:AH552)+1,"")</f>
        <v/>
      </c>
      <c r="AI553" s="22" t="str">
        <f aca="false">IF(AH553="","",P553^2)</f>
        <v/>
      </c>
    </row>
    <row r="554" customFormat="false" ht="15" hidden="false" customHeight="false" outlineLevel="0" collapsed="false">
      <c r="A554" s="11" t="str">
        <f aca="false">IF(B554="","",ROW()-4)</f>
        <v/>
      </c>
      <c r="B554" s="12"/>
      <c r="C554" s="13"/>
      <c r="D554" s="13"/>
      <c r="E554" s="13"/>
      <c r="F554" s="14" t="str">
        <f aca="false">IF(OR(B554="",C554="",D554=""),"",IFERROR(INDEX(CONFIG!$E$5:$E$14,MATCH(D554,CONFIG!$D$5:$D$14,0)),"?")&amp;RIGHT("0"&amp;DAY(B554),2)&amp;RIGHT("0"&amp;MONTH(B554),2)&amp;RIGHT(YEAR(B554),2)&amp;C554&amp;IF(E554="","","-"&amp;E554))</f>
        <v/>
      </c>
      <c r="G554" s="13"/>
      <c r="H554" s="13"/>
      <c r="I554" s="13"/>
      <c r="J554" s="13"/>
      <c r="K554" s="13"/>
      <c r="L554" s="13"/>
      <c r="M554" s="11" t="str">
        <f aca="false">IF(F554="","",COUNTIFS(ENSAYOS!$C$5:$C$3004,F554,ENSAYOS!$Q$5:$Q$3004,"&gt;0"))</f>
        <v/>
      </c>
      <c r="N554" s="15" t="str">
        <f aca="false">IF(N(M554)=0,"",_xlfn.MINIFS(ENSAYOS!$G$5:$G$3004,ENSAYOS!$C$5:$C$3004,F554,ENSAYOS!$Q$5:$Q$3004,"&gt;0"))</f>
        <v/>
      </c>
      <c r="O554" s="15" t="str">
        <f aca="false">IF(N(M554)=0,"",_xlfn.MAXIFS(ENSAYOS!$G$5:$G$3004,ENSAYOS!$C$5:$C$3004,F554,ENSAYOS!$Q$5:$Q$3004,"&gt;0"))</f>
        <v/>
      </c>
      <c r="P554" s="16" t="str">
        <f aca="false">IF(N(M554)=0,"",AVERAGEIFS(ENSAYOS!$Q$5:$Q$3004,ENSAYOS!$C$5:$C$3004,F554,ENSAYOS!$Q$5:$Q$3004,"&gt;0"))</f>
        <v/>
      </c>
      <c r="Q554" s="16" t="str">
        <f aca="false">IF(N(M554)=0,"",_xlfn.MINIFS(ENSAYOS!$Q$5:$Q$3004,ENSAYOS!$C$5:$C$3004,F554,ENSAYOS!$Q$5:$Q$3004,"&gt;0"))</f>
        <v/>
      </c>
      <c r="R554" s="16" t="str">
        <f aca="false">IF(N(M554)=0,"",_xlfn.MAXIFS(ENSAYOS!$Q$5:$Q$3004,ENSAYOS!$C$5:$C$3004,F554,ENSAYOS!$Q$5:$Q$3004,"&gt;0"))</f>
        <v/>
      </c>
      <c r="S554" s="16" t="str">
        <f aca="false">IF(N(M554)&lt;2,"",SQRT(MAX(0,(SUMIFS(ENSAYOS!$X$5:$X$3004,ENSAYOS!$C$5:$C$3004,F554,ENSAYOS!$Q$5:$Q$3004,"&gt;0")-M554*P554^2)/(M554-1))))</f>
        <v/>
      </c>
      <c r="T554" s="17" t="str">
        <f aca="false">IF(S554="","",S554/P554)</f>
        <v/>
      </c>
      <c r="U554" s="16" t="str">
        <f aca="false">IF(N(M554)=0,"",IF(N554&gt;=CONFIG!$B$27,"",AVERAGEIFS(ENSAYOS!$Q$5:$Q$3004,ENSAYOS!$C$5:$C$3004,F554,ENSAYOS!$Q$5:$Q$3004,"&gt;0",ENSAYOS!$G$5:$G$3004,N554)))</f>
        <v/>
      </c>
      <c r="V554" s="16" t="str">
        <f aca="false">IF(N(M554)=0,"",IF(COUNTIFS(ENSAYOS!$C$5:$C$3004,F554,ENSAYOS!$Q$5:$Q$3004,"&gt;0",ENSAYOS!$G$5:$G$3004,"&gt;="&amp;CONFIG!$B$27)=0,"",AVERAGEIFS(ENSAYOS!$Q$5:$Q$3004,ENSAYOS!$C$5:$C$3004,F554,ENSAYOS!$Q$5:$Q$3004,"&gt;0",ENSAYOS!$G$5:$G$3004,"&gt;="&amp;CONFIG!$B$27)))</f>
        <v/>
      </c>
      <c r="W554" s="18" t="str">
        <f aca="false">IF(AND(U554&lt;&gt;"",V554&lt;&gt;""),U554/V554,"")</f>
        <v/>
      </c>
      <c r="X554" s="18" t="str">
        <f aca="false">IF(U554="","",INDEX('CURVA EDAD'!$E$5:$E$32,MIN(28,MAX(1,N554))))</f>
        <v/>
      </c>
      <c r="Y554" s="16" t="str">
        <f aca="false">IF(V554&lt;&gt;"",V554,IF(U554="","",U554/X554))</f>
        <v/>
      </c>
      <c r="Z554" s="16" t="str">
        <f aca="false">IF(V554&lt;&gt;"",_xlfn.MINIFS(ENSAYOS!$Q$5:$Q$3004,ENSAYOS!$C$5:$C$3004,F554,ENSAYOS!$Q$5:$Q$3004,"&gt;0",ENSAYOS!$G$5:$G$3004,"&gt;="&amp;CONFIG!$B$27),IF(U554="","",_xlfn.MINIFS(ENSAYOS!$Q$5:$Q$3004,ENSAYOS!$C$5:$C$3004,F554,ENSAYOS!$Q$5:$Q$3004,"&gt;0",ENSAYOS!$G$5:$G$3004,N554)/X554))</f>
        <v/>
      </c>
      <c r="AA554" s="16" t="str">
        <f aca="false">IF(D554="","",IFERROR(1/(1/INDEX(CONFIG!$J$5:$J$14,MATCH(D554,CONFIG!$D$5:$D$14,0))),""))</f>
        <v/>
      </c>
      <c r="AB554" s="16" t="str">
        <f aca="false">IF(D554="","",IFERROR(1/(1/INDEX(CONFIG!$K$5:$K$14,MATCH(D554,CONFIG!$D$5:$D$14,0))),""))</f>
        <v/>
      </c>
      <c r="AC554" s="19" t="str">
        <f aca="false">IF(N(M554)=0,"",IF(AA554="","Sin spec",IF(AND(Y554&gt;=AA554,OR(AB554="",Z554&gt;=AB554)),"CUMPLE","NO CUMPLE")&amp;IF(V554=""," (est.)","")))</f>
        <v/>
      </c>
      <c r="AD554" s="20" t="str">
        <f aca="false">IF(F554="","",IF(COUNTIFS(ABSORCION!$C$5:$C$1004,F554,ABSORCION!$I$5:$I$1004,"&gt;0")=0,"",AVERAGEIFS(ABSORCION!$I$5:$I$1004,ABSORCION!$C$5:$C$1004,F554,ABSORCION!$I$5:$I$1004,"&gt;0")))</f>
        <v/>
      </c>
      <c r="AE554" s="20" t="str">
        <f aca="false">IF(F554="","",IF(COUNTIFS(ABSORCION!$C$5:$C$1004,F554,ABSORCION!$I$5:$I$1004,"&gt;0")=0,"",AVERAGEIFS(ABSORCION!$K$5:$K$1004,ABSORCION!$C$5:$C$1004,F554,ABSORCION!$I$5:$I$1004,"&gt;0")))</f>
        <v/>
      </c>
      <c r="AF554" s="20" t="str">
        <f aca="false">IF(AE554="","",IF(AE554&gt;=CONFIG!$E$21,CONFIG!$F$21,IF(AE554&gt;=CONFIG!$E$20,CONFIG!$F$20,CONFIG!$F$19)))</f>
        <v/>
      </c>
      <c r="AG554" s="21" t="str">
        <f aca="false">IF(F554="","",TRIM(IF(N(M554)=0,"Sin ensayos. ","")&amp;IF(AND(N(M554)&gt;0,N(M554)&lt;CONFIG!$B$26),"Menos de "&amp;CONFIG!$B$26&amp;" probetas. ","")&amp;IF(N(T554)&gt;CONFIG!$B$25,"CV alto. ","")&amp;IF(AND(N(AD554)&gt;0,N(AD554)&gt;N(AF554)),"Absorción alta. ","")))</f>
        <v/>
      </c>
      <c r="AH554" s="22" t="str">
        <f aca="false">IF(AND(N(M554)&gt;0,OR(CONTROL!$C$4="TODAS",C554=CONTROL!$C$4),D554=CONTROL!$C$5),MAX($AH$4:AH553)+1,"")</f>
        <v/>
      </c>
      <c r="AI554" s="22" t="str">
        <f aca="false">IF(AH554="","",P554^2)</f>
        <v/>
      </c>
    </row>
    <row r="555" customFormat="false" ht="15" hidden="false" customHeight="false" outlineLevel="0" collapsed="false">
      <c r="A555" s="11" t="str">
        <f aca="false">IF(B555="","",ROW()-4)</f>
        <v/>
      </c>
      <c r="B555" s="12"/>
      <c r="C555" s="13"/>
      <c r="D555" s="13"/>
      <c r="E555" s="13"/>
      <c r="F555" s="14" t="str">
        <f aca="false">IF(OR(B555="",C555="",D555=""),"",IFERROR(INDEX(CONFIG!$E$5:$E$14,MATCH(D555,CONFIG!$D$5:$D$14,0)),"?")&amp;RIGHT("0"&amp;DAY(B555),2)&amp;RIGHT("0"&amp;MONTH(B555),2)&amp;RIGHT(YEAR(B555),2)&amp;C555&amp;IF(E555="","","-"&amp;E555))</f>
        <v/>
      </c>
      <c r="G555" s="13"/>
      <c r="H555" s="13"/>
      <c r="I555" s="13"/>
      <c r="J555" s="13"/>
      <c r="K555" s="13"/>
      <c r="L555" s="13"/>
      <c r="M555" s="11" t="str">
        <f aca="false">IF(F555="","",COUNTIFS(ENSAYOS!$C$5:$C$3004,F555,ENSAYOS!$Q$5:$Q$3004,"&gt;0"))</f>
        <v/>
      </c>
      <c r="N555" s="15" t="str">
        <f aca="false">IF(N(M555)=0,"",_xlfn.MINIFS(ENSAYOS!$G$5:$G$3004,ENSAYOS!$C$5:$C$3004,F555,ENSAYOS!$Q$5:$Q$3004,"&gt;0"))</f>
        <v/>
      </c>
      <c r="O555" s="15" t="str">
        <f aca="false">IF(N(M555)=0,"",_xlfn.MAXIFS(ENSAYOS!$G$5:$G$3004,ENSAYOS!$C$5:$C$3004,F555,ENSAYOS!$Q$5:$Q$3004,"&gt;0"))</f>
        <v/>
      </c>
      <c r="P555" s="16" t="str">
        <f aca="false">IF(N(M555)=0,"",AVERAGEIFS(ENSAYOS!$Q$5:$Q$3004,ENSAYOS!$C$5:$C$3004,F555,ENSAYOS!$Q$5:$Q$3004,"&gt;0"))</f>
        <v/>
      </c>
      <c r="Q555" s="16" t="str">
        <f aca="false">IF(N(M555)=0,"",_xlfn.MINIFS(ENSAYOS!$Q$5:$Q$3004,ENSAYOS!$C$5:$C$3004,F555,ENSAYOS!$Q$5:$Q$3004,"&gt;0"))</f>
        <v/>
      </c>
      <c r="R555" s="16" t="str">
        <f aca="false">IF(N(M555)=0,"",_xlfn.MAXIFS(ENSAYOS!$Q$5:$Q$3004,ENSAYOS!$C$5:$C$3004,F555,ENSAYOS!$Q$5:$Q$3004,"&gt;0"))</f>
        <v/>
      </c>
      <c r="S555" s="16" t="str">
        <f aca="false">IF(N(M555)&lt;2,"",SQRT(MAX(0,(SUMIFS(ENSAYOS!$X$5:$X$3004,ENSAYOS!$C$5:$C$3004,F555,ENSAYOS!$Q$5:$Q$3004,"&gt;0")-M555*P555^2)/(M555-1))))</f>
        <v/>
      </c>
      <c r="T555" s="17" t="str">
        <f aca="false">IF(S555="","",S555/P555)</f>
        <v/>
      </c>
      <c r="U555" s="16" t="str">
        <f aca="false">IF(N(M555)=0,"",IF(N555&gt;=CONFIG!$B$27,"",AVERAGEIFS(ENSAYOS!$Q$5:$Q$3004,ENSAYOS!$C$5:$C$3004,F555,ENSAYOS!$Q$5:$Q$3004,"&gt;0",ENSAYOS!$G$5:$G$3004,N555)))</f>
        <v/>
      </c>
      <c r="V555" s="16" t="str">
        <f aca="false">IF(N(M555)=0,"",IF(COUNTIFS(ENSAYOS!$C$5:$C$3004,F555,ENSAYOS!$Q$5:$Q$3004,"&gt;0",ENSAYOS!$G$5:$G$3004,"&gt;="&amp;CONFIG!$B$27)=0,"",AVERAGEIFS(ENSAYOS!$Q$5:$Q$3004,ENSAYOS!$C$5:$C$3004,F555,ENSAYOS!$Q$5:$Q$3004,"&gt;0",ENSAYOS!$G$5:$G$3004,"&gt;="&amp;CONFIG!$B$27)))</f>
        <v/>
      </c>
      <c r="W555" s="18" t="str">
        <f aca="false">IF(AND(U555&lt;&gt;"",V555&lt;&gt;""),U555/V555,"")</f>
        <v/>
      </c>
      <c r="X555" s="18" t="str">
        <f aca="false">IF(U555="","",INDEX('CURVA EDAD'!$E$5:$E$32,MIN(28,MAX(1,N555))))</f>
        <v/>
      </c>
      <c r="Y555" s="16" t="str">
        <f aca="false">IF(V555&lt;&gt;"",V555,IF(U555="","",U555/X555))</f>
        <v/>
      </c>
      <c r="Z555" s="16" t="str">
        <f aca="false">IF(V555&lt;&gt;"",_xlfn.MINIFS(ENSAYOS!$Q$5:$Q$3004,ENSAYOS!$C$5:$C$3004,F555,ENSAYOS!$Q$5:$Q$3004,"&gt;0",ENSAYOS!$G$5:$G$3004,"&gt;="&amp;CONFIG!$B$27),IF(U555="","",_xlfn.MINIFS(ENSAYOS!$Q$5:$Q$3004,ENSAYOS!$C$5:$C$3004,F555,ENSAYOS!$Q$5:$Q$3004,"&gt;0",ENSAYOS!$G$5:$G$3004,N555)/X555))</f>
        <v/>
      </c>
      <c r="AA555" s="16" t="str">
        <f aca="false">IF(D555="","",IFERROR(1/(1/INDEX(CONFIG!$J$5:$J$14,MATCH(D555,CONFIG!$D$5:$D$14,0))),""))</f>
        <v/>
      </c>
      <c r="AB555" s="16" t="str">
        <f aca="false">IF(D555="","",IFERROR(1/(1/INDEX(CONFIG!$K$5:$K$14,MATCH(D555,CONFIG!$D$5:$D$14,0))),""))</f>
        <v/>
      </c>
      <c r="AC555" s="19" t="str">
        <f aca="false">IF(N(M555)=0,"",IF(AA555="","Sin spec",IF(AND(Y555&gt;=AA555,OR(AB555="",Z555&gt;=AB555)),"CUMPLE","NO CUMPLE")&amp;IF(V555=""," (est.)","")))</f>
        <v/>
      </c>
      <c r="AD555" s="20" t="str">
        <f aca="false">IF(F555="","",IF(COUNTIFS(ABSORCION!$C$5:$C$1004,F555,ABSORCION!$I$5:$I$1004,"&gt;0")=0,"",AVERAGEIFS(ABSORCION!$I$5:$I$1004,ABSORCION!$C$5:$C$1004,F555,ABSORCION!$I$5:$I$1004,"&gt;0")))</f>
        <v/>
      </c>
      <c r="AE555" s="20" t="str">
        <f aca="false">IF(F555="","",IF(COUNTIFS(ABSORCION!$C$5:$C$1004,F555,ABSORCION!$I$5:$I$1004,"&gt;0")=0,"",AVERAGEIFS(ABSORCION!$K$5:$K$1004,ABSORCION!$C$5:$C$1004,F555,ABSORCION!$I$5:$I$1004,"&gt;0")))</f>
        <v/>
      </c>
      <c r="AF555" s="20" t="str">
        <f aca="false">IF(AE555="","",IF(AE555&gt;=CONFIG!$E$21,CONFIG!$F$21,IF(AE555&gt;=CONFIG!$E$20,CONFIG!$F$20,CONFIG!$F$19)))</f>
        <v/>
      </c>
      <c r="AG555" s="21" t="str">
        <f aca="false">IF(F555="","",TRIM(IF(N(M555)=0,"Sin ensayos. ","")&amp;IF(AND(N(M555)&gt;0,N(M555)&lt;CONFIG!$B$26),"Menos de "&amp;CONFIG!$B$26&amp;" probetas. ","")&amp;IF(N(T555)&gt;CONFIG!$B$25,"CV alto. ","")&amp;IF(AND(N(AD555)&gt;0,N(AD555)&gt;N(AF555)),"Absorción alta. ","")))</f>
        <v/>
      </c>
      <c r="AH555" s="22" t="str">
        <f aca="false">IF(AND(N(M555)&gt;0,OR(CONTROL!$C$4="TODAS",C555=CONTROL!$C$4),D555=CONTROL!$C$5),MAX($AH$4:AH554)+1,"")</f>
        <v/>
      </c>
      <c r="AI555" s="22" t="str">
        <f aca="false">IF(AH555="","",P555^2)</f>
        <v/>
      </c>
    </row>
    <row r="556" customFormat="false" ht="15" hidden="false" customHeight="false" outlineLevel="0" collapsed="false">
      <c r="A556" s="11" t="str">
        <f aca="false">IF(B556="","",ROW()-4)</f>
        <v/>
      </c>
      <c r="B556" s="12"/>
      <c r="C556" s="13"/>
      <c r="D556" s="13"/>
      <c r="E556" s="13"/>
      <c r="F556" s="14" t="str">
        <f aca="false">IF(OR(B556="",C556="",D556=""),"",IFERROR(INDEX(CONFIG!$E$5:$E$14,MATCH(D556,CONFIG!$D$5:$D$14,0)),"?")&amp;RIGHT("0"&amp;DAY(B556),2)&amp;RIGHT("0"&amp;MONTH(B556),2)&amp;RIGHT(YEAR(B556),2)&amp;C556&amp;IF(E556="","","-"&amp;E556))</f>
        <v/>
      </c>
      <c r="G556" s="13"/>
      <c r="H556" s="13"/>
      <c r="I556" s="13"/>
      <c r="J556" s="13"/>
      <c r="K556" s="13"/>
      <c r="L556" s="13"/>
      <c r="M556" s="11" t="str">
        <f aca="false">IF(F556="","",COUNTIFS(ENSAYOS!$C$5:$C$3004,F556,ENSAYOS!$Q$5:$Q$3004,"&gt;0"))</f>
        <v/>
      </c>
      <c r="N556" s="15" t="str">
        <f aca="false">IF(N(M556)=0,"",_xlfn.MINIFS(ENSAYOS!$G$5:$G$3004,ENSAYOS!$C$5:$C$3004,F556,ENSAYOS!$Q$5:$Q$3004,"&gt;0"))</f>
        <v/>
      </c>
      <c r="O556" s="15" t="str">
        <f aca="false">IF(N(M556)=0,"",_xlfn.MAXIFS(ENSAYOS!$G$5:$G$3004,ENSAYOS!$C$5:$C$3004,F556,ENSAYOS!$Q$5:$Q$3004,"&gt;0"))</f>
        <v/>
      </c>
      <c r="P556" s="16" t="str">
        <f aca="false">IF(N(M556)=0,"",AVERAGEIFS(ENSAYOS!$Q$5:$Q$3004,ENSAYOS!$C$5:$C$3004,F556,ENSAYOS!$Q$5:$Q$3004,"&gt;0"))</f>
        <v/>
      </c>
      <c r="Q556" s="16" t="str">
        <f aca="false">IF(N(M556)=0,"",_xlfn.MINIFS(ENSAYOS!$Q$5:$Q$3004,ENSAYOS!$C$5:$C$3004,F556,ENSAYOS!$Q$5:$Q$3004,"&gt;0"))</f>
        <v/>
      </c>
      <c r="R556" s="16" t="str">
        <f aca="false">IF(N(M556)=0,"",_xlfn.MAXIFS(ENSAYOS!$Q$5:$Q$3004,ENSAYOS!$C$5:$C$3004,F556,ENSAYOS!$Q$5:$Q$3004,"&gt;0"))</f>
        <v/>
      </c>
      <c r="S556" s="16" t="str">
        <f aca="false">IF(N(M556)&lt;2,"",SQRT(MAX(0,(SUMIFS(ENSAYOS!$X$5:$X$3004,ENSAYOS!$C$5:$C$3004,F556,ENSAYOS!$Q$5:$Q$3004,"&gt;0")-M556*P556^2)/(M556-1))))</f>
        <v/>
      </c>
      <c r="T556" s="17" t="str">
        <f aca="false">IF(S556="","",S556/P556)</f>
        <v/>
      </c>
      <c r="U556" s="16" t="str">
        <f aca="false">IF(N(M556)=0,"",IF(N556&gt;=CONFIG!$B$27,"",AVERAGEIFS(ENSAYOS!$Q$5:$Q$3004,ENSAYOS!$C$5:$C$3004,F556,ENSAYOS!$Q$5:$Q$3004,"&gt;0",ENSAYOS!$G$5:$G$3004,N556)))</f>
        <v/>
      </c>
      <c r="V556" s="16" t="str">
        <f aca="false">IF(N(M556)=0,"",IF(COUNTIFS(ENSAYOS!$C$5:$C$3004,F556,ENSAYOS!$Q$5:$Q$3004,"&gt;0",ENSAYOS!$G$5:$G$3004,"&gt;="&amp;CONFIG!$B$27)=0,"",AVERAGEIFS(ENSAYOS!$Q$5:$Q$3004,ENSAYOS!$C$5:$C$3004,F556,ENSAYOS!$Q$5:$Q$3004,"&gt;0",ENSAYOS!$G$5:$G$3004,"&gt;="&amp;CONFIG!$B$27)))</f>
        <v/>
      </c>
      <c r="W556" s="18" t="str">
        <f aca="false">IF(AND(U556&lt;&gt;"",V556&lt;&gt;""),U556/V556,"")</f>
        <v/>
      </c>
      <c r="X556" s="18" t="str">
        <f aca="false">IF(U556="","",INDEX('CURVA EDAD'!$E$5:$E$32,MIN(28,MAX(1,N556))))</f>
        <v/>
      </c>
      <c r="Y556" s="16" t="str">
        <f aca="false">IF(V556&lt;&gt;"",V556,IF(U556="","",U556/X556))</f>
        <v/>
      </c>
      <c r="Z556" s="16" t="str">
        <f aca="false">IF(V556&lt;&gt;"",_xlfn.MINIFS(ENSAYOS!$Q$5:$Q$3004,ENSAYOS!$C$5:$C$3004,F556,ENSAYOS!$Q$5:$Q$3004,"&gt;0",ENSAYOS!$G$5:$G$3004,"&gt;="&amp;CONFIG!$B$27),IF(U556="","",_xlfn.MINIFS(ENSAYOS!$Q$5:$Q$3004,ENSAYOS!$C$5:$C$3004,F556,ENSAYOS!$Q$5:$Q$3004,"&gt;0",ENSAYOS!$G$5:$G$3004,N556)/X556))</f>
        <v/>
      </c>
      <c r="AA556" s="16" t="str">
        <f aca="false">IF(D556="","",IFERROR(1/(1/INDEX(CONFIG!$J$5:$J$14,MATCH(D556,CONFIG!$D$5:$D$14,0))),""))</f>
        <v/>
      </c>
      <c r="AB556" s="16" t="str">
        <f aca="false">IF(D556="","",IFERROR(1/(1/INDEX(CONFIG!$K$5:$K$14,MATCH(D556,CONFIG!$D$5:$D$14,0))),""))</f>
        <v/>
      </c>
      <c r="AC556" s="19" t="str">
        <f aca="false">IF(N(M556)=0,"",IF(AA556="","Sin spec",IF(AND(Y556&gt;=AA556,OR(AB556="",Z556&gt;=AB556)),"CUMPLE","NO CUMPLE")&amp;IF(V556=""," (est.)","")))</f>
        <v/>
      </c>
      <c r="AD556" s="20" t="str">
        <f aca="false">IF(F556="","",IF(COUNTIFS(ABSORCION!$C$5:$C$1004,F556,ABSORCION!$I$5:$I$1004,"&gt;0")=0,"",AVERAGEIFS(ABSORCION!$I$5:$I$1004,ABSORCION!$C$5:$C$1004,F556,ABSORCION!$I$5:$I$1004,"&gt;0")))</f>
        <v/>
      </c>
      <c r="AE556" s="20" t="str">
        <f aca="false">IF(F556="","",IF(COUNTIFS(ABSORCION!$C$5:$C$1004,F556,ABSORCION!$I$5:$I$1004,"&gt;0")=0,"",AVERAGEIFS(ABSORCION!$K$5:$K$1004,ABSORCION!$C$5:$C$1004,F556,ABSORCION!$I$5:$I$1004,"&gt;0")))</f>
        <v/>
      </c>
      <c r="AF556" s="20" t="str">
        <f aca="false">IF(AE556="","",IF(AE556&gt;=CONFIG!$E$21,CONFIG!$F$21,IF(AE556&gt;=CONFIG!$E$20,CONFIG!$F$20,CONFIG!$F$19)))</f>
        <v/>
      </c>
      <c r="AG556" s="21" t="str">
        <f aca="false">IF(F556="","",TRIM(IF(N(M556)=0,"Sin ensayos. ","")&amp;IF(AND(N(M556)&gt;0,N(M556)&lt;CONFIG!$B$26),"Menos de "&amp;CONFIG!$B$26&amp;" probetas. ","")&amp;IF(N(T556)&gt;CONFIG!$B$25,"CV alto. ","")&amp;IF(AND(N(AD556)&gt;0,N(AD556)&gt;N(AF556)),"Absorción alta. ","")))</f>
        <v/>
      </c>
      <c r="AH556" s="22" t="str">
        <f aca="false">IF(AND(N(M556)&gt;0,OR(CONTROL!$C$4="TODAS",C556=CONTROL!$C$4),D556=CONTROL!$C$5),MAX($AH$4:AH555)+1,"")</f>
        <v/>
      </c>
      <c r="AI556" s="22" t="str">
        <f aca="false">IF(AH556="","",P556^2)</f>
        <v/>
      </c>
    </row>
    <row r="557" customFormat="false" ht="15" hidden="false" customHeight="false" outlineLevel="0" collapsed="false">
      <c r="A557" s="11" t="str">
        <f aca="false">IF(B557="","",ROW()-4)</f>
        <v/>
      </c>
      <c r="B557" s="12"/>
      <c r="C557" s="13"/>
      <c r="D557" s="13"/>
      <c r="E557" s="13"/>
      <c r="F557" s="14" t="str">
        <f aca="false">IF(OR(B557="",C557="",D557=""),"",IFERROR(INDEX(CONFIG!$E$5:$E$14,MATCH(D557,CONFIG!$D$5:$D$14,0)),"?")&amp;RIGHT("0"&amp;DAY(B557),2)&amp;RIGHT("0"&amp;MONTH(B557),2)&amp;RIGHT(YEAR(B557),2)&amp;C557&amp;IF(E557="","","-"&amp;E557))</f>
        <v/>
      </c>
      <c r="G557" s="13"/>
      <c r="H557" s="13"/>
      <c r="I557" s="13"/>
      <c r="J557" s="13"/>
      <c r="K557" s="13"/>
      <c r="L557" s="13"/>
      <c r="M557" s="11" t="str">
        <f aca="false">IF(F557="","",COUNTIFS(ENSAYOS!$C$5:$C$3004,F557,ENSAYOS!$Q$5:$Q$3004,"&gt;0"))</f>
        <v/>
      </c>
      <c r="N557" s="15" t="str">
        <f aca="false">IF(N(M557)=0,"",_xlfn.MINIFS(ENSAYOS!$G$5:$G$3004,ENSAYOS!$C$5:$C$3004,F557,ENSAYOS!$Q$5:$Q$3004,"&gt;0"))</f>
        <v/>
      </c>
      <c r="O557" s="15" t="str">
        <f aca="false">IF(N(M557)=0,"",_xlfn.MAXIFS(ENSAYOS!$G$5:$G$3004,ENSAYOS!$C$5:$C$3004,F557,ENSAYOS!$Q$5:$Q$3004,"&gt;0"))</f>
        <v/>
      </c>
      <c r="P557" s="16" t="str">
        <f aca="false">IF(N(M557)=0,"",AVERAGEIFS(ENSAYOS!$Q$5:$Q$3004,ENSAYOS!$C$5:$C$3004,F557,ENSAYOS!$Q$5:$Q$3004,"&gt;0"))</f>
        <v/>
      </c>
      <c r="Q557" s="16" t="str">
        <f aca="false">IF(N(M557)=0,"",_xlfn.MINIFS(ENSAYOS!$Q$5:$Q$3004,ENSAYOS!$C$5:$C$3004,F557,ENSAYOS!$Q$5:$Q$3004,"&gt;0"))</f>
        <v/>
      </c>
      <c r="R557" s="16" t="str">
        <f aca="false">IF(N(M557)=0,"",_xlfn.MAXIFS(ENSAYOS!$Q$5:$Q$3004,ENSAYOS!$C$5:$C$3004,F557,ENSAYOS!$Q$5:$Q$3004,"&gt;0"))</f>
        <v/>
      </c>
      <c r="S557" s="16" t="str">
        <f aca="false">IF(N(M557)&lt;2,"",SQRT(MAX(0,(SUMIFS(ENSAYOS!$X$5:$X$3004,ENSAYOS!$C$5:$C$3004,F557,ENSAYOS!$Q$5:$Q$3004,"&gt;0")-M557*P557^2)/(M557-1))))</f>
        <v/>
      </c>
      <c r="T557" s="17" t="str">
        <f aca="false">IF(S557="","",S557/P557)</f>
        <v/>
      </c>
      <c r="U557" s="16" t="str">
        <f aca="false">IF(N(M557)=0,"",IF(N557&gt;=CONFIG!$B$27,"",AVERAGEIFS(ENSAYOS!$Q$5:$Q$3004,ENSAYOS!$C$5:$C$3004,F557,ENSAYOS!$Q$5:$Q$3004,"&gt;0",ENSAYOS!$G$5:$G$3004,N557)))</f>
        <v/>
      </c>
      <c r="V557" s="16" t="str">
        <f aca="false">IF(N(M557)=0,"",IF(COUNTIFS(ENSAYOS!$C$5:$C$3004,F557,ENSAYOS!$Q$5:$Q$3004,"&gt;0",ENSAYOS!$G$5:$G$3004,"&gt;="&amp;CONFIG!$B$27)=0,"",AVERAGEIFS(ENSAYOS!$Q$5:$Q$3004,ENSAYOS!$C$5:$C$3004,F557,ENSAYOS!$Q$5:$Q$3004,"&gt;0",ENSAYOS!$G$5:$G$3004,"&gt;="&amp;CONFIG!$B$27)))</f>
        <v/>
      </c>
      <c r="W557" s="18" t="str">
        <f aca="false">IF(AND(U557&lt;&gt;"",V557&lt;&gt;""),U557/V557,"")</f>
        <v/>
      </c>
      <c r="X557" s="18" t="str">
        <f aca="false">IF(U557="","",INDEX('CURVA EDAD'!$E$5:$E$32,MIN(28,MAX(1,N557))))</f>
        <v/>
      </c>
      <c r="Y557" s="16" t="str">
        <f aca="false">IF(V557&lt;&gt;"",V557,IF(U557="","",U557/X557))</f>
        <v/>
      </c>
      <c r="Z557" s="16" t="str">
        <f aca="false">IF(V557&lt;&gt;"",_xlfn.MINIFS(ENSAYOS!$Q$5:$Q$3004,ENSAYOS!$C$5:$C$3004,F557,ENSAYOS!$Q$5:$Q$3004,"&gt;0",ENSAYOS!$G$5:$G$3004,"&gt;="&amp;CONFIG!$B$27),IF(U557="","",_xlfn.MINIFS(ENSAYOS!$Q$5:$Q$3004,ENSAYOS!$C$5:$C$3004,F557,ENSAYOS!$Q$5:$Q$3004,"&gt;0",ENSAYOS!$G$5:$G$3004,N557)/X557))</f>
        <v/>
      </c>
      <c r="AA557" s="16" t="str">
        <f aca="false">IF(D557="","",IFERROR(1/(1/INDEX(CONFIG!$J$5:$J$14,MATCH(D557,CONFIG!$D$5:$D$14,0))),""))</f>
        <v/>
      </c>
      <c r="AB557" s="16" t="str">
        <f aca="false">IF(D557="","",IFERROR(1/(1/INDEX(CONFIG!$K$5:$K$14,MATCH(D557,CONFIG!$D$5:$D$14,0))),""))</f>
        <v/>
      </c>
      <c r="AC557" s="19" t="str">
        <f aca="false">IF(N(M557)=0,"",IF(AA557="","Sin spec",IF(AND(Y557&gt;=AA557,OR(AB557="",Z557&gt;=AB557)),"CUMPLE","NO CUMPLE")&amp;IF(V557=""," (est.)","")))</f>
        <v/>
      </c>
      <c r="AD557" s="20" t="str">
        <f aca="false">IF(F557="","",IF(COUNTIFS(ABSORCION!$C$5:$C$1004,F557,ABSORCION!$I$5:$I$1004,"&gt;0")=0,"",AVERAGEIFS(ABSORCION!$I$5:$I$1004,ABSORCION!$C$5:$C$1004,F557,ABSORCION!$I$5:$I$1004,"&gt;0")))</f>
        <v/>
      </c>
      <c r="AE557" s="20" t="str">
        <f aca="false">IF(F557="","",IF(COUNTIFS(ABSORCION!$C$5:$C$1004,F557,ABSORCION!$I$5:$I$1004,"&gt;0")=0,"",AVERAGEIFS(ABSORCION!$K$5:$K$1004,ABSORCION!$C$5:$C$1004,F557,ABSORCION!$I$5:$I$1004,"&gt;0")))</f>
        <v/>
      </c>
      <c r="AF557" s="20" t="str">
        <f aca="false">IF(AE557="","",IF(AE557&gt;=CONFIG!$E$21,CONFIG!$F$21,IF(AE557&gt;=CONFIG!$E$20,CONFIG!$F$20,CONFIG!$F$19)))</f>
        <v/>
      </c>
      <c r="AG557" s="21" t="str">
        <f aca="false">IF(F557="","",TRIM(IF(N(M557)=0,"Sin ensayos. ","")&amp;IF(AND(N(M557)&gt;0,N(M557)&lt;CONFIG!$B$26),"Menos de "&amp;CONFIG!$B$26&amp;" probetas. ","")&amp;IF(N(T557)&gt;CONFIG!$B$25,"CV alto. ","")&amp;IF(AND(N(AD557)&gt;0,N(AD557)&gt;N(AF557)),"Absorción alta. ","")))</f>
        <v/>
      </c>
      <c r="AH557" s="22" t="str">
        <f aca="false">IF(AND(N(M557)&gt;0,OR(CONTROL!$C$4="TODAS",C557=CONTROL!$C$4),D557=CONTROL!$C$5),MAX($AH$4:AH556)+1,"")</f>
        <v/>
      </c>
      <c r="AI557" s="22" t="str">
        <f aca="false">IF(AH557="","",P557^2)</f>
        <v/>
      </c>
    </row>
    <row r="558" customFormat="false" ht="15" hidden="false" customHeight="false" outlineLevel="0" collapsed="false">
      <c r="A558" s="11" t="str">
        <f aca="false">IF(B558="","",ROW()-4)</f>
        <v/>
      </c>
      <c r="B558" s="12"/>
      <c r="C558" s="13"/>
      <c r="D558" s="13"/>
      <c r="E558" s="13"/>
      <c r="F558" s="14" t="str">
        <f aca="false">IF(OR(B558="",C558="",D558=""),"",IFERROR(INDEX(CONFIG!$E$5:$E$14,MATCH(D558,CONFIG!$D$5:$D$14,0)),"?")&amp;RIGHT("0"&amp;DAY(B558),2)&amp;RIGHT("0"&amp;MONTH(B558),2)&amp;RIGHT(YEAR(B558),2)&amp;C558&amp;IF(E558="","","-"&amp;E558))</f>
        <v/>
      </c>
      <c r="G558" s="13"/>
      <c r="H558" s="13"/>
      <c r="I558" s="13"/>
      <c r="J558" s="13"/>
      <c r="K558" s="13"/>
      <c r="L558" s="13"/>
      <c r="M558" s="11" t="str">
        <f aca="false">IF(F558="","",COUNTIFS(ENSAYOS!$C$5:$C$3004,F558,ENSAYOS!$Q$5:$Q$3004,"&gt;0"))</f>
        <v/>
      </c>
      <c r="N558" s="15" t="str">
        <f aca="false">IF(N(M558)=0,"",_xlfn.MINIFS(ENSAYOS!$G$5:$G$3004,ENSAYOS!$C$5:$C$3004,F558,ENSAYOS!$Q$5:$Q$3004,"&gt;0"))</f>
        <v/>
      </c>
      <c r="O558" s="15" t="str">
        <f aca="false">IF(N(M558)=0,"",_xlfn.MAXIFS(ENSAYOS!$G$5:$G$3004,ENSAYOS!$C$5:$C$3004,F558,ENSAYOS!$Q$5:$Q$3004,"&gt;0"))</f>
        <v/>
      </c>
      <c r="P558" s="16" t="str">
        <f aca="false">IF(N(M558)=0,"",AVERAGEIFS(ENSAYOS!$Q$5:$Q$3004,ENSAYOS!$C$5:$C$3004,F558,ENSAYOS!$Q$5:$Q$3004,"&gt;0"))</f>
        <v/>
      </c>
      <c r="Q558" s="16" t="str">
        <f aca="false">IF(N(M558)=0,"",_xlfn.MINIFS(ENSAYOS!$Q$5:$Q$3004,ENSAYOS!$C$5:$C$3004,F558,ENSAYOS!$Q$5:$Q$3004,"&gt;0"))</f>
        <v/>
      </c>
      <c r="R558" s="16" t="str">
        <f aca="false">IF(N(M558)=0,"",_xlfn.MAXIFS(ENSAYOS!$Q$5:$Q$3004,ENSAYOS!$C$5:$C$3004,F558,ENSAYOS!$Q$5:$Q$3004,"&gt;0"))</f>
        <v/>
      </c>
      <c r="S558" s="16" t="str">
        <f aca="false">IF(N(M558)&lt;2,"",SQRT(MAX(0,(SUMIFS(ENSAYOS!$X$5:$X$3004,ENSAYOS!$C$5:$C$3004,F558,ENSAYOS!$Q$5:$Q$3004,"&gt;0")-M558*P558^2)/(M558-1))))</f>
        <v/>
      </c>
      <c r="T558" s="17" t="str">
        <f aca="false">IF(S558="","",S558/P558)</f>
        <v/>
      </c>
      <c r="U558" s="16" t="str">
        <f aca="false">IF(N(M558)=0,"",IF(N558&gt;=CONFIG!$B$27,"",AVERAGEIFS(ENSAYOS!$Q$5:$Q$3004,ENSAYOS!$C$5:$C$3004,F558,ENSAYOS!$Q$5:$Q$3004,"&gt;0",ENSAYOS!$G$5:$G$3004,N558)))</f>
        <v/>
      </c>
      <c r="V558" s="16" t="str">
        <f aca="false">IF(N(M558)=0,"",IF(COUNTIFS(ENSAYOS!$C$5:$C$3004,F558,ENSAYOS!$Q$5:$Q$3004,"&gt;0",ENSAYOS!$G$5:$G$3004,"&gt;="&amp;CONFIG!$B$27)=0,"",AVERAGEIFS(ENSAYOS!$Q$5:$Q$3004,ENSAYOS!$C$5:$C$3004,F558,ENSAYOS!$Q$5:$Q$3004,"&gt;0",ENSAYOS!$G$5:$G$3004,"&gt;="&amp;CONFIG!$B$27)))</f>
        <v/>
      </c>
      <c r="W558" s="18" t="str">
        <f aca="false">IF(AND(U558&lt;&gt;"",V558&lt;&gt;""),U558/V558,"")</f>
        <v/>
      </c>
      <c r="X558" s="18" t="str">
        <f aca="false">IF(U558="","",INDEX('CURVA EDAD'!$E$5:$E$32,MIN(28,MAX(1,N558))))</f>
        <v/>
      </c>
      <c r="Y558" s="16" t="str">
        <f aca="false">IF(V558&lt;&gt;"",V558,IF(U558="","",U558/X558))</f>
        <v/>
      </c>
      <c r="Z558" s="16" t="str">
        <f aca="false">IF(V558&lt;&gt;"",_xlfn.MINIFS(ENSAYOS!$Q$5:$Q$3004,ENSAYOS!$C$5:$C$3004,F558,ENSAYOS!$Q$5:$Q$3004,"&gt;0",ENSAYOS!$G$5:$G$3004,"&gt;="&amp;CONFIG!$B$27),IF(U558="","",_xlfn.MINIFS(ENSAYOS!$Q$5:$Q$3004,ENSAYOS!$C$5:$C$3004,F558,ENSAYOS!$Q$5:$Q$3004,"&gt;0",ENSAYOS!$G$5:$G$3004,N558)/X558))</f>
        <v/>
      </c>
      <c r="AA558" s="16" t="str">
        <f aca="false">IF(D558="","",IFERROR(1/(1/INDEX(CONFIG!$J$5:$J$14,MATCH(D558,CONFIG!$D$5:$D$14,0))),""))</f>
        <v/>
      </c>
      <c r="AB558" s="16" t="str">
        <f aca="false">IF(D558="","",IFERROR(1/(1/INDEX(CONFIG!$K$5:$K$14,MATCH(D558,CONFIG!$D$5:$D$14,0))),""))</f>
        <v/>
      </c>
      <c r="AC558" s="19" t="str">
        <f aca="false">IF(N(M558)=0,"",IF(AA558="","Sin spec",IF(AND(Y558&gt;=AA558,OR(AB558="",Z558&gt;=AB558)),"CUMPLE","NO CUMPLE")&amp;IF(V558=""," (est.)","")))</f>
        <v/>
      </c>
      <c r="AD558" s="20" t="str">
        <f aca="false">IF(F558="","",IF(COUNTIFS(ABSORCION!$C$5:$C$1004,F558,ABSORCION!$I$5:$I$1004,"&gt;0")=0,"",AVERAGEIFS(ABSORCION!$I$5:$I$1004,ABSORCION!$C$5:$C$1004,F558,ABSORCION!$I$5:$I$1004,"&gt;0")))</f>
        <v/>
      </c>
      <c r="AE558" s="20" t="str">
        <f aca="false">IF(F558="","",IF(COUNTIFS(ABSORCION!$C$5:$C$1004,F558,ABSORCION!$I$5:$I$1004,"&gt;0")=0,"",AVERAGEIFS(ABSORCION!$K$5:$K$1004,ABSORCION!$C$5:$C$1004,F558,ABSORCION!$I$5:$I$1004,"&gt;0")))</f>
        <v/>
      </c>
      <c r="AF558" s="20" t="str">
        <f aca="false">IF(AE558="","",IF(AE558&gt;=CONFIG!$E$21,CONFIG!$F$21,IF(AE558&gt;=CONFIG!$E$20,CONFIG!$F$20,CONFIG!$F$19)))</f>
        <v/>
      </c>
      <c r="AG558" s="21" t="str">
        <f aca="false">IF(F558="","",TRIM(IF(N(M558)=0,"Sin ensayos. ","")&amp;IF(AND(N(M558)&gt;0,N(M558)&lt;CONFIG!$B$26),"Menos de "&amp;CONFIG!$B$26&amp;" probetas. ","")&amp;IF(N(T558)&gt;CONFIG!$B$25,"CV alto. ","")&amp;IF(AND(N(AD558)&gt;0,N(AD558)&gt;N(AF558)),"Absorción alta. ","")))</f>
        <v/>
      </c>
      <c r="AH558" s="22" t="str">
        <f aca="false">IF(AND(N(M558)&gt;0,OR(CONTROL!$C$4="TODAS",C558=CONTROL!$C$4),D558=CONTROL!$C$5),MAX($AH$4:AH557)+1,"")</f>
        <v/>
      </c>
      <c r="AI558" s="22" t="str">
        <f aca="false">IF(AH558="","",P558^2)</f>
        <v/>
      </c>
    </row>
    <row r="559" customFormat="false" ht="15" hidden="false" customHeight="false" outlineLevel="0" collapsed="false">
      <c r="A559" s="11" t="str">
        <f aca="false">IF(B559="","",ROW()-4)</f>
        <v/>
      </c>
      <c r="B559" s="12"/>
      <c r="C559" s="13"/>
      <c r="D559" s="13"/>
      <c r="E559" s="13"/>
      <c r="F559" s="14" t="str">
        <f aca="false">IF(OR(B559="",C559="",D559=""),"",IFERROR(INDEX(CONFIG!$E$5:$E$14,MATCH(D559,CONFIG!$D$5:$D$14,0)),"?")&amp;RIGHT("0"&amp;DAY(B559),2)&amp;RIGHT("0"&amp;MONTH(B559),2)&amp;RIGHT(YEAR(B559),2)&amp;C559&amp;IF(E559="","","-"&amp;E559))</f>
        <v/>
      </c>
      <c r="G559" s="13"/>
      <c r="H559" s="13"/>
      <c r="I559" s="13"/>
      <c r="J559" s="13"/>
      <c r="K559" s="13"/>
      <c r="L559" s="13"/>
      <c r="M559" s="11" t="str">
        <f aca="false">IF(F559="","",COUNTIFS(ENSAYOS!$C$5:$C$3004,F559,ENSAYOS!$Q$5:$Q$3004,"&gt;0"))</f>
        <v/>
      </c>
      <c r="N559" s="15" t="str">
        <f aca="false">IF(N(M559)=0,"",_xlfn.MINIFS(ENSAYOS!$G$5:$G$3004,ENSAYOS!$C$5:$C$3004,F559,ENSAYOS!$Q$5:$Q$3004,"&gt;0"))</f>
        <v/>
      </c>
      <c r="O559" s="15" t="str">
        <f aca="false">IF(N(M559)=0,"",_xlfn.MAXIFS(ENSAYOS!$G$5:$G$3004,ENSAYOS!$C$5:$C$3004,F559,ENSAYOS!$Q$5:$Q$3004,"&gt;0"))</f>
        <v/>
      </c>
      <c r="P559" s="16" t="str">
        <f aca="false">IF(N(M559)=0,"",AVERAGEIFS(ENSAYOS!$Q$5:$Q$3004,ENSAYOS!$C$5:$C$3004,F559,ENSAYOS!$Q$5:$Q$3004,"&gt;0"))</f>
        <v/>
      </c>
      <c r="Q559" s="16" t="str">
        <f aca="false">IF(N(M559)=0,"",_xlfn.MINIFS(ENSAYOS!$Q$5:$Q$3004,ENSAYOS!$C$5:$C$3004,F559,ENSAYOS!$Q$5:$Q$3004,"&gt;0"))</f>
        <v/>
      </c>
      <c r="R559" s="16" t="str">
        <f aca="false">IF(N(M559)=0,"",_xlfn.MAXIFS(ENSAYOS!$Q$5:$Q$3004,ENSAYOS!$C$5:$C$3004,F559,ENSAYOS!$Q$5:$Q$3004,"&gt;0"))</f>
        <v/>
      </c>
      <c r="S559" s="16" t="str">
        <f aca="false">IF(N(M559)&lt;2,"",SQRT(MAX(0,(SUMIFS(ENSAYOS!$X$5:$X$3004,ENSAYOS!$C$5:$C$3004,F559,ENSAYOS!$Q$5:$Q$3004,"&gt;0")-M559*P559^2)/(M559-1))))</f>
        <v/>
      </c>
      <c r="T559" s="17" t="str">
        <f aca="false">IF(S559="","",S559/P559)</f>
        <v/>
      </c>
      <c r="U559" s="16" t="str">
        <f aca="false">IF(N(M559)=0,"",IF(N559&gt;=CONFIG!$B$27,"",AVERAGEIFS(ENSAYOS!$Q$5:$Q$3004,ENSAYOS!$C$5:$C$3004,F559,ENSAYOS!$Q$5:$Q$3004,"&gt;0",ENSAYOS!$G$5:$G$3004,N559)))</f>
        <v/>
      </c>
      <c r="V559" s="16" t="str">
        <f aca="false">IF(N(M559)=0,"",IF(COUNTIFS(ENSAYOS!$C$5:$C$3004,F559,ENSAYOS!$Q$5:$Q$3004,"&gt;0",ENSAYOS!$G$5:$G$3004,"&gt;="&amp;CONFIG!$B$27)=0,"",AVERAGEIFS(ENSAYOS!$Q$5:$Q$3004,ENSAYOS!$C$5:$C$3004,F559,ENSAYOS!$Q$5:$Q$3004,"&gt;0",ENSAYOS!$G$5:$G$3004,"&gt;="&amp;CONFIG!$B$27)))</f>
        <v/>
      </c>
      <c r="W559" s="18" t="str">
        <f aca="false">IF(AND(U559&lt;&gt;"",V559&lt;&gt;""),U559/V559,"")</f>
        <v/>
      </c>
      <c r="X559" s="18" t="str">
        <f aca="false">IF(U559="","",INDEX('CURVA EDAD'!$E$5:$E$32,MIN(28,MAX(1,N559))))</f>
        <v/>
      </c>
      <c r="Y559" s="16" t="str">
        <f aca="false">IF(V559&lt;&gt;"",V559,IF(U559="","",U559/X559))</f>
        <v/>
      </c>
      <c r="Z559" s="16" t="str">
        <f aca="false">IF(V559&lt;&gt;"",_xlfn.MINIFS(ENSAYOS!$Q$5:$Q$3004,ENSAYOS!$C$5:$C$3004,F559,ENSAYOS!$Q$5:$Q$3004,"&gt;0",ENSAYOS!$G$5:$G$3004,"&gt;="&amp;CONFIG!$B$27),IF(U559="","",_xlfn.MINIFS(ENSAYOS!$Q$5:$Q$3004,ENSAYOS!$C$5:$C$3004,F559,ENSAYOS!$Q$5:$Q$3004,"&gt;0",ENSAYOS!$G$5:$G$3004,N559)/X559))</f>
        <v/>
      </c>
      <c r="AA559" s="16" t="str">
        <f aca="false">IF(D559="","",IFERROR(1/(1/INDEX(CONFIG!$J$5:$J$14,MATCH(D559,CONFIG!$D$5:$D$14,0))),""))</f>
        <v/>
      </c>
      <c r="AB559" s="16" t="str">
        <f aca="false">IF(D559="","",IFERROR(1/(1/INDEX(CONFIG!$K$5:$K$14,MATCH(D559,CONFIG!$D$5:$D$14,0))),""))</f>
        <v/>
      </c>
      <c r="AC559" s="19" t="str">
        <f aca="false">IF(N(M559)=0,"",IF(AA559="","Sin spec",IF(AND(Y559&gt;=AA559,OR(AB559="",Z559&gt;=AB559)),"CUMPLE","NO CUMPLE")&amp;IF(V559=""," (est.)","")))</f>
        <v/>
      </c>
      <c r="AD559" s="20" t="str">
        <f aca="false">IF(F559="","",IF(COUNTIFS(ABSORCION!$C$5:$C$1004,F559,ABSORCION!$I$5:$I$1004,"&gt;0")=0,"",AVERAGEIFS(ABSORCION!$I$5:$I$1004,ABSORCION!$C$5:$C$1004,F559,ABSORCION!$I$5:$I$1004,"&gt;0")))</f>
        <v/>
      </c>
      <c r="AE559" s="20" t="str">
        <f aca="false">IF(F559="","",IF(COUNTIFS(ABSORCION!$C$5:$C$1004,F559,ABSORCION!$I$5:$I$1004,"&gt;0")=0,"",AVERAGEIFS(ABSORCION!$K$5:$K$1004,ABSORCION!$C$5:$C$1004,F559,ABSORCION!$I$5:$I$1004,"&gt;0")))</f>
        <v/>
      </c>
      <c r="AF559" s="20" t="str">
        <f aca="false">IF(AE559="","",IF(AE559&gt;=CONFIG!$E$21,CONFIG!$F$21,IF(AE559&gt;=CONFIG!$E$20,CONFIG!$F$20,CONFIG!$F$19)))</f>
        <v/>
      </c>
      <c r="AG559" s="21" t="str">
        <f aca="false">IF(F559="","",TRIM(IF(N(M559)=0,"Sin ensayos. ","")&amp;IF(AND(N(M559)&gt;0,N(M559)&lt;CONFIG!$B$26),"Menos de "&amp;CONFIG!$B$26&amp;" probetas. ","")&amp;IF(N(T559)&gt;CONFIG!$B$25,"CV alto. ","")&amp;IF(AND(N(AD559)&gt;0,N(AD559)&gt;N(AF559)),"Absorción alta. ","")))</f>
        <v/>
      </c>
      <c r="AH559" s="22" t="str">
        <f aca="false">IF(AND(N(M559)&gt;0,OR(CONTROL!$C$4="TODAS",C559=CONTROL!$C$4),D559=CONTROL!$C$5),MAX($AH$4:AH558)+1,"")</f>
        <v/>
      </c>
      <c r="AI559" s="22" t="str">
        <f aca="false">IF(AH559="","",P559^2)</f>
        <v/>
      </c>
    </row>
    <row r="560" customFormat="false" ht="15" hidden="false" customHeight="false" outlineLevel="0" collapsed="false">
      <c r="A560" s="11" t="str">
        <f aca="false">IF(B560="","",ROW()-4)</f>
        <v/>
      </c>
      <c r="B560" s="12"/>
      <c r="C560" s="13"/>
      <c r="D560" s="13"/>
      <c r="E560" s="13"/>
      <c r="F560" s="14" t="str">
        <f aca="false">IF(OR(B560="",C560="",D560=""),"",IFERROR(INDEX(CONFIG!$E$5:$E$14,MATCH(D560,CONFIG!$D$5:$D$14,0)),"?")&amp;RIGHT("0"&amp;DAY(B560),2)&amp;RIGHT("0"&amp;MONTH(B560),2)&amp;RIGHT(YEAR(B560),2)&amp;C560&amp;IF(E560="","","-"&amp;E560))</f>
        <v/>
      </c>
      <c r="G560" s="13"/>
      <c r="H560" s="13"/>
      <c r="I560" s="13"/>
      <c r="J560" s="13"/>
      <c r="K560" s="13"/>
      <c r="L560" s="13"/>
      <c r="M560" s="11" t="str">
        <f aca="false">IF(F560="","",COUNTIFS(ENSAYOS!$C$5:$C$3004,F560,ENSAYOS!$Q$5:$Q$3004,"&gt;0"))</f>
        <v/>
      </c>
      <c r="N560" s="15" t="str">
        <f aca="false">IF(N(M560)=0,"",_xlfn.MINIFS(ENSAYOS!$G$5:$G$3004,ENSAYOS!$C$5:$C$3004,F560,ENSAYOS!$Q$5:$Q$3004,"&gt;0"))</f>
        <v/>
      </c>
      <c r="O560" s="15" t="str">
        <f aca="false">IF(N(M560)=0,"",_xlfn.MAXIFS(ENSAYOS!$G$5:$G$3004,ENSAYOS!$C$5:$C$3004,F560,ENSAYOS!$Q$5:$Q$3004,"&gt;0"))</f>
        <v/>
      </c>
      <c r="P560" s="16" t="str">
        <f aca="false">IF(N(M560)=0,"",AVERAGEIFS(ENSAYOS!$Q$5:$Q$3004,ENSAYOS!$C$5:$C$3004,F560,ENSAYOS!$Q$5:$Q$3004,"&gt;0"))</f>
        <v/>
      </c>
      <c r="Q560" s="16" t="str">
        <f aca="false">IF(N(M560)=0,"",_xlfn.MINIFS(ENSAYOS!$Q$5:$Q$3004,ENSAYOS!$C$5:$C$3004,F560,ENSAYOS!$Q$5:$Q$3004,"&gt;0"))</f>
        <v/>
      </c>
      <c r="R560" s="16" t="str">
        <f aca="false">IF(N(M560)=0,"",_xlfn.MAXIFS(ENSAYOS!$Q$5:$Q$3004,ENSAYOS!$C$5:$C$3004,F560,ENSAYOS!$Q$5:$Q$3004,"&gt;0"))</f>
        <v/>
      </c>
      <c r="S560" s="16" t="str">
        <f aca="false">IF(N(M560)&lt;2,"",SQRT(MAX(0,(SUMIFS(ENSAYOS!$X$5:$X$3004,ENSAYOS!$C$5:$C$3004,F560,ENSAYOS!$Q$5:$Q$3004,"&gt;0")-M560*P560^2)/(M560-1))))</f>
        <v/>
      </c>
      <c r="T560" s="17" t="str">
        <f aca="false">IF(S560="","",S560/P560)</f>
        <v/>
      </c>
      <c r="U560" s="16" t="str">
        <f aca="false">IF(N(M560)=0,"",IF(N560&gt;=CONFIG!$B$27,"",AVERAGEIFS(ENSAYOS!$Q$5:$Q$3004,ENSAYOS!$C$5:$C$3004,F560,ENSAYOS!$Q$5:$Q$3004,"&gt;0",ENSAYOS!$G$5:$G$3004,N560)))</f>
        <v/>
      </c>
      <c r="V560" s="16" t="str">
        <f aca="false">IF(N(M560)=0,"",IF(COUNTIFS(ENSAYOS!$C$5:$C$3004,F560,ENSAYOS!$Q$5:$Q$3004,"&gt;0",ENSAYOS!$G$5:$G$3004,"&gt;="&amp;CONFIG!$B$27)=0,"",AVERAGEIFS(ENSAYOS!$Q$5:$Q$3004,ENSAYOS!$C$5:$C$3004,F560,ENSAYOS!$Q$5:$Q$3004,"&gt;0",ENSAYOS!$G$5:$G$3004,"&gt;="&amp;CONFIG!$B$27)))</f>
        <v/>
      </c>
      <c r="W560" s="18" t="str">
        <f aca="false">IF(AND(U560&lt;&gt;"",V560&lt;&gt;""),U560/V560,"")</f>
        <v/>
      </c>
      <c r="X560" s="18" t="str">
        <f aca="false">IF(U560="","",INDEX('CURVA EDAD'!$E$5:$E$32,MIN(28,MAX(1,N560))))</f>
        <v/>
      </c>
      <c r="Y560" s="16" t="str">
        <f aca="false">IF(V560&lt;&gt;"",V560,IF(U560="","",U560/X560))</f>
        <v/>
      </c>
      <c r="Z560" s="16" t="str">
        <f aca="false">IF(V560&lt;&gt;"",_xlfn.MINIFS(ENSAYOS!$Q$5:$Q$3004,ENSAYOS!$C$5:$C$3004,F560,ENSAYOS!$Q$5:$Q$3004,"&gt;0",ENSAYOS!$G$5:$G$3004,"&gt;="&amp;CONFIG!$B$27),IF(U560="","",_xlfn.MINIFS(ENSAYOS!$Q$5:$Q$3004,ENSAYOS!$C$5:$C$3004,F560,ENSAYOS!$Q$5:$Q$3004,"&gt;0",ENSAYOS!$G$5:$G$3004,N560)/X560))</f>
        <v/>
      </c>
      <c r="AA560" s="16" t="str">
        <f aca="false">IF(D560="","",IFERROR(1/(1/INDEX(CONFIG!$J$5:$J$14,MATCH(D560,CONFIG!$D$5:$D$14,0))),""))</f>
        <v/>
      </c>
      <c r="AB560" s="16" t="str">
        <f aca="false">IF(D560="","",IFERROR(1/(1/INDEX(CONFIG!$K$5:$K$14,MATCH(D560,CONFIG!$D$5:$D$14,0))),""))</f>
        <v/>
      </c>
      <c r="AC560" s="19" t="str">
        <f aca="false">IF(N(M560)=0,"",IF(AA560="","Sin spec",IF(AND(Y560&gt;=AA560,OR(AB560="",Z560&gt;=AB560)),"CUMPLE","NO CUMPLE")&amp;IF(V560=""," (est.)","")))</f>
        <v/>
      </c>
      <c r="AD560" s="20" t="str">
        <f aca="false">IF(F560="","",IF(COUNTIFS(ABSORCION!$C$5:$C$1004,F560,ABSORCION!$I$5:$I$1004,"&gt;0")=0,"",AVERAGEIFS(ABSORCION!$I$5:$I$1004,ABSORCION!$C$5:$C$1004,F560,ABSORCION!$I$5:$I$1004,"&gt;0")))</f>
        <v/>
      </c>
      <c r="AE560" s="20" t="str">
        <f aca="false">IF(F560="","",IF(COUNTIFS(ABSORCION!$C$5:$C$1004,F560,ABSORCION!$I$5:$I$1004,"&gt;0")=0,"",AVERAGEIFS(ABSORCION!$K$5:$K$1004,ABSORCION!$C$5:$C$1004,F560,ABSORCION!$I$5:$I$1004,"&gt;0")))</f>
        <v/>
      </c>
      <c r="AF560" s="20" t="str">
        <f aca="false">IF(AE560="","",IF(AE560&gt;=CONFIG!$E$21,CONFIG!$F$21,IF(AE560&gt;=CONFIG!$E$20,CONFIG!$F$20,CONFIG!$F$19)))</f>
        <v/>
      </c>
      <c r="AG560" s="21" t="str">
        <f aca="false">IF(F560="","",TRIM(IF(N(M560)=0,"Sin ensayos. ","")&amp;IF(AND(N(M560)&gt;0,N(M560)&lt;CONFIG!$B$26),"Menos de "&amp;CONFIG!$B$26&amp;" probetas. ","")&amp;IF(N(T560)&gt;CONFIG!$B$25,"CV alto. ","")&amp;IF(AND(N(AD560)&gt;0,N(AD560)&gt;N(AF560)),"Absorción alta. ","")))</f>
        <v/>
      </c>
      <c r="AH560" s="22" t="str">
        <f aca="false">IF(AND(N(M560)&gt;0,OR(CONTROL!$C$4="TODAS",C560=CONTROL!$C$4),D560=CONTROL!$C$5),MAX($AH$4:AH559)+1,"")</f>
        <v/>
      </c>
      <c r="AI560" s="22" t="str">
        <f aca="false">IF(AH560="","",P560^2)</f>
        <v/>
      </c>
    </row>
    <row r="561" customFormat="false" ht="15" hidden="false" customHeight="false" outlineLevel="0" collapsed="false">
      <c r="A561" s="11" t="str">
        <f aca="false">IF(B561="","",ROW()-4)</f>
        <v/>
      </c>
      <c r="B561" s="12"/>
      <c r="C561" s="13"/>
      <c r="D561" s="13"/>
      <c r="E561" s="13"/>
      <c r="F561" s="14" t="str">
        <f aca="false">IF(OR(B561="",C561="",D561=""),"",IFERROR(INDEX(CONFIG!$E$5:$E$14,MATCH(D561,CONFIG!$D$5:$D$14,0)),"?")&amp;RIGHT("0"&amp;DAY(B561),2)&amp;RIGHT("0"&amp;MONTH(B561),2)&amp;RIGHT(YEAR(B561),2)&amp;C561&amp;IF(E561="","","-"&amp;E561))</f>
        <v/>
      </c>
      <c r="G561" s="13"/>
      <c r="H561" s="13"/>
      <c r="I561" s="13"/>
      <c r="J561" s="13"/>
      <c r="K561" s="13"/>
      <c r="L561" s="13"/>
      <c r="M561" s="11" t="str">
        <f aca="false">IF(F561="","",COUNTIFS(ENSAYOS!$C$5:$C$3004,F561,ENSAYOS!$Q$5:$Q$3004,"&gt;0"))</f>
        <v/>
      </c>
      <c r="N561" s="15" t="str">
        <f aca="false">IF(N(M561)=0,"",_xlfn.MINIFS(ENSAYOS!$G$5:$G$3004,ENSAYOS!$C$5:$C$3004,F561,ENSAYOS!$Q$5:$Q$3004,"&gt;0"))</f>
        <v/>
      </c>
      <c r="O561" s="15" t="str">
        <f aca="false">IF(N(M561)=0,"",_xlfn.MAXIFS(ENSAYOS!$G$5:$G$3004,ENSAYOS!$C$5:$C$3004,F561,ENSAYOS!$Q$5:$Q$3004,"&gt;0"))</f>
        <v/>
      </c>
      <c r="P561" s="16" t="str">
        <f aca="false">IF(N(M561)=0,"",AVERAGEIFS(ENSAYOS!$Q$5:$Q$3004,ENSAYOS!$C$5:$C$3004,F561,ENSAYOS!$Q$5:$Q$3004,"&gt;0"))</f>
        <v/>
      </c>
      <c r="Q561" s="16" t="str">
        <f aca="false">IF(N(M561)=0,"",_xlfn.MINIFS(ENSAYOS!$Q$5:$Q$3004,ENSAYOS!$C$5:$C$3004,F561,ENSAYOS!$Q$5:$Q$3004,"&gt;0"))</f>
        <v/>
      </c>
      <c r="R561" s="16" t="str">
        <f aca="false">IF(N(M561)=0,"",_xlfn.MAXIFS(ENSAYOS!$Q$5:$Q$3004,ENSAYOS!$C$5:$C$3004,F561,ENSAYOS!$Q$5:$Q$3004,"&gt;0"))</f>
        <v/>
      </c>
      <c r="S561" s="16" t="str">
        <f aca="false">IF(N(M561)&lt;2,"",SQRT(MAX(0,(SUMIFS(ENSAYOS!$X$5:$X$3004,ENSAYOS!$C$5:$C$3004,F561,ENSAYOS!$Q$5:$Q$3004,"&gt;0")-M561*P561^2)/(M561-1))))</f>
        <v/>
      </c>
      <c r="T561" s="17" t="str">
        <f aca="false">IF(S561="","",S561/P561)</f>
        <v/>
      </c>
      <c r="U561" s="16" t="str">
        <f aca="false">IF(N(M561)=0,"",IF(N561&gt;=CONFIG!$B$27,"",AVERAGEIFS(ENSAYOS!$Q$5:$Q$3004,ENSAYOS!$C$5:$C$3004,F561,ENSAYOS!$Q$5:$Q$3004,"&gt;0",ENSAYOS!$G$5:$G$3004,N561)))</f>
        <v/>
      </c>
      <c r="V561" s="16" t="str">
        <f aca="false">IF(N(M561)=0,"",IF(COUNTIFS(ENSAYOS!$C$5:$C$3004,F561,ENSAYOS!$Q$5:$Q$3004,"&gt;0",ENSAYOS!$G$5:$G$3004,"&gt;="&amp;CONFIG!$B$27)=0,"",AVERAGEIFS(ENSAYOS!$Q$5:$Q$3004,ENSAYOS!$C$5:$C$3004,F561,ENSAYOS!$Q$5:$Q$3004,"&gt;0",ENSAYOS!$G$5:$G$3004,"&gt;="&amp;CONFIG!$B$27)))</f>
        <v/>
      </c>
      <c r="W561" s="18" t="str">
        <f aca="false">IF(AND(U561&lt;&gt;"",V561&lt;&gt;""),U561/V561,"")</f>
        <v/>
      </c>
      <c r="X561" s="18" t="str">
        <f aca="false">IF(U561="","",INDEX('CURVA EDAD'!$E$5:$E$32,MIN(28,MAX(1,N561))))</f>
        <v/>
      </c>
      <c r="Y561" s="16" t="str">
        <f aca="false">IF(V561&lt;&gt;"",V561,IF(U561="","",U561/X561))</f>
        <v/>
      </c>
      <c r="Z561" s="16" t="str">
        <f aca="false">IF(V561&lt;&gt;"",_xlfn.MINIFS(ENSAYOS!$Q$5:$Q$3004,ENSAYOS!$C$5:$C$3004,F561,ENSAYOS!$Q$5:$Q$3004,"&gt;0",ENSAYOS!$G$5:$G$3004,"&gt;="&amp;CONFIG!$B$27),IF(U561="","",_xlfn.MINIFS(ENSAYOS!$Q$5:$Q$3004,ENSAYOS!$C$5:$C$3004,F561,ENSAYOS!$Q$5:$Q$3004,"&gt;0",ENSAYOS!$G$5:$G$3004,N561)/X561))</f>
        <v/>
      </c>
      <c r="AA561" s="16" t="str">
        <f aca="false">IF(D561="","",IFERROR(1/(1/INDEX(CONFIG!$J$5:$J$14,MATCH(D561,CONFIG!$D$5:$D$14,0))),""))</f>
        <v/>
      </c>
      <c r="AB561" s="16" t="str">
        <f aca="false">IF(D561="","",IFERROR(1/(1/INDEX(CONFIG!$K$5:$K$14,MATCH(D561,CONFIG!$D$5:$D$14,0))),""))</f>
        <v/>
      </c>
      <c r="AC561" s="19" t="str">
        <f aca="false">IF(N(M561)=0,"",IF(AA561="","Sin spec",IF(AND(Y561&gt;=AA561,OR(AB561="",Z561&gt;=AB561)),"CUMPLE","NO CUMPLE")&amp;IF(V561=""," (est.)","")))</f>
        <v/>
      </c>
      <c r="AD561" s="20" t="str">
        <f aca="false">IF(F561="","",IF(COUNTIFS(ABSORCION!$C$5:$C$1004,F561,ABSORCION!$I$5:$I$1004,"&gt;0")=0,"",AVERAGEIFS(ABSORCION!$I$5:$I$1004,ABSORCION!$C$5:$C$1004,F561,ABSORCION!$I$5:$I$1004,"&gt;0")))</f>
        <v/>
      </c>
      <c r="AE561" s="20" t="str">
        <f aca="false">IF(F561="","",IF(COUNTIFS(ABSORCION!$C$5:$C$1004,F561,ABSORCION!$I$5:$I$1004,"&gt;0")=0,"",AVERAGEIFS(ABSORCION!$K$5:$K$1004,ABSORCION!$C$5:$C$1004,F561,ABSORCION!$I$5:$I$1004,"&gt;0")))</f>
        <v/>
      </c>
      <c r="AF561" s="20" t="str">
        <f aca="false">IF(AE561="","",IF(AE561&gt;=CONFIG!$E$21,CONFIG!$F$21,IF(AE561&gt;=CONFIG!$E$20,CONFIG!$F$20,CONFIG!$F$19)))</f>
        <v/>
      </c>
      <c r="AG561" s="21" t="str">
        <f aca="false">IF(F561="","",TRIM(IF(N(M561)=0,"Sin ensayos. ","")&amp;IF(AND(N(M561)&gt;0,N(M561)&lt;CONFIG!$B$26),"Menos de "&amp;CONFIG!$B$26&amp;" probetas. ","")&amp;IF(N(T561)&gt;CONFIG!$B$25,"CV alto. ","")&amp;IF(AND(N(AD561)&gt;0,N(AD561)&gt;N(AF561)),"Absorción alta. ","")))</f>
        <v/>
      </c>
      <c r="AH561" s="22" t="str">
        <f aca="false">IF(AND(N(M561)&gt;0,OR(CONTROL!$C$4="TODAS",C561=CONTROL!$C$4),D561=CONTROL!$C$5),MAX($AH$4:AH560)+1,"")</f>
        <v/>
      </c>
      <c r="AI561" s="22" t="str">
        <f aca="false">IF(AH561="","",P561^2)</f>
        <v/>
      </c>
    </row>
    <row r="562" customFormat="false" ht="15" hidden="false" customHeight="false" outlineLevel="0" collapsed="false">
      <c r="A562" s="11" t="str">
        <f aca="false">IF(B562="","",ROW()-4)</f>
        <v/>
      </c>
      <c r="B562" s="12"/>
      <c r="C562" s="13"/>
      <c r="D562" s="13"/>
      <c r="E562" s="13"/>
      <c r="F562" s="14" t="str">
        <f aca="false">IF(OR(B562="",C562="",D562=""),"",IFERROR(INDEX(CONFIG!$E$5:$E$14,MATCH(D562,CONFIG!$D$5:$D$14,0)),"?")&amp;RIGHT("0"&amp;DAY(B562),2)&amp;RIGHT("0"&amp;MONTH(B562),2)&amp;RIGHT(YEAR(B562),2)&amp;C562&amp;IF(E562="","","-"&amp;E562))</f>
        <v/>
      </c>
      <c r="G562" s="13"/>
      <c r="H562" s="13"/>
      <c r="I562" s="13"/>
      <c r="J562" s="13"/>
      <c r="K562" s="13"/>
      <c r="L562" s="13"/>
      <c r="M562" s="11" t="str">
        <f aca="false">IF(F562="","",COUNTIFS(ENSAYOS!$C$5:$C$3004,F562,ENSAYOS!$Q$5:$Q$3004,"&gt;0"))</f>
        <v/>
      </c>
      <c r="N562" s="15" t="str">
        <f aca="false">IF(N(M562)=0,"",_xlfn.MINIFS(ENSAYOS!$G$5:$G$3004,ENSAYOS!$C$5:$C$3004,F562,ENSAYOS!$Q$5:$Q$3004,"&gt;0"))</f>
        <v/>
      </c>
      <c r="O562" s="15" t="str">
        <f aca="false">IF(N(M562)=0,"",_xlfn.MAXIFS(ENSAYOS!$G$5:$G$3004,ENSAYOS!$C$5:$C$3004,F562,ENSAYOS!$Q$5:$Q$3004,"&gt;0"))</f>
        <v/>
      </c>
      <c r="P562" s="16" t="str">
        <f aca="false">IF(N(M562)=0,"",AVERAGEIFS(ENSAYOS!$Q$5:$Q$3004,ENSAYOS!$C$5:$C$3004,F562,ENSAYOS!$Q$5:$Q$3004,"&gt;0"))</f>
        <v/>
      </c>
      <c r="Q562" s="16" t="str">
        <f aca="false">IF(N(M562)=0,"",_xlfn.MINIFS(ENSAYOS!$Q$5:$Q$3004,ENSAYOS!$C$5:$C$3004,F562,ENSAYOS!$Q$5:$Q$3004,"&gt;0"))</f>
        <v/>
      </c>
      <c r="R562" s="16" t="str">
        <f aca="false">IF(N(M562)=0,"",_xlfn.MAXIFS(ENSAYOS!$Q$5:$Q$3004,ENSAYOS!$C$5:$C$3004,F562,ENSAYOS!$Q$5:$Q$3004,"&gt;0"))</f>
        <v/>
      </c>
      <c r="S562" s="16" t="str">
        <f aca="false">IF(N(M562)&lt;2,"",SQRT(MAX(0,(SUMIFS(ENSAYOS!$X$5:$X$3004,ENSAYOS!$C$5:$C$3004,F562,ENSAYOS!$Q$5:$Q$3004,"&gt;0")-M562*P562^2)/(M562-1))))</f>
        <v/>
      </c>
      <c r="T562" s="17" t="str">
        <f aca="false">IF(S562="","",S562/P562)</f>
        <v/>
      </c>
      <c r="U562" s="16" t="str">
        <f aca="false">IF(N(M562)=0,"",IF(N562&gt;=CONFIG!$B$27,"",AVERAGEIFS(ENSAYOS!$Q$5:$Q$3004,ENSAYOS!$C$5:$C$3004,F562,ENSAYOS!$Q$5:$Q$3004,"&gt;0",ENSAYOS!$G$5:$G$3004,N562)))</f>
        <v/>
      </c>
      <c r="V562" s="16" t="str">
        <f aca="false">IF(N(M562)=0,"",IF(COUNTIFS(ENSAYOS!$C$5:$C$3004,F562,ENSAYOS!$Q$5:$Q$3004,"&gt;0",ENSAYOS!$G$5:$G$3004,"&gt;="&amp;CONFIG!$B$27)=0,"",AVERAGEIFS(ENSAYOS!$Q$5:$Q$3004,ENSAYOS!$C$5:$C$3004,F562,ENSAYOS!$Q$5:$Q$3004,"&gt;0",ENSAYOS!$G$5:$G$3004,"&gt;="&amp;CONFIG!$B$27)))</f>
        <v/>
      </c>
      <c r="W562" s="18" t="str">
        <f aca="false">IF(AND(U562&lt;&gt;"",V562&lt;&gt;""),U562/V562,"")</f>
        <v/>
      </c>
      <c r="X562" s="18" t="str">
        <f aca="false">IF(U562="","",INDEX('CURVA EDAD'!$E$5:$E$32,MIN(28,MAX(1,N562))))</f>
        <v/>
      </c>
      <c r="Y562" s="16" t="str">
        <f aca="false">IF(V562&lt;&gt;"",V562,IF(U562="","",U562/X562))</f>
        <v/>
      </c>
      <c r="Z562" s="16" t="str">
        <f aca="false">IF(V562&lt;&gt;"",_xlfn.MINIFS(ENSAYOS!$Q$5:$Q$3004,ENSAYOS!$C$5:$C$3004,F562,ENSAYOS!$Q$5:$Q$3004,"&gt;0",ENSAYOS!$G$5:$G$3004,"&gt;="&amp;CONFIG!$B$27),IF(U562="","",_xlfn.MINIFS(ENSAYOS!$Q$5:$Q$3004,ENSAYOS!$C$5:$C$3004,F562,ENSAYOS!$Q$5:$Q$3004,"&gt;0",ENSAYOS!$G$5:$G$3004,N562)/X562))</f>
        <v/>
      </c>
      <c r="AA562" s="16" t="str">
        <f aca="false">IF(D562="","",IFERROR(1/(1/INDEX(CONFIG!$J$5:$J$14,MATCH(D562,CONFIG!$D$5:$D$14,0))),""))</f>
        <v/>
      </c>
      <c r="AB562" s="16" t="str">
        <f aca="false">IF(D562="","",IFERROR(1/(1/INDEX(CONFIG!$K$5:$K$14,MATCH(D562,CONFIG!$D$5:$D$14,0))),""))</f>
        <v/>
      </c>
      <c r="AC562" s="19" t="str">
        <f aca="false">IF(N(M562)=0,"",IF(AA562="","Sin spec",IF(AND(Y562&gt;=AA562,OR(AB562="",Z562&gt;=AB562)),"CUMPLE","NO CUMPLE")&amp;IF(V562=""," (est.)","")))</f>
        <v/>
      </c>
      <c r="AD562" s="20" t="str">
        <f aca="false">IF(F562="","",IF(COUNTIFS(ABSORCION!$C$5:$C$1004,F562,ABSORCION!$I$5:$I$1004,"&gt;0")=0,"",AVERAGEIFS(ABSORCION!$I$5:$I$1004,ABSORCION!$C$5:$C$1004,F562,ABSORCION!$I$5:$I$1004,"&gt;0")))</f>
        <v/>
      </c>
      <c r="AE562" s="20" t="str">
        <f aca="false">IF(F562="","",IF(COUNTIFS(ABSORCION!$C$5:$C$1004,F562,ABSORCION!$I$5:$I$1004,"&gt;0")=0,"",AVERAGEIFS(ABSORCION!$K$5:$K$1004,ABSORCION!$C$5:$C$1004,F562,ABSORCION!$I$5:$I$1004,"&gt;0")))</f>
        <v/>
      </c>
      <c r="AF562" s="20" t="str">
        <f aca="false">IF(AE562="","",IF(AE562&gt;=CONFIG!$E$21,CONFIG!$F$21,IF(AE562&gt;=CONFIG!$E$20,CONFIG!$F$20,CONFIG!$F$19)))</f>
        <v/>
      </c>
      <c r="AG562" s="21" t="str">
        <f aca="false">IF(F562="","",TRIM(IF(N(M562)=0,"Sin ensayos. ","")&amp;IF(AND(N(M562)&gt;0,N(M562)&lt;CONFIG!$B$26),"Menos de "&amp;CONFIG!$B$26&amp;" probetas. ","")&amp;IF(N(T562)&gt;CONFIG!$B$25,"CV alto. ","")&amp;IF(AND(N(AD562)&gt;0,N(AD562)&gt;N(AF562)),"Absorción alta. ","")))</f>
        <v/>
      </c>
      <c r="AH562" s="22" t="str">
        <f aca="false">IF(AND(N(M562)&gt;0,OR(CONTROL!$C$4="TODAS",C562=CONTROL!$C$4),D562=CONTROL!$C$5),MAX($AH$4:AH561)+1,"")</f>
        <v/>
      </c>
      <c r="AI562" s="22" t="str">
        <f aca="false">IF(AH562="","",P562^2)</f>
        <v/>
      </c>
    </row>
    <row r="563" customFormat="false" ht="15" hidden="false" customHeight="false" outlineLevel="0" collapsed="false">
      <c r="A563" s="11" t="str">
        <f aca="false">IF(B563="","",ROW()-4)</f>
        <v/>
      </c>
      <c r="B563" s="12"/>
      <c r="C563" s="13"/>
      <c r="D563" s="13"/>
      <c r="E563" s="13"/>
      <c r="F563" s="14" t="str">
        <f aca="false">IF(OR(B563="",C563="",D563=""),"",IFERROR(INDEX(CONFIG!$E$5:$E$14,MATCH(D563,CONFIG!$D$5:$D$14,0)),"?")&amp;RIGHT("0"&amp;DAY(B563),2)&amp;RIGHT("0"&amp;MONTH(B563),2)&amp;RIGHT(YEAR(B563),2)&amp;C563&amp;IF(E563="","","-"&amp;E563))</f>
        <v/>
      </c>
      <c r="G563" s="13"/>
      <c r="H563" s="13"/>
      <c r="I563" s="13"/>
      <c r="J563" s="13"/>
      <c r="K563" s="13"/>
      <c r="L563" s="13"/>
      <c r="M563" s="11" t="str">
        <f aca="false">IF(F563="","",COUNTIFS(ENSAYOS!$C$5:$C$3004,F563,ENSAYOS!$Q$5:$Q$3004,"&gt;0"))</f>
        <v/>
      </c>
      <c r="N563" s="15" t="str">
        <f aca="false">IF(N(M563)=0,"",_xlfn.MINIFS(ENSAYOS!$G$5:$G$3004,ENSAYOS!$C$5:$C$3004,F563,ENSAYOS!$Q$5:$Q$3004,"&gt;0"))</f>
        <v/>
      </c>
      <c r="O563" s="15" t="str">
        <f aca="false">IF(N(M563)=0,"",_xlfn.MAXIFS(ENSAYOS!$G$5:$G$3004,ENSAYOS!$C$5:$C$3004,F563,ENSAYOS!$Q$5:$Q$3004,"&gt;0"))</f>
        <v/>
      </c>
      <c r="P563" s="16" t="str">
        <f aca="false">IF(N(M563)=0,"",AVERAGEIFS(ENSAYOS!$Q$5:$Q$3004,ENSAYOS!$C$5:$C$3004,F563,ENSAYOS!$Q$5:$Q$3004,"&gt;0"))</f>
        <v/>
      </c>
      <c r="Q563" s="16" t="str">
        <f aca="false">IF(N(M563)=0,"",_xlfn.MINIFS(ENSAYOS!$Q$5:$Q$3004,ENSAYOS!$C$5:$C$3004,F563,ENSAYOS!$Q$5:$Q$3004,"&gt;0"))</f>
        <v/>
      </c>
      <c r="R563" s="16" t="str">
        <f aca="false">IF(N(M563)=0,"",_xlfn.MAXIFS(ENSAYOS!$Q$5:$Q$3004,ENSAYOS!$C$5:$C$3004,F563,ENSAYOS!$Q$5:$Q$3004,"&gt;0"))</f>
        <v/>
      </c>
      <c r="S563" s="16" t="str">
        <f aca="false">IF(N(M563)&lt;2,"",SQRT(MAX(0,(SUMIFS(ENSAYOS!$X$5:$X$3004,ENSAYOS!$C$5:$C$3004,F563,ENSAYOS!$Q$5:$Q$3004,"&gt;0")-M563*P563^2)/(M563-1))))</f>
        <v/>
      </c>
      <c r="T563" s="17" t="str">
        <f aca="false">IF(S563="","",S563/P563)</f>
        <v/>
      </c>
      <c r="U563" s="16" t="str">
        <f aca="false">IF(N(M563)=0,"",IF(N563&gt;=CONFIG!$B$27,"",AVERAGEIFS(ENSAYOS!$Q$5:$Q$3004,ENSAYOS!$C$5:$C$3004,F563,ENSAYOS!$Q$5:$Q$3004,"&gt;0",ENSAYOS!$G$5:$G$3004,N563)))</f>
        <v/>
      </c>
      <c r="V563" s="16" t="str">
        <f aca="false">IF(N(M563)=0,"",IF(COUNTIFS(ENSAYOS!$C$5:$C$3004,F563,ENSAYOS!$Q$5:$Q$3004,"&gt;0",ENSAYOS!$G$5:$G$3004,"&gt;="&amp;CONFIG!$B$27)=0,"",AVERAGEIFS(ENSAYOS!$Q$5:$Q$3004,ENSAYOS!$C$5:$C$3004,F563,ENSAYOS!$Q$5:$Q$3004,"&gt;0",ENSAYOS!$G$5:$G$3004,"&gt;="&amp;CONFIG!$B$27)))</f>
        <v/>
      </c>
      <c r="W563" s="18" t="str">
        <f aca="false">IF(AND(U563&lt;&gt;"",V563&lt;&gt;""),U563/V563,"")</f>
        <v/>
      </c>
      <c r="X563" s="18" t="str">
        <f aca="false">IF(U563="","",INDEX('CURVA EDAD'!$E$5:$E$32,MIN(28,MAX(1,N563))))</f>
        <v/>
      </c>
      <c r="Y563" s="16" t="str">
        <f aca="false">IF(V563&lt;&gt;"",V563,IF(U563="","",U563/X563))</f>
        <v/>
      </c>
      <c r="Z563" s="16" t="str">
        <f aca="false">IF(V563&lt;&gt;"",_xlfn.MINIFS(ENSAYOS!$Q$5:$Q$3004,ENSAYOS!$C$5:$C$3004,F563,ENSAYOS!$Q$5:$Q$3004,"&gt;0",ENSAYOS!$G$5:$G$3004,"&gt;="&amp;CONFIG!$B$27),IF(U563="","",_xlfn.MINIFS(ENSAYOS!$Q$5:$Q$3004,ENSAYOS!$C$5:$C$3004,F563,ENSAYOS!$Q$5:$Q$3004,"&gt;0",ENSAYOS!$G$5:$G$3004,N563)/X563))</f>
        <v/>
      </c>
      <c r="AA563" s="16" t="str">
        <f aca="false">IF(D563="","",IFERROR(1/(1/INDEX(CONFIG!$J$5:$J$14,MATCH(D563,CONFIG!$D$5:$D$14,0))),""))</f>
        <v/>
      </c>
      <c r="AB563" s="16" t="str">
        <f aca="false">IF(D563="","",IFERROR(1/(1/INDEX(CONFIG!$K$5:$K$14,MATCH(D563,CONFIG!$D$5:$D$14,0))),""))</f>
        <v/>
      </c>
      <c r="AC563" s="19" t="str">
        <f aca="false">IF(N(M563)=0,"",IF(AA563="","Sin spec",IF(AND(Y563&gt;=AA563,OR(AB563="",Z563&gt;=AB563)),"CUMPLE","NO CUMPLE")&amp;IF(V563=""," (est.)","")))</f>
        <v/>
      </c>
      <c r="AD563" s="20" t="str">
        <f aca="false">IF(F563="","",IF(COUNTIFS(ABSORCION!$C$5:$C$1004,F563,ABSORCION!$I$5:$I$1004,"&gt;0")=0,"",AVERAGEIFS(ABSORCION!$I$5:$I$1004,ABSORCION!$C$5:$C$1004,F563,ABSORCION!$I$5:$I$1004,"&gt;0")))</f>
        <v/>
      </c>
      <c r="AE563" s="20" t="str">
        <f aca="false">IF(F563="","",IF(COUNTIFS(ABSORCION!$C$5:$C$1004,F563,ABSORCION!$I$5:$I$1004,"&gt;0")=0,"",AVERAGEIFS(ABSORCION!$K$5:$K$1004,ABSORCION!$C$5:$C$1004,F563,ABSORCION!$I$5:$I$1004,"&gt;0")))</f>
        <v/>
      </c>
      <c r="AF563" s="20" t="str">
        <f aca="false">IF(AE563="","",IF(AE563&gt;=CONFIG!$E$21,CONFIG!$F$21,IF(AE563&gt;=CONFIG!$E$20,CONFIG!$F$20,CONFIG!$F$19)))</f>
        <v/>
      </c>
      <c r="AG563" s="21" t="str">
        <f aca="false">IF(F563="","",TRIM(IF(N(M563)=0,"Sin ensayos. ","")&amp;IF(AND(N(M563)&gt;0,N(M563)&lt;CONFIG!$B$26),"Menos de "&amp;CONFIG!$B$26&amp;" probetas. ","")&amp;IF(N(T563)&gt;CONFIG!$B$25,"CV alto. ","")&amp;IF(AND(N(AD563)&gt;0,N(AD563)&gt;N(AF563)),"Absorción alta. ","")))</f>
        <v/>
      </c>
      <c r="AH563" s="22" t="str">
        <f aca="false">IF(AND(N(M563)&gt;0,OR(CONTROL!$C$4="TODAS",C563=CONTROL!$C$4),D563=CONTROL!$C$5),MAX($AH$4:AH562)+1,"")</f>
        <v/>
      </c>
      <c r="AI563" s="22" t="str">
        <f aca="false">IF(AH563="","",P563^2)</f>
        <v/>
      </c>
    </row>
    <row r="564" customFormat="false" ht="15" hidden="false" customHeight="false" outlineLevel="0" collapsed="false">
      <c r="A564" s="11" t="str">
        <f aca="false">IF(B564="","",ROW()-4)</f>
        <v/>
      </c>
      <c r="B564" s="12"/>
      <c r="C564" s="13"/>
      <c r="D564" s="13"/>
      <c r="E564" s="13"/>
      <c r="F564" s="14" t="str">
        <f aca="false">IF(OR(B564="",C564="",D564=""),"",IFERROR(INDEX(CONFIG!$E$5:$E$14,MATCH(D564,CONFIG!$D$5:$D$14,0)),"?")&amp;RIGHT("0"&amp;DAY(B564),2)&amp;RIGHT("0"&amp;MONTH(B564),2)&amp;RIGHT(YEAR(B564),2)&amp;C564&amp;IF(E564="","","-"&amp;E564))</f>
        <v/>
      </c>
      <c r="G564" s="13"/>
      <c r="H564" s="13"/>
      <c r="I564" s="13"/>
      <c r="J564" s="13"/>
      <c r="K564" s="13"/>
      <c r="L564" s="13"/>
      <c r="M564" s="11" t="str">
        <f aca="false">IF(F564="","",COUNTIFS(ENSAYOS!$C$5:$C$3004,F564,ENSAYOS!$Q$5:$Q$3004,"&gt;0"))</f>
        <v/>
      </c>
      <c r="N564" s="15" t="str">
        <f aca="false">IF(N(M564)=0,"",_xlfn.MINIFS(ENSAYOS!$G$5:$G$3004,ENSAYOS!$C$5:$C$3004,F564,ENSAYOS!$Q$5:$Q$3004,"&gt;0"))</f>
        <v/>
      </c>
      <c r="O564" s="15" t="str">
        <f aca="false">IF(N(M564)=0,"",_xlfn.MAXIFS(ENSAYOS!$G$5:$G$3004,ENSAYOS!$C$5:$C$3004,F564,ENSAYOS!$Q$5:$Q$3004,"&gt;0"))</f>
        <v/>
      </c>
      <c r="P564" s="16" t="str">
        <f aca="false">IF(N(M564)=0,"",AVERAGEIFS(ENSAYOS!$Q$5:$Q$3004,ENSAYOS!$C$5:$C$3004,F564,ENSAYOS!$Q$5:$Q$3004,"&gt;0"))</f>
        <v/>
      </c>
      <c r="Q564" s="16" t="str">
        <f aca="false">IF(N(M564)=0,"",_xlfn.MINIFS(ENSAYOS!$Q$5:$Q$3004,ENSAYOS!$C$5:$C$3004,F564,ENSAYOS!$Q$5:$Q$3004,"&gt;0"))</f>
        <v/>
      </c>
      <c r="R564" s="16" t="str">
        <f aca="false">IF(N(M564)=0,"",_xlfn.MAXIFS(ENSAYOS!$Q$5:$Q$3004,ENSAYOS!$C$5:$C$3004,F564,ENSAYOS!$Q$5:$Q$3004,"&gt;0"))</f>
        <v/>
      </c>
      <c r="S564" s="16" t="str">
        <f aca="false">IF(N(M564)&lt;2,"",SQRT(MAX(0,(SUMIFS(ENSAYOS!$X$5:$X$3004,ENSAYOS!$C$5:$C$3004,F564,ENSAYOS!$Q$5:$Q$3004,"&gt;0")-M564*P564^2)/(M564-1))))</f>
        <v/>
      </c>
      <c r="T564" s="17" t="str">
        <f aca="false">IF(S564="","",S564/P564)</f>
        <v/>
      </c>
      <c r="U564" s="16" t="str">
        <f aca="false">IF(N(M564)=0,"",IF(N564&gt;=CONFIG!$B$27,"",AVERAGEIFS(ENSAYOS!$Q$5:$Q$3004,ENSAYOS!$C$5:$C$3004,F564,ENSAYOS!$Q$5:$Q$3004,"&gt;0",ENSAYOS!$G$5:$G$3004,N564)))</f>
        <v/>
      </c>
      <c r="V564" s="16" t="str">
        <f aca="false">IF(N(M564)=0,"",IF(COUNTIFS(ENSAYOS!$C$5:$C$3004,F564,ENSAYOS!$Q$5:$Q$3004,"&gt;0",ENSAYOS!$G$5:$G$3004,"&gt;="&amp;CONFIG!$B$27)=0,"",AVERAGEIFS(ENSAYOS!$Q$5:$Q$3004,ENSAYOS!$C$5:$C$3004,F564,ENSAYOS!$Q$5:$Q$3004,"&gt;0",ENSAYOS!$G$5:$G$3004,"&gt;="&amp;CONFIG!$B$27)))</f>
        <v/>
      </c>
      <c r="W564" s="18" t="str">
        <f aca="false">IF(AND(U564&lt;&gt;"",V564&lt;&gt;""),U564/V564,"")</f>
        <v/>
      </c>
      <c r="X564" s="18" t="str">
        <f aca="false">IF(U564="","",INDEX('CURVA EDAD'!$E$5:$E$32,MIN(28,MAX(1,N564))))</f>
        <v/>
      </c>
      <c r="Y564" s="16" t="str">
        <f aca="false">IF(V564&lt;&gt;"",V564,IF(U564="","",U564/X564))</f>
        <v/>
      </c>
      <c r="Z564" s="16" t="str">
        <f aca="false">IF(V564&lt;&gt;"",_xlfn.MINIFS(ENSAYOS!$Q$5:$Q$3004,ENSAYOS!$C$5:$C$3004,F564,ENSAYOS!$Q$5:$Q$3004,"&gt;0",ENSAYOS!$G$5:$G$3004,"&gt;="&amp;CONFIG!$B$27),IF(U564="","",_xlfn.MINIFS(ENSAYOS!$Q$5:$Q$3004,ENSAYOS!$C$5:$C$3004,F564,ENSAYOS!$Q$5:$Q$3004,"&gt;0",ENSAYOS!$G$5:$G$3004,N564)/X564))</f>
        <v/>
      </c>
      <c r="AA564" s="16" t="str">
        <f aca="false">IF(D564="","",IFERROR(1/(1/INDEX(CONFIG!$J$5:$J$14,MATCH(D564,CONFIG!$D$5:$D$14,0))),""))</f>
        <v/>
      </c>
      <c r="AB564" s="16" t="str">
        <f aca="false">IF(D564="","",IFERROR(1/(1/INDEX(CONFIG!$K$5:$K$14,MATCH(D564,CONFIG!$D$5:$D$14,0))),""))</f>
        <v/>
      </c>
      <c r="AC564" s="19" t="str">
        <f aca="false">IF(N(M564)=0,"",IF(AA564="","Sin spec",IF(AND(Y564&gt;=AA564,OR(AB564="",Z564&gt;=AB564)),"CUMPLE","NO CUMPLE")&amp;IF(V564=""," (est.)","")))</f>
        <v/>
      </c>
      <c r="AD564" s="20" t="str">
        <f aca="false">IF(F564="","",IF(COUNTIFS(ABSORCION!$C$5:$C$1004,F564,ABSORCION!$I$5:$I$1004,"&gt;0")=0,"",AVERAGEIFS(ABSORCION!$I$5:$I$1004,ABSORCION!$C$5:$C$1004,F564,ABSORCION!$I$5:$I$1004,"&gt;0")))</f>
        <v/>
      </c>
      <c r="AE564" s="20" t="str">
        <f aca="false">IF(F564="","",IF(COUNTIFS(ABSORCION!$C$5:$C$1004,F564,ABSORCION!$I$5:$I$1004,"&gt;0")=0,"",AVERAGEIFS(ABSORCION!$K$5:$K$1004,ABSORCION!$C$5:$C$1004,F564,ABSORCION!$I$5:$I$1004,"&gt;0")))</f>
        <v/>
      </c>
      <c r="AF564" s="20" t="str">
        <f aca="false">IF(AE564="","",IF(AE564&gt;=CONFIG!$E$21,CONFIG!$F$21,IF(AE564&gt;=CONFIG!$E$20,CONFIG!$F$20,CONFIG!$F$19)))</f>
        <v/>
      </c>
      <c r="AG564" s="21" t="str">
        <f aca="false">IF(F564="","",TRIM(IF(N(M564)=0,"Sin ensayos. ","")&amp;IF(AND(N(M564)&gt;0,N(M564)&lt;CONFIG!$B$26),"Menos de "&amp;CONFIG!$B$26&amp;" probetas. ","")&amp;IF(N(T564)&gt;CONFIG!$B$25,"CV alto. ","")&amp;IF(AND(N(AD564)&gt;0,N(AD564)&gt;N(AF564)),"Absorción alta. ","")))</f>
        <v/>
      </c>
      <c r="AH564" s="22" t="str">
        <f aca="false">IF(AND(N(M564)&gt;0,OR(CONTROL!$C$4="TODAS",C564=CONTROL!$C$4),D564=CONTROL!$C$5),MAX($AH$4:AH563)+1,"")</f>
        <v/>
      </c>
      <c r="AI564" s="22" t="str">
        <f aca="false">IF(AH564="","",P564^2)</f>
        <v/>
      </c>
    </row>
    <row r="565" customFormat="false" ht="15" hidden="false" customHeight="false" outlineLevel="0" collapsed="false">
      <c r="A565" s="11" t="str">
        <f aca="false">IF(B565="","",ROW()-4)</f>
        <v/>
      </c>
      <c r="B565" s="12"/>
      <c r="C565" s="13"/>
      <c r="D565" s="13"/>
      <c r="E565" s="13"/>
      <c r="F565" s="14" t="str">
        <f aca="false">IF(OR(B565="",C565="",D565=""),"",IFERROR(INDEX(CONFIG!$E$5:$E$14,MATCH(D565,CONFIG!$D$5:$D$14,0)),"?")&amp;RIGHT("0"&amp;DAY(B565),2)&amp;RIGHT("0"&amp;MONTH(B565),2)&amp;RIGHT(YEAR(B565),2)&amp;C565&amp;IF(E565="","","-"&amp;E565))</f>
        <v/>
      </c>
      <c r="G565" s="13"/>
      <c r="H565" s="13"/>
      <c r="I565" s="13"/>
      <c r="J565" s="13"/>
      <c r="K565" s="13"/>
      <c r="L565" s="13"/>
      <c r="M565" s="11" t="str">
        <f aca="false">IF(F565="","",COUNTIFS(ENSAYOS!$C$5:$C$3004,F565,ENSAYOS!$Q$5:$Q$3004,"&gt;0"))</f>
        <v/>
      </c>
      <c r="N565" s="15" t="str">
        <f aca="false">IF(N(M565)=0,"",_xlfn.MINIFS(ENSAYOS!$G$5:$G$3004,ENSAYOS!$C$5:$C$3004,F565,ENSAYOS!$Q$5:$Q$3004,"&gt;0"))</f>
        <v/>
      </c>
      <c r="O565" s="15" t="str">
        <f aca="false">IF(N(M565)=0,"",_xlfn.MAXIFS(ENSAYOS!$G$5:$G$3004,ENSAYOS!$C$5:$C$3004,F565,ENSAYOS!$Q$5:$Q$3004,"&gt;0"))</f>
        <v/>
      </c>
      <c r="P565" s="16" t="str">
        <f aca="false">IF(N(M565)=0,"",AVERAGEIFS(ENSAYOS!$Q$5:$Q$3004,ENSAYOS!$C$5:$C$3004,F565,ENSAYOS!$Q$5:$Q$3004,"&gt;0"))</f>
        <v/>
      </c>
      <c r="Q565" s="16" t="str">
        <f aca="false">IF(N(M565)=0,"",_xlfn.MINIFS(ENSAYOS!$Q$5:$Q$3004,ENSAYOS!$C$5:$C$3004,F565,ENSAYOS!$Q$5:$Q$3004,"&gt;0"))</f>
        <v/>
      </c>
      <c r="R565" s="16" t="str">
        <f aca="false">IF(N(M565)=0,"",_xlfn.MAXIFS(ENSAYOS!$Q$5:$Q$3004,ENSAYOS!$C$5:$C$3004,F565,ENSAYOS!$Q$5:$Q$3004,"&gt;0"))</f>
        <v/>
      </c>
      <c r="S565" s="16" t="str">
        <f aca="false">IF(N(M565)&lt;2,"",SQRT(MAX(0,(SUMIFS(ENSAYOS!$X$5:$X$3004,ENSAYOS!$C$5:$C$3004,F565,ENSAYOS!$Q$5:$Q$3004,"&gt;0")-M565*P565^2)/(M565-1))))</f>
        <v/>
      </c>
      <c r="T565" s="17" t="str">
        <f aca="false">IF(S565="","",S565/P565)</f>
        <v/>
      </c>
      <c r="U565" s="16" t="str">
        <f aca="false">IF(N(M565)=0,"",IF(N565&gt;=CONFIG!$B$27,"",AVERAGEIFS(ENSAYOS!$Q$5:$Q$3004,ENSAYOS!$C$5:$C$3004,F565,ENSAYOS!$Q$5:$Q$3004,"&gt;0",ENSAYOS!$G$5:$G$3004,N565)))</f>
        <v/>
      </c>
      <c r="V565" s="16" t="str">
        <f aca="false">IF(N(M565)=0,"",IF(COUNTIFS(ENSAYOS!$C$5:$C$3004,F565,ENSAYOS!$Q$5:$Q$3004,"&gt;0",ENSAYOS!$G$5:$G$3004,"&gt;="&amp;CONFIG!$B$27)=0,"",AVERAGEIFS(ENSAYOS!$Q$5:$Q$3004,ENSAYOS!$C$5:$C$3004,F565,ENSAYOS!$Q$5:$Q$3004,"&gt;0",ENSAYOS!$G$5:$G$3004,"&gt;="&amp;CONFIG!$B$27)))</f>
        <v/>
      </c>
      <c r="W565" s="18" t="str">
        <f aca="false">IF(AND(U565&lt;&gt;"",V565&lt;&gt;""),U565/V565,"")</f>
        <v/>
      </c>
      <c r="X565" s="18" t="str">
        <f aca="false">IF(U565="","",INDEX('CURVA EDAD'!$E$5:$E$32,MIN(28,MAX(1,N565))))</f>
        <v/>
      </c>
      <c r="Y565" s="16" t="str">
        <f aca="false">IF(V565&lt;&gt;"",V565,IF(U565="","",U565/X565))</f>
        <v/>
      </c>
      <c r="Z565" s="16" t="str">
        <f aca="false">IF(V565&lt;&gt;"",_xlfn.MINIFS(ENSAYOS!$Q$5:$Q$3004,ENSAYOS!$C$5:$C$3004,F565,ENSAYOS!$Q$5:$Q$3004,"&gt;0",ENSAYOS!$G$5:$G$3004,"&gt;="&amp;CONFIG!$B$27),IF(U565="","",_xlfn.MINIFS(ENSAYOS!$Q$5:$Q$3004,ENSAYOS!$C$5:$C$3004,F565,ENSAYOS!$Q$5:$Q$3004,"&gt;0",ENSAYOS!$G$5:$G$3004,N565)/X565))</f>
        <v/>
      </c>
      <c r="AA565" s="16" t="str">
        <f aca="false">IF(D565="","",IFERROR(1/(1/INDEX(CONFIG!$J$5:$J$14,MATCH(D565,CONFIG!$D$5:$D$14,0))),""))</f>
        <v/>
      </c>
      <c r="AB565" s="16" t="str">
        <f aca="false">IF(D565="","",IFERROR(1/(1/INDEX(CONFIG!$K$5:$K$14,MATCH(D565,CONFIG!$D$5:$D$14,0))),""))</f>
        <v/>
      </c>
      <c r="AC565" s="19" t="str">
        <f aca="false">IF(N(M565)=0,"",IF(AA565="","Sin spec",IF(AND(Y565&gt;=AA565,OR(AB565="",Z565&gt;=AB565)),"CUMPLE","NO CUMPLE")&amp;IF(V565=""," (est.)","")))</f>
        <v/>
      </c>
      <c r="AD565" s="20" t="str">
        <f aca="false">IF(F565="","",IF(COUNTIFS(ABSORCION!$C$5:$C$1004,F565,ABSORCION!$I$5:$I$1004,"&gt;0")=0,"",AVERAGEIFS(ABSORCION!$I$5:$I$1004,ABSORCION!$C$5:$C$1004,F565,ABSORCION!$I$5:$I$1004,"&gt;0")))</f>
        <v/>
      </c>
      <c r="AE565" s="20" t="str">
        <f aca="false">IF(F565="","",IF(COUNTIFS(ABSORCION!$C$5:$C$1004,F565,ABSORCION!$I$5:$I$1004,"&gt;0")=0,"",AVERAGEIFS(ABSORCION!$K$5:$K$1004,ABSORCION!$C$5:$C$1004,F565,ABSORCION!$I$5:$I$1004,"&gt;0")))</f>
        <v/>
      </c>
      <c r="AF565" s="20" t="str">
        <f aca="false">IF(AE565="","",IF(AE565&gt;=CONFIG!$E$21,CONFIG!$F$21,IF(AE565&gt;=CONFIG!$E$20,CONFIG!$F$20,CONFIG!$F$19)))</f>
        <v/>
      </c>
      <c r="AG565" s="21" t="str">
        <f aca="false">IF(F565="","",TRIM(IF(N(M565)=0,"Sin ensayos. ","")&amp;IF(AND(N(M565)&gt;0,N(M565)&lt;CONFIG!$B$26),"Menos de "&amp;CONFIG!$B$26&amp;" probetas. ","")&amp;IF(N(T565)&gt;CONFIG!$B$25,"CV alto. ","")&amp;IF(AND(N(AD565)&gt;0,N(AD565)&gt;N(AF565)),"Absorción alta. ","")))</f>
        <v/>
      </c>
      <c r="AH565" s="22" t="str">
        <f aca="false">IF(AND(N(M565)&gt;0,OR(CONTROL!$C$4="TODAS",C565=CONTROL!$C$4),D565=CONTROL!$C$5),MAX($AH$4:AH564)+1,"")</f>
        <v/>
      </c>
      <c r="AI565" s="22" t="str">
        <f aca="false">IF(AH565="","",P565^2)</f>
        <v/>
      </c>
    </row>
    <row r="566" customFormat="false" ht="15" hidden="false" customHeight="false" outlineLevel="0" collapsed="false">
      <c r="A566" s="11" t="str">
        <f aca="false">IF(B566="","",ROW()-4)</f>
        <v/>
      </c>
      <c r="B566" s="12"/>
      <c r="C566" s="13"/>
      <c r="D566" s="13"/>
      <c r="E566" s="13"/>
      <c r="F566" s="14" t="str">
        <f aca="false">IF(OR(B566="",C566="",D566=""),"",IFERROR(INDEX(CONFIG!$E$5:$E$14,MATCH(D566,CONFIG!$D$5:$D$14,0)),"?")&amp;RIGHT("0"&amp;DAY(B566),2)&amp;RIGHT("0"&amp;MONTH(B566),2)&amp;RIGHT(YEAR(B566),2)&amp;C566&amp;IF(E566="","","-"&amp;E566))</f>
        <v/>
      </c>
      <c r="G566" s="13"/>
      <c r="H566" s="13"/>
      <c r="I566" s="13"/>
      <c r="J566" s="13"/>
      <c r="K566" s="13"/>
      <c r="L566" s="13"/>
      <c r="M566" s="11" t="str">
        <f aca="false">IF(F566="","",COUNTIFS(ENSAYOS!$C$5:$C$3004,F566,ENSAYOS!$Q$5:$Q$3004,"&gt;0"))</f>
        <v/>
      </c>
      <c r="N566" s="15" t="str">
        <f aca="false">IF(N(M566)=0,"",_xlfn.MINIFS(ENSAYOS!$G$5:$G$3004,ENSAYOS!$C$5:$C$3004,F566,ENSAYOS!$Q$5:$Q$3004,"&gt;0"))</f>
        <v/>
      </c>
      <c r="O566" s="15" t="str">
        <f aca="false">IF(N(M566)=0,"",_xlfn.MAXIFS(ENSAYOS!$G$5:$G$3004,ENSAYOS!$C$5:$C$3004,F566,ENSAYOS!$Q$5:$Q$3004,"&gt;0"))</f>
        <v/>
      </c>
      <c r="P566" s="16" t="str">
        <f aca="false">IF(N(M566)=0,"",AVERAGEIFS(ENSAYOS!$Q$5:$Q$3004,ENSAYOS!$C$5:$C$3004,F566,ENSAYOS!$Q$5:$Q$3004,"&gt;0"))</f>
        <v/>
      </c>
      <c r="Q566" s="16" t="str">
        <f aca="false">IF(N(M566)=0,"",_xlfn.MINIFS(ENSAYOS!$Q$5:$Q$3004,ENSAYOS!$C$5:$C$3004,F566,ENSAYOS!$Q$5:$Q$3004,"&gt;0"))</f>
        <v/>
      </c>
      <c r="R566" s="16" t="str">
        <f aca="false">IF(N(M566)=0,"",_xlfn.MAXIFS(ENSAYOS!$Q$5:$Q$3004,ENSAYOS!$C$5:$C$3004,F566,ENSAYOS!$Q$5:$Q$3004,"&gt;0"))</f>
        <v/>
      </c>
      <c r="S566" s="16" t="str">
        <f aca="false">IF(N(M566)&lt;2,"",SQRT(MAX(0,(SUMIFS(ENSAYOS!$X$5:$X$3004,ENSAYOS!$C$5:$C$3004,F566,ENSAYOS!$Q$5:$Q$3004,"&gt;0")-M566*P566^2)/(M566-1))))</f>
        <v/>
      </c>
      <c r="T566" s="17" t="str">
        <f aca="false">IF(S566="","",S566/P566)</f>
        <v/>
      </c>
      <c r="U566" s="16" t="str">
        <f aca="false">IF(N(M566)=0,"",IF(N566&gt;=CONFIG!$B$27,"",AVERAGEIFS(ENSAYOS!$Q$5:$Q$3004,ENSAYOS!$C$5:$C$3004,F566,ENSAYOS!$Q$5:$Q$3004,"&gt;0",ENSAYOS!$G$5:$G$3004,N566)))</f>
        <v/>
      </c>
      <c r="V566" s="16" t="str">
        <f aca="false">IF(N(M566)=0,"",IF(COUNTIFS(ENSAYOS!$C$5:$C$3004,F566,ENSAYOS!$Q$5:$Q$3004,"&gt;0",ENSAYOS!$G$5:$G$3004,"&gt;="&amp;CONFIG!$B$27)=0,"",AVERAGEIFS(ENSAYOS!$Q$5:$Q$3004,ENSAYOS!$C$5:$C$3004,F566,ENSAYOS!$Q$5:$Q$3004,"&gt;0",ENSAYOS!$G$5:$G$3004,"&gt;="&amp;CONFIG!$B$27)))</f>
        <v/>
      </c>
      <c r="W566" s="18" t="str">
        <f aca="false">IF(AND(U566&lt;&gt;"",V566&lt;&gt;""),U566/V566,"")</f>
        <v/>
      </c>
      <c r="X566" s="18" t="str">
        <f aca="false">IF(U566="","",INDEX('CURVA EDAD'!$E$5:$E$32,MIN(28,MAX(1,N566))))</f>
        <v/>
      </c>
      <c r="Y566" s="16" t="str">
        <f aca="false">IF(V566&lt;&gt;"",V566,IF(U566="","",U566/X566))</f>
        <v/>
      </c>
      <c r="Z566" s="16" t="str">
        <f aca="false">IF(V566&lt;&gt;"",_xlfn.MINIFS(ENSAYOS!$Q$5:$Q$3004,ENSAYOS!$C$5:$C$3004,F566,ENSAYOS!$Q$5:$Q$3004,"&gt;0",ENSAYOS!$G$5:$G$3004,"&gt;="&amp;CONFIG!$B$27),IF(U566="","",_xlfn.MINIFS(ENSAYOS!$Q$5:$Q$3004,ENSAYOS!$C$5:$C$3004,F566,ENSAYOS!$Q$5:$Q$3004,"&gt;0",ENSAYOS!$G$5:$G$3004,N566)/X566))</f>
        <v/>
      </c>
      <c r="AA566" s="16" t="str">
        <f aca="false">IF(D566="","",IFERROR(1/(1/INDEX(CONFIG!$J$5:$J$14,MATCH(D566,CONFIG!$D$5:$D$14,0))),""))</f>
        <v/>
      </c>
      <c r="AB566" s="16" t="str">
        <f aca="false">IF(D566="","",IFERROR(1/(1/INDEX(CONFIG!$K$5:$K$14,MATCH(D566,CONFIG!$D$5:$D$14,0))),""))</f>
        <v/>
      </c>
      <c r="AC566" s="19" t="str">
        <f aca="false">IF(N(M566)=0,"",IF(AA566="","Sin spec",IF(AND(Y566&gt;=AA566,OR(AB566="",Z566&gt;=AB566)),"CUMPLE","NO CUMPLE")&amp;IF(V566=""," (est.)","")))</f>
        <v/>
      </c>
      <c r="AD566" s="20" t="str">
        <f aca="false">IF(F566="","",IF(COUNTIFS(ABSORCION!$C$5:$C$1004,F566,ABSORCION!$I$5:$I$1004,"&gt;0")=0,"",AVERAGEIFS(ABSORCION!$I$5:$I$1004,ABSORCION!$C$5:$C$1004,F566,ABSORCION!$I$5:$I$1004,"&gt;0")))</f>
        <v/>
      </c>
      <c r="AE566" s="20" t="str">
        <f aca="false">IF(F566="","",IF(COUNTIFS(ABSORCION!$C$5:$C$1004,F566,ABSORCION!$I$5:$I$1004,"&gt;0")=0,"",AVERAGEIFS(ABSORCION!$K$5:$K$1004,ABSORCION!$C$5:$C$1004,F566,ABSORCION!$I$5:$I$1004,"&gt;0")))</f>
        <v/>
      </c>
      <c r="AF566" s="20" t="str">
        <f aca="false">IF(AE566="","",IF(AE566&gt;=CONFIG!$E$21,CONFIG!$F$21,IF(AE566&gt;=CONFIG!$E$20,CONFIG!$F$20,CONFIG!$F$19)))</f>
        <v/>
      </c>
      <c r="AG566" s="21" t="str">
        <f aca="false">IF(F566="","",TRIM(IF(N(M566)=0,"Sin ensayos. ","")&amp;IF(AND(N(M566)&gt;0,N(M566)&lt;CONFIG!$B$26),"Menos de "&amp;CONFIG!$B$26&amp;" probetas. ","")&amp;IF(N(T566)&gt;CONFIG!$B$25,"CV alto. ","")&amp;IF(AND(N(AD566)&gt;0,N(AD566)&gt;N(AF566)),"Absorción alta. ","")))</f>
        <v/>
      </c>
      <c r="AH566" s="22" t="str">
        <f aca="false">IF(AND(N(M566)&gt;0,OR(CONTROL!$C$4="TODAS",C566=CONTROL!$C$4),D566=CONTROL!$C$5),MAX($AH$4:AH565)+1,"")</f>
        <v/>
      </c>
      <c r="AI566" s="22" t="str">
        <f aca="false">IF(AH566="","",P566^2)</f>
        <v/>
      </c>
    </row>
    <row r="567" customFormat="false" ht="15" hidden="false" customHeight="false" outlineLevel="0" collapsed="false">
      <c r="A567" s="11" t="str">
        <f aca="false">IF(B567="","",ROW()-4)</f>
        <v/>
      </c>
      <c r="B567" s="12"/>
      <c r="C567" s="13"/>
      <c r="D567" s="13"/>
      <c r="E567" s="13"/>
      <c r="F567" s="14" t="str">
        <f aca="false">IF(OR(B567="",C567="",D567=""),"",IFERROR(INDEX(CONFIG!$E$5:$E$14,MATCH(D567,CONFIG!$D$5:$D$14,0)),"?")&amp;RIGHT("0"&amp;DAY(B567),2)&amp;RIGHT("0"&amp;MONTH(B567),2)&amp;RIGHT(YEAR(B567),2)&amp;C567&amp;IF(E567="","","-"&amp;E567))</f>
        <v/>
      </c>
      <c r="G567" s="13"/>
      <c r="H567" s="13"/>
      <c r="I567" s="13"/>
      <c r="J567" s="13"/>
      <c r="K567" s="13"/>
      <c r="L567" s="13"/>
      <c r="M567" s="11" t="str">
        <f aca="false">IF(F567="","",COUNTIFS(ENSAYOS!$C$5:$C$3004,F567,ENSAYOS!$Q$5:$Q$3004,"&gt;0"))</f>
        <v/>
      </c>
      <c r="N567" s="15" t="str">
        <f aca="false">IF(N(M567)=0,"",_xlfn.MINIFS(ENSAYOS!$G$5:$G$3004,ENSAYOS!$C$5:$C$3004,F567,ENSAYOS!$Q$5:$Q$3004,"&gt;0"))</f>
        <v/>
      </c>
      <c r="O567" s="15" t="str">
        <f aca="false">IF(N(M567)=0,"",_xlfn.MAXIFS(ENSAYOS!$G$5:$G$3004,ENSAYOS!$C$5:$C$3004,F567,ENSAYOS!$Q$5:$Q$3004,"&gt;0"))</f>
        <v/>
      </c>
      <c r="P567" s="16" t="str">
        <f aca="false">IF(N(M567)=0,"",AVERAGEIFS(ENSAYOS!$Q$5:$Q$3004,ENSAYOS!$C$5:$C$3004,F567,ENSAYOS!$Q$5:$Q$3004,"&gt;0"))</f>
        <v/>
      </c>
      <c r="Q567" s="16" t="str">
        <f aca="false">IF(N(M567)=0,"",_xlfn.MINIFS(ENSAYOS!$Q$5:$Q$3004,ENSAYOS!$C$5:$C$3004,F567,ENSAYOS!$Q$5:$Q$3004,"&gt;0"))</f>
        <v/>
      </c>
      <c r="R567" s="16" t="str">
        <f aca="false">IF(N(M567)=0,"",_xlfn.MAXIFS(ENSAYOS!$Q$5:$Q$3004,ENSAYOS!$C$5:$C$3004,F567,ENSAYOS!$Q$5:$Q$3004,"&gt;0"))</f>
        <v/>
      </c>
      <c r="S567" s="16" t="str">
        <f aca="false">IF(N(M567)&lt;2,"",SQRT(MAX(0,(SUMIFS(ENSAYOS!$X$5:$X$3004,ENSAYOS!$C$5:$C$3004,F567,ENSAYOS!$Q$5:$Q$3004,"&gt;0")-M567*P567^2)/(M567-1))))</f>
        <v/>
      </c>
      <c r="T567" s="17" t="str">
        <f aca="false">IF(S567="","",S567/P567)</f>
        <v/>
      </c>
      <c r="U567" s="16" t="str">
        <f aca="false">IF(N(M567)=0,"",IF(N567&gt;=CONFIG!$B$27,"",AVERAGEIFS(ENSAYOS!$Q$5:$Q$3004,ENSAYOS!$C$5:$C$3004,F567,ENSAYOS!$Q$5:$Q$3004,"&gt;0",ENSAYOS!$G$5:$G$3004,N567)))</f>
        <v/>
      </c>
      <c r="V567" s="16" t="str">
        <f aca="false">IF(N(M567)=0,"",IF(COUNTIFS(ENSAYOS!$C$5:$C$3004,F567,ENSAYOS!$Q$5:$Q$3004,"&gt;0",ENSAYOS!$G$5:$G$3004,"&gt;="&amp;CONFIG!$B$27)=0,"",AVERAGEIFS(ENSAYOS!$Q$5:$Q$3004,ENSAYOS!$C$5:$C$3004,F567,ENSAYOS!$Q$5:$Q$3004,"&gt;0",ENSAYOS!$G$5:$G$3004,"&gt;="&amp;CONFIG!$B$27)))</f>
        <v/>
      </c>
      <c r="W567" s="18" t="str">
        <f aca="false">IF(AND(U567&lt;&gt;"",V567&lt;&gt;""),U567/V567,"")</f>
        <v/>
      </c>
      <c r="X567" s="18" t="str">
        <f aca="false">IF(U567="","",INDEX('CURVA EDAD'!$E$5:$E$32,MIN(28,MAX(1,N567))))</f>
        <v/>
      </c>
      <c r="Y567" s="16" t="str">
        <f aca="false">IF(V567&lt;&gt;"",V567,IF(U567="","",U567/X567))</f>
        <v/>
      </c>
      <c r="Z567" s="16" t="str">
        <f aca="false">IF(V567&lt;&gt;"",_xlfn.MINIFS(ENSAYOS!$Q$5:$Q$3004,ENSAYOS!$C$5:$C$3004,F567,ENSAYOS!$Q$5:$Q$3004,"&gt;0",ENSAYOS!$G$5:$G$3004,"&gt;="&amp;CONFIG!$B$27),IF(U567="","",_xlfn.MINIFS(ENSAYOS!$Q$5:$Q$3004,ENSAYOS!$C$5:$C$3004,F567,ENSAYOS!$Q$5:$Q$3004,"&gt;0",ENSAYOS!$G$5:$G$3004,N567)/X567))</f>
        <v/>
      </c>
      <c r="AA567" s="16" t="str">
        <f aca="false">IF(D567="","",IFERROR(1/(1/INDEX(CONFIG!$J$5:$J$14,MATCH(D567,CONFIG!$D$5:$D$14,0))),""))</f>
        <v/>
      </c>
      <c r="AB567" s="16" t="str">
        <f aca="false">IF(D567="","",IFERROR(1/(1/INDEX(CONFIG!$K$5:$K$14,MATCH(D567,CONFIG!$D$5:$D$14,0))),""))</f>
        <v/>
      </c>
      <c r="AC567" s="19" t="str">
        <f aca="false">IF(N(M567)=0,"",IF(AA567="","Sin spec",IF(AND(Y567&gt;=AA567,OR(AB567="",Z567&gt;=AB567)),"CUMPLE","NO CUMPLE")&amp;IF(V567=""," (est.)","")))</f>
        <v/>
      </c>
      <c r="AD567" s="20" t="str">
        <f aca="false">IF(F567="","",IF(COUNTIFS(ABSORCION!$C$5:$C$1004,F567,ABSORCION!$I$5:$I$1004,"&gt;0")=0,"",AVERAGEIFS(ABSORCION!$I$5:$I$1004,ABSORCION!$C$5:$C$1004,F567,ABSORCION!$I$5:$I$1004,"&gt;0")))</f>
        <v/>
      </c>
      <c r="AE567" s="20" t="str">
        <f aca="false">IF(F567="","",IF(COUNTIFS(ABSORCION!$C$5:$C$1004,F567,ABSORCION!$I$5:$I$1004,"&gt;0")=0,"",AVERAGEIFS(ABSORCION!$K$5:$K$1004,ABSORCION!$C$5:$C$1004,F567,ABSORCION!$I$5:$I$1004,"&gt;0")))</f>
        <v/>
      </c>
      <c r="AF567" s="20" t="str">
        <f aca="false">IF(AE567="","",IF(AE567&gt;=CONFIG!$E$21,CONFIG!$F$21,IF(AE567&gt;=CONFIG!$E$20,CONFIG!$F$20,CONFIG!$F$19)))</f>
        <v/>
      </c>
      <c r="AG567" s="21" t="str">
        <f aca="false">IF(F567="","",TRIM(IF(N(M567)=0,"Sin ensayos. ","")&amp;IF(AND(N(M567)&gt;0,N(M567)&lt;CONFIG!$B$26),"Menos de "&amp;CONFIG!$B$26&amp;" probetas. ","")&amp;IF(N(T567)&gt;CONFIG!$B$25,"CV alto. ","")&amp;IF(AND(N(AD567)&gt;0,N(AD567)&gt;N(AF567)),"Absorción alta. ","")))</f>
        <v/>
      </c>
      <c r="AH567" s="22" t="str">
        <f aca="false">IF(AND(N(M567)&gt;0,OR(CONTROL!$C$4="TODAS",C567=CONTROL!$C$4),D567=CONTROL!$C$5),MAX($AH$4:AH566)+1,"")</f>
        <v/>
      </c>
      <c r="AI567" s="22" t="str">
        <f aca="false">IF(AH567="","",P567^2)</f>
        <v/>
      </c>
    </row>
    <row r="568" customFormat="false" ht="15" hidden="false" customHeight="false" outlineLevel="0" collapsed="false">
      <c r="A568" s="11" t="str">
        <f aca="false">IF(B568="","",ROW()-4)</f>
        <v/>
      </c>
      <c r="B568" s="12"/>
      <c r="C568" s="13"/>
      <c r="D568" s="13"/>
      <c r="E568" s="13"/>
      <c r="F568" s="14" t="str">
        <f aca="false">IF(OR(B568="",C568="",D568=""),"",IFERROR(INDEX(CONFIG!$E$5:$E$14,MATCH(D568,CONFIG!$D$5:$D$14,0)),"?")&amp;RIGHT("0"&amp;DAY(B568),2)&amp;RIGHT("0"&amp;MONTH(B568),2)&amp;RIGHT(YEAR(B568),2)&amp;C568&amp;IF(E568="","","-"&amp;E568))</f>
        <v/>
      </c>
      <c r="G568" s="13"/>
      <c r="H568" s="13"/>
      <c r="I568" s="13"/>
      <c r="J568" s="13"/>
      <c r="K568" s="13"/>
      <c r="L568" s="13"/>
      <c r="M568" s="11" t="str">
        <f aca="false">IF(F568="","",COUNTIFS(ENSAYOS!$C$5:$C$3004,F568,ENSAYOS!$Q$5:$Q$3004,"&gt;0"))</f>
        <v/>
      </c>
      <c r="N568" s="15" t="str">
        <f aca="false">IF(N(M568)=0,"",_xlfn.MINIFS(ENSAYOS!$G$5:$G$3004,ENSAYOS!$C$5:$C$3004,F568,ENSAYOS!$Q$5:$Q$3004,"&gt;0"))</f>
        <v/>
      </c>
      <c r="O568" s="15" t="str">
        <f aca="false">IF(N(M568)=0,"",_xlfn.MAXIFS(ENSAYOS!$G$5:$G$3004,ENSAYOS!$C$5:$C$3004,F568,ENSAYOS!$Q$5:$Q$3004,"&gt;0"))</f>
        <v/>
      </c>
      <c r="P568" s="16" t="str">
        <f aca="false">IF(N(M568)=0,"",AVERAGEIFS(ENSAYOS!$Q$5:$Q$3004,ENSAYOS!$C$5:$C$3004,F568,ENSAYOS!$Q$5:$Q$3004,"&gt;0"))</f>
        <v/>
      </c>
      <c r="Q568" s="16" t="str">
        <f aca="false">IF(N(M568)=0,"",_xlfn.MINIFS(ENSAYOS!$Q$5:$Q$3004,ENSAYOS!$C$5:$C$3004,F568,ENSAYOS!$Q$5:$Q$3004,"&gt;0"))</f>
        <v/>
      </c>
      <c r="R568" s="16" t="str">
        <f aca="false">IF(N(M568)=0,"",_xlfn.MAXIFS(ENSAYOS!$Q$5:$Q$3004,ENSAYOS!$C$5:$C$3004,F568,ENSAYOS!$Q$5:$Q$3004,"&gt;0"))</f>
        <v/>
      </c>
      <c r="S568" s="16" t="str">
        <f aca="false">IF(N(M568)&lt;2,"",SQRT(MAX(0,(SUMIFS(ENSAYOS!$X$5:$X$3004,ENSAYOS!$C$5:$C$3004,F568,ENSAYOS!$Q$5:$Q$3004,"&gt;0")-M568*P568^2)/(M568-1))))</f>
        <v/>
      </c>
      <c r="T568" s="17" t="str">
        <f aca="false">IF(S568="","",S568/P568)</f>
        <v/>
      </c>
      <c r="U568" s="16" t="str">
        <f aca="false">IF(N(M568)=0,"",IF(N568&gt;=CONFIG!$B$27,"",AVERAGEIFS(ENSAYOS!$Q$5:$Q$3004,ENSAYOS!$C$5:$C$3004,F568,ENSAYOS!$Q$5:$Q$3004,"&gt;0",ENSAYOS!$G$5:$G$3004,N568)))</f>
        <v/>
      </c>
      <c r="V568" s="16" t="str">
        <f aca="false">IF(N(M568)=0,"",IF(COUNTIFS(ENSAYOS!$C$5:$C$3004,F568,ENSAYOS!$Q$5:$Q$3004,"&gt;0",ENSAYOS!$G$5:$G$3004,"&gt;="&amp;CONFIG!$B$27)=0,"",AVERAGEIFS(ENSAYOS!$Q$5:$Q$3004,ENSAYOS!$C$5:$C$3004,F568,ENSAYOS!$Q$5:$Q$3004,"&gt;0",ENSAYOS!$G$5:$G$3004,"&gt;="&amp;CONFIG!$B$27)))</f>
        <v/>
      </c>
      <c r="W568" s="18" t="str">
        <f aca="false">IF(AND(U568&lt;&gt;"",V568&lt;&gt;""),U568/V568,"")</f>
        <v/>
      </c>
      <c r="X568" s="18" t="str">
        <f aca="false">IF(U568="","",INDEX('CURVA EDAD'!$E$5:$E$32,MIN(28,MAX(1,N568))))</f>
        <v/>
      </c>
      <c r="Y568" s="16" t="str">
        <f aca="false">IF(V568&lt;&gt;"",V568,IF(U568="","",U568/X568))</f>
        <v/>
      </c>
      <c r="Z568" s="16" t="str">
        <f aca="false">IF(V568&lt;&gt;"",_xlfn.MINIFS(ENSAYOS!$Q$5:$Q$3004,ENSAYOS!$C$5:$C$3004,F568,ENSAYOS!$Q$5:$Q$3004,"&gt;0",ENSAYOS!$G$5:$G$3004,"&gt;="&amp;CONFIG!$B$27),IF(U568="","",_xlfn.MINIFS(ENSAYOS!$Q$5:$Q$3004,ENSAYOS!$C$5:$C$3004,F568,ENSAYOS!$Q$5:$Q$3004,"&gt;0",ENSAYOS!$G$5:$G$3004,N568)/X568))</f>
        <v/>
      </c>
      <c r="AA568" s="16" t="str">
        <f aca="false">IF(D568="","",IFERROR(1/(1/INDEX(CONFIG!$J$5:$J$14,MATCH(D568,CONFIG!$D$5:$D$14,0))),""))</f>
        <v/>
      </c>
      <c r="AB568" s="16" t="str">
        <f aca="false">IF(D568="","",IFERROR(1/(1/INDEX(CONFIG!$K$5:$K$14,MATCH(D568,CONFIG!$D$5:$D$14,0))),""))</f>
        <v/>
      </c>
      <c r="AC568" s="19" t="str">
        <f aca="false">IF(N(M568)=0,"",IF(AA568="","Sin spec",IF(AND(Y568&gt;=AA568,OR(AB568="",Z568&gt;=AB568)),"CUMPLE","NO CUMPLE")&amp;IF(V568=""," (est.)","")))</f>
        <v/>
      </c>
      <c r="AD568" s="20" t="str">
        <f aca="false">IF(F568="","",IF(COUNTIFS(ABSORCION!$C$5:$C$1004,F568,ABSORCION!$I$5:$I$1004,"&gt;0")=0,"",AVERAGEIFS(ABSORCION!$I$5:$I$1004,ABSORCION!$C$5:$C$1004,F568,ABSORCION!$I$5:$I$1004,"&gt;0")))</f>
        <v/>
      </c>
      <c r="AE568" s="20" t="str">
        <f aca="false">IF(F568="","",IF(COUNTIFS(ABSORCION!$C$5:$C$1004,F568,ABSORCION!$I$5:$I$1004,"&gt;0")=0,"",AVERAGEIFS(ABSORCION!$K$5:$K$1004,ABSORCION!$C$5:$C$1004,F568,ABSORCION!$I$5:$I$1004,"&gt;0")))</f>
        <v/>
      </c>
      <c r="AF568" s="20" t="str">
        <f aca="false">IF(AE568="","",IF(AE568&gt;=CONFIG!$E$21,CONFIG!$F$21,IF(AE568&gt;=CONFIG!$E$20,CONFIG!$F$20,CONFIG!$F$19)))</f>
        <v/>
      </c>
      <c r="AG568" s="21" t="str">
        <f aca="false">IF(F568="","",TRIM(IF(N(M568)=0,"Sin ensayos. ","")&amp;IF(AND(N(M568)&gt;0,N(M568)&lt;CONFIG!$B$26),"Menos de "&amp;CONFIG!$B$26&amp;" probetas. ","")&amp;IF(N(T568)&gt;CONFIG!$B$25,"CV alto. ","")&amp;IF(AND(N(AD568)&gt;0,N(AD568)&gt;N(AF568)),"Absorción alta. ","")))</f>
        <v/>
      </c>
      <c r="AH568" s="22" t="str">
        <f aca="false">IF(AND(N(M568)&gt;0,OR(CONTROL!$C$4="TODAS",C568=CONTROL!$C$4),D568=CONTROL!$C$5),MAX($AH$4:AH567)+1,"")</f>
        <v/>
      </c>
      <c r="AI568" s="22" t="str">
        <f aca="false">IF(AH568="","",P568^2)</f>
        <v/>
      </c>
    </row>
    <row r="569" customFormat="false" ht="15" hidden="false" customHeight="false" outlineLevel="0" collapsed="false">
      <c r="A569" s="11" t="str">
        <f aca="false">IF(B569="","",ROW()-4)</f>
        <v/>
      </c>
      <c r="B569" s="12"/>
      <c r="C569" s="13"/>
      <c r="D569" s="13"/>
      <c r="E569" s="13"/>
      <c r="F569" s="14" t="str">
        <f aca="false">IF(OR(B569="",C569="",D569=""),"",IFERROR(INDEX(CONFIG!$E$5:$E$14,MATCH(D569,CONFIG!$D$5:$D$14,0)),"?")&amp;RIGHT("0"&amp;DAY(B569),2)&amp;RIGHT("0"&amp;MONTH(B569),2)&amp;RIGHT(YEAR(B569),2)&amp;C569&amp;IF(E569="","","-"&amp;E569))</f>
        <v/>
      </c>
      <c r="G569" s="13"/>
      <c r="H569" s="13"/>
      <c r="I569" s="13"/>
      <c r="J569" s="13"/>
      <c r="K569" s="13"/>
      <c r="L569" s="13"/>
      <c r="M569" s="11" t="str">
        <f aca="false">IF(F569="","",COUNTIFS(ENSAYOS!$C$5:$C$3004,F569,ENSAYOS!$Q$5:$Q$3004,"&gt;0"))</f>
        <v/>
      </c>
      <c r="N569" s="15" t="str">
        <f aca="false">IF(N(M569)=0,"",_xlfn.MINIFS(ENSAYOS!$G$5:$G$3004,ENSAYOS!$C$5:$C$3004,F569,ENSAYOS!$Q$5:$Q$3004,"&gt;0"))</f>
        <v/>
      </c>
      <c r="O569" s="15" t="str">
        <f aca="false">IF(N(M569)=0,"",_xlfn.MAXIFS(ENSAYOS!$G$5:$G$3004,ENSAYOS!$C$5:$C$3004,F569,ENSAYOS!$Q$5:$Q$3004,"&gt;0"))</f>
        <v/>
      </c>
      <c r="P569" s="16" t="str">
        <f aca="false">IF(N(M569)=0,"",AVERAGEIFS(ENSAYOS!$Q$5:$Q$3004,ENSAYOS!$C$5:$C$3004,F569,ENSAYOS!$Q$5:$Q$3004,"&gt;0"))</f>
        <v/>
      </c>
      <c r="Q569" s="16" t="str">
        <f aca="false">IF(N(M569)=0,"",_xlfn.MINIFS(ENSAYOS!$Q$5:$Q$3004,ENSAYOS!$C$5:$C$3004,F569,ENSAYOS!$Q$5:$Q$3004,"&gt;0"))</f>
        <v/>
      </c>
      <c r="R569" s="16" t="str">
        <f aca="false">IF(N(M569)=0,"",_xlfn.MAXIFS(ENSAYOS!$Q$5:$Q$3004,ENSAYOS!$C$5:$C$3004,F569,ENSAYOS!$Q$5:$Q$3004,"&gt;0"))</f>
        <v/>
      </c>
      <c r="S569" s="16" t="str">
        <f aca="false">IF(N(M569)&lt;2,"",SQRT(MAX(0,(SUMIFS(ENSAYOS!$X$5:$X$3004,ENSAYOS!$C$5:$C$3004,F569,ENSAYOS!$Q$5:$Q$3004,"&gt;0")-M569*P569^2)/(M569-1))))</f>
        <v/>
      </c>
      <c r="T569" s="17" t="str">
        <f aca="false">IF(S569="","",S569/P569)</f>
        <v/>
      </c>
      <c r="U569" s="16" t="str">
        <f aca="false">IF(N(M569)=0,"",IF(N569&gt;=CONFIG!$B$27,"",AVERAGEIFS(ENSAYOS!$Q$5:$Q$3004,ENSAYOS!$C$5:$C$3004,F569,ENSAYOS!$Q$5:$Q$3004,"&gt;0",ENSAYOS!$G$5:$G$3004,N569)))</f>
        <v/>
      </c>
      <c r="V569" s="16" t="str">
        <f aca="false">IF(N(M569)=0,"",IF(COUNTIFS(ENSAYOS!$C$5:$C$3004,F569,ENSAYOS!$Q$5:$Q$3004,"&gt;0",ENSAYOS!$G$5:$G$3004,"&gt;="&amp;CONFIG!$B$27)=0,"",AVERAGEIFS(ENSAYOS!$Q$5:$Q$3004,ENSAYOS!$C$5:$C$3004,F569,ENSAYOS!$Q$5:$Q$3004,"&gt;0",ENSAYOS!$G$5:$G$3004,"&gt;="&amp;CONFIG!$B$27)))</f>
        <v/>
      </c>
      <c r="W569" s="18" t="str">
        <f aca="false">IF(AND(U569&lt;&gt;"",V569&lt;&gt;""),U569/V569,"")</f>
        <v/>
      </c>
      <c r="X569" s="18" t="str">
        <f aca="false">IF(U569="","",INDEX('CURVA EDAD'!$E$5:$E$32,MIN(28,MAX(1,N569))))</f>
        <v/>
      </c>
      <c r="Y569" s="16" t="str">
        <f aca="false">IF(V569&lt;&gt;"",V569,IF(U569="","",U569/X569))</f>
        <v/>
      </c>
      <c r="Z569" s="16" t="str">
        <f aca="false">IF(V569&lt;&gt;"",_xlfn.MINIFS(ENSAYOS!$Q$5:$Q$3004,ENSAYOS!$C$5:$C$3004,F569,ENSAYOS!$Q$5:$Q$3004,"&gt;0",ENSAYOS!$G$5:$G$3004,"&gt;="&amp;CONFIG!$B$27),IF(U569="","",_xlfn.MINIFS(ENSAYOS!$Q$5:$Q$3004,ENSAYOS!$C$5:$C$3004,F569,ENSAYOS!$Q$5:$Q$3004,"&gt;0",ENSAYOS!$G$5:$G$3004,N569)/X569))</f>
        <v/>
      </c>
      <c r="AA569" s="16" t="str">
        <f aca="false">IF(D569="","",IFERROR(1/(1/INDEX(CONFIG!$J$5:$J$14,MATCH(D569,CONFIG!$D$5:$D$14,0))),""))</f>
        <v/>
      </c>
      <c r="AB569" s="16" t="str">
        <f aca="false">IF(D569="","",IFERROR(1/(1/INDEX(CONFIG!$K$5:$K$14,MATCH(D569,CONFIG!$D$5:$D$14,0))),""))</f>
        <v/>
      </c>
      <c r="AC569" s="19" t="str">
        <f aca="false">IF(N(M569)=0,"",IF(AA569="","Sin spec",IF(AND(Y569&gt;=AA569,OR(AB569="",Z569&gt;=AB569)),"CUMPLE","NO CUMPLE")&amp;IF(V569=""," (est.)","")))</f>
        <v/>
      </c>
      <c r="AD569" s="20" t="str">
        <f aca="false">IF(F569="","",IF(COUNTIFS(ABSORCION!$C$5:$C$1004,F569,ABSORCION!$I$5:$I$1004,"&gt;0")=0,"",AVERAGEIFS(ABSORCION!$I$5:$I$1004,ABSORCION!$C$5:$C$1004,F569,ABSORCION!$I$5:$I$1004,"&gt;0")))</f>
        <v/>
      </c>
      <c r="AE569" s="20" t="str">
        <f aca="false">IF(F569="","",IF(COUNTIFS(ABSORCION!$C$5:$C$1004,F569,ABSORCION!$I$5:$I$1004,"&gt;0")=0,"",AVERAGEIFS(ABSORCION!$K$5:$K$1004,ABSORCION!$C$5:$C$1004,F569,ABSORCION!$I$5:$I$1004,"&gt;0")))</f>
        <v/>
      </c>
      <c r="AF569" s="20" t="str">
        <f aca="false">IF(AE569="","",IF(AE569&gt;=CONFIG!$E$21,CONFIG!$F$21,IF(AE569&gt;=CONFIG!$E$20,CONFIG!$F$20,CONFIG!$F$19)))</f>
        <v/>
      </c>
      <c r="AG569" s="21" t="str">
        <f aca="false">IF(F569="","",TRIM(IF(N(M569)=0,"Sin ensayos. ","")&amp;IF(AND(N(M569)&gt;0,N(M569)&lt;CONFIG!$B$26),"Menos de "&amp;CONFIG!$B$26&amp;" probetas. ","")&amp;IF(N(T569)&gt;CONFIG!$B$25,"CV alto. ","")&amp;IF(AND(N(AD569)&gt;0,N(AD569)&gt;N(AF569)),"Absorción alta. ","")))</f>
        <v/>
      </c>
      <c r="AH569" s="22" t="str">
        <f aca="false">IF(AND(N(M569)&gt;0,OR(CONTROL!$C$4="TODAS",C569=CONTROL!$C$4),D569=CONTROL!$C$5),MAX($AH$4:AH568)+1,"")</f>
        <v/>
      </c>
      <c r="AI569" s="22" t="str">
        <f aca="false">IF(AH569="","",P569^2)</f>
        <v/>
      </c>
    </row>
    <row r="570" customFormat="false" ht="15" hidden="false" customHeight="false" outlineLevel="0" collapsed="false">
      <c r="A570" s="11" t="str">
        <f aca="false">IF(B570="","",ROW()-4)</f>
        <v/>
      </c>
      <c r="B570" s="12"/>
      <c r="C570" s="13"/>
      <c r="D570" s="13"/>
      <c r="E570" s="13"/>
      <c r="F570" s="14" t="str">
        <f aca="false">IF(OR(B570="",C570="",D570=""),"",IFERROR(INDEX(CONFIG!$E$5:$E$14,MATCH(D570,CONFIG!$D$5:$D$14,0)),"?")&amp;RIGHT("0"&amp;DAY(B570),2)&amp;RIGHT("0"&amp;MONTH(B570),2)&amp;RIGHT(YEAR(B570),2)&amp;C570&amp;IF(E570="","","-"&amp;E570))</f>
        <v/>
      </c>
      <c r="G570" s="13"/>
      <c r="H570" s="13"/>
      <c r="I570" s="13"/>
      <c r="J570" s="13"/>
      <c r="K570" s="13"/>
      <c r="L570" s="13"/>
      <c r="M570" s="11" t="str">
        <f aca="false">IF(F570="","",COUNTIFS(ENSAYOS!$C$5:$C$3004,F570,ENSAYOS!$Q$5:$Q$3004,"&gt;0"))</f>
        <v/>
      </c>
      <c r="N570" s="15" t="str">
        <f aca="false">IF(N(M570)=0,"",_xlfn.MINIFS(ENSAYOS!$G$5:$G$3004,ENSAYOS!$C$5:$C$3004,F570,ENSAYOS!$Q$5:$Q$3004,"&gt;0"))</f>
        <v/>
      </c>
      <c r="O570" s="15" t="str">
        <f aca="false">IF(N(M570)=0,"",_xlfn.MAXIFS(ENSAYOS!$G$5:$G$3004,ENSAYOS!$C$5:$C$3004,F570,ENSAYOS!$Q$5:$Q$3004,"&gt;0"))</f>
        <v/>
      </c>
      <c r="P570" s="16" t="str">
        <f aca="false">IF(N(M570)=0,"",AVERAGEIFS(ENSAYOS!$Q$5:$Q$3004,ENSAYOS!$C$5:$C$3004,F570,ENSAYOS!$Q$5:$Q$3004,"&gt;0"))</f>
        <v/>
      </c>
      <c r="Q570" s="16" t="str">
        <f aca="false">IF(N(M570)=0,"",_xlfn.MINIFS(ENSAYOS!$Q$5:$Q$3004,ENSAYOS!$C$5:$C$3004,F570,ENSAYOS!$Q$5:$Q$3004,"&gt;0"))</f>
        <v/>
      </c>
      <c r="R570" s="16" t="str">
        <f aca="false">IF(N(M570)=0,"",_xlfn.MAXIFS(ENSAYOS!$Q$5:$Q$3004,ENSAYOS!$C$5:$C$3004,F570,ENSAYOS!$Q$5:$Q$3004,"&gt;0"))</f>
        <v/>
      </c>
      <c r="S570" s="16" t="str">
        <f aca="false">IF(N(M570)&lt;2,"",SQRT(MAX(0,(SUMIFS(ENSAYOS!$X$5:$X$3004,ENSAYOS!$C$5:$C$3004,F570,ENSAYOS!$Q$5:$Q$3004,"&gt;0")-M570*P570^2)/(M570-1))))</f>
        <v/>
      </c>
      <c r="T570" s="17" t="str">
        <f aca="false">IF(S570="","",S570/P570)</f>
        <v/>
      </c>
      <c r="U570" s="16" t="str">
        <f aca="false">IF(N(M570)=0,"",IF(N570&gt;=CONFIG!$B$27,"",AVERAGEIFS(ENSAYOS!$Q$5:$Q$3004,ENSAYOS!$C$5:$C$3004,F570,ENSAYOS!$Q$5:$Q$3004,"&gt;0",ENSAYOS!$G$5:$G$3004,N570)))</f>
        <v/>
      </c>
      <c r="V570" s="16" t="str">
        <f aca="false">IF(N(M570)=0,"",IF(COUNTIFS(ENSAYOS!$C$5:$C$3004,F570,ENSAYOS!$Q$5:$Q$3004,"&gt;0",ENSAYOS!$G$5:$G$3004,"&gt;="&amp;CONFIG!$B$27)=0,"",AVERAGEIFS(ENSAYOS!$Q$5:$Q$3004,ENSAYOS!$C$5:$C$3004,F570,ENSAYOS!$Q$5:$Q$3004,"&gt;0",ENSAYOS!$G$5:$G$3004,"&gt;="&amp;CONFIG!$B$27)))</f>
        <v/>
      </c>
      <c r="W570" s="18" t="str">
        <f aca="false">IF(AND(U570&lt;&gt;"",V570&lt;&gt;""),U570/V570,"")</f>
        <v/>
      </c>
      <c r="X570" s="18" t="str">
        <f aca="false">IF(U570="","",INDEX('CURVA EDAD'!$E$5:$E$32,MIN(28,MAX(1,N570))))</f>
        <v/>
      </c>
      <c r="Y570" s="16" t="str">
        <f aca="false">IF(V570&lt;&gt;"",V570,IF(U570="","",U570/X570))</f>
        <v/>
      </c>
      <c r="Z570" s="16" t="str">
        <f aca="false">IF(V570&lt;&gt;"",_xlfn.MINIFS(ENSAYOS!$Q$5:$Q$3004,ENSAYOS!$C$5:$C$3004,F570,ENSAYOS!$Q$5:$Q$3004,"&gt;0",ENSAYOS!$G$5:$G$3004,"&gt;="&amp;CONFIG!$B$27),IF(U570="","",_xlfn.MINIFS(ENSAYOS!$Q$5:$Q$3004,ENSAYOS!$C$5:$C$3004,F570,ENSAYOS!$Q$5:$Q$3004,"&gt;0",ENSAYOS!$G$5:$G$3004,N570)/X570))</f>
        <v/>
      </c>
      <c r="AA570" s="16" t="str">
        <f aca="false">IF(D570="","",IFERROR(1/(1/INDEX(CONFIG!$J$5:$J$14,MATCH(D570,CONFIG!$D$5:$D$14,0))),""))</f>
        <v/>
      </c>
      <c r="AB570" s="16" t="str">
        <f aca="false">IF(D570="","",IFERROR(1/(1/INDEX(CONFIG!$K$5:$K$14,MATCH(D570,CONFIG!$D$5:$D$14,0))),""))</f>
        <v/>
      </c>
      <c r="AC570" s="19" t="str">
        <f aca="false">IF(N(M570)=0,"",IF(AA570="","Sin spec",IF(AND(Y570&gt;=AA570,OR(AB570="",Z570&gt;=AB570)),"CUMPLE","NO CUMPLE")&amp;IF(V570=""," (est.)","")))</f>
        <v/>
      </c>
      <c r="AD570" s="20" t="str">
        <f aca="false">IF(F570="","",IF(COUNTIFS(ABSORCION!$C$5:$C$1004,F570,ABSORCION!$I$5:$I$1004,"&gt;0")=0,"",AVERAGEIFS(ABSORCION!$I$5:$I$1004,ABSORCION!$C$5:$C$1004,F570,ABSORCION!$I$5:$I$1004,"&gt;0")))</f>
        <v/>
      </c>
      <c r="AE570" s="20" t="str">
        <f aca="false">IF(F570="","",IF(COUNTIFS(ABSORCION!$C$5:$C$1004,F570,ABSORCION!$I$5:$I$1004,"&gt;0")=0,"",AVERAGEIFS(ABSORCION!$K$5:$K$1004,ABSORCION!$C$5:$C$1004,F570,ABSORCION!$I$5:$I$1004,"&gt;0")))</f>
        <v/>
      </c>
      <c r="AF570" s="20" t="str">
        <f aca="false">IF(AE570="","",IF(AE570&gt;=CONFIG!$E$21,CONFIG!$F$21,IF(AE570&gt;=CONFIG!$E$20,CONFIG!$F$20,CONFIG!$F$19)))</f>
        <v/>
      </c>
      <c r="AG570" s="21" t="str">
        <f aca="false">IF(F570="","",TRIM(IF(N(M570)=0,"Sin ensayos. ","")&amp;IF(AND(N(M570)&gt;0,N(M570)&lt;CONFIG!$B$26),"Menos de "&amp;CONFIG!$B$26&amp;" probetas. ","")&amp;IF(N(T570)&gt;CONFIG!$B$25,"CV alto. ","")&amp;IF(AND(N(AD570)&gt;0,N(AD570)&gt;N(AF570)),"Absorción alta. ","")))</f>
        <v/>
      </c>
      <c r="AH570" s="22" t="str">
        <f aca="false">IF(AND(N(M570)&gt;0,OR(CONTROL!$C$4="TODAS",C570=CONTROL!$C$4),D570=CONTROL!$C$5),MAX($AH$4:AH569)+1,"")</f>
        <v/>
      </c>
      <c r="AI570" s="22" t="str">
        <f aca="false">IF(AH570="","",P570^2)</f>
        <v/>
      </c>
    </row>
    <row r="571" customFormat="false" ht="15" hidden="false" customHeight="false" outlineLevel="0" collapsed="false">
      <c r="A571" s="11" t="str">
        <f aca="false">IF(B571="","",ROW()-4)</f>
        <v/>
      </c>
      <c r="B571" s="12"/>
      <c r="C571" s="13"/>
      <c r="D571" s="13"/>
      <c r="E571" s="13"/>
      <c r="F571" s="14" t="str">
        <f aca="false">IF(OR(B571="",C571="",D571=""),"",IFERROR(INDEX(CONFIG!$E$5:$E$14,MATCH(D571,CONFIG!$D$5:$D$14,0)),"?")&amp;RIGHT("0"&amp;DAY(B571),2)&amp;RIGHT("0"&amp;MONTH(B571),2)&amp;RIGHT(YEAR(B571),2)&amp;C571&amp;IF(E571="","","-"&amp;E571))</f>
        <v/>
      </c>
      <c r="G571" s="13"/>
      <c r="H571" s="13"/>
      <c r="I571" s="13"/>
      <c r="J571" s="13"/>
      <c r="K571" s="13"/>
      <c r="L571" s="13"/>
      <c r="M571" s="11" t="str">
        <f aca="false">IF(F571="","",COUNTIFS(ENSAYOS!$C$5:$C$3004,F571,ENSAYOS!$Q$5:$Q$3004,"&gt;0"))</f>
        <v/>
      </c>
      <c r="N571" s="15" t="str">
        <f aca="false">IF(N(M571)=0,"",_xlfn.MINIFS(ENSAYOS!$G$5:$G$3004,ENSAYOS!$C$5:$C$3004,F571,ENSAYOS!$Q$5:$Q$3004,"&gt;0"))</f>
        <v/>
      </c>
      <c r="O571" s="15" t="str">
        <f aca="false">IF(N(M571)=0,"",_xlfn.MAXIFS(ENSAYOS!$G$5:$G$3004,ENSAYOS!$C$5:$C$3004,F571,ENSAYOS!$Q$5:$Q$3004,"&gt;0"))</f>
        <v/>
      </c>
      <c r="P571" s="16" t="str">
        <f aca="false">IF(N(M571)=0,"",AVERAGEIFS(ENSAYOS!$Q$5:$Q$3004,ENSAYOS!$C$5:$C$3004,F571,ENSAYOS!$Q$5:$Q$3004,"&gt;0"))</f>
        <v/>
      </c>
      <c r="Q571" s="16" t="str">
        <f aca="false">IF(N(M571)=0,"",_xlfn.MINIFS(ENSAYOS!$Q$5:$Q$3004,ENSAYOS!$C$5:$C$3004,F571,ENSAYOS!$Q$5:$Q$3004,"&gt;0"))</f>
        <v/>
      </c>
      <c r="R571" s="16" t="str">
        <f aca="false">IF(N(M571)=0,"",_xlfn.MAXIFS(ENSAYOS!$Q$5:$Q$3004,ENSAYOS!$C$5:$C$3004,F571,ENSAYOS!$Q$5:$Q$3004,"&gt;0"))</f>
        <v/>
      </c>
      <c r="S571" s="16" t="str">
        <f aca="false">IF(N(M571)&lt;2,"",SQRT(MAX(0,(SUMIFS(ENSAYOS!$X$5:$X$3004,ENSAYOS!$C$5:$C$3004,F571,ENSAYOS!$Q$5:$Q$3004,"&gt;0")-M571*P571^2)/(M571-1))))</f>
        <v/>
      </c>
      <c r="T571" s="17" t="str">
        <f aca="false">IF(S571="","",S571/P571)</f>
        <v/>
      </c>
      <c r="U571" s="16" t="str">
        <f aca="false">IF(N(M571)=0,"",IF(N571&gt;=CONFIG!$B$27,"",AVERAGEIFS(ENSAYOS!$Q$5:$Q$3004,ENSAYOS!$C$5:$C$3004,F571,ENSAYOS!$Q$5:$Q$3004,"&gt;0",ENSAYOS!$G$5:$G$3004,N571)))</f>
        <v/>
      </c>
      <c r="V571" s="16" t="str">
        <f aca="false">IF(N(M571)=0,"",IF(COUNTIFS(ENSAYOS!$C$5:$C$3004,F571,ENSAYOS!$Q$5:$Q$3004,"&gt;0",ENSAYOS!$G$5:$G$3004,"&gt;="&amp;CONFIG!$B$27)=0,"",AVERAGEIFS(ENSAYOS!$Q$5:$Q$3004,ENSAYOS!$C$5:$C$3004,F571,ENSAYOS!$Q$5:$Q$3004,"&gt;0",ENSAYOS!$G$5:$G$3004,"&gt;="&amp;CONFIG!$B$27)))</f>
        <v/>
      </c>
      <c r="W571" s="18" t="str">
        <f aca="false">IF(AND(U571&lt;&gt;"",V571&lt;&gt;""),U571/V571,"")</f>
        <v/>
      </c>
      <c r="X571" s="18" t="str">
        <f aca="false">IF(U571="","",INDEX('CURVA EDAD'!$E$5:$E$32,MIN(28,MAX(1,N571))))</f>
        <v/>
      </c>
      <c r="Y571" s="16" t="str">
        <f aca="false">IF(V571&lt;&gt;"",V571,IF(U571="","",U571/X571))</f>
        <v/>
      </c>
      <c r="Z571" s="16" t="str">
        <f aca="false">IF(V571&lt;&gt;"",_xlfn.MINIFS(ENSAYOS!$Q$5:$Q$3004,ENSAYOS!$C$5:$C$3004,F571,ENSAYOS!$Q$5:$Q$3004,"&gt;0",ENSAYOS!$G$5:$G$3004,"&gt;="&amp;CONFIG!$B$27),IF(U571="","",_xlfn.MINIFS(ENSAYOS!$Q$5:$Q$3004,ENSAYOS!$C$5:$C$3004,F571,ENSAYOS!$Q$5:$Q$3004,"&gt;0",ENSAYOS!$G$5:$G$3004,N571)/X571))</f>
        <v/>
      </c>
      <c r="AA571" s="16" t="str">
        <f aca="false">IF(D571="","",IFERROR(1/(1/INDEX(CONFIG!$J$5:$J$14,MATCH(D571,CONFIG!$D$5:$D$14,0))),""))</f>
        <v/>
      </c>
      <c r="AB571" s="16" t="str">
        <f aca="false">IF(D571="","",IFERROR(1/(1/INDEX(CONFIG!$K$5:$K$14,MATCH(D571,CONFIG!$D$5:$D$14,0))),""))</f>
        <v/>
      </c>
      <c r="AC571" s="19" t="str">
        <f aca="false">IF(N(M571)=0,"",IF(AA571="","Sin spec",IF(AND(Y571&gt;=AA571,OR(AB571="",Z571&gt;=AB571)),"CUMPLE","NO CUMPLE")&amp;IF(V571=""," (est.)","")))</f>
        <v/>
      </c>
      <c r="AD571" s="20" t="str">
        <f aca="false">IF(F571="","",IF(COUNTIFS(ABSORCION!$C$5:$C$1004,F571,ABSORCION!$I$5:$I$1004,"&gt;0")=0,"",AVERAGEIFS(ABSORCION!$I$5:$I$1004,ABSORCION!$C$5:$C$1004,F571,ABSORCION!$I$5:$I$1004,"&gt;0")))</f>
        <v/>
      </c>
      <c r="AE571" s="20" t="str">
        <f aca="false">IF(F571="","",IF(COUNTIFS(ABSORCION!$C$5:$C$1004,F571,ABSORCION!$I$5:$I$1004,"&gt;0")=0,"",AVERAGEIFS(ABSORCION!$K$5:$K$1004,ABSORCION!$C$5:$C$1004,F571,ABSORCION!$I$5:$I$1004,"&gt;0")))</f>
        <v/>
      </c>
      <c r="AF571" s="20" t="str">
        <f aca="false">IF(AE571="","",IF(AE571&gt;=CONFIG!$E$21,CONFIG!$F$21,IF(AE571&gt;=CONFIG!$E$20,CONFIG!$F$20,CONFIG!$F$19)))</f>
        <v/>
      </c>
      <c r="AG571" s="21" t="str">
        <f aca="false">IF(F571="","",TRIM(IF(N(M571)=0,"Sin ensayos. ","")&amp;IF(AND(N(M571)&gt;0,N(M571)&lt;CONFIG!$B$26),"Menos de "&amp;CONFIG!$B$26&amp;" probetas. ","")&amp;IF(N(T571)&gt;CONFIG!$B$25,"CV alto. ","")&amp;IF(AND(N(AD571)&gt;0,N(AD571)&gt;N(AF571)),"Absorción alta. ","")))</f>
        <v/>
      </c>
      <c r="AH571" s="22" t="str">
        <f aca="false">IF(AND(N(M571)&gt;0,OR(CONTROL!$C$4="TODAS",C571=CONTROL!$C$4),D571=CONTROL!$C$5),MAX($AH$4:AH570)+1,"")</f>
        <v/>
      </c>
      <c r="AI571" s="22" t="str">
        <f aca="false">IF(AH571="","",P571^2)</f>
        <v/>
      </c>
    </row>
    <row r="572" customFormat="false" ht="15" hidden="false" customHeight="false" outlineLevel="0" collapsed="false">
      <c r="A572" s="11" t="str">
        <f aca="false">IF(B572="","",ROW()-4)</f>
        <v/>
      </c>
      <c r="B572" s="12"/>
      <c r="C572" s="13"/>
      <c r="D572" s="13"/>
      <c r="E572" s="13"/>
      <c r="F572" s="14" t="str">
        <f aca="false">IF(OR(B572="",C572="",D572=""),"",IFERROR(INDEX(CONFIG!$E$5:$E$14,MATCH(D572,CONFIG!$D$5:$D$14,0)),"?")&amp;RIGHT("0"&amp;DAY(B572),2)&amp;RIGHT("0"&amp;MONTH(B572),2)&amp;RIGHT(YEAR(B572),2)&amp;C572&amp;IF(E572="","","-"&amp;E572))</f>
        <v/>
      </c>
      <c r="G572" s="13"/>
      <c r="H572" s="13"/>
      <c r="I572" s="13"/>
      <c r="J572" s="13"/>
      <c r="K572" s="13"/>
      <c r="L572" s="13"/>
      <c r="M572" s="11" t="str">
        <f aca="false">IF(F572="","",COUNTIFS(ENSAYOS!$C$5:$C$3004,F572,ENSAYOS!$Q$5:$Q$3004,"&gt;0"))</f>
        <v/>
      </c>
      <c r="N572" s="15" t="str">
        <f aca="false">IF(N(M572)=0,"",_xlfn.MINIFS(ENSAYOS!$G$5:$G$3004,ENSAYOS!$C$5:$C$3004,F572,ENSAYOS!$Q$5:$Q$3004,"&gt;0"))</f>
        <v/>
      </c>
      <c r="O572" s="15" t="str">
        <f aca="false">IF(N(M572)=0,"",_xlfn.MAXIFS(ENSAYOS!$G$5:$G$3004,ENSAYOS!$C$5:$C$3004,F572,ENSAYOS!$Q$5:$Q$3004,"&gt;0"))</f>
        <v/>
      </c>
      <c r="P572" s="16" t="str">
        <f aca="false">IF(N(M572)=0,"",AVERAGEIFS(ENSAYOS!$Q$5:$Q$3004,ENSAYOS!$C$5:$C$3004,F572,ENSAYOS!$Q$5:$Q$3004,"&gt;0"))</f>
        <v/>
      </c>
      <c r="Q572" s="16" t="str">
        <f aca="false">IF(N(M572)=0,"",_xlfn.MINIFS(ENSAYOS!$Q$5:$Q$3004,ENSAYOS!$C$5:$C$3004,F572,ENSAYOS!$Q$5:$Q$3004,"&gt;0"))</f>
        <v/>
      </c>
      <c r="R572" s="16" t="str">
        <f aca="false">IF(N(M572)=0,"",_xlfn.MAXIFS(ENSAYOS!$Q$5:$Q$3004,ENSAYOS!$C$5:$C$3004,F572,ENSAYOS!$Q$5:$Q$3004,"&gt;0"))</f>
        <v/>
      </c>
      <c r="S572" s="16" t="str">
        <f aca="false">IF(N(M572)&lt;2,"",SQRT(MAX(0,(SUMIFS(ENSAYOS!$X$5:$X$3004,ENSAYOS!$C$5:$C$3004,F572,ENSAYOS!$Q$5:$Q$3004,"&gt;0")-M572*P572^2)/(M572-1))))</f>
        <v/>
      </c>
      <c r="T572" s="17" t="str">
        <f aca="false">IF(S572="","",S572/P572)</f>
        <v/>
      </c>
      <c r="U572" s="16" t="str">
        <f aca="false">IF(N(M572)=0,"",IF(N572&gt;=CONFIG!$B$27,"",AVERAGEIFS(ENSAYOS!$Q$5:$Q$3004,ENSAYOS!$C$5:$C$3004,F572,ENSAYOS!$Q$5:$Q$3004,"&gt;0",ENSAYOS!$G$5:$G$3004,N572)))</f>
        <v/>
      </c>
      <c r="V572" s="16" t="str">
        <f aca="false">IF(N(M572)=0,"",IF(COUNTIFS(ENSAYOS!$C$5:$C$3004,F572,ENSAYOS!$Q$5:$Q$3004,"&gt;0",ENSAYOS!$G$5:$G$3004,"&gt;="&amp;CONFIG!$B$27)=0,"",AVERAGEIFS(ENSAYOS!$Q$5:$Q$3004,ENSAYOS!$C$5:$C$3004,F572,ENSAYOS!$Q$5:$Q$3004,"&gt;0",ENSAYOS!$G$5:$G$3004,"&gt;="&amp;CONFIG!$B$27)))</f>
        <v/>
      </c>
      <c r="W572" s="18" t="str">
        <f aca="false">IF(AND(U572&lt;&gt;"",V572&lt;&gt;""),U572/V572,"")</f>
        <v/>
      </c>
      <c r="X572" s="18" t="str">
        <f aca="false">IF(U572="","",INDEX('CURVA EDAD'!$E$5:$E$32,MIN(28,MAX(1,N572))))</f>
        <v/>
      </c>
      <c r="Y572" s="16" t="str">
        <f aca="false">IF(V572&lt;&gt;"",V572,IF(U572="","",U572/X572))</f>
        <v/>
      </c>
      <c r="Z572" s="16" t="str">
        <f aca="false">IF(V572&lt;&gt;"",_xlfn.MINIFS(ENSAYOS!$Q$5:$Q$3004,ENSAYOS!$C$5:$C$3004,F572,ENSAYOS!$Q$5:$Q$3004,"&gt;0",ENSAYOS!$G$5:$G$3004,"&gt;="&amp;CONFIG!$B$27),IF(U572="","",_xlfn.MINIFS(ENSAYOS!$Q$5:$Q$3004,ENSAYOS!$C$5:$C$3004,F572,ENSAYOS!$Q$5:$Q$3004,"&gt;0",ENSAYOS!$G$5:$G$3004,N572)/X572))</f>
        <v/>
      </c>
      <c r="AA572" s="16" t="str">
        <f aca="false">IF(D572="","",IFERROR(1/(1/INDEX(CONFIG!$J$5:$J$14,MATCH(D572,CONFIG!$D$5:$D$14,0))),""))</f>
        <v/>
      </c>
      <c r="AB572" s="16" t="str">
        <f aca="false">IF(D572="","",IFERROR(1/(1/INDEX(CONFIG!$K$5:$K$14,MATCH(D572,CONFIG!$D$5:$D$14,0))),""))</f>
        <v/>
      </c>
      <c r="AC572" s="19" t="str">
        <f aca="false">IF(N(M572)=0,"",IF(AA572="","Sin spec",IF(AND(Y572&gt;=AA572,OR(AB572="",Z572&gt;=AB572)),"CUMPLE","NO CUMPLE")&amp;IF(V572=""," (est.)","")))</f>
        <v/>
      </c>
      <c r="AD572" s="20" t="str">
        <f aca="false">IF(F572="","",IF(COUNTIFS(ABSORCION!$C$5:$C$1004,F572,ABSORCION!$I$5:$I$1004,"&gt;0")=0,"",AVERAGEIFS(ABSORCION!$I$5:$I$1004,ABSORCION!$C$5:$C$1004,F572,ABSORCION!$I$5:$I$1004,"&gt;0")))</f>
        <v/>
      </c>
      <c r="AE572" s="20" t="str">
        <f aca="false">IF(F572="","",IF(COUNTIFS(ABSORCION!$C$5:$C$1004,F572,ABSORCION!$I$5:$I$1004,"&gt;0")=0,"",AVERAGEIFS(ABSORCION!$K$5:$K$1004,ABSORCION!$C$5:$C$1004,F572,ABSORCION!$I$5:$I$1004,"&gt;0")))</f>
        <v/>
      </c>
      <c r="AF572" s="20" t="str">
        <f aca="false">IF(AE572="","",IF(AE572&gt;=CONFIG!$E$21,CONFIG!$F$21,IF(AE572&gt;=CONFIG!$E$20,CONFIG!$F$20,CONFIG!$F$19)))</f>
        <v/>
      </c>
      <c r="AG572" s="21" t="str">
        <f aca="false">IF(F572="","",TRIM(IF(N(M572)=0,"Sin ensayos. ","")&amp;IF(AND(N(M572)&gt;0,N(M572)&lt;CONFIG!$B$26),"Menos de "&amp;CONFIG!$B$26&amp;" probetas. ","")&amp;IF(N(T572)&gt;CONFIG!$B$25,"CV alto. ","")&amp;IF(AND(N(AD572)&gt;0,N(AD572)&gt;N(AF572)),"Absorción alta. ","")))</f>
        <v/>
      </c>
      <c r="AH572" s="22" t="str">
        <f aca="false">IF(AND(N(M572)&gt;0,OR(CONTROL!$C$4="TODAS",C572=CONTROL!$C$4),D572=CONTROL!$C$5),MAX($AH$4:AH571)+1,"")</f>
        <v/>
      </c>
      <c r="AI572" s="22" t="str">
        <f aca="false">IF(AH572="","",P572^2)</f>
        <v/>
      </c>
    </row>
    <row r="573" customFormat="false" ht="15" hidden="false" customHeight="false" outlineLevel="0" collapsed="false">
      <c r="A573" s="11" t="str">
        <f aca="false">IF(B573="","",ROW()-4)</f>
        <v/>
      </c>
      <c r="B573" s="12"/>
      <c r="C573" s="13"/>
      <c r="D573" s="13"/>
      <c r="E573" s="13"/>
      <c r="F573" s="14" t="str">
        <f aca="false">IF(OR(B573="",C573="",D573=""),"",IFERROR(INDEX(CONFIG!$E$5:$E$14,MATCH(D573,CONFIG!$D$5:$D$14,0)),"?")&amp;RIGHT("0"&amp;DAY(B573),2)&amp;RIGHT("0"&amp;MONTH(B573),2)&amp;RIGHT(YEAR(B573),2)&amp;C573&amp;IF(E573="","","-"&amp;E573))</f>
        <v/>
      </c>
      <c r="G573" s="13"/>
      <c r="H573" s="13"/>
      <c r="I573" s="13"/>
      <c r="J573" s="13"/>
      <c r="K573" s="13"/>
      <c r="L573" s="13"/>
      <c r="M573" s="11" t="str">
        <f aca="false">IF(F573="","",COUNTIFS(ENSAYOS!$C$5:$C$3004,F573,ENSAYOS!$Q$5:$Q$3004,"&gt;0"))</f>
        <v/>
      </c>
      <c r="N573" s="15" t="str">
        <f aca="false">IF(N(M573)=0,"",_xlfn.MINIFS(ENSAYOS!$G$5:$G$3004,ENSAYOS!$C$5:$C$3004,F573,ENSAYOS!$Q$5:$Q$3004,"&gt;0"))</f>
        <v/>
      </c>
      <c r="O573" s="15" t="str">
        <f aca="false">IF(N(M573)=0,"",_xlfn.MAXIFS(ENSAYOS!$G$5:$G$3004,ENSAYOS!$C$5:$C$3004,F573,ENSAYOS!$Q$5:$Q$3004,"&gt;0"))</f>
        <v/>
      </c>
      <c r="P573" s="16" t="str">
        <f aca="false">IF(N(M573)=0,"",AVERAGEIFS(ENSAYOS!$Q$5:$Q$3004,ENSAYOS!$C$5:$C$3004,F573,ENSAYOS!$Q$5:$Q$3004,"&gt;0"))</f>
        <v/>
      </c>
      <c r="Q573" s="16" t="str">
        <f aca="false">IF(N(M573)=0,"",_xlfn.MINIFS(ENSAYOS!$Q$5:$Q$3004,ENSAYOS!$C$5:$C$3004,F573,ENSAYOS!$Q$5:$Q$3004,"&gt;0"))</f>
        <v/>
      </c>
      <c r="R573" s="16" t="str">
        <f aca="false">IF(N(M573)=0,"",_xlfn.MAXIFS(ENSAYOS!$Q$5:$Q$3004,ENSAYOS!$C$5:$C$3004,F573,ENSAYOS!$Q$5:$Q$3004,"&gt;0"))</f>
        <v/>
      </c>
      <c r="S573" s="16" t="str">
        <f aca="false">IF(N(M573)&lt;2,"",SQRT(MAX(0,(SUMIFS(ENSAYOS!$X$5:$X$3004,ENSAYOS!$C$5:$C$3004,F573,ENSAYOS!$Q$5:$Q$3004,"&gt;0")-M573*P573^2)/(M573-1))))</f>
        <v/>
      </c>
      <c r="T573" s="17" t="str">
        <f aca="false">IF(S573="","",S573/P573)</f>
        <v/>
      </c>
      <c r="U573" s="16" t="str">
        <f aca="false">IF(N(M573)=0,"",IF(N573&gt;=CONFIG!$B$27,"",AVERAGEIFS(ENSAYOS!$Q$5:$Q$3004,ENSAYOS!$C$5:$C$3004,F573,ENSAYOS!$Q$5:$Q$3004,"&gt;0",ENSAYOS!$G$5:$G$3004,N573)))</f>
        <v/>
      </c>
      <c r="V573" s="16" t="str">
        <f aca="false">IF(N(M573)=0,"",IF(COUNTIFS(ENSAYOS!$C$5:$C$3004,F573,ENSAYOS!$Q$5:$Q$3004,"&gt;0",ENSAYOS!$G$5:$G$3004,"&gt;="&amp;CONFIG!$B$27)=0,"",AVERAGEIFS(ENSAYOS!$Q$5:$Q$3004,ENSAYOS!$C$5:$C$3004,F573,ENSAYOS!$Q$5:$Q$3004,"&gt;0",ENSAYOS!$G$5:$G$3004,"&gt;="&amp;CONFIG!$B$27)))</f>
        <v/>
      </c>
      <c r="W573" s="18" t="str">
        <f aca="false">IF(AND(U573&lt;&gt;"",V573&lt;&gt;""),U573/V573,"")</f>
        <v/>
      </c>
      <c r="X573" s="18" t="str">
        <f aca="false">IF(U573="","",INDEX('CURVA EDAD'!$E$5:$E$32,MIN(28,MAX(1,N573))))</f>
        <v/>
      </c>
      <c r="Y573" s="16" t="str">
        <f aca="false">IF(V573&lt;&gt;"",V573,IF(U573="","",U573/X573))</f>
        <v/>
      </c>
      <c r="Z573" s="16" t="str">
        <f aca="false">IF(V573&lt;&gt;"",_xlfn.MINIFS(ENSAYOS!$Q$5:$Q$3004,ENSAYOS!$C$5:$C$3004,F573,ENSAYOS!$Q$5:$Q$3004,"&gt;0",ENSAYOS!$G$5:$G$3004,"&gt;="&amp;CONFIG!$B$27),IF(U573="","",_xlfn.MINIFS(ENSAYOS!$Q$5:$Q$3004,ENSAYOS!$C$5:$C$3004,F573,ENSAYOS!$Q$5:$Q$3004,"&gt;0",ENSAYOS!$G$5:$G$3004,N573)/X573))</f>
        <v/>
      </c>
      <c r="AA573" s="16" t="str">
        <f aca="false">IF(D573="","",IFERROR(1/(1/INDEX(CONFIG!$J$5:$J$14,MATCH(D573,CONFIG!$D$5:$D$14,0))),""))</f>
        <v/>
      </c>
      <c r="AB573" s="16" t="str">
        <f aca="false">IF(D573="","",IFERROR(1/(1/INDEX(CONFIG!$K$5:$K$14,MATCH(D573,CONFIG!$D$5:$D$14,0))),""))</f>
        <v/>
      </c>
      <c r="AC573" s="19" t="str">
        <f aca="false">IF(N(M573)=0,"",IF(AA573="","Sin spec",IF(AND(Y573&gt;=AA573,OR(AB573="",Z573&gt;=AB573)),"CUMPLE","NO CUMPLE")&amp;IF(V573=""," (est.)","")))</f>
        <v/>
      </c>
      <c r="AD573" s="20" t="str">
        <f aca="false">IF(F573="","",IF(COUNTIFS(ABSORCION!$C$5:$C$1004,F573,ABSORCION!$I$5:$I$1004,"&gt;0")=0,"",AVERAGEIFS(ABSORCION!$I$5:$I$1004,ABSORCION!$C$5:$C$1004,F573,ABSORCION!$I$5:$I$1004,"&gt;0")))</f>
        <v/>
      </c>
      <c r="AE573" s="20" t="str">
        <f aca="false">IF(F573="","",IF(COUNTIFS(ABSORCION!$C$5:$C$1004,F573,ABSORCION!$I$5:$I$1004,"&gt;0")=0,"",AVERAGEIFS(ABSORCION!$K$5:$K$1004,ABSORCION!$C$5:$C$1004,F573,ABSORCION!$I$5:$I$1004,"&gt;0")))</f>
        <v/>
      </c>
      <c r="AF573" s="20" t="str">
        <f aca="false">IF(AE573="","",IF(AE573&gt;=CONFIG!$E$21,CONFIG!$F$21,IF(AE573&gt;=CONFIG!$E$20,CONFIG!$F$20,CONFIG!$F$19)))</f>
        <v/>
      </c>
      <c r="AG573" s="21" t="str">
        <f aca="false">IF(F573="","",TRIM(IF(N(M573)=0,"Sin ensayos. ","")&amp;IF(AND(N(M573)&gt;0,N(M573)&lt;CONFIG!$B$26),"Menos de "&amp;CONFIG!$B$26&amp;" probetas. ","")&amp;IF(N(T573)&gt;CONFIG!$B$25,"CV alto. ","")&amp;IF(AND(N(AD573)&gt;0,N(AD573)&gt;N(AF573)),"Absorción alta. ","")))</f>
        <v/>
      </c>
      <c r="AH573" s="22" t="str">
        <f aca="false">IF(AND(N(M573)&gt;0,OR(CONTROL!$C$4="TODAS",C573=CONTROL!$C$4),D573=CONTROL!$C$5),MAX($AH$4:AH572)+1,"")</f>
        <v/>
      </c>
      <c r="AI573" s="22" t="str">
        <f aca="false">IF(AH573="","",P573^2)</f>
        <v/>
      </c>
    </row>
    <row r="574" customFormat="false" ht="15" hidden="false" customHeight="false" outlineLevel="0" collapsed="false">
      <c r="A574" s="11" t="str">
        <f aca="false">IF(B574="","",ROW()-4)</f>
        <v/>
      </c>
      <c r="B574" s="12"/>
      <c r="C574" s="13"/>
      <c r="D574" s="13"/>
      <c r="E574" s="13"/>
      <c r="F574" s="14" t="str">
        <f aca="false">IF(OR(B574="",C574="",D574=""),"",IFERROR(INDEX(CONFIG!$E$5:$E$14,MATCH(D574,CONFIG!$D$5:$D$14,0)),"?")&amp;RIGHT("0"&amp;DAY(B574),2)&amp;RIGHT("0"&amp;MONTH(B574),2)&amp;RIGHT(YEAR(B574),2)&amp;C574&amp;IF(E574="","","-"&amp;E574))</f>
        <v/>
      </c>
      <c r="G574" s="13"/>
      <c r="H574" s="13"/>
      <c r="I574" s="13"/>
      <c r="J574" s="13"/>
      <c r="K574" s="13"/>
      <c r="L574" s="13"/>
      <c r="M574" s="11" t="str">
        <f aca="false">IF(F574="","",COUNTIFS(ENSAYOS!$C$5:$C$3004,F574,ENSAYOS!$Q$5:$Q$3004,"&gt;0"))</f>
        <v/>
      </c>
      <c r="N574" s="15" t="str">
        <f aca="false">IF(N(M574)=0,"",_xlfn.MINIFS(ENSAYOS!$G$5:$G$3004,ENSAYOS!$C$5:$C$3004,F574,ENSAYOS!$Q$5:$Q$3004,"&gt;0"))</f>
        <v/>
      </c>
      <c r="O574" s="15" t="str">
        <f aca="false">IF(N(M574)=0,"",_xlfn.MAXIFS(ENSAYOS!$G$5:$G$3004,ENSAYOS!$C$5:$C$3004,F574,ENSAYOS!$Q$5:$Q$3004,"&gt;0"))</f>
        <v/>
      </c>
      <c r="P574" s="16" t="str">
        <f aca="false">IF(N(M574)=0,"",AVERAGEIFS(ENSAYOS!$Q$5:$Q$3004,ENSAYOS!$C$5:$C$3004,F574,ENSAYOS!$Q$5:$Q$3004,"&gt;0"))</f>
        <v/>
      </c>
      <c r="Q574" s="16" t="str">
        <f aca="false">IF(N(M574)=0,"",_xlfn.MINIFS(ENSAYOS!$Q$5:$Q$3004,ENSAYOS!$C$5:$C$3004,F574,ENSAYOS!$Q$5:$Q$3004,"&gt;0"))</f>
        <v/>
      </c>
      <c r="R574" s="16" t="str">
        <f aca="false">IF(N(M574)=0,"",_xlfn.MAXIFS(ENSAYOS!$Q$5:$Q$3004,ENSAYOS!$C$5:$C$3004,F574,ENSAYOS!$Q$5:$Q$3004,"&gt;0"))</f>
        <v/>
      </c>
      <c r="S574" s="16" t="str">
        <f aca="false">IF(N(M574)&lt;2,"",SQRT(MAX(0,(SUMIFS(ENSAYOS!$X$5:$X$3004,ENSAYOS!$C$5:$C$3004,F574,ENSAYOS!$Q$5:$Q$3004,"&gt;0")-M574*P574^2)/(M574-1))))</f>
        <v/>
      </c>
      <c r="T574" s="17" t="str">
        <f aca="false">IF(S574="","",S574/P574)</f>
        <v/>
      </c>
      <c r="U574" s="16" t="str">
        <f aca="false">IF(N(M574)=0,"",IF(N574&gt;=CONFIG!$B$27,"",AVERAGEIFS(ENSAYOS!$Q$5:$Q$3004,ENSAYOS!$C$5:$C$3004,F574,ENSAYOS!$Q$5:$Q$3004,"&gt;0",ENSAYOS!$G$5:$G$3004,N574)))</f>
        <v/>
      </c>
      <c r="V574" s="16" t="str">
        <f aca="false">IF(N(M574)=0,"",IF(COUNTIFS(ENSAYOS!$C$5:$C$3004,F574,ENSAYOS!$Q$5:$Q$3004,"&gt;0",ENSAYOS!$G$5:$G$3004,"&gt;="&amp;CONFIG!$B$27)=0,"",AVERAGEIFS(ENSAYOS!$Q$5:$Q$3004,ENSAYOS!$C$5:$C$3004,F574,ENSAYOS!$Q$5:$Q$3004,"&gt;0",ENSAYOS!$G$5:$G$3004,"&gt;="&amp;CONFIG!$B$27)))</f>
        <v/>
      </c>
      <c r="W574" s="18" t="str">
        <f aca="false">IF(AND(U574&lt;&gt;"",V574&lt;&gt;""),U574/V574,"")</f>
        <v/>
      </c>
      <c r="X574" s="18" t="str">
        <f aca="false">IF(U574="","",INDEX('CURVA EDAD'!$E$5:$E$32,MIN(28,MAX(1,N574))))</f>
        <v/>
      </c>
      <c r="Y574" s="16" t="str">
        <f aca="false">IF(V574&lt;&gt;"",V574,IF(U574="","",U574/X574))</f>
        <v/>
      </c>
      <c r="Z574" s="16" t="str">
        <f aca="false">IF(V574&lt;&gt;"",_xlfn.MINIFS(ENSAYOS!$Q$5:$Q$3004,ENSAYOS!$C$5:$C$3004,F574,ENSAYOS!$Q$5:$Q$3004,"&gt;0",ENSAYOS!$G$5:$G$3004,"&gt;="&amp;CONFIG!$B$27),IF(U574="","",_xlfn.MINIFS(ENSAYOS!$Q$5:$Q$3004,ENSAYOS!$C$5:$C$3004,F574,ENSAYOS!$Q$5:$Q$3004,"&gt;0",ENSAYOS!$G$5:$G$3004,N574)/X574))</f>
        <v/>
      </c>
      <c r="AA574" s="16" t="str">
        <f aca="false">IF(D574="","",IFERROR(1/(1/INDEX(CONFIG!$J$5:$J$14,MATCH(D574,CONFIG!$D$5:$D$14,0))),""))</f>
        <v/>
      </c>
      <c r="AB574" s="16" t="str">
        <f aca="false">IF(D574="","",IFERROR(1/(1/INDEX(CONFIG!$K$5:$K$14,MATCH(D574,CONFIG!$D$5:$D$14,0))),""))</f>
        <v/>
      </c>
      <c r="AC574" s="19" t="str">
        <f aca="false">IF(N(M574)=0,"",IF(AA574="","Sin spec",IF(AND(Y574&gt;=AA574,OR(AB574="",Z574&gt;=AB574)),"CUMPLE","NO CUMPLE")&amp;IF(V574=""," (est.)","")))</f>
        <v/>
      </c>
      <c r="AD574" s="20" t="str">
        <f aca="false">IF(F574="","",IF(COUNTIFS(ABSORCION!$C$5:$C$1004,F574,ABSORCION!$I$5:$I$1004,"&gt;0")=0,"",AVERAGEIFS(ABSORCION!$I$5:$I$1004,ABSORCION!$C$5:$C$1004,F574,ABSORCION!$I$5:$I$1004,"&gt;0")))</f>
        <v/>
      </c>
      <c r="AE574" s="20" t="str">
        <f aca="false">IF(F574="","",IF(COUNTIFS(ABSORCION!$C$5:$C$1004,F574,ABSORCION!$I$5:$I$1004,"&gt;0")=0,"",AVERAGEIFS(ABSORCION!$K$5:$K$1004,ABSORCION!$C$5:$C$1004,F574,ABSORCION!$I$5:$I$1004,"&gt;0")))</f>
        <v/>
      </c>
      <c r="AF574" s="20" t="str">
        <f aca="false">IF(AE574="","",IF(AE574&gt;=CONFIG!$E$21,CONFIG!$F$21,IF(AE574&gt;=CONFIG!$E$20,CONFIG!$F$20,CONFIG!$F$19)))</f>
        <v/>
      </c>
      <c r="AG574" s="21" t="str">
        <f aca="false">IF(F574="","",TRIM(IF(N(M574)=0,"Sin ensayos. ","")&amp;IF(AND(N(M574)&gt;0,N(M574)&lt;CONFIG!$B$26),"Menos de "&amp;CONFIG!$B$26&amp;" probetas. ","")&amp;IF(N(T574)&gt;CONFIG!$B$25,"CV alto. ","")&amp;IF(AND(N(AD574)&gt;0,N(AD574)&gt;N(AF574)),"Absorción alta. ","")))</f>
        <v/>
      </c>
      <c r="AH574" s="22" t="str">
        <f aca="false">IF(AND(N(M574)&gt;0,OR(CONTROL!$C$4="TODAS",C574=CONTROL!$C$4),D574=CONTROL!$C$5),MAX($AH$4:AH573)+1,"")</f>
        <v/>
      </c>
      <c r="AI574" s="22" t="str">
        <f aca="false">IF(AH574="","",P574^2)</f>
        <v/>
      </c>
    </row>
    <row r="575" customFormat="false" ht="15" hidden="false" customHeight="false" outlineLevel="0" collapsed="false">
      <c r="A575" s="11" t="str">
        <f aca="false">IF(B575="","",ROW()-4)</f>
        <v/>
      </c>
      <c r="B575" s="12"/>
      <c r="C575" s="13"/>
      <c r="D575" s="13"/>
      <c r="E575" s="13"/>
      <c r="F575" s="14" t="str">
        <f aca="false">IF(OR(B575="",C575="",D575=""),"",IFERROR(INDEX(CONFIG!$E$5:$E$14,MATCH(D575,CONFIG!$D$5:$D$14,0)),"?")&amp;RIGHT("0"&amp;DAY(B575),2)&amp;RIGHT("0"&amp;MONTH(B575),2)&amp;RIGHT(YEAR(B575),2)&amp;C575&amp;IF(E575="","","-"&amp;E575))</f>
        <v/>
      </c>
      <c r="G575" s="13"/>
      <c r="H575" s="13"/>
      <c r="I575" s="13"/>
      <c r="J575" s="13"/>
      <c r="K575" s="13"/>
      <c r="L575" s="13"/>
      <c r="M575" s="11" t="str">
        <f aca="false">IF(F575="","",COUNTIFS(ENSAYOS!$C$5:$C$3004,F575,ENSAYOS!$Q$5:$Q$3004,"&gt;0"))</f>
        <v/>
      </c>
      <c r="N575" s="15" t="str">
        <f aca="false">IF(N(M575)=0,"",_xlfn.MINIFS(ENSAYOS!$G$5:$G$3004,ENSAYOS!$C$5:$C$3004,F575,ENSAYOS!$Q$5:$Q$3004,"&gt;0"))</f>
        <v/>
      </c>
      <c r="O575" s="15" t="str">
        <f aca="false">IF(N(M575)=0,"",_xlfn.MAXIFS(ENSAYOS!$G$5:$G$3004,ENSAYOS!$C$5:$C$3004,F575,ENSAYOS!$Q$5:$Q$3004,"&gt;0"))</f>
        <v/>
      </c>
      <c r="P575" s="16" t="str">
        <f aca="false">IF(N(M575)=0,"",AVERAGEIFS(ENSAYOS!$Q$5:$Q$3004,ENSAYOS!$C$5:$C$3004,F575,ENSAYOS!$Q$5:$Q$3004,"&gt;0"))</f>
        <v/>
      </c>
      <c r="Q575" s="16" t="str">
        <f aca="false">IF(N(M575)=0,"",_xlfn.MINIFS(ENSAYOS!$Q$5:$Q$3004,ENSAYOS!$C$5:$C$3004,F575,ENSAYOS!$Q$5:$Q$3004,"&gt;0"))</f>
        <v/>
      </c>
      <c r="R575" s="16" t="str">
        <f aca="false">IF(N(M575)=0,"",_xlfn.MAXIFS(ENSAYOS!$Q$5:$Q$3004,ENSAYOS!$C$5:$C$3004,F575,ENSAYOS!$Q$5:$Q$3004,"&gt;0"))</f>
        <v/>
      </c>
      <c r="S575" s="16" t="str">
        <f aca="false">IF(N(M575)&lt;2,"",SQRT(MAX(0,(SUMIFS(ENSAYOS!$X$5:$X$3004,ENSAYOS!$C$5:$C$3004,F575,ENSAYOS!$Q$5:$Q$3004,"&gt;0")-M575*P575^2)/(M575-1))))</f>
        <v/>
      </c>
      <c r="T575" s="17" t="str">
        <f aca="false">IF(S575="","",S575/P575)</f>
        <v/>
      </c>
      <c r="U575" s="16" t="str">
        <f aca="false">IF(N(M575)=0,"",IF(N575&gt;=CONFIG!$B$27,"",AVERAGEIFS(ENSAYOS!$Q$5:$Q$3004,ENSAYOS!$C$5:$C$3004,F575,ENSAYOS!$Q$5:$Q$3004,"&gt;0",ENSAYOS!$G$5:$G$3004,N575)))</f>
        <v/>
      </c>
      <c r="V575" s="16" t="str">
        <f aca="false">IF(N(M575)=0,"",IF(COUNTIFS(ENSAYOS!$C$5:$C$3004,F575,ENSAYOS!$Q$5:$Q$3004,"&gt;0",ENSAYOS!$G$5:$G$3004,"&gt;="&amp;CONFIG!$B$27)=0,"",AVERAGEIFS(ENSAYOS!$Q$5:$Q$3004,ENSAYOS!$C$5:$C$3004,F575,ENSAYOS!$Q$5:$Q$3004,"&gt;0",ENSAYOS!$G$5:$G$3004,"&gt;="&amp;CONFIG!$B$27)))</f>
        <v/>
      </c>
      <c r="W575" s="18" t="str">
        <f aca="false">IF(AND(U575&lt;&gt;"",V575&lt;&gt;""),U575/V575,"")</f>
        <v/>
      </c>
      <c r="X575" s="18" t="str">
        <f aca="false">IF(U575="","",INDEX('CURVA EDAD'!$E$5:$E$32,MIN(28,MAX(1,N575))))</f>
        <v/>
      </c>
      <c r="Y575" s="16" t="str">
        <f aca="false">IF(V575&lt;&gt;"",V575,IF(U575="","",U575/X575))</f>
        <v/>
      </c>
      <c r="Z575" s="16" t="str">
        <f aca="false">IF(V575&lt;&gt;"",_xlfn.MINIFS(ENSAYOS!$Q$5:$Q$3004,ENSAYOS!$C$5:$C$3004,F575,ENSAYOS!$Q$5:$Q$3004,"&gt;0",ENSAYOS!$G$5:$G$3004,"&gt;="&amp;CONFIG!$B$27),IF(U575="","",_xlfn.MINIFS(ENSAYOS!$Q$5:$Q$3004,ENSAYOS!$C$5:$C$3004,F575,ENSAYOS!$Q$5:$Q$3004,"&gt;0",ENSAYOS!$G$5:$G$3004,N575)/X575))</f>
        <v/>
      </c>
      <c r="AA575" s="16" t="str">
        <f aca="false">IF(D575="","",IFERROR(1/(1/INDEX(CONFIG!$J$5:$J$14,MATCH(D575,CONFIG!$D$5:$D$14,0))),""))</f>
        <v/>
      </c>
      <c r="AB575" s="16" t="str">
        <f aca="false">IF(D575="","",IFERROR(1/(1/INDEX(CONFIG!$K$5:$K$14,MATCH(D575,CONFIG!$D$5:$D$14,0))),""))</f>
        <v/>
      </c>
      <c r="AC575" s="19" t="str">
        <f aca="false">IF(N(M575)=0,"",IF(AA575="","Sin spec",IF(AND(Y575&gt;=AA575,OR(AB575="",Z575&gt;=AB575)),"CUMPLE","NO CUMPLE")&amp;IF(V575=""," (est.)","")))</f>
        <v/>
      </c>
      <c r="AD575" s="20" t="str">
        <f aca="false">IF(F575="","",IF(COUNTIFS(ABSORCION!$C$5:$C$1004,F575,ABSORCION!$I$5:$I$1004,"&gt;0")=0,"",AVERAGEIFS(ABSORCION!$I$5:$I$1004,ABSORCION!$C$5:$C$1004,F575,ABSORCION!$I$5:$I$1004,"&gt;0")))</f>
        <v/>
      </c>
      <c r="AE575" s="20" t="str">
        <f aca="false">IF(F575="","",IF(COUNTIFS(ABSORCION!$C$5:$C$1004,F575,ABSORCION!$I$5:$I$1004,"&gt;0")=0,"",AVERAGEIFS(ABSORCION!$K$5:$K$1004,ABSORCION!$C$5:$C$1004,F575,ABSORCION!$I$5:$I$1004,"&gt;0")))</f>
        <v/>
      </c>
      <c r="AF575" s="20" t="str">
        <f aca="false">IF(AE575="","",IF(AE575&gt;=CONFIG!$E$21,CONFIG!$F$21,IF(AE575&gt;=CONFIG!$E$20,CONFIG!$F$20,CONFIG!$F$19)))</f>
        <v/>
      </c>
      <c r="AG575" s="21" t="str">
        <f aca="false">IF(F575="","",TRIM(IF(N(M575)=0,"Sin ensayos. ","")&amp;IF(AND(N(M575)&gt;0,N(M575)&lt;CONFIG!$B$26),"Menos de "&amp;CONFIG!$B$26&amp;" probetas. ","")&amp;IF(N(T575)&gt;CONFIG!$B$25,"CV alto. ","")&amp;IF(AND(N(AD575)&gt;0,N(AD575)&gt;N(AF575)),"Absorción alta. ","")))</f>
        <v/>
      </c>
      <c r="AH575" s="22" t="str">
        <f aca="false">IF(AND(N(M575)&gt;0,OR(CONTROL!$C$4="TODAS",C575=CONTROL!$C$4),D575=CONTROL!$C$5),MAX($AH$4:AH574)+1,"")</f>
        <v/>
      </c>
      <c r="AI575" s="22" t="str">
        <f aca="false">IF(AH575="","",P575^2)</f>
        <v/>
      </c>
    </row>
    <row r="576" customFormat="false" ht="15" hidden="false" customHeight="false" outlineLevel="0" collapsed="false">
      <c r="A576" s="11" t="str">
        <f aca="false">IF(B576="","",ROW()-4)</f>
        <v/>
      </c>
      <c r="B576" s="12"/>
      <c r="C576" s="13"/>
      <c r="D576" s="13"/>
      <c r="E576" s="13"/>
      <c r="F576" s="14" t="str">
        <f aca="false">IF(OR(B576="",C576="",D576=""),"",IFERROR(INDEX(CONFIG!$E$5:$E$14,MATCH(D576,CONFIG!$D$5:$D$14,0)),"?")&amp;RIGHT("0"&amp;DAY(B576),2)&amp;RIGHT("0"&amp;MONTH(B576),2)&amp;RIGHT(YEAR(B576),2)&amp;C576&amp;IF(E576="","","-"&amp;E576))</f>
        <v/>
      </c>
      <c r="G576" s="13"/>
      <c r="H576" s="13"/>
      <c r="I576" s="13"/>
      <c r="J576" s="13"/>
      <c r="K576" s="13"/>
      <c r="L576" s="13"/>
      <c r="M576" s="11" t="str">
        <f aca="false">IF(F576="","",COUNTIFS(ENSAYOS!$C$5:$C$3004,F576,ENSAYOS!$Q$5:$Q$3004,"&gt;0"))</f>
        <v/>
      </c>
      <c r="N576" s="15" t="str">
        <f aca="false">IF(N(M576)=0,"",_xlfn.MINIFS(ENSAYOS!$G$5:$G$3004,ENSAYOS!$C$5:$C$3004,F576,ENSAYOS!$Q$5:$Q$3004,"&gt;0"))</f>
        <v/>
      </c>
      <c r="O576" s="15" t="str">
        <f aca="false">IF(N(M576)=0,"",_xlfn.MAXIFS(ENSAYOS!$G$5:$G$3004,ENSAYOS!$C$5:$C$3004,F576,ENSAYOS!$Q$5:$Q$3004,"&gt;0"))</f>
        <v/>
      </c>
      <c r="P576" s="16" t="str">
        <f aca="false">IF(N(M576)=0,"",AVERAGEIFS(ENSAYOS!$Q$5:$Q$3004,ENSAYOS!$C$5:$C$3004,F576,ENSAYOS!$Q$5:$Q$3004,"&gt;0"))</f>
        <v/>
      </c>
      <c r="Q576" s="16" t="str">
        <f aca="false">IF(N(M576)=0,"",_xlfn.MINIFS(ENSAYOS!$Q$5:$Q$3004,ENSAYOS!$C$5:$C$3004,F576,ENSAYOS!$Q$5:$Q$3004,"&gt;0"))</f>
        <v/>
      </c>
      <c r="R576" s="16" t="str">
        <f aca="false">IF(N(M576)=0,"",_xlfn.MAXIFS(ENSAYOS!$Q$5:$Q$3004,ENSAYOS!$C$5:$C$3004,F576,ENSAYOS!$Q$5:$Q$3004,"&gt;0"))</f>
        <v/>
      </c>
      <c r="S576" s="16" t="str">
        <f aca="false">IF(N(M576)&lt;2,"",SQRT(MAX(0,(SUMIFS(ENSAYOS!$X$5:$X$3004,ENSAYOS!$C$5:$C$3004,F576,ENSAYOS!$Q$5:$Q$3004,"&gt;0")-M576*P576^2)/(M576-1))))</f>
        <v/>
      </c>
      <c r="T576" s="17" t="str">
        <f aca="false">IF(S576="","",S576/P576)</f>
        <v/>
      </c>
      <c r="U576" s="16" t="str">
        <f aca="false">IF(N(M576)=0,"",IF(N576&gt;=CONFIG!$B$27,"",AVERAGEIFS(ENSAYOS!$Q$5:$Q$3004,ENSAYOS!$C$5:$C$3004,F576,ENSAYOS!$Q$5:$Q$3004,"&gt;0",ENSAYOS!$G$5:$G$3004,N576)))</f>
        <v/>
      </c>
      <c r="V576" s="16" t="str">
        <f aca="false">IF(N(M576)=0,"",IF(COUNTIFS(ENSAYOS!$C$5:$C$3004,F576,ENSAYOS!$Q$5:$Q$3004,"&gt;0",ENSAYOS!$G$5:$G$3004,"&gt;="&amp;CONFIG!$B$27)=0,"",AVERAGEIFS(ENSAYOS!$Q$5:$Q$3004,ENSAYOS!$C$5:$C$3004,F576,ENSAYOS!$Q$5:$Q$3004,"&gt;0",ENSAYOS!$G$5:$G$3004,"&gt;="&amp;CONFIG!$B$27)))</f>
        <v/>
      </c>
      <c r="W576" s="18" t="str">
        <f aca="false">IF(AND(U576&lt;&gt;"",V576&lt;&gt;""),U576/V576,"")</f>
        <v/>
      </c>
      <c r="X576" s="18" t="str">
        <f aca="false">IF(U576="","",INDEX('CURVA EDAD'!$E$5:$E$32,MIN(28,MAX(1,N576))))</f>
        <v/>
      </c>
      <c r="Y576" s="16" t="str">
        <f aca="false">IF(V576&lt;&gt;"",V576,IF(U576="","",U576/X576))</f>
        <v/>
      </c>
      <c r="Z576" s="16" t="str">
        <f aca="false">IF(V576&lt;&gt;"",_xlfn.MINIFS(ENSAYOS!$Q$5:$Q$3004,ENSAYOS!$C$5:$C$3004,F576,ENSAYOS!$Q$5:$Q$3004,"&gt;0",ENSAYOS!$G$5:$G$3004,"&gt;="&amp;CONFIG!$B$27),IF(U576="","",_xlfn.MINIFS(ENSAYOS!$Q$5:$Q$3004,ENSAYOS!$C$5:$C$3004,F576,ENSAYOS!$Q$5:$Q$3004,"&gt;0",ENSAYOS!$G$5:$G$3004,N576)/X576))</f>
        <v/>
      </c>
      <c r="AA576" s="16" t="str">
        <f aca="false">IF(D576="","",IFERROR(1/(1/INDEX(CONFIG!$J$5:$J$14,MATCH(D576,CONFIG!$D$5:$D$14,0))),""))</f>
        <v/>
      </c>
      <c r="AB576" s="16" t="str">
        <f aca="false">IF(D576="","",IFERROR(1/(1/INDEX(CONFIG!$K$5:$K$14,MATCH(D576,CONFIG!$D$5:$D$14,0))),""))</f>
        <v/>
      </c>
      <c r="AC576" s="19" t="str">
        <f aca="false">IF(N(M576)=0,"",IF(AA576="","Sin spec",IF(AND(Y576&gt;=AA576,OR(AB576="",Z576&gt;=AB576)),"CUMPLE","NO CUMPLE")&amp;IF(V576=""," (est.)","")))</f>
        <v/>
      </c>
      <c r="AD576" s="20" t="str">
        <f aca="false">IF(F576="","",IF(COUNTIFS(ABSORCION!$C$5:$C$1004,F576,ABSORCION!$I$5:$I$1004,"&gt;0")=0,"",AVERAGEIFS(ABSORCION!$I$5:$I$1004,ABSORCION!$C$5:$C$1004,F576,ABSORCION!$I$5:$I$1004,"&gt;0")))</f>
        <v/>
      </c>
      <c r="AE576" s="20" t="str">
        <f aca="false">IF(F576="","",IF(COUNTIFS(ABSORCION!$C$5:$C$1004,F576,ABSORCION!$I$5:$I$1004,"&gt;0")=0,"",AVERAGEIFS(ABSORCION!$K$5:$K$1004,ABSORCION!$C$5:$C$1004,F576,ABSORCION!$I$5:$I$1004,"&gt;0")))</f>
        <v/>
      </c>
      <c r="AF576" s="20" t="str">
        <f aca="false">IF(AE576="","",IF(AE576&gt;=CONFIG!$E$21,CONFIG!$F$21,IF(AE576&gt;=CONFIG!$E$20,CONFIG!$F$20,CONFIG!$F$19)))</f>
        <v/>
      </c>
      <c r="AG576" s="21" t="str">
        <f aca="false">IF(F576="","",TRIM(IF(N(M576)=0,"Sin ensayos. ","")&amp;IF(AND(N(M576)&gt;0,N(M576)&lt;CONFIG!$B$26),"Menos de "&amp;CONFIG!$B$26&amp;" probetas. ","")&amp;IF(N(T576)&gt;CONFIG!$B$25,"CV alto. ","")&amp;IF(AND(N(AD576)&gt;0,N(AD576)&gt;N(AF576)),"Absorción alta. ","")))</f>
        <v/>
      </c>
      <c r="AH576" s="22" t="str">
        <f aca="false">IF(AND(N(M576)&gt;0,OR(CONTROL!$C$4="TODAS",C576=CONTROL!$C$4),D576=CONTROL!$C$5),MAX($AH$4:AH575)+1,"")</f>
        <v/>
      </c>
      <c r="AI576" s="22" t="str">
        <f aca="false">IF(AH576="","",P576^2)</f>
        <v/>
      </c>
    </row>
    <row r="577" customFormat="false" ht="15" hidden="false" customHeight="false" outlineLevel="0" collapsed="false">
      <c r="A577" s="11" t="str">
        <f aca="false">IF(B577="","",ROW()-4)</f>
        <v/>
      </c>
      <c r="B577" s="12"/>
      <c r="C577" s="13"/>
      <c r="D577" s="13"/>
      <c r="E577" s="13"/>
      <c r="F577" s="14" t="str">
        <f aca="false">IF(OR(B577="",C577="",D577=""),"",IFERROR(INDEX(CONFIG!$E$5:$E$14,MATCH(D577,CONFIG!$D$5:$D$14,0)),"?")&amp;RIGHT("0"&amp;DAY(B577),2)&amp;RIGHT("0"&amp;MONTH(B577),2)&amp;RIGHT(YEAR(B577),2)&amp;C577&amp;IF(E577="","","-"&amp;E577))</f>
        <v/>
      </c>
      <c r="G577" s="13"/>
      <c r="H577" s="13"/>
      <c r="I577" s="13"/>
      <c r="J577" s="13"/>
      <c r="K577" s="13"/>
      <c r="L577" s="13"/>
      <c r="M577" s="11" t="str">
        <f aca="false">IF(F577="","",COUNTIFS(ENSAYOS!$C$5:$C$3004,F577,ENSAYOS!$Q$5:$Q$3004,"&gt;0"))</f>
        <v/>
      </c>
      <c r="N577" s="15" t="str">
        <f aca="false">IF(N(M577)=0,"",_xlfn.MINIFS(ENSAYOS!$G$5:$G$3004,ENSAYOS!$C$5:$C$3004,F577,ENSAYOS!$Q$5:$Q$3004,"&gt;0"))</f>
        <v/>
      </c>
      <c r="O577" s="15" t="str">
        <f aca="false">IF(N(M577)=0,"",_xlfn.MAXIFS(ENSAYOS!$G$5:$G$3004,ENSAYOS!$C$5:$C$3004,F577,ENSAYOS!$Q$5:$Q$3004,"&gt;0"))</f>
        <v/>
      </c>
      <c r="P577" s="16" t="str">
        <f aca="false">IF(N(M577)=0,"",AVERAGEIFS(ENSAYOS!$Q$5:$Q$3004,ENSAYOS!$C$5:$C$3004,F577,ENSAYOS!$Q$5:$Q$3004,"&gt;0"))</f>
        <v/>
      </c>
      <c r="Q577" s="16" t="str">
        <f aca="false">IF(N(M577)=0,"",_xlfn.MINIFS(ENSAYOS!$Q$5:$Q$3004,ENSAYOS!$C$5:$C$3004,F577,ENSAYOS!$Q$5:$Q$3004,"&gt;0"))</f>
        <v/>
      </c>
      <c r="R577" s="16" t="str">
        <f aca="false">IF(N(M577)=0,"",_xlfn.MAXIFS(ENSAYOS!$Q$5:$Q$3004,ENSAYOS!$C$5:$C$3004,F577,ENSAYOS!$Q$5:$Q$3004,"&gt;0"))</f>
        <v/>
      </c>
      <c r="S577" s="16" t="str">
        <f aca="false">IF(N(M577)&lt;2,"",SQRT(MAX(0,(SUMIFS(ENSAYOS!$X$5:$X$3004,ENSAYOS!$C$5:$C$3004,F577,ENSAYOS!$Q$5:$Q$3004,"&gt;0")-M577*P577^2)/(M577-1))))</f>
        <v/>
      </c>
      <c r="T577" s="17" t="str">
        <f aca="false">IF(S577="","",S577/P577)</f>
        <v/>
      </c>
      <c r="U577" s="16" t="str">
        <f aca="false">IF(N(M577)=0,"",IF(N577&gt;=CONFIG!$B$27,"",AVERAGEIFS(ENSAYOS!$Q$5:$Q$3004,ENSAYOS!$C$5:$C$3004,F577,ENSAYOS!$Q$5:$Q$3004,"&gt;0",ENSAYOS!$G$5:$G$3004,N577)))</f>
        <v/>
      </c>
      <c r="V577" s="16" t="str">
        <f aca="false">IF(N(M577)=0,"",IF(COUNTIFS(ENSAYOS!$C$5:$C$3004,F577,ENSAYOS!$Q$5:$Q$3004,"&gt;0",ENSAYOS!$G$5:$G$3004,"&gt;="&amp;CONFIG!$B$27)=0,"",AVERAGEIFS(ENSAYOS!$Q$5:$Q$3004,ENSAYOS!$C$5:$C$3004,F577,ENSAYOS!$Q$5:$Q$3004,"&gt;0",ENSAYOS!$G$5:$G$3004,"&gt;="&amp;CONFIG!$B$27)))</f>
        <v/>
      </c>
      <c r="W577" s="18" t="str">
        <f aca="false">IF(AND(U577&lt;&gt;"",V577&lt;&gt;""),U577/V577,"")</f>
        <v/>
      </c>
      <c r="X577" s="18" t="str">
        <f aca="false">IF(U577="","",INDEX('CURVA EDAD'!$E$5:$E$32,MIN(28,MAX(1,N577))))</f>
        <v/>
      </c>
      <c r="Y577" s="16" t="str">
        <f aca="false">IF(V577&lt;&gt;"",V577,IF(U577="","",U577/X577))</f>
        <v/>
      </c>
      <c r="Z577" s="16" t="str">
        <f aca="false">IF(V577&lt;&gt;"",_xlfn.MINIFS(ENSAYOS!$Q$5:$Q$3004,ENSAYOS!$C$5:$C$3004,F577,ENSAYOS!$Q$5:$Q$3004,"&gt;0",ENSAYOS!$G$5:$G$3004,"&gt;="&amp;CONFIG!$B$27),IF(U577="","",_xlfn.MINIFS(ENSAYOS!$Q$5:$Q$3004,ENSAYOS!$C$5:$C$3004,F577,ENSAYOS!$Q$5:$Q$3004,"&gt;0",ENSAYOS!$G$5:$G$3004,N577)/X577))</f>
        <v/>
      </c>
      <c r="AA577" s="16" t="str">
        <f aca="false">IF(D577="","",IFERROR(1/(1/INDEX(CONFIG!$J$5:$J$14,MATCH(D577,CONFIG!$D$5:$D$14,0))),""))</f>
        <v/>
      </c>
      <c r="AB577" s="16" t="str">
        <f aca="false">IF(D577="","",IFERROR(1/(1/INDEX(CONFIG!$K$5:$K$14,MATCH(D577,CONFIG!$D$5:$D$14,0))),""))</f>
        <v/>
      </c>
      <c r="AC577" s="19" t="str">
        <f aca="false">IF(N(M577)=0,"",IF(AA577="","Sin spec",IF(AND(Y577&gt;=AA577,OR(AB577="",Z577&gt;=AB577)),"CUMPLE","NO CUMPLE")&amp;IF(V577=""," (est.)","")))</f>
        <v/>
      </c>
      <c r="AD577" s="20" t="str">
        <f aca="false">IF(F577="","",IF(COUNTIFS(ABSORCION!$C$5:$C$1004,F577,ABSORCION!$I$5:$I$1004,"&gt;0")=0,"",AVERAGEIFS(ABSORCION!$I$5:$I$1004,ABSORCION!$C$5:$C$1004,F577,ABSORCION!$I$5:$I$1004,"&gt;0")))</f>
        <v/>
      </c>
      <c r="AE577" s="20" t="str">
        <f aca="false">IF(F577="","",IF(COUNTIFS(ABSORCION!$C$5:$C$1004,F577,ABSORCION!$I$5:$I$1004,"&gt;0")=0,"",AVERAGEIFS(ABSORCION!$K$5:$K$1004,ABSORCION!$C$5:$C$1004,F577,ABSORCION!$I$5:$I$1004,"&gt;0")))</f>
        <v/>
      </c>
      <c r="AF577" s="20" t="str">
        <f aca="false">IF(AE577="","",IF(AE577&gt;=CONFIG!$E$21,CONFIG!$F$21,IF(AE577&gt;=CONFIG!$E$20,CONFIG!$F$20,CONFIG!$F$19)))</f>
        <v/>
      </c>
      <c r="AG577" s="21" t="str">
        <f aca="false">IF(F577="","",TRIM(IF(N(M577)=0,"Sin ensayos. ","")&amp;IF(AND(N(M577)&gt;0,N(M577)&lt;CONFIG!$B$26),"Menos de "&amp;CONFIG!$B$26&amp;" probetas. ","")&amp;IF(N(T577)&gt;CONFIG!$B$25,"CV alto. ","")&amp;IF(AND(N(AD577)&gt;0,N(AD577)&gt;N(AF577)),"Absorción alta. ","")))</f>
        <v/>
      </c>
      <c r="AH577" s="22" t="str">
        <f aca="false">IF(AND(N(M577)&gt;0,OR(CONTROL!$C$4="TODAS",C577=CONTROL!$C$4),D577=CONTROL!$C$5),MAX($AH$4:AH576)+1,"")</f>
        <v/>
      </c>
      <c r="AI577" s="22" t="str">
        <f aca="false">IF(AH577="","",P577^2)</f>
        <v/>
      </c>
    </row>
    <row r="578" customFormat="false" ht="15" hidden="false" customHeight="false" outlineLevel="0" collapsed="false">
      <c r="A578" s="11" t="str">
        <f aca="false">IF(B578="","",ROW()-4)</f>
        <v/>
      </c>
      <c r="B578" s="12"/>
      <c r="C578" s="13"/>
      <c r="D578" s="13"/>
      <c r="E578" s="13"/>
      <c r="F578" s="14" t="str">
        <f aca="false">IF(OR(B578="",C578="",D578=""),"",IFERROR(INDEX(CONFIG!$E$5:$E$14,MATCH(D578,CONFIG!$D$5:$D$14,0)),"?")&amp;RIGHT("0"&amp;DAY(B578),2)&amp;RIGHT("0"&amp;MONTH(B578),2)&amp;RIGHT(YEAR(B578),2)&amp;C578&amp;IF(E578="","","-"&amp;E578))</f>
        <v/>
      </c>
      <c r="G578" s="13"/>
      <c r="H578" s="13"/>
      <c r="I578" s="13"/>
      <c r="J578" s="13"/>
      <c r="K578" s="13"/>
      <c r="L578" s="13"/>
      <c r="M578" s="11" t="str">
        <f aca="false">IF(F578="","",COUNTIFS(ENSAYOS!$C$5:$C$3004,F578,ENSAYOS!$Q$5:$Q$3004,"&gt;0"))</f>
        <v/>
      </c>
      <c r="N578" s="15" t="str">
        <f aca="false">IF(N(M578)=0,"",_xlfn.MINIFS(ENSAYOS!$G$5:$G$3004,ENSAYOS!$C$5:$C$3004,F578,ENSAYOS!$Q$5:$Q$3004,"&gt;0"))</f>
        <v/>
      </c>
      <c r="O578" s="15" t="str">
        <f aca="false">IF(N(M578)=0,"",_xlfn.MAXIFS(ENSAYOS!$G$5:$G$3004,ENSAYOS!$C$5:$C$3004,F578,ENSAYOS!$Q$5:$Q$3004,"&gt;0"))</f>
        <v/>
      </c>
      <c r="P578" s="16" t="str">
        <f aca="false">IF(N(M578)=0,"",AVERAGEIFS(ENSAYOS!$Q$5:$Q$3004,ENSAYOS!$C$5:$C$3004,F578,ENSAYOS!$Q$5:$Q$3004,"&gt;0"))</f>
        <v/>
      </c>
      <c r="Q578" s="16" t="str">
        <f aca="false">IF(N(M578)=0,"",_xlfn.MINIFS(ENSAYOS!$Q$5:$Q$3004,ENSAYOS!$C$5:$C$3004,F578,ENSAYOS!$Q$5:$Q$3004,"&gt;0"))</f>
        <v/>
      </c>
      <c r="R578" s="16" t="str">
        <f aca="false">IF(N(M578)=0,"",_xlfn.MAXIFS(ENSAYOS!$Q$5:$Q$3004,ENSAYOS!$C$5:$C$3004,F578,ENSAYOS!$Q$5:$Q$3004,"&gt;0"))</f>
        <v/>
      </c>
      <c r="S578" s="16" t="str">
        <f aca="false">IF(N(M578)&lt;2,"",SQRT(MAX(0,(SUMIFS(ENSAYOS!$X$5:$X$3004,ENSAYOS!$C$5:$C$3004,F578,ENSAYOS!$Q$5:$Q$3004,"&gt;0")-M578*P578^2)/(M578-1))))</f>
        <v/>
      </c>
      <c r="T578" s="17" t="str">
        <f aca="false">IF(S578="","",S578/P578)</f>
        <v/>
      </c>
      <c r="U578" s="16" t="str">
        <f aca="false">IF(N(M578)=0,"",IF(N578&gt;=CONFIG!$B$27,"",AVERAGEIFS(ENSAYOS!$Q$5:$Q$3004,ENSAYOS!$C$5:$C$3004,F578,ENSAYOS!$Q$5:$Q$3004,"&gt;0",ENSAYOS!$G$5:$G$3004,N578)))</f>
        <v/>
      </c>
      <c r="V578" s="16" t="str">
        <f aca="false">IF(N(M578)=0,"",IF(COUNTIFS(ENSAYOS!$C$5:$C$3004,F578,ENSAYOS!$Q$5:$Q$3004,"&gt;0",ENSAYOS!$G$5:$G$3004,"&gt;="&amp;CONFIG!$B$27)=0,"",AVERAGEIFS(ENSAYOS!$Q$5:$Q$3004,ENSAYOS!$C$5:$C$3004,F578,ENSAYOS!$Q$5:$Q$3004,"&gt;0",ENSAYOS!$G$5:$G$3004,"&gt;="&amp;CONFIG!$B$27)))</f>
        <v/>
      </c>
      <c r="W578" s="18" t="str">
        <f aca="false">IF(AND(U578&lt;&gt;"",V578&lt;&gt;""),U578/V578,"")</f>
        <v/>
      </c>
      <c r="X578" s="18" t="str">
        <f aca="false">IF(U578="","",INDEX('CURVA EDAD'!$E$5:$E$32,MIN(28,MAX(1,N578))))</f>
        <v/>
      </c>
      <c r="Y578" s="16" t="str">
        <f aca="false">IF(V578&lt;&gt;"",V578,IF(U578="","",U578/X578))</f>
        <v/>
      </c>
      <c r="Z578" s="16" t="str">
        <f aca="false">IF(V578&lt;&gt;"",_xlfn.MINIFS(ENSAYOS!$Q$5:$Q$3004,ENSAYOS!$C$5:$C$3004,F578,ENSAYOS!$Q$5:$Q$3004,"&gt;0",ENSAYOS!$G$5:$G$3004,"&gt;="&amp;CONFIG!$B$27),IF(U578="","",_xlfn.MINIFS(ENSAYOS!$Q$5:$Q$3004,ENSAYOS!$C$5:$C$3004,F578,ENSAYOS!$Q$5:$Q$3004,"&gt;0",ENSAYOS!$G$5:$G$3004,N578)/X578))</f>
        <v/>
      </c>
      <c r="AA578" s="16" t="str">
        <f aca="false">IF(D578="","",IFERROR(1/(1/INDEX(CONFIG!$J$5:$J$14,MATCH(D578,CONFIG!$D$5:$D$14,0))),""))</f>
        <v/>
      </c>
      <c r="AB578" s="16" t="str">
        <f aca="false">IF(D578="","",IFERROR(1/(1/INDEX(CONFIG!$K$5:$K$14,MATCH(D578,CONFIG!$D$5:$D$14,0))),""))</f>
        <v/>
      </c>
      <c r="AC578" s="19" t="str">
        <f aca="false">IF(N(M578)=0,"",IF(AA578="","Sin spec",IF(AND(Y578&gt;=AA578,OR(AB578="",Z578&gt;=AB578)),"CUMPLE","NO CUMPLE")&amp;IF(V578=""," (est.)","")))</f>
        <v/>
      </c>
      <c r="AD578" s="20" t="str">
        <f aca="false">IF(F578="","",IF(COUNTIFS(ABSORCION!$C$5:$C$1004,F578,ABSORCION!$I$5:$I$1004,"&gt;0")=0,"",AVERAGEIFS(ABSORCION!$I$5:$I$1004,ABSORCION!$C$5:$C$1004,F578,ABSORCION!$I$5:$I$1004,"&gt;0")))</f>
        <v/>
      </c>
      <c r="AE578" s="20" t="str">
        <f aca="false">IF(F578="","",IF(COUNTIFS(ABSORCION!$C$5:$C$1004,F578,ABSORCION!$I$5:$I$1004,"&gt;0")=0,"",AVERAGEIFS(ABSORCION!$K$5:$K$1004,ABSORCION!$C$5:$C$1004,F578,ABSORCION!$I$5:$I$1004,"&gt;0")))</f>
        <v/>
      </c>
      <c r="AF578" s="20" t="str">
        <f aca="false">IF(AE578="","",IF(AE578&gt;=CONFIG!$E$21,CONFIG!$F$21,IF(AE578&gt;=CONFIG!$E$20,CONFIG!$F$20,CONFIG!$F$19)))</f>
        <v/>
      </c>
      <c r="AG578" s="21" t="str">
        <f aca="false">IF(F578="","",TRIM(IF(N(M578)=0,"Sin ensayos. ","")&amp;IF(AND(N(M578)&gt;0,N(M578)&lt;CONFIG!$B$26),"Menos de "&amp;CONFIG!$B$26&amp;" probetas. ","")&amp;IF(N(T578)&gt;CONFIG!$B$25,"CV alto. ","")&amp;IF(AND(N(AD578)&gt;0,N(AD578)&gt;N(AF578)),"Absorción alta. ","")))</f>
        <v/>
      </c>
      <c r="AH578" s="22" t="str">
        <f aca="false">IF(AND(N(M578)&gt;0,OR(CONTROL!$C$4="TODAS",C578=CONTROL!$C$4),D578=CONTROL!$C$5),MAX($AH$4:AH577)+1,"")</f>
        <v/>
      </c>
      <c r="AI578" s="22" t="str">
        <f aca="false">IF(AH578="","",P578^2)</f>
        <v/>
      </c>
    </row>
    <row r="579" customFormat="false" ht="15" hidden="false" customHeight="false" outlineLevel="0" collapsed="false">
      <c r="A579" s="11" t="str">
        <f aca="false">IF(B579="","",ROW()-4)</f>
        <v/>
      </c>
      <c r="B579" s="12"/>
      <c r="C579" s="13"/>
      <c r="D579" s="13"/>
      <c r="E579" s="13"/>
      <c r="F579" s="14" t="str">
        <f aca="false">IF(OR(B579="",C579="",D579=""),"",IFERROR(INDEX(CONFIG!$E$5:$E$14,MATCH(D579,CONFIG!$D$5:$D$14,0)),"?")&amp;RIGHT("0"&amp;DAY(B579),2)&amp;RIGHT("0"&amp;MONTH(B579),2)&amp;RIGHT(YEAR(B579),2)&amp;C579&amp;IF(E579="","","-"&amp;E579))</f>
        <v/>
      </c>
      <c r="G579" s="13"/>
      <c r="H579" s="13"/>
      <c r="I579" s="13"/>
      <c r="J579" s="13"/>
      <c r="K579" s="13"/>
      <c r="L579" s="13"/>
      <c r="M579" s="11" t="str">
        <f aca="false">IF(F579="","",COUNTIFS(ENSAYOS!$C$5:$C$3004,F579,ENSAYOS!$Q$5:$Q$3004,"&gt;0"))</f>
        <v/>
      </c>
      <c r="N579" s="15" t="str">
        <f aca="false">IF(N(M579)=0,"",_xlfn.MINIFS(ENSAYOS!$G$5:$G$3004,ENSAYOS!$C$5:$C$3004,F579,ENSAYOS!$Q$5:$Q$3004,"&gt;0"))</f>
        <v/>
      </c>
      <c r="O579" s="15" t="str">
        <f aca="false">IF(N(M579)=0,"",_xlfn.MAXIFS(ENSAYOS!$G$5:$G$3004,ENSAYOS!$C$5:$C$3004,F579,ENSAYOS!$Q$5:$Q$3004,"&gt;0"))</f>
        <v/>
      </c>
      <c r="P579" s="16" t="str">
        <f aca="false">IF(N(M579)=0,"",AVERAGEIFS(ENSAYOS!$Q$5:$Q$3004,ENSAYOS!$C$5:$C$3004,F579,ENSAYOS!$Q$5:$Q$3004,"&gt;0"))</f>
        <v/>
      </c>
      <c r="Q579" s="16" t="str">
        <f aca="false">IF(N(M579)=0,"",_xlfn.MINIFS(ENSAYOS!$Q$5:$Q$3004,ENSAYOS!$C$5:$C$3004,F579,ENSAYOS!$Q$5:$Q$3004,"&gt;0"))</f>
        <v/>
      </c>
      <c r="R579" s="16" t="str">
        <f aca="false">IF(N(M579)=0,"",_xlfn.MAXIFS(ENSAYOS!$Q$5:$Q$3004,ENSAYOS!$C$5:$C$3004,F579,ENSAYOS!$Q$5:$Q$3004,"&gt;0"))</f>
        <v/>
      </c>
      <c r="S579" s="16" t="str">
        <f aca="false">IF(N(M579)&lt;2,"",SQRT(MAX(0,(SUMIFS(ENSAYOS!$X$5:$X$3004,ENSAYOS!$C$5:$C$3004,F579,ENSAYOS!$Q$5:$Q$3004,"&gt;0")-M579*P579^2)/(M579-1))))</f>
        <v/>
      </c>
      <c r="T579" s="17" t="str">
        <f aca="false">IF(S579="","",S579/P579)</f>
        <v/>
      </c>
      <c r="U579" s="16" t="str">
        <f aca="false">IF(N(M579)=0,"",IF(N579&gt;=CONFIG!$B$27,"",AVERAGEIFS(ENSAYOS!$Q$5:$Q$3004,ENSAYOS!$C$5:$C$3004,F579,ENSAYOS!$Q$5:$Q$3004,"&gt;0",ENSAYOS!$G$5:$G$3004,N579)))</f>
        <v/>
      </c>
      <c r="V579" s="16" t="str">
        <f aca="false">IF(N(M579)=0,"",IF(COUNTIFS(ENSAYOS!$C$5:$C$3004,F579,ENSAYOS!$Q$5:$Q$3004,"&gt;0",ENSAYOS!$G$5:$G$3004,"&gt;="&amp;CONFIG!$B$27)=0,"",AVERAGEIFS(ENSAYOS!$Q$5:$Q$3004,ENSAYOS!$C$5:$C$3004,F579,ENSAYOS!$Q$5:$Q$3004,"&gt;0",ENSAYOS!$G$5:$G$3004,"&gt;="&amp;CONFIG!$B$27)))</f>
        <v/>
      </c>
      <c r="W579" s="18" t="str">
        <f aca="false">IF(AND(U579&lt;&gt;"",V579&lt;&gt;""),U579/V579,"")</f>
        <v/>
      </c>
      <c r="X579" s="18" t="str">
        <f aca="false">IF(U579="","",INDEX('CURVA EDAD'!$E$5:$E$32,MIN(28,MAX(1,N579))))</f>
        <v/>
      </c>
      <c r="Y579" s="16" t="str">
        <f aca="false">IF(V579&lt;&gt;"",V579,IF(U579="","",U579/X579))</f>
        <v/>
      </c>
      <c r="Z579" s="16" t="str">
        <f aca="false">IF(V579&lt;&gt;"",_xlfn.MINIFS(ENSAYOS!$Q$5:$Q$3004,ENSAYOS!$C$5:$C$3004,F579,ENSAYOS!$Q$5:$Q$3004,"&gt;0",ENSAYOS!$G$5:$G$3004,"&gt;="&amp;CONFIG!$B$27),IF(U579="","",_xlfn.MINIFS(ENSAYOS!$Q$5:$Q$3004,ENSAYOS!$C$5:$C$3004,F579,ENSAYOS!$Q$5:$Q$3004,"&gt;0",ENSAYOS!$G$5:$G$3004,N579)/X579))</f>
        <v/>
      </c>
      <c r="AA579" s="16" t="str">
        <f aca="false">IF(D579="","",IFERROR(1/(1/INDEX(CONFIG!$J$5:$J$14,MATCH(D579,CONFIG!$D$5:$D$14,0))),""))</f>
        <v/>
      </c>
      <c r="AB579" s="16" t="str">
        <f aca="false">IF(D579="","",IFERROR(1/(1/INDEX(CONFIG!$K$5:$K$14,MATCH(D579,CONFIG!$D$5:$D$14,0))),""))</f>
        <v/>
      </c>
      <c r="AC579" s="19" t="str">
        <f aca="false">IF(N(M579)=0,"",IF(AA579="","Sin spec",IF(AND(Y579&gt;=AA579,OR(AB579="",Z579&gt;=AB579)),"CUMPLE","NO CUMPLE")&amp;IF(V579=""," (est.)","")))</f>
        <v/>
      </c>
      <c r="AD579" s="20" t="str">
        <f aca="false">IF(F579="","",IF(COUNTIFS(ABSORCION!$C$5:$C$1004,F579,ABSORCION!$I$5:$I$1004,"&gt;0")=0,"",AVERAGEIFS(ABSORCION!$I$5:$I$1004,ABSORCION!$C$5:$C$1004,F579,ABSORCION!$I$5:$I$1004,"&gt;0")))</f>
        <v/>
      </c>
      <c r="AE579" s="20" t="str">
        <f aca="false">IF(F579="","",IF(COUNTIFS(ABSORCION!$C$5:$C$1004,F579,ABSORCION!$I$5:$I$1004,"&gt;0")=0,"",AVERAGEIFS(ABSORCION!$K$5:$K$1004,ABSORCION!$C$5:$C$1004,F579,ABSORCION!$I$5:$I$1004,"&gt;0")))</f>
        <v/>
      </c>
      <c r="AF579" s="20" t="str">
        <f aca="false">IF(AE579="","",IF(AE579&gt;=CONFIG!$E$21,CONFIG!$F$21,IF(AE579&gt;=CONFIG!$E$20,CONFIG!$F$20,CONFIG!$F$19)))</f>
        <v/>
      </c>
      <c r="AG579" s="21" t="str">
        <f aca="false">IF(F579="","",TRIM(IF(N(M579)=0,"Sin ensayos. ","")&amp;IF(AND(N(M579)&gt;0,N(M579)&lt;CONFIG!$B$26),"Menos de "&amp;CONFIG!$B$26&amp;" probetas. ","")&amp;IF(N(T579)&gt;CONFIG!$B$25,"CV alto. ","")&amp;IF(AND(N(AD579)&gt;0,N(AD579)&gt;N(AF579)),"Absorción alta. ","")))</f>
        <v/>
      </c>
      <c r="AH579" s="22" t="str">
        <f aca="false">IF(AND(N(M579)&gt;0,OR(CONTROL!$C$4="TODAS",C579=CONTROL!$C$4),D579=CONTROL!$C$5),MAX($AH$4:AH578)+1,"")</f>
        <v/>
      </c>
      <c r="AI579" s="22" t="str">
        <f aca="false">IF(AH579="","",P579^2)</f>
        <v/>
      </c>
    </row>
    <row r="580" customFormat="false" ht="15" hidden="false" customHeight="false" outlineLevel="0" collapsed="false">
      <c r="A580" s="11" t="str">
        <f aca="false">IF(B580="","",ROW()-4)</f>
        <v/>
      </c>
      <c r="B580" s="12"/>
      <c r="C580" s="13"/>
      <c r="D580" s="13"/>
      <c r="E580" s="13"/>
      <c r="F580" s="14" t="str">
        <f aca="false">IF(OR(B580="",C580="",D580=""),"",IFERROR(INDEX(CONFIG!$E$5:$E$14,MATCH(D580,CONFIG!$D$5:$D$14,0)),"?")&amp;RIGHT("0"&amp;DAY(B580),2)&amp;RIGHT("0"&amp;MONTH(B580),2)&amp;RIGHT(YEAR(B580),2)&amp;C580&amp;IF(E580="","","-"&amp;E580))</f>
        <v/>
      </c>
      <c r="G580" s="13"/>
      <c r="H580" s="13"/>
      <c r="I580" s="13"/>
      <c r="J580" s="13"/>
      <c r="K580" s="13"/>
      <c r="L580" s="13"/>
      <c r="M580" s="11" t="str">
        <f aca="false">IF(F580="","",COUNTIFS(ENSAYOS!$C$5:$C$3004,F580,ENSAYOS!$Q$5:$Q$3004,"&gt;0"))</f>
        <v/>
      </c>
      <c r="N580" s="15" t="str">
        <f aca="false">IF(N(M580)=0,"",_xlfn.MINIFS(ENSAYOS!$G$5:$G$3004,ENSAYOS!$C$5:$C$3004,F580,ENSAYOS!$Q$5:$Q$3004,"&gt;0"))</f>
        <v/>
      </c>
      <c r="O580" s="15" t="str">
        <f aca="false">IF(N(M580)=0,"",_xlfn.MAXIFS(ENSAYOS!$G$5:$G$3004,ENSAYOS!$C$5:$C$3004,F580,ENSAYOS!$Q$5:$Q$3004,"&gt;0"))</f>
        <v/>
      </c>
      <c r="P580" s="16" t="str">
        <f aca="false">IF(N(M580)=0,"",AVERAGEIFS(ENSAYOS!$Q$5:$Q$3004,ENSAYOS!$C$5:$C$3004,F580,ENSAYOS!$Q$5:$Q$3004,"&gt;0"))</f>
        <v/>
      </c>
      <c r="Q580" s="16" t="str">
        <f aca="false">IF(N(M580)=0,"",_xlfn.MINIFS(ENSAYOS!$Q$5:$Q$3004,ENSAYOS!$C$5:$C$3004,F580,ENSAYOS!$Q$5:$Q$3004,"&gt;0"))</f>
        <v/>
      </c>
      <c r="R580" s="16" t="str">
        <f aca="false">IF(N(M580)=0,"",_xlfn.MAXIFS(ENSAYOS!$Q$5:$Q$3004,ENSAYOS!$C$5:$C$3004,F580,ENSAYOS!$Q$5:$Q$3004,"&gt;0"))</f>
        <v/>
      </c>
      <c r="S580" s="16" t="str">
        <f aca="false">IF(N(M580)&lt;2,"",SQRT(MAX(0,(SUMIFS(ENSAYOS!$X$5:$X$3004,ENSAYOS!$C$5:$C$3004,F580,ENSAYOS!$Q$5:$Q$3004,"&gt;0")-M580*P580^2)/(M580-1))))</f>
        <v/>
      </c>
      <c r="T580" s="17" t="str">
        <f aca="false">IF(S580="","",S580/P580)</f>
        <v/>
      </c>
      <c r="U580" s="16" t="str">
        <f aca="false">IF(N(M580)=0,"",IF(N580&gt;=CONFIG!$B$27,"",AVERAGEIFS(ENSAYOS!$Q$5:$Q$3004,ENSAYOS!$C$5:$C$3004,F580,ENSAYOS!$Q$5:$Q$3004,"&gt;0",ENSAYOS!$G$5:$G$3004,N580)))</f>
        <v/>
      </c>
      <c r="V580" s="16" t="str">
        <f aca="false">IF(N(M580)=0,"",IF(COUNTIFS(ENSAYOS!$C$5:$C$3004,F580,ENSAYOS!$Q$5:$Q$3004,"&gt;0",ENSAYOS!$G$5:$G$3004,"&gt;="&amp;CONFIG!$B$27)=0,"",AVERAGEIFS(ENSAYOS!$Q$5:$Q$3004,ENSAYOS!$C$5:$C$3004,F580,ENSAYOS!$Q$5:$Q$3004,"&gt;0",ENSAYOS!$G$5:$G$3004,"&gt;="&amp;CONFIG!$B$27)))</f>
        <v/>
      </c>
      <c r="W580" s="18" t="str">
        <f aca="false">IF(AND(U580&lt;&gt;"",V580&lt;&gt;""),U580/V580,"")</f>
        <v/>
      </c>
      <c r="X580" s="18" t="str">
        <f aca="false">IF(U580="","",INDEX('CURVA EDAD'!$E$5:$E$32,MIN(28,MAX(1,N580))))</f>
        <v/>
      </c>
      <c r="Y580" s="16" t="str">
        <f aca="false">IF(V580&lt;&gt;"",V580,IF(U580="","",U580/X580))</f>
        <v/>
      </c>
      <c r="Z580" s="16" t="str">
        <f aca="false">IF(V580&lt;&gt;"",_xlfn.MINIFS(ENSAYOS!$Q$5:$Q$3004,ENSAYOS!$C$5:$C$3004,F580,ENSAYOS!$Q$5:$Q$3004,"&gt;0",ENSAYOS!$G$5:$G$3004,"&gt;="&amp;CONFIG!$B$27),IF(U580="","",_xlfn.MINIFS(ENSAYOS!$Q$5:$Q$3004,ENSAYOS!$C$5:$C$3004,F580,ENSAYOS!$Q$5:$Q$3004,"&gt;0",ENSAYOS!$G$5:$G$3004,N580)/X580))</f>
        <v/>
      </c>
      <c r="AA580" s="16" t="str">
        <f aca="false">IF(D580="","",IFERROR(1/(1/INDEX(CONFIG!$J$5:$J$14,MATCH(D580,CONFIG!$D$5:$D$14,0))),""))</f>
        <v/>
      </c>
      <c r="AB580" s="16" t="str">
        <f aca="false">IF(D580="","",IFERROR(1/(1/INDEX(CONFIG!$K$5:$K$14,MATCH(D580,CONFIG!$D$5:$D$14,0))),""))</f>
        <v/>
      </c>
      <c r="AC580" s="19" t="str">
        <f aca="false">IF(N(M580)=0,"",IF(AA580="","Sin spec",IF(AND(Y580&gt;=AA580,OR(AB580="",Z580&gt;=AB580)),"CUMPLE","NO CUMPLE")&amp;IF(V580=""," (est.)","")))</f>
        <v/>
      </c>
      <c r="AD580" s="20" t="str">
        <f aca="false">IF(F580="","",IF(COUNTIFS(ABSORCION!$C$5:$C$1004,F580,ABSORCION!$I$5:$I$1004,"&gt;0")=0,"",AVERAGEIFS(ABSORCION!$I$5:$I$1004,ABSORCION!$C$5:$C$1004,F580,ABSORCION!$I$5:$I$1004,"&gt;0")))</f>
        <v/>
      </c>
      <c r="AE580" s="20" t="str">
        <f aca="false">IF(F580="","",IF(COUNTIFS(ABSORCION!$C$5:$C$1004,F580,ABSORCION!$I$5:$I$1004,"&gt;0")=0,"",AVERAGEIFS(ABSORCION!$K$5:$K$1004,ABSORCION!$C$5:$C$1004,F580,ABSORCION!$I$5:$I$1004,"&gt;0")))</f>
        <v/>
      </c>
      <c r="AF580" s="20" t="str">
        <f aca="false">IF(AE580="","",IF(AE580&gt;=CONFIG!$E$21,CONFIG!$F$21,IF(AE580&gt;=CONFIG!$E$20,CONFIG!$F$20,CONFIG!$F$19)))</f>
        <v/>
      </c>
      <c r="AG580" s="21" t="str">
        <f aca="false">IF(F580="","",TRIM(IF(N(M580)=0,"Sin ensayos. ","")&amp;IF(AND(N(M580)&gt;0,N(M580)&lt;CONFIG!$B$26),"Menos de "&amp;CONFIG!$B$26&amp;" probetas. ","")&amp;IF(N(T580)&gt;CONFIG!$B$25,"CV alto. ","")&amp;IF(AND(N(AD580)&gt;0,N(AD580)&gt;N(AF580)),"Absorción alta. ","")))</f>
        <v/>
      </c>
      <c r="AH580" s="22" t="str">
        <f aca="false">IF(AND(N(M580)&gt;0,OR(CONTROL!$C$4="TODAS",C580=CONTROL!$C$4),D580=CONTROL!$C$5),MAX($AH$4:AH579)+1,"")</f>
        <v/>
      </c>
      <c r="AI580" s="22" t="str">
        <f aca="false">IF(AH580="","",P580^2)</f>
        <v/>
      </c>
    </row>
    <row r="581" customFormat="false" ht="15" hidden="false" customHeight="false" outlineLevel="0" collapsed="false">
      <c r="A581" s="11" t="str">
        <f aca="false">IF(B581="","",ROW()-4)</f>
        <v/>
      </c>
      <c r="B581" s="12"/>
      <c r="C581" s="13"/>
      <c r="D581" s="13"/>
      <c r="E581" s="13"/>
      <c r="F581" s="14" t="str">
        <f aca="false">IF(OR(B581="",C581="",D581=""),"",IFERROR(INDEX(CONFIG!$E$5:$E$14,MATCH(D581,CONFIG!$D$5:$D$14,0)),"?")&amp;RIGHT("0"&amp;DAY(B581),2)&amp;RIGHT("0"&amp;MONTH(B581),2)&amp;RIGHT(YEAR(B581),2)&amp;C581&amp;IF(E581="","","-"&amp;E581))</f>
        <v/>
      </c>
      <c r="G581" s="13"/>
      <c r="H581" s="13"/>
      <c r="I581" s="13"/>
      <c r="J581" s="13"/>
      <c r="K581" s="13"/>
      <c r="L581" s="13"/>
      <c r="M581" s="11" t="str">
        <f aca="false">IF(F581="","",COUNTIFS(ENSAYOS!$C$5:$C$3004,F581,ENSAYOS!$Q$5:$Q$3004,"&gt;0"))</f>
        <v/>
      </c>
      <c r="N581" s="15" t="str">
        <f aca="false">IF(N(M581)=0,"",_xlfn.MINIFS(ENSAYOS!$G$5:$G$3004,ENSAYOS!$C$5:$C$3004,F581,ENSAYOS!$Q$5:$Q$3004,"&gt;0"))</f>
        <v/>
      </c>
      <c r="O581" s="15" t="str">
        <f aca="false">IF(N(M581)=0,"",_xlfn.MAXIFS(ENSAYOS!$G$5:$G$3004,ENSAYOS!$C$5:$C$3004,F581,ENSAYOS!$Q$5:$Q$3004,"&gt;0"))</f>
        <v/>
      </c>
      <c r="P581" s="16" t="str">
        <f aca="false">IF(N(M581)=0,"",AVERAGEIFS(ENSAYOS!$Q$5:$Q$3004,ENSAYOS!$C$5:$C$3004,F581,ENSAYOS!$Q$5:$Q$3004,"&gt;0"))</f>
        <v/>
      </c>
      <c r="Q581" s="16" t="str">
        <f aca="false">IF(N(M581)=0,"",_xlfn.MINIFS(ENSAYOS!$Q$5:$Q$3004,ENSAYOS!$C$5:$C$3004,F581,ENSAYOS!$Q$5:$Q$3004,"&gt;0"))</f>
        <v/>
      </c>
      <c r="R581" s="16" t="str">
        <f aca="false">IF(N(M581)=0,"",_xlfn.MAXIFS(ENSAYOS!$Q$5:$Q$3004,ENSAYOS!$C$5:$C$3004,F581,ENSAYOS!$Q$5:$Q$3004,"&gt;0"))</f>
        <v/>
      </c>
      <c r="S581" s="16" t="str">
        <f aca="false">IF(N(M581)&lt;2,"",SQRT(MAX(0,(SUMIFS(ENSAYOS!$X$5:$X$3004,ENSAYOS!$C$5:$C$3004,F581,ENSAYOS!$Q$5:$Q$3004,"&gt;0")-M581*P581^2)/(M581-1))))</f>
        <v/>
      </c>
      <c r="T581" s="17" t="str">
        <f aca="false">IF(S581="","",S581/P581)</f>
        <v/>
      </c>
      <c r="U581" s="16" t="str">
        <f aca="false">IF(N(M581)=0,"",IF(N581&gt;=CONFIG!$B$27,"",AVERAGEIFS(ENSAYOS!$Q$5:$Q$3004,ENSAYOS!$C$5:$C$3004,F581,ENSAYOS!$Q$5:$Q$3004,"&gt;0",ENSAYOS!$G$5:$G$3004,N581)))</f>
        <v/>
      </c>
      <c r="V581" s="16" t="str">
        <f aca="false">IF(N(M581)=0,"",IF(COUNTIFS(ENSAYOS!$C$5:$C$3004,F581,ENSAYOS!$Q$5:$Q$3004,"&gt;0",ENSAYOS!$G$5:$G$3004,"&gt;="&amp;CONFIG!$B$27)=0,"",AVERAGEIFS(ENSAYOS!$Q$5:$Q$3004,ENSAYOS!$C$5:$C$3004,F581,ENSAYOS!$Q$5:$Q$3004,"&gt;0",ENSAYOS!$G$5:$G$3004,"&gt;="&amp;CONFIG!$B$27)))</f>
        <v/>
      </c>
      <c r="W581" s="18" t="str">
        <f aca="false">IF(AND(U581&lt;&gt;"",V581&lt;&gt;""),U581/V581,"")</f>
        <v/>
      </c>
      <c r="X581" s="18" t="str">
        <f aca="false">IF(U581="","",INDEX('CURVA EDAD'!$E$5:$E$32,MIN(28,MAX(1,N581))))</f>
        <v/>
      </c>
      <c r="Y581" s="16" t="str">
        <f aca="false">IF(V581&lt;&gt;"",V581,IF(U581="","",U581/X581))</f>
        <v/>
      </c>
      <c r="Z581" s="16" t="str">
        <f aca="false">IF(V581&lt;&gt;"",_xlfn.MINIFS(ENSAYOS!$Q$5:$Q$3004,ENSAYOS!$C$5:$C$3004,F581,ENSAYOS!$Q$5:$Q$3004,"&gt;0",ENSAYOS!$G$5:$G$3004,"&gt;="&amp;CONFIG!$B$27),IF(U581="","",_xlfn.MINIFS(ENSAYOS!$Q$5:$Q$3004,ENSAYOS!$C$5:$C$3004,F581,ENSAYOS!$Q$5:$Q$3004,"&gt;0",ENSAYOS!$G$5:$G$3004,N581)/X581))</f>
        <v/>
      </c>
      <c r="AA581" s="16" t="str">
        <f aca="false">IF(D581="","",IFERROR(1/(1/INDEX(CONFIG!$J$5:$J$14,MATCH(D581,CONFIG!$D$5:$D$14,0))),""))</f>
        <v/>
      </c>
      <c r="AB581" s="16" t="str">
        <f aca="false">IF(D581="","",IFERROR(1/(1/INDEX(CONFIG!$K$5:$K$14,MATCH(D581,CONFIG!$D$5:$D$14,0))),""))</f>
        <v/>
      </c>
      <c r="AC581" s="19" t="str">
        <f aca="false">IF(N(M581)=0,"",IF(AA581="","Sin spec",IF(AND(Y581&gt;=AA581,OR(AB581="",Z581&gt;=AB581)),"CUMPLE","NO CUMPLE")&amp;IF(V581=""," (est.)","")))</f>
        <v/>
      </c>
      <c r="AD581" s="20" t="str">
        <f aca="false">IF(F581="","",IF(COUNTIFS(ABSORCION!$C$5:$C$1004,F581,ABSORCION!$I$5:$I$1004,"&gt;0")=0,"",AVERAGEIFS(ABSORCION!$I$5:$I$1004,ABSORCION!$C$5:$C$1004,F581,ABSORCION!$I$5:$I$1004,"&gt;0")))</f>
        <v/>
      </c>
      <c r="AE581" s="20" t="str">
        <f aca="false">IF(F581="","",IF(COUNTIFS(ABSORCION!$C$5:$C$1004,F581,ABSORCION!$I$5:$I$1004,"&gt;0")=0,"",AVERAGEIFS(ABSORCION!$K$5:$K$1004,ABSORCION!$C$5:$C$1004,F581,ABSORCION!$I$5:$I$1004,"&gt;0")))</f>
        <v/>
      </c>
      <c r="AF581" s="20" t="str">
        <f aca="false">IF(AE581="","",IF(AE581&gt;=CONFIG!$E$21,CONFIG!$F$21,IF(AE581&gt;=CONFIG!$E$20,CONFIG!$F$20,CONFIG!$F$19)))</f>
        <v/>
      </c>
      <c r="AG581" s="21" t="str">
        <f aca="false">IF(F581="","",TRIM(IF(N(M581)=0,"Sin ensayos. ","")&amp;IF(AND(N(M581)&gt;0,N(M581)&lt;CONFIG!$B$26),"Menos de "&amp;CONFIG!$B$26&amp;" probetas. ","")&amp;IF(N(T581)&gt;CONFIG!$B$25,"CV alto. ","")&amp;IF(AND(N(AD581)&gt;0,N(AD581)&gt;N(AF581)),"Absorción alta. ","")))</f>
        <v/>
      </c>
      <c r="AH581" s="22" t="str">
        <f aca="false">IF(AND(N(M581)&gt;0,OR(CONTROL!$C$4="TODAS",C581=CONTROL!$C$4),D581=CONTROL!$C$5),MAX($AH$4:AH580)+1,"")</f>
        <v/>
      </c>
      <c r="AI581" s="22" t="str">
        <f aca="false">IF(AH581="","",P581^2)</f>
        <v/>
      </c>
    </row>
    <row r="582" customFormat="false" ht="15" hidden="false" customHeight="false" outlineLevel="0" collapsed="false">
      <c r="A582" s="11" t="str">
        <f aca="false">IF(B582="","",ROW()-4)</f>
        <v/>
      </c>
      <c r="B582" s="12"/>
      <c r="C582" s="13"/>
      <c r="D582" s="13"/>
      <c r="E582" s="13"/>
      <c r="F582" s="14" t="str">
        <f aca="false">IF(OR(B582="",C582="",D582=""),"",IFERROR(INDEX(CONFIG!$E$5:$E$14,MATCH(D582,CONFIG!$D$5:$D$14,0)),"?")&amp;RIGHT("0"&amp;DAY(B582),2)&amp;RIGHT("0"&amp;MONTH(B582),2)&amp;RIGHT(YEAR(B582),2)&amp;C582&amp;IF(E582="","","-"&amp;E582))</f>
        <v/>
      </c>
      <c r="G582" s="13"/>
      <c r="H582" s="13"/>
      <c r="I582" s="13"/>
      <c r="J582" s="13"/>
      <c r="K582" s="13"/>
      <c r="L582" s="13"/>
      <c r="M582" s="11" t="str">
        <f aca="false">IF(F582="","",COUNTIFS(ENSAYOS!$C$5:$C$3004,F582,ENSAYOS!$Q$5:$Q$3004,"&gt;0"))</f>
        <v/>
      </c>
      <c r="N582" s="15" t="str">
        <f aca="false">IF(N(M582)=0,"",_xlfn.MINIFS(ENSAYOS!$G$5:$G$3004,ENSAYOS!$C$5:$C$3004,F582,ENSAYOS!$Q$5:$Q$3004,"&gt;0"))</f>
        <v/>
      </c>
      <c r="O582" s="15" t="str">
        <f aca="false">IF(N(M582)=0,"",_xlfn.MAXIFS(ENSAYOS!$G$5:$G$3004,ENSAYOS!$C$5:$C$3004,F582,ENSAYOS!$Q$5:$Q$3004,"&gt;0"))</f>
        <v/>
      </c>
      <c r="P582" s="16" t="str">
        <f aca="false">IF(N(M582)=0,"",AVERAGEIFS(ENSAYOS!$Q$5:$Q$3004,ENSAYOS!$C$5:$C$3004,F582,ENSAYOS!$Q$5:$Q$3004,"&gt;0"))</f>
        <v/>
      </c>
      <c r="Q582" s="16" t="str">
        <f aca="false">IF(N(M582)=0,"",_xlfn.MINIFS(ENSAYOS!$Q$5:$Q$3004,ENSAYOS!$C$5:$C$3004,F582,ENSAYOS!$Q$5:$Q$3004,"&gt;0"))</f>
        <v/>
      </c>
      <c r="R582" s="16" t="str">
        <f aca="false">IF(N(M582)=0,"",_xlfn.MAXIFS(ENSAYOS!$Q$5:$Q$3004,ENSAYOS!$C$5:$C$3004,F582,ENSAYOS!$Q$5:$Q$3004,"&gt;0"))</f>
        <v/>
      </c>
      <c r="S582" s="16" t="str">
        <f aca="false">IF(N(M582)&lt;2,"",SQRT(MAX(0,(SUMIFS(ENSAYOS!$X$5:$X$3004,ENSAYOS!$C$5:$C$3004,F582,ENSAYOS!$Q$5:$Q$3004,"&gt;0")-M582*P582^2)/(M582-1))))</f>
        <v/>
      </c>
      <c r="T582" s="17" t="str">
        <f aca="false">IF(S582="","",S582/P582)</f>
        <v/>
      </c>
      <c r="U582" s="16" t="str">
        <f aca="false">IF(N(M582)=0,"",IF(N582&gt;=CONFIG!$B$27,"",AVERAGEIFS(ENSAYOS!$Q$5:$Q$3004,ENSAYOS!$C$5:$C$3004,F582,ENSAYOS!$Q$5:$Q$3004,"&gt;0",ENSAYOS!$G$5:$G$3004,N582)))</f>
        <v/>
      </c>
      <c r="V582" s="16" t="str">
        <f aca="false">IF(N(M582)=0,"",IF(COUNTIFS(ENSAYOS!$C$5:$C$3004,F582,ENSAYOS!$Q$5:$Q$3004,"&gt;0",ENSAYOS!$G$5:$G$3004,"&gt;="&amp;CONFIG!$B$27)=0,"",AVERAGEIFS(ENSAYOS!$Q$5:$Q$3004,ENSAYOS!$C$5:$C$3004,F582,ENSAYOS!$Q$5:$Q$3004,"&gt;0",ENSAYOS!$G$5:$G$3004,"&gt;="&amp;CONFIG!$B$27)))</f>
        <v/>
      </c>
      <c r="W582" s="18" t="str">
        <f aca="false">IF(AND(U582&lt;&gt;"",V582&lt;&gt;""),U582/V582,"")</f>
        <v/>
      </c>
      <c r="X582" s="18" t="str">
        <f aca="false">IF(U582="","",INDEX('CURVA EDAD'!$E$5:$E$32,MIN(28,MAX(1,N582))))</f>
        <v/>
      </c>
      <c r="Y582" s="16" t="str">
        <f aca="false">IF(V582&lt;&gt;"",V582,IF(U582="","",U582/X582))</f>
        <v/>
      </c>
      <c r="Z582" s="16" t="str">
        <f aca="false">IF(V582&lt;&gt;"",_xlfn.MINIFS(ENSAYOS!$Q$5:$Q$3004,ENSAYOS!$C$5:$C$3004,F582,ENSAYOS!$Q$5:$Q$3004,"&gt;0",ENSAYOS!$G$5:$G$3004,"&gt;="&amp;CONFIG!$B$27),IF(U582="","",_xlfn.MINIFS(ENSAYOS!$Q$5:$Q$3004,ENSAYOS!$C$5:$C$3004,F582,ENSAYOS!$Q$5:$Q$3004,"&gt;0",ENSAYOS!$G$5:$G$3004,N582)/X582))</f>
        <v/>
      </c>
      <c r="AA582" s="16" t="str">
        <f aca="false">IF(D582="","",IFERROR(1/(1/INDEX(CONFIG!$J$5:$J$14,MATCH(D582,CONFIG!$D$5:$D$14,0))),""))</f>
        <v/>
      </c>
      <c r="AB582" s="16" t="str">
        <f aca="false">IF(D582="","",IFERROR(1/(1/INDEX(CONFIG!$K$5:$K$14,MATCH(D582,CONFIG!$D$5:$D$14,0))),""))</f>
        <v/>
      </c>
      <c r="AC582" s="19" t="str">
        <f aca="false">IF(N(M582)=0,"",IF(AA582="","Sin spec",IF(AND(Y582&gt;=AA582,OR(AB582="",Z582&gt;=AB582)),"CUMPLE","NO CUMPLE")&amp;IF(V582=""," (est.)","")))</f>
        <v/>
      </c>
      <c r="AD582" s="20" t="str">
        <f aca="false">IF(F582="","",IF(COUNTIFS(ABSORCION!$C$5:$C$1004,F582,ABSORCION!$I$5:$I$1004,"&gt;0")=0,"",AVERAGEIFS(ABSORCION!$I$5:$I$1004,ABSORCION!$C$5:$C$1004,F582,ABSORCION!$I$5:$I$1004,"&gt;0")))</f>
        <v/>
      </c>
      <c r="AE582" s="20" t="str">
        <f aca="false">IF(F582="","",IF(COUNTIFS(ABSORCION!$C$5:$C$1004,F582,ABSORCION!$I$5:$I$1004,"&gt;0")=0,"",AVERAGEIFS(ABSORCION!$K$5:$K$1004,ABSORCION!$C$5:$C$1004,F582,ABSORCION!$I$5:$I$1004,"&gt;0")))</f>
        <v/>
      </c>
      <c r="AF582" s="20" t="str">
        <f aca="false">IF(AE582="","",IF(AE582&gt;=CONFIG!$E$21,CONFIG!$F$21,IF(AE582&gt;=CONFIG!$E$20,CONFIG!$F$20,CONFIG!$F$19)))</f>
        <v/>
      </c>
      <c r="AG582" s="21" t="str">
        <f aca="false">IF(F582="","",TRIM(IF(N(M582)=0,"Sin ensayos. ","")&amp;IF(AND(N(M582)&gt;0,N(M582)&lt;CONFIG!$B$26),"Menos de "&amp;CONFIG!$B$26&amp;" probetas. ","")&amp;IF(N(T582)&gt;CONFIG!$B$25,"CV alto. ","")&amp;IF(AND(N(AD582)&gt;0,N(AD582)&gt;N(AF582)),"Absorción alta. ","")))</f>
        <v/>
      </c>
      <c r="AH582" s="22" t="str">
        <f aca="false">IF(AND(N(M582)&gt;0,OR(CONTROL!$C$4="TODAS",C582=CONTROL!$C$4),D582=CONTROL!$C$5),MAX($AH$4:AH581)+1,"")</f>
        <v/>
      </c>
      <c r="AI582" s="22" t="str">
        <f aca="false">IF(AH582="","",P582^2)</f>
        <v/>
      </c>
    </row>
    <row r="583" customFormat="false" ht="15" hidden="false" customHeight="false" outlineLevel="0" collapsed="false">
      <c r="A583" s="11" t="str">
        <f aca="false">IF(B583="","",ROW()-4)</f>
        <v/>
      </c>
      <c r="B583" s="12"/>
      <c r="C583" s="13"/>
      <c r="D583" s="13"/>
      <c r="E583" s="13"/>
      <c r="F583" s="14" t="str">
        <f aca="false">IF(OR(B583="",C583="",D583=""),"",IFERROR(INDEX(CONFIG!$E$5:$E$14,MATCH(D583,CONFIG!$D$5:$D$14,0)),"?")&amp;RIGHT("0"&amp;DAY(B583),2)&amp;RIGHT("0"&amp;MONTH(B583),2)&amp;RIGHT(YEAR(B583),2)&amp;C583&amp;IF(E583="","","-"&amp;E583))</f>
        <v/>
      </c>
      <c r="G583" s="13"/>
      <c r="H583" s="13"/>
      <c r="I583" s="13"/>
      <c r="J583" s="13"/>
      <c r="K583" s="13"/>
      <c r="L583" s="13"/>
      <c r="M583" s="11" t="str">
        <f aca="false">IF(F583="","",COUNTIFS(ENSAYOS!$C$5:$C$3004,F583,ENSAYOS!$Q$5:$Q$3004,"&gt;0"))</f>
        <v/>
      </c>
      <c r="N583" s="15" t="str">
        <f aca="false">IF(N(M583)=0,"",_xlfn.MINIFS(ENSAYOS!$G$5:$G$3004,ENSAYOS!$C$5:$C$3004,F583,ENSAYOS!$Q$5:$Q$3004,"&gt;0"))</f>
        <v/>
      </c>
      <c r="O583" s="15" t="str">
        <f aca="false">IF(N(M583)=0,"",_xlfn.MAXIFS(ENSAYOS!$G$5:$G$3004,ENSAYOS!$C$5:$C$3004,F583,ENSAYOS!$Q$5:$Q$3004,"&gt;0"))</f>
        <v/>
      </c>
      <c r="P583" s="16" t="str">
        <f aca="false">IF(N(M583)=0,"",AVERAGEIFS(ENSAYOS!$Q$5:$Q$3004,ENSAYOS!$C$5:$C$3004,F583,ENSAYOS!$Q$5:$Q$3004,"&gt;0"))</f>
        <v/>
      </c>
      <c r="Q583" s="16" t="str">
        <f aca="false">IF(N(M583)=0,"",_xlfn.MINIFS(ENSAYOS!$Q$5:$Q$3004,ENSAYOS!$C$5:$C$3004,F583,ENSAYOS!$Q$5:$Q$3004,"&gt;0"))</f>
        <v/>
      </c>
      <c r="R583" s="16" t="str">
        <f aca="false">IF(N(M583)=0,"",_xlfn.MAXIFS(ENSAYOS!$Q$5:$Q$3004,ENSAYOS!$C$5:$C$3004,F583,ENSAYOS!$Q$5:$Q$3004,"&gt;0"))</f>
        <v/>
      </c>
      <c r="S583" s="16" t="str">
        <f aca="false">IF(N(M583)&lt;2,"",SQRT(MAX(0,(SUMIFS(ENSAYOS!$X$5:$X$3004,ENSAYOS!$C$5:$C$3004,F583,ENSAYOS!$Q$5:$Q$3004,"&gt;0")-M583*P583^2)/(M583-1))))</f>
        <v/>
      </c>
      <c r="T583" s="17" t="str">
        <f aca="false">IF(S583="","",S583/P583)</f>
        <v/>
      </c>
      <c r="U583" s="16" t="str">
        <f aca="false">IF(N(M583)=0,"",IF(N583&gt;=CONFIG!$B$27,"",AVERAGEIFS(ENSAYOS!$Q$5:$Q$3004,ENSAYOS!$C$5:$C$3004,F583,ENSAYOS!$Q$5:$Q$3004,"&gt;0",ENSAYOS!$G$5:$G$3004,N583)))</f>
        <v/>
      </c>
      <c r="V583" s="16" t="str">
        <f aca="false">IF(N(M583)=0,"",IF(COUNTIFS(ENSAYOS!$C$5:$C$3004,F583,ENSAYOS!$Q$5:$Q$3004,"&gt;0",ENSAYOS!$G$5:$G$3004,"&gt;="&amp;CONFIG!$B$27)=0,"",AVERAGEIFS(ENSAYOS!$Q$5:$Q$3004,ENSAYOS!$C$5:$C$3004,F583,ENSAYOS!$Q$5:$Q$3004,"&gt;0",ENSAYOS!$G$5:$G$3004,"&gt;="&amp;CONFIG!$B$27)))</f>
        <v/>
      </c>
      <c r="W583" s="18" t="str">
        <f aca="false">IF(AND(U583&lt;&gt;"",V583&lt;&gt;""),U583/V583,"")</f>
        <v/>
      </c>
      <c r="X583" s="18" t="str">
        <f aca="false">IF(U583="","",INDEX('CURVA EDAD'!$E$5:$E$32,MIN(28,MAX(1,N583))))</f>
        <v/>
      </c>
      <c r="Y583" s="16" t="str">
        <f aca="false">IF(V583&lt;&gt;"",V583,IF(U583="","",U583/X583))</f>
        <v/>
      </c>
      <c r="Z583" s="16" t="str">
        <f aca="false">IF(V583&lt;&gt;"",_xlfn.MINIFS(ENSAYOS!$Q$5:$Q$3004,ENSAYOS!$C$5:$C$3004,F583,ENSAYOS!$Q$5:$Q$3004,"&gt;0",ENSAYOS!$G$5:$G$3004,"&gt;="&amp;CONFIG!$B$27),IF(U583="","",_xlfn.MINIFS(ENSAYOS!$Q$5:$Q$3004,ENSAYOS!$C$5:$C$3004,F583,ENSAYOS!$Q$5:$Q$3004,"&gt;0",ENSAYOS!$G$5:$G$3004,N583)/X583))</f>
        <v/>
      </c>
      <c r="AA583" s="16" t="str">
        <f aca="false">IF(D583="","",IFERROR(1/(1/INDEX(CONFIG!$J$5:$J$14,MATCH(D583,CONFIG!$D$5:$D$14,0))),""))</f>
        <v/>
      </c>
      <c r="AB583" s="16" t="str">
        <f aca="false">IF(D583="","",IFERROR(1/(1/INDEX(CONFIG!$K$5:$K$14,MATCH(D583,CONFIG!$D$5:$D$14,0))),""))</f>
        <v/>
      </c>
      <c r="AC583" s="19" t="str">
        <f aca="false">IF(N(M583)=0,"",IF(AA583="","Sin spec",IF(AND(Y583&gt;=AA583,OR(AB583="",Z583&gt;=AB583)),"CUMPLE","NO CUMPLE")&amp;IF(V583=""," (est.)","")))</f>
        <v/>
      </c>
      <c r="AD583" s="20" t="str">
        <f aca="false">IF(F583="","",IF(COUNTIFS(ABSORCION!$C$5:$C$1004,F583,ABSORCION!$I$5:$I$1004,"&gt;0")=0,"",AVERAGEIFS(ABSORCION!$I$5:$I$1004,ABSORCION!$C$5:$C$1004,F583,ABSORCION!$I$5:$I$1004,"&gt;0")))</f>
        <v/>
      </c>
      <c r="AE583" s="20" t="str">
        <f aca="false">IF(F583="","",IF(COUNTIFS(ABSORCION!$C$5:$C$1004,F583,ABSORCION!$I$5:$I$1004,"&gt;0")=0,"",AVERAGEIFS(ABSORCION!$K$5:$K$1004,ABSORCION!$C$5:$C$1004,F583,ABSORCION!$I$5:$I$1004,"&gt;0")))</f>
        <v/>
      </c>
      <c r="AF583" s="20" t="str">
        <f aca="false">IF(AE583="","",IF(AE583&gt;=CONFIG!$E$21,CONFIG!$F$21,IF(AE583&gt;=CONFIG!$E$20,CONFIG!$F$20,CONFIG!$F$19)))</f>
        <v/>
      </c>
      <c r="AG583" s="21" t="str">
        <f aca="false">IF(F583="","",TRIM(IF(N(M583)=0,"Sin ensayos. ","")&amp;IF(AND(N(M583)&gt;0,N(M583)&lt;CONFIG!$B$26),"Menos de "&amp;CONFIG!$B$26&amp;" probetas. ","")&amp;IF(N(T583)&gt;CONFIG!$B$25,"CV alto. ","")&amp;IF(AND(N(AD583)&gt;0,N(AD583)&gt;N(AF583)),"Absorción alta. ","")))</f>
        <v/>
      </c>
      <c r="AH583" s="22" t="str">
        <f aca="false">IF(AND(N(M583)&gt;0,OR(CONTROL!$C$4="TODAS",C583=CONTROL!$C$4),D583=CONTROL!$C$5),MAX($AH$4:AH582)+1,"")</f>
        <v/>
      </c>
      <c r="AI583" s="22" t="str">
        <f aca="false">IF(AH583="","",P583^2)</f>
        <v/>
      </c>
    </row>
    <row r="584" customFormat="false" ht="15" hidden="false" customHeight="false" outlineLevel="0" collapsed="false">
      <c r="A584" s="11" t="str">
        <f aca="false">IF(B584="","",ROW()-4)</f>
        <v/>
      </c>
      <c r="B584" s="12"/>
      <c r="C584" s="13"/>
      <c r="D584" s="13"/>
      <c r="E584" s="13"/>
      <c r="F584" s="14" t="str">
        <f aca="false">IF(OR(B584="",C584="",D584=""),"",IFERROR(INDEX(CONFIG!$E$5:$E$14,MATCH(D584,CONFIG!$D$5:$D$14,0)),"?")&amp;RIGHT("0"&amp;DAY(B584),2)&amp;RIGHT("0"&amp;MONTH(B584),2)&amp;RIGHT(YEAR(B584),2)&amp;C584&amp;IF(E584="","","-"&amp;E584))</f>
        <v/>
      </c>
      <c r="G584" s="13"/>
      <c r="H584" s="13"/>
      <c r="I584" s="13"/>
      <c r="J584" s="13"/>
      <c r="K584" s="13"/>
      <c r="L584" s="13"/>
      <c r="M584" s="11" t="str">
        <f aca="false">IF(F584="","",COUNTIFS(ENSAYOS!$C$5:$C$3004,F584,ENSAYOS!$Q$5:$Q$3004,"&gt;0"))</f>
        <v/>
      </c>
      <c r="N584" s="15" t="str">
        <f aca="false">IF(N(M584)=0,"",_xlfn.MINIFS(ENSAYOS!$G$5:$G$3004,ENSAYOS!$C$5:$C$3004,F584,ENSAYOS!$Q$5:$Q$3004,"&gt;0"))</f>
        <v/>
      </c>
      <c r="O584" s="15" t="str">
        <f aca="false">IF(N(M584)=0,"",_xlfn.MAXIFS(ENSAYOS!$G$5:$G$3004,ENSAYOS!$C$5:$C$3004,F584,ENSAYOS!$Q$5:$Q$3004,"&gt;0"))</f>
        <v/>
      </c>
      <c r="P584" s="16" t="str">
        <f aca="false">IF(N(M584)=0,"",AVERAGEIFS(ENSAYOS!$Q$5:$Q$3004,ENSAYOS!$C$5:$C$3004,F584,ENSAYOS!$Q$5:$Q$3004,"&gt;0"))</f>
        <v/>
      </c>
      <c r="Q584" s="16" t="str">
        <f aca="false">IF(N(M584)=0,"",_xlfn.MINIFS(ENSAYOS!$Q$5:$Q$3004,ENSAYOS!$C$5:$C$3004,F584,ENSAYOS!$Q$5:$Q$3004,"&gt;0"))</f>
        <v/>
      </c>
      <c r="R584" s="16" t="str">
        <f aca="false">IF(N(M584)=0,"",_xlfn.MAXIFS(ENSAYOS!$Q$5:$Q$3004,ENSAYOS!$C$5:$C$3004,F584,ENSAYOS!$Q$5:$Q$3004,"&gt;0"))</f>
        <v/>
      </c>
      <c r="S584" s="16" t="str">
        <f aca="false">IF(N(M584)&lt;2,"",SQRT(MAX(0,(SUMIFS(ENSAYOS!$X$5:$X$3004,ENSAYOS!$C$5:$C$3004,F584,ENSAYOS!$Q$5:$Q$3004,"&gt;0")-M584*P584^2)/(M584-1))))</f>
        <v/>
      </c>
      <c r="T584" s="17" t="str">
        <f aca="false">IF(S584="","",S584/P584)</f>
        <v/>
      </c>
      <c r="U584" s="16" t="str">
        <f aca="false">IF(N(M584)=0,"",IF(N584&gt;=CONFIG!$B$27,"",AVERAGEIFS(ENSAYOS!$Q$5:$Q$3004,ENSAYOS!$C$5:$C$3004,F584,ENSAYOS!$Q$5:$Q$3004,"&gt;0",ENSAYOS!$G$5:$G$3004,N584)))</f>
        <v/>
      </c>
      <c r="V584" s="16" t="str">
        <f aca="false">IF(N(M584)=0,"",IF(COUNTIFS(ENSAYOS!$C$5:$C$3004,F584,ENSAYOS!$Q$5:$Q$3004,"&gt;0",ENSAYOS!$G$5:$G$3004,"&gt;="&amp;CONFIG!$B$27)=0,"",AVERAGEIFS(ENSAYOS!$Q$5:$Q$3004,ENSAYOS!$C$5:$C$3004,F584,ENSAYOS!$Q$5:$Q$3004,"&gt;0",ENSAYOS!$G$5:$G$3004,"&gt;="&amp;CONFIG!$B$27)))</f>
        <v/>
      </c>
      <c r="W584" s="18" t="str">
        <f aca="false">IF(AND(U584&lt;&gt;"",V584&lt;&gt;""),U584/V584,"")</f>
        <v/>
      </c>
      <c r="X584" s="18" t="str">
        <f aca="false">IF(U584="","",INDEX('CURVA EDAD'!$E$5:$E$32,MIN(28,MAX(1,N584))))</f>
        <v/>
      </c>
      <c r="Y584" s="16" t="str">
        <f aca="false">IF(V584&lt;&gt;"",V584,IF(U584="","",U584/X584))</f>
        <v/>
      </c>
      <c r="Z584" s="16" t="str">
        <f aca="false">IF(V584&lt;&gt;"",_xlfn.MINIFS(ENSAYOS!$Q$5:$Q$3004,ENSAYOS!$C$5:$C$3004,F584,ENSAYOS!$Q$5:$Q$3004,"&gt;0",ENSAYOS!$G$5:$G$3004,"&gt;="&amp;CONFIG!$B$27),IF(U584="","",_xlfn.MINIFS(ENSAYOS!$Q$5:$Q$3004,ENSAYOS!$C$5:$C$3004,F584,ENSAYOS!$Q$5:$Q$3004,"&gt;0",ENSAYOS!$G$5:$G$3004,N584)/X584))</f>
        <v/>
      </c>
      <c r="AA584" s="16" t="str">
        <f aca="false">IF(D584="","",IFERROR(1/(1/INDEX(CONFIG!$J$5:$J$14,MATCH(D584,CONFIG!$D$5:$D$14,0))),""))</f>
        <v/>
      </c>
      <c r="AB584" s="16" t="str">
        <f aca="false">IF(D584="","",IFERROR(1/(1/INDEX(CONFIG!$K$5:$K$14,MATCH(D584,CONFIG!$D$5:$D$14,0))),""))</f>
        <v/>
      </c>
      <c r="AC584" s="19" t="str">
        <f aca="false">IF(N(M584)=0,"",IF(AA584="","Sin spec",IF(AND(Y584&gt;=AA584,OR(AB584="",Z584&gt;=AB584)),"CUMPLE","NO CUMPLE")&amp;IF(V584=""," (est.)","")))</f>
        <v/>
      </c>
      <c r="AD584" s="20" t="str">
        <f aca="false">IF(F584="","",IF(COUNTIFS(ABSORCION!$C$5:$C$1004,F584,ABSORCION!$I$5:$I$1004,"&gt;0")=0,"",AVERAGEIFS(ABSORCION!$I$5:$I$1004,ABSORCION!$C$5:$C$1004,F584,ABSORCION!$I$5:$I$1004,"&gt;0")))</f>
        <v/>
      </c>
      <c r="AE584" s="20" t="str">
        <f aca="false">IF(F584="","",IF(COUNTIFS(ABSORCION!$C$5:$C$1004,F584,ABSORCION!$I$5:$I$1004,"&gt;0")=0,"",AVERAGEIFS(ABSORCION!$K$5:$K$1004,ABSORCION!$C$5:$C$1004,F584,ABSORCION!$I$5:$I$1004,"&gt;0")))</f>
        <v/>
      </c>
      <c r="AF584" s="20" t="str">
        <f aca="false">IF(AE584="","",IF(AE584&gt;=CONFIG!$E$21,CONFIG!$F$21,IF(AE584&gt;=CONFIG!$E$20,CONFIG!$F$20,CONFIG!$F$19)))</f>
        <v/>
      </c>
      <c r="AG584" s="21" t="str">
        <f aca="false">IF(F584="","",TRIM(IF(N(M584)=0,"Sin ensayos. ","")&amp;IF(AND(N(M584)&gt;0,N(M584)&lt;CONFIG!$B$26),"Menos de "&amp;CONFIG!$B$26&amp;" probetas. ","")&amp;IF(N(T584)&gt;CONFIG!$B$25,"CV alto. ","")&amp;IF(AND(N(AD584)&gt;0,N(AD584)&gt;N(AF584)),"Absorción alta. ","")))</f>
        <v/>
      </c>
      <c r="AH584" s="22" t="str">
        <f aca="false">IF(AND(N(M584)&gt;0,OR(CONTROL!$C$4="TODAS",C584=CONTROL!$C$4),D584=CONTROL!$C$5),MAX($AH$4:AH583)+1,"")</f>
        <v/>
      </c>
      <c r="AI584" s="22" t="str">
        <f aca="false">IF(AH584="","",P584^2)</f>
        <v/>
      </c>
    </row>
    <row r="585" customFormat="false" ht="15" hidden="false" customHeight="false" outlineLevel="0" collapsed="false">
      <c r="A585" s="11" t="str">
        <f aca="false">IF(B585="","",ROW()-4)</f>
        <v/>
      </c>
      <c r="B585" s="12"/>
      <c r="C585" s="13"/>
      <c r="D585" s="13"/>
      <c r="E585" s="13"/>
      <c r="F585" s="14" t="str">
        <f aca="false">IF(OR(B585="",C585="",D585=""),"",IFERROR(INDEX(CONFIG!$E$5:$E$14,MATCH(D585,CONFIG!$D$5:$D$14,0)),"?")&amp;RIGHT("0"&amp;DAY(B585),2)&amp;RIGHT("0"&amp;MONTH(B585),2)&amp;RIGHT(YEAR(B585),2)&amp;C585&amp;IF(E585="","","-"&amp;E585))</f>
        <v/>
      </c>
      <c r="G585" s="13"/>
      <c r="H585" s="13"/>
      <c r="I585" s="13"/>
      <c r="J585" s="13"/>
      <c r="K585" s="13"/>
      <c r="L585" s="13"/>
      <c r="M585" s="11" t="str">
        <f aca="false">IF(F585="","",COUNTIFS(ENSAYOS!$C$5:$C$3004,F585,ENSAYOS!$Q$5:$Q$3004,"&gt;0"))</f>
        <v/>
      </c>
      <c r="N585" s="15" t="str">
        <f aca="false">IF(N(M585)=0,"",_xlfn.MINIFS(ENSAYOS!$G$5:$G$3004,ENSAYOS!$C$5:$C$3004,F585,ENSAYOS!$Q$5:$Q$3004,"&gt;0"))</f>
        <v/>
      </c>
      <c r="O585" s="15" t="str">
        <f aca="false">IF(N(M585)=0,"",_xlfn.MAXIFS(ENSAYOS!$G$5:$G$3004,ENSAYOS!$C$5:$C$3004,F585,ENSAYOS!$Q$5:$Q$3004,"&gt;0"))</f>
        <v/>
      </c>
      <c r="P585" s="16" t="str">
        <f aca="false">IF(N(M585)=0,"",AVERAGEIFS(ENSAYOS!$Q$5:$Q$3004,ENSAYOS!$C$5:$C$3004,F585,ENSAYOS!$Q$5:$Q$3004,"&gt;0"))</f>
        <v/>
      </c>
      <c r="Q585" s="16" t="str">
        <f aca="false">IF(N(M585)=0,"",_xlfn.MINIFS(ENSAYOS!$Q$5:$Q$3004,ENSAYOS!$C$5:$C$3004,F585,ENSAYOS!$Q$5:$Q$3004,"&gt;0"))</f>
        <v/>
      </c>
      <c r="R585" s="16" t="str">
        <f aca="false">IF(N(M585)=0,"",_xlfn.MAXIFS(ENSAYOS!$Q$5:$Q$3004,ENSAYOS!$C$5:$C$3004,F585,ENSAYOS!$Q$5:$Q$3004,"&gt;0"))</f>
        <v/>
      </c>
      <c r="S585" s="16" t="str">
        <f aca="false">IF(N(M585)&lt;2,"",SQRT(MAX(0,(SUMIFS(ENSAYOS!$X$5:$X$3004,ENSAYOS!$C$5:$C$3004,F585,ENSAYOS!$Q$5:$Q$3004,"&gt;0")-M585*P585^2)/(M585-1))))</f>
        <v/>
      </c>
      <c r="T585" s="17" t="str">
        <f aca="false">IF(S585="","",S585/P585)</f>
        <v/>
      </c>
      <c r="U585" s="16" t="str">
        <f aca="false">IF(N(M585)=0,"",IF(N585&gt;=CONFIG!$B$27,"",AVERAGEIFS(ENSAYOS!$Q$5:$Q$3004,ENSAYOS!$C$5:$C$3004,F585,ENSAYOS!$Q$5:$Q$3004,"&gt;0",ENSAYOS!$G$5:$G$3004,N585)))</f>
        <v/>
      </c>
      <c r="V585" s="16" t="str">
        <f aca="false">IF(N(M585)=0,"",IF(COUNTIFS(ENSAYOS!$C$5:$C$3004,F585,ENSAYOS!$Q$5:$Q$3004,"&gt;0",ENSAYOS!$G$5:$G$3004,"&gt;="&amp;CONFIG!$B$27)=0,"",AVERAGEIFS(ENSAYOS!$Q$5:$Q$3004,ENSAYOS!$C$5:$C$3004,F585,ENSAYOS!$Q$5:$Q$3004,"&gt;0",ENSAYOS!$G$5:$G$3004,"&gt;="&amp;CONFIG!$B$27)))</f>
        <v/>
      </c>
      <c r="W585" s="18" t="str">
        <f aca="false">IF(AND(U585&lt;&gt;"",V585&lt;&gt;""),U585/V585,"")</f>
        <v/>
      </c>
      <c r="X585" s="18" t="str">
        <f aca="false">IF(U585="","",INDEX('CURVA EDAD'!$E$5:$E$32,MIN(28,MAX(1,N585))))</f>
        <v/>
      </c>
      <c r="Y585" s="16" t="str">
        <f aca="false">IF(V585&lt;&gt;"",V585,IF(U585="","",U585/X585))</f>
        <v/>
      </c>
      <c r="Z585" s="16" t="str">
        <f aca="false">IF(V585&lt;&gt;"",_xlfn.MINIFS(ENSAYOS!$Q$5:$Q$3004,ENSAYOS!$C$5:$C$3004,F585,ENSAYOS!$Q$5:$Q$3004,"&gt;0",ENSAYOS!$G$5:$G$3004,"&gt;="&amp;CONFIG!$B$27),IF(U585="","",_xlfn.MINIFS(ENSAYOS!$Q$5:$Q$3004,ENSAYOS!$C$5:$C$3004,F585,ENSAYOS!$Q$5:$Q$3004,"&gt;0",ENSAYOS!$G$5:$G$3004,N585)/X585))</f>
        <v/>
      </c>
      <c r="AA585" s="16" t="str">
        <f aca="false">IF(D585="","",IFERROR(1/(1/INDEX(CONFIG!$J$5:$J$14,MATCH(D585,CONFIG!$D$5:$D$14,0))),""))</f>
        <v/>
      </c>
      <c r="AB585" s="16" t="str">
        <f aca="false">IF(D585="","",IFERROR(1/(1/INDEX(CONFIG!$K$5:$K$14,MATCH(D585,CONFIG!$D$5:$D$14,0))),""))</f>
        <v/>
      </c>
      <c r="AC585" s="19" t="str">
        <f aca="false">IF(N(M585)=0,"",IF(AA585="","Sin spec",IF(AND(Y585&gt;=AA585,OR(AB585="",Z585&gt;=AB585)),"CUMPLE","NO CUMPLE")&amp;IF(V585=""," (est.)","")))</f>
        <v/>
      </c>
      <c r="AD585" s="20" t="str">
        <f aca="false">IF(F585="","",IF(COUNTIFS(ABSORCION!$C$5:$C$1004,F585,ABSORCION!$I$5:$I$1004,"&gt;0")=0,"",AVERAGEIFS(ABSORCION!$I$5:$I$1004,ABSORCION!$C$5:$C$1004,F585,ABSORCION!$I$5:$I$1004,"&gt;0")))</f>
        <v/>
      </c>
      <c r="AE585" s="20" t="str">
        <f aca="false">IF(F585="","",IF(COUNTIFS(ABSORCION!$C$5:$C$1004,F585,ABSORCION!$I$5:$I$1004,"&gt;0")=0,"",AVERAGEIFS(ABSORCION!$K$5:$K$1004,ABSORCION!$C$5:$C$1004,F585,ABSORCION!$I$5:$I$1004,"&gt;0")))</f>
        <v/>
      </c>
      <c r="AF585" s="20" t="str">
        <f aca="false">IF(AE585="","",IF(AE585&gt;=CONFIG!$E$21,CONFIG!$F$21,IF(AE585&gt;=CONFIG!$E$20,CONFIG!$F$20,CONFIG!$F$19)))</f>
        <v/>
      </c>
      <c r="AG585" s="21" t="str">
        <f aca="false">IF(F585="","",TRIM(IF(N(M585)=0,"Sin ensayos. ","")&amp;IF(AND(N(M585)&gt;0,N(M585)&lt;CONFIG!$B$26),"Menos de "&amp;CONFIG!$B$26&amp;" probetas. ","")&amp;IF(N(T585)&gt;CONFIG!$B$25,"CV alto. ","")&amp;IF(AND(N(AD585)&gt;0,N(AD585)&gt;N(AF585)),"Absorción alta. ","")))</f>
        <v/>
      </c>
      <c r="AH585" s="22" t="str">
        <f aca="false">IF(AND(N(M585)&gt;0,OR(CONTROL!$C$4="TODAS",C585=CONTROL!$C$4),D585=CONTROL!$C$5),MAX($AH$4:AH584)+1,"")</f>
        <v/>
      </c>
      <c r="AI585" s="22" t="str">
        <f aca="false">IF(AH585="","",P585^2)</f>
        <v/>
      </c>
    </row>
    <row r="586" customFormat="false" ht="15" hidden="false" customHeight="false" outlineLevel="0" collapsed="false">
      <c r="A586" s="11" t="str">
        <f aca="false">IF(B586="","",ROW()-4)</f>
        <v/>
      </c>
      <c r="B586" s="12"/>
      <c r="C586" s="13"/>
      <c r="D586" s="13"/>
      <c r="E586" s="13"/>
      <c r="F586" s="14" t="str">
        <f aca="false">IF(OR(B586="",C586="",D586=""),"",IFERROR(INDEX(CONFIG!$E$5:$E$14,MATCH(D586,CONFIG!$D$5:$D$14,0)),"?")&amp;RIGHT("0"&amp;DAY(B586),2)&amp;RIGHT("0"&amp;MONTH(B586),2)&amp;RIGHT(YEAR(B586),2)&amp;C586&amp;IF(E586="","","-"&amp;E586))</f>
        <v/>
      </c>
      <c r="G586" s="13"/>
      <c r="H586" s="13"/>
      <c r="I586" s="13"/>
      <c r="J586" s="13"/>
      <c r="K586" s="13"/>
      <c r="L586" s="13"/>
      <c r="M586" s="11" t="str">
        <f aca="false">IF(F586="","",COUNTIFS(ENSAYOS!$C$5:$C$3004,F586,ENSAYOS!$Q$5:$Q$3004,"&gt;0"))</f>
        <v/>
      </c>
      <c r="N586" s="15" t="str">
        <f aca="false">IF(N(M586)=0,"",_xlfn.MINIFS(ENSAYOS!$G$5:$G$3004,ENSAYOS!$C$5:$C$3004,F586,ENSAYOS!$Q$5:$Q$3004,"&gt;0"))</f>
        <v/>
      </c>
      <c r="O586" s="15" t="str">
        <f aca="false">IF(N(M586)=0,"",_xlfn.MAXIFS(ENSAYOS!$G$5:$G$3004,ENSAYOS!$C$5:$C$3004,F586,ENSAYOS!$Q$5:$Q$3004,"&gt;0"))</f>
        <v/>
      </c>
      <c r="P586" s="16" t="str">
        <f aca="false">IF(N(M586)=0,"",AVERAGEIFS(ENSAYOS!$Q$5:$Q$3004,ENSAYOS!$C$5:$C$3004,F586,ENSAYOS!$Q$5:$Q$3004,"&gt;0"))</f>
        <v/>
      </c>
      <c r="Q586" s="16" t="str">
        <f aca="false">IF(N(M586)=0,"",_xlfn.MINIFS(ENSAYOS!$Q$5:$Q$3004,ENSAYOS!$C$5:$C$3004,F586,ENSAYOS!$Q$5:$Q$3004,"&gt;0"))</f>
        <v/>
      </c>
      <c r="R586" s="16" t="str">
        <f aca="false">IF(N(M586)=0,"",_xlfn.MAXIFS(ENSAYOS!$Q$5:$Q$3004,ENSAYOS!$C$5:$C$3004,F586,ENSAYOS!$Q$5:$Q$3004,"&gt;0"))</f>
        <v/>
      </c>
      <c r="S586" s="16" t="str">
        <f aca="false">IF(N(M586)&lt;2,"",SQRT(MAX(0,(SUMIFS(ENSAYOS!$X$5:$X$3004,ENSAYOS!$C$5:$C$3004,F586,ENSAYOS!$Q$5:$Q$3004,"&gt;0")-M586*P586^2)/(M586-1))))</f>
        <v/>
      </c>
      <c r="T586" s="17" t="str">
        <f aca="false">IF(S586="","",S586/P586)</f>
        <v/>
      </c>
      <c r="U586" s="16" t="str">
        <f aca="false">IF(N(M586)=0,"",IF(N586&gt;=CONFIG!$B$27,"",AVERAGEIFS(ENSAYOS!$Q$5:$Q$3004,ENSAYOS!$C$5:$C$3004,F586,ENSAYOS!$Q$5:$Q$3004,"&gt;0",ENSAYOS!$G$5:$G$3004,N586)))</f>
        <v/>
      </c>
      <c r="V586" s="16" t="str">
        <f aca="false">IF(N(M586)=0,"",IF(COUNTIFS(ENSAYOS!$C$5:$C$3004,F586,ENSAYOS!$Q$5:$Q$3004,"&gt;0",ENSAYOS!$G$5:$G$3004,"&gt;="&amp;CONFIG!$B$27)=0,"",AVERAGEIFS(ENSAYOS!$Q$5:$Q$3004,ENSAYOS!$C$5:$C$3004,F586,ENSAYOS!$Q$5:$Q$3004,"&gt;0",ENSAYOS!$G$5:$G$3004,"&gt;="&amp;CONFIG!$B$27)))</f>
        <v/>
      </c>
      <c r="W586" s="18" t="str">
        <f aca="false">IF(AND(U586&lt;&gt;"",V586&lt;&gt;""),U586/V586,"")</f>
        <v/>
      </c>
      <c r="X586" s="18" t="str">
        <f aca="false">IF(U586="","",INDEX('CURVA EDAD'!$E$5:$E$32,MIN(28,MAX(1,N586))))</f>
        <v/>
      </c>
      <c r="Y586" s="16" t="str">
        <f aca="false">IF(V586&lt;&gt;"",V586,IF(U586="","",U586/X586))</f>
        <v/>
      </c>
      <c r="Z586" s="16" t="str">
        <f aca="false">IF(V586&lt;&gt;"",_xlfn.MINIFS(ENSAYOS!$Q$5:$Q$3004,ENSAYOS!$C$5:$C$3004,F586,ENSAYOS!$Q$5:$Q$3004,"&gt;0",ENSAYOS!$G$5:$G$3004,"&gt;="&amp;CONFIG!$B$27),IF(U586="","",_xlfn.MINIFS(ENSAYOS!$Q$5:$Q$3004,ENSAYOS!$C$5:$C$3004,F586,ENSAYOS!$Q$5:$Q$3004,"&gt;0",ENSAYOS!$G$5:$G$3004,N586)/X586))</f>
        <v/>
      </c>
      <c r="AA586" s="16" t="str">
        <f aca="false">IF(D586="","",IFERROR(1/(1/INDEX(CONFIG!$J$5:$J$14,MATCH(D586,CONFIG!$D$5:$D$14,0))),""))</f>
        <v/>
      </c>
      <c r="AB586" s="16" t="str">
        <f aca="false">IF(D586="","",IFERROR(1/(1/INDEX(CONFIG!$K$5:$K$14,MATCH(D586,CONFIG!$D$5:$D$14,0))),""))</f>
        <v/>
      </c>
      <c r="AC586" s="19" t="str">
        <f aca="false">IF(N(M586)=0,"",IF(AA586="","Sin spec",IF(AND(Y586&gt;=AA586,OR(AB586="",Z586&gt;=AB586)),"CUMPLE","NO CUMPLE")&amp;IF(V586=""," (est.)","")))</f>
        <v/>
      </c>
      <c r="AD586" s="20" t="str">
        <f aca="false">IF(F586="","",IF(COUNTIFS(ABSORCION!$C$5:$C$1004,F586,ABSORCION!$I$5:$I$1004,"&gt;0")=0,"",AVERAGEIFS(ABSORCION!$I$5:$I$1004,ABSORCION!$C$5:$C$1004,F586,ABSORCION!$I$5:$I$1004,"&gt;0")))</f>
        <v/>
      </c>
      <c r="AE586" s="20" t="str">
        <f aca="false">IF(F586="","",IF(COUNTIFS(ABSORCION!$C$5:$C$1004,F586,ABSORCION!$I$5:$I$1004,"&gt;0")=0,"",AVERAGEIFS(ABSORCION!$K$5:$K$1004,ABSORCION!$C$5:$C$1004,F586,ABSORCION!$I$5:$I$1004,"&gt;0")))</f>
        <v/>
      </c>
      <c r="AF586" s="20" t="str">
        <f aca="false">IF(AE586="","",IF(AE586&gt;=CONFIG!$E$21,CONFIG!$F$21,IF(AE586&gt;=CONFIG!$E$20,CONFIG!$F$20,CONFIG!$F$19)))</f>
        <v/>
      </c>
      <c r="AG586" s="21" t="str">
        <f aca="false">IF(F586="","",TRIM(IF(N(M586)=0,"Sin ensayos. ","")&amp;IF(AND(N(M586)&gt;0,N(M586)&lt;CONFIG!$B$26),"Menos de "&amp;CONFIG!$B$26&amp;" probetas. ","")&amp;IF(N(T586)&gt;CONFIG!$B$25,"CV alto. ","")&amp;IF(AND(N(AD586)&gt;0,N(AD586)&gt;N(AF586)),"Absorción alta. ","")))</f>
        <v/>
      </c>
      <c r="AH586" s="22" t="str">
        <f aca="false">IF(AND(N(M586)&gt;0,OR(CONTROL!$C$4="TODAS",C586=CONTROL!$C$4),D586=CONTROL!$C$5),MAX($AH$4:AH585)+1,"")</f>
        <v/>
      </c>
      <c r="AI586" s="22" t="str">
        <f aca="false">IF(AH586="","",P586^2)</f>
        <v/>
      </c>
    </row>
    <row r="587" customFormat="false" ht="15" hidden="false" customHeight="false" outlineLevel="0" collapsed="false">
      <c r="A587" s="11" t="str">
        <f aca="false">IF(B587="","",ROW()-4)</f>
        <v/>
      </c>
      <c r="B587" s="12"/>
      <c r="C587" s="13"/>
      <c r="D587" s="13"/>
      <c r="E587" s="13"/>
      <c r="F587" s="14" t="str">
        <f aca="false">IF(OR(B587="",C587="",D587=""),"",IFERROR(INDEX(CONFIG!$E$5:$E$14,MATCH(D587,CONFIG!$D$5:$D$14,0)),"?")&amp;RIGHT("0"&amp;DAY(B587),2)&amp;RIGHT("0"&amp;MONTH(B587),2)&amp;RIGHT(YEAR(B587),2)&amp;C587&amp;IF(E587="","","-"&amp;E587))</f>
        <v/>
      </c>
      <c r="G587" s="13"/>
      <c r="H587" s="13"/>
      <c r="I587" s="13"/>
      <c r="J587" s="13"/>
      <c r="K587" s="13"/>
      <c r="L587" s="13"/>
      <c r="M587" s="11" t="str">
        <f aca="false">IF(F587="","",COUNTIFS(ENSAYOS!$C$5:$C$3004,F587,ENSAYOS!$Q$5:$Q$3004,"&gt;0"))</f>
        <v/>
      </c>
      <c r="N587" s="15" t="str">
        <f aca="false">IF(N(M587)=0,"",_xlfn.MINIFS(ENSAYOS!$G$5:$G$3004,ENSAYOS!$C$5:$C$3004,F587,ENSAYOS!$Q$5:$Q$3004,"&gt;0"))</f>
        <v/>
      </c>
      <c r="O587" s="15" t="str">
        <f aca="false">IF(N(M587)=0,"",_xlfn.MAXIFS(ENSAYOS!$G$5:$G$3004,ENSAYOS!$C$5:$C$3004,F587,ENSAYOS!$Q$5:$Q$3004,"&gt;0"))</f>
        <v/>
      </c>
      <c r="P587" s="16" t="str">
        <f aca="false">IF(N(M587)=0,"",AVERAGEIFS(ENSAYOS!$Q$5:$Q$3004,ENSAYOS!$C$5:$C$3004,F587,ENSAYOS!$Q$5:$Q$3004,"&gt;0"))</f>
        <v/>
      </c>
      <c r="Q587" s="16" t="str">
        <f aca="false">IF(N(M587)=0,"",_xlfn.MINIFS(ENSAYOS!$Q$5:$Q$3004,ENSAYOS!$C$5:$C$3004,F587,ENSAYOS!$Q$5:$Q$3004,"&gt;0"))</f>
        <v/>
      </c>
      <c r="R587" s="16" t="str">
        <f aca="false">IF(N(M587)=0,"",_xlfn.MAXIFS(ENSAYOS!$Q$5:$Q$3004,ENSAYOS!$C$5:$C$3004,F587,ENSAYOS!$Q$5:$Q$3004,"&gt;0"))</f>
        <v/>
      </c>
      <c r="S587" s="16" t="str">
        <f aca="false">IF(N(M587)&lt;2,"",SQRT(MAX(0,(SUMIFS(ENSAYOS!$X$5:$X$3004,ENSAYOS!$C$5:$C$3004,F587,ENSAYOS!$Q$5:$Q$3004,"&gt;0")-M587*P587^2)/(M587-1))))</f>
        <v/>
      </c>
      <c r="T587" s="17" t="str">
        <f aca="false">IF(S587="","",S587/P587)</f>
        <v/>
      </c>
      <c r="U587" s="16" t="str">
        <f aca="false">IF(N(M587)=0,"",IF(N587&gt;=CONFIG!$B$27,"",AVERAGEIFS(ENSAYOS!$Q$5:$Q$3004,ENSAYOS!$C$5:$C$3004,F587,ENSAYOS!$Q$5:$Q$3004,"&gt;0",ENSAYOS!$G$5:$G$3004,N587)))</f>
        <v/>
      </c>
      <c r="V587" s="16" t="str">
        <f aca="false">IF(N(M587)=0,"",IF(COUNTIFS(ENSAYOS!$C$5:$C$3004,F587,ENSAYOS!$Q$5:$Q$3004,"&gt;0",ENSAYOS!$G$5:$G$3004,"&gt;="&amp;CONFIG!$B$27)=0,"",AVERAGEIFS(ENSAYOS!$Q$5:$Q$3004,ENSAYOS!$C$5:$C$3004,F587,ENSAYOS!$Q$5:$Q$3004,"&gt;0",ENSAYOS!$G$5:$G$3004,"&gt;="&amp;CONFIG!$B$27)))</f>
        <v/>
      </c>
      <c r="W587" s="18" t="str">
        <f aca="false">IF(AND(U587&lt;&gt;"",V587&lt;&gt;""),U587/V587,"")</f>
        <v/>
      </c>
      <c r="X587" s="18" t="str">
        <f aca="false">IF(U587="","",INDEX('CURVA EDAD'!$E$5:$E$32,MIN(28,MAX(1,N587))))</f>
        <v/>
      </c>
      <c r="Y587" s="16" t="str">
        <f aca="false">IF(V587&lt;&gt;"",V587,IF(U587="","",U587/X587))</f>
        <v/>
      </c>
      <c r="Z587" s="16" t="str">
        <f aca="false">IF(V587&lt;&gt;"",_xlfn.MINIFS(ENSAYOS!$Q$5:$Q$3004,ENSAYOS!$C$5:$C$3004,F587,ENSAYOS!$Q$5:$Q$3004,"&gt;0",ENSAYOS!$G$5:$G$3004,"&gt;="&amp;CONFIG!$B$27),IF(U587="","",_xlfn.MINIFS(ENSAYOS!$Q$5:$Q$3004,ENSAYOS!$C$5:$C$3004,F587,ENSAYOS!$Q$5:$Q$3004,"&gt;0",ENSAYOS!$G$5:$G$3004,N587)/X587))</f>
        <v/>
      </c>
      <c r="AA587" s="16" t="str">
        <f aca="false">IF(D587="","",IFERROR(1/(1/INDEX(CONFIG!$J$5:$J$14,MATCH(D587,CONFIG!$D$5:$D$14,0))),""))</f>
        <v/>
      </c>
      <c r="AB587" s="16" t="str">
        <f aca="false">IF(D587="","",IFERROR(1/(1/INDEX(CONFIG!$K$5:$K$14,MATCH(D587,CONFIG!$D$5:$D$14,0))),""))</f>
        <v/>
      </c>
      <c r="AC587" s="19" t="str">
        <f aca="false">IF(N(M587)=0,"",IF(AA587="","Sin spec",IF(AND(Y587&gt;=AA587,OR(AB587="",Z587&gt;=AB587)),"CUMPLE","NO CUMPLE")&amp;IF(V587=""," (est.)","")))</f>
        <v/>
      </c>
      <c r="AD587" s="20" t="str">
        <f aca="false">IF(F587="","",IF(COUNTIFS(ABSORCION!$C$5:$C$1004,F587,ABSORCION!$I$5:$I$1004,"&gt;0")=0,"",AVERAGEIFS(ABSORCION!$I$5:$I$1004,ABSORCION!$C$5:$C$1004,F587,ABSORCION!$I$5:$I$1004,"&gt;0")))</f>
        <v/>
      </c>
      <c r="AE587" s="20" t="str">
        <f aca="false">IF(F587="","",IF(COUNTIFS(ABSORCION!$C$5:$C$1004,F587,ABSORCION!$I$5:$I$1004,"&gt;0")=0,"",AVERAGEIFS(ABSORCION!$K$5:$K$1004,ABSORCION!$C$5:$C$1004,F587,ABSORCION!$I$5:$I$1004,"&gt;0")))</f>
        <v/>
      </c>
      <c r="AF587" s="20" t="str">
        <f aca="false">IF(AE587="","",IF(AE587&gt;=CONFIG!$E$21,CONFIG!$F$21,IF(AE587&gt;=CONFIG!$E$20,CONFIG!$F$20,CONFIG!$F$19)))</f>
        <v/>
      </c>
      <c r="AG587" s="21" t="str">
        <f aca="false">IF(F587="","",TRIM(IF(N(M587)=0,"Sin ensayos. ","")&amp;IF(AND(N(M587)&gt;0,N(M587)&lt;CONFIG!$B$26),"Menos de "&amp;CONFIG!$B$26&amp;" probetas. ","")&amp;IF(N(T587)&gt;CONFIG!$B$25,"CV alto. ","")&amp;IF(AND(N(AD587)&gt;0,N(AD587)&gt;N(AF587)),"Absorción alta. ","")))</f>
        <v/>
      </c>
      <c r="AH587" s="22" t="str">
        <f aca="false">IF(AND(N(M587)&gt;0,OR(CONTROL!$C$4="TODAS",C587=CONTROL!$C$4),D587=CONTROL!$C$5),MAX($AH$4:AH586)+1,"")</f>
        <v/>
      </c>
      <c r="AI587" s="22" t="str">
        <f aca="false">IF(AH587="","",P587^2)</f>
        <v/>
      </c>
    </row>
    <row r="588" customFormat="false" ht="15" hidden="false" customHeight="false" outlineLevel="0" collapsed="false">
      <c r="A588" s="11" t="str">
        <f aca="false">IF(B588="","",ROW()-4)</f>
        <v/>
      </c>
      <c r="B588" s="12"/>
      <c r="C588" s="13"/>
      <c r="D588" s="13"/>
      <c r="E588" s="13"/>
      <c r="F588" s="14" t="str">
        <f aca="false">IF(OR(B588="",C588="",D588=""),"",IFERROR(INDEX(CONFIG!$E$5:$E$14,MATCH(D588,CONFIG!$D$5:$D$14,0)),"?")&amp;RIGHT("0"&amp;DAY(B588),2)&amp;RIGHT("0"&amp;MONTH(B588),2)&amp;RIGHT(YEAR(B588),2)&amp;C588&amp;IF(E588="","","-"&amp;E588))</f>
        <v/>
      </c>
      <c r="G588" s="13"/>
      <c r="H588" s="13"/>
      <c r="I588" s="13"/>
      <c r="J588" s="13"/>
      <c r="K588" s="13"/>
      <c r="L588" s="13"/>
      <c r="M588" s="11" t="str">
        <f aca="false">IF(F588="","",COUNTIFS(ENSAYOS!$C$5:$C$3004,F588,ENSAYOS!$Q$5:$Q$3004,"&gt;0"))</f>
        <v/>
      </c>
      <c r="N588" s="15" t="str">
        <f aca="false">IF(N(M588)=0,"",_xlfn.MINIFS(ENSAYOS!$G$5:$G$3004,ENSAYOS!$C$5:$C$3004,F588,ENSAYOS!$Q$5:$Q$3004,"&gt;0"))</f>
        <v/>
      </c>
      <c r="O588" s="15" t="str">
        <f aca="false">IF(N(M588)=0,"",_xlfn.MAXIFS(ENSAYOS!$G$5:$G$3004,ENSAYOS!$C$5:$C$3004,F588,ENSAYOS!$Q$5:$Q$3004,"&gt;0"))</f>
        <v/>
      </c>
      <c r="P588" s="16" t="str">
        <f aca="false">IF(N(M588)=0,"",AVERAGEIFS(ENSAYOS!$Q$5:$Q$3004,ENSAYOS!$C$5:$C$3004,F588,ENSAYOS!$Q$5:$Q$3004,"&gt;0"))</f>
        <v/>
      </c>
      <c r="Q588" s="16" t="str">
        <f aca="false">IF(N(M588)=0,"",_xlfn.MINIFS(ENSAYOS!$Q$5:$Q$3004,ENSAYOS!$C$5:$C$3004,F588,ENSAYOS!$Q$5:$Q$3004,"&gt;0"))</f>
        <v/>
      </c>
      <c r="R588" s="16" t="str">
        <f aca="false">IF(N(M588)=0,"",_xlfn.MAXIFS(ENSAYOS!$Q$5:$Q$3004,ENSAYOS!$C$5:$C$3004,F588,ENSAYOS!$Q$5:$Q$3004,"&gt;0"))</f>
        <v/>
      </c>
      <c r="S588" s="16" t="str">
        <f aca="false">IF(N(M588)&lt;2,"",SQRT(MAX(0,(SUMIFS(ENSAYOS!$X$5:$X$3004,ENSAYOS!$C$5:$C$3004,F588,ENSAYOS!$Q$5:$Q$3004,"&gt;0")-M588*P588^2)/(M588-1))))</f>
        <v/>
      </c>
      <c r="T588" s="17" t="str">
        <f aca="false">IF(S588="","",S588/P588)</f>
        <v/>
      </c>
      <c r="U588" s="16" t="str">
        <f aca="false">IF(N(M588)=0,"",IF(N588&gt;=CONFIG!$B$27,"",AVERAGEIFS(ENSAYOS!$Q$5:$Q$3004,ENSAYOS!$C$5:$C$3004,F588,ENSAYOS!$Q$5:$Q$3004,"&gt;0",ENSAYOS!$G$5:$G$3004,N588)))</f>
        <v/>
      </c>
      <c r="V588" s="16" t="str">
        <f aca="false">IF(N(M588)=0,"",IF(COUNTIFS(ENSAYOS!$C$5:$C$3004,F588,ENSAYOS!$Q$5:$Q$3004,"&gt;0",ENSAYOS!$G$5:$G$3004,"&gt;="&amp;CONFIG!$B$27)=0,"",AVERAGEIFS(ENSAYOS!$Q$5:$Q$3004,ENSAYOS!$C$5:$C$3004,F588,ENSAYOS!$Q$5:$Q$3004,"&gt;0",ENSAYOS!$G$5:$G$3004,"&gt;="&amp;CONFIG!$B$27)))</f>
        <v/>
      </c>
      <c r="W588" s="18" t="str">
        <f aca="false">IF(AND(U588&lt;&gt;"",V588&lt;&gt;""),U588/V588,"")</f>
        <v/>
      </c>
      <c r="X588" s="18" t="str">
        <f aca="false">IF(U588="","",INDEX('CURVA EDAD'!$E$5:$E$32,MIN(28,MAX(1,N588))))</f>
        <v/>
      </c>
      <c r="Y588" s="16" t="str">
        <f aca="false">IF(V588&lt;&gt;"",V588,IF(U588="","",U588/X588))</f>
        <v/>
      </c>
      <c r="Z588" s="16" t="str">
        <f aca="false">IF(V588&lt;&gt;"",_xlfn.MINIFS(ENSAYOS!$Q$5:$Q$3004,ENSAYOS!$C$5:$C$3004,F588,ENSAYOS!$Q$5:$Q$3004,"&gt;0",ENSAYOS!$G$5:$G$3004,"&gt;="&amp;CONFIG!$B$27),IF(U588="","",_xlfn.MINIFS(ENSAYOS!$Q$5:$Q$3004,ENSAYOS!$C$5:$C$3004,F588,ENSAYOS!$Q$5:$Q$3004,"&gt;0",ENSAYOS!$G$5:$G$3004,N588)/X588))</f>
        <v/>
      </c>
      <c r="AA588" s="16" t="str">
        <f aca="false">IF(D588="","",IFERROR(1/(1/INDEX(CONFIG!$J$5:$J$14,MATCH(D588,CONFIG!$D$5:$D$14,0))),""))</f>
        <v/>
      </c>
      <c r="AB588" s="16" t="str">
        <f aca="false">IF(D588="","",IFERROR(1/(1/INDEX(CONFIG!$K$5:$K$14,MATCH(D588,CONFIG!$D$5:$D$14,0))),""))</f>
        <v/>
      </c>
      <c r="AC588" s="19" t="str">
        <f aca="false">IF(N(M588)=0,"",IF(AA588="","Sin spec",IF(AND(Y588&gt;=AA588,OR(AB588="",Z588&gt;=AB588)),"CUMPLE","NO CUMPLE")&amp;IF(V588=""," (est.)","")))</f>
        <v/>
      </c>
      <c r="AD588" s="20" t="str">
        <f aca="false">IF(F588="","",IF(COUNTIFS(ABSORCION!$C$5:$C$1004,F588,ABSORCION!$I$5:$I$1004,"&gt;0")=0,"",AVERAGEIFS(ABSORCION!$I$5:$I$1004,ABSORCION!$C$5:$C$1004,F588,ABSORCION!$I$5:$I$1004,"&gt;0")))</f>
        <v/>
      </c>
      <c r="AE588" s="20" t="str">
        <f aca="false">IF(F588="","",IF(COUNTIFS(ABSORCION!$C$5:$C$1004,F588,ABSORCION!$I$5:$I$1004,"&gt;0")=0,"",AVERAGEIFS(ABSORCION!$K$5:$K$1004,ABSORCION!$C$5:$C$1004,F588,ABSORCION!$I$5:$I$1004,"&gt;0")))</f>
        <v/>
      </c>
      <c r="AF588" s="20" t="str">
        <f aca="false">IF(AE588="","",IF(AE588&gt;=CONFIG!$E$21,CONFIG!$F$21,IF(AE588&gt;=CONFIG!$E$20,CONFIG!$F$20,CONFIG!$F$19)))</f>
        <v/>
      </c>
      <c r="AG588" s="21" t="str">
        <f aca="false">IF(F588="","",TRIM(IF(N(M588)=0,"Sin ensayos. ","")&amp;IF(AND(N(M588)&gt;0,N(M588)&lt;CONFIG!$B$26),"Menos de "&amp;CONFIG!$B$26&amp;" probetas. ","")&amp;IF(N(T588)&gt;CONFIG!$B$25,"CV alto. ","")&amp;IF(AND(N(AD588)&gt;0,N(AD588)&gt;N(AF588)),"Absorción alta. ","")))</f>
        <v/>
      </c>
      <c r="AH588" s="22" t="str">
        <f aca="false">IF(AND(N(M588)&gt;0,OR(CONTROL!$C$4="TODAS",C588=CONTROL!$C$4),D588=CONTROL!$C$5),MAX($AH$4:AH587)+1,"")</f>
        <v/>
      </c>
      <c r="AI588" s="22" t="str">
        <f aca="false">IF(AH588="","",P588^2)</f>
        <v/>
      </c>
    </row>
    <row r="589" customFormat="false" ht="15" hidden="false" customHeight="false" outlineLevel="0" collapsed="false">
      <c r="A589" s="11" t="str">
        <f aca="false">IF(B589="","",ROW()-4)</f>
        <v/>
      </c>
      <c r="B589" s="12"/>
      <c r="C589" s="13"/>
      <c r="D589" s="13"/>
      <c r="E589" s="13"/>
      <c r="F589" s="14" t="str">
        <f aca="false">IF(OR(B589="",C589="",D589=""),"",IFERROR(INDEX(CONFIG!$E$5:$E$14,MATCH(D589,CONFIG!$D$5:$D$14,0)),"?")&amp;RIGHT("0"&amp;DAY(B589),2)&amp;RIGHT("0"&amp;MONTH(B589),2)&amp;RIGHT(YEAR(B589),2)&amp;C589&amp;IF(E589="","","-"&amp;E589))</f>
        <v/>
      </c>
      <c r="G589" s="13"/>
      <c r="H589" s="13"/>
      <c r="I589" s="13"/>
      <c r="J589" s="13"/>
      <c r="K589" s="13"/>
      <c r="L589" s="13"/>
      <c r="M589" s="11" t="str">
        <f aca="false">IF(F589="","",COUNTIFS(ENSAYOS!$C$5:$C$3004,F589,ENSAYOS!$Q$5:$Q$3004,"&gt;0"))</f>
        <v/>
      </c>
      <c r="N589" s="15" t="str">
        <f aca="false">IF(N(M589)=0,"",_xlfn.MINIFS(ENSAYOS!$G$5:$G$3004,ENSAYOS!$C$5:$C$3004,F589,ENSAYOS!$Q$5:$Q$3004,"&gt;0"))</f>
        <v/>
      </c>
      <c r="O589" s="15" t="str">
        <f aca="false">IF(N(M589)=0,"",_xlfn.MAXIFS(ENSAYOS!$G$5:$G$3004,ENSAYOS!$C$5:$C$3004,F589,ENSAYOS!$Q$5:$Q$3004,"&gt;0"))</f>
        <v/>
      </c>
      <c r="P589" s="16" t="str">
        <f aca="false">IF(N(M589)=0,"",AVERAGEIFS(ENSAYOS!$Q$5:$Q$3004,ENSAYOS!$C$5:$C$3004,F589,ENSAYOS!$Q$5:$Q$3004,"&gt;0"))</f>
        <v/>
      </c>
      <c r="Q589" s="16" t="str">
        <f aca="false">IF(N(M589)=0,"",_xlfn.MINIFS(ENSAYOS!$Q$5:$Q$3004,ENSAYOS!$C$5:$C$3004,F589,ENSAYOS!$Q$5:$Q$3004,"&gt;0"))</f>
        <v/>
      </c>
      <c r="R589" s="16" t="str">
        <f aca="false">IF(N(M589)=0,"",_xlfn.MAXIFS(ENSAYOS!$Q$5:$Q$3004,ENSAYOS!$C$5:$C$3004,F589,ENSAYOS!$Q$5:$Q$3004,"&gt;0"))</f>
        <v/>
      </c>
      <c r="S589" s="16" t="str">
        <f aca="false">IF(N(M589)&lt;2,"",SQRT(MAX(0,(SUMIFS(ENSAYOS!$X$5:$X$3004,ENSAYOS!$C$5:$C$3004,F589,ENSAYOS!$Q$5:$Q$3004,"&gt;0")-M589*P589^2)/(M589-1))))</f>
        <v/>
      </c>
      <c r="T589" s="17" t="str">
        <f aca="false">IF(S589="","",S589/P589)</f>
        <v/>
      </c>
      <c r="U589" s="16" t="str">
        <f aca="false">IF(N(M589)=0,"",IF(N589&gt;=CONFIG!$B$27,"",AVERAGEIFS(ENSAYOS!$Q$5:$Q$3004,ENSAYOS!$C$5:$C$3004,F589,ENSAYOS!$Q$5:$Q$3004,"&gt;0",ENSAYOS!$G$5:$G$3004,N589)))</f>
        <v/>
      </c>
      <c r="V589" s="16" t="str">
        <f aca="false">IF(N(M589)=0,"",IF(COUNTIFS(ENSAYOS!$C$5:$C$3004,F589,ENSAYOS!$Q$5:$Q$3004,"&gt;0",ENSAYOS!$G$5:$G$3004,"&gt;="&amp;CONFIG!$B$27)=0,"",AVERAGEIFS(ENSAYOS!$Q$5:$Q$3004,ENSAYOS!$C$5:$C$3004,F589,ENSAYOS!$Q$5:$Q$3004,"&gt;0",ENSAYOS!$G$5:$G$3004,"&gt;="&amp;CONFIG!$B$27)))</f>
        <v/>
      </c>
      <c r="W589" s="18" t="str">
        <f aca="false">IF(AND(U589&lt;&gt;"",V589&lt;&gt;""),U589/V589,"")</f>
        <v/>
      </c>
      <c r="X589" s="18" t="str">
        <f aca="false">IF(U589="","",INDEX('CURVA EDAD'!$E$5:$E$32,MIN(28,MAX(1,N589))))</f>
        <v/>
      </c>
      <c r="Y589" s="16" t="str">
        <f aca="false">IF(V589&lt;&gt;"",V589,IF(U589="","",U589/X589))</f>
        <v/>
      </c>
      <c r="Z589" s="16" t="str">
        <f aca="false">IF(V589&lt;&gt;"",_xlfn.MINIFS(ENSAYOS!$Q$5:$Q$3004,ENSAYOS!$C$5:$C$3004,F589,ENSAYOS!$Q$5:$Q$3004,"&gt;0",ENSAYOS!$G$5:$G$3004,"&gt;="&amp;CONFIG!$B$27),IF(U589="","",_xlfn.MINIFS(ENSAYOS!$Q$5:$Q$3004,ENSAYOS!$C$5:$C$3004,F589,ENSAYOS!$Q$5:$Q$3004,"&gt;0",ENSAYOS!$G$5:$G$3004,N589)/X589))</f>
        <v/>
      </c>
      <c r="AA589" s="16" t="str">
        <f aca="false">IF(D589="","",IFERROR(1/(1/INDEX(CONFIG!$J$5:$J$14,MATCH(D589,CONFIG!$D$5:$D$14,0))),""))</f>
        <v/>
      </c>
      <c r="AB589" s="16" t="str">
        <f aca="false">IF(D589="","",IFERROR(1/(1/INDEX(CONFIG!$K$5:$K$14,MATCH(D589,CONFIG!$D$5:$D$14,0))),""))</f>
        <v/>
      </c>
      <c r="AC589" s="19" t="str">
        <f aca="false">IF(N(M589)=0,"",IF(AA589="","Sin spec",IF(AND(Y589&gt;=AA589,OR(AB589="",Z589&gt;=AB589)),"CUMPLE","NO CUMPLE")&amp;IF(V589=""," (est.)","")))</f>
        <v/>
      </c>
      <c r="AD589" s="20" t="str">
        <f aca="false">IF(F589="","",IF(COUNTIFS(ABSORCION!$C$5:$C$1004,F589,ABSORCION!$I$5:$I$1004,"&gt;0")=0,"",AVERAGEIFS(ABSORCION!$I$5:$I$1004,ABSORCION!$C$5:$C$1004,F589,ABSORCION!$I$5:$I$1004,"&gt;0")))</f>
        <v/>
      </c>
      <c r="AE589" s="20" t="str">
        <f aca="false">IF(F589="","",IF(COUNTIFS(ABSORCION!$C$5:$C$1004,F589,ABSORCION!$I$5:$I$1004,"&gt;0")=0,"",AVERAGEIFS(ABSORCION!$K$5:$K$1004,ABSORCION!$C$5:$C$1004,F589,ABSORCION!$I$5:$I$1004,"&gt;0")))</f>
        <v/>
      </c>
      <c r="AF589" s="20" t="str">
        <f aca="false">IF(AE589="","",IF(AE589&gt;=CONFIG!$E$21,CONFIG!$F$21,IF(AE589&gt;=CONFIG!$E$20,CONFIG!$F$20,CONFIG!$F$19)))</f>
        <v/>
      </c>
      <c r="AG589" s="21" t="str">
        <f aca="false">IF(F589="","",TRIM(IF(N(M589)=0,"Sin ensayos. ","")&amp;IF(AND(N(M589)&gt;0,N(M589)&lt;CONFIG!$B$26),"Menos de "&amp;CONFIG!$B$26&amp;" probetas. ","")&amp;IF(N(T589)&gt;CONFIG!$B$25,"CV alto. ","")&amp;IF(AND(N(AD589)&gt;0,N(AD589)&gt;N(AF589)),"Absorción alta. ","")))</f>
        <v/>
      </c>
      <c r="AH589" s="22" t="str">
        <f aca="false">IF(AND(N(M589)&gt;0,OR(CONTROL!$C$4="TODAS",C589=CONTROL!$C$4),D589=CONTROL!$C$5),MAX($AH$4:AH588)+1,"")</f>
        <v/>
      </c>
      <c r="AI589" s="22" t="str">
        <f aca="false">IF(AH589="","",P589^2)</f>
        <v/>
      </c>
    </row>
    <row r="590" customFormat="false" ht="15" hidden="false" customHeight="false" outlineLevel="0" collapsed="false">
      <c r="A590" s="11" t="str">
        <f aca="false">IF(B590="","",ROW()-4)</f>
        <v/>
      </c>
      <c r="B590" s="12"/>
      <c r="C590" s="13"/>
      <c r="D590" s="13"/>
      <c r="E590" s="13"/>
      <c r="F590" s="14" t="str">
        <f aca="false">IF(OR(B590="",C590="",D590=""),"",IFERROR(INDEX(CONFIG!$E$5:$E$14,MATCH(D590,CONFIG!$D$5:$D$14,0)),"?")&amp;RIGHT("0"&amp;DAY(B590),2)&amp;RIGHT("0"&amp;MONTH(B590),2)&amp;RIGHT(YEAR(B590),2)&amp;C590&amp;IF(E590="","","-"&amp;E590))</f>
        <v/>
      </c>
      <c r="G590" s="13"/>
      <c r="H590" s="13"/>
      <c r="I590" s="13"/>
      <c r="J590" s="13"/>
      <c r="K590" s="13"/>
      <c r="L590" s="13"/>
      <c r="M590" s="11" t="str">
        <f aca="false">IF(F590="","",COUNTIFS(ENSAYOS!$C$5:$C$3004,F590,ENSAYOS!$Q$5:$Q$3004,"&gt;0"))</f>
        <v/>
      </c>
      <c r="N590" s="15" t="str">
        <f aca="false">IF(N(M590)=0,"",_xlfn.MINIFS(ENSAYOS!$G$5:$G$3004,ENSAYOS!$C$5:$C$3004,F590,ENSAYOS!$Q$5:$Q$3004,"&gt;0"))</f>
        <v/>
      </c>
      <c r="O590" s="15" t="str">
        <f aca="false">IF(N(M590)=0,"",_xlfn.MAXIFS(ENSAYOS!$G$5:$G$3004,ENSAYOS!$C$5:$C$3004,F590,ENSAYOS!$Q$5:$Q$3004,"&gt;0"))</f>
        <v/>
      </c>
      <c r="P590" s="16" t="str">
        <f aca="false">IF(N(M590)=0,"",AVERAGEIFS(ENSAYOS!$Q$5:$Q$3004,ENSAYOS!$C$5:$C$3004,F590,ENSAYOS!$Q$5:$Q$3004,"&gt;0"))</f>
        <v/>
      </c>
      <c r="Q590" s="16" t="str">
        <f aca="false">IF(N(M590)=0,"",_xlfn.MINIFS(ENSAYOS!$Q$5:$Q$3004,ENSAYOS!$C$5:$C$3004,F590,ENSAYOS!$Q$5:$Q$3004,"&gt;0"))</f>
        <v/>
      </c>
      <c r="R590" s="16" t="str">
        <f aca="false">IF(N(M590)=0,"",_xlfn.MAXIFS(ENSAYOS!$Q$5:$Q$3004,ENSAYOS!$C$5:$C$3004,F590,ENSAYOS!$Q$5:$Q$3004,"&gt;0"))</f>
        <v/>
      </c>
      <c r="S590" s="16" t="str">
        <f aca="false">IF(N(M590)&lt;2,"",SQRT(MAX(0,(SUMIFS(ENSAYOS!$X$5:$X$3004,ENSAYOS!$C$5:$C$3004,F590,ENSAYOS!$Q$5:$Q$3004,"&gt;0")-M590*P590^2)/(M590-1))))</f>
        <v/>
      </c>
      <c r="T590" s="17" t="str">
        <f aca="false">IF(S590="","",S590/P590)</f>
        <v/>
      </c>
      <c r="U590" s="16" t="str">
        <f aca="false">IF(N(M590)=0,"",IF(N590&gt;=CONFIG!$B$27,"",AVERAGEIFS(ENSAYOS!$Q$5:$Q$3004,ENSAYOS!$C$5:$C$3004,F590,ENSAYOS!$Q$5:$Q$3004,"&gt;0",ENSAYOS!$G$5:$G$3004,N590)))</f>
        <v/>
      </c>
      <c r="V590" s="16" t="str">
        <f aca="false">IF(N(M590)=0,"",IF(COUNTIFS(ENSAYOS!$C$5:$C$3004,F590,ENSAYOS!$Q$5:$Q$3004,"&gt;0",ENSAYOS!$G$5:$G$3004,"&gt;="&amp;CONFIG!$B$27)=0,"",AVERAGEIFS(ENSAYOS!$Q$5:$Q$3004,ENSAYOS!$C$5:$C$3004,F590,ENSAYOS!$Q$5:$Q$3004,"&gt;0",ENSAYOS!$G$5:$G$3004,"&gt;="&amp;CONFIG!$B$27)))</f>
        <v/>
      </c>
      <c r="W590" s="18" t="str">
        <f aca="false">IF(AND(U590&lt;&gt;"",V590&lt;&gt;""),U590/V590,"")</f>
        <v/>
      </c>
      <c r="X590" s="18" t="str">
        <f aca="false">IF(U590="","",INDEX('CURVA EDAD'!$E$5:$E$32,MIN(28,MAX(1,N590))))</f>
        <v/>
      </c>
      <c r="Y590" s="16" t="str">
        <f aca="false">IF(V590&lt;&gt;"",V590,IF(U590="","",U590/X590))</f>
        <v/>
      </c>
      <c r="Z590" s="16" t="str">
        <f aca="false">IF(V590&lt;&gt;"",_xlfn.MINIFS(ENSAYOS!$Q$5:$Q$3004,ENSAYOS!$C$5:$C$3004,F590,ENSAYOS!$Q$5:$Q$3004,"&gt;0",ENSAYOS!$G$5:$G$3004,"&gt;="&amp;CONFIG!$B$27),IF(U590="","",_xlfn.MINIFS(ENSAYOS!$Q$5:$Q$3004,ENSAYOS!$C$5:$C$3004,F590,ENSAYOS!$Q$5:$Q$3004,"&gt;0",ENSAYOS!$G$5:$G$3004,N590)/X590))</f>
        <v/>
      </c>
      <c r="AA590" s="16" t="str">
        <f aca="false">IF(D590="","",IFERROR(1/(1/INDEX(CONFIG!$J$5:$J$14,MATCH(D590,CONFIG!$D$5:$D$14,0))),""))</f>
        <v/>
      </c>
      <c r="AB590" s="16" t="str">
        <f aca="false">IF(D590="","",IFERROR(1/(1/INDEX(CONFIG!$K$5:$K$14,MATCH(D590,CONFIG!$D$5:$D$14,0))),""))</f>
        <v/>
      </c>
      <c r="AC590" s="19" t="str">
        <f aca="false">IF(N(M590)=0,"",IF(AA590="","Sin spec",IF(AND(Y590&gt;=AA590,OR(AB590="",Z590&gt;=AB590)),"CUMPLE","NO CUMPLE")&amp;IF(V590=""," (est.)","")))</f>
        <v/>
      </c>
      <c r="AD590" s="20" t="str">
        <f aca="false">IF(F590="","",IF(COUNTIFS(ABSORCION!$C$5:$C$1004,F590,ABSORCION!$I$5:$I$1004,"&gt;0")=0,"",AVERAGEIFS(ABSORCION!$I$5:$I$1004,ABSORCION!$C$5:$C$1004,F590,ABSORCION!$I$5:$I$1004,"&gt;0")))</f>
        <v/>
      </c>
      <c r="AE590" s="20" t="str">
        <f aca="false">IF(F590="","",IF(COUNTIFS(ABSORCION!$C$5:$C$1004,F590,ABSORCION!$I$5:$I$1004,"&gt;0")=0,"",AVERAGEIFS(ABSORCION!$K$5:$K$1004,ABSORCION!$C$5:$C$1004,F590,ABSORCION!$I$5:$I$1004,"&gt;0")))</f>
        <v/>
      </c>
      <c r="AF590" s="20" t="str">
        <f aca="false">IF(AE590="","",IF(AE590&gt;=CONFIG!$E$21,CONFIG!$F$21,IF(AE590&gt;=CONFIG!$E$20,CONFIG!$F$20,CONFIG!$F$19)))</f>
        <v/>
      </c>
      <c r="AG590" s="21" t="str">
        <f aca="false">IF(F590="","",TRIM(IF(N(M590)=0,"Sin ensayos. ","")&amp;IF(AND(N(M590)&gt;0,N(M590)&lt;CONFIG!$B$26),"Menos de "&amp;CONFIG!$B$26&amp;" probetas. ","")&amp;IF(N(T590)&gt;CONFIG!$B$25,"CV alto. ","")&amp;IF(AND(N(AD590)&gt;0,N(AD590)&gt;N(AF590)),"Absorción alta. ","")))</f>
        <v/>
      </c>
      <c r="AH590" s="22" t="str">
        <f aca="false">IF(AND(N(M590)&gt;0,OR(CONTROL!$C$4="TODAS",C590=CONTROL!$C$4),D590=CONTROL!$C$5),MAX($AH$4:AH589)+1,"")</f>
        <v/>
      </c>
      <c r="AI590" s="22" t="str">
        <f aca="false">IF(AH590="","",P590^2)</f>
        <v/>
      </c>
    </row>
    <row r="591" customFormat="false" ht="15" hidden="false" customHeight="false" outlineLevel="0" collapsed="false">
      <c r="A591" s="11" t="str">
        <f aca="false">IF(B591="","",ROW()-4)</f>
        <v/>
      </c>
      <c r="B591" s="12"/>
      <c r="C591" s="13"/>
      <c r="D591" s="13"/>
      <c r="E591" s="13"/>
      <c r="F591" s="14" t="str">
        <f aca="false">IF(OR(B591="",C591="",D591=""),"",IFERROR(INDEX(CONFIG!$E$5:$E$14,MATCH(D591,CONFIG!$D$5:$D$14,0)),"?")&amp;RIGHT("0"&amp;DAY(B591),2)&amp;RIGHT("0"&amp;MONTH(B591),2)&amp;RIGHT(YEAR(B591),2)&amp;C591&amp;IF(E591="","","-"&amp;E591))</f>
        <v/>
      </c>
      <c r="G591" s="13"/>
      <c r="H591" s="13"/>
      <c r="I591" s="13"/>
      <c r="J591" s="13"/>
      <c r="K591" s="13"/>
      <c r="L591" s="13"/>
      <c r="M591" s="11" t="str">
        <f aca="false">IF(F591="","",COUNTIFS(ENSAYOS!$C$5:$C$3004,F591,ENSAYOS!$Q$5:$Q$3004,"&gt;0"))</f>
        <v/>
      </c>
      <c r="N591" s="15" t="str">
        <f aca="false">IF(N(M591)=0,"",_xlfn.MINIFS(ENSAYOS!$G$5:$G$3004,ENSAYOS!$C$5:$C$3004,F591,ENSAYOS!$Q$5:$Q$3004,"&gt;0"))</f>
        <v/>
      </c>
      <c r="O591" s="15" t="str">
        <f aca="false">IF(N(M591)=0,"",_xlfn.MAXIFS(ENSAYOS!$G$5:$G$3004,ENSAYOS!$C$5:$C$3004,F591,ENSAYOS!$Q$5:$Q$3004,"&gt;0"))</f>
        <v/>
      </c>
      <c r="P591" s="16" t="str">
        <f aca="false">IF(N(M591)=0,"",AVERAGEIFS(ENSAYOS!$Q$5:$Q$3004,ENSAYOS!$C$5:$C$3004,F591,ENSAYOS!$Q$5:$Q$3004,"&gt;0"))</f>
        <v/>
      </c>
      <c r="Q591" s="16" t="str">
        <f aca="false">IF(N(M591)=0,"",_xlfn.MINIFS(ENSAYOS!$Q$5:$Q$3004,ENSAYOS!$C$5:$C$3004,F591,ENSAYOS!$Q$5:$Q$3004,"&gt;0"))</f>
        <v/>
      </c>
      <c r="R591" s="16" t="str">
        <f aca="false">IF(N(M591)=0,"",_xlfn.MAXIFS(ENSAYOS!$Q$5:$Q$3004,ENSAYOS!$C$5:$C$3004,F591,ENSAYOS!$Q$5:$Q$3004,"&gt;0"))</f>
        <v/>
      </c>
      <c r="S591" s="16" t="str">
        <f aca="false">IF(N(M591)&lt;2,"",SQRT(MAX(0,(SUMIFS(ENSAYOS!$X$5:$X$3004,ENSAYOS!$C$5:$C$3004,F591,ENSAYOS!$Q$5:$Q$3004,"&gt;0")-M591*P591^2)/(M591-1))))</f>
        <v/>
      </c>
      <c r="T591" s="17" t="str">
        <f aca="false">IF(S591="","",S591/P591)</f>
        <v/>
      </c>
      <c r="U591" s="16" t="str">
        <f aca="false">IF(N(M591)=0,"",IF(N591&gt;=CONFIG!$B$27,"",AVERAGEIFS(ENSAYOS!$Q$5:$Q$3004,ENSAYOS!$C$5:$C$3004,F591,ENSAYOS!$Q$5:$Q$3004,"&gt;0",ENSAYOS!$G$5:$G$3004,N591)))</f>
        <v/>
      </c>
      <c r="V591" s="16" t="str">
        <f aca="false">IF(N(M591)=0,"",IF(COUNTIFS(ENSAYOS!$C$5:$C$3004,F591,ENSAYOS!$Q$5:$Q$3004,"&gt;0",ENSAYOS!$G$5:$G$3004,"&gt;="&amp;CONFIG!$B$27)=0,"",AVERAGEIFS(ENSAYOS!$Q$5:$Q$3004,ENSAYOS!$C$5:$C$3004,F591,ENSAYOS!$Q$5:$Q$3004,"&gt;0",ENSAYOS!$G$5:$G$3004,"&gt;="&amp;CONFIG!$B$27)))</f>
        <v/>
      </c>
      <c r="W591" s="18" t="str">
        <f aca="false">IF(AND(U591&lt;&gt;"",V591&lt;&gt;""),U591/V591,"")</f>
        <v/>
      </c>
      <c r="X591" s="18" t="str">
        <f aca="false">IF(U591="","",INDEX('CURVA EDAD'!$E$5:$E$32,MIN(28,MAX(1,N591))))</f>
        <v/>
      </c>
      <c r="Y591" s="16" t="str">
        <f aca="false">IF(V591&lt;&gt;"",V591,IF(U591="","",U591/X591))</f>
        <v/>
      </c>
      <c r="Z591" s="16" t="str">
        <f aca="false">IF(V591&lt;&gt;"",_xlfn.MINIFS(ENSAYOS!$Q$5:$Q$3004,ENSAYOS!$C$5:$C$3004,F591,ENSAYOS!$Q$5:$Q$3004,"&gt;0",ENSAYOS!$G$5:$G$3004,"&gt;="&amp;CONFIG!$B$27),IF(U591="","",_xlfn.MINIFS(ENSAYOS!$Q$5:$Q$3004,ENSAYOS!$C$5:$C$3004,F591,ENSAYOS!$Q$5:$Q$3004,"&gt;0",ENSAYOS!$G$5:$G$3004,N591)/X591))</f>
        <v/>
      </c>
      <c r="AA591" s="16" t="str">
        <f aca="false">IF(D591="","",IFERROR(1/(1/INDEX(CONFIG!$J$5:$J$14,MATCH(D591,CONFIG!$D$5:$D$14,0))),""))</f>
        <v/>
      </c>
      <c r="AB591" s="16" t="str">
        <f aca="false">IF(D591="","",IFERROR(1/(1/INDEX(CONFIG!$K$5:$K$14,MATCH(D591,CONFIG!$D$5:$D$14,0))),""))</f>
        <v/>
      </c>
      <c r="AC591" s="19" t="str">
        <f aca="false">IF(N(M591)=0,"",IF(AA591="","Sin spec",IF(AND(Y591&gt;=AA591,OR(AB591="",Z591&gt;=AB591)),"CUMPLE","NO CUMPLE")&amp;IF(V591=""," (est.)","")))</f>
        <v/>
      </c>
      <c r="AD591" s="20" t="str">
        <f aca="false">IF(F591="","",IF(COUNTIFS(ABSORCION!$C$5:$C$1004,F591,ABSORCION!$I$5:$I$1004,"&gt;0")=0,"",AVERAGEIFS(ABSORCION!$I$5:$I$1004,ABSORCION!$C$5:$C$1004,F591,ABSORCION!$I$5:$I$1004,"&gt;0")))</f>
        <v/>
      </c>
      <c r="AE591" s="20" t="str">
        <f aca="false">IF(F591="","",IF(COUNTIFS(ABSORCION!$C$5:$C$1004,F591,ABSORCION!$I$5:$I$1004,"&gt;0")=0,"",AVERAGEIFS(ABSORCION!$K$5:$K$1004,ABSORCION!$C$5:$C$1004,F591,ABSORCION!$I$5:$I$1004,"&gt;0")))</f>
        <v/>
      </c>
      <c r="AF591" s="20" t="str">
        <f aca="false">IF(AE591="","",IF(AE591&gt;=CONFIG!$E$21,CONFIG!$F$21,IF(AE591&gt;=CONFIG!$E$20,CONFIG!$F$20,CONFIG!$F$19)))</f>
        <v/>
      </c>
      <c r="AG591" s="21" t="str">
        <f aca="false">IF(F591="","",TRIM(IF(N(M591)=0,"Sin ensayos. ","")&amp;IF(AND(N(M591)&gt;0,N(M591)&lt;CONFIG!$B$26),"Menos de "&amp;CONFIG!$B$26&amp;" probetas. ","")&amp;IF(N(T591)&gt;CONFIG!$B$25,"CV alto. ","")&amp;IF(AND(N(AD591)&gt;0,N(AD591)&gt;N(AF591)),"Absorción alta. ","")))</f>
        <v/>
      </c>
      <c r="AH591" s="22" t="str">
        <f aca="false">IF(AND(N(M591)&gt;0,OR(CONTROL!$C$4="TODAS",C591=CONTROL!$C$4),D591=CONTROL!$C$5),MAX($AH$4:AH590)+1,"")</f>
        <v/>
      </c>
      <c r="AI591" s="22" t="str">
        <f aca="false">IF(AH591="","",P591^2)</f>
        <v/>
      </c>
    </row>
    <row r="592" customFormat="false" ht="15" hidden="false" customHeight="false" outlineLevel="0" collapsed="false">
      <c r="A592" s="11" t="str">
        <f aca="false">IF(B592="","",ROW()-4)</f>
        <v/>
      </c>
      <c r="B592" s="12"/>
      <c r="C592" s="13"/>
      <c r="D592" s="13"/>
      <c r="E592" s="13"/>
      <c r="F592" s="14" t="str">
        <f aca="false">IF(OR(B592="",C592="",D592=""),"",IFERROR(INDEX(CONFIG!$E$5:$E$14,MATCH(D592,CONFIG!$D$5:$D$14,0)),"?")&amp;RIGHT("0"&amp;DAY(B592),2)&amp;RIGHT("0"&amp;MONTH(B592),2)&amp;RIGHT(YEAR(B592),2)&amp;C592&amp;IF(E592="","","-"&amp;E592))</f>
        <v/>
      </c>
      <c r="G592" s="13"/>
      <c r="H592" s="13"/>
      <c r="I592" s="13"/>
      <c r="J592" s="13"/>
      <c r="K592" s="13"/>
      <c r="L592" s="13"/>
      <c r="M592" s="11" t="str">
        <f aca="false">IF(F592="","",COUNTIFS(ENSAYOS!$C$5:$C$3004,F592,ENSAYOS!$Q$5:$Q$3004,"&gt;0"))</f>
        <v/>
      </c>
      <c r="N592" s="15" t="str">
        <f aca="false">IF(N(M592)=0,"",_xlfn.MINIFS(ENSAYOS!$G$5:$G$3004,ENSAYOS!$C$5:$C$3004,F592,ENSAYOS!$Q$5:$Q$3004,"&gt;0"))</f>
        <v/>
      </c>
      <c r="O592" s="15" t="str">
        <f aca="false">IF(N(M592)=0,"",_xlfn.MAXIFS(ENSAYOS!$G$5:$G$3004,ENSAYOS!$C$5:$C$3004,F592,ENSAYOS!$Q$5:$Q$3004,"&gt;0"))</f>
        <v/>
      </c>
      <c r="P592" s="16" t="str">
        <f aca="false">IF(N(M592)=0,"",AVERAGEIFS(ENSAYOS!$Q$5:$Q$3004,ENSAYOS!$C$5:$C$3004,F592,ENSAYOS!$Q$5:$Q$3004,"&gt;0"))</f>
        <v/>
      </c>
      <c r="Q592" s="16" t="str">
        <f aca="false">IF(N(M592)=0,"",_xlfn.MINIFS(ENSAYOS!$Q$5:$Q$3004,ENSAYOS!$C$5:$C$3004,F592,ENSAYOS!$Q$5:$Q$3004,"&gt;0"))</f>
        <v/>
      </c>
      <c r="R592" s="16" t="str">
        <f aca="false">IF(N(M592)=0,"",_xlfn.MAXIFS(ENSAYOS!$Q$5:$Q$3004,ENSAYOS!$C$5:$C$3004,F592,ENSAYOS!$Q$5:$Q$3004,"&gt;0"))</f>
        <v/>
      </c>
      <c r="S592" s="16" t="str">
        <f aca="false">IF(N(M592)&lt;2,"",SQRT(MAX(0,(SUMIFS(ENSAYOS!$X$5:$X$3004,ENSAYOS!$C$5:$C$3004,F592,ENSAYOS!$Q$5:$Q$3004,"&gt;0")-M592*P592^2)/(M592-1))))</f>
        <v/>
      </c>
      <c r="T592" s="17" t="str">
        <f aca="false">IF(S592="","",S592/P592)</f>
        <v/>
      </c>
      <c r="U592" s="16" t="str">
        <f aca="false">IF(N(M592)=0,"",IF(N592&gt;=CONFIG!$B$27,"",AVERAGEIFS(ENSAYOS!$Q$5:$Q$3004,ENSAYOS!$C$5:$C$3004,F592,ENSAYOS!$Q$5:$Q$3004,"&gt;0",ENSAYOS!$G$5:$G$3004,N592)))</f>
        <v/>
      </c>
      <c r="V592" s="16" t="str">
        <f aca="false">IF(N(M592)=0,"",IF(COUNTIFS(ENSAYOS!$C$5:$C$3004,F592,ENSAYOS!$Q$5:$Q$3004,"&gt;0",ENSAYOS!$G$5:$G$3004,"&gt;="&amp;CONFIG!$B$27)=0,"",AVERAGEIFS(ENSAYOS!$Q$5:$Q$3004,ENSAYOS!$C$5:$C$3004,F592,ENSAYOS!$Q$5:$Q$3004,"&gt;0",ENSAYOS!$G$5:$G$3004,"&gt;="&amp;CONFIG!$B$27)))</f>
        <v/>
      </c>
      <c r="W592" s="18" t="str">
        <f aca="false">IF(AND(U592&lt;&gt;"",V592&lt;&gt;""),U592/V592,"")</f>
        <v/>
      </c>
      <c r="X592" s="18" t="str">
        <f aca="false">IF(U592="","",INDEX('CURVA EDAD'!$E$5:$E$32,MIN(28,MAX(1,N592))))</f>
        <v/>
      </c>
      <c r="Y592" s="16" t="str">
        <f aca="false">IF(V592&lt;&gt;"",V592,IF(U592="","",U592/X592))</f>
        <v/>
      </c>
      <c r="Z592" s="16" t="str">
        <f aca="false">IF(V592&lt;&gt;"",_xlfn.MINIFS(ENSAYOS!$Q$5:$Q$3004,ENSAYOS!$C$5:$C$3004,F592,ENSAYOS!$Q$5:$Q$3004,"&gt;0",ENSAYOS!$G$5:$G$3004,"&gt;="&amp;CONFIG!$B$27),IF(U592="","",_xlfn.MINIFS(ENSAYOS!$Q$5:$Q$3004,ENSAYOS!$C$5:$C$3004,F592,ENSAYOS!$Q$5:$Q$3004,"&gt;0",ENSAYOS!$G$5:$G$3004,N592)/X592))</f>
        <v/>
      </c>
      <c r="AA592" s="16" t="str">
        <f aca="false">IF(D592="","",IFERROR(1/(1/INDEX(CONFIG!$J$5:$J$14,MATCH(D592,CONFIG!$D$5:$D$14,0))),""))</f>
        <v/>
      </c>
      <c r="AB592" s="16" t="str">
        <f aca="false">IF(D592="","",IFERROR(1/(1/INDEX(CONFIG!$K$5:$K$14,MATCH(D592,CONFIG!$D$5:$D$14,0))),""))</f>
        <v/>
      </c>
      <c r="AC592" s="19" t="str">
        <f aca="false">IF(N(M592)=0,"",IF(AA592="","Sin spec",IF(AND(Y592&gt;=AA592,OR(AB592="",Z592&gt;=AB592)),"CUMPLE","NO CUMPLE")&amp;IF(V592=""," (est.)","")))</f>
        <v/>
      </c>
      <c r="AD592" s="20" t="str">
        <f aca="false">IF(F592="","",IF(COUNTIFS(ABSORCION!$C$5:$C$1004,F592,ABSORCION!$I$5:$I$1004,"&gt;0")=0,"",AVERAGEIFS(ABSORCION!$I$5:$I$1004,ABSORCION!$C$5:$C$1004,F592,ABSORCION!$I$5:$I$1004,"&gt;0")))</f>
        <v/>
      </c>
      <c r="AE592" s="20" t="str">
        <f aca="false">IF(F592="","",IF(COUNTIFS(ABSORCION!$C$5:$C$1004,F592,ABSORCION!$I$5:$I$1004,"&gt;0")=0,"",AVERAGEIFS(ABSORCION!$K$5:$K$1004,ABSORCION!$C$5:$C$1004,F592,ABSORCION!$I$5:$I$1004,"&gt;0")))</f>
        <v/>
      </c>
      <c r="AF592" s="20" t="str">
        <f aca="false">IF(AE592="","",IF(AE592&gt;=CONFIG!$E$21,CONFIG!$F$21,IF(AE592&gt;=CONFIG!$E$20,CONFIG!$F$20,CONFIG!$F$19)))</f>
        <v/>
      </c>
      <c r="AG592" s="21" t="str">
        <f aca="false">IF(F592="","",TRIM(IF(N(M592)=0,"Sin ensayos. ","")&amp;IF(AND(N(M592)&gt;0,N(M592)&lt;CONFIG!$B$26),"Menos de "&amp;CONFIG!$B$26&amp;" probetas. ","")&amp;IF(N(T592)&gt;CONFIG!$B$25,"CV alto. ","")&amp;IF(AND(N(AD592)&gt;0,N(AD592)&gt;N(AF592)),"Absorción alta. ","")))</f>
        <v/>
      </c>
      <c r="AH592" s="22" t="str">
        <f aca="false">IF(AND(N(M592)&gt;0,OR(CONTROL!$C$4="TODAS",C592=CONTROL!$C$4),D592=CONTROL!$C$5),MAX($AH$4:AH591)+1,"")</f>
        <v/>
      </c>
      <c r="AI592" s="22" t="str">
        <f aca="false">IF(AH592="","",P592^2)</f>
        <v/>
      </c>
    </row>
    <row r="593" customFormat="false" ht="15" hidden="false" customHeight="false" outlineLevel="0" collapsed="false">
      <c r="A593" s="11" t="str">
        <f aca="false">IF(B593="","",ROW()-4)</f>
        <v/>
      </c>
      <c r="B593" s="12"/>
      <c r="C593" s="13"/>
      <c r="D593" s="13"/>
      <c r="E593" s="13"/>
      <c r="F593" s="14" t="str">
        <f aca="false">IF(OR(B593="",C593="",D593=""),"",IFERROR(INDEX(CONFIG!$E$5:$E$14,MATCH(D593,CONFIG!$D$5:$D$14,0)),"?")&amp;RIGHT("0"&amp;DAY(B593),2)&amp;RIGHT("0"&amp;MONTH(B593),2)&amp;RIGHT(YEAR(B593),2)&amp;C593&amp;IF(E593="","","-"&amp;E593))</f>
        <v/>
      </c>
      <c r="G593" s="13"/>
      <c r="H593" s="13"/>
      <c r="I593" s="13"/>
      <c r="J593" s="13"/>
      <c r="K593" s="13"/>
      <c r="L593" s="13"/>
      <c r="M593" s="11" t="str">
        <f aca="false">IF(F593="","",COUNTIFS(ENSAYOS!$C$5:$C$3004,F593,ENSAYOS!$Q$5:$Q$3004,"&gt;0"))</f>
        <v/>
      </c>
      <c r="N593" s="15" t="str">
        <f aca="false">IF(N(M593)=0,"",_xlfn.MINIFS(ENSAYOS!$G$5:$G$3004,ENSAYOS!$C$5:$C$3004,F593,ENSAYOS!$Q$5:$Q$3004,"&gt;0"))</f>
        <v/>
      </c>
      <c r="O593" s="15" t="str">
        <f aca="false">IF(N(M593)=0,"",_xlfn.MAXIFS(ENSAYOS!$G$5:$G$3004,ENSAYOS!$C$5:$C$3004,F593,ENSAYOS!$Q$5:$Q$3004,"&gt;0"))</f>
        <v/>
      </c>
      <c r="P593" s="16" t="str">
        <f aca="false">IF(N(M593)=0,"",AVERAGEIFS(ENSAYOS!$Q$5:$Q$3004,ENSAYOS!$C$5:$C$3004,F593,ENSAYOS!$Q$5:$Q$3004,"&gt;0"))</f>
        <v/>
      </c>
      <c r="Q593" s="16" t="str">
        <f aca="false">IF(N(M593)=0,"",_xlfn.MINIFS(ENSAYOS!$Q$5:$Q$3004,ENSAYOS!$C$5:$C$3004,F593,ENSAYOS!$Q$5:$Q$3004,"&gt;0"))</f>
        <v/>
      </c>
      <c r="R593" s="16" t="str">
        <f aca="false">IF(N(M593)=0,"",_xlfn.MAXIFS(ENSAYOS!$Q$5:$Q$3004,ENSAYOS!$C$5:$C$3004,F593,ENSAYOS!$Q$5:$Q$3004,"&gt;0"))</f>
        <v/>
      </c>
      <c r="S593" s="16" t="str">
        <f aca="false">IF(N(M593)&lt;2,"",SQRT(MAX(0,(SUMIFS(ENSAYOS!$X$5:$X$3004,ENSAYOS!$C$5:$C$3004,F593,ENSAYOS!$Q$5:$Q$3004,"&gt;0")-M593*P593^2)/(M593-1))))</f>
        <v/>
      </c>
      <c r="T593" s="17" t="str">
        <f aca="false">IF(S593="","",S593/P593)</f>
        <v/>
      </c>
      <c r="U593" s="16" t="str">
        <f aca="false">IF(N(M593)=0,"",IF(N593&gt;=CONFIG!$B$27,"",AVERAGEIFS(ENSAYOS!$Q$5:$Q$3004,ENSAYOS!$C$5:$C$3004,F593,ENSAYOS!$Q$5:$Q$3004,"&gt;0",ENSAYOS!$G$5:$G$3004,N593)))</f>
        <v/>
      </c>
      <c r="V593" s="16" t="str">
        <f aca="false">IF(N(M593)=0,"",IF(COUNTIFS(ENSAYOS!$C$5:$C$3004,F593,ENSAYOS!$Q$5:$Q$3004,"&gt;0",ENSAYOS!$G$5:$G$3004,"&gt;="&amp;CONFIG!$B$27)=0,"",AVERAGEIFS(ENSAYOS!$Q$5:$Q$3004,ENSAYOS!$C$5:$C$3004,F593,ENSAYOS!$Q$5:$Q$3004,"&gt;0",ENSAYOS!$G$5:$G$3004,"&gt;="&amp;CONFIG!$B$27)))</f>
        <v/>
      </c>
      <c r="W593" s="18" t="str">
        <f aca="false">IF(AND(U593&lt;&gt;"",V593&lt;&gt;""),U593/V593,"")</f>
        <v/>
      </c>
      <c r="X593" s="18" t="str">
        <f aca="false">IF(U593="","",INDEX('CURVA EDAD'!$E$5:$E$32,MIN(28,MAX(1,N593))))</f>
        <v/>
      </c>
      <c r="Y593" s="16" t="str">
        <f aca="false">IF(V593&lt;&gt;"",V593,IF(U593="","",U593/X593))</f>
        <v/>
      </c>
      <c r="Z593" s="16" t="str">
        <f aca="false">IF(V593&lt;&gt;"",_xlfn.MINIFS(ENSAYOS!$Q$5:$Q$3004,ENSAYOS!$C$5:$C$3004,F593,ENSAYOS!$Q$5:$Q$3004,"&gt;0",ENSAYOS!$G$5:$G$3004,"&gt;="&amp;CONFIG!$B$27),IF(U593="","",_xlfn.MINIFS(ENSAYOS!$Q$5:$Q$3004,ENSAYOS!$C$5:$C$3004,F593,ENSAYOS!$Q$5:$Q$3004,"&gt;0",ENSAYOS!$G$5:$G$3004,N593)/X593))</f>
        <v/>
      </c>
      <c r="AA593" s="16" t="str">
        <f aca="false">IF(D593="","",IFERROR(1/(1/INDEX(CONFIG!$J$5:$J$14,MATCH(D593,CONFIG!$D$5:$D$14,0))),""))</f>
        <v/>
      </c>
      <c r="AB593" s="16" t="str">
        <f aca="false">IF(D593="","",IFERROR(1/(1/INDEX(CONFIG!$K$5:$K$14,MATCH(D593,CONFIG!$D$5:$D$14,0))),""))</f>
        <v/>
      </c>
      <c r="AC593" s="19" t="str">
        <f aca="false">IF(N(M593)=0,"",IF(AA593="","Sin spec",IF(AND(Y593&gt;=AA593,OR(AB593="",Z593&gt;=AB593)),"CUMPLE","NO CUMPLE")&amp;IF(V593=""," (est.)","")))</f>
        <v/>
      </c>
      <c r="AD593" s="20" t="str">
        <f aca="false">IF(F593="","",IF(COUNTIFS(ABSORCION!$C$5:$C$1004,F593,ABSORCION!$I$5:$I$1004,"&gt;0")=0,"",AVERAGEIFS(ABSORCION!$I$5:$I$1004,ABSORCION!$C$5:$C$1004,F593,ABSORCION!$I$5:$I$1004,"&gt;0")))</f>
        <v/>
      </c>
      <c r="AE593" s="20" t="str">
        <f aca="false">IF(F593="","",IF(COUNTIFS(ABSORCION!$C$5:$C$1004,F593,ABSORCION!$I$5:$I$1004,"&gt;0")=0,"",AVERAGEIFS(ABSORCION!$K$5:$K$1004,ABSORCION!$C$5:$C$1004,F593,ABSORCION!$I$5:$I$1004,"&gt;0")))</f>
        <v/>
      </c>
      <c r="AF593" s="20" t="str">
        <f aca="false">IF(AE593="","",IF(AE593&gt;=CONFIG!$E$21,CONFIG!$F$21,IF(AE593&gt;=CONFIG!$E$20,CONFIG!$F$20,CONFIG!$F$19)))</f>
        <v/>
      </c>
      <c r="AG593" s="21" t="str">
        <f aca="false">IF(F593="","",TRIM(IF(N(M593)=0,"Sin ensayos. ","")&amp;IF(AND(N(M593)&gt;0,N(M593)&lt;CONFIG!$B$26),"Menos de "&amp;CONFIG!$B$26&amp;" probetas. ","")&amp;IF(N(T593)&gt;CONFIG!$B$25,"CV alto. ","")&amp;IF(AND(N(AD593)&gt;0,N(AD593)&gt;N(AF593)),"Absorción alta. ","")))</f>
        <v/>
      </c>
      <c r="AH593" s="22" t="str">
        <f aca="false">IF(AND(N(M593)&gt;0,OR(CONTROL!$C$4="TODAS",C593=CONTROL!$C$4),D593=CONTROL!$C$5),MAX($AH$4:AH592)+1,"")</f>
        <v/>
      </c>
      <c r="AI593" s="22" t="str">
        <f aca="false">IF(AH593="","",P593^2)</f>
        <v/>
      </c>
    </row>
    <row r="594" customFormat="false" ht="15" hidden="false" customHeight="false" outlineLevel="0" collapsed="false">
      <c r="A594" s="11" t="str">
        <f aca="false">IF(B594="","",ROW()-4)</f>
        <v/>
      </c>
      <c r="B594" s="12"/>
      <c r="C594" s="13"/>
      <c r="D594" s="13"/>
      <c r="E594" s="13"/>
      <c r="F594" s="14" t="str">
        <f aca="false">IF(OR(B594="",C594="",D594=""),"",IFERROR(INDEX(CONFIG!$E$5:$E$14,MATCH(D594,CONFIG!$D$5:$D$14,0)),"?")&amp;RIGHT("0"&amp;DAY(B594),2)&amp;RIGHT("0"&amp;MONTH(B594),2)&amp;RIGHT(YEAR(B594),2)&amp;C594&amp;IF(E594="","","-"&amp;E594))</f>
        <v/>
      </c>
      <c r="G594" s="13"/>
      <c r="H594" s="13"/>
      <c r="I594" s="13"/>
      <c r="J594" s="13"/>
      <c r="K594" s="13"/>
      <c r="L594" s="13"/>
      <c r="M594" s="11" t="str">
        <f aca="false">IF(F594="","",COUNTIFS(ENSAYOS!$C$5:$C$3004,F594,ENSAYOS!$Q$5:$Q$3004,"&gt;0"))</f>
        <v/>
      </c>
      <c r="N594" s="15" t="str">
        <f aca="false">IF(N(M594)=0,"",_xlfn.MINIFS(ENSAYOS!$G$5:$G$3004,ENSAYOS!$C$5:$C$3004,F594,ENSAYOS!$Q$5:$Q$3004,"&gt;0"))</f>
        <v/>
      </c>
      <c r="O594" s="15" t="str">
        <f aca="false">IF(N(M594)=0,"",_xlfn.MAXIFS(ENSAYOS!$G$5:$G$3004,ENSAYOS!$C$5:$C$3004,F594,ENSAYOS!$Q$5:$Q$3004,"&gt;0"))</f>
        <v/>
      </c>
      <c r="P594" s="16" t="str">
        <f aca="false">IF(N(M594)=0,"",AVERAGEIFS(ENSAYOS!$Q$5:$Q$3004,ENSAYOS!$C$5:$C$3004,F594,ENSAYOS!$Q$5:$Q$3004,"&gt;0"))</f>
        <v/>
      </c>
      <c r="Q594" s="16" t="str">
        <f aca="false">IF(N(M594)=0,"",_xlfn.MINIFS(ENSAYOS!$Q$5:$Q$3004,ENSAYOS!$C$5:$C$3004,F594,ENSAYOS!$Q$5:$Q$3004,"&gt;0"))</f>
        <v/>
      </c>
      <c r="R594" s="16" t="str">
        <f aca="false">IF(N(M594)=0,"",_xlfn.MAXIFS(ENSAYOS!$Q$5:$Q$3004,ENSAYOS!$C$5:$C$3004,F594,ENSAYOS!$Q$5:$Q$3004,"&gt;0"))</f>
        <v/>
      </c>
      <c r="S594" s="16" t="str">
        <f aca="false">IF(N(M594)&lt;2,"",SQRT(MAX(0,(SUMIFS(ENSAYOS!$X$5:$X$3004,ENSAYOS!$C$5:$C$3004,F594,ENSAYOS!$Q$5:$Q$3004,"&gt;0")-M594*P594^2)/(M594-1))))</f>
        <v/>
      </c>
      <c r="T594" s="17" t="str">
        <f aca="false">IF(S594="","",S594/P594)</f>
        <v/>
      </c>
      <c r="U594" s="16" t="str">
        <f aca="false">IF(N(M594)=0,"",IF(N594&gt;=CONFIG!$B$27,"",AVERAGEIFS(ENSAYOS!$Q$5:$Q$3004,ENSAYOS!$C$5:$C$3004,F594,ENSAYOS!$Q$5:$Q$3004,"&gt;0",ENSAYOS!$G$5:$G$3004,N594)))</f>
        <v/>
      </c>
      <c r="V594" s="16" t="str">
        <f aca="false">IF(N(M594)=0,"",IF(COUNTIFS(ENSAYOS!$C$5:$C$3004,F594,ENSAYOS!$Q$5:$Q$3004,"&gt;0",ENSAYOS!$G$5:$G$3004,"&gt;="&amp;CONFIG!$B$27)=0,"",AVERAGEIFS(ENSAYOS!$Q$5:$Q$3004,ENSAYOS!$C$5:$C$3004,F594,ENSAYOS!$Q$5:$Q$3004,"&gt;0",ENSAYOS!$G$5:$G$3004,"&gt;="&amp;CONFIG!$B$27)))</f>
        <v/>
      </c>
      <c r="W594" s="18" t="str">
        <f aca="false">IF(AND(U594&lt;&gt;"",V594&lt;&gt;""),U594/V594,"")</f>
        <v/>
      </c>
      <c r="X594" s="18" t="str">
        <f aca="false">IF(U594="","",INDEX('CURVA EDAD'!$E$5:$E$32,MIN(28,MAX(1,N594))))</f>
        <v/>
      </c>
      <c r="Y594" s="16" t="str">
        <f aca="false">IF(V594&lt;&gt;"",V594,IF(U594="","",U594/X594))</f>
        <v/>
      </c>
      <c r="Z594" s="16" t="str">
        <f aca="false">IF(V594&lt;&gt;"",_xlfn.MINIFS(ENSAYOS!$Q$5:$Q$3004,ENSAYOS!$C$5:$C$3004,F594,ENSAYOS!$Q$5:$Q$3004,"&gt;0",ENSAYOS!$G$5:$G$3004,"&gt;="&amp;CONFIG!$B$27),IF(U594="","",_xlfn.MINIFS(ENSAYOS!$Q$5:$Q$3004,ENSAYOS!$C$5:$C$3004,F594,ENSAYOS!$Q$5:$Q$3004,"&gt;0",ENSAYOS!$G$5:$G$3004,N594)/X594))</f>
        <v/>
      </c>
      <c r="AA594" s="16" t="str">
        <f aca="false">IF(D594="","",IFERROR(1/(1/INDEX(CONFIG!$J$5:$J$14,MATCH(D594,CONFIG!$D$5:$D$14,0))),""))</f>
        <v/>
      </c>
      <c r="AB594" s="16" t="str">
        <f aca="false">IF(D594="","",IFERROR(1/(1/INDEX(CONFIG!$K$5:$K$14,MATCH(D594,CONFIG!$D$5:$D$14,0))),""))</f>
        <v/>
      </c>
      <c r="AC594" s="19" t="str">
        <f aca="false">IF(N(M594)=0,"",IF(AA594="","Sin spec",IF(AND(Y594&gt;=AA594,OR(AB594="",Z594&gt;=AB594)),"CUMPLE","NO CUMPLE")&amp;IF(V594=""," (est.)","")))</f>
        <v/>
      </c>
      <c r="AD594" s="20" t="str">
        <f aca="false">IF(F594="","",IF(COUNTIFS(ABSORCION!$C$5:$C$1004,F594,ABSORCION!$I$5:$I$1004,"&gt;0")=0,"",AVERAGEIFS(ABSORCION!$I$5:$I$1004,ABSORCION!$C$5:$C$1004,F594,ABSORCION!$I$5:$I$1004,"&gt;0")))</f>
        <v/>
      </c>
      <c r="AE594" s="20" t="str">
        <f aca="false">IF(F594="","",IF(COUNTIFS(ABSORCION!$C$5:$C$1004,F594,ABSORCION!$I$5:$I$1004,"&gt;0")=0,"",AVERAGEIFS(ABSORCION!$K$5:$K$1004,ABSORCION!$C$5:$C$1004,F594,ABSORCION!$I$5:$I$1004,"&gt;0")))</f>
        <v/>
      </c>
      <c r="AF594" s="20" t="str">
        <f aca="false">IF(AE594="","",IF(AE594&gt;=CONFIG!$E$21,CONFIG!$F$21,IF(AE594&gt;=CONFIG!$E$20,CONFIG!$F$20,CONFIG!$F$19)))</f>
        <v/>
      </c>
      <c r="AG594" s="21" t="str">
        <f aca="false">IF(F594="","",TRIM(IF(N(M594)=0,"Sin ensayos. ","")&amp;IF(AND(N(M594)&gt;0,N(M594)&lt;CONFIG!$B$26),"Menos de "&amp;CONFIG!$B$26&amp;" probetas. ","")&amp;IF(N(T594)&gt;CONFIG!$B$25,"CV alto. ","")&amp;IF(AND(N(AD594)&gt;0,N(AD594)&gt;N(AF594)),"Absorción alta. ","")))</f>
        <v/>
      </c>
      <c r="AH594" s="22" t="str">
        <f aca="false">IF(AND(N(M594)&gt;0,OR(CONTROL!$C$4="TODAS",C594=CONTROL!$C$4),D594=CONTROL!$C$5),MAX($AH$4:AH593)+1,"")</f>
        <v/>
      </c>
      <c r="AI594" s="22" t="str">
        <f aca="false">IF(AH594="","",P594^2)</f>
        <v/>
      </c>
    </row>
    <row r="595" customFormat="false" ht="15" hidden="false" customHeight="false" outlineLevel="0" collapsed="false">
      <c r="A595" s="11" t="str">
        <f aca="false">IF(B595="","",ROW()-4)</f>
        <v/>
      </c>
      <c r="B595" s="12"/>
      <c r="C595" s="13"/>
      <c r="D595" s="13"/>
      <c r="E595" s="13"/>
      <c r="F595" s="14" t="str">
        <f aca="false">IF(OR(B595="",C595="",D595=""),"",IFERROR(INDEX(CONFIG!$E$5:$E$14,MATCH(D595,CONFIG!$D$5:$D$14,0)),"?")&amp;RIGHT("0"&amp;DAY(B595),2)&amp;RIGHT("0"&amp;MONTH(B595),2)&amp;RIGHT(YEAR(B595),2)&amp;C595&amp;IF(E595="","","-"&amp;E595))</f>
        <v/>
      </c>
      <c r="G595" s="13"/>
      <c r="H595" s="13"/>
      <c r="I595" s="13"/>
      <c r="J595" s="13"/>
      <c r="K595" s="13"/>
      <c r="L595" s="13"/>
      <c r="M595" s="11" t="str">
        <f aca="false">IF(F595="","",COUNTIFS(ENSAYOS!$C$5:$C$3004,F595,ENSAYOS!$Q$5:$Q$3004,"&gt;0"))</f>
        <v/>
      </c>
      <c r="N595" s="15" t="str">
        <f aca="false">IF(N(M595)=0,"",_xlfn.MINIFS(ENSAYOS!$G$5:$G$3004,ENSAYOS!$C$5:$C$3004,F595,ENSAYOS!$Q$5:$Q$3004,"&gt;0"))</f>
        <v/>
      </c>
      <c r="O595" s="15" t="str">
        <f aca="false">IF(N(M595)=0,"",_xlfn.MAXIFS(ENSAYOS!$G$5:$G$3004,ENSAYOS!$C$5:$C$3004,F595,ENSAYOS!$Q$5:$Q$3004,"&gt;0"))</f>
        <v/>
      </c>
      <c r="P595" s="16" t="str">
        <f aca="false">IF(N(M595)=0,"",AVERAGEIFS(ENSAYOS!$Q$5:$Q$3004,ENSAYOS!$C$5:$C$3004,F595,ENSAYOS!$Q$5:$Q$3004,"&gt;0"))</f>
        <v/>
      </c>
      <c r="Q595" s="16" t="str">
        <f aca="false">IF(N(M595)=0,"",_xlfn.MINIFS(ENSAYOS!$Q$5:$Q$3004,ENSAYOS!$C$5:$C$3004,F595,ENSAYOS!$Q$5:$Q$3004,"&gt;0"))</f>
        <v/>
      </c>
      <c r="R595" s="16" t="str">
        <f aca="false">IF(N(M595)=0,"",_xlfn.MAXIFS(ENSAYOS!$Q$5:$Q$3004,ENSAYOS!$C$5:$C$3004,F595,ENSAYOS!$Q$5:$Q$3004,"&gt;0"))</f>
        <v/>
      </c>
      <c r="S595" s="16" t="str">
        <f aca="false">IF(N(M595)&lt;2,"",SQRT(MAX(0,(SUMIFS(ENSAYOS!$X$5:$X$3004,ENSAYOS!$C$5:$C$3004,F595,ENSAYOS!$Q$5:$Q$3004,"&gt;0")-M595*P595^2)/(M595-1))))</f>
        <v/>
      </c>
      <c r="T595" s="17" t="str">
        <f aca="false">IF(S595="","",S595/P595)</f>
        <v/>
      </c>
      <c r="U595" s="16" t="str">
        <f aca="false">IF(N(M595)=0,"",IF(N595&gt;=CONFIG!$B$27,"",AVERAGEIFS(ENSAYOS!$Q$5:$Q$3004,ENSAYOS!$C$5:$C$3004,F595,ENSAYOS!$Q$5:$Q$3004,"&gt;0",ENSAYOS!$G$5:$G$3004,N595)))</f>
        <v/>
      </c>
      <c r="V595" s="16" t="str">
        <f aca="false">IF(N(M595)=0,"",IF(COUNTIFS(ENSAYOS!$C$5:$C$3004,F595,ENSAYOS!$Q$5:$Q$3004,"&gt;0",ENSAYOS!$G$5:$G$3004,"&gt;="&amp;CONFIG!$B$27)=0,"",AVERAGEIFS(ENSAYOS!$Q$5:$Q$3004,ENSAYOS!$C$5:$C$3004,F595,ENSAYOS!$Q$5:$Q$3004,"&gt;0",ENSAYOS!$G$5:$G$3004,"&gt;="&amp;CONFIG!$B$27)))</f>
        <v/>
      </c>
      <c r="W595" s="18" t="str">
        <f aca="false">IF(AND(U595&lt;&gt;"",V595&lt;&gt;""),U595/V595,"")</f>
        <v/>
      </c>
      <c r="X595" s="18" t="str">
        <f aca="false">IF(U595="","",INDEX('CURVA EDAD'!$E$5:$E$32,MIN(28,MAX(1,N595))))</f>
        <v/>
      </c>
      <c r="Y595" s="16" t="str">
        <f aca="false">IF(V595&lt;&gt;"",V595,IF(U595="","",U595/X595))</f>
        <v/>
      </c>
      <c r="Z595" s="16" t="str">
        <f aca="false">IF(V595&lt;&gt;"",_xlfn.MINIFS(ENSAYOS!$Q$5:$Q$3004,ENSAYOS!$C$5:$C$3004,F595,ENSAYOS!$Q$5:$Q$3004,"&gt;0",ENSAYOS!$G$5:$G$3004,"&gt;="&amp;CONFIG!$B$27),IF(U595="","",_xlfn.MINIFS(ENSAYOS!$Q$5:$Q$3004,ENSAYOS!$C$5:$C$3004,F595,ENSAYOS!$Q$5:$Q$3004,"&gt;0",ENSAYOS!$G$5:$G$3004,N595)/X595))</f>
        <v/>
      </c>
      <c r="AA595" s="16" t="str">
        <f aca="false">IF(D595="","",IFERROR(1/(1/INDEX(CONFIG!$J$5:$J$14,MATCH(D595,CONFIG!$D$5:$D$14,0))),""))</f>
        <v/>
      </c>
      <c r="AB595" s="16" t="str">
        <f aca="false">IF(D595="","",IFERROR(1/(1/INDEX(CONFIG!$K$5:$K$14,MATCH(D595,CONFIG!$D$5:$D$14,0))),""))</f>
        <v/>
      </c>
      <c r="AC595" s="19" t="str">
        <f aca="false">IF(N(M595)=0,"",IF(AA595="","Sin spec",IF(AND(Y595&gt;=AA595,OR(AB595="",Z595&gt;=AB595)),"CUMPLE","NO CUMPLE")&amp;IF(V595=""," (est.)","")))</f>
        <v/>
      </c>
      <c r="AD595" s="20" t="str">
        <f aca="false">IF(F595="","",IF(COUNTIFS(ABSORCION!$C$5:$C$1004,F595,ABSORCION!$I$5:$I$1004,"&gt;0")=0,"",AVERAGEIFS(ABSORCION!$I$5:$I$1004,ABSORCION!$C$5:$C$1004,F595,ABSORCION!$I$5:$I$1004,"&gt;0")))</f>
        <v/>
      </c>
      <c r="AE595" s="20" t="str">
        <f aca="false">IF(F595="","",IF(COUNTIFS(ABSORCION!$C$5:$C$1004,F595,ABSORCION!$I$5:$I$1004,"&gt;0")=0,"",AVERAGEIFS(ABSORCION!$K$5:$K$1004,ABSORCION!$C$5:$C$1004,F595,ABSORCION!$I$5:$I$1004,"&gt;0")))</f>
        <v/>
      </c>
      <c r="AF595" s="20" t="str">
        <f aca="false">IF(AE595="","",IF(AE595&gt;=CONFIG!$E$21,CONFIG!$F$21,IF(AE595&gt;=CONFIG!$E$20,CONFIG!$F$20,CONFIG!$F$19)))</f>
        <v/>
      </c>
      <c r="AG595" s="21" t="str">
        <f aca="false">IF(F595="","",TRIM(IF(N(M595)=0,"Sin ensayos. ","")&amp;IF(AND(N(M595)&gt;0,N(M595)&lt;CONFIG!$B$26),"Menos de "&amp;CONFIG!$B$26&amp;" probetas. ","")&amp;IF(N(T595)&gt;CONFIG!$B$25,"CV alto. ","")&amp;IF(AND(N(AD595)&gt;0,N(AD595)&gt;N(AF595)),"Absorción alta. ","")))</f>
        <v/>
      </c>
      <c r="AH595" s="22" t="str">
        <f aca="false">IF(AND(N(M595)&gt;0,OR(CONTROL!$C$4="TODAS",C595=CONTROL!$C$4),D595=CONTROL!$C$5),MAX($AH$4:AH594)+1,"")</f>
        <v/>
      </c>
      <c r="AI595" s="22" t="str">
        <f aca="false">IF(AH595="","",P595^2)</f>
        <v/>
      </c>
    </row>
    <row r="596" customFormat="false" ht="15" hidden="false" customHeight="false" outlineLevel="0" collapsed="false">
      <c r="A596" s="11" t="str">
        <f aca="false">IF(B596="","",ROW()-4)</f>
        <v/>
      </c>
      <c r="B596" s="12"/>
      <c r="C596" s="13"/>
      <c r="D596" s="13"/>
      <c r="E596" s="13"/>
      <c r="F596" s="14" t="str">
        <f aca="false">IF(OR(B596="",C596="",D596=""),"",IFERROR(INDEX(CONFIG!$E$5:$E$14,MATCH(D596,CONFIG!$D$5:$D$14,0)),"?")&amp;RIGHT("0"&amp;DAY(B596),2)&amp;RIGHT("0"&amp;MONTH(B596),2)&amp;RIGHT(YEAR(B596),2)&amp;C596&amp;IF(E596="","","-"&amp;E596))</f>
        <v/>
      </c>
      <c r="G596" s="13"/>
      <c r="H596" s="13"/>
      <c r="I596" s="13"/>
      <c r="J596" s="13"/>
      <c r="K596" s="13"/>
      <c r="L596" s="13"/>
      <c r="M596" s="11" t="str">
        <f aca="false">IF(F596="","",COUNTIFS(ENSAYOS!$C$5:$C$3004,F596,ENSAYOS!$Q$5:$Q$3004,"&gt;0"))</f>
        <v/>
      </c>
      <c r="N596" s="15" t="str">
        <f aca="false">IF(N(M596)=0,"",_xlfn.MINIFS(ENSAYOS!$G$5:$G$3004,ENSAYOS!$C$5:$C$3004,F596,ENSAYOS!$Q$5:$Q$3004,"&gt;0"))</f>
        <v/>
      </c>
      <c r="O596" s="15" t="str">
        <f aca="false">IF(N(M596)=0,"",_xlfn.MAXIFS(ENSAYOS!$G$5:$G$3004,ENSAYOS!$C$5:$C$3004,F596,ENSAYOS!$Q$5:$Q$3004,"&gt;0"))</f>
        <v/>
      </c>
      <c r="P596" s="16" t="str">
        <f aca="false">IF(N(M596)=0,"",AVERAGEIFS(ENSAYOS!$Q$5:$Q$3004,ENSAYOS!$C$5:$C$3004,F596,ENSAYOS!$Q$5:$Q$3004,"&gt;0"))</f>
        <v/>
      </c>
      <c r="Q596" s="16" t="str">
        <f aca="false">IF(N(M596)=0,"",_xlfn.MINIFS(ENSAYOS!$Q$5:$Q$3004,ENSAYOS!$C$5:$C$3004,F596,ENSAYOS!$Q$5:$Q$3004,"&gt;0"))</f>
        <v/>
      </c>
      <c r="R596" s="16" t="str">
        <f aca="false">IF(N(M596)=0,"",_xlfn.MAXIFS(ENSAYOS!$Q$5:$Q$3004,ENSAYOS!$C$5:$C$3004,F596,ENSAYOS!$Q$5:$Q$3004,"&gt;0"))</f>
        <v/>
      </c>
      <c r="S596" s="16" t="str">
        <f aca="false">IF(N(M596)&lt;2,"",SQRT(MAX(0,(SUMIFS(ENSAYOS!$X$5:$X$3004,ENSAYOS!$C$5:$C$3004,F596,ENSAYOS!$Q$5:$Q$3004,"&gt;0")-M596*P596^2)/(M596-1))))</f>
        <v/>
      </c>
      <c r="T596" s="17" t="str">
        <f aca="false">IF(S596="","",S596/P596)</f>
        <v/>
      </c>
      <c r="U596" s="16" t="str">
        <f aca="false">IF(N(M596)=0,"",IF(N596&gt;=CONFIG!$B$27,"",AVERAGEIFS(ENSAYOS!$Q$5:$Q$3004,ENSAYOS!$C$5:$C$3004,F596,ENSAYOS!$Q$5:$Q$3004,"&gt;0",ENSAYOS!$G$5:$G$3004,N596)))</f>
        <v/>
      </c>
      <c r="V596" s="16" t="str">
        <f aca="false">IF(N(M596)=0,"",IF(COUNTIFS(ENSAYOS!$C$5:$C$3004,F596,ENSAYOS!$Q$5:$Q$3004,"&gt;0",ENSAYOS!$G$5:$G$3004,"&gt;="&amp;CONFIG!$B$27)=0,"",AVERAGEIFS(ENSAYOS!$Q$5:$Q$3004,ENSAYOS!$C$5:$C$3004,F596,ENSAYOS!$Q$5:$Q$3004,"&gt;0",ENSAYOS!$G$5:$G$3004,"&gt;="&amp;CONFIG!$B$27)))</f>
        <v/>
      </c>
      <c r="W596" s="18" t="str">
        <f aca="false">IF(AND(U596&lt;&gt;"",V596&lt;&gt;""),U596/V596,"")</f>
        <v/>
      </c>
      <c r="X596" s="18" t="str">
        <f aca="false">IF(U596="","",INDEX('CURVA EDAD'!$E$5:$E$32,MIN(28,MAX(1,N596))))</f>
        <v/>
      </c>
      <c r="Y596" s="16" t="str">
        <f aca="false">IF(V596&lt;&gt;"",V596,IF(U596="","",U596/X596))</f>
        <v/>
      </c>
      <c r="Z596" s="16" t="str">
        <f aca="false">IF(V596&lt;&gt;"",_xlfn.MINIFS(ENSAYOS!$Q$5:$Q$3004,ENSAYOS!$C$5:$C$3004,F596,ENSAYOS!$Q$5:$Q$3004,"&gt;0",ENSAYOS!$G$5:$G$3004,"&gt;="&amp;CONFIG!$B$27),IF(U596="","",_xlfn.MINIFS(ENSAYOS!$Q$5:$Q$3004,ENSAYOS!$C$5:$C$3004,F596,ENSAYOS!$Q$5:$Q$3004,"&gt;0",ENSAYOS!$G$5:$G$3004,N596)/X596))</f>
        <v/>
      </c>
      <c r="AA596" s="16" t="str">
        <f aca="false">IF(D596="","",IFERROR(1/(1/INDEX(CONFIG!$J$5:$J$14,MATCH(D596,CONFIG!$D$5:$D$14,0))),""))</f>
        <v/>
      </c>
      <c r="AB596" s="16" t="str">
        <f aca="false">IF(D596="","",IFERROR(1/(1/INDEX(CONFIG!$K$5:$K$14,MATCH(D596,CONFIG!$D$5:$D$14,0))),""))</f>
        <v/>
      </c>
      <c r="AC596" s="19" t="str">
        <f aca="false">IF(N(M596)=0,"",IF(AA596="","Sin spec",IF(AND(Y596&gt;=AA596,OR(AB596="",Z596&gt;=AB596)),"CUMPLE","NO CUMPLE")&amp;IF(V596=""," (est.)","")))</f>
        <v/>
      </c>
      <c r="AD596" s="20" t="str">
        <f aca="false">IF(F596="","",IF(COUNTIFS(ABSORCION!$C$5:$C$1004,F596,ABSORCION!$I$5:$I$1004,"&gt;0")=0,"",AVERAGEIFS(ABSORCION!$I$5:$I$1004,ABSORCION!$C$5:$C$1004,F596,ABSORCION!$I$5:$I$1004,"&gt;0")))</f>
        <v/>
      </c>
      <c r="AE596" s="20" t="str">
        <f aca="false">IF(F596="","",IF(COUNTIFS(ABSORCION!$C$5:$C$1004,F596,ABSORCION!$I$5:$I$1004,"&gt;0")=0,"",AVERAGEIFS(ABSORCION!$K$5:$K$1004,ABSORCION!$C$5:$C$1004,F596,ABSORCION!$I$5:$I$1004,"&gt;0")))</f>
        <v/>
      </c>
      <c r="AF596" s="20" t="str">
        <f aca="false">IF(AE596="","",IF(AE596&gt;=CONFIG!$E$21,CONFIG!$F$21,IF(AE596&gt;=CONFIG!$E$20,CONFIG!$F$20,CONFIG!$F$19)))</f>
        <v/>
      </c>
      <c r="AG596" s="21" t="str">
        <f aca="false">IF(F596="","",TRIM(IF(N(M596)=0,"Sin ensayos. ","")&amp;IF(AND(N(M596)&gt;0,N(M596)&lt;CONFIG!$B$26),"Menos de "&amp;CONFIG!$B$26&amp;" probetas. ","")&amp;IF(N(T596)&gt;CONFIG!$B$25,"CV alto. ","")&amp;IF(AND(N(AD596)&gt;0,N(AD596)&gt;N(AF596)),"Absorción alta. ","")))</f>
        <v/>
      </c>
      <c r="AH596" s="22" t="str">
        <f aca="false">IF(AND(N(M596)&gt;0,OR(CONTROL!$C$4="TODAS",C596=CONTROL!$C$4),D596=CONTROL!$C$5),MAX($AH$4:AH595)+1,"")</f>
        <v/>
      </c>
      <c r="AI596" s="22" t="str">
        <f aca="false">IF(AH596="","",P596^2)</f>
        <v/>
      </c>
    </row>
    <row r="597" customFormat="false" ht="15" hidden="false" customHeight="false" outlineLevel="0" collapsed="false">
      <c r="A597" s="11" t="str">
        <f aca="false">IF(B597="","",ROW()-4)</f>
        <v/>
      </c>
      <c r="B597" s="12"/>
      <c r="C597" s="13"/>
      <c r="D597" s="13"/>
      <c r="E597" s="13"/>
      <c r="F597" s="14" t="str">
        <f aca="false">IF(OR(B597="",C597="",D597=""),"",IFERROR(INDEX(CONFIG!$E$5:$E$14,MATCH(D597,CONFIG!$D$5:$D$14,0)),"?")&amp;RIGHT("0"&amp;DAY(B597),2)&amp;RIGHT("0"&amp;MONTH(B597),2)&amp;RIGHT(YEAR(B597),2)&amp;C597&amp;IF(E597="","","-"&amp;E597))</f>
        <v/>
      </c>
      <c r="G597" s="13"/>
      <c r="H597" s="13"/>
      <c r="I597" s="13"/>
      <c r="J597" s="13"/>
      <c r="K597" s="13"/>
      <c r="L597" s="13"/>
      <c r="M597" s="11" t="str">
        <f aca="false">IF(F597="","",COUNTIFS(ENSAYOS!$C$5:$C$3004,F597,ENSAYOS!$Q$5:$Q$3004,"&gt;0"))</f>
        <v/>
      </c>
      <c r="N597" s="15" t="str">
        <f aca="false">IF(N(M597)=0,"",_xlfn.MINIFS(ENSAYOS!$G$5:$G$3004,ENSAYOS!$C$5:$C$3004,F597,ENSAYOS!$Q$5:$Q$3004,"&gt;0"))</f>
        <v/>
      </c>
      <c r="O597" s="15" t="str">
        <f aca="false">IF(N(M597)=0,"",_xlfn.MAXIFS(ENSAYOS!$G$5:$G$3004,ENSAYOS!$C$5:$C$3004,F597,ENSAYOS!$Q$5:$Q$3004,"&gt;0"))</f>
        <v/>
      </c>
      <c r="P597" s="16" t="str">
        <f aca="false">IF(N(M597)=0,"",AVERAGEIFS(ENSAYOS!$Q$5:$Q$3004,ENSAYOS!$C$5:$C$3004,F597,ENSAYOS!$Q$5:$Q$3004,"&gt;0"))</f>
        <v/>
      </c>
      <c r="Q597" s="16" t="str">
        <f aca="false">IF(N(M597)=0,"",_xlfn.MINIFS(ENSAYOS!$Q$5:$Q$3004,ENSAYOS!$C$5:$C$3004,F597,ENSAYOS!$Q$5:$Q$3004,"&gt;0"))</f>
        <v/>
      </c>
      <c r="R597" s="16" t="str">
        <f aca="false">IF(N(M597)=0,"",_xlfn.MAXIFS(ENSAYOS!$Q$5:$Q$3004,ENSAYOS!$C$5:$C$3004,F597,ENSAYOS!$Q$5:$Q$3004,"&gt;0"))</f>
        <v/>
      </c>
      <c r="S597" s="16" t="str">
        <f aca="false">IF(N(M597)&lt;2,"",SQRT(MAX(0,(SUMIFS(ENSAYOS!$X$5:$X$3004,ENSAYOS!$C$5:$C$3004,F597,ENSAYOS!$Q$5:$Q$3004,"&gt;0")-M597*P597^2)/(M597-1))))</f>
        <v/>
      </c>
      <c r="T597" s="17" t="str">
        <f aca="false">IF(S597="","",S597/P597)</f>
        <v/>
      </c>
      <c r="U597" s="16" t="str">
        <f aca="false">IF(N(M597)=0,"",IF(N597&gt;=CONFIG!$B$27,"",AVERAGEIFS(ENSAYOS!$Q$5:$Q$3004,ENSAYOS!$C$5:$C$3004,F597,ENSAYOS!$Q$5:$Q$3004,"&gt;0",ENSAYOS!$G$5:$G$3004,N597)))</f>
        <v/>
      </c>
      <c r="V597" s="16" t="str">
        <f aca="false">IF(N(M597)=0,"",IF(COUNTIFS(ENSAYOS!$C$5:$C$3004,F597,ENSAYOS!$Q$5:$Q$3004,"&gt;0",ENSAYOS!$G$5:$G$3004,"&gt;="&amp;CONFIG!$B$27)=0,"",AVERAGEIFS(ENSAYOS!$Q$5:$Q$3004,ENSAYOS!$C$5:$C$3004,F597,ENSAYOS!$Q$5:$Q$3004,"&gt;0",ENSAYOS!$G$5:$G$3004,"&gt;="&amp;CONFIG!$B$27)))</f>
        <v/>
      </c>
      <c r="W597" s="18" t="str">
        <f aca="false">IF(AND(U597&lt;&gt;"",V597&lt;&gt;""),U597/V597,"")</f>
        <v/>
      </c>
      <c r="X597" s="18" t="str">
        <f aca="false">IF(U597="","",INDEX('CURVA EDAD'!$E$5:$E$32,MIN(28,MAX(1,N597))))</f>
        <v/>
      </c>
      <c r="Y597" s="16" t="str">
        <f aca="false">IF(V597&lt;&gt;"",V597,IF(U597="","",U597/X597))</f>
        <v/>
      </c>
      <c r="Z597" s="16" t="str">
        <f aca="false">IF(V597&lt;&gt;"",_xlfn.MINIFS(ENSAYOS!$Q$5:$Q$3004,ENSAYOS!$C$5:$C$3004,F597,ENSAYOS!$Q$5:$Q$3004,"&gt;0",ENSAYOS!$G$5:$G$3004,"&gt;="&amp;CONFIG!$B$27),IF(U597="","",_xlfn.MINIFS(ENSAYOS!$Q$5:$Q$3004,ENSAYOS!$C$5:$C$3004,F597,ENSAYOS!$Q$5:$Q$3004,"&gt;0",ENSAYOS!$G$5:$G$3004,N597)/X597))</f>
        <v/>
      </c>
      <c r="AA597" s="16" t="str">
        <f aca="false">IF(D597="","",IFERROR(1/(1/INDEX(CONFIG!$J$5:$J$14,MATCH(D597,CONFIG!$D$5:$D$14,0))),""))</f>
        <v/>
      </c>
      <c r="AB597" s="16" t="str">
        <f aca="false">IF(D597="","",IFERROR(1/(1/INDEX(CONFIG!$K$5:$K$14,MATCH(D597,CONFIG!$D$5:$D$14,0))),""))</f>
        <v/>
      </c>
      <c r="AC597" s="19" t="str">
        <f aca="false">IF(N(M597)=0,"",IF(AA597="","Sin spec",IF(AND(Y597&gt;=AA597,OR(AB597="",Z597&gt;=AB597)),"CUMPLE","NO CUMPLE")&amp;IF(V597=""," (est.)","")))</f>
        <v/>
      </c>
      <c r="AD597" s="20" t="str">
        <f aca="false">IF(F597="","",IF(COUNTIFS(ABSORCION!$C$5:$C$1004,F597,ABSORCION!$I$5:$I$1004,"&gt;0")=0,"",AVERAGEIFS(ABSORCION!$I$5:$I$1004,ABSORCION!$C$5:$C$1004,F597,ABSORCION!$I$5:$I$1004,"&gt;0")))</f>
        <v/>
      </c>
      <c r="AE597" s="20" t="str">
        <f aca="false">IF(F597="","",IF(COUNTIFS(ABSORCION!$C$5:$C$1004,F597,ABSORCION!$I$5:$I$1004,"&gt;0")=0,"",AVERAGEIFS(ABSORCION!$K$5:$K$1004,ABSORCION!$C$5:$C$1004,F597,ABSORCION!$I$5:$I$1004,"&gt;0")))</f>
        <v/>
      </c>
      <c r="AF597" s="20" t="str">
        <f aca="false">IF(AE597="","",IF(AE597&gt;=CONFIG!$E$21,CONFIG!$F$21,IF(AE597&gt;=CONFIG!$E$20,CONFIG!$F$20,CONFIG!$F$19)))</f>
        <v/>
      </c>
      <c r="AG597" s="21" t="str">
        <f aca="false">IF(F597="","",TRIM(IF(N(M597)=0,"Sin ensayos. ","")&amp;IF(AND(N(M597)&gt;0,N(M597)&lt;CONFIG!$B$26),"Menos de "&amp;CONFIG!$B$26&amp;" probetas. ","")&amp;IF(N(T597)&gt;CONFIG!$B$25,"CV alto. ","")&amp;IF(AND(N(AD597)&gt;0,N(AD597)&gt;N(AF597)),"Absorción alta. ","")))</f>
        <v/>
      </c>
      <c r="AH597" s="22" t="str">
        <f aca="false">IF(AND(N(M597)&gt;0,OR(CONTROL!$C$4="TODAS",C597=CONTROL!$C$4),D597=CONTROL!$C$5),MAX($AH$4:AH596)+1,"")</f>
        <v/>
      </c>
      <c r="AI597" s="22" t="str">
        <f aca="false">IF(AH597="","",P597^2)</f>
        <v/>
      </c>
    </row>
    <row r="598" customFormat="false" ht="15" hidden="false" customHeight="false" outlineLevel="0" collapsed="false">
      <c r="A598" s="11" t="str">
        <f aca="false">IF(B598="","",ROW()-4)</f>
        <v/>
      </c>
      <c r="B598" s="12"/>
      <c r="C598" s="13"/>
      <c r="D598" s="13"/>
      <c r="E598" s="13"/>
      <c r="F598" s="14" t="str">
        <f aca="false">IF(OR(B598="",C598="",D598=""),"",IFERROR(INDEX(CONFIG!$E$5:$E$14,MATCH(D598,CONFIG!$D$5:$D$14,0)),"?")&amp;RIGHT("0"&amp;DAY(B598),2)&amp;RIGHT("0"&amp;MONTH(B598),2)&amp;RIGHT(YEAR(B598),2)&amp;C598&amp;IF(E598="","","-"&amp;E598))</f>
        <v/>
      </c>
      <c r="G598" s="13"/>
      <c r="H598" s="13"/>
      <c r="I598" s="13"/>
      <c r="J598" s="13"/>
      <c r="K598" s="13"/>
      <c r="L598" s="13"/>
      <c r="M598" s="11" t="str">
        <f aca="false">IF(F598="","",COUNTIFS(ENSAYOS!$C$5:$C$3004,F598,ENSAYOS!$Q$5:$Q$3004,"&gt;0"))</f>
        <v/>
      </c>
      <c r="N598" s="15" t="str">
        <f aca="false">IF(N(M598)=0,"",_xlfn.MINIFS(ENSAYOS!$G$5:$G$3004,ENSAYOS!$C$5:$C$3004,F598,ENSAYOS!$Q$5:$Q$3004,"&gt;0"))</f>
        <v/>
      </c>
      <c r="O598" s="15" t="str">
        <f aca="false">IF(N(M598)=0,"",_xlfn.MAXIFS(ENSAYOS!$G$5:$G$3004,ENSAYOS!$C$5:$C$3004,F598,ENSAYOS!$Q$5:$Q$3004,"&gt;0"))</f>
        <v/>
      </c>
      <c r="P598" s="16" t="str">
        <f aca="false">IF(N(M598)=0,"",AVERAGEIFS(ENSAYOS!$Q$5:$Q$3004,ENSAYOS!$C$5:$C$3004,F598,ENSAYOS!$Q$5:$Q$3004,"&gt;0"))</f>
        <v/>
      </c>
      <c r="Q598" s="16" t="str">
        <f aca="false">IF(N(M598)=0,"",_xlfn.MINIFS(ENSAYOS!$Q$5:$Q$3004,ENSAYOS!$C$5:$C$3004,F598,ENSAYOS!$Q$5:$Q$3004,"&gt;0"))</f>
        <v/>
      </c>
      <c r="R598" s="16" t="str">
        <f aca="false">IF(N(M598)=0,"",_xlfn.MAXIFS(ENSAYOS!$Q$5:$Q$3004,ENSAYOS!$C$5:$C$3004,F598,ENSAYOS!$Q$5:$Q$3004,"&gt;0"))</f>
        <v/>
      </c>
      <c r="S598" s="16" t="str">
        <f aca="false">IF(N(M598)&lt;2,"",SQRT(MAX(0,(SUMIFS(ENSAYOS!$X$5:$X$3004,ENSAYOS!$C$5:$C$3004,F598,ENSAYOS!$Q$5:$Q$3004,"&gt;0")-M598*P598^2)/(M598-1))))</f>
        <v/>
      </c>
      <c r="T598" s="17" t="str">
        <f aca="false">IF(S598="","",S598/P598)</f>
        <v/>
      </c>
      <c r="U598" s="16" t="str">
        <f aca="false">IF(N(M598)=0,"",IF(N598&gt;=CONFIG!$B$27,"",AVERAGEIFS(ENSAYOS!$Q$5:$Q$3004,ENSAYOS!$C$5:$C$3004,F598,ENSAYOS!$Q$5:$Q$3004,"&gt;0",ENSAYOS!$G$5:$G$3004,N598)))</f>
        <v/>
      </c>
      <c r="V598" s="16" t="str">
        <f aca="false">IF(N(M598)=0,"",IF(COUNTIFS(ENSAYOS!$C$5:$C$3004,F598,ENSAYOS!$Q$5:$Q$3004,"&gt;0",ENSAYOS!$G$5:$G$3004,"&gt;="&amp;CONFIG!$B$27)=0,"",AVERAGEIFS(ENSAYOS!$Q$5:$Q$3004,ENSAYOS!$C$5:$C$3004,F598,ENSAYOS!$Q$5:$Q$3004,"&gt;0",ENSAYOS!$G$5:$G$3004,"&gt;="&amp;CONFIG!$B$27)))</f>
        <v/>
      </c>
      <c r="W598" s="18" t="str">
        <f aca="false">IF(AND(U598&lt;&gt;"",V598&lt;&gt;""),U598/V598,"")</f>
        <v/>
      </c>
      <c r="X598" s="18" t="str">
        <f aca="false">IF(U598="","",INDEX('CURVA EDAD'!$E$5:$E$32,MIN(28,MAX(1,N598))))</f>
        <v/>
      </c>
      <c r="Y598" s="16" t="str">
        <f aca="false">IF(V598&lt;&gt;"",V598,IF(U598="","",U598/X598))</f>
        <v/>
      </c>
      <c r="Z598" s="16" t="str">
        <f aca="false">IF(V598&lt;&gt;"",_xlfn.MINIFS(ENSAYOS!$Q$5:$Q$3004,ENSAYOS!$C$5:$C$3004,F598,ENSAYOS!$Q$5:$Q$3004,"&gt;0",ENSAYOS!$G$5:$G$3004,"&gt;="&amp;CONFIG!$B$27),IF(U598="","",_xlfn.MINIFS(ENSAYOS!$Q$5:$Q$3004,ENSAYOS!$C$5:$C$3004,F598,ENSAYOS!$Q$5:$Q$3004,"&gt;0",ENSAYOS!$G$5:$G$3004,N598)/X598))</f>
        <v/>
      </c>
      <c r="AA598" s="16" t="str">
        <f aca="false">IF(D598="","",IFERROR(1/(1/INDEX(CONFIG!$J$5:$J$14,MATCH(D598,CONFIG!$D$5:$D$14,0))),""))</f>
        <v/>
      </c>
      <c r="AB598" s="16" t="str">
        <f aca="false">IF(D598="","",IFERROR(1/(1/INDEX(CONFIG!$K$5:$K$14,MATCH(D598,CONFIG!$D$5:$D$14,0))),""))</f>
        <v/>
      </c>
      <c r="AC598" s="19" t="str">
        <f aca="false">IF(N(M598)=0,"",IF(AA598="","Sin spec",IF(AND(Y598&gt;=AA598,OR(AB598="",Z598&gt;=AB598)),"CUMPLE","NO CUMPLE")&amp;IF(V598=""," (est.)","")))</f>
        <v/>
      </c>
      <c r="AD598" s="20" t="str">
        <f aca="false">IF(F598="","",IF(COUNTIFS(ABSORCION!$C$5:$C$1004,F598,ABSORCION!$I$5:$I$1004,"&gt;0")=0,"",AVERAGEIFS(ABSORCION!$I$5:$I$1004,ABSORCION!$C$5:$C$1004,F598,ABSORCION!$I$5:$I$1004,"&gt;0")))</f>
        <v/>
      </c>
      <c r="AE598" s="20" t="str">
        <f aca="false">IF(F598="","",IF(COUNTIFS(ABSORCION!$C$5:$C$1004,F598,ABSORCION!$I$5:$I$1004,"&gt;0")=0,"",AVERAGEIFS(ABSORCION!$K$5:$K$1004,ABSORCION!$C$5:$C$1004,F598,ABSORCION!$I$5:$I$1004,"&gt;0")))</f>
        <v/>
      </c>
      <c r="AF598" s="20" t="str">
        <f aca="false">IF(AE598="","",IF(AE598&gt;=CONFIG!$E$21,CONFIG!$F$21,IF(AE598&gt;=CONFIG!$E$20,CONFIG!$F$20,CONFIG!$F$19)))</f>
        <v/>
      </c>
      <c r="AG598" s="21" t="str">
        <f aca="false">IF(F598="","",TRIM(IF(N(M598)=0,"Sin ensayos. ","")&amp;IF(AND(N(M598)&gt;0,N(M598)&lt;CONFIG!$B$26),"Menos de "&amp;CONFIG!$B$26&amp;" probetas. ","")&amp;IF(N(T598)&gt;CONFIG!$B$25,"CV alto. ","")&amp;IF(AND(N(AD598)&gt;0,N(AD598)&gt;N(AF598)),"Absorción alta. ","")))</f>
        <v/>
      </c>
      <c r="AH598" s="22" t="str">
        <f aca="false">IF(AND(N(M598)&gt;0,OR(CONTROL!$C$4="TODAS",C598=CONTROL!$C$4),D598=CONTROL!$C$5),MAX($AH$4:AH597)+1,"")</f>
        <v/>
      </c>
      <c r="AI598" s="22" t="str">
        <f aca="false">IF(AH598="","",P598^2)</f>
        <v/>
      </c>
    </row>
    <row r="599" customFormat="false" ht="15" hidden="false" customHeight="false" outlineLevel="0" collapsed="false">
      <c r="A599" s="11" t="str">
        <f aca="false">IF(B599="","",ROW()-4)</f>
        <v/>
      </c>
      <c r="B599" s="12"/>
      <c r="C599" s="13"/>
      <c r="D599" s="13"/>
      <c r="E599" s="13"/>
      <c r="F599" s="14" t="str">
        <f aca="false">IF(OR(B599="",C599="",D599=""),"",IFERROR(INDEX(CONFIG!$E$5:$E$14,MATCH(D599,CONFIG!$D$5:$D$14,0)),"?")&amp;RIGHT("0"&amp;DAY(B599),2)&amp;RIGHT("0"&amp;MONTH(B599),2)&amp;RIGHT(YEAR(B599),2)&amp;C599&amp;IF(E599="","","-"&amp;E599))</f>
        <v/>
      </c>
      <c r="G599" s="13"/>
      <c r="H599" s="13"/>
      <c r="I599" s="13"/>
      <c r="J599" s="13"/>
      <c r="K599" s="13"/>
      <c r="L599" s="13"/>
      <c r="M599" s="11" t="str">
        <f aca="false">IF(F599="","",COUNTIFS(ENSAYOS!$C$5:$C$3004,F599,ENSAYOS!$Q$5:$Q$3004,"&gt;0"))</f>
        <v/>
      </c>
      <c r="N599" s="15" t="str">
        <f aca="false">IF(N(M599)=0,"",_xlfn.MINIFS(ENSAYOS!$G$5:$G$3004,ENSAYOS!$C$5:$C$3004,F599,ENSAYOS!$Q$5:$Q$3004,"&gt;0"))</f>
        <v/>
      </c>
      <c r="O599" s="15" t="str">
        <f aca="false">IF(N(M599)=0,"",_xlfn.MAXIFS(ENSAYOS!$G$5:$G$3004,ENSAYOS!$C$5:$C$3004,F599,ENSAYOS!$Q$5:$Q$3004,"&gt;0"))</f>
        <v/>
      </c>
      <c r="P599" s="16" t="str">
        <f aca="false">IF(N(M599)=0,"",AVERAGEIFS(ENSAYOS!$Q$5:$Q$3004,ENSAYOS!$C$5:$C$3004,F599,ENSAYOS!$Q$5:$Q$3004,"&gt;0"))</f>
        <v/>
      </c>
      <c r="Q599" s="16" t="str">
        <f aca="false">IF(N(M599)=0,"",_xlfn.MINIFS(ENSAYOS!$Q$5:$Q$3004,ENSAYOS!$C$5:$C$3004,F599,ENSAYOS!$Q$5:$Q$3004,"&gt;0"))</f>
        <v/>
      </c>
      <c r="R599" s="16" t="str">
        <f aca="false">IF(N(M599)=0,"",_xlfn.MAXIFS(ENSAYOS!$Q$5:$Q$3004,ENSAYOS!$C$5:$C$3004,F599,ENSAYOS!$Q$5:$Q$3004,"&gt;0"))</f>
        <v/>
      </c>
      <c r="S599" s="16" t="str">
        <f aca="false">IF(N(M599)&lt;2,"",SQRT(MAX(0,(SUMIFS(ENSAYOS!$X$5:$X$3004,ENSAYOS!$C$5:$C$3004,F599,ENSAYOS!$Q$5:$Q$3004,"&gt;0")-M599*P599^2)/(M599-1))))</f>
        <v/>
      </c>
      <c r="T599" s="17" t="str">
        <f aca="false">IF(S599="","",S599/P599)</f>
        <v/>
      </c>
      <c r="U599" s="16" t="str">
        <f aca="false">IF(N(M599)=0,"",IF(N599&gt;=CONFIG!$B$27,"",AVERAGEIFS(ENSAYOS!$Q$5:$Q$3004,ENSAYOS!$C$5:$C$3004,F599,ENSAYOS!$Q$5:$Q$3004,"&gt;0",ENSAYOS!$G$5:$G$3004,N599)))</f>
        <v/>
      </c>
      <c r="V599" s="16" t="str">
        <f aca="false">IF(N(M599)=0,"",IF(COUNTIFS(ENSAYOS!$C$5:$C$3004,F599,ENSAYOS!$Q$5:$Q$3004,"&gt;0",ENSAYOS!$G$5:$G$3004,"&gt;="&amp;CONFIG!$B$27)=0,"",AVERAGEIFS(ENSAYOS!$Q$5:$Q$3004,ENSAYOS!$C$5:$C$3004,F599,ENSAYOS!$Q$5:$Q$3004,"&gt;0",ENSAYOS!$G$5:$G$3004,"&gt;="&amp;CONFIG!$B$27)))</f>
        <v/>
      </c>
      <c r="W599" s="18" t="str">
        <f aca="false">IF(AND(U599&lt;&gt;"",V599&lt;&gt;""),U599/V599,"")</f>
        <v/>
      </c>
      <c r="X599" s="18" t="str">
        <f aca="false">IF(U599="","",INDEX('CURVA EDAD'!$E$5:$E$32,MIN(28,MAX(1,N599))))</f>
        <v/>
      </c>
      <c r="Y599" s="16" t="str">
        <f aca="false">IF(V599&lt;&gt;"",V599,IF(U599="","",U599/X599))</f>
        <v/>
      </c>
      <c r="Z599" s="16" t="str">
        <f aca="false">IF(V599&lt;&gt;"",_xlfn.MINIFS(ENSAYOS!$Q$5:$Q$3004,ENSAYOS!$C$5:$C$3004,F599,ENSAYOS!$Q$5:$Q$3004,"&gt;0",ENSAYOS!$G$5:$G$3004,"&gt;="&amp;CONFIG!$B$27),IF(U599="","",_xlfn.MINIFS(ENSAYOS!$Q$5:$Q$3004,ENSAYOS!$C$5:$C$3004,F599,ENSAYOS!$Q$5:$Q$3004,"&gt;0",ENSAYOS!$G$5:$G$3004,N599)/X599))</f>
        <v/>
      </c>
      <c r="AA599" s="16" t="str">
        <f aca="false">IF(D599="","",IFERROR(1/(1/INDEX(CONFIG!$J$5:$J$14,MATCH(D599,CONFIG!$D$5:$D$14,0))),""))</f>
        <v/>
      </c>
      <c r="AB599" s="16" t="str">
        <f aca="false">IF(D599="","",IFERROR(1/(1/INDEX(CONFIG!$K$5:$K$14,MATCH(D599,CONFIG!$D$5:$D$14,0))),""))</f>
        <v/>
      </c>
      <c r="AC599" s="19" t="str">
        <f aca="false">IF(N(M599)=0,"",IF(AA599="","Sin spec",IF(AND(Y599&gt;=AA599,OR(AB599="",Z599&gt;=AB599)),"CUMPLE","NO CUMPLE")&amp;IF(V599=""," (est.)","")))</f>
        <v/>
      </c>
      <c r="AD599" s="20" t="str">
        <f aca="false">IF(F599="","",IF(COUNTIFS(ABSORCION!$C$5:$C$1004,F599,ABSORCION!$I$5:$I$1004,"&gt;0")=0,"",AVERAGEIFS(ABSORCION!$I$5:$I$1004,ABSORCION!$C$5:$C$1004,F599,ABSORCION!$I$5:$I$1004,"&gt;0")))</f>
        <v/>
      </c>
      <c r="AE599" s="20" t="str">
        <f aca="false">IF(F599="","",IF(COUNTIFS(ABSORCION!$C$5:$C$1004,F599,ABSORCION!$I$5:$I$1004,"&gt;0")=0,"",AVERAGEIFS(ABSORCION!$K$5:$K$1004,ABSORCION!$C$5:$C$1004,F599,ABSORCION!$I$5:$I$1004,"&gt;0")))</f>
        <v/>
      </c>
      <c r="AF599" s="20" t="str">
        <f aca="false">IF(AE599="","",IF(AE599&gt;=CONFIG!$E$21,CONFIG!$F$21,IF(AE599&gt;=CONFIG!$E$20,CONFIG!$F$20,CONFIG!$F$19)))</f>
        <v/>
      </c>
      <c r="AG599" s="21" t="str">
        <f aca="false">IF(F599="","",TRIM(IF(N(M599)=0,"Sin ensayos. ","")&amp;IF(AND(N(M599)&gt;0,N(M599)&lt;CONFIG!$B$26),"Menos de "&amp;CONFIG!$B$26&amp;" probetas. ","")&amp;IF(N(T599)&gt;CONFIG!$B$25,"CV alto. ","")&amp;IF(AND(N(AD599)&gt;0,N(AD599)&gt;N(AF599)),"Absorción alta. ","")))</f>
        <v/>
      </c>
      <c r="AH599" s="22" t="str">
        <f aca="false">IF(AND(N(M599)&gt;0,OR(CONTROL!$C$4="TODAS",C599=CONTROL!$C$4),D599=CONTROL!$C$5),MAX($AH$4:AH598)+1,"")</f>
        <v/>
      </c>
      <c r="AI599" s="22" t="str">
        <f aca="false">IF(AH599="","",P599^2)</f>
        <v/>
      </c>
    </row>
    <row r="600" customFormat="false" ht="15" hidden="false" customHeight="false" outlineLevel="0" collapsed="false">
      <c r="A600" s="11" t="str">
        <f aca="false">IF(B600="","",ROW()-4)</f>
        <v/>
      </c>
      <c r="B600" s="12"/>
      <c r="C600" s="13"/>
      <c r="D600" s="13"/>
      <c r="E600" s="13"/>
      <c r="F600" s="14" t="str">
        <f aca="false">IF(OR(B600="",C600="",D600=""),"",IFERROR(INDEX(CONFIG!$E$5:$E$14,MATCH(D600,CONFIG!$D$5:$D$14,0)),"?")&amp;RIGHT("0"&amp;DAY(B600),2)&amp;RIGHT("0"&amp;MONTH(B600),2)&amp;RIGHT(YEAR(B600),2)&amp;C600&amp;IF(E600="","","-"&amp;E600))</f>
        <v/>
      </c>
      <c r="G600" s="13"/>
      <c r="H600" s="13"/>
      <c r="I600" s="13"/>
      <c r="J600" s="13"/>
      <c r="K600" s="13"/>
      <c r="L600" s="13"/>
      <c r="M600" s="11" t="str">
        <f aca="false">IF(F600="","",COUNTIFS(ENSAYOS!$C$5:$C$3004,F600,ENSAYOS!$Q$5:$Q$3004,"&gt;0"))</f>
        <v/>
      </c>
      <c r="N600" s="15" t="str">
        <f aca="false">IF(N(M600)=0,"",_xlfn.MINIFS(ENSAYOS!$G$5:$G$3004,ENSAYOS!$C$5:$C$3004,F600,ENSAYOS!$Q$5:$Q$3004,"&gt;0"))</f>
        <v/>
      </c>
      <c r="O600" s="15" t="str">
        <f aca="false">IF(N(M600)=0,"",_xlfn.MAXIFS(ENSAYOS!$G$5:$G$3004,ENSAYOS!$C$5:$C$3004,F600,ENSAYOS!$Q$5:$Q$3004,"&gt;0"))</f>
        <v/>
      </c>
      <c r="P600" s="16" t="str">
        <f aca="false">IF(N(M600)=0,"",AVERAGEIFS(ENSAYOS!$Q$5:$Q$3004,ENSAYOS!$C$5:$C$3004,F600,ENSAYOS!$Q$5:$Q$3004,"&gt;0"))</f>
        <v/>
      </c>
      <c r="Q600" s="16" t="str">
        <f aca="false">IF(N(M600)=0,"",_xlfn.MINIFS(ENSAYOS!$Q$5:$Q$3004,ENSAYOS!$C$5:$C$3004,F600,ENSAYOS!$Q$5:$Q$3004,"&gt;0"))</f>
        <v/>
      </c>
      <c r="R600" s="16" t="str">
        <f aca="false">IF(N(M600)=0,"",_xlfn.MAXIFS(ENSAYOS!$Q$5:$Q$3004,ENSAYOS!$C$5:$C$3004,F600,ENSAYOS!$Q$5:$Q$3004,"&gt;0"))</f>
        <v/>
      </c>
      <c r="S600" s="16" t="str">
        <f aca="false">IF(N(M600)&lt;2,"",SQRT(MAX(0,(SUMIFS(ENSAYOS!$X$5:$X$3004,ENSAYOS!$C$5:$C$3004,F600,ENSAYOS!$Q$5:$Q$3004,"&gt;0")-M600*P600^2)/(M600-1))))</f>
        <v/>
      </c>
      <c r="T600" s="17" t="str">
        <f aca="false">IF(S600="","",S600/P600)</f>
        <v/>
      </c>
      <c r="U600" s="16" t="str">
        <f aca="false">IF(N(M600)=0,"",IF(N600&gt;=CONFIG!$B$27,"",AVERAGEIFS(ENSAYOS!$Q$5:$Q$3004,ENSAYOS!$C$5:$C$3004,F600,ENSAYOS!$Q$5:$Q$3004,"&gt;0",ENSAYOS!$G$5:$G$3004,N600)))</f>
        <v/>
      </c>
      <c r="V600" s="16" t="str">
        <f aca="false">IF(N(M600)=0,"",IF(COUNTIFS(ENSAYOS!$C$5:$C$3004,F600,ENSAYOS!$Q$5:$Q$3004,"&gt;0",ENSAYOS!$G$5:$G$3004,"&gt;="&amp;CONFIG!$B$27)=0,"",AVERAGEIFS(ENSAYOS!$Q$5:$Q$3004,ENSAYOS!$C$5:$C$3004,F600,ENSAYOS!$Q$5:$Q$3004,"&gt;0",ENSAYOS!$G$5:$G$3004,"&gt;="&amp;CONFIG!$B$27)))</f>
        <v/>
      </c>
      <c r="W600" s="18" t="str">
        <f aca="false">IF(AND(U600&lt;&gt;"",V600&lt;&gt;""),U600/V600,"")</f>
        <v/>
      </c>
      <c r="X600" s="18" t="str">
        <f aca="false">IF(U600="","",INDEX('CURVA EDAD'!$E$5:$E$32,MIN(28,MAX(1,N600))))</f>
        <v/>
      </c>
      <c r="Y600" s="16" t="str">
        <f aca="false">IF(V600&lt;&gt;"",V600,IF(U600="","",U600/X600))</f>
        <v/>
      </c>
      <c r="Z600" s="16" t="str">
        <f aca="false">IF(V600&lt;&gt;"",_xlfn.MINIFS(ENSAYOS!$Q$5:$Q$3004,ENSAYOS!$C$5:$C$3004,F600,ENSAYOS!$Q$5:$Q$3004,"&gt;0",ENSAYOS!$G$5:$G$3004,"&gt;="&amp;CONFIG!$B$27),IF(U600="","",_xlfn.MINIFS(ENSAYOS!$Q$5:$Q$3004,ENSAYOS!$C$5:$C$3004,F600,ENSAYOS!$Q$5:$Q$3004,"&gt;0",ENSAYOS!$G$5:$G$3004,N600)/X600))</f>
        <v/>
      </c>
      <c r="AA600" s="16" t="str">
        <f aca="false">IF(D600="","",IFERROR(1/(1/INDEX(CONFIG!$J$5:$J$14,MATCH(D600,CONFIG!$D$5:$D$14,0))),""))</f>
        <v/>
      </c>
      <c r="AB600" s="16" t="str">
        <f aca="false">IF(D600="","",IFERROR(1/(1/INDEX(CONFIG!$K$5:$K$14,MATCH(D600,CONFIG!$D$5:$D$14,0))),""))</f>
        <v/>
      </c>
      <c r="AC600" s="19" t="str">
        <f aca="false">IF(N(M600)=0,"",IF(AA600="","Sin spec",IF(AND(Y600&gt;=AA600,OR(AB600="",Z600&gt;=AB600)),"CUMPLE","NO CUMPLE")&amp;IF(V600=""," (est.)","")))</f>
        <v/>
      </c>
      <c r="AD600" s="20" t="str">
        <f aca="false">IF(F600="","",IF(COUNTIFS(ABSORCION!$C$5:$C$1004,F600,ABSORCION!$I$5:$I$1004,"&gt;0")=0,"",AVERAGEIFS(ABSORCION!$I$5:$I$1004,ABSORCION!$C$5:$C$1004,F600,ABSORCION!$I$5:$I$1004,"&gt;0")))</f>
        <v/>
      </c>
      <c r="AE600" s="20" t="str">
        <f aca="false">IF(F600="","",IF(COUNTIFS(ABSORCION!$C$5:$C$1004,F600,ABSORCION!$I$5:$I$1004,"&gt;0")=0,"",AVERAGEIFS(ABSORCION!$K$5:$K$1004,ABSORCION!$C$5:$C$1004,F600,ABSORCION!$I$5:$I$1004,"&gt;0")))</f>
        <v/>
      </c>
      <c r="AF600" s="20" t="str">
        <f aca="false">IF(AE600="","",IF(AE600&gt;=CONFIG!$E$21,CONFIG!$F$21,IF(AE600&gt;=CONFIG!$E$20,CONFIG!$F$20,CONFIG!$F$19)))</f>
        <v/>
      </c>
      <c r="AG600" s="21" t="str">
        <f aca="false">IF(F600="","",TRIM(IF(N(M600)=0,"Sin ensayos. ","")&amp;IF(AND(N(M600)&gt;0,N(M600)&lt;CONFIG!$B$26),"Menos de "&amp;CONFIG!$B$26&amp;" probetas. ","")&amp;IF(N(T600)&gt;CONFIG!$B$25,"CV alto. ","")&amp;IF(AND(N(AD600)&gt;0,N(AD600)&gt;N(AF600)),"Absorción alta. ","")))</f>
        <v/>
      </c>
      <c r="AH600" s="22" t="str">
        <f aca="false">IF(AND(N(M600)&gt;0,OR(CONTROL!$C$4="TODAS",C600=CONTROL!$C$4),D600=CONTROL!$C$5),MAX($AH$4:AH599)+1,"")</f>
        <v/>
      </c>
      <c r="AI600" s="22" t="str">
        <f aca="false">IF(AH600="","",P600^2)</f>
        <v/>
      </c>
    </row>
    <row r="601" customFormat="false" ht="15" hidden="false" customHeight="false" outlineLevel="0" collapsed="false">
      <c r="A601" s="11" t="str">
        <f aca="false">IF(B601="","",ROW()-4)</f>
        <v/>
      </c>
      <c r="B601" s="12"/>
      <c r="C601" s="13"/>
      <c r="D601" s="13"/>
      <c r="E601" s="13"/>
      <c r="F601" s="14" t="str">
        <f aca="false">IF(OR(B601="",C601="",D601=""),"",IFERROR(INDEX(CONFIG!$E$5:$E$14,MATCH(D601,CONFIG!$D$5:$D$14,0)),"?")&amp;RIGHT("0"&amp;DAY(B601),2)&amp;RIGHT("0"&amp;MONTH(B601),2)&amp;RIGHT(YEAR(B601),2)&amp;C601&amp;IF(E601="","","-"&amp;E601))</f>
        <v/>
      </c>
      <c r="G601" s="13"/>
      <c r="H601" s="13"/>
      <c r="I601" s="13"/>
      <c r="J601" s="13"/>
      <c r="K601" s="13"/>
      <c r="L601" s="13"/>
      <c r="M601" s="11" t="str">
        <f aca="false">IF(F601="","",COUNTIFS(ENSAYOS!$C$5:$C$3004,F601,ENSAYOS!$Q$5:$Q$3004,"&gt;0"))</f>
        <v/>
      </c>
      <c r="N601" s="15" t="str">
        <f aca="false">IF(N(M601)=0,"",_xlfn.MINIFS(ENSAYOS!$G$5:$G$3004,ENSAYOS!$C$5:$C$3004,F601,ENSAYOS!$Q$5:$Q$3004,"&gt;0"))</f>
        <v/>
      </c>
      <c r="O601" s="15" t="str">
        <f aca="false">IF(N(M601)=0,"",_xlfn.MAXIFS(ENSAYOS!$G$5:$G$3004,ENSAYOS!$C$5:$C$3004,F601,ENSAYOS!$Q$5:$Q$3004,"&gt;0"))</f>
        <v/>
      </c>
      <c r="P601" s="16" t="str">
        <f aca="false">IF(N(M601)=0,"",AVERAGEIFS(ENSAYOS!$Q$5:$Q$3004,ENSAYOS!$C$5:$C$3004,F601,ENSAYOS!$Q$5:$Q$3004,"&gt;0"))</f>
        <v/>
      </c>
      <c r="Q601" s="16" t="str">
        <f aca="false">IF(N(M601)=0,"",_xlfn.MINIFS(ENSAYOS!$Q$5:$Q$3004,ENSAYOS!$C$5:$C$3004,F601,ENSAYOS!$Q$5:$Q$3004,"&gt;0"))</f>
        <v/>
      </c>
      <c r="R601" s="16" t="str">
        <f aca="false">IF(N(M601)=0,"",_xlfn.MAXIFS(ENSAYOS!$Q$5:$Q$3004,ENSAYOS!$C$5:$C$3004,F601,ENSAYOS!$Q$5:$Q$3004,"&gt;0"))</f>
        <v/>
      </c>
      <c r="S601" s="16" t="str">
        <f aca="false">IF(N(M601)&lt;2,"",SQRT(MAX(0,(SUMIFS(ENSAYOS!$X$5:$X$3004,ENSAYOS!$C$5:$C$3004,F601,ENSAYOS!$Q$5:$Q$3004,"&gt;0")-M601*P601^2)/(M601-1))))</f>
        <v/>
      </c>
      <c r="T601" s="17" t="str">
        <f aca="false">IF(S601="","",S601/P601)</f>
        <v/>
      </c>
      <c r="U601" s="16" t="str">
        <f aca="false">IF(N(M601)=0,"",IF(N601&gt;=CONFIG!$B$27,"",AVERAGEIFS(ENSAYOS!$Q$5:$Q$3004,ENSAYOS!$C$5:$C$3004,F601,ENSAYOS!$Q$5:$Q$3004,"&gt;0",ENSAYOS!$G$5:$G$3004,N601)))</f>
        <v/>
      </c>
      <c r="V601" s="16" t="str">
        <f aca="false">IF(N(M601)=0,"",IF(COUNTIFS(ENSAYOS!$C$5:$C$3004,F601,ENSAYOS!$Q$5:$Q$3004,"&gt;0",ENSAYOS!$G$5:$G$3004,"&gt;="&amp;CONFIG!$B$27)=0,"",AVERAGEIFS(ENSAYOS!$Q$5:$Q$3004,ENSAYOS!$C$5:$C$3004,F601,ENSAYOS!$Q$5:$Q$3004,"&gt;0",ENSAYOS!$G$5:$G$3004,"&gt;="&amp;CONFIG!$B$27)))</f>
        <v/>
      </c>
      <c r="W601" s="18" t="str">
        <f aca="false">IF(AND(U601&lt;&gt;"",V601&lt;&gt;""),U601/V601,"")</f>
        <v/>
      </c>
      <c r="X601" s="18" t="str">
        <f aca="false">IF(U601="","",INDEX('CURVA EDAD'!$E$5:$E$32,MIN(28,MAX(1,N601))))</f>
        <v/>
      </c>
      <c r="Y601" s="16" t="str">
        <f aca="false">IF(V601&lt;&gt;"",V601,IF(U601="","",U601/X601))</f>
        <v/>
      </c>
      <c r="Z601" s="16" t="str">
        <f aca="false">IF(V601&lt;&gt;"",_xlfn.MINIFS(ENSAYOS!$Q$5:$Q$3004,ENSAYOS!$C$5:$C$3004,F601,ENSAYOS!$Q$5:$Q$3004,"&gt;0",ENSAYOS!$G$5:$G$3004,"&gt;="&amp;CONFIG!$B$27),IF(U601="","",_xlfn.MINIFS(ENSAYOS!$Q$5:$Q$3004,ENSAYOS!$C$5:$C$3004,F601,ENSAYOS!$Q$5:$Q$3004,"&gt;0",ENSAYOS!$G$5:$G$3004,N601)/X601))</f>
        <v/>
      </c>
      <c r="AA601" s="16" t="str">
        <f aca="false">IF(D601="","",IFERROR(1/(1/INDEX(CONFIG!$J$5:$J$14,MATCH(D601,CONFIG!$D$5:$D$14,0))),""))</f>
        <v/>
      </c>
      <c r="AB601" s="16" t="str">
        <f aca="false">IF(D601="","",IFERROR(1/(1/INDEX(CONFIG!$K$5:$K$14,MATCH(D601,CONFIG!$D$5:$D$14,0))),""))</f>
        <v/>
      </c>
      <c r="AC601" s="19" t="str">
        <f aca="false">IF(N(M601)=0,"",IF(AA601="","Sin spec",IF(AND(Y601&gt;=AA601,OR(AB601="",Z601&gt;=AB601)),"CUMPLE","NO CUMPLE")&amp;IF(V601=""," (est.)","")))</f>
        <v/>
      </c>
      <c r="AD601" s="20" t="str">
        <f aca="false">IF(F601="","",IF(COUNTIFS(ABSORCION!$C$5:$C$1004,F601,ABSORCION!$I$5:$I$1004,"&gt;0")=0,"",AVERAGEIFS(ABSORCION!$I$5:$I$1004,ABSORCION!$C$5:$C$1004,F601,ABSORCION!$I$5:$I$1004,"&gt;0")))</f>
        <v/>
      </c>
      <c r="AE601" s="20" t="str">
        <f aca="false">IF(F601="","",IF(COUNTIFS(ABSORCION!$C$5:$C$1004,F601,ABSORCION!$I$5:$I$1004,"&gt;0")=0,"",AVERAGEIFS(ABSORCION!$K$5:$K$1004,ABSORCION!$C$5:$C$1004,F601,ABSORCION!$I$5:$I$1004,"&gt;0")))</f>
        <v/>
      </c>
      <c r="AF601" s="20" t="str">
        <f aca="false">IF(AE601="","",IF(AE601&gt;=CONFIG!$E$21,CONFIG!$F$21,IF(AE601&gt;=CONFIG!$E$20,CONFIG!$F$20,CONFIG!$F$19)))</f>
        <v/>
      </c>
      <c r="AG601" s="21" t="str">
        <f aca="false">IF(F601="","",TRIM(IF(N(M601)=0,"Sin ensayos. ","")&amp;IF(AND(N(M601)&gt;0,N(M601)&lt;CONFIG!$B$26),"Menos de "&amp;CONFIG!$B$26&amp;" probetas. ","")&amp;IF(N(T601)&gt;CONFIG!$B$25,"CV alto. ","")&amp;IF(AND(N(AD601)&gt;0,N(AD601)&gt;N(AF601)),"Absorción alta. ","")))</f>
        <v/>
      </c>
      <c r="AH601" s="22" t="str">
        <f aca="false">IF(AND(N(M601)&gt;0,OR(CONTROL!$C$4="TODAS",C601=CONTROL!$C$4),D601=CONTROL!$C$5),MAX($AH$4:AH600)+1,"")</f>
        <v/>
      </c>
      <c r="AI601" s="22" t="str">
        <f aca="false">IF(AH601="","",P601^2)</f>
        <v/>
      </c>
    </row>
    <row r="602" customFormat="false" ht="15" hidden="false" customHeight="false" outlineLevel="0" collapsed="false">
      <c r="A602" s="11" t="str">
        <f aca="false">IF(B602="","",ROW()-4)</f>
        <v/>
      </c>
      <c r="B602" s="12"/>
      <c r="C602" s="13"/>
      <c r="D602" s="13"/>
      <c r="E602" s="13"/>
      <c r="F602" s="14" t="str">
        <f aca="false">IF(OR(B602="",C602="",D602=""),"",IFERROR(INDEX(CONFIG!$E$5:$E$14,MATCH(D602,CONFIG!$D$5:$D$14,0)),"?")&amp;RIGHT("0"&amp;DAY(B602),2)&amp;RIGHT("0"&amp;MONTH(B602),2)&amp;RIGHT(YEAR(B602),2)&amp;C602&amp;IF(E602="","","-"&amp;E602))</f>
        <v/>
      </c>
      <c r="G602" s="13"/>
      <c r="H602" s="13"/>
      <c r="I602" s="13"/>
      <c r="J602" s="13"/>
      <c r="K602" s="13"/>
      <c r="L602" s="13"/>
      <c r="M602" s="11" t="str">
        <f aca="false">IF(F602="","",COUNTIFS(ENSAYOS!$C$5:$C$3004,F602,ENSAYOS!$Q$5:$Q$3004,"&gt;0"))</f>
        <v/>
      </c>
      <c r="N602" s="15" t="str">
        <f aca="false">IF(N(M602)=0,"",_xlfn.MINIFS(ENSAYOS!$G$5:$G$3004,ENSAYOS!$C$5:$C$3004,F602,ENSAYOS!$Q$5:$Q$3004,"&gt;0"))</f>
        <v/>
      </c>
      <c r="O602" s="15" t="str">
        <f aca="false">IF(N(M602)=0,"",_xlfn.MAXIFS(ENSAYOS!$G$5:$G$3004,ENSAYOS!$C$5:$C$3004,F602,ENSAYOS!$Q$5:$Q$3004,"&gt;0"))</f>
        <v/>
      </c>
      <c r="P602" s="16" t="str">
        <f aca="false">IF(N(M602)=0,"",AVERAGEIFS(ENSAYOS!$Q$5:$Q$3004,ENSAYOS!$C$5:$C$3004,F602,ENSAYOS!$Q$5:$Q$3004,"&gt;0"))</f>
        <v/>
      </c>
      <c r="Q602" s="16" t="str">
        <f aca="false">IF(N(M602)=0,"",_xlfn.MINIFS(ENSAYOS!$Q$5:$Q$3004,ENSAYOS!$C$5:$C$3004,F602,ENSAYOS!$Q$5:$Q$3004,"&gt;0"))</f>
        <v/>
      </c>
      <c r="R602" s="16" t="str">
        <f aca="false">IF(N(M602)=0,"",_xlfn.MAXIFS(ENSAYOS!$Q$5:$Q$3004,ENSAYOS!$C$5:$C$3004,F602,ENSAYOS!$Q$5:$Q$3004,"&gt;0"))</f>
        <v/>
      </c>
      <c r="S602" s="16" t="str">
        <f aca="false">IF(N(M602)&lt;2,"",SQRT(MAX(0,(SUMIFS(ENSAYOS!$X$5:$X$3004,ENSAYOS!$C$5:$C$3004,F602,ENSAYOS!$Q$5:$Q$3004,"&gt;0")-M602*P602^2)/(M602-1))))</f>
        <v/>
      </c>
      <c r="T602" s="17" t="str">
        <f aca="false">IF(S602="","",S602/P602)</f>
        <v/>
      </c>
      <c r="U602" s="16" t="str">
        <f aca="false">IF(N(M602)=0,"",IF(N602&gt;=CONFIG!$B$27,"",AVERAGEIFS(ENSAYOS!$Q$5:$Q$3004,ENSAYOS!$C$5:$C$3004,F602,ENSAYOS!$Q$5:$Q$3004,"&gt;0",ENSAYOS!$G$5:$G$3004,N602)))</f>
        <v/>
      </c>
      <c r="V602" s="16" t="str">
        <f aca="false">IF(N(M602)=0,"",IF(COUNTIFS(ENSAYOS!$C$5:$C$3004,F602,ENSAYOS!$Q$5:$Q$3004,"&gt;0",ENSAYOS!$G$5:$G$3004,"&gt;="&amp;CONFIG!$B$27)=0,"",AVERAGEIFS(ENSAYOS!$Q$5:$Q$3004,ENSAYOS!$C$5:$C$3004,F602,ENSAYOS!$Q$5:$Q$3004,"&gt;0",ENSAYOS!$G$5:$G$3004,"&gt;="&amp;CONFIG!$B$27)))</f>
        <v/>
      </c>
      <c r="W602" s="18" t="str">
        <f aca="false">IF(AND(U602&lt;&gt;"",V602&lt;&gt;""),U602/V602,"")</f>
        <v/>
      </c>
      <c r="X602" s="18" t="str">
        <f aca="false">IF(U602="","",INDEX('CURVA EDAD'!$E$5:$E$32,MIN(28,MAX(1,N602))))</f>
        <v/>
      </c>
      <c r="Y602" s="16" t="str">
        <f aca="false">IF(V602&lt;&gt;"",V602,IF(U602="","",U602/X602))</f>
        <v/>
      </c>
      <c r="Z602" s="16" t="str">
        <f aca="false">IF(V602&lt;&gt;"",_xlfn.MINIFS(ENSAYOS!$Q$5:$Q$3004,ENSAYOS!$C$5:$C$3004,F602,ENSAYOS!$Q$5:$Q$3004,"&gt;0",ENSAYOS!$G$5:$G$3004,"&gt;="&amp;CONFIG!$B$27),IF(U602="","",_xlfn.MINIFS(ENSAYOS!$Q$5:$Q$3004,ENSAYOS!$C$5:$C$3004,F602,ENSAYOS!$Q$5:$Q$3004,"&gt;0",ENSAYOS!$G$5:$G$3004,N602)/X602))</f>
        <v/>
      </c>
      <c r="AA602" s="16" t="str">
        <f aca="false">IF(D602="","",IFERROR(1/(1/INDEX(CONFIG!$J$5:$J$14,MATCH(D602,CONFIG!$D$5:$D$14,0))),""))</f>
        <v/>
      </c>
      <c r="AB602" s="16" t="str">
        <f aca="false">IF(D602="","",IFERROR(1/(1/INDEX(CONFIG!$K$5:$K$14,MATCH(D602,CONFIG!$D$5:$D$14,0))),""))</f>
        <v/>
      </c>
      <c r="AC602" s="19" t="str">
        <f aca="false">IF(N(M602)=0,"",IF(AA602="","Sin spec",IF(AND(Y602&gt;=AA602,OR(AB602="",Z602&gt;=AB602)),"CUMPLE","NO CUMPLE")&amp;IF(V602=""," (est.)","")))</f>
        <v/>
      </c>
      <c r="AD602" s="20" t="str">
        <f aca="false">IF(F602="","",IF(COUNTIFS(ABSORCION!$C$5:$C$1004,F602,ABSORCION!$I$5:$I$1004,"&gt;0")=0,"",AVERAGEIFS(ABSORCION!$I$5:$I$1004,ABSORCION!$C$5:$C$1004,F602,ABSORCION!$I$5:$I$1004,"&gt;0")))</f>
        <v/>
      </c>
      <c r="AE602" s="20" t="str">
        <f aca="false">IF(F602="","",IF(COUNTIFS(ABSORCION!$C$5:$C$1004,F602,ABSORCION!$I$5:$I$1004,"&gt;0")=0,"",AVERAGEIFS(ABSORCION!$K$5:$K$1004,ABSORCION!$C$5:$C$1004,F602,ABSORCION!$I$5:$I$1004,"&gt;0")))</f>
        <v/>
      </c>
      <c r="AF602" s="20" t="str">
        <f aca="false">IF(AE602="","",IF(AE602&gt;=CONFIG!$E$21,CONFIG!$F$21,IF(AE602&gt;=CONFIG!$E$20,CONFIG!$F$20,CONFIG!$F$19)))</f>
        <v/>
      </c>
      <c r="AG602" s="21" t="str">
        <f aca="false">IF(F602="","",TRIM(IF(N(M602)=0,"Sin ensayos. ","")&amp;IF(AND(N(M602)&gt;0,N(M602)&lt;CONFIG!$B$26),"Menos de "&amp;CONFIG!$B$26&amp;" probetas. ","")&amp;IF(N(T602)&gt;CONFIG!$B$25,"CV alto. ","")&amp;IF(AND(N(AD602)&gt;0,N(AD602)&gt;N(AF602)),"Absorción alta. ","")))</f>
        <v/>
      </c>
      <c r="AH602" s="22" t="str">
        <f aca="false">IF(AND(N(M602)&gt;0,OR(CONTROL!$C$4="TODAS",C602=CONTROL!$C$4),D602=CONTROL!$C$5),MAX($AH$4:AH601)+1,"")</f>
        <v/>
      </c>
      <c r="AI602" s="22" t="str">
        <f aca="false">IF(AH602="","",P602^2)</f>
        <v/>
      </c>
    </row>
    <row r="603" customFormat="false" ht="15" hidden="false" customHeight="false" outlineLevel="0" collapsed="false">
      <c r="A603" s="11" t="str">
        <f aca="false">IF(B603="","",ROW()-4)</f>
        <v/>
      </c>
      <c r="B603" s="12"/>
      <c r="C603" s="13"/>
      <c r="D603" s="13"/>
      <c r="E603" s="13"/>
      <c r="F603" s="14" t="str">
        <f aca="false">IF(OR(B603="",C603="",D603=""),"",IFERROR(INDEX(CONFIG!$E$5:$E$14,MATCH(D603,CONFIG!$D$5:$D$14,0)),"?")&amp;RIGHT("0"&amp;DAY(B603),2)&amp;RIGHT("0"&amp;MONTH(B603),2)&amp;RIGHT(YEAR(B603),2)&amp;C603&amp;IF(E603="","","-"&amp;E603))</f>
        <v/>
      </c>
      <c r="G603" s="13"/>
      <c r="H603" s="13"/>
      <c r="I603" s="13"/>
      <c r="J603" s="13"/>
      <c r="K603" s="13"/>
      <c r="L603" s="13"/>
      <c r="M603" s="11" t="str">
        <f aca="false">IF(F603="","",COUNTIFS(ENSAYOS!$C$5:$C$3004,F603,ENSAYOS!$Q$5:$Q$3004,"&gt;0"))</f>
        <v/>
      </c>
      <c r="N603" s="15" t="str">
        <f aca="false">IF(N(M603)=0,"",_xlfn.MINIFS(ENSAYOS!$G$5:$G$3004,ENSAYOS!$C$5:$C$3004,F603,ENSAYOS!$Q$5:$Q$3004,"&gt;0"))</f>
        <v/>
      </c>
      <c r="O603" s="15" t="str">
        <f aca="false">IF(N(M603)=0,"",_xlfn.MAXIFS(ENSAYOS!$G$5:$G$3004,ENSAYOS!$C$5:$C$3004,F603,ENSAYOS!$Q$5:$Q$3004,"&gt;0"))</f>
        <v/>
      </c>
      <c r="P603" s="16" t="str">
        <f aca="false">IF(N(M603)=0,"",AVERAGEIFS(ENSAYOS!$Q$5:$Q$3004,ENSAYOS!$C$5:$C$3004,F603,ENSAYOS!$Q$5:$Q$3004,"&gt;0"))</f>
        <v/>
      </c>
      <c r="Q603" s="16" t="str">
        <f aca="false">IF(N(M603)=0,"",_xlfn.MINIFS(ENSAYOS!$Q$5:$Q$3004,ENSAYOS!$C$5:$C$3004,F603,ENSAYOS!$Q$5:$Q$3004,"&gt;0"))</f>
        <v/>
      </c>
      <c r="R603" s="16" t="str">
        <f aca="false">IF(N(M603)=0,"",_xlfn.MAXIFS(ENSAYOS!$Q$5:$Q$3004,ENSAYOS!$C$5:$C$3004,F603,ENSAYOS!$Q$5:$Q$3004,"&gt;0"))</f>
        <v/>
      </c>
      <c r="S603" s="16" t="str">
        <f aca="false">IF(N(M603)&lt;2,"",SQRT(MAX(0,(SUMIFS(ENSAYOS!$X$5:$X$3004,ENSAYOS!$C$5:$C$3004,F603,ENSAYOS!$Q$5:$Q$3004,"&gt;0")-M603*P603^2)/(M603-1))))</f>
        <v/>
      </c>
      <c r="T603" s="17" t="str">
        <f aca="false">IF(S603="","",S603/P603)</f>
        <v/>
      </c>
      <c r="U603" s="16" t="str">
        <f aca="false">IF(N(M603)=0,"",IF(N603&gt;=CONFIG!$B$27,"",AVERAGEIFS(ENSAYOS!$Q$5:$Q$3004,ENSAYOS!$C$5:$C$3004,F603,ENSAYOS!$Q$5:$Q$3004,"&gt;0",ENSAYOS!$G$5:$G$3004,N603)))</f>
        <v/>
      </c>
      <c r="V603" s="16" t="str">
        <f aca="false">IF(N(M603)=0,"",IF(COUNTIFS(ENSAYOS!$C$5:$C$3004,F603,ENSAYOS!$Q$5:$Q$3004,"&gt;0",ENSAYOS!$G$5:$G$3004,"&gt;="&amp;CONFIG!$B$27)=0,"",AVERAGEIFS(ENSAYOS!$Q$5:$Q$3004,ENSAYOS!$C$5:$C$3004,F603,ENSAYOS!$Q$5:$Q$3004,"&gt;0",ENSAYOS!$G$5:$G$3004,"&gt;="&amp;CONFIG!$B$27)))</f>
        <v/>
      </c>
      <c r="W603" s="18" t="str">
        <f aca="false">IF(AND(U603&lt;&gt;"",V603&lt;&gt;""),U603/V603,"")</f>
        <v/>
      </c>
      <c r="X603" s="18" t="str">
        <f aca="false">IF(U603="","",INDEX('CURVA EDAD'!$E$5:$E$32,MIN(28,MAX(1,N603))))</f>
        <v/>
      </c>
      <c r="Y603" s="16" t="str">
        <f aca="false">IF(V603&lt;&gt;"",V603,IF(U603="","",U603/X603))</f>
        <v/>
      </c>
      <c r="Z603" s="16" t="str">
        <f aca="false">IF(V603&lt;&gt;"",_xlfn.MINIFS(ENSAYOS!$Q$5:$Q$3004,ENSAYOS!$C$5:$C$3004,F603,ENSAYOS!$Q$5:$Q$3004,"&gt;0",ENSAYOS!$G$5:$G$3004,"&gt;="&amp;CONFIG!$B$27),IF(U603="","",_xlfn.MINIFS(ENSAYOS!$Q$5:$Q$3004,ENSAYOS!$C$5:$C$3004,F603,ENSAYOS!$Q$5:$Q$3004,"&gt;0",ENSAYOS!$G$5:$G$3004,N603)/X603))</f>
        <v/>
      </c>
      <c r="AA603" s="16" t="str">
        <f aca="false">IF(D603="","",IFERROR(1/(1/INDEX(CONFIG!$J$5:$J$14,MATCH(D603,CONFIG!$D$5:$D$14,0))),""))</f>
        <v/>
      </c>
      <c r="AB603" s="16" t="str">
        <f aca="false">IF(D603="","",IFERROR(1/(1/INDEX(CONFIG!$K$5:$K$14,MATCH(D603,CONFIG!$D$5:$D$14,0))),""))</f>
        <v/>
      </c>
      <c r="AC603" s="19" t="str">
        <f aca="false">IF(N(M603)=0,"",IF(AA603="","Sin spec",IF(AND(Y603&gt;=AA603,OR(AB603="",Z603&gt;=AB603)),"CUMPLE","NO CUMPLE")&amp;IF(V603=""," (est.)","")))</f>
        <v/>
      </c>
      <c r="AD603" s="20" t="str">
        <f aca="false">IF(F603="","",IF(COUNTIFS(ABSORCION!$C$5:$C$1004,F603,ABSORCION!$I$5:$I$1004,"&gt;0")=0,"",AVERAGEIFS(ABSORCION!$I$5:$I$1004,ABSORCION!$C$5:$C$1004,F603,ABSORCION!$I$5:$I$1004,"&gt;0")))</f>
        <v/>
      </c>
      <c r="AE603" s="20" t="str">
        <f aca="false">IF(F603="","",IF(COUNTIFS(ABSORCION!$C$5:$C$1004,F603,ABSORCION!$I$5:$I$1004,"&gt;0")=0,"",AVERAGEIFS(ABSORCION!$K$5:$K$1004,ABSORCION!$C$5:$C$1004,F603,ABSORCION!$I$5:$I$1004,"&gt;0")))</f>
        <v/>
      </c>
      <c r="AF603" s="20" t="str">
        <f aca="false">IF(AE603="","",IF(AE603&gt;=CONFIG!$E$21,CONFIG!$F$21,IF(AE603&gt;=CONFIG!$E$20,CONFIG!$F$20,CONFIG!$F$19)))</f>
        <v/>
      </c>
      <c r="AG603" s="21" t="str">
        <f aca="false">IF(F603="","",TRIM(IF(N(M603)=0,"Sin ensayos. ","")&amp;IF(AND(N(M603)&gt;0,N(M603)&lt;CONFIG!$B$26),"Menos de "&amp;CONFIG!$B$26&amp;" probetas. ","")&amp;IF(N(T603)&gt;CONFIG!$B$25,"CV alto. ","")&amp;IF(AND(N(AD603)&gt;0,N(AD603)&gt;N(AF603)),"Absorción alta. ","")))</f>
        <v/>
      </c>
      <c r="AH603" s="22" t="str">
        <f aca="false">IF(AND(N(M603)&gt;0,OR(CONTROL!$C$4="TODAS",C603=CONTROL!$C$4),D603=CONTROL!$C$5),MAX($AH$4:AH602)+1,"")</f>
        <v/>
      </c>
      <c r="AI603" s="22" t="str">
        <f aca="false">IF(AH603="","",P603^2)</f>
        <v/>
      </c>
    </row>
    <row r="604" customFormat="false" ht="15" hidden="false" customHeight="false" outlineLevel="0" collapsed="false">
      <c r="A604" s="11" t="str">
        <f aca="false">IF(B604="","",ROW()-4)</f>
        <v/>
      </c>
      <c r="B604" s="12"/>
      <c r="C604" s="13"/>
      <c r="D604" s="13"/>
      <c r="E604" s="13"/>
      <c r="F604" s="14" t="str">
        <f aca="false">IF(OR(B604="",C604="",D604=""),"",IFERROR(INDEX(CONFIG!$E$5:$E$14,MATCH(D604,CONFIG!$D$5:$D$14,0)),"?")&amp;RIGHT("0"&amp;DAY(B604),2)&amp;RIGHT("0"&amp;MONTH(B604),2)&amp;RIGHT(YEAR(B604),2)&amp;C604&amp;IF(E604="","","-"&amp;E604))</f>
        <v/>
      </c>
      <c r="G604" s="13"/>
      <c r="H604" s="13"/>
      <c r="I604" s="13"/>
      <c r="J604" s="13"/>
      <c r="K604" s="13"/>
      <c r="L604" s="13"/>
      <c r="M604" s="11" t="str">
        <f aca="false">IF(F604="","",COUNTIFS(ENSAYOS!$C$5:$C$3004,F604,ENSAYOS!$Q$5:$Q$3004,"&gt;0"))</f>
        <v/>
      </c>
      <c r="N604" s="15" t="str">
        <f aca="false">IF(N(M604)=0,"",_xlfn.MINIFS(ENSAYOS!$G$5:$G$3004,ENSAYOS!$C$5:$C$3004,F604,ENSAYOS!$Q$5:$Q$3004,"&gt;0"))</f>
        <v/>
      </c>
      <c r="O604" s="15" t="str">
        <f aca="false">IF(N(M604)=0,"",_xlfn.MAXIFS(ENSAYOS!$G$5:$G$3004,ENSAYOS!$C$5:$C$3004,F604,ENSAYOS!$Q$5:$Q$3004,"&gt;0"))</f>
        <v/>
      </c>
      <c r="P604" s="16" t="str">
        <f aca="false">IF(N(M604)=0,"",AVERAGEIFS(ENSAYOS!$Q$5:$Q$3004,ENSAYOS!$C$5:$C$3004,F604,ENSAYOS!$Q$5:$Q$3004,"&gt;0"))</f>
        <v/>
      </c>
      <c r="Q604" s="16" t="str">
        <f aca="false">IF(N(M604)=0,"",_xlfn.MINIFS(ENSAYOS!$Q$5:$Q$3004,ENSAYOS!$C$5:$C$3004,F604,ENSAYOS!$Q$5:$Q$3004,"&gt;0"))</f>
        <v/>
      </c>
      <c r="R604" s="16" t="str">
        <f aca="false">IF(N(M604)=0,"",_xlfn.MAXIFS(ENSAYOS!$Q$5:$Q$3004,ENSAYOS!$C$5:$C$3004,F604,ENSAYOS!$Q$5:$Q$3004,"&gt;0"))</f>
        <v/>
      </c>
      <c r="S604" s="16" t="str">
        <f aca="false">IF(N(M604)&lt;2,"",SQRT(MAX(0,(SUMIFS(ENSAYOS!$X$5:$X$3004,ENSAYOS!$C$5:$C$3004,F604,ENSAYOS!$Q$5:$Q$3004,"&gt;0")-M604*P604^2)/(M604-1))))</f>
        <v/>
      </c>
      <c r="T604" s="17" t="str">
        <f aca="false">IF(S604="","",S604/P604)</f>
        <v/>
      </c>
      <c r="U604" s="16" t="str">
        <f aca="false">IF(N(M604)=0,"",IF(N604&gt;=CONFIG!$B$27,"",AVERAGEIFS(ENSAYOS!$Q$5:$Q$3004,ENSAYOS!$C$5:$C$3004,F604,ENSAYOS!$Q$5:$Q$3004,"&gt;0",ENSAYOS!$G$5:$G$3004,N604)))</f>
        <v/>
      </c>
      <c r="V604" s="16" t="str">
        <f aca="false">IF(N(M604)=0,"",IF(COUNTIFS(ENSAYOS!$C$5:$C$3004,F604,ENSAYOS!$Q$5:$Q$3004,"&gt;0",ENSAYOS!$G$5:$G$3004,"&gt;="&amp;CONFIG!$B$27)=0,"",AVERAGEIFS(ENSAYOS!$Q$5:$Q$3004,ENSAYOS!$C$5:$C$3004,F604,ENSAYOS!$Q$5:$Q$3004,"&gt;0",ENSAYOS!$G$5:$G$3004,"&gt;="&amp;CONFIG!$B$27)))</f>
        <v/>
      </c>
      <c r="W604" s="18" t="str">
        <f aca="false">IF(AND(U604&lt;&gt;"",V604&lt;&gt;""),U604/V604,"")</f>
        <v/>
      </c>
      <c r="X604" s="18" t="str">
        <f aca="false">IF(U604="","",INDEX('CURVA EDAD'!$E$5:$E$32,MIN(28,MAX(1,N604))))</f>
        <v/>
      </c>
      <c r="Y604" s="16" t="str">
        <f aca="false">IF(V604&lt;&gt;"",V604,IF(U604="","",U604/X604))</f>
        <v/>
      </c>
      <c r="Z604" s="16" t="str">
        <f aca="false">IF(V604&lt;&gt;"",_xlfn.MINIFS(ENSAYOS!$Q$5:$Q$3004,ENSAYOS!$C$5:$C$3004,F604,ENSAYOS!$Q$5:$Q$3004,"&gt;0",ENSAYOS!$G$5:$G$3004,"&gt;="&amp;CONFIG!$B$27),IF(U604="","",_xlfn.MINIFS(ENSAYOS!$Q$5:$Q$3004,ENSAYOS!$C$5:$C$3004,F604,ENSAYOS!$Q$5:$Q$3004,"&gt;0",ENSAYOS!$G$5:$G$3004,N604)/X604))</f>
        <v/>
      </c>
      <c r="AA604" s="16" t="str">
        <f aca="false">IF(D604="","",IFERROR(1/(1/INDEX(CONFIG!$J$5:$J$14,MATCH(D604,CONFIG!$D$5:$D$14,0))),""))</f>
        <v/>
      </c>
      <c r="AB604" s="16" t="str">
        <f aca="false">IF(D604="","",IFERROR(1/(1/INDEX(CONFIG!$K$5:$K$14,MATCH(D604,CONFIG!$D$5:$D$14,0))),""))</f>
        <v/>
      </c>
      <c r="AC604" s="19" t="str">
        <f aca="false">IF(N(M604)=0,"",IF(AA604="","Sin spec",IF(AND(Y604&gt;=AA604,OR(AB604="",Z604&gt;=AB604)),"CUMPLE","NO CUMPLE")&amp;IF(V604=""," (est.)","")))</f>
        <v/>
      </c>
      <c r="AD604" s="20" t="str">
        <f aca="false">IF(F604="","",IF(COUNTIFS(ABSORCION!$C$5:$C$1004,F604,ABSORCION!$I$5:$I$1004,"&gt;0")=0,"",AVERAGEIFS(ABSORCION!$I$5:$I$1004,ABSORCION!$C$5:$C$1004,F604,ABSORCION!$I$5:$I$1004,"&gt;0")))</f>
        <v/>
      </c>
      <c r="AE604" s="20" t="str">
        <f aca="false">IF(F604="","",IF(COUNTIFS(ABSORCION!$C$5:$C$1004,F604,ABSORCION!$I$5:$I$1004,"&gt;0")=0,"",AVERAGEIFS(ABSORCION!$K$5:$K$1004,ABSORCION!$C$5:$C$1004,F604,ABSORCION!$I$5:$I$1004,"&gt;0")))</f>
        <v/>
      </c>
      <c r="AF604" s="20" t="str">
        <f aca="false">IF(AE604="","",IF(AE604&gt;=CONFIG!$E$21,CONFIG!$F$21,IF(AE604&gt;=CONFIG!$E$20,CONFIG!$F$20,CONFIG!$F$19)))</f>
        <v/>
      </c>
      <c r="AG604" s="21" t="str">
        <f aca="false">IF(F604="","",TRIM(IF(N(M604)=0,"Sin ensayos. ","")&amp;IF(AND(N(M604)&gt;0,N(M604)&lt;CONFIG!$B$26),"Menos de "&amp;CONFIG!$B$26&amp;" probetas. ","")&amp;IF(N(T604)&gt;CONFIG!$B$25,"CV alto. ","")&amp;IF(AND(N(AD604)&gt;0,N(AD604)&gt;N(AF604)),"Absorción alta. ","")))</f>
        <v/>
      </c>
      <c r="AH604" s="22" t="str">
        <f aca="false">IF(AND(N(M604)&gt;0,OR(CONTROL!$C$4="TODAS",C604=CONTROL!$C$4),D604=CONTROL!$C$5),MAX($AH$4:AH603)+1,"")</f>
        <v/>
      </c>
      <c r="AI604" s="22" t="str">
        <f aca="false">IF(AH604="","",P604^2)</f>
        <v/>
      </c>
    </row>
    <row r="605" customFormat="false" ht="15" hidden="false" customHeight="false" outlineLevel="0" collapsed="false">
      <c r="A605" s="11" t="str">
        <f aca="false">IF(B605="","",ROW()-4)</f>
        <v/>
      </c>
      <c r="B605" s="12"/>
      <c r="C605" s="13"/>
      <c r="D605" s="13"/>
      <c r="E605" s="13"/>
      <c r="F605" s="14" t="str">
        <f aca="false">IF(OR(B605="",C605="",D605=""),"",IFERROR(INDEX(CONFIG!$E$5:$E$14,MATCH(D605,CONFIG!$D$5:$D$14,0)),"?")&amp;RIGHT("0"&amp;DAY(B605),2)&amp;RIGHT("0"&amp;MONTH(B605),2)&amp;RIGHT(YEAR(B605),2)&amp;C605&amp;IF(E605="","","-"&amp;E605))</f>
        <v/>
      </c>
      <c r="G605" s="13"/>
      <c r="H605" s="13"/>
      <c r="I605" s="13"/>
      <c r="J605" s="13"/>
      <c r="K605" s="13"/>
      <c r="L605" s="13"/>
      <c r="M605" s="11" t="str">
        <f aca="false">IF(F605="","",COUNTIFS(ENSAYOS!$C$5:$C$3004,F605,ENSAYOS!$Q$5:$Q$3004,"&gt;0"))</f>
        <v/>
      </c>
      <c r="N605" s="15" t="str">
        <f aca="false">IF(N(M605)=0,"",_xlfn.MINIFS(ENSAYOS!$G$5:$G$3004,ENSAYOS!$C$5:$C$3004,F605,ENSAYOS!$Q$5:$Q$3004,"&gt;0"))</f>
        <v/>
      </c>
      <c r="O605" s="15" t="str">
        <f aca="false">IF(N(M605)=0,"",_xlfn.MAXIFS(ENSAYOS!$G$5:$G$3004,ENSAYOS!$C$5:$C$3004,F605,ENSAYOS!$Q$5:$Q$3004,"&gt;0"))</f>
        <v/>
      </c>
      <c r="P605" s="16" t="str">
        <f aca="false">IF(N(M605)=0,"",AVERAGEIFS(ENSAYOS!$Q$5:$Q$3004,ENSAYOS!$C$5:$C$3004,F605,ENSAYOS!$Q$5:$Q$3004,"&gt;0"))</f>
        <v/>
      </c>
      <c r="Q605" s="16" t="str">
        <f aca="false">IF(N(M605)=0,"",_xlfn.MINIFS(ENSAYOS!$Q$5:$Q$3004,ENSAYOS!$C$5:$C$3004,F605,ENSAYOS!$Q$5:$Q$3004,"&gt;0"))</f>
        <v/>
      </c>
      <c r="R605" s="16" t="str">
        <f aca="false">IF(N(M605)=0,"",_xlfn.MAXIFS(ENSAYOS!$Q$5:$Q$3004,ENSAYOS!$C$5:$C$3004,F605,ENSAYOS!$Q$5:$Q$3004,"&gt;0"))</f>
        <v/>
      </c>
      <c r="S605" s="16" t="str">
        <f aca="false">IF(N(M605)&lt;2,"",SQRT(MAX(0,(SUMIFS(ENSAYOS!$X$5:$X$3004,ENSAYOS!$C$5:$C$3004,F605,ENSAYOS!$Q$5:$Q$3004,"&gt;0")-M605*P605^2)/(M605-1))))</f>
        <v/>
      </c>
      <c r="T605" s="17" t="str">
        <f aca="false">IF(S605="","",S605/P605)</f>
        <v/>
      </c>
      <c r="U605" s="16" t="str">
        <f aca="false">IF(N(M605)=0,"",IF(N605&gt;=CONFIG!$B$27,"",AVERAGEIFS(ENSAYOS!$Q$5:$Q$3004,ENSAYOS!$C$5:$C$3004,F605,ENSAYOS!$Q$5:$Q$3004,"&gt;0",ENSAYOS!$G$5:$G$3004,N605)))</f>
        <v/>
      </c>
      <c r="V605" s="16" t="str">
        <f aca="false">IF(N(M605)=0,"",IF(COUNTIFS(ENSAYOS!$C$5:$C$3004,F605,ENSAYOS!$Q$5:$Q$3004,"&gt;0",ENSAYOS!$G$5:$G$3004,"&gt;="&amp;CONFIG!$B$27)=0,"",AVERAGEIFS(ENSAYOS!$Q$5:$Q$3004,ENSAYOS!$C$5:$C$3004,F605,ENSAYOS!$Q$5:$Q$3004,"&gt;0",ENSAYOS!$G$5:$G$3004,"&gt;="&amp;CONFIG!$B$27)))</f>
        <v/>
      </c>
      <c r="W605" s="18" t="str">
        <f aca="false">IF(AND(U605&lt;&gt;"",V605&lt;&gt;""),U605/V605,"")</f>
        <v/>
      </c>
      <c r="X605" s="18" t="str">
        <f aca="false">IF(U605="","",INDEX('CURVA EDAD'!$E$5:$E$32,MIN(28,MAX(1,N605))))</f>
        <v/>
      </c>
      <c r="Y605" s="16" t="str">
        <f aca="false">IF(V605&lt;&gt;"",V605,IF(U605="","",U605/X605))</f>
        <v/>
      </c>
      <c r="Z605" s="16" t="str">
        <f aca="false">IF(V605&lt;&gt;"",_xlfn.MINIFS(ENSAYOS!$Q$5:$Q$3004,ENSAYOS!$C$5:$C$3004,F605,ENSAYOS!$Q$5:$Q$3004,"&gt;0",ENSAYOS!$G$5:$G$3004,"&gt;="&amp;CONFIG!$B$27),IF(U605="","",_xlfn.MINIFS(ENSAYOS!$Q$5:$Q$3004,ENSAYOS!$C$5:$C$3004,F605,ENSAYOS!$Q$5:$Q$3004,"&gt;0",ENSAYOS!$G$5:$G$3004,N605)/X605))</f>
        <v/>
      </c>
      <c r="AA605" s="16" t="str">
        <f aca="false">IF(D605="","",IFERROR(1/(1/INDEX(CONFIG!$J$5:$J$14,MATCH(D605,CONFIG!$D$5:$D$14,0))),""))</f>
        <v/>
      </c>
      <c r="AB605" s="16" t="str">
        <f aca="false">IF(D605="","",IFERROR(1/(1/INDEX(CONFIG!$K$5:$K$14,MATCH(D605,CONFIG!$D$5:$D$14,0))),""))</f>
        <v/>
      </c>
      <c r="AC605" s="19" t="str">
        <f aca="false">IF(N(M605)=0,"",IF(AA605="","Sin spec",IF(AND(Y605&gt;=AA605,OR(AB605="",Z605&gt;=AB605)),"CUMPLE","NO CUMPLE")&amp;IF(V605=""," (est.)","")))</f>
        <v/>
      </c>
      <c r="AD605" s="20" t="str">
        <f aca="false">IF(F605="","",IF(COUNTIFS(ABSORCION!$C$5:$C$1004,F605,ABSORCION!$I$5:$I$1004,"&gt;0")=0,"",AVERAGEIFS(ABSORCION!$I$5:$I$1004,ABSORCION!$C$5:$C$1004,F605,ABSORCION!$I$5:$I$1004,"&gt;0")))</f>
        <v/>
      </c>
      <c r="AE605" s="20" t="str">
        <f aca="false">IF(F605="","",IF(COUNTIFS(ABSORCION!$C$5:$C$1004,F605,ABSORCION!$I$5:$I$1004,"&gt;0")=0,"",AVERAGEIFS(ABSORCION!$K$5:$K$1004,ABSORCION!$C$5:$C$1004,F605,ABSORCION!$I$5:$I$1004,"&gt;0")))</f>
        <v/>
      </c>
      <c r="AF605" s="20" t="str">
        <f aca="false">IF(AE605="","",IF(AE605&gt;=CONFIG!$E$21,CONFIG!$F$21,IF(AE605&gt;=CONFIG!$E$20,CONFIG!$F$20,CONFIG!$F$19)))</f>
        <v/>
      </c>
      <c r="AG605" s="21" t="str">
        <f aca="false">IF(F605="","",TRIM(IF(N(M605)=0,"Sin ensayos. ","")&amp;IF(AND(N(M605)&gt;0,N(M605)&lt;CONFIG!$B$26),"Menos de "&amp;CONFIG!$B$26&amp;" probetas. ","")&amp;IF(N(T605)&gt;CONFIG!$B$25,"CV alto. ","")&amp;IF(AND(N(AD605)&gt;0,N(AD605)&gt;N(AF605)),"Absorción alta. ","")))</f>
        <v/>
      </c>
      <c r="AH605" s="22" t="str">
        <f aca="false">IF(AND(N(M605)&gt;0,OR(CONTROL!$C$4="TODAS",C605=CONTROL!$C$4),D605=CONTROL!$C$5),MAX($AH$4:AH604)+1,"")</f>
        <v/>
      </c>
      <c r="AI605" s="22" t="str">
        <f aca="false">IF(AH605="","",P605^2)</f>
        <v/>
      </c>
    </row>
    <row r="606" customFormat="false" ht="15" hidden="false" customHeight="false" outlineLevel="0" collapsed="false">
      <c r="A606" s="11" t="str">
        <f aca="false">IF(B606="","",ROW()-4)</f>
        <v/>
      </c>
      <c r="B606" s="12"/>
      <c r="C606" s="13"/>
      <c r="D606" s="13"/>
      <c r="E606" s="13"/>
      <c r="F606" s="14" t="str">
        <f aca="false">IF(OR(B606="",C606="",D606=""),"",IFERROR(INDEX(CONFIG!$E$5:$E$14,MATCH(D606,CONFIG!$D$5:$D$14,0)),"?")&amp;RIGHT("0"&amp;DAY(B606),2)&amp;RIGHT("0"&amp;MONTH(B606),2)&amp;RIGHT(YEAR(B606),2)&amp;C606&amp;IF(E606="","","-"&amp;E606))</f>
        <v/>
      </c>
      <c r="G606" s="13"/>
      <c r="H606" s="13"/>
      <c r="I606" s="13"/>
      <c r="J606" s="13"/>
      <c r="K606" s="13"/>
      <c r="L606" s="13"/>
      <c r="M606" s="11" t="str">
        <f aca="false">IF(F606="","",COUNTIFS(ENSAYOS!$C$5:$C$3004,F606,ENSAYOS!$Q$5:$Q$3004,"&gt;0"))</f>
        <v/>
      </c>
      <c r="N606" s="15" t="str">
        <f aca="false">IF(N(M606)=0,"",_xlfn.MINIFS(ENSAYOS!$G$5:$G$3004,ENSAYOS!$C$5:$C$3004,F606,ENSAYOS!$Q$5:$Q$3004,"&gt;0"))</f>
        <v/>
      </c>
      <c r="O606" s="15" t="str">
        <f aca="false">IF(N(M606)=0,"",_xlfn.MAXIFS(ENSAYOS!$G$5:$G$3004,ENSAYOS!$C$5:$C$3004,F606,ENSAYOS!$Q$5:$Q$3004,"&gt;0"))</f>
        <v/>
      </c>
      <c r="P606" s="16" t="str">
        <f aca="false">IF(N(M606)=0,"",AVERAGEIFS(ENSAYOS!$Q$5:$Q$3004,ENSAYOS!$C$5:$C$3004,F606,ENSAYOS!$Q$5:$Q$3004,"&gt;0"))</f>
        <v/>
      </c>
      <c r="Q606" s="16" t="str">
        <f aca="false">IF(N(M606)=0,"",_xlfn.MINIFS(ENSAYOS!$Q$5:$Q$3004,ENSAYOS!$C$5:$C$3004,F606,ENSAYOS!$Q$5:$Q$3004,"&gt;0"))</f>
        <v/>
      </c>
      <c r="R606" s="16" t="str">
        <f aca="false">IF(N(M606)=0,"",_xlfn.MAXIFS(ENSAYOS!$Q$5:$Q$3004,ENSAYOS!$C$5:$C$3004,F606,ENSAYOS!$Q$5:$Q$3004,"&gt;0"))</f>
        <v/>
      </c>
      <c r="S606" s="16" t="str">
        <f aca="false">IF(N(M606)&lt;2,"",SQRT(MAX(0,(SUMIFS(ENSAYOS!$X$5:$X$3004,ENSAYOS!$C$5:$C$3004,F606,ENSAYOS!$Q$5:$Q$3004,"&gt;0")-M606*P606^2)/(M606-1))))</f>
        <v/>
      </c>
      <c r="T606" s="17" t="str">
        <f aca="false">IF(S606="","",S606/P606)</f>
        <v/>
      </c>
      <c r="U606" s="16" t="str">
        <f aca="false">IF(N(M606)=0,"",IF(N606&gt;=CONFIG!$B$27,"",AVERAGEIFS(ENSAYOS!$Q$5:$Q$3004,ENSAYOS!$C$5:$C$3004,F606,ENSAYOS!$Q$5:$Q$3004,"&gt;0",ENSAYOS!$G$5:$G$3004,N606)))</f>
        <v/>
      </c>
      <c r="V606" s="16" t="str">
        <f aca="false">IF(N(M606)=0,"",IF(COUNTIFS(ENSAYOS!$C$5:$C$3004,F606,ENSAYOS!$Q$5:$Q$3004,"&gt;0",ENSAYOS!$G$5:$G$3004,"&gt;="&amp;CONFIG!$B$27)=0,"",AVERAGEIFS(ENSAYOS!$Q$5:$Q$3004,ENSAYOS!$C$5:$C$3004,F606,ENSAYOS!$Q$5:$Q$3004,"&gt;0",ENSAYOS!$G$5:$G$3004,"&gt;="&amp;CONFIG!$B$27)))</f>
        <v/>
      </c>
      <c r="W606" s="18" t="str">
        <f aca="false">IF(AND(U606&lt;&gt;"",V606&lt;&gt;""),U606/V606,"")</f>
        <v/>
      </c>
      <c r="X606" s="18" t="str">
        <f aca="false">IF(U606="","",INDEX('CURVA EDAD'!$E$5:$E$32,MIN(28,MAX(1,N606))))</f>
        <v/>
      </c>
      <c r="Y606" s="16" t="str">
        <f aca="false">IF(V606&lt;&gt;"",V606,IF(U606="","",U606/X606))</f>
        <v/>
      </c>
      <c r="Z606" s="16" t="str">
        <f aca="false">IF(V606&lt;&gt;"",_xlfn.MINIFS(ENSAYOS!$Q$5:$Q$3004,ENSAYOS!$C$5:$C$3004,F606,ENSAYOS!$Q$5:$Q$3004,"&gt;0",ENSAYOS!$G$5:$G$3004,"&gt;="&amp;CONFIG!$B$27),IF(U606="","",_xlfn.MINIFS(ENSAYOS!$Q$5:$Q$3004,ENSAYOS!$C$5:$C$3004,F606,ENSAYOS!$Q$5:$Q$3004,"&gt;0",ENSAYOS!$G$5:$G$3004,N606)/X606))</f>
        <v/>
      </c>
      <c r="AA606" s="16" t="str">
        <f aca="false">IF(D606="","",IFERROR(1/(1/INDEX(CONFIG!$J$5:$J$14,MATCH(D606,CONFIG!$D$5:$D$14,0))),""))</f>
        <v/>
      </c>
      <c r="AB606" s="16" t="str">
        <f aca="false">IF(D606="","",IFERROR(1/(1/INDEX(CONFIG!$K$5:$K$14,MATCH(D606,CONFIG!$D$5:$D$14,0))),""))</f>
        <v/>
      </c>
      <c r="AC606" s="19" t="str">
        <f aca="false">IF(N(M606)=0,"",IF(AA606="","Sin spec",IF(AND(Y606&gt;=AA606,OR(AB606="",Z606&gt;=AB606)),"CUMPLE","NO CUMPLE")&amp;IF(V606=""," (est.)","")))</f>
        <v/>
      </c>
      <c r="AD606" s="20" t="str">
        <f aca="false">IF(F606="","",IF(COUNTIFS(ABSORCION!$C$5:$C$1004,F606,ABSORCION!$I$5:$I$1004,"&gt;0")=0,"",AVERAGEIFS(ABSORCION!$I$5:$I$1004,ABSORCION!$C$5:$C$1004,F606,ABSORCION!$I$5:$I$1004,"&gt;0")))</f>
        <v/>
      </c>
      <c r="AE606" s="20" t="str">
        <f aca="false">IF(F606="","",IF(COUNTIFS(ABSORCION!$C$5:$C$1004,F606,ABSORCION!$I$5:$I$1004,"&gt;0")=0,"",AVERAGEIFS(ABSORCION!$K$5:$K$1004,ABSORCION!$C$5:$C$1004,F606,ABSORCION!$I$5:$I$1004,"&gt;0")))</f>
        <v/>
      </c>
      <c r="AF606" s="20" t="str">
        <f aca="false">IF(AE606="","",IF(AE606&gt;=CONFIG!$E$21,CONFIG!$F$21,IF(AE606&gt;=CONFIG!$E$20,CONFIG!$F$20,CONFIG!$F$19)))</f>
        <v/>
      </c>
      <c r="AG606" s="21" t="str">
        <f aca="false">IF(F606="","",TRIM(IF(N(M606)=0,"Sin ensayos. ","")&amp;IF(AND(N(M606)&gt;0,N(M606)&lt;CONFIG!$B$26),"Menos de "&amp;CONFIG!$B$26&amp;" probetas. ","")&amp;IF(N(T606)&gt;CONFIG!$B$25,"CV alto. ","")&amp;IF(AND(N(AD606)&gt;0,N(AD606)&gt;N(AF606)),"Absorción alta. ","")))</f>
        <v/>
      </c>
      <c r="AH606" s="22" t="str">
        <f aca="false">IF(AND(N(M606)&gt;0,OR(CONTROL!$C$4="TODAS",C606=CONTROL!$C$4),D606=CONTROL!$C$5),MAX($AH$4:AH605)+1,"")</f>
        <v/>
      </c>
      <c r="AI606" s="22" t="str">
        <f aca="false">IF(AH606="","",P606^2)</f>
        <v/>
      </c>
    </row>
    <row r="607" customFormat="false" ht="15" hidden="false" customHeight="false" outlineLevel="0" collapsed="false">
      <c r="A607" s="11" t="str">
        <f aca="false">IF(B607="","",ROW()-4)</f>
        <v/>
      </c>
      <c r="B607" s="12"/>
      <c r="C607" s="13"/>
      <c r="D607" s="13"/>
      <c r="E607" s="13"/>
      <c r="F607" s="14" t="str">
        <f aca="false">IF(OR(B607="",C607="",D607=""),"",IFERROR(INDEX(CONFIG!$E$5:$E$14,MATCH(D607,CONFIG!$D$5:$D$14,0)),"?")&amp;RIGHT("0"&amp;DAY(B607),2)&amp;RIGHT("0"&amp;MONTH(B607),2)&amp;RIGHT(YEAR(B607),2)&amp;C607&amp;IF(E607="","","-"&amp;E607))</f>
        <v/>
      </c>
      <c r="G607" s="13"/>
      <c r="H607" s="13"/>
      <c r="I607" s="13"/>
      <c r="J607" s="13"/>
      <c r="K607" s="13"/>
      <c r="L607" s="13"/>
      <c r="M607" s="11" t="str">
        <f aca="false">IF(F607="","",COUNTIFS(ENSAYOS!$C$5:$C$3004,F607,ENSAYOS!$Q$5:$Q$3004,"&gt;0"))</f>
        <v/>
      </c>
      <c r="N607" s="15" t="str">
        <f aca="false">IF(N(M607)=0,"",_xlfn.MINIFS(ENSAYOS!$G$5:$G$3004,ENSAYOS!$C$5:$C$3004,F607,ENSAYOS!$Q$5:$Q$3004,"&gt;0"))</f>
        <v/>
      </c>
      <c r="O607" s="15" t="str">
        <f aca="false">IF(N(M607)=0,"",_xlfn.MAXIFS(ENSAYOS!$G$5:$G$3004,ENSAYOS!$C$5:$C$3004,F607,ENSAYOS!$Q$5:$Q$3004,"&gt;0"))</f>
        <v/>
      </c>
      <c r="P607" s="16" t="str">
        <f aca="false">IF(N(M607)=0,"",AVERAGEIFS(ENSAYOS!$Q$5:$Q$3004,ENSAYOS!$C$5:$C$3004,F607,ENSAYOS!$Q$5:$Q$3004,"&gt;0"))</f>
        <v/>
      </c>
      <c r="Q607" s="16" t="str">
        <f aca="false">IF(N(M607)=0,"",_xlfn.MINIFS(ENSAYOS!$Q$5:$Q$3004,ENSAYOS!$C$5:$C$3004,F607,ENSAYOS!$Q$5:$Q$3004,"&gt;0"))</f>
        <v/>
      </c>
      <c r="R607" s="16" t="str">
        <f aca="false">IF(N(M607)=0,"",_xlfn.MAXIFS(ENSAYOS!$Q$5:$Q$3004,ENSAYOS!$C$5:$C$3004,F607,ENSAYOS!$Q$5:$Q$3004,"&gt;0"))</f>
        <v/>
      </c>
      <c r="S607" s="16" t="str">
        <f aca="false">IF(N(M607)&lt;2,"",SQRT(MAX(0,(SUMIFS(ENSAYOS!$X$5:$X$3004,ENSAYOS!$C$5:$C$3004,F607,ENSAYOS!$Q$5:$Q$3004,"&gt;0")-M607*P607^2)/(M607-1))))</f>
        <v/>
      </c>
      <c r="T607" s="17" t="str">
        <f aca="false">IF(S607="","",S607/P607)</f>
        <v/>
      </c>
      <c r="U607" s="16" t="str">
        <f aca="false">IF(N(M607)=0,"",IF(N607&gt;=CONFIG!$B$27,"",AVERAGEIFS(ENSAYOS!$Q$5:$Q$3004,ENSAYOS!$C$5:$C$3004,F607,ENSAYOS!$Q$5:$Q$3004,"&gt;0",ENSAYOS!$G$5:$G$3004,N607)))</f>
        <v/>
      </c>
      <c r="V607" s="16" t="str">
        <f aca="false">IF(N(M607)=0,"",IF(COUNTIFS(ENSAYOS!$C$5:$C$3004,F607,ENSAYOS!$Q$5:$Q$3004,"&gt;0",ENSAYOS!$G$5:$G$3004,"&gt;="&amp;CONFIG!$B$27)=0,"",AVERAGEIFS(ENSAYOS!$Q$5:$Q$3004,ENSAYOS!$C$5:$C$3004,F607,ENSAYOS!$Q$5:$Q$3004,"&gt;0",ENSAYOS!$G$5:$G$3004,"&gt;="&amp;CONFIG!$B$27)))</f>
        <v/>
      </c>
      <c r="W607" s="18" t="str">
        <f aca="false">IF(AND(U607&lt;&gt;"",V607&lt;&gt;""),U607/V607,"")</f>
        <v/>
      </c>
      <c r="X607" s="18" t="str">
        <f aca="false">IF(U607="","",INDEX('CURVA EDAD'!$E$5:$E$32,MIN(28,MAX(1,N607))))</f>
        <v/>
      </c>
      <c r="Y607" s="16" t="str">
        <f aca="false">IF(V607&lt;&gt;"",V607,IF(U607="","",U607/X607))</f>
        <v/>
      </c>
      <c r="Z607" s="16" t="str">
        <f aca="false">IF(V607&lt;&gt;"",_xlfn.MINIFS(ENSAYOS!$Q$5:$Q$3004,ENSAYOS!$C$5:$C$3004,F607,ENSAYOS!$Q$5:$Q$3004,"&gt;0",ENSAYOS!$G$5:$G$3004,"&gt;="&amp;CONFIG!$B$27),IF(U607="","",_xlfn.MINIFS(ENSAYOS!$Q$5:$Q$3004,ENSAYOS!$C$5:$C$3004,F607,ENSAYOS!$Q$5:$Q$3004,"&gt;0",ENSAYOS!$G$5:$G$3004,N607)/X607))</f>
        <v/>
      </c>
      <c r="AA607" s="16" t="str">
        <f aca="false">IF(D607="","",IFERROR(1/(1/INDEX(CONFIG!$J$5:$J$14,MATCH(D607,CONFIG!$D$5:$D$14,0))),""))</f>
        <v/>
      </c>
      <c r="AB607" s="16" t="str">
        <f aca="false">IF(D607="","",IFERROR(1/(1/INDEX(CONFIG!$K$5:$K$14,MATCH(D607,CONFIG!$D$5:$D$14,0))),""))</f>
        <v/>
      </c>
      <c r="AC607" s="19" t="str">
        <f aca="false">IF(N(M607)=0,"",IF(AA607="","Sin spec",IF(AND(Y607&gt;=AA607,OR(AB607="",Z607&gt;=AB607)),"CUMPLE","NO CUMPLE")&amp;IF(V607=""," (est.)","")))</f>
        <v/>
      </c>
      <c r="AD607" s="20" t="str">
        <f aca="false">IF(F607="","",IF(COUNTIFS(ABSORCION!$C$5:$C$1004,F607,ABSORCION!$I$5:$I$1004,"&gt;0")=0,"",AVERAGEIFS(ABSORCION!$I$5:$I$1004,ABSORCION!$C$5:$C$1004,F607,ABSORCION!$I$5:$I$1004,"&gt;0")))</f>
        <v/>
      </c>
      <c r="AE607" s="20" t="str">
        <f aca="false">IF(F607="","",IF(COUNTIFS(ABSORCION!$C$5:$C$1004,F607,ABSORCION!$I$5:$I$1004,"&gt;0")=0,"",AVERAGEIFS(ABSORCION!$K$5:$K$1004,ABSORCION!$C$5:$C$1004,F607,ABSORCION!$I$5:$I$1004,"&gt;0")))</f>
        <v/>
      </c>
      <c r="AF607" s="20" t="str">
        <f aca="false">IF(AE607="","",IF(AE607&gt;=CONFIG!$E$21,CONFIG!$F$21,IF(AE607&gt;=CONFIG!$E$20,CONFIG!$F$20,CONFIG!$F$19)))</f>
        <v/>
      </c>
      <c r="AG607" s="21" t="str">
        <f aca="false">IF(F607="","",TRIM(IF(N(M607)=0,"Sin ensayos. ","")&amp;IF(AND(N(M607)&gt;0,N(M607)&lt;CONFIG!$B$26),"Menos de "&amp;CONFIG!$B$26&amp;" probetas. ","")&amp;IF(N(T607)&gt;CONFIG!$B$25,"CV alto. ","")&amp;IF(AND(N(AD607)&gt;0,N(AD607)&gt;N(AF607)),"Absorción alta. ","")))</f>
        <v/>
      </c>
      <c r="AH607" s="22" t="str">
        <f aca="false">IF(AND(N(M607)&gt;0,OR(CONTROL!$C$4="TODAS",C607=CONTROL!$C$4),D607=CONTROL!$C$5),MAX($AH$4:AH606)+1,"")</f>
        <v/>
      </c>
      <c r="AI607" s="22" t="str">
        <f aca="false">IF(AH607="","",P607^2)</f>
        <v/>
      </c>
    </row>
    <row r="608" customFormat="false" ht="15" hidden="false" customHeight="false" outlineLevel="0" collapsed="false">
      <c r="A608" s="11" t="str">
        <f aca="false">IF(B608="","",ROW()-4)</f>
        <v/>
      </c>
      <c r="B608" s="12"/>
      <c r="C608" s="13"/>
      <c r="D608" s="13"/>
      <c r="E608" s="13"/>
      <c r="F608" s="14" t="str">
        <f aca="false">IF(OR(B608="",C608="",D608=""),"",IFERROR(INDEX(CONFIG!$E$5:$E$14,MATCH(D608,CONFIG!$D$5:$D$14,0)),"?")&amp;RIGHT("0"&amp;DAY(B608),2)&amp;RIGHT("0"&amp;MONTH(B608),2)&amp;RIGHT(YEAR(B608),2)&amp;C608&amp;IF(E608="","","-"&amp;E608))</f>
        <v/>
      </c>
      <c r="G608" s="13"/>
      <c r="H608" s="13"/>
      <c r="I608" s="13"/>
      <c r="J608" s="13"/>
      <c r="K608" s="13"/>
      <c r="L608" s="13"/>
      <c r="M608" s="11" t="str">
        <f aca="false">IF(F608="","",COUNTIFS(ENSAYOS!$C$5:$C$3004,F608,ENSAYOS!$Q$5:$Q$3004,"&gt;0"))</f>
        <v/>
      </c>
      <c r="N608" s="15" t="str">
        <f aca="false">IF(N(M608)=0,"",_xlfn.MINIFS(ENSAYOS!$G$5:$G$3004,ENSAYOS!$C$5:$C$3004,F608,ENSAYOS!$Q$5:$Q$3004,"&gt;0"))</f>
        <v/>
      </c>
      <c r="O608" s="15" t="str">
        <f aca="false">IF(N(M608)=0,"",_xlfn.MAXIFS(ENSAYOS!$G$5:$G$3004,ENSAYOS!$C$5:$C$3004,F608,ENSAYOS!$Q$5:$Q$3004,"&gt;0"))</f>
        <v/>
      </c>
      <c r="P608" s="16" t="str">
        <f aca="false">IF(N(M608)=0,"",AVERAGEIFS(ENSAYOS!$Q$5:$Q$3004,ENSAYOS!$C$5:$C$3004,F608,ENSAYOS!$Q$5:$Q$3004,"&gt;0"))</f>
        <v/>
      </c>
      <c r="Q608" s="16" t="str">
        <f aca="false">IF(N(M608)=0,"",_xlfn.MINIFS(ENSAYOS!$Q$5:$Q$3004,ENSAYOS!$C$5:$C$3004,F608,ENSAYOS!$Q$5:$Q$3004,"&gt;0"))</f>
        <v/>
      </c>
      <c r="R608" s="16" t="str">
        <f aca="false">IF(N(M608)=0,"",_xlfn.MAXIFS(ENSAYOS!$Q$5:$Q$3004,ENSAYOS!$C$5:$C$3004,F608,ENSAYOS!$Q$5:$Q$3004,"&gt;0"))</f>
        <v/>
      </c>
      <c r="S608" s="16" t="str">
        <f aca="false">IF(N(M608)&lt;2,"",SQRT(MAX(0,(SUMIFS(ENSAYOS!$X$5:$X$3004,ENSAYOS!$C$5:$C$3004,F608,ENSAYOS!$Q$5:$Q$3004,"&gt;0")-M608*P608^2)/(M608-1))))</f>
        <v/>
      </c>
      <c r="T608" s="17" t="str">
        <f aca="false">IF(S608="","",S608/P608)</f>
        <v/>
      </c>
      <c r="U608" s="16" t="str">
        <f aca="false">IF(N(M608)=0,"",IF(N608&gt;=CONFIG!$B$27,"",AVERAGEIFS(ENSAYOS!$Q$5:$Q$3004,ENSAYOS!$C$5:$C$3004,F608,ENSAYOS!$Q$5:$Q$3004,"&gt;0",ENSAYOS!$G$5:$G$3004,N608)))</f>
        <v/>
      </c>
      <c r="V608" s="16" t="str">
        <f aca="false">IF(N(M608)=0,"",IF(COUNTIFS(ENSAYOS!$C$5:$C$3004,F608,ENSAYOS!$Q$5:$Q$3004,"&gt;0",ENSAYOS!$G$5:$G$3004,"&gt;="&amp;CONFIG!$B$27)=0,"",AVERAGEIFS(ENSAYOS!$Q$5:$Q$3004,ENSAYOS!$C$5:$C$3004,F608,ENSAYOS!$Q$5:$Q$3004,"&gt;0",ENSAYOS!$G$5:$G$3004,"&gt;="&amp;CONFIG!$B$27)))</f>
        <v/>
      </c>
      <c r="W608" s="18" t="str">
        <f aca="false">IF(AND(U608&lt;&gt;"",V608&lt;&gt;""),U608/V608,"")</f>
        <v/>
      </c>
      <c r="X608" s="18" t="str">
        <f aca="false">IF(U608="","",INDEX('CURVA EDAD'!$E$5:$E$32,MIN(28,MAX(1,N608))))</f>
        <v/>
      </c>
      <c r="Y608" s="16" t="str">
        <f aca="false">IF(V608&lt;&gt;"",V608,IF(U608="","",U608/X608))</f>
        <v/>
      </c>
      <c r="Z608" s="16" t="str">
        <f aca="false">IF(V608&lt;&gt;"",_xlfn.MINIFS(ENSAYOS!$Q$5:$Q$3004,ENSAYOS!$C$5:$C$3004,F608,ENSAYOS!$Q$5:$Q$3004,"&gt;0",ENSAYOS!$G$5:$G$3004,"&gt;="&amp;CONFIG!$B$27),IF(U608="","",_xlfn.MINIFS(ENSAYOS!$Q$5:$Q$3004,ENSAYOS!$C$5:$C$3004,F608,ENSAYOS!$Q$5:$Q$3004,"&gt;0",ENSAYOS!$G$5:$G$3004,N608)/X608))</f>
        <v/>
      </c>
      <c r="AA608" s="16" t="str">
        <f aca="false">IF(D608="","",IFERROR(1/(1/INDEX(CONFIG!$J$5:$J$14,MATCH(D608,CONFIG!$D$5:$D$14,0))),""))</f>
        <v/>
      </c>
      <c r="AB608" s="16" t="str">
        <f aca="false">IF(D608="","",IFERROR(1/(1/INDEX(CONFIG!$K$5:$K$14,MATCH(D608,CONFIG!$D$5:$D$14,0))),""))</f>
        <v/>
      </c>
      <c r="AC608" s="19" t="str">
        <f aca="false">IF(N(M608)=0,"",IF(AA608="","Sin spec",IF(AND(Y608&gt;=AA608,OR(AB608="",Z608&gt;=AB608)),"CUMPLE","NO CUMPLE")&amp;IF(V608=""," (est.)","")))</f>
        <v/>
      </c>
      <c r="AD608" s="20" t="str">
        <f aca="false">IF(F608="","",IF(COUNTIFS(ABSORCION!$C$5:$C$1004,F608,ABSORCION!$I$5:$I$1004,"&gt;0")=0,"",AVERAGEIFS(ABSORCION!$I$5:$I$1004,ABSORCION!$C$5:$C$1004,F608,ABSORCION!$I$5:$I$1004,"&gt;0")))</f>
        <v/>
      </c>
      <c r="AE608" s="20" t="str">
        <f aca="false">IF(F608="","",IF(COUNTIFS(ABSORCION!$C$5:$C$1004,F608,ABSORCION!$I$5:$I$1004,"&gt;0")=0,"",AVERAGEIFS(ABSORCION!$K$5:$K$1004,ABSORCION!$C$5:$C$1004,F608,ABSORCION!$I$5:$I$1004,"&gt;0")))</f>
        <v/>
      </c>
      <c r="AF608" s="20" t="str">
        <f aca="false">IF(AE608="","",IF(AE608&gt;=CONFIG!$E$21,CONFIG!$F$21,IF(AE608&gt;=CONFIG!$E$20,CONFIG!$F$20,CONFIG!$F$19)))</f>
        <v/>
      </c>
      <c r="AG608" s="21" t="str">
        <f aca="false">IF(F608="","",TRIM(IF(N(M608)=0,"Sin ensayos. ","")&amp;IF(AND(N(M608)&gt;0,N(M608)&lt;CONFIG!$B$26),"Menos de "&amp;CONFIG!$B$26&amp;" probetas. ","")&amp;IF(N(T608)&gt;CONFIG!$B$25,"CV alto. ","")&amp;IF(AND(N(AD608)&gt;0,N(AD608)&gt;N(AF608)),"Absorción alta. ","")))</f>
        <v/>
      </c>
      <c r="AH608" s="22" t="str">
        <f aca="false">IF(AND(N(M608)&gt;0,OR(CONTROL!$C$4="TODAS",C608=CONTROL!$C$4),D608=CONTROL!$C$5),MAX($AH$4:AH607)+1,"")</f>
        <v/>
      </c>
      <c r="AI608" s="22" t="str">
        <f aca="false">IF(AH608="","",P608^2)</f>
        <v/>
      </c>
    </row>
    <row r="609" customFormat="false" ht="15" hidden="false" customHeight="false" outlineLevel="0" collapsed="false">
      <c r="A609" s="11" t="str">
        <f aca="false">IF(B609="","",ROW()-4)</f>
        <v/>
      </c>
      <c r="B609" s="12"/>
      <c r="C609" s="13"/>
      <c r="D609" s="13"/>
      <c r="E609" s="13"/>
      <c r="F609" s="14" t="str">
        <f aca="false">IF(OR(B609="",C609="",D609=""),"",IFERROR(INDEX(CONFIG!$E$5:$E$14,MATCH(D609,CONFIG!$D$5:$D$14,0)),"?")&amp;RIGHT("0"&amp;DAY(B609),2)&amp;RIGHT("0"&amp;MONTH(B609),2)&amp;RIGHT(YEAR(B609),2)&amp;C609&amp;IF(E609="","","-"&amp;E609))</f>
        <v/>
      </c>
      <c r="G609" s="13"/>
      <c r="H609" s="13"/>
      <c r="I609" s="13"/>
      <c r="J609" s="13"/>
      <c r="K609" s="13"/>
      <c r="L609" s="13"/>
      <c r="M609" s="11" t="str">
        <f aca="false">IF(F609="","",COUNTIFS(ENSAYOS!$C$5:$C$3004,F609,ENSAYOS!$Q$5:$Q$3004,"&gt;0"))</f>
        <v/>
      </c>
      <c r="N609" s="15" t="str">
        <f aca="false">IF(N(M609)=0,"",_xlfn.MINIFS(ENSAYOS!$G$5:$G$3004,ENSAYOS!$C$5:$C$3004,F609,ENSAYOS!$Q$5:$Q$3004,"&gt;0"))</f>
        <v/>
      </c>
      <c r="O609" s="15" t="str">
        <f aca="false">IF(N(M609)=0,"",_xlfn.MAXIFS(ENSAYOS!$G$5:$G$3004,ENSAYOS!$C$5:$C$3004,F609,ENSAYOS!$Q$5:$Q$3004,"&gt;0"))</f>
        <v/>
      </c>
      <c r="P609" s="16" t="str">
        <f aca="false">IF(N(M609)=0,"",AVERAGEIFS(ENSAYOS!$Q$5:$Q$3004,ENSAYOS!$C$5:$C$3004,F609,ENSAYOS!$Q$5:$Q$3004,"&gt;0"))</f>
        <v/>
      </c>
      <c r="Q609" s="16" t="str">
        <f aca="false">IF(N(M609)=0,"",_xlfn.MINIFS(ENSAYOS!$Q$5:$Q$3004,ENSAYOS!$C$5:$C$3004,F609,ENSAYOS!$Q$5:$Q$3004,"&gt;0"))</f>
        <v/>
      </c>
      <c r="R609" s="16" t="str">
        <f aca="false">IF(N(M609)=0,"",_xlfn.MAXIFS(ENSAYOS!$Q$5:$Q$3004,ENSAYOS!$C$5:$C$3004,F609,ENSAYOS!$Q$5:$Q$3004,"&gt;0"))</f>
        <v/>
      </c>
      <c r="S609" s="16" t="str">
        <f aca="false">IF(N(M609)&lt;2,"",SQRT(MAX(0,(SUMIFS(ENSAYOS!$X$5:$X$3004,ENSAYOS!$C$5:$C$3004,F609,ENSAYOS!$Q$5:$Q$3004,"&gt;0")-M609*P609^2)/(M609-1))))</f>
        <v/>
      </c>
      <c r="T609" s="17" t="str">
        <f aca="false">IF(S609="","",S609/P609)</f>
        <v/>
      </c>
      <c r="U609" s="16" t="str">
        <f aca="false">IF(N(M609)=0,"",IF(N609&gt;=CONFIG!$B$27,"",AVERAGEIFS(ENSAYOS!$Q$5:$Q$3004,ENSAYOS!$C$5:$C$3004,F609,ENSAYOS!$Q$5:$Q$3004,"&gt;0",ENSAYOS!$G$5:$G$3004,N609)))</f>
        <v/>
      </c>
      <c r="V609" s="16" t="str">
        <f aca="false">IF(N(M609)=0,"",IF(COUNTIFS(ENSAYOS!$C$5:$C$3004,F609,ENSAYOS!$Q$5:$Q$3004,"&gt;0",ENSAYOS!$G$5:$G$3004,"&gt;="&amp;CONFIG!$B$27)=0,"",AVERAGEIFS(ENSAYOS!$Q$5:$Q$3004,ENSAYOS!$C$5:$C$3004,F609,ENSAYOS!$Q$5:$Q$3004,"&gt;0",ENSAYOS!$G$5:$G$3004,"&gt;="&amp;CONFIG!$B$27)))</f>
        <v/>
      </c>
      <c r="W609" s="18" t="str">
        <f aca="false">IF(AND(U609&lt;&gt;"",V609&lt;&gt;""),U609/V609,"")</f>
        <v/>
      </c>
      <c r="X609" s="18" t="str">
        <f aca="false">IF(U609="","",INDEX('CURVA EDAD'!$E$5:$E$32,MIN(28,MAX(1,N609))))</f>
        <v/>
      </c>
      <c r="Y609" s="16" t="str">
        <f aca="false">IF(V609&lt;&gt;"",V609,IF(U609="","",U609/X609))</f>
        <v/>
      </c>
      <c r="Z609" s="16" t="str">
        <f aca="false">IF(V609&lt;&gt;"",_xlfn.MINIFS(ENSAYOS!$Q$5:$Q$3004,ENSAYOS!$C$5:$C$3004,F609,ENSAYOS!$Q$5:$Q$3004,"&gt;0",ENSAYOS!$G$5:$G$3004,"&gt;="&amp;CONFIG!$B$27),IF(U609="","",_xlfn.MINIFS(ENSAYOS!$Q$5:$Q$3004,ENSAYOS!$C$5:$C$3004,F609,ENSAYOS!$Q$5:$Q$3004,"&gt;0",ENSAYOS!$G$5:$G$3004,N609)/X609))</f>
        <v/>
      </c>
      <c r="AA609" s="16" t="str">
        <f aca="false">IF(D609="","",IFERROR(1/(1/INDEX(CONFIG!$J$5:$J$14,MATCH(D609,CONFIG!$D$5:$D$14,0))),""))</f>
        <v/>
      </c>
      <c r="AB609" s="16" t="str">
        <f aca="false">IF(D609="","",IFERROR(1/(1/INDEX(CONFIG!$K$5:$K$14,MATCH(D609,CONFIG!$D$5:$D$14,0))),""))</f>
        <v/>
      </c>
      <c r="AC609" s="19" t="str">
        <f aca="false">IF(N(M609)=0,"",IF(AA609="","Sin spec",IF(AND(Y609&gt;=AA609,OR(AB609="",Z609&gt;=AB609)),"CUMPLE","NO CUMPLE")&amp;IF(V609=""," (est.)","")))</f>
        <v/>
      </c>
      <c r="AD609" s="20" t="str">
        <f aca="false">IF(F609="","",IF(COUNTIFS(ABSORCION!$C$5:$C$1004,F609,ABSORCION!$I$5:$I$1004,"&gt;0")=0,"",AVERAGEIFS(ABSORCION!$I$5:$I$1004,ABSORCION!$C$5:$C$1004,F609,ABSORCION!$I$5:$I$1004,"&gt;0")))</f>
        <v/>
      </c>
      <c r="AE609" s="20" t="str">
        <f aca="false">IF(F609="","",IF(COUNTIFS(ABSORCION!$C$5:$C$1004,F609,ABSORCION!$I$5:$I$1004,"&gt;0")=0,"",AVERAGEIFS(ABSORCION!$K$5:$K$1004,ABSORCION!$C$5:$C$1004,F609,ABSORCION!$I$5:$I$1004,"&gt;0")))</f>
        <v/>
      </c>
      <c r="AF609" s="20" t="str">
        <f aca="false">IF(AE609="","",IF(AE609&gt;=CONFIG!$E$21,CONFIG!$F$21,IF(AE609&gt;=CONFIG!$E$20,CONFIG!$F$20,CONFIG!$F$19)))</f>
        <v/>
      </c>
      <c r="AG609" s="21" t="str">
        <f aca="false">IF(F609="","",TRIM(IF(N(M609)=0,"Sin ensayos. ","")&amp;IF(AND(N(M609)&gt;0,N(M609)&lt;CONFIG!$B$26),"Menos de "&amp;CONFIG!$B$26&amp;" probetas. ","")&amp;IF(N(T609)&gt;CONFIG!$B$25,"CV alto. ","")&amp;IF(AND(N(AD609)&gt;0,N(AD609)&gt;N(AF609)),"Absorción alta. ","")))</f>
        <v/>
      </c>
      <c r="AH609" s="22" t="str">
        <f aca="false">IF(AND(N(M609)&gt;0,OR(CONTROL!$C$4="TODAS",C609=CONTROL!$C$4),D609=CONTROL!$C$5),MAX($AH$4:AH608)+1,"")</f>
        <v/>
      </c>
      <c r="AI609" s="22" t="str">
        <f aca="false">IF(AH609="","",P609^2)</f>
        <v/>
      </c>
    </row>
    <row r="610" customFormat="false" ht="15" hidden="false" customHeight="false" outlineLevel="0" collapsed="false">
      <c r="A610" s="11" t="str">
        <f aca="false">IF(B610="","",ROW()-4)</f>
        <v/>
      </c>
      <c r="B610" s="12"/>
      <c r="C610" s="13"/>
      <c r="D610" s="13"/>
      <c r="E610" s="13"/>
      <c r="F610" s="14" t="str">
        <f aca="false">IF(OR(B610="",C610="",D610=""),"",IFERROR(INDEX(CONFIG!$E$5:$E$14,MATCH(D610,CONFIG!$D$5:$D$14,0)),"?")&amp;RIGHT("0"&amp;DAY(B610),2)&amp;RIGHT("0"&amp;MONTH(B610),2)&amp;RIGHT(YEAR(B610),2)&amp;C610&amp;IF(E610="","","-"&amp;E610))</f>
        <v/>
      </c>
      <c r="G610" s="13"/>
      <c r="H610" s="13"/>
      <c r="I610" s="13"/>
      <c r="J610" s="13"/>
      <c r="K610" s="13"/>
      <c r="L610" s="13"/>
      <c r="M610" s="11" t="str">
        <f aca="false">IF(F610="","",COUNTIFS(ENSAYOS!$C$5:$C$3004,F610,ENSAYOS!$Q$5:$Q$3004,"&gt;0"))</f>
        <v/>
      </c>
      <c r="N610" s="15" t="str">
        <f aca="false">IF(N(M610)=0,"",_xlfn.MINIFS(ENSAYOS!$G$5:$G$3004,ENSAYOS!$C$5:$C$3004,F610,ENSAYOS!$Q$5:$Q$3004,"&gt;0"))</f>
        <v/>
      </c>
      <c r="O610" s="15" t="str">
        <f aca="false">IF(N(M610)=0,"",_xlfn.MAXIFS(ENSAYOS!$G$5:$G$3004,ENSAYOS!$C$5:$C$3004,F610,ENSAYOS!$Q$5:$Q$3004,"&gt;0"))</f>
        <v/>
      </c>
      <c r="P610" s="16" t="str">
        <f aca="false">IF(N(M610)=0,"",AVERAGEIFS(ENSAYOS!$Q$5:$Q$3004,ENSAYOS!$C$5:$C$3004,F610,ENSAYOS!$Q$5:$Q$3004,"&gt;0"))</f>
        <v/>
      </c>
      <c r="Q610" s="16" t="str">
        <f aca="false">IF(N(M610)=0,"",_xlfn.MINIFS(ENSAYOS!$Q$5:$Q$3004,ENSAYOS!$C$5:$C$3004,F610,ENSAYOS!$Q$5:$Q$3004,"&gt;0"))</f>
        <v/>
      </c>
      <c r="R610" s="16" t="str">
        <f aca="false">IF(N(M610)=0,"",_xlfn.MAXIFS(ENSAYOS!$Q$5:$Q$3004,ENSAYOS!$C$5:$C$3004,F610,ENSAYOS!$Q$5:$Q$3004,"&gt;0"))</f>
        <v/>
      </c>
      <c r="S610" s="16" t="str">
        <f aca="false">IF(N(M610)&lt;2,"",SQRT(MAX(0,(SUMIFS(ENSAYOS!$X$5:$X$3004,ENSAYOS!$C$5:$C$3004,F610,ENSAYOS!$Q$5:$Q$3004,"&gt;0")-M610*P610^2)/(M610-1))))</f>
        <v/>
      </c>
      <c r="T610" s="17" t="str">
        <f aca="false">IF(S610="","",S610/P610)</f>
        <v/>
      </c>
      <c r="U610" s="16" t="str">
        <f aca="false">IF(N(M610)=0,"",IF(N610&gt;=CONFIG!$B$27,"",AVERAGEIFS(ENSAYOS!$Q$5:$Q$3004,ENSAYOS!$C$5:$C$3004,F610,ENSAYOS!$Q$5:$Q$3004,"&gt;0",ENSAYOS!$G$5:$G$3004,N610)))</f>
        <v/>
      </c>
      <c r="V610" s="16" t="str">
        <f aca="false">IF(N(M610)=0,"",IF(COUNTIFS(ENSAYOS!$C$5:$C$3004,F610,ENSAYOS!$Q$5:$Q$3004,"&gt;0",ENSAYOS!$G$5:$G$3004,"&gt;="&amp;CONFIG!$B$27)=0,"",AVERAGEIFS(ENSAYOS!$Q$5:$Q$3004,ENSAYOS!$C$5:$C$3004,F610,ENSAYOS!$Q$5:$Q$3004,"&gt;0",ENSAYOS!$G$5:$G$3004,"&gt;="&amp;CONFIG!$B$27)))</f>
        <v/>
      </c>
      <c r="W610" s="18" t="str">
        <f aca="false">IF(AND(U610&lt;&gt;"",V610&lt;&gt;""),U610/V610,"")</f>
        <v/>
      </c>
      <c r="X610" s="18" t="str">
        <f aca="false">IF(U610="","",INDEX('CURVA EDAD'!$E$5:$E$32,MIN(28,MAX(1,N610))))</f>
        <v/>
      </c>
      <c r="Y610" s="16" t="str">
        <f aca="false">IF(V610&lt;&gt;"",V610,IF(U610="","",U610/X610))</f>
        <v/>
      </c>
      <c r="Z610" s="16" t="str">
        <f aca="false">IF(V610&lt;&gt;"",_xlfn.MINIFS(ENSAYOS!$Q$5:$Q$3004,ENSAYOS!$C$5:$C$3004,F610,ENSAYOS!$Q$5:$Q$3004,"&gt;0",ENSAYOS!$G$5:$G$3004,"&gt;="&amp;CONFIG!$B$27),IF(U610="","",_xlfn.MINIFS(ENSAYOS!$Q$5:$Q$3004,ENSAYOS!$C$5:$C$3004,F610,ENSAYOS!$Q$5:$Q$3004,"&gt;0",ENSAYOS!$G$5:$G$3004,N610)/X610))</f>
        <v/>
      </c>
      <c r="AA610" s="16" t="str">
        <f aca="false">IF(D610="","",IFERROR(1/(1/INDEX(CONFIG!$J$5:$J$14,MATCH(D610,CONFIG!$D$5:$D$14,0))),""))</f>
        <v/>
      </c>
      <c r="AB610" s="16" t="str">
        <f aca="false">IF(D610="","",IFERROR(1/(1/INDEX(CONFIG!$K$5:$K$14,MATCH(D610,CONFIG!$D$5:$D$14,0))),""))</f>
        <v/>
      </c>
      <c r="AC610" s="19" t="str">
        <f aca="false">IF(N(M610)=0,"",IF(AA610="","Sin spec",IF(AND(Y610&gt;=AA610,OR(AB610="",Z610&gt;=AB610)),"CUMPLE","NO CUMPLE")&amp;IF(V610=""," (est.)","")))</f>
        <v/>
      </c>
      <c r="AD610" s="20" t="str">
        <f aca="false">IF(F610="","",IF(COUNTIFS(ABSORCION!$C$5:$C$1004,F610,ABSORCION!$I$5:$I$1004,"&gt;0")=0,"",AVERAGEIFS(ABSORCION!$I$5:$I$1004,ABSORCION!$C$5:$C$1004,F610,ABSORCION!$I$5:$I$1004,"&gt;0")))</f>
        <v/>
      </c>
      <c r="AE610" s="20" t="str">
        <f aca="false">IF(F610="","",IF(COUNTIFS(ABSORCION!$C$5:$C$1004,F610,ABSORCION!$I$5:$I$1004,"&gt;0")=0,"",AVERAGEIFS(ABSORCION!$K$5:$K$1004,ABSORCION!$C$5:$C$1004,F610,ABSORCION!$I$5:$I$1004,"&gt;0")))</f>
        <v/>
      </c>
      <c r="AF610" s="20" t="str">
        <f aca="false">IF(AE610="","",IF(AE610&gt;=CONFIG!$E$21,CONFIG!$F$21,IF(AE610&gt;=CONFIG!$E$20,CONFIG!$F$20,CONFIG!$F$19)))</f>
        <v/>
      </c>
      <c r="AG610" s="21" t="str">
        <f aca="false">IF(F610="","",TRIM(IF(N(M610)=0,"Sin ensayos. ","")&amp;IF(AND(N(M610)&gt;0,N(M610)&lt;CONFIG!$B$26),"Menos de "&amp;CONFIG!$B$26&amp;" probetas. ","")&amp;IF(N(T610)&gt;CONFIG!$B$25,"CV alto. ","")&amp;IF(AND(N(AD610)&gt;0,N(AD610)&gt;N(AF610)),"Absorción alta. ","")))</f>
        <v/>
      </c>
      <c r="AH610" s="22" t="str">
        <f aca="false">IF(AND(N(M610)&gt;0,OR(CONTROL!$C$4="TODAS",C610=CONTROL!$C$4),D610=CONTROL!$C$5),MAX($AH$4:AH609)+1,"")</f>
        <v/>
      </c>
      <c r="AI610" s="22" t="str">
        <f aca="false">IF(AH610="","",P610^2)</f>
        <v/>
      </c>
    </row>
    <row r="611" customFormat="false" ht="15" hidden="false" customHeight="false" outlineLevel="0" collapsed="false">
      <c r="A611" s="11" t="str">
        <f aca="false">IF(B611="","",ROW()-4)</f>
        <v/>
      </c>
      <c r="B611" s="12"/>
      <c r="C611" s="13"/>
      <c r="D611" s="13"/>
      <c r="E611" s="13"/>
      <c r="F611" s="14" t="str">
        <f aca="false">IF(OR(B611="",C611="",D611=""),"",IFERROR(INDEX(CONFIG!$E$5:$E$14,MATCH(D611,CONFIG!$D$5:$D$14,0)),"?")&amp;RIGHT("0"&amp;DAY(B611),2)&amp;RIGHT("0"&amp;MONTH(B611),2)&amp;RIGHT(YEAR(B611),2)&amp;C611&amp;IF(E611="","","-"&amp;E611))</f>
        <v/>
      </c>
      <c r="G611" s="13"/>
      <c r="H611" s="13"/>
      <c r="I611" s="13"/>
      <c r="J611" s="13"/>
      <c r="K611" s="13"/>
      <c r="L611" s="13"/>
      <c r="M611" s="11" t="str">
        <f aca="false">IF(F611="","",COUNTIFS(ENSAYOS!$C$5:$C$3004,F611,ENSAYOS!$Q$5:$Q$3004,"&gt;0"))</f>
        <v/>
      </c>
      <c r="N611" s="15" t="str">
        <f aca="false">IF(N(M611)=0,"",_xlfn.MINIFS(ENSAYOS!$G$5:$G$3004,ENSAYOS!$C$5:$C$3004,F611,ENSAYOS!$Q$5:$Q$3004,"&gt;0"))</f>
        <v/>
      </c>
      <c r="O611" s="15" t="str">
        <f aca="false">IF(N(M611)=0,"",_xlfn.MAXIFS(ENSAYOS!$G$5:$G$3004,ENSAYOS!$C$5:$C$3004,F611,ENSAYOS!$Q$5:$Q$3004,"&gt;0"))</f>
        <v/>
      </c>
      <c r="P611" s="16" t="str">
        <f aca="false">IF(N(M611)=0,"",AVERAGEIFS(ENSAYOS!$Q$5:$Q$3004,ENSAYOS!$C$5:$C$3004,F611,ENSAYOS!$Q$5:$Q$3004,"&gt;0"))</f>
        <v/>
      </c>
      <c r="Q611" s="16" t="str">
        <f aca="false">IF(N(M611)=0,"",_xlfn.MINIFS(ENSAYOS!$Q$5:$Q$3004,ENSAYOS!$C$5:$C$3004,F611,ENSAYOS!$Q$5:$Q$3004,"&gt;0"))</f>
        <v/>
      </c>
      <c r="R611" s="16" t="str">
        <f aca="false">IF(N(M611)=0,"",_xlfn.MAXIFS(ENSAYOS!$Q$5:$Q$3004,ENSAYOS!$C$5:$C$3004,F611,ENSAYOS!$Q$5:$Q$3004,"&gt;0"))</f>
        <v/>
      </c>
      <c r="S611" s="16" t="str">
        <f aca="false">IF(N(M611)&lt;2,"",SQRT(MAX(0,(SUMIFS(ENSAYOS!$X$5:$X$3004,ENSAYOS!$C$5:$C$3004,F611,ENSAYOS!$Q$5:$Q$3004,"&gt;0")-M611*P611^2)/(M611-1))))</f>
        <v/>
      </c>
      <c r="T611" s="17" t="str">
        <f aca="false">IF(S611="","",S611/P611)</f>
        <v/>
      </c>
      <c r="U611" s="16" t="str">
        <f aca="false">IF(N(M611)=0,"",IF(N611&gt;=CONFIG!$B$27,"",AVERAGEIFS(ENSAYOS!$Q$5:$Q$3004,ENSAYOS!$C$5:$C$3004,F611,ENSAYOS!$Q$5:$Q$3004,"&gt;0",ENSAYOS!$G$5:$G$3004,N611)))</f>
        <v/>
      </c>
      <c r="V611" s="16" t="str">
        <f aca="false">IF(N(M611)=0,"",IF(COUNTIFS(ENSAYOS!$C$5:$C$3004,F611,ENSAYOS!$Q$5:$Q$3004,"&gt;0",ENSAYOS!$G$5:$G$3004,"&gt;="&amp;CONFIG!$B$27)=0,"",AVERAGEIFS(ENSAYOS!$Q$5:$Q$3004,ENSAYOS!$C$5:$C$3004,F611,ENSAYOS!$Q$5:$Q$3004,"&gt;0",ENSAYOS!$G$5:$G$3004,"&gt;="&amp;CONFIG!$B$27)))</f>
        <v/>
      </c>
      <c r="W611" s="18" t="str">
        <f aca="false">IF(AND(U611&lt;&gt;"",V611&lt;&gt;""),U611/V611,"")</f>
        <v/>
      </c>
      <c r="X611" s="18" t="str">
        <f aca="false">IF(U611="","",INDEX('CURVA EDAD'!$E$5:$E$32,MIN(28,MAX(1,N611))))</f>
        <v/>
      </c>
      <c r="Y611" s="16" t="str">
        <f aca="false">IF(V611&lt;&gt;"",V611,IF(U611="","",U611/X611))</f>
        <v/>
      </c>
      <c r="Z611" s="16" t="str">
        <f aca="false">IF(V611&lt;&gt;"",_xlfn.MINIFS(ENSAYOS!$Q$5:$Q$3004,ENSAYOS!$C$5:$C$3004,F611,ENSAYOS!$Q$5:$Q$3004,"&gt;0",ENSAYOS!$G$5:$G$3004,"&gt;="&amp;CONFIG!$B$27),IF(U611="","",_xlfn.MINIFS(ENSAYOS!$Q$5:$Q$3004,ENSAYOS!$C$5:$C$3004,F611,ENSAYOS!$Q$5:$Q$3004,"&gt;0",ENSAYOS!$G$5:$G$3004,N611)/X611))</f>
        <v/>
      </c>
      <c r="AA611" s="16" t="str">
        <f aca="false">IF(D611="","",IFERROR(1/(1/INDEX(CONFIG!$J$5:$J$14,MATCH(D611,CONFIG!$D$5:$D$14,0))),""))</f>
        <v/>
      </c>
      <c r="AB611" s="16" t="str">
        <f aca="false">IF(D611="","",IFERROR(1/(1/INDEX(CONFIG!$K$5:$K$14,MATCH(D611,CONFIG!$D$5:$D$14,0))),""))</f>
        <v/>
      </c>
      <c r="AC611" s="19" t="str">
        <f aca="false">IF(N(M611)=0,"",IF(AA611="","Sin spec",IF(AND(Y611&gt;=AA611,OR(AB611="",Z611&gt;=AB611)),"CUMPLE","NO CUMPLE")&amp;IF(V611=""," (est.)","")))</f>
        <v/>
      </c>
      <c r="AD611" s="20" t="str">
        <f aca="false">IF(F611="","",IF(COUNTIFS(ABSORCION!$C$5:$C$1004,F611,ABSORCION!$I$5:$I$1004,"&gt;0")=0,"",AVERAGEIFS(ABSORCION!$I$5:$I$1004,ABSORCION!$C$5:$C$1004,F611,ABSORCION!$I$5:$I$1004,"&gt;0")))</f>
        <v/>
      </c>
      <c r="AE611" s="20" t="str">
        <f aca="false">IF(F611="","",IF(COUNTIFS(ABSORCION!$C$5:$C$1004,F611,ABSORCION!$I$5:$I$1004,"&gt;0")=0,"",AVERAGEIFS(ABSORCION!$K$5:$K$1004,ABSORCION!$C$5:$C$1004,F611,ABSORCION!$I$5:$I$1004,"&gt;0")))</f>
        <v/>
      </c>
      <c r="AF611" s="20" t="str">
        <f aca="false">IF(AE611="","",IF(AE611&gt;=CONFIG!$E$21,CONFIG!$F$21,IF(AE611&gt;=CONFIG!$E$20,CONFIG!$F$20,CONFIG!$F$19)))</f>
        <v/>
      </c>
      <c r="AG611" s="21" t="str">
        <f aca="false">IF(F611="","",TRIM(IF(N(M611)=0,"Sin ensayos. ","")&amp;IF(AND(N(M611)&gt;0,N(M611)&lt;CONFIG!$B$26),"Menos de "&amp;CONFIG!$B$26&amp;" probetas. ","")&amp;IF(N(T611)&gt;CONFIG!$B$25,"CV alto. ","")&amp;IF(AND(N(AD611)&gt;0,N(AD611)&gt;N(AF611)),"Absorción alta. ","")))</f>
        <v/>
      </c>
      <c r="AH611" s="22" t="str">
        <f aca="false">IF(AND(N(M611)&gt;0,OR(CONTROL!$C$4="TODAS",C611=CONTROL!$C$4),D611=CONTROL!$C$5),MAX($AH$4:AH610)+1,"")</f>
        <v/>
      </c>
      <c r="AI611" s="22" t="str">
        <f aca="false">IF(AH611="","",P611^2)</f>
        <v/>
      </c>
    </row>
    <row r="612" customFormat="false" ht="15" hidden="false" customHeight="false" outlineLevel="0" collapsed="false">
      <c r="A612" s="11" t="str">
        <f aca="false">IF(B612="","",ROW()-4)</f>
        <v/>
      </c>
      <c r="B612" s="12"/>
      <c r="C612" s="13"/>
      <c r="D612" s="13"/>
      <c r="E612" s="13"/>
      <c r="F612" s="14" t="str">
        <f aca="false">IF(OR(B612="",C612="",D612=""),"",IFERROR(INDEX(CONFIG!$E$5:$E$14,MATCH(D612,CONFIG!$D$5:$D$14,0)),"?")&amp;RIGHT("0"&amp;DAY(B612),2)&amp;RIGHT("0"&amp;MONTH(B612),2)&amp;RIGHT(YEAR(B612),2)&amp;C612&amp;IF(E612="","","-"&amp;E612))</f>
        <v/>
      </c>
      <c r="G612" s="13"/>
      <c r="H612" s="13"/>
      <c r="I612" s="13"/>
      <c r="J612" s="13"/>
      <c r="K612" s="13"/>
      <c r="L612" s="13"/>
      <c r="M612" s="11" t="str">
        <f aca="false">IF(F612="","",COUNTIFS(ENSAYOS!$C$5:$C$3004,F612,ENSAYOS!$Q$5:$Q$3004,"&gt;0"))</f>
        <v/>
      </c>
      <c r="N612" s="15" t="str">
        <f aca="false">IF(N(M612)=0,"",_xlfn.MINIFS(ENSAYOS!$G$5:$G$3004,ENSAYOS!$C$5:$C$3004,F612,ENSAYOS!$Q$5:$Q$3004,"&gt;0"))</f>
        <v/>
      </c>
      <c r="O612" s="15" t="str">
        <f aca="false">IF(N(M612)=0,"",_xlfn.MAXIFS(ENSAYOS!$G$5:$G$3004,ENSAYOS!$C$5:$C$3004,F612,ENSAYOS!$Q$5:$Q$3004,"&gt;0"))</f>
        <v/>
      </c>
      <c r="P612" s="16" t="str">
        <f aca="false">IF(N(M612)=0,"",AVERAGEIFS(ENSAYOS!$Q$5:$Q$3004,ENSAYOS!$C$5:$C$3004,F612,ENSAYOS!$Q$5:$Q$3004,"&gt;0"))</f>
        <v/>
      </c>
      <c r="Q612" s="16" t="str">
        <f aca="false">IF(N(M612)=0,"",_xlfn.MINIFS(ENSAYOS!$Q$5:$Q$3004,ENSAYOS!$C$5:$C$3004,F612,ENSAYOS!$Q$5:$Q$3004,"&gt;0"))</f>
        <v/>
      </c>
      <c r="R612" s="16" t="str">
        <f aca="false">IF(N(M612)=0,"",_xlfn.MAXIFS(ENSAYOS!$Q$5:$Q$3004,ENSAYOS!$C$5:$C$3004,F612,ENSAYOS!$Q$5:$Q$3004,"&gt;0"))</f>
        <v/>
      </c>
      <c r="S612" s="16" t="str">
        <f aca="false">IF(N(M612)&lt;2,"",SQRT(MAX(0,(SUMIFS(ENSAYOS!$X$5:$X$3004,ENSAYOS!$C$5:$C$3004,F612,ENSAYOS!$Q$5:$Q$3004,"&gt;0")-M612*P612^2)/(M612-1))))</f>
        <v/>
      </c>
      <c r="T612" s="17" t="str">
        <f aca="false">IF(S612="","",S612/P612)</f>
        <v/>
      </c>
      <c r="U612" s="16" t="str">
        <f aca="false">IF(N(M612)=0,"",IF(N612&gt;=CONFIG!$B$27,"",AVERAGEIFS(ENSAYOS!$Q$5:$Q$3004,ENSAYOS!$C$5:$C$3004,F612,ENSAYOS!$Q$5:$Q$3004,"&gt;0",ENSAYOS!$G$5:$G$3004,N612)))</f>
        <v/>
      </c>
      <c r="V612" s="16" t="str">
        <f aca="false">IF(N(M612)=0,"",IF(COUNTIFS(ENSAYOS!$C$5:$C$3004,F612,ENSAYOS!$Q$5:$Q$3004,"&gt;0",ENSAYOS!$G$5:$G$3004,"&gt;="&amp;CONFIG!$B$27)=0,"",AVERAGEIFS(ENSAYOS!$Q$5:$Q$3004,ENSAYOS!$C$5:$C$3004,F612,ENSAYOS!$Q$5:$Q$3004,"&gt;0",ENSAYOS!$G$5:$G$3004,"&gt;="&amp;CONFIG!$B$27)))</f>
        <v/>
      </c>
      <c r="W612" s="18" t="str">
        <f aca="false">IF(AND(U612&lt;&gt;"",V612&lt;&gt;""),U612/V612,"")</f>
        <v/>
      </c>
      <c r="X612" s="18" t="str">
        <f aca="false">IF(U612="","",INDEX('CURVA EDAD'!$E$5:$E$32,MIN(28,MAX(1,N612))))</f>
        <v/>
      </c>
      <c r="Y612" s="16" t="str">
        <f aca="false">IF(V612&lt;&gt;"",V612,IF(U612="","",U612/X612))</f>
        <v/>
      </c>
      <c r="Z612" s="16" t="str">
        <f aca="false">IF(V612&lt;&gt;"",_xlfn.MINIFS(ENSAYOS!$Q$5:$Q$3004,ENSAYOS!$C$5:$C$3004,F612,ENSAYOS!$Q$5:$Q$3004,"&gt;0",ENSAYOS!$G$5:$G$3004,"&gt;="&amp;CONFIG!$B$27),IF(U612="","",_xlfn.MINIFS(ENSAYOS!$Q$5:$Q$3004,ENSAYOS!$C$5:$C$3004,F612,ENSAYOS!$Q$5:$Q$3004,"&gt;0",ENSAYOS!$G$5:$G$3004,N612)/X612))</f>
        <v/>
      </c>
      <c r="AA612" s="16" t="str">
        <f aca="false">IF(D612="","",IFERROR(1/(1/INDEX(CONFIG!$J$5:$J$14,MATCH(D612,CONFIG!$D$5:$D$14,0))),""))</f>
        <v/>
      </c>
      <c r="AB612" s="16" t="str">
        <f aca="false">IF(D612="","",IFERROR(1/(1/INDEX(CONFIG!$K$5:$K$14,MATCH(D612,CONFIG!$D$5:$D$14,0))),""))</f>
        <v/>
      </c>
      <c r="AC612" s="19" t="str">
        <f aca="false">IF(N(M612)=0,"",IF(AA612="","Sin spec",IF(AND(Y612&gt;=AA612,OR(AB612="",Z612&gt;=AB612)),"CUMPLE","NO CUMPLE")&amp;IF(V612=""," (est.)","")))</f>
        <v/>
      </c>
      <c r="AD612" s="20" t="str">
        <f aca="false">IF(F612="","",IF(COUNTIFS(ABSORCION!$C$5:$C$1004,F612,ABSORCION!$I$5:$I$1004,"&gt;0")=0,"",AVERAGEIFS(ABSORCION!$I$5:$I$1004,ABSORCION!$C$5:$C$1004,F612,ABSORCION!$I$5:$I$1004,"&gt;0")))</f>
        <v/>
      </c>
      <c r="AE612" s="20" t="str">
        <f aca="false">IF(F612="","",IF(COUNTIFS(ABSORCION!$C$5:$C$1004,F612,ABSORCION!$I$5:$I$1004,"&gt;0")=0,"",AVERAGEIFS(ABSORCION!$K$5:$K$1004,ABSORCION!$C$5:$C$1004,F612,ABSORCION!$I$5:$I$1004,"&gt;0")))</f>
        <v/>
      </c>
      <c r="AF612" s="20" t="str">
        <f aca="false">IF(AE612="","",IF(AE612&gt;=CONFIG!$E$21,CONFIG!$F$21,IF(AE612&gt;=CONFIG!$E$20,CONFIG!$F$20,CONFIG!$F$19)))</f>
        <v/>
      </c>
      <c r="AG612" s="21" t="str">
        <f aca="false">IF(F612="","",TRIM(IF(N(M612)=0,"Sin ensayos. ","")&amp;IF(AND(N(M612)&gt;0,N(M612)&lt;CONFIG!$B$26),"Menos de "&amp;CONFIG!$B$26&amp;" probetas. ","")&amp;IF(N(T612)&gt;CONFIG!$B$25,"CV alto. ","")&amp;IF(AND(N(AD612)&gt;0,N(AD612)&gt;N(AF612)),"Absorción alta. ","")))</f>
        <v/>
      </c>
      <c r="AH612" s="22" t="str">
        <f aca="false">IF(AND(N(M612)&gt;0,OR(CONTROL!$C$4="TODAS",C612=CONTROL!$C$4),D612=CONTROL!$C$5),MAX($AH$4:AH611)+1,"")</f>
        <v/>
      </c>
      <c r="AI612" s="22" t="str">
        <f aca="false">IF(AH612="","",P612^2)</f>
        <v/>
      </c>
    </row>
    <row r="613" customFormat="false" ht="15" hidden="false" customHeight="false" outlineLevel="0" collapsed="false">
      <c r="A613" s="11" t="str">
        <f aca="false">IF(B613="","",ROW()-4)</f>
        <v/>
      </c>
      <c r="B613" s="12"/>
      <c r="C613" s="13"/>
      <c r="D613" s="13"/>
      <c r="E613" s="13"/>
      <c r="F613" s="14" t="str">
        <f aca="false">IF(OR(B613="",C613="",D613=""),"",IFERROR(INDEX(CONFIG!$E$5:$E$14,MATCH(D613,CONFIG!$D$5:$D$14,0)),"?")&amp;RIGHT("0"&amp;DAY(B613),2)&amp;RIGHT("0"&amp;MONTH(B613),2)&amp;RIGHT(YEAR(B613),2)&amp;C613&amp;IF(E613="","","-"&amp;E613))</f>
        <v/>
      </c>
      <c r="G613" s="13"/>
      <c r="H613" s="13"/>
      <c r="I613" s="13"/>
      <c r="J613" s="13"/>
      <c r="K613" s="13"/>
      <c r="L613" s="13"/>
      <c r="M613" s="11" t="str">
        <f aca="false">IF(F613="","",COUNTIFS(ENSAYOS!$C$5:$C$3004,F613,ENSAYOS!$Q$5:$Q$3004,"&gt;0"))</f>
        <v/>
      </c>
      <c r="N613" s="15" t="str">
        <f aca="false">IF(N(M613)=0,"",_xlfn.MINIFS(ENSAYOS!$G$5:$G$3004,ENSAYOS!$C$5:$C$3004,F613,ENSAYOS!$Q$5:$Q$3004,"&gt;0"))</f>
        <v/>
      </c>
      <c r="O613" s="15" t="str">
        <f aca="false">IF(N(M613)=0,"",_xlfn.MAXIFS(ENSAYOS!$G$5:$G$3004,ENSAYOS!$C$5:$C$3004,F613,ENSAYOS!$Q$5:$Q$3004,"&gt;0"))</f>
        <v/>
      </c>
      <c r="P613" s="16" t="str">
        <f aca="false">IF(N(M613)=0,"",AVERAGEIFS(ENSAYOS!$Q$5:$Q$3004,ENSAYOS!$C$5:$C$3004,F613,ENSAYOS!$Q$5:$Q$3004,"&gt;0"))</f>
        <v/>
      </c>
      <c r="Q613" s="16" t="str">
        <f aca="false">IF(N(M613)=0,"",_xlfn.MINIFS(ENSAYOS!$Q$5:$Q$3004,ENSAYOS!$C$5:$C$3004,F613,ENSAYOS!$Q$5:$Q$3004,"&gt;0"))</f>
        <v/>
      </c>
      <c r="R613" s="16" t="str">
        <f aca="false">IF(N(M613)=0,"",_xlfn.MAXIFS(ENSAYOS!$Q$5:$Q$3004,ENSAYOS!$C$5:$C$3004,F613,ENSAYOS!$Q$5:$Q$3004,"&gt;0"))</f>
        <v/>
      </c>
      <c r="S613" s="16" t="str">
        <f aca="false">IF(N(M613)&lt;2,"",SQRT(MAX(0,(SUMIFS(ENSAYOS!$X$5:$X$3004,ENSAYOS!$C$5:$C$3004,F613,ENSAYOS!$Q$5:$Q$3004,"&gt;0")-M613*P613^2)/(M613-1))))</f>
        <v/>
      </c>
      <c r="T613" s="17" t="str">
        <f aca="false">IF(S613="","",S613/P613)</f>
        <v/>
      </c>
      <c r="U613" s="16" t="str">
        <f aca="false">IF(N(M613)=0,"",IF(N613&gt;=CONFIG!$B$27,"",AVERAGEIFS(ENSAYOS!$Q$5:$Q$3004,ENSAYOS!$C$5:$C$3004,F613,ENSAYOS!$Q$5:$Q$3004,"&gt;0",ENSAYOS!$G$5:$G$3004,N613)))</f>
        <v/>
      </c>
      <c r="V613" s="16" t="str">
        <f aca="false">IF(N(M613)=0,"",IF(COUNTIFS(ENSAYOS!$C$5:$C$3004,F613,ENSAYOS!$Q$5:$Q$3004,"&gt;0",ENSAYOS!$G$5:$G$3004,"&gt;="&amp;CONFIG!$B$27)=0,"",AVERAGEIFS(ENSAYOS!$Q$5:$Q$3004,ENSAYOS!$C$5:$C$3004,F613,ENSAYOS!$Q$5:$Q$3004,"&gt;0",ENSAYOS!$G$5:$G$3004,"&gt;="&amp;CONFIG!$B$27)))</f>
        <v/>
      </c>
      <c r="W613" s="18" t="str">
        <f aca="false">IF(AND(U613&lt;&gt;"",V613&lt;&gt;""),U613/V613,"")</f>
        <v/>
      </c>
      <c r="X613" s="18" t="str">
        <f aca="false">IF(U613="","",INDEX('CURVA EDAD'!$E$5:$E$32,MIN(28,MAX(1,N613))))</f>
        <v/>
      </c>
      <c r="Y613" s="16" t="str">
        <f aca="false">IF(V613&lt;&gt;"",V613,IF(U613="","",U613/X613))</f>
        <v/>
      </c>
      <c r="Z613" s="16" t="str">
        <f aca="false">IF(V613&lt;&gt;"",_xlfn.MINIFS(ENSAYOS!$Q$5:$Q$3004,ENSAYOS!$C$5:$C$3004,F613,ENSAYOS!$Q$5:$Q$3004,"&gt;0",ENSAYOS!$G$5:$G$3004,"&gt;="&amp;CONFIG!$B$27),IF(U613="","",_xlfn.MINIFS(ENSAYOS!$Q$5:$Q$3004,ENSAYOS!$C$5:$C$3004,F613,ENSAYOS!$Q$5:$Q$3004,"&gt;0",ENSAYOS!$G$5:$G$3004,N613)/X613))</f>
        <v/>
      </c>
      <c r="AA613" s="16" t="str">
        <f aca="false">IF(D613="","",IFERROR(1/(1/INDEX(CONFIG!$J$5:$J$14,MATCH(D613,CONFIG!$D$5:$D$14,0))),""))</f>
        <v/>
      </c>
      <c r="AB613" s="16" t="str">
        <f aca="false">IF(D613="","",IFERROR(1/(1/INDEX(CONFIG!$K$5:$K$14,MATCH(D613,CONFIG!$D$5:$D$14,0))),""))</f>
        <v/>
      </c>
      <c r="AC613" s="19" t="str">
        <f aca="false">IF(N(M613)=0,"",IF(AA613="","Sin spec",IF(AND(Y613&gt;=AA613,OR(AB613="",Z613&gt;=AB613)),"CUMPLE","NO CUMPLE")&amp;IF(V613=""," (est.)","")))</f>
        <v/>
      </c>
      <c r="AD613" s="20" t="str">
        <f aca="false">IF(F613="","",IF(COUNTIFS(ABSORCION!$C$5:$C$1004,F613,ABSORCION!$I$5:$I$1004,"&gt;0")=0,"",AVERAGEIFS(ABSORCION!$I$5:$I$1004,ABSORCION!$C$5:$C$1004,F613,ABSORCION!$I$5:$I$1004,"&gt;0")))</f>
        <v/>
      </c>
      <c r="AE613" s="20" t="str">
        <f aca="false">IF(F613="","",IF(COUNTIFS(ABSORCION!$C$5:$C$1004,F613,ABSORCION!$I$5:$I$1004,"&gt;0")=0,"",AVERAGEIFS(ABSORCION!$K$5:$K$1004,ABSORCION!$C$5:$C$1004,F613,ABSORCION!$I$5:$I$1004,"&gt;0")))</f>
        <v/>
      </c>
      <c r="AF613" s="20" t="str">
        <f aca="false">IF(AE613="","",IF(AE613&gt;=CONFIG!$E$21,CONFIG!$F$21,IF(AE613&gt;=CONFIG!$E$20,CONFIG!$F$20,CONFIG!$F$19)))</f>
        <v/>
      </c>
      <c r="AG613" s="21" t="str">
        <f aca="false">IF(F613="","",TRIM(IF(N(M613)=0,"Sin ensayos. ","")&amp;IF(AND(N(M613)&gt;0,N(M613)&lt;CONFIG!$B$26),"Menos de "&amp;CONFIG!$B$26&amp;" probetas. ","")&amp;IF(N(T613)&gt;CONFIG!$B$25,"CV alto. ","")&amp;IF(AND(N(AD613)&gt;0,N(AD613)&gt;N(AF613)),"Absorción alta. ","")))</f>
        <v/>
      </c>
      <c r="AH613" s="22" t="str">
        <f aca="false">IF(AND(N(M613)&gt;0,OR(CONTROL!$C$4="TODAS",C613=CONTROL!$C$4),D613=CONTROL!$C$5),MAX($AH$4:AH612)+1,"")</f>
        <v/>
      </c>
      <c r="AI613" s="22" t="str">
        <f aca="false">IF(AH613="","",P613^2)</f>
        <v/>
      </c>
    </row>
    <row r="614" customFormat="false" ht="15" hidden="false" customHeight="false" outlineLevel="0" collapsed="false">
      <c r="A614" s="11" t="str">
        <f aca="false">IF(B614="","",ROW()-4)</f>
        <v/>
      </c>
      <c r="B614" s="12"/>
      <c r="C614" s="13"/>
      <c r="D614" s="13"/>
      <c r="E614" s="13"/>
      <c r="F614" s="14" t="str">
        <f aca="false">IF(OR(B614="",C614="",D614=""),"",IFERROR(INDEX(CONFIG!$E$5:$E$14,MATCH(D614,CONFIG!$D$5:$D$14,0)),"?")&amp;RIGHT("0"&amp;DAY(B614),2)&amp;RIGHT("0"&amp;MONTH(B614),2)&amp;RIGHT(YEAR(B614),2)&amp;C614&amp;IF(E614="","","-"&amp;E614))</f>
        <v/>
      </c>
      <c r="G614" s="13"/>
      <c r="H614" s="13"/>
      <c r="I614" s="13"/>
      <c r="J614" s="13"/>
      <c r="K614" s="13"/>
      <c r="L614" s="13"/>
      <c r="M614" s="11" t="str">
        <f aca="false">IF(F614="","",COUNTIFS(ENSAYOS!$C$5:$C$3004,F614,ENSAYOS!$Q$5:$Q$3004,"&gt;0"))</f>
        <v/>
      </c>
      <c r="N614" s="15" t="str">
        <f aca="false">IF(N(M614)=0,"",_xlfn.MINIFS(ENSAYOS!$G$5:$G$3004,ENSAYOS!$C$5:$C$3004,F614,ENSAYOS!$Q$5:$Q$3004,"&gt;0"))</f>
        <v/>
      </c>
      <c r="O614" s="15" t="str">
        <f aca="false">IF(N(M614)=0,"",_xlfn.MAXIFS(ENSAYOS!$G$5:$G$3004,ENSAYOS!$C$5:$C$3004,F614,ENSAYOS!$Q$5:$Q$3004,"&gt;0"))</f>
        <v/>
      </c>
      <c r="P614" s="16" t="str">
        <f aca="false">IF(N(M614)=0,"",AVERAGEIFS(ENSAYOS!$Q$5:$Q$3004,ENSAYOS!$C$5:$C$3004,F614,ENSAYOS!$Q$5:$Q$3004,"&gt;0"))</f>
        <v/>
      </c>
      <c r="Q614" s="16" t="str">
        <f aca="false">IF(N(M614)=0,"",_xlfn.MINIFS(ENSAYOS!$Q$5:$Q$3004,ENSAYOS!$C$5:$C$3004,F614,ENSAYOS!$Q$5:$Q$3004,"&gt;0"))</f>
        <v/>
      </c>
      <c r="R614" s="16" t="str">
        <f aca="false">IF(N(M614)=0,"",_xlfn.MAXIFS(ENSAYOS!$Q$5:$Q$3004,ENSAYOS!$C$5:$C$3004,F614,ENSAYOS!$Q$5:$Q$3004,"&gt;0"))</f>
        <v/>
      </c>
      <c r="S614" s="16" t="str">
        <f aca="false">IF(N(M614)&lt;2,"",SQRT(MAX(0,(SUMIFS(ENSAYOS!$X$5:$X$3004,ENSAYOS!$C$5:$C$3004,F614,ENSAYOS!$Q$5:$Q$3004,"&gt;0")-M614*P614^2)/(M614-1))))</f>
        <v/>
      </c>
      <c r="T614" s="17" t="str">
        <f aca="false">IF(S614="","",S614/P614)</f>
        <v/>
      </c>
      <c r="U614" s="16" t="str">
        <f aca="false">IF(N(M614)=0,"",IF(N614&gt;=CONFIG!$B$27,"",AVERAGEIFS(ENSAYOS!$Q$5:$Q$3004,ENSAYOS!$C$5:$C$3004,F614,ENSAYOS!$Q$5:$Q$3004,"&gt;0",ENSAYOS!$G$5:$G$3004,N614)))</f>
        <v/>
      </c>
      <c r="V614" s="16" t="str">
        <f aca="false">IF(N(M614)=0,"",IF(COUNTIFS(ENSAYOS!$C$5:$C$3004,F614,ENSAYOS!$Q$5:$Q$3004,"&gt;0",ENSAYOS!$G$5:$G$3004,"&gt;="&amp;CONFIG!$B$27)=0,"",AVERAGEIFS(ENSAYOS!$Q$5:$Q$3004,ENSAYOS!$C$5:$C$3004,F614,ENSAYOS!$Q$5:$Q$3004,"&gt;0",ENSAYOS!$G$5:$G$3004,"&gt;="&amp;CONFIG!$B$27)))</f>
        <v/>
      </c>
      <c r="W614" s="18" t="str">
        <f aca="false">IF(AND(U614&lt;&gt;"",V614&lt;&gt;""),U614/V614,"")</f>
        <v/>
      </c>
      <c r="X614" s="18" t="str">
        <f aca="false">IF(U614="","",INDEX('CURVA EDAD'!$E$5:$E$32,MIN(28,MAX(1,N614))))</f>
        <v/>
      </c>
      <c r="Y614" s="16" t="str">
        <f aca="false">IF(V614&lt;&gt;"",V614,IF(U614="","",U614/X614))</f>
        <v/>
      </c>
      <c r="Z614" s="16" t="str">
        <f aca="false">IF(V614&lt;&gt;"",_xlfn.MINIFS(ENSAYOS!$Q$5:$Q$3004,ENSAYOS!$C$5:$C$3004,F614,ENSAYOS!$Q$5:$Q$3004,"&gt;0",ENSAYOS!$G$5:$G$3004,"&gt;="&amp;CONFIG!$B$27),IF(U614="","",_xlfn.MINIFS(ENSAYOS!$Q$5:$Q$3004,ENSAYOS!$C$5:$C$3004,F614,ENSAYOS!$Q$5:$Q$3004,"&gt;0",ENSAYOS!$G$5:$G$3004,N614)/X614))</f>
        <v/>
      </c>
      <c r="AA614" s="16" t="str">
        <f aca="false">IF(D614="","",IFERROR(1/(1/INDEX(CONFIG!$J$5:$J$14,MATCH(D614,CONFIG!$D$5:$D$14,0))),""))</f>
        <v/>
      </c>
      <c r="AB614" s="16" t="str">
        <f aca="false">IF(D614="","",IFERROR(1/(1/INDEX(CONFIG!$K$5:$K$14,MATCH(D614,CONFIG!$D$5:$D$14,0))),""))</f>
        <v/>
      </c>
      <c r="AC614" s="19" t="str">
        <f aca="false">IF(N(M614)=0,"",IF(AA614="","Sin spec",IF(AND(Y614&gt;=AA614,OR(AB614="",Z614&gt;=AB614)),"CUMPLE","NO CUMPLE")&amp;IF(V614=""," (est.)","")))</f>
        <v/>
      </c>
      <c r="AD614" s="20" t="str">
        <f aca="false">IF(F614="","",IF(COUNTIFS(ABSORCION!$C$5:$C$1004,F614,ABSORCION!$I$5:$I$1004,"&gt;0")=0,"",AVERAGEIFS(ABSORCION!$I$5:$I$1004,ABSORCION!$C$5:$C$1004,F614,ABSORCION!$I$5:$I$1004,"&gt;0")))</f>
        <v/>
      </c>
      <c r="AE614" s="20" t="str">
        <f aca="false">IF(F614="","",IF(COUNTIFS(ABSORCION!$C$5:$C$1004,F614,ABSORCION!$I$5:$I$1004,"&gt;0")=0,"",AVERAGEIFS(ABSORCION!$K$5:$K$1004,ABSORCION!$C$5:$C$1004,F614,ABSORCION!$I$5:$I$1004,"&gt;0")))</f>
        <v/>
      </c>
      <c r="AF614" s="20" t="str">
        <f aca="false">IF(AE614="","",IF(AE614&gt;=CONFIG!$E$21,CONFIG!$F$21,IF(AE614&gt;=CONFIG!$E$20,CONFIG!$F$20,CONFIG!$F$19)))</f>
        <v/>
      </c>
      <c r="AG614" s="21" t="str">
        <f aca="false">IF(F614="","",TRIM(IF(N(M614)=0,"Sin ensayos. ","")&amp;IF(AND(N(M614)&gt;0,N(M614)&lt;CONFIG!$B$26),"Menos de "&amp;CONFIG!$B$26&amp;" probetas. ","")&amp;IF(N(T614)&gt;CONFIG!$B$25,"CV alto. ","")&amp;IF(AND(N(AD614)&gt;0,N(AD614)&gt;N(AF614)),"Absorción alta. ","")))</f>
        <v/>
      </c>
      <c r="AH614" s="22" t="str">
        <f aca="false">IF(AND(N(M614)&gt;0,OR(CONTROL!$C$4="TODAS",C614=CONTROL!$C$4),D614=CONTROL!$C$5),MAX($AH$4:AH613)+1,"")</f>
        <v/>
      </c>
      <c r="AI614" s="22" t="str">
        <f aca="false">IF(AH614="","",P614^2)</f>
        <v/>
      </c>
    </row>
    <row r="615" customFormat="false" ht="15" hidden="false" customHeight="false" outlineLevel="0" collapsed="false">
      <c r="A615" s="11" t="str">
        <f aca="false">IF(B615="","",ROW()-4)</f>
        <v/>
      </c>
      <c r="B615" s="12"/>
      <c r="C615" s="13"/>
      <c r="D615" s="13"/>
      <c r="E615" s="13"/>
      <c r="F615" s="14" t="str">
        <f aca="false">IF(OR(B615="",C615="",D615=""),"",IFERROR(INDEX(CONFIG!$E$5:$E$14,MATCH(D615,CONFIG!$D$5:$D$14,0)),"?")&amp;RIGHT("0"&amp;DAY(B615),2)&amp;RIGHT("0"&amp;MONTH(B615),2)&amp;RIGHT(YEAR(B615),2)&amp;C615&amp;IF(E615="","","-"&amp;E615))</f>
        <v/>
      </c>
      <c r="G615" s="13"/>
      <c r="H615" s="13"/>
      <c r="I615" s="13"/>
      <c r="J615" s="13"/>
      <c r="K615" s="13"/>
      <c r="L615" s="13"/>
      <c r="M615" s="11" t="str">
        <f aca="false">IF(F615="","",COUNTIFS(ENSAYOS!$C$5:$C$3004,F615,ENSAYOS!$Q$5:$Q$3004,"&gt;0"))</f>
        <v/>
      </c>
      <c r="N615" s="15" t="str">
        <f aca="false">IF(N(M615)=0,"",_xlfn.MINIFS(ENSAYOS!$G$5:$G$3004,ENSAYOS!$C$5:$C$3004,F615,ENSAYOS!$Q$5:$Q$3004,"&gt;0"))</f>
        <v/>
      </c>
      <c r="O615" s="15" t="str">
        <f aca="false">IF(N(M615)=0,"",_xlfn.MAXIFS(ENSAYOS!$G$5:$G$3004,ENSAYOS!$C$5:$C$3004,F615,ENSAYOS!$Q$5:$Q$3004,"&gt;0"))</f>
        <v/>
      </c>
      <c r="P615" s="16" t="str">
        <f aca="false">IF(N(M615)=0,"",AVERAGEIFS(ENSAYOS!$Q$5:$Q$3004,ENSAYOS!$C$5:$C$3004,F615,ENSAYOS!$Q$5:$Q$3004,"&gt;0"))</f>
        <v/>
      </c>
      <c r="Q615" s="16" t="str">
        <f aca="false">IF(N(M615)=0,"",_xlfn.MINIFS(ENSAYOS!$Q$5:$Q$3004,ENSAYOS!$C$5:$C$3004,F615,ENSAYOS!$Q$5:$Q$3004,"&gt;0"))</f>
        <v/>
      </c>
      <c r="R615" s="16" t="str">
        <f aca="false">IF(N(M615)=0,"",_xlfn.MAXIFS(ENSAYOS!$Q$5:$Q$3004,ENSAYOS!$C$5:$C$3004,F615,ENSAYOS!$Q$5:$Q$3004,"&gt;0"))</f>
        <v/>
      </c>
      <c r="S615" s="16" t="str">
        <f aca="false">IF(N(M615)&lt;2,"",SQRT(MAX(0,(SUMIFS(ENSAYOS!$X$5:$X$3004,ENSAYOS!$C$5:$C$3004,F615,ENSAYOS!$Q$5:$Q$3004,"&gt;0")-M615*P615^2)/(M615-1))))</f>
        <v/>
      </c>
      <c r="T615" s="17" t="str">
        <f aca="false">IF(S615="","",S615/P615)</f>
        <v/>
      </c>
      <c r="U615" s="16" t="str">
        <f aca="false">IF(N(M615)=0,"",IF(N615&gt;=CONFIG!$B$27,"",AVERAGEIFS(ENSAYOS!$Q$5:$Q$3004,ENSAYOS!$C$5:$C$3004,F615,ENSAYOS!$Q$5:$Q$3004,"&gt;0",ENSAYOS!$G$5:$G$3004,N615)))</f>
        <v/>
      </c>
      <c r="V615" s="16" t="str">
        <f aca="false">IF(N(M615)=0,"",IF(COUNTIFS(ENSAYOS!$C$5:$C$3004,F615,ENSAYOS!$Q$5:$Q$3004,"&gt;0",ENSAYOS!$G$5:$G$3004,"&gt;="&amp;CONFIG!$B$27)=0,"",AVERAGEIFS(ENSAYOS!$Q$5:$Q$3004,ENSAYOS!$C$5:$C$3004,F615,ENSAYOS!$Q$5:$Q$3004,"&gt;0",ENSAYOS!$G$5:$G$3004,"&gt;="&amp;CONFIG!$B$27)))</f>
        <v/>
      </c>
      <c r="W615" s="18" t="str">
        <f aca="false">IF(AND(U615&lt;&gt;"",V615&lt;&gt;""),U615/V615,"")</f>
        <v/>
      </c>
      <c r="X615" s="18" t="str">
        <f aca="false">IF(U615="","",INDEX('CURVA EDAD'!$E$5:$E$32,MIN(28,MAX(1,N615))))</f>
        <v/>
      </c>
      <c r="Y615" s="16" t="str">
        <f aca="false">IF(V615&lt;&gt;"",V615,IF(U615="","",U615/X615))</f>
        <v/>
      </c>
      <c r="Z615" s="16" t="str">
        <f aca="false">IF(V615&lt;&gt;"",_xlfn.MINIFS(ENSAYOS!$Q$5:$Q$3004,ENSAYOS!$C$5:$C$3004,F615,ENSAYOS!$Q$5:$Q$3004,"&gt;0",ENSAYOS!$G$5:$G$3004,"&gt;="&amp;CONFIG!$B$27),IF(U615="","",_xlfn.MINIFS(ENSAYOS!$Q$5:$Q$3004,ENSAYOS!$C$5:$C$3004,F615,ENSAYOS!$Q$5:$Q$3004,"&gt;0",ENSAYOS!$G$5:$G$3004,N615)/X615))</f>
        <v/>
      </c>
      <c r="AA615" s="16" t="str">
        <f aca="false">IF(D615="","",IFERROR(1/(1/INDEX(CONFIG!$J$5:$J$14,MATCH(D615,CONFIG!$D$5:$D$14,0))),""))</f>
        <v/>
      </c>
      <c r="AB615" s="16" t="str">
        <f aca="false">IF(D615="","",IFERROR(1/(1/INDEX(CONFIG!$K$5:$K$14,MATCH(D615,CONFIG!$D$5:$D$14,0))),""))</f>
        <v/>
      </c>
      <c r="AC615" s="19" t="str">
        <f aca="false">IF(N(M615)=0,"",IF(AA615="","Sin spec",IF(AND(Y615&gt;=AA615,OR(AB615="",Z615&gt;=AB615)),"CUMPLE","NO CUMPLE")&amp;IF(V615=""," (est.)","")))</f>
        <v/>
      </c>
      <c r="AD615" s="20" t="str">
        <f aca="false">IF(F615="","",IF(COUNTIFS(ABSORCION!$C$5:$C$1004,F615,ABSORCION!$I$5:$I$1004,"&gt;0")=0,"",AVERAGEIFS(ABSORCION!$I$5:$I$1004,ABSORCION!$C$5:$C$1004,F615,ABSORCION!$I$5:$I$1004,"&gt;0")))</f>
        <v/>
      </c>
      <c r="AE615" s="20" t="str">
        <f aca="false">IF(F615="","",IF(COUNTIFS(ABSORCION!$C$5:$C$1004,F615,ABSORCION!$I$5:$I$1004,"&gt;0")=0,"",AVERAGEIFS(ABSORCION!$K$5:$K$1004,ABSORCION!$C$5:$C$1004,F615,ABSORCION!$I$5:$I$1004,"&gt;0")))</f>
        <v/>
      </c>
      <c r="AF615" s="20" t="str">
        <f aca="false">IF(AE615="","",IF(AE615&gt;=CONFIG!$E$21,CONFIG!$F$21,IF(AE615&gt;=CONFIG!$E$20,CONFIG!$F$20,CONFIG!$F$19)))</f>
        <v/>
      </c>
      <c r="AG615" s="21" t="str">
        <f aca="false">IF(F615="","",TRIM(IF(N(M615)=0,"Sin ensayos. ","")&amp;IF(AND(N(M615)&gt;0,N(M615)&lt;CONFIG!$B$26),"Menos de "&amp;CONFIG!$B$26&amp;" probetas. ","")&amp;IF(N(T615)&gt;CONFIG!$B$25,"CV alto. ","")&amp;IF(AND(N(AD615)&gt;0,N(AD615)&gt;N(AF615)),"Absorción alta. ","")))</f>
        <v/>
      </c>
      <c r="AH615" s="22" t="str">
        <f aca="false">IF(AND(N(M615)&gt;0,OR(CONTROL!$C$4="TODAS",C615=CONTROL!$C$4),D615=CONTROL!$C$5),MAX($AH$4:AH614)+1,"")</f>
        <v/>
      </c>
      <c r="AI615" s="22" t="str">
        <f aca="false">IF(AH615="","",P615^2)</f>
        <v/>
      </c>
    </row>
    <row r="616" customFormat="false" ht="15" hidden="false" customHeight="false" outlineLevel="0" collapsed="false">
      <c r="A616" s="11" t="str">
        <f aca="false">IF(B616="","",ROW()-4)</f>
        <v/>
      </c>
      <c r="B616" s="12"/>
      <c r="C616" s="13"/>
      <c r="D616" s="13"/>
      <c r="E616" s="13"/>
      <c r="F616" s="14" t="str">
        <f aca="false">IF(OR(B616="",C616="",D616=""),"",IFERROR(INDEX(CONFIG!$E$5:$E$14,MATCH(D616,CONFIG!$D$5:$D$14,0)),"?")&amp;RIGHT("0"&amp;DAY(B616),2)&amp;RIGHT("0"&amp;MONTH(B616),2)&amp;RIGHT(YEAR(B616),2)&amp;C616&amp;IF(E616="","","-"&amp;E616))</f>
        <v/>
      </c>
      <c r="G616" s="13"/>
      <c r="H616" s="13"/>
      <c r="I616" s="13"/>
      <c r="J616" s="13"/>
      <c r="K616" s="13"/>
      <c r="L616" s="13"/>
      <c r="M616" s="11" t="str">
        <f aca="false">IF(F616="","",COUNTIFS(ENSAYOS!$C$5:$C$3004,F616,ENSAYOS!$Q$5:$Q$3004,"&gt;0"))</f>
        <v/>
      </c>
      <c r="N616" s="15" t="str">
        <f aca="false">IF(N(M616)=0,"",_xlfn.MINIFS(ENSAYOS!$G$5:$G$3004,ENSAYOS!$C$5:$C$3004,F616,ENSAYOS!$Q$5:$Q$3004,"&gt;0"))</f>
        <v/>
      </c>
      <c r="O616" s="15" t="str">
        <f aca="false">IF(N(M616)=0,"",_xlfn.MAXIFS(ENSAYOS!$G$5:$G$3004,ENSAYOS!$C$5:$C$3004,F616,ENSAYOS!$Q$5:$Q$3004,"&gt;0"))</f>
        <v/>
      </c>
      <c r="P616" s="16" t="str">
        <f aca="false">IF(N(M616)=0,"",AVERAGEIFS(ENSAYOS!$Q$5:$Q$3004,ENSAYOS!$C$5:$C$3004,F616,ENSAYOS!$Q$5:$Q$3004,"&gt;0"))</f>
        <v/>
      </c>
      <c r="Q616" s="16" t="str">
        <f aca="false">IF(N(M616)=0,"",_xlfn.MINIFS(ENSAYOS!$Q$5:$Q$3004,ENSAYOS!$C$5:$C$3004,F616,ENSAYOS!$Q$5:$Q$3004,"&gt;0"))</f>
        <v/>
      </c>
      <c r="R616" s="16" t="str">
        <f aca="false">IF(N(M616)=0,"",_xlfn.MAXIFS(ENSAYOS!$Q$5:$Q$3004,ENSAYOS!$C$5:$C$3004,F616,ENSAYOS!$Q$5:$Q$3004,"&gt;0"))</f>
        <v/>
      </c>
      <c r="S616" s="16" t="str">
        <f aca="false">IF(N(M616)&lt;2,"",SQRT(MAX(0,(SUMIFS(ENSAYOS!$X$5:$X$3004,ENSAYOS!$C$5:$C$3004,F616,ENSAYOS!$Q$5:$Q$3004,"&gt;0")-M616*P616^2)/(M616-1))))</f>
        <v/>
      </c>
      <c r="T616" s="17" t="str">
        <f aca="false">IF(S616="","",S616/P616)</f>
        <v/>
      </c>
      <c r="U616" s="16" t="str">
        <f aca="false">IF(N(M616)=0,"",IF(N616&gt;=CONFIG!$B$27,"",AVERAGEIFS(ENSAYOS!$Q$5:$Q$3004,ENSAYOS!$C$5:$C$3004,F616,ENSAYOS!$Q$5:$Q$3004,"&gt;0",ENSAYOS!$G$5:$G$3004,N616)))</f>
        <v/>
      </c>
      <c r="V616" s="16" t="str">
        <f aca="false">IF(N(M616)=0,"",IF(COUNTIFS(ENSAYOS!$C$5:$C$3004,F616,ENSAYOS!$Q$5:$Q$3004,"&gt;0",ENSAYOS!$G$5:$G$3004,"&gt;="&amp;CONFIG!$B$27)=0,"",AVERAGEIFS(ENSAYOS!$Q$5:$Q$3004,ENSAYOS!$C$5:$C$3004,F616,ENSAYOS!$Q$5:$Q$3004,"&gt;0",ENSAYOS!$G$5:$G$3004,"&gt;="&amp;CONFIG!$B$27)))</f>
        <v/>
      </c>
      <c r="W616" s="18" t="str">
        <f aca="false">IF(AND(U616&lt;&gt;"",V616&lt;&gt;""),U616/V616,"")</f>
        <v/>
      </c>
      <c r="X616" s="18" t="str">
        <f aca="false">IF(U616="","",INDEX('CURVA EDAD'!$E$5:$E$32,MIN(28,MAX(1,N616))))</f>
        <v/>
      </c>
      <c r="Y616" s="16" t="str">
        <f aca="false">IF(V616&lt;&gt;"",V616,IF(U616="","",U616/X616))</f>
        <v/>
      </c>
      <c r="Z616" s="16" t="str">
        <f aca="false">IF(V616&lt;&gt;"",_xlfn.MINIFS(ENSAYOS!$Q$5:$Q$3004,ENSAYOS!$C$5:$C$3004,F616,ENSAYOS!$Q$5:$Q$3004,"&gt;0",ENSAYOS!$G$5:$G$3004,"&gt;="&amp;CONFIG!$B$27),IF(U616="","",_xlfn.MINIFS(ENSAYOS!$Q$5:$Q$3004,ENSAYOS!$C$5:$C$3004,F616,ENSAYOS!$Q$5:$Q$3004,"&gt;0",ENSAYOS!$G$5:$G$3004,N616)/X616))</f>
        <v/>
      </c>
      <c r="AA616" s="16" t="str">
        <f aca="false">IF(D616="","",IFERROR(1/(1/INDEX(CONFIG!$J$5:$J$14,MATCH(D616,CONFIG!$D$5:$D$14,0))),""))</f>
        <v/>
      </c>
      <c r="AB616" s="16" t="str">
        <f aca="false">IF(D616="","",IFERROR(1/(1/INDEX(CONFIG!$K$5:$K$14,MATCH(D616,CONFIG!$D$5:$D$14,0))),""))</f>
        <v/>
      </c>
      <c r="AC616" s="19" t="str">
        <f aca="false">IF(N(M616)=0,"",IF(AA616="","Sin spec",IF(AND(Y616&gt;=AA616,OR(AB616="",Z616&gt;=AB616)),"CUMPLE","NO CUMPLE")&amp;IF(V616=""," (est.)","")))</f>
        <v/>
      </c>
      <c r="AD616" s="20" t="str">
        <f aca="false">IF(F616="","",IF(COUNTIFS(ABSORCION!$C$5:$C$1004,F616,ABSORCION!$I$5:$I$1004,"&gt;0")=0,"",AVERAGEIFS(ABSORCION!$I$5:$I$1004,ABSORCION!$C$5:$C$1004,F616,ABSORCION!$I$5:$I$1004,"&gt;0")))</f>
        <v/>
      </c>
      <c r="AE616" s="20" t="str">
        <f aca="false">IF(F616="","",IF(COUNTIFS(ABSORCION!$C$5:$C$1004,F616,ABSORCION!$I$5:$I$1004,"&gt;0")=0,"",AVERAGEIFS(ABSORCION!$K$5:$K$1004,ABSORCION!$C$5:$C$1004,F616,ABSORCION!$I$5:$I$1004,"&gt;0")))</f>
        <v/>
      </c>
      <c r="AF616" s="20" t="str">
        <f aca="false">IF(AE616="","",IF(AE616&gt;=CONFIG!$E$21,CONFIG!$F$21,IF(AE616&gt;=CONFIG!$E$20,CONFIG!$F$20,CONFIG!$F$19)))</f>
        <v/>
      </c>
      <c r="AG616" s="21" t="str">
        <f aca="false">IF(F616="","",TRIM(IF(N(M616)=0,"Sin ensayos. ","")&amp;IF(AND(N(M616)&gt;0,N(M616)&lt;CONFIG!$B$26),"Menos de "&amp;CONFIG!$B$26&amp;" probetas. ","")&amp;IF(N(T616)&gt;CONFIG!$B$25,"CV alto. ","")&amp;IF(AND(N(AD616)&gt;0,N(AD616)&gt;N(AF616)),"Absorción alta. ","")))</f>
        <v/>
      </c>
      <c r="AH616" s="22" t="str">
        <f aca="false">IF(AND(N(M616)&gt;0,OR(CONTROL!$C$4="TODAS",C616=CONTROL!$C$4),D616=CONTROL!$C$5),MAX($AH$4:AH615)+1,"")</f>
        <v/>
      </c>
      <c r="AI616" s="22" t="str">
        <f aca="false">IF(AH616="","",P616^2)</f>
        <v/>
      </c>
    </row>
    <row r="617" customFormat="false" ht="15" hidden="false" customHeight="false" outlineLevel="0" collapsed="false">
      <c r="A617" s="11" t="str">
        <f aca="false">IF(B617="","",ROW()-4)</f>
        <v/>
      </c>
      <c r="B617" s="12"/>
      <c r="C617" s="13"/>
      <c r="D617" s="13"/>
      <c r="E617" s="13"/>
      <c r="F617" s="14" t="str">
        <f aca="false">IF(OR(B617="",C617="",D617=""),"",IFERROR(INDEX(CONFIG!$E$5:$E$14,MATCH(D617,CONFIG!$D$5:$D$14,0)),"?")&amp;RIGHT("0"&amp;DAY(B617),2)&amp;RIGHT("0"&amp;MONTH(B617),2)&amp;RIGHT(YEAR(B617),2)&amp;C617&amp;IF(E617="","","-"&amp;E617))</f>
        <v/>
      </c>
      <c r="G617" s="13"/>
      <c r="H617" s="13"/>
      <c r="I617" s="13"/>
      <c r="J617" s="13"/>
      <c r="K617" s="13"/>
      <c r="L617" s="13"/>
      <c r="M617" s="11" t="str">
        <f aca="false">IF(F617="","",COUNTIFS(ENSAYOS!$C$5:$C$3004,F617,ENSAYOS!$Q$5:$Q$3004,"&gt;0"))</f>
        <v/>
      </c>
      <c r="N617" s="15" t="str">
        <f aca="false">IF(N(M617)=0,"",_xlfn.MINIFS(ENSAYOS!$G$5:$G$3004,ENSAYOS!$C$5:$C$3004,F617,ENSAYOS!$Q$5:$Q$3004,"&gt;0"))</f>
        <v/>
      </c>
      <c r="O617" s="15" t="str">
        <f aca="false">IF(N(M617)=0,"",_xlfn.MAXIFS(ENSAYOS!$G$5:$G$3004,ENSAYOS!$C$5:$C$3004,F617,ENSAYOS!$Q$5:$Q$3004,"&gt;0"))</f>
        <v/>
      </c>
      <c r="P617" s="16" t="str">
        <f aca="false">IF(N(M617)=0,"",AVERAGEIFS(ENSAYOS!$Q$5:$Q$3004,ENSAYOS!$C$5:$C$3004,F617,ENSAYOS!$Q$5:$Q$3004,"&gt;0"))</f>
        <v/>
      </c>
      <c r="Q617" s="16" t="str">
        <f aca="false">IF(N(M617)=0,"",_xlfn.MINIFS(ENSAYOS!$Q$5:$Q$3004,ENSAYOS!$C$5:$C$3004,F617,ENSAYOS!$Q$5:$Q$3004,"&gt;0"))</f>
        <v/>
      </c>
      <c r="R617" s="16" t="str">
        <f aca="false">IF(N(M617)=0,"",_xlfn.MAXIFS(ENSAYOS!$Q$5:$Q$3004,ENSAYOS!$C$5:$C$3004,F617,ENSAYOS!$Q$5:$Q$3004,"&gt;0"))</f>
        <v/>
      </c>
      <c r="S617" s="16" t="str">
        <f aca="false">IF(N(M617)&lt;2,"",SQRT(MAX(0,(SUMIFS(ENSAYOS!$X$5:$X$3004,ENSAYOS!$C$5:$C$3004,F617,ENSAYOS!$Q$5:$Q$3004,"&gt;0")-M617*P617^2)/(M617-1))))</f>
        <v/>
      </c>
      <c r="T617" s="17" t="str">
        <f aca="false">IF(S617="","",S617/P617)</f>
        <v/>
      </c>
      <c r="U617" s="16" t="str">
        <f aca="false">IF(N(M617)=0,"",IF(N617&gt;=CONFIG!$B$27,"",AVERAGEIFS(ENSAYOS!$Q$5:$Q$3004,ENSAYOS!$C$5:$C$3004,F617,ENSAYOS!$Q$5:$Q$3004,"&gt;0",ENSAYOS!$G$5:$G$3004,N617)))</f>
        <v/>
      </c>
      <c r="V617" s="16" t="str">
        <f aca="false">IF(N(M617)=0,"",IF(COUNTIFS(ENSAYOS!$C$5:$C$3004,F617,ENSAYOS!$Q$5:$Q$3004,"&gt;0",ENSAYOS!$G$5:$G$3004,"&gt;="&amp;CONFIG!$B$27)=0,"",AVERAGEIFS(ENSAYOS!$Q$5:$Q$3004,ENSAYOS!$C$5:$C$3004,F617,ENSAYOS!$Q$5:$Q$3004,"&gt;0",ENSAYOS!$G$5:$G$3004,"&gt;="&amp;CONFIG!$B$27)))</f>
        <v/>
      </c>
      <c r="W617" s="18" t="str">
        <f aca="false">IF(AND(U617&lt;&gt;"",V617&lt;&gt;""),U617/V617,"")</f>
        <v/>
      </c>
      <c r="X617" s="18" t="str">
        <f aca="false">IF(U617="","",INDEX('CURVA EDAD'!$E$5:$E$32,MIN(28,MAX(1,N617))))</f>
        <v/>
      </c>
      <c r="Y617" s="16" t="str">
        <f aca="false">IF(V617&lt;&gt;"",V617,IF(U617="","",U617/X617))</f>
        <v/>
      </c>
      <c r="Z617" s="16" t="str">
        <f aca="false">IF(V617&lt;&gt;"",_xlfn.MINIFS(ENSAYOS!$Q$5:$Q$3004,ENSAYOS!$C$5:$C$3004,F617,ENSAYOS!$Q$5:$Q$3004,"&gt;0",ENSAYOS!$G$5:$G$3004,"&gt;="&amp;CONFIG!$B$27),IF(U617="","",_xlfn.MINIFS(ENSAYOS!$Q$5:$Q$3004,ENSAYOS!$C$5:$C$3004,F617,ENSAYOS!$Q$5:$Q$3004,"&gt;0",ENSAYOS!$G$5:$G$3004,N617)/X617))</f>
        <v/>
      </c>
      <c r="AA617" s="16" t="str">
        <f aca="false">IF(D617="","",IFERROR(1/(1/INDEX(CONFIG!$J$5:$J$14,MATCH(D617,CONFIG!$D$5:$D$14,0))),""))</f>
        <v/>
      </c>
      <c r="AB617" s="16" t="str">
        <f aca="false">IF(D617="","",IFERROR(1/(1/INDEX(CONFIG!$K$5:$K$14,MATCH(D617,CONFIG!$D$5:$D$14,0))),""))</f>
        <v/>
      </c>
      <c r="AC617" s="19" t="str">
        <f aca="false">IF(N(M617)=0,"",IF(AA617="","Sin spec",IF(AND(Y617&gt;=AA617,OR(AB617="",Z617&gt;=AB617)),"CUMPLE","NO CUMPLE")&amp;IF(V617=""," (est.)","")))</f>
        <v/>
      </c>
      <c r="AD617" s="20" t="str">
        <f aca="false">IF(F617="","",IF(COUNTIFS(ABSORCION!$C$5:$C$1004,F617,ABSORCION!$I$5:$I$1004,"&gt;0")=0,"",AVERAGEIFS(ABSORCION!$I$5:$I$1004,ABSORCION!$C$5:$C$1004,F617,ABSORCION!$I$5:$I$1004,"&gt;0")))</f>
        <v/>
      </c>
      <c r="AE617" s="20" t="str">
        <f aca="false">IF(F617="","",IF(COUNTIFS(ABSORCION!$C$5:$C$1004,F617,ABSORCION!$I$5:$I$1004,"&gt;0")=0,"",AVERAGEIFS(ABSORCION!$K$5:$K$1004,ABSORCION!$C$5:$C$1004,F617,ABSORCION!$I$5:$I$1004,"&gt;0")))</f>
        <v/>
      </c>
      <c r="AF617" s="20" t="str">
        <f aca="false">IF(AE617="","",IF(AE617&gt;=CONFIG!$E$21,CONFIG!$F$21,IF(AE617&gt;=CONFIG!$E$20,CONFIG!$F$20,CONFIG!$F$19)))</f>
        <v/>
      </c>
      <c r="AG617" s="21" t="str">
        <f aca="false">IF(F617="","",TRIM(IF(N(M617)=0,"Sin ensayos. ","")&amp;IF(AND(N(M617)&gt;0,N(M617)&lt;CONFIG!$B$26),"Menos de "&amp;CONFIG!$B$26&amp;" probetas. ","")&amp;IF(N(T617)&gt;CONFIG!$B$25,"CV alto. ","")&amp;IF(AND(N(AD617)&gt;0,N(AD617)&gt;N(AF617)),"Absorción alta. ","")))</f>
        <v/>
      </c>
      <c r="AH617" s="22" t="str">
        <f aca="false">IF(AND(N(M617)&gt;0,OR(CONTROL!$C$4="TODAS",C617=CONTROL!$C$4),D617=CONTROL!$C$5),MAX($AH$4:AH616)+1,"")</f>
        <v/>
      </c>
      <c r="AI617" s="22" t="str">
        <f aca="false">IF(AH617="","",P617^2)</f>
        <v/>
      </c>
    </row>
    <row r="618" customFormat="false" ht="15" hidden="false" customHeight="false" outlineLevel="0" collapsed="false">
      <c r="A618" s="11" t="str">
        <f aca="false">IF(B618="","",ROW()-4)</f>
        <v/>
      </c>
      <c r="B618" s="12"/>
      <c r="C618" s="13"/>
      <c r="D618" s="13"/>
      <c r="E618" s="13"/>
      <c r="F618" s="14" t="str">
        <f aca="false">IF(OR(B618="",C618="",D618=""),"",IFERROR(INDEX(CONFIG!$E$5:$E$14,MATCH(D618,CONFIG!$D$5:$D$14,0)),"?")&amp;RIGHT("0"&amp;DAY(B618),2)&amp;RIGHT("0"&amp;MONTH(B618),2)&amp;RIGHT(YEAR(B618),2)&amp;C618&amp;IF(E618="","","-"&amp;E618))</f>
        <v/>
      </c>
      <c r="G618" s="13"/>
      <c r="H618" s="13"/>
      <c r="I618" s="13"/>
      <c r="J618" s="13"/>
      <c r="K618" s="13"/>
      <c r="L618" s="13"/>
      <c r="M618" s="11" t="str">
        <f aca="false">IF(F618="","",COUNTIFS(ENSAYOS!$C$5:$C$3004,F618,ENSAYOS!$Q$5:$Q$3004,"&gt;0"))</f>
        <v/>
      </c>
      <c r="N618" s="15" t="str">
        <f aca="false">IF(N(M618)=0,"",_xlfn.MINIFS(ENSAYOS!$G$5:$G$3004,ENSAYOS!$C$5:$C$3004,F618,ENSAYOS!$Q$5:$Q$3004,"&gt;0"))</f>
        <v/>
      </c>
      <c r="O618" s="15" t="str">
        <f aca="false">IF(N(M618)=0,"",_xlfn.MAXIFS(ENSAYOS!$G$5:$G$3004,ENSAYOS!$C$5:$C$3004,F618,ENSAYOS!$Q$5:$Q$3004,"&gt;0"))</f>
        <v/>
      </c>
      <c r="P618" s="16" t="str">
        <f aca="false">IF(N(M618)=0,"",AVERAGEIFS(ENSAYOS!$Q$5:$Q$3004,ENSAYOS!$C$5:$C$3004,F618,ENSAYOS!$Q$5:$Q$3004,"&gt;0"))</f>
        <v/>
      </c>
      <c r="Q618" s="16" t="str">
        <f aca="false">IF(N(M618)=0,"",_xlfn.MINIFS(ENSAYOS!$Q$5:$Q$3004,ENSAYOS!$C$5:$C$3004,F618,ENSAYOS!$Q$5:$Q$3004,"&gt;0"))</f>
        <v/>
      </c>
      <c r="R618" s="16" t="str">
        <f aca="false">IF(N(M618)=0,"",_xlfn.MAXIFS(ENSAYOS!$Q$5:$Q$3004,ENSAYOS!$C$5:$C$3004,F618,ENSAYOS!$Q$5:$Q$3004,"&gt;0"))</f>
        <v/>
      </c>
      <c r="S618" s="16" t="str">
        <f aca="false">IF(N(M618)&lt;2,"",SQRT(MAX(0,(SUMIFS(ENSAYOS!$X$5:$X$3004,ENSAYOS!$C$5:$C$3004,F618,ENSAYOS!$Q$5:$Q$3004,"&gt;0")-M618*P618^2)/(M618-1))))</f>
        <v/>
      </c>
      <c r="T618" s="17" t="str">
        <f aca="false">IF(S618="","",S618/P618)</f>
        <v/>
      </c>
      <c r="U618" s="16" t="str">
        <f aca="false">IF(N(M618)=0,"",IF(N618&gt;=CONFIG!$B$27,"",AVERAGEIFS(ENSAYOS!$Q$5:$Q$3004,ENSAYOS!$C$5:$C$3004,F618,ENSAYOS!$Q$5:$Q$3004,"&gt;0",ENSAYOS!$G$5:$G$3004,N618)))</f>
        <v/>
      </c>
      <c r="V618" s="16" t="str">
        <f aca="false">IF(N(M618)=0,"",IF(COUNTIFS(ENSAYOS!$C$5:$C$3004,F618,ENSAYOS!$Q$5:$Q$3004,"&gt;0",ENSAYOS!$G$5:$G$3004,"&gt;="&amp;CONFIG!$B$27)=0,"",AVERAGEIFS(ENSAYOS!$Q$5:$Q$3004,ENSAYOS!$C$5:$C$3004,F618,ENSAYOS!$Q$5:$Q$3004,"&gt;0",ENSAYOS!$G$5:$G$3004,"&gt;="&amp;CONFIG!$B$27)))</f>
        <v/>
      </c>
      <c r="W618" s="18" t="str">
        <f aca="false">IF(AND(U618&lt;&gt;"",V618&lt;&gt;""),U618/V618,"")</f>
        <v/>
      </c>
      <c r="X618" s="18" t="str">
        <f aca="false">IF(U618="","",INDEX('CURVA EDAD'!$E$5:$E$32,MIN(28,MAX(1,N618))))</f>
        <v/>
      </c>
      <c r="Y618" s="16" t="str">
        <f aca="false">IF(V618&lt;&gt;"",V618,IF(U618="","",U618/X618))</f>
        <v/>
      </c>
      <c r="Z618" s="16" t="str">
        <f aca="false">IF(V618&lt;&gt;"",_xlfn.MINIFS(ENSAYOS!$Q$5:$Q$3004,ENSAYOS!$C$5:$C$3004,F618,ENSAYOS!$Q$5:$Q$3004,"&gt;0",ENSAYOS!$G$5:$G$3004,"&gt;="&amp;CONFIG!$B$27),IF(U618="","",_xlfn.MINIFS(ENSAYOS!$Q$5:$Q$3004,ENSAYOS!$C$5:$C$3004,F618,ENSAYOS!$Q$5:$Q$3004,"&gt;0",ENSAYOS!$G$5:$G$3004,N618)/X618))</f>
        <v/>
      </c>
      <c r="AA618" s="16" t="str">
        <f aca="false">IF(D618="","",IFERROR(1/(1/INDEX(CONFIG!$J$5:$J$14,MATCH(D618,CONFIG!$D$5:$D$14,0))),""))</f>
        <v/>
      </c>
      <c r="AB618" s="16" t="str">
        <f aca="false">IF(D618="","",IFERROR(1/(1/INDEX(CONFIG!$K$5:$K$14,MATCH(D618,CONFIG!$D$5:$D$14,0))),""))</f>
        <v/>
      </c>
      <c r="AC618" s="19" t="str">
        <f aca="false">IF(N(M618)=0,"",IF(AA618="","Sin spec",IF(AND(Y618&gt;=AA618,OR(AB618="",Z618&gt;=AB618)),"CUMPLE","NO CUMPLE")&amp;IF(V618=""," (est.)","")))</f>
        <v/>
      </c>
      <c r="AD618" s="20" t="str">
        <f aca="false">IF(F618="","",IF(COUNTIFS(ABSORCION!$C$5:$C$1004,F618,ABSORCION!$I$5:$I$1004,"&gt;0")=0,"",AVERAGEIFS(ABSORCION!$I$5:$I$1004,ABSORCION!$C$5:$C$1004,F618,ABSORCION!$I$5:$I$1004,"&gt;0")))</f>
        <v/>
      </c>
      <c r="AE618" s="20" t="str">
        <f aca="false">IF(F618="","",IF(COUNTIFS(ABSORCION!$C$5:$C$1004,F618,ABSORCION!$I$5:$I$1004,"&gt;0")=0,"",AVERAGEIFS(ABSORCION!$K$5:$K$1004,ABSORCION!$C$5:$C$1004,F618,ABSORCION!$I$5:$I$1004,"&gt;0")))</f>
        <v/>
      </c>
      <c r="AF618" s="20" t="str">
        <f aca="false">IF(AE618="","",IF(AE618&gt;=CONFIG!$E$21,CONFIG!$F$21,IF(AE618&gt;=CONFIG!$E$20,CONFIG!$F$20,CONFIG!$F$19)))</f>
        <v/>
      </c>
      <c r="AG618" s="21" t="str">
        <f aca="false">IF(F618="","",TRIM(IF(N(M618)=0,"Sin ensayos. ","")&amp;IF(AND(N(M618)&gt;0,N(M618)&lt;CONFIG!$B$26),"Menos de "&amp;CONFIG!$B$26&amp;" probetas. ","")&amp;IF(N(T618)&gt;CONFIG!$B$25,"CV alto. ","")&amp;IF(AND(N(AD618)&gt;0,N(AD618)&gt;N(AF618)),"Absorción alta. ","")))</f>
        <v/>
      </c>
      <c r="AH618" s="22" t="str">
        <f aca="false">IF(AND(N(M618)&gt;0,OR(CONTROL!$C$4="TODAS",C618=CONTROL!$C$4),D618=CONTROL!$C$5),MAX($AH$4:AH617)+1,"")</f>
        <v/>
      </c>
      <c r="AI618" s="22" t="str">
        <f aca="false">IF(AH618="","",P618^2)</f>
        <v/>
      </c>
    </row>
    <row r="619" customFormat="false" ht="15" hidden="false" customHeight="false" outlineLevel="0" collapsed="false">
      <c r="A619" s="11" t="str">
        <f aca="false">IF(B619="","",ROW()-4)</f>
        <v/>
      </c>
      <c r="B619" s="12"/>
      <c r="C619" s="13"/>
      <c r="D619" s="13"/>
      <c r="E619" s="13"/>
      <c r="F619" s="14" t="str">
        <f aca="false">IF(OR(B619="",C619="",D619=""),"",IFERROR(INDEX(CONFIG!$E$5:$E$14,MATCH(D619,CONFIG!$D$5:$D$14,0)),"?")&amp;RIGHT("0"&amp;DAY(B619),2)&amp;RIGHT("0"&amp;MONTH(B619),2)&amp;RIGHT(YEAR(B619),2)&amp;C619&amp;IF(E619="","","-"&amp;E619))</f>
        <v/>
      </c>
      <c r="G619" s="13"/>
      <c r="H619" s="13"/>
      <c r="I619" s="13"/>
      <c r="J619" s="13"/>
      <c r="K619" s="13"/>
      <c r="L619" s="13"/>
      <c r="M619" s="11" t="str">
        <f aca="false">IF(F619="","",COUNTIFS(ENSAYOS!$C$5:$C$3004,F619,ENSAYOS!$Q$5:$Q$3004,"&gt;0"))</f>
        <v/>
      </c>
      <c r="N619" s="15" t="str">
        <f aca="false">IF(N(M619)=0,"",_xlfn.MINIFS(ENSAYOS!$G$5:$G$3004,ENSAYOS!$C$5:$C$3004,F619,ENSAYOS!$Q$5:$Q$3004,"&gt;0"))</f>
        <v/>
      </c>
      <c r="O619" s="15" t="str">
        <f aca="false">IF(N(M619)=0,"",_xlfn.MAXIFS(ENSAYOS!$G$5:$G$3004,ENSAYOS!$C$5:$C$3004,F619,ENSAYOS!$Q$5:$Q$3004,"&gt;0"))</f>
        <v/>
      </c>
      <c r="P619" s="16" t="str">
        <f aca="false">IF(N(M619)=0,"",AVERAGEIFS(ENSAYOS!$Q$5:$Q$3004,ENSAYOS!$C$5:$C$3004,F619,ENSAYOS!$Q$5:$Q$3004,"&gt;0"))</f>
        <v/>
      </c>
      <c r="Q619" s="16" t="str">
        <f aca="false">IF(N(M619)=0,"",_xlfn.MINIFS(ENSAYOS!$Q$5:$Q$3004,ENSAYOS!$C$5:$C$3004,F619,ENSAYOS!$Q$5:$Q$3004,"&gt;0"))</f>
        <v/>
      </c>
      <c r="R619" s="16" t="str">
        <f aca="false">IF(N(M619)=0,"",_xlfn.MAXIFS(ENSAYOS!$Q$5:$Q$3004,ENSAYOS!$C$5:$C$3004,F619,ENSAYOS!$Q$5:$Q$3004,"&gt;0"))</f>
        <v/>
      </c>
      <c r="S619" s="16" t="str">
        <f aca="false">IF(N(M619)&lt;2,"",SQRT(MAX(0,(SUMIFS(ENSAYOS!$X$5:$X$3004,ENSAYOS!$C$5:$C$3004,F619,ENSAYOS!$Q$5:$Q$3004,"&gt;0")-M619*P619^2)/(M619-1))))</f>
        <v/>
      </c>
      <c r="T619" s="17" t="str">
        <f aca="false">IF(S619="","",S619/P619)</f>
        <v/>
      </c>
      <c r="U619" s="16" t="str">
        <f aca="false">IF(N(M619)=0,"",IF(N619&gt;=CONFIG!$B$27,"",AVERAGEIFS(ENSAYOS!$Q$5:$Q$3004,ENSAYOS!$C$5:$C$3004,F619,ENSAYOS!$Q$5:$Q$3004,"&gt;0",ENSAYOS!$G$5:$G$3004,N619)))</f>
        <v/>
      </c>
      <c r="V619" s="16" t="str">
        <f aca="false">IF(N(M619)=0,"",IF(COUNTIFS(ENSAYOS!$C$5:$C$3004,F619,ENSAYOS!$Q$5:$Q$3004,"&gt;0",ENSAYOS!$G$5:$G$3004,"&gt;="&amp;CONFIG!$B$27)=0,"",AVERAGEIFS(ENSAYOS!$Q$5:$Q$3004,ENSAYOS!$C$5:$C$3004,F619,ENSAYOS!$Q$5:$Q$3004,"&gt;0",ENSAYOS!$G$5:$G$3004,"&gt;="&amp;CONFIG!$B$27)))</f>
        <v/>
      </c>
      <c r="W619" s="18" t="str">
        <f aca="false">IF(AND(U619&lt;&gt;"",V619&lt;&gt;""),U619/V619,"")</f>
        <v/>
      </c>
      <c r="X619" s="18" t="str">
        <f aca="false">IF(U619="","",INDEX('CURVA EDAD'!$E$5:$E$32,MIN(28,MAX(1,N619))))</f>
        <v/>
      </c>
      <c r="Y619" s="16" t="str">
        <f aca="false">IF(V619&lt;&gt;"",V619,IF(U619="","",U619/X619))</f>
        <v/>
      </c>
      <c r="Z619" s="16" t="str">
        <f aca="false">IF(V619&lt;&gt;"",_xlfn.MINIFS(ENSAYOS!$Q$5:$Q$3004,ENSAYOS!$C$5:$C$3004,F619,ENSAYOS!$Q$5:$Q$3004,"&gt;0",ENSAYOS!$G$5:$G$3004,"&gt;="&amp;CONFIG!$B$27),IF(U619="","",_xlfn.MINIFS(ENSAYOS!$Q$5:$Q$3004,ENSAYOS!$C$5:$C$3004,F619,ENSAYOS!$Q$5:$Q$3004,"&gt;0",ENSAYOS!$G$5:$G$3004,N619)/X619))</f>
        <v/>
      </c>
      <c r="AA619" s="16" t="str">
        <f aca="false">IF(D619="","",IFERROR(1/(1/INDEX(CONFIG!$J$5:$J$14,MATCH(D619,CONFIG!$D$5:$D$14,0))),""))</f>
        <v/>
      </c>
      <c r="AB619" s="16" t="str">
        <f aca="false">IF(D619="","",IFERROR(1/(1/INDEX(CONFIG!$K$5:$K$14,MATCH(D619,CONFIG!$D$5:$D$14,0))),""))</f>
        <v/>
      </c>
      <c r="AC619" s="19" t="str">
        <f aca="false">IF(N(M619)=0,"",IF(AA619="","Sin spec",IF(AND(Y619&gt;=AA619,OR(AB619="",Z619&gt;=AB619)),"CUMPLE","NO CUMPLE")&amp;IF(V619=""," (est.)","")))</f>
        <v/>
      </c>
      <c r="AD619" s="20" t="str">
        <f aca="false">IF(F619="","",IF(COUNTIFS(ABSORCION!$C$5:$C$1004,F619,ABSORCION!$I$5:$I$1004,"&gt;0")=0,"",AVERAGEIFS(ABSORCION!$I$5:$I$1004,ABSORCION!$C$5:$C$1004,F619,ABSORCION!$I$5:$I$1004,"&gt;0")))</f>
        <v/>
      </c>
      <c r="AE619" s="20" t="str">
        <f aca="false">IF(F619="","",IF(COUNTIFS(ABSORCION!$C$5:$C$1004,F619,ABSORCION!$I$5:$I$1004,"&gt;0")=0,"",AVERAGEIFS(ABSORCION!$K$5:$K$1004,ABSORCION!$C$5:$C$1004,F619,ABSORCION!$I$5:$I$1004,"&gt;0")))</f>
        <v/>
      </c>
      <c r="AF619" s="20" t="str">
        <f aca="false">IF(AE619="","",IF(AE619&gt;=CONFIG!$E$21,CONFIG!$F$21,IF(AE619&gt;=CONFIG!$E$20,CONFIG!$F$20,CONFIG!$F$19)))</f>
        <v/>
      </c>
      <c r="AG619" s="21" t="str">
        <f aca="false">IF(F619="","",TRIM(IF(N(M619)=0,"Sin ensayos. ","")&amp;IF(AND(N(M619)&gt;0,N(M619)&lt;CONFIG!$B$26),"Menos de "&amp;CONFIG!$B$26&amp;" probetas. ","")&amp;IF(N(T619)&gt;CONFIG!$B$25,"CV alto. ","")&amp;IF(AND(N(AD619)&gt;0,N(AD619)&gt;N(AF619)),"Absorción alta. ","")))</f>
        <v/>
      </c>
      <c r="AH619" s="22" t="str">
        <f aca="false">IF(AND(N(M619)&gt;0,OR(CONTROL!$C$4="TODAS",C619=CONTROL!$C$4),D619=CONTROL!$C$5),MAX($AH$4:AH618)+1,"")</f>
        <v/>
      </c>
      <c r="AI619" s="22" t="str">
        <f aca="false">IF(AH619="","",P619^2)</f>
        <v/>
      </c>
    </row>
    <row r="620" customFormat="false" ht="15" hidden="false" customHeight="false" outlineLevel="0" collapsed="false">
      <c r="A620" s="11" t="str">
        <f aca="false">IF(B620="","",ROW()-4)</f>
        <v/>
      </c>
      <c r="B620" s="12"/>
      <c r="C620" s="13"/>
      <c r="D620" s="13"/>
      <c r="E620" s="13"/>
      <c r="F620" s="14" t="str">
        <f aca="false">IF(OR(B620="",C620="",D620=""),"",IFERROR(INDEX(CONFIG!$E$5:$E$14,MATCH(D620,CONFIG!$D$5:$D$14,0)),"?")&amp;RIGHT("0"&amp;DAY(B620),2)&amp;RIGHT("0"&amp;MONTH(B620),2)&amp;RIGHT(YEAR(B620),2)&amp;C620&amp;IF(E620="","","-"&amp;E620))</f>
        <v/>
      </c>
      <c r="G620" s="13"/>
      <c r="H620" s="13"/>
      <c r="I620" s="13"/>
      <c r="J620" s="13"/>
      <c r="K620" s="13"/>
      <c r="L620" s="13"/>
      <c r="M620" s="11" t="str">
        <f aca="false">IF(F620="","",COUNTIFS(ENSAYOS!$C$5:$C$3004,F620,ENSAYOS!$Q$5:$Q$3004,"&gt;0"))</f>
        <v/>
      </c>
      <c r="N620" s="15" t="str">
        <f aca="false">IF(N(M620)=0,"",_xlfn.MINIFS(ENSAYOS!$G$5:$G$3004,ENSAYOS!$C$5:$C$3004,F620,ENSAYOS!$Q$5:$Q$3004,"&gt;0"))</f>
        <v/>
      </c>
      <c r="O620" s="15" t="str">
        <f aca="false">IF(N(M620)=0,"",_xlfn.MAXIFS(ENSAYOS!$G$5:$G$3004,ENSAYOS!$C$5:$C$3004,F620,ENSAYOS!$Q$5:$Q$3004,"&gt;0"))</f>
        <v/>
      </c>
      <c r="P620" s="16" t="str">
        <f aca="false">IF(N(M620)=0,"",AVERAGEIFS(ENSAYOS!$Q$5:$Q$3004,ENSAYOS!$C$5:$C$3004,F620,ENSAYOS!$Q$5:$Q$3004,"&gt;0"))</f>
        <v/>
      </c>
      <c r="Q620" s="16" t="str">
        <f aca="false">IF(N(M620)=0,"",_xlfn.MINIFS(ENSAYOS!$Q$5:$Q$3004,ENSAYOS!$C$5:$C$3004,F620,ENSAYOS!$Q$5:$Q$3004,"&gt;0"))</f>
        <v/>
      </c>
      <c r="R620" s="16" t="str">
        <f aca="false">IF(N(M620)=0,"",_xlfn.MAXIFS(ENSAYOS!$Q$5:$Q$3004,ENSAYOS!$C$5:$C$3004,F620,ENSAYOS!$Q$5:$Q$3004,"&gt;0"))</f>
        <v/>
      </c>
      <c r="S620" s="16" t="str">
        <f aca="false">IF(N(M620)&lt;2,"",SQRT(MAX(0,(SUMIFS(ENSAYOS!$X$5:$X$3004,ENSAYOS!$C$5:$C$3004,F620,ENSAYOS!$Q$5:$Q$3004,"&gt;0")-M620*P620^2)/(M620-1))))</f>
        <v/>
      </c>
      <c r="T620" s="17" t="str">
        <f aca="false">IF(S620="","",S620/P620)</f>
        <v/>
      </c>
      <c r="U620" s="16" t="str">
        <f aca="false">IF(N(M620)=0,"",IF(N620&gt;=CONFIG!$B$27,"",AVERAGEIFS(ENSAYOS!$Q$5:$Q$3004,ENSAYOS!$C$5:$C$3004,F620,ENSAYOS!$Q$5:$Q$3004,"&gt;0",ENSAYOS!$G$5:$G$3004,N620)))</f>
        <v/>
      </c>
      <c r="V620" s="16" t="str">
        <f aca="false">IF(N(M620)=0,"",IF(COUNTIFS(ENSAYOS!$C$5:$C$3004,F620,ENSAYOS!$Q$5:$Q$3004,"&gt;0",ENSAYOS!$G$5:$G$3004,"&gt;="&amp;CONFIG!$B$27)=0,"",AVERAGEIFS(ENSAYOS!$Q$5:$Q$3004,ENSAYOS!$C$5:$C$3004,F620,ENSAYOS!$Q$5:$Q$3004,"&gt;0",ENSAYOS!$G$5:$G$3004,"&gt;="&amp;CONFIG!$B$27)))</f>
        <v/>
      </c>
      <c r="W620" s="18" t="str">
        <f aca="false">IF(AND(U620&lt;&gt;"",V620&lt;&gt;""),U620/V620,"")</f>
        <v/>
      </c>
      <c r="X620" s="18" t="str">
        <f aca="false">IF(U620="","",INDEX('CURVA EDAD'!$E$5:$E$32,MIN(28,MAX(1,N620))))</f>
        <v/>
      </c>
      <c r="Y620" s="16" t="str">
        <f aca="false">IF(V620&lt;&gt;"",V620,IF(U620="","",U620/X620))</f>
        <v/>
      </c>
      <c r="Z620" s="16" t="str">
        <f aca="false">IF(V620&lt;&gt;"",_xlfn.MINIFS(ENSAYOS!$Q$5:$Q$3004,ENSAYOS!$C$5:$C$3004,F620,ENSAYOS!$Q$5:$Q$3004,"&gt;0",ENSAYOS!$G$5:$G$3004,"&gt;="&amp;CONFIG!$B$27),IF(U620="","",_xlfn.MINIFS(ENSAYOS!$Q$5:$Q$3004,ENSAYOS!$C$5:$C$3004,F620,ENSAYOS!$Q$5:$Q$3004,"&gt;0",ENSAYOS!$G$5:$G$3004,N620)/X620))</f>
        <v/>
      </c>
      <c r="AA620" s="16" t="str">
        <f aca="false">IF(D620="","",IFERROR(1/(1/INDEX(CONFIG!$J$5:$J$14,MATCH(D620,CONFIG!$D$5:$D$14,0))),""))</f>
        <v/>
      </c>
      <c r="AB620" s="16" t="str">
        <f aca="false">IF(D620="","",IFERROR(1/(1/INDEX(CONFIG!$K$5:$K$14,MATCH(D620,CONFIG!$D$5:$D$14,0))),""))</f>
        <v/>
      </c>
      <c r="AC620" s="19" t="str">
        <f aca="false">IF(N(M620)=0,"",IF(AA620="","Sin spec",IF(AND(Y620&gt;=AA620,OR(AB620="",Z620&gt;=AB620)),"CUMPLE","NO CUMPLE")&amp;IF(V620=""," (est.)","")))</f>
        <v/>
      </c>
      <c r="AD620" s="20" t="str">
        <f aca="false">IF(F620="","",IF(COUNTIFS(ABSORCION!$C$5:$C$1004,F620,ABSORCION!$I$5:$I$1004,"&gt;0")=0,"",AVERAGEIFS(ABSORCION!$I$5:$I$1004,ABSORCION!$C$5:$C$1004,F620,ABSORCION!$I$5:$I$1004,"&gt;0")))</f>
        <v/>
      </c>
      <c r="AE620" s="20" t="str">
        <f aca="false">IF(F620="","",IF(COUNTIFS(ABSORCION!$C$5:$C$1004,F620,ABSORCION!$I$5:$I$1004,"&gt;0")=0,"",AVERAGEIFS(ABSORCION!$K$5:$K$1004,ABSORCION!$C$5:$C$1004,F620,ABSORCION!$I$5:$I$1004,"&gt;0")))</f>
        <v/>
      </c>
      <c r="AF620" s="20" t="str">
        <f aca="false">IF(AE620="","",IF(AE620&gt;=CONFIG!$E$21,CONFIG!$F$21,IF(AE620&gt;=CONFIG!$E$20,CONFIG!$F$20,CONFIG!$F$19)))</f>
        <v/>
      </c>
      <c r="AG620" s="21" t="str">
        <f aca="false">IF(F620="","",TRIM(IF(N(M620)=0,"Sin ensayos. ","")&amp;IF(AND(N(M620)&gt;0,N(M620)&lt;CONFIG!$B$26),"Menos de "&amp;CONFIG!$B$26&amp;" probetas. ","")&amp;IF(N(T620)&gt;CONFIG!$B$25,"CV alto. ","")&amp;IF(AND(N(AD620)&gt;0,N(AD620)&gt;N(AF620)),"Absorción alta. ","")))</f>
        <v/>
      </c>
      <c r="AH620" s="22" t="str">
        <f aca="false">IF(AND(N(M620)&gt;0,OR(CONTROL!$C$4="TODAS",C620=CONTROL!$C$4),D620=CONTROL!$C$5),MAX($AH$4:AH619)+1,"")</f>
        <v/>
      </c>
      <c r="AI620" s="22" t="str">
        <f aca="false">IF(AH620="","",P620^2)</f>
        <v/>
      </c>
    </row>
    <row r="621" customFormat="false" ht="15" hidden="false" customHeight="false" outlineLevel="0" collapsed="false">
      <c r="A621" s="11" t="str">
        <f aca="false">IF(B621="","",ROW()-4)</f>
        <v/>
      </c>
      <c r="B621" s="12"/>
      <c r="C621" s="13"/>
      <c r="D621" s="13"/>
      <c r="E621" s="13"/>
      <c r="F621" s="14" t="str">
        <f aca="false">IF(OR(B621="",C621="",D621=""),"",IFERROR(INDEX(CONFIG!$E$5:$E$14,MATCH(D621,CONFIG!$D$5:$D$14,0)),"?")&amp;RIGHT("0"&amp;DAY(B621),2)&amp;RIGHT("0"&amp;MONTH(B621),2)&amp;RIGHT(YEAR(B621),2)&amp;C621&amp;IF(E621="","","-"&amp;E621))</f>
        <v/>
      </c>
      <c r="G621" s="13"/>
      <c r="H621" s="13"/>
      <c r="I621" s="13"/>
      <c r="J621" s="13"/>
      <c r="K621" s="13"/>
      <c r="L621" s="13"/>
      <c r="M621" s="11" t="str">
        <f aca="false">IF(F621="","",COUNTIFS(ENSAYOS!$C$5:$C$3004,F621,ENSAYOS!$Q$5:$Q$3004,"&gt;0"))</f>
        <v/>
      </c>
      <c r="N621" s="15" t="str">
        <f aca="false">IF(N(M621)=0,"",_xlfn.MINIFS(ENSAYOS!$G$5:$G$3004,ENSAYOS!$C$5:$C$3004,F621,ENSAYOS!$Q$5:$Q$3004,"&gt;0"))</f>
        <v/>
      </c>
      <c r="O621" s="15" t="str">
        <f aca="false">IF(N(M621)=0,"",_xlfn.MAXIFS(ENSAYOS!$G$5:$G$3004,ENSAYOS!$C$5:$C$3004,F621,ENSAYOS!$Q$5:$Q$3004,"&gt;0"))</f>
        <v/>
      </c>
      <c r="P621" s="16" t="str">
        <f aca="false">IF(N(M621)=0,"",AVERAGEIFS(ENSAYOS!$Q$5:$Q$3004,ENSAYOS!$C$5:$C$3004,F621,ENSAYOS!$Q$5:$Q$3004,"&gt;0"))</f>
        <v/>
      </c>
      <c r="Q621" s="16" t="str">
        <f aca="false">IF(N(M621)=0,"",_xlfn.MINIFS(ENSAYOS!$Q$5:$Q$3004,ENSAYOS!$C$5:$C$3004,F621,ENSAYOS!$Q$5:$Q$3004,"&gt;0"))</f>
        <v/>
      </c>
      <c r="R621" s="16" t="str">
        <f aca="false">IF(N(M621)=0,"",_xlfn.MAXIFS(ENSAYOS!$Q$5:$Q$3004,ENSAYOS!$C$5:$C$3004,F621,ENSAYOS!$Q$5:$Q$3004,"&gt;0"))</f>
        <v/>
      </c>
      <c r="S621" s="16" t="str">
        <f aca="false">IF(N(M621)&lt;2,"",SQRT(MAX(0,(SUMIFS(ENSAYOS!$X$5:$X$3004,ENSAYOS!$C$5:$C$3004,F621,ENSAYOS!$Q$5:$Q$3004,"&gt;0")-M621*P621^2)/(M621-1))))</f>
        <v/>
      </c>
      <c r="T621" s="17" t="str">
        <f aca="false">IF(S621="","",S621/P621)</f>
        <v/>
      </c>
      <c r="U621" s="16" t="str">
        <f aca="false">IF(N(M621)=0,"",IF(N621&gt;=CONFIG!$B$27,"",AVERAGEIFS(ENSAYOS!$Q$5:$Q$3004,ENSAYOS!$C$5:$C$3004,F621,ENSAYOS!$Q$5:$Q$3004,"&gt;0",ENSAYOS!$G$5:$G$3004,N621)))</f>
        <v/>
      </c>
      <c r="V621" s="16" t="str">
        <f aca="false">IF(N(M621)=0,"",IF(COUNTIFS(ENSAYOS!$C$5:$C$3004,F621,ENSAYOS!$Q$5:$Q$3004,"&gt;0",ENSAYOS!$G$5:$G$3004,"&gt;="&amp;CONFIG!$B$27)=0,"",AVERAGEIFS(ENSAYOS!$Q$5:$Q$3004,ENSAYOS!$C$5:$C$3004,F621,ENSAYOS!$Q$5:$Q$3004,"&gt;0",ENSAYOS!$G$5:$G$3004,"&gt;="&amp;CONFIG!$B$27)))</f>
        <v/>
      </c>
      <c r="W621" s="18" t="str">
        <f aca="false">IF(AND(U621&lt;&gt;"",V621&lt;&gt;""),U621/V621,"")</f>
        <v/>
      </c>
      <c r="X621" s="18" t="str">
        <f aca="false">IF(U621="","",INDEX('CURVA EDAD'!$E$5:$E$32,MIN(28,MAX(1,N621))))</f>
        <v/>
      </c>
      <c r="Y621" s="16" t="str">
        <f aca="false">IF(V621&lt;&gt;"",V621,IF(U621="","",U621/X621))</f>
        <v/>
      </c>
      <c r="Z621" s="16" t="str">
        <f aca="false">IF(V621&lt;&gt;"",_xlfn.MINIFS(ENSAYOS!$Q$5:$Q$3004,ENSAYOS!$C$5:$C$3004,F621,ENSAYOS!$Q$5:$Q$3004,"&gt;0",ENSAYOS!$G$5:$G$3004,"&gt;="&amp;CONFIG!$B$27),IF(U621="","",_xlfn.MINIFS(ENSAYOS!$Q$5:$Q$3004,ENSAYOS!$C$5:$C$3004,F621,ENSAYOS!$Q$5:$Q$3004,"&gt;0",ENSAYOS!$G$5:$G$3004,N621)/X621))</f>
        <v/>
      </c>
      <c r="AA621" s="16" t="str">
        <f aca="false">IF(D621="","",IFERROR(1/(1/INDEX(CONFIG!$J$5:$J$14,MATCH(D621,CONFIG!$D$5:$D$14,0))),""))</f>
        <v/>
      </c>
      <c r="AB621" s="16" t="str">
        <f aca="false">IF(D621="","",IFERROR(1/(1/INDEX(CONFIG!$K$5:$K$14,MATCH(D621,CONFIG!$D$5:$D$14,0))),""))</f>
        <v/>
      </c>
      <c r="AC621" s="19" t="str">
        <f aca="false">IF(N(M621)=0,"",IF(AA621="","Sin spec",IF(AND(Y621&gt;=AA621,OR(AB621="",Z621&gt;=AB621)),"CUMPLE","NO CUMPLE")&amp;IF(V621=""," (est.)","")))</f>
        <v/>
      </c>
      <c r="AD621" s="20" t="str">
        <f aca="false">IF(F621="","",IF(COUNTIFS(ABSORCION!$C$5:$C$1004,F621,ABSORCION!$I$5:$I$1004,"&gt;0")=0,"",AVERAGEIFS(ABSORCION!$I$5:$I$1004,ABSORCION!$C$5:$C$1004,F621,ABSORCION!$I$5:$I$1004,"&gt;0")))</f>
        <v/>
      </c>
      <c r="AE621" s="20" t="str">
        <f aca="false">IF(F621="","",IF(COUNTIFS(ABSORCION!$C$5:$C$1004,F621,ABSORCION!$I$5:$I$1004,"&gt;0")=0,"",AVERAGEIFS(ABSORCION!$K$5:$K$1004,ABSORCION!$C$5:$C$1004,F621,ABSORCION!$I$5:$I$1004,"&gt;0")))</f>
        <v/>
      </c>
      <c r="AF621" s="20" t="str">
        <f aca="false">IF(AE621="","",IF(AE621&gt;=CONFIG!$E$21,CONFIG!$F$21,IF(AE621&gt;=CONFIG!$E$20,CONFIG!$F$20,CONFIG!$F$19)))</f>
        <v/>
      </c>
      <c r="AG621" s="21" t="str">
        <f aca="false">IF(F621="","",TRIM(IF(N(M621)=0,"Sin ensayos. ","")&amp;IF(AND(N(M621)&gt;0,N(M621)&lt;CONFIG!$B$26),"Menos de "&amp;CONFIG!$B$26&amp;" probetas. ","")&amp;IF(N(T621)&gt;CONFIG!$B$25,"CV alto. ","")&amp;IF(AND(N(AD621)&gt;0,N(AD621)&gt;N(AF621)),"Absorción alta. ","")))</f>
        <v/>
      </c>
      <c r="AH621" s="22" t="str">
        <f aca="false">IF(AND(N(M621)&gt;0,OR(CONTROL!$C$4="TODAS",C621=CONTROL!$C$4),D621=CONTROL!$C$5),MAX($AH$4:AH620)+1,"")</f>
        <v/>
      </c>
      <c r="AI621" s="22" t="str">
        <f aca="false">IF(AH621="","",P621^2)</f>
        <v/>
      </c>
    </row>
    <row r="622" customFormat="false" ht="15" hidden="false" customHeight="false" outlineLevel="0" collapsed="false">
      <c r="A622" s="11" t="str">
        <f aca="false">IF(B622="","",ROW()-4)</f>
        <v/>
      </c>
      <c r="B622" s="12"/>
      <c r="C622" s="13"/>
      <c r="D622" s="13"/>
      <c r="E622" s="13"/>
      <c r="F622" s="14" t="str">
        <f aca="false">IF(OR(B622="",C622="",D622=""),"",IFERROR(INDEX(CONFIG!$E$5:$E$14,MATCH(D622,CONFIG!$D$5:$D$14,0)),"?")&amp;RIGHT("0"&amp;DAY(B622),2)&amp;RIGHT("0"&amp;MONTH(B622),2)&amp;RIGHT(YEAR(B622),2)&amp;C622&amp;IF(E622="","","-"&amp;E622))</f>
        <v/>
      </c>
      <c r="G622" s="13"/>
      <c r="H622" s="13"/>
      <c r="I622" s="13"/>
      <c r="J622" s="13"/>
      <c r="K622" s="13"/>
      <c r="L622" s="13"/>
      <c r="M622" s="11" t="str">
        <f aca="false">IF(F622="","",COUNTIFS(ENSAYOS!$C$5:$C$3004,F622,ENSAYOS!$Q$5:$Q$3004,"&gt;0"))</f>
        <v/>
      </c>
      <c r="N622" s="15" t="str">
        <f aca="false">IF(N(M622)=0,"",_xlfn.MINIFS(ENSAYOS!$G$5:$G$3004,ENSAYOS!$C$5:$C$3004,F622,ENSAYOS!$Q$5:$Q$3004,"&gt;0"))</f>
        <v/>
      </c>
      <c r="O622" s="15" t="str">
        <f aca="false">IF(N(M622)=0,"",_xlfn.MAXIFS(ENSAYOS!$G$5:$G$3004,ENSAYOS!$C$5:$C$3004,F622,ENSAYOS!$Q$5:$Q$3004,"&gt;0"))</f>
        <v/>
      </c>
      <c r="P622" s="16" t="str">
        <f aca="false">IF(N(M622)=0,"",AVERAGEIFS(ENSAYOS!$Q$5:$Q$3004,ENSAYOS!$C$5:$C$3004,F622,ENSAYOS!$Q$5:$Q$3004,"&gt;0"))</f>
        <v/>
      </c>
      <c r="Q622" s="16" t="str">
        <f aca="false">IF(N(M622)=0,"",_xlfn.MINIFS(ENSAYOS!$Q$5:$Q$3004,ENSAYOS!$C$5:$C$3004,F622,ENSAYOS!$Q$5:$Q$3004,"&gt;0"))</f>
        <v/>
      </c>
      <c r="R622" s="16" t="str">
        <f aca="false">IF(N(M622)=0,"",_xlfn.MAXIFS(ENSAYOS!$Q$5:$Q$3004,ENSAYOS!$C$5:$C$3004,F622,ENSAYOS!$Q$5:$Q$3004,"&gt;0"))</f>
        <v/>
      </c>
      <c r="S622" s="16" t="str">
        <f aca="false">IF(N(M622)&lt;2,"",SQRT(MAX(0,(SUMIFS(ENSAYOS!$X$5:$X$3004,ENSAYOS!$C$5:$C$3004,F622,ENSAYOS!$Q$5:$Q$3004,"&gt;0")-M622*P622^2)/(M622-1))))</f>
        <v/>
      </c>
      <c r="T622" s="17" t="str">
        <f aca="false">IF(S622="","",S622/P622)</f>
        <v/>
      </c>
      <c r="U622" s="16" t="str">
        <f aca="false">IF(N(M622)=0,"",IF(N622&gt;=CONFIG!$B$27,"",AVERAGEIFS(ENSAYOS!$Q$5:$Q$3004,ENSAYOS!$C$5:$C$3004,F622,ENSAYOS!$Q$5:$Q$3004,"&gt;0",ENSAYOS!$G$5:$G$3004,N622)))</f>
        <v/>
      </c>
      <c r="V622" s="16" t="str">
        <f aca="false">IF(N(M622)=0,"",IF(COUNTIFS(ENSAYOS!$C$5:$C$3004,F622,ENSAYOS!$Q$5:$Q$3004,"&gt;0",ENSAYOS!$G$5:$G$3004,"&gt;="&amp;CONFIG!$B$27)=0,"",AVERAGEIFS(ENSAYOS!$Q$5:$Q$3004,ENSAYOS!$C$5:$C$3004,F622,ENSAYOS!$Q$5:$Q$3004,"&gt;0",ENSAYOS!$G$5:$G$3004,"&gt;="&amp;CONFIG!$B$27)))</f>
        <v/>
      </c>
      <c r="W622" s="18" t="str">
        <f aca="false">IF(AND(U622&lt;&gt;"",V622&lt;&gt;""),U622/V622,"")</f>
        <v/>
      </c>
      <c r="X622" s="18" t="str">
        <f aca="false">IF(U622="","",INDEX('CURVA EDAD'!$E$5:$E$32,MIN(28,MAX(1,N622))))</f>
        <v/>
      </c>
      <c r="Y622" s="16" t="str">
        <f aca="false">IF(V622&lt;&gt;"",V622,IF(U622="","",U622/X622))</f>
        <v/>
      </c>
      <c r="Z622" s="16" t="str">
        <f aca="false">IF(V622&lt;&gt;"",_xlfn.MINIFS(ENSAYOS!$Q$5:$Q$3004,ENSAYOS!$C$5:$C$3004,F622,ENSAYOS!$Q$5:$Q$3004,"&gt;0",ENSAYOS!$G$5:$G$3004,"&gt;="&amp;CONFIG!$B$27),IF(U622="","",_xlfn.MINIFS(ENSAYOS!$Q$5:$Q$3004,ENSAYOS!$C$5:$C$3004,F622,ENSAYOS!$Q$5:$Q$3004,"&gt;0",ENSAYOS!$G$5:$G$3004,N622)/X622))</f>
        <v/>
      </c>
      <c r="AA622" s="16" t="str">
        <f aca="false">IF(D622="","",IFERROR(1/(1/INDEX(CONFIG!$J$5:$J$14,MATCH(D622,CONFIG!$D$5:$D$14,0))),""))</f>
        <v/>
      </c>
      <c r="AB622" s="16" t="str">
        <f aca="false">IF(D622="","",IFERROR(1/(1/INDEX(CONFIG!$K$5:$K$14,MATCH(D622,CONFIG!$D$5:$D$14,0))),""))</f>
        <v/>
      </c>
      <c r="AC622" s="19" t="str">
        <f aca="false">IF(N(M622)=0,"",IF(AA622="","Sin spec",IF(AND(Y622&gt;=AA622,OR(AB622="",Z622&gt;=AB622)),"CUMPLE","NO CUMPLE")&amp;IF(V622=""," (est.)","")))</f>
        <v/>
      </c>
      <c r="AD622" s="20" t="str">
        <f aca="false">IF(F622="","",IF(COUNTIFS(ABSORCION!$C$5:$C$1004,F622,ABSORCION!$I$5:$I$1004,"&gt;0")=0,"",AVERAGEIFS(ABSORCION!$I$5:$I$1004,ABSORCION!$C$5:$C$1004,F622,ABSORCION!$I$5:$I$1004,"&gt;0")))</f>
        <v/>
      </c>
      <c r="AE622" s="20" t="str">
        <f aca="false">IF(F622="","",IF(COUNTIFS(ABSORCION!$C$5:$C$1004,F622,ABSORCION!$I$5:$I$1004,"&gt;0")=0,"",AVERAGEIFS(ABSORCION!$K$5:$K$1004,ABSORCION!$C$5:$C$1004,F622,ABSORCION!$I$5:$I$1004,"&gt;0")))</f>
        <v/>
      </c>
      <c r="AF622" s="20" t="str">
        <f aca="false">IF(AE622="","",IF(AE622&gt;=CONFIG!$E$21,CONFIG!$F$21,IF(AE622&gt;=CONFIG!$E$20,CONFIG!$F$20,CONFIG!$F$19)))</f>
        <v/>
      </c>
      <c r="AG622" s="21" t="str">
        <f aca="false">IF(F622="","",TRIM(IF(N(M622)=0,"Sin ensayos. ","")&amp;IF(AND(N(M622)&gt;0,N(M622)&lt;CONFIG!$B$26),"Menos de "&amp;CONFIG!$B$26&amp;" probetas. ","")&amp;IF(N(T622)&gt;CONFIG!$B$25,"CV alto. ","")&amp;IF(AND(N(AD622)&gt;0,N(AD622)&gt;N(AF622)),"Absorción alta. ","")))</f>
        <v/>
      </c>
      <c r="AH622" s="22" t="str">
        <f aca="false">IF(AND(N(M622)&gt;0,OR(CONTROL!$C$4="TODAS",C622=CONTROL!$C$4),D622=CONTROL!$C$5),MAX($AH$4:AH621)+1,"")</f>
        <v/>
      </c>
      <c r="AI622" s="22" t="str">
        <f aca="false">IF(AH622="","",P622^2)</f>
        <v/>
      </c>
    </row>
    <row r="623" customFormat="false" ht="15" hidden="false" customHeight="false" outlineLevel="0" collapsed="false">
      <c r="A623" s="11" t="str">
        <f aca="false">IF(B623="","",ROW()-4)</f>
        <v/>
      </c>
      <c r="B623" s="12"/>
      <c r="C623" s="13"/>
      <c r="D623" s="13"/>
      <c r="E623" s="13"/>
      <c r="F623" s="14" t="str">
        <f aca="false">IF(OR(B623="",C623="",D623=""),"",IFERROR(INDEX(CONFIG!$E$5:$E$14,MATCH(D623,CONFIG!$D$5:$D$14,0)),"?")&amp;RIGHT("0"&amp;DAY(B623),2)&amp;RIGHT("0"&amp;MONTH(B623),2)&amp;RIGHT(YEAR(B623),2)&amp;C623&amp;IF(E623="","","-"&amp;E623))</f>
        <v/>
      </c>
      <c r="G623" s="13"/>
      <c r="H623" s="13"/>
      <c r="I623" s="13"/>
      <c r="J623" s="13"/>
      <c r="K623" s="13"/>
      <c r="L623" s="13"/>
      <c r="M623" s="11" t="str">
        <f aca="false">IF(F623="","",COUNTIFS(ENSAYOS!$C$5:$C$3004,F623,ENSAYOS!$Q$5:$Q$3004,"&gt;0"))</f>
        <v/>
      </c>
      <c r="N623" s="15" t="str">
        <f aca="false">IF(N(M623)=0,"",_xlfn.MINIFS(ENSAYOS!$G$5:$G$3004,ENSAYOS!$C$5:$C$3004,F623,ENSAYOS!$Q$5:$Q$3004,"&gt;0"))</f>
        <v/>
      </c>
      <c r="O623" s="15" t="str">
        <f aca="false">IF(N(M623)=0,"",_xlfn.MAXIFS(ENSAYOS!$G$5:$G$3004,ENSAYOS!$C$5:$C$3004,F623,ENSAYOS!$Q$5:$Q$3004,"&gt;0"))</f>
        <v/>
      </c>
      <c r="P623" s="16" t="str">
        <f aca="false">IF(N(M623)=0,"",AVERAGEIFS(ENSAYOS!$Q$5:$Q$3004,ENSAYOS!$C$5:$C$3004,F623,ENSAYOS!$Q$5:$Q$3004,"&gt;0"))</f>
        <v/>
      </c>
      <c r="Q623" s="16" t="str">
        <f aca="false">IF(N(M623)=0,"",_xlfn.MINIFS(ENSAYOS!$Q$5:$Q$3004,ENSAYOS!$C$5:$C$3004,F623,ENSAYOS!$Q$5:$Q$3004,"&gt;0"))</f>
        <v/>
      </c>
      <c r="R623" s="16" t="str">
        <f aca="false">IF(N(M623)=0,"",_xlfn.MAXIFS(ENSAYOS!$Q$5:$Q$3004,ENSAYOS!$C$5:$C$3004,F623,ENSAYOS!$Q$5:$Q$3004,"&gt;0"))</f>
        <v/>
      </c>
      <c r="S623" s="16" t="str">
        <f aca="false">IF(N(M623)&lt;2,"",SQRT(MAX(0,(SUMIFS(ENSAYOS!$X$5:$X$3004,ENSAYOS!$C$5:$C$3004,F623,ENSAYOS!$Q$5:$Q$3004,"&gt;0")-M623*P623^2)/(M623-1))))</f>
        <v/>
      </c>
      <c r="T623" s="17" t="str">
        <f aca="false">IF(S623="","",S623/P623)</f>
        <v/>
      </c>
      <c r="U623" s="16" t="str">
        <f aca="false">IF(N(M623)=0,"",IF(N623&gt;=CONFIG!$B$27,"",AVERAGEIFS(ENSAYOS!$Q$5:$Q$3004,ENSAYOS!$C$5:$C$3004,F623,ENSAYOS!$Q$5:$Q$3004,"&gt;0",ENSAYOS!$G$5:$G$3004,N623)))</f>
        <v/>
      </c>
      <c r="V623" s="16" t="str">
        <f aca="false">IF(N(M623)=0,"",IF(COUNTIFS(ENSAYOS!$C$5:$C$3004,F623,ENSAYOS!$Q$5:$Q$3004,"&gt;0",ENSAYOS!$G$5:$G$3004,"&gt;="&amp;CONFIG!$B$27)=0,"",AVERAGEIFS(ENSAYOS!$Q$5:$Q$3004,ENSAYOS!$C$5:$C$3004,F623,ENSAYOS!$Q$5:$Q$3004,"&gt;0",ENSAYOS!$G$5:$G$3004,"&gt;="&amp;CONFIG!$B$27)))</f>
        <v/>
      </c>
      <c r="W623" s="18" t="str">
        <f aca="false">IF(AND(U623&lt;&gt;"",V623&lt;&gt;""),U623/V623,"")</f>
        <v/>
      </c>
      <c r="X623" s="18" t="str">
        <f aca="false">IF(U623="","",INDEX('CURVA EDAD'!$E$5:$E$32,MIN(28,MAX(1,N623))))</f>
        <v/>
      </c>
      <c r="Y623" s="16" t="str">
        <f aca="false">IF(V623&lt;&gt;"",V623,IF(U623="","",U623/X623))</f>
        <v/>
      </c>
      <c r="Z623" s="16" t="str">
        <f aca="false">IF(V623&lt;&gt;"",_xlfn.MINIFS(ENSAYOS!$Q$5:$Q$3004,ENSAYOS!$C$5:$C$3004,F623,ENSAYOS!$Q$5:$Q$3004,"&gt;0",ENSAYOS!$G$5:$G$3004,"&gt;="&amp;CONFIG!$B$27),IF(U623="","",_xlfn.MINIFS(ENSAYOS!$Q$5:$Q$3004,ENSAYOS!$C$5:$C$3004,F623,ENSAYOS!$Q$5:$Q$3004,"&gt;0",ENSAYOS!$G$5:$G$3004,N623)/X623))</f>
        <v/>
      </c>
      <c r="AA623" s="16" t="str">
        <f aca="false">IF(D623="","",IFERROR(1/(1/INDEX(CONFIG!$J$5:$J$14,MATCH(D623,CONFIG!$D$5:$D$14,0))),""))</f>
        <v/>
      </c>
      <c r="AB623" s="16" t="str">
        <f aca="false">IF(D623="","",IFERROR(1/(1/INDEX(CONFIG!$K$5:$K$14,MATCH(D623,CONFIG!$D$5:$D$14,0))),""))</f>
        <v/>
      </c>
      <c r="AC623" s="19" t="str">
        <f aca="false">IF(N(M623)=0,"",IF(AA623="","Sin spec",IF(AND(Y623&gt;=AA623,OR(AB623="",Z623&gt;=AB623)),"CUMPLE","NO CUMPLE")&amp;IF(V623=""," (est.)","")))</f>
        <v/>
      </c>
      <c r="AD623" s="20" t="str">
        <f aca="false">IF(F623="","",IF(COUNTIFS(ABSORCION!$C$5:$C$1004,F623,ABSORCION!$I$5:$I$1004,"&gt;0")=0,"",AVERAGEIFS(ABSORCION!$I$5:$I$1004,ABSORCION!$C$5:$C$1004,F623,ABSORCION!$I$5:$I$1004,"&gt;0")))</f>
        <v/>
      </c>
      <c r="AE623" s="20" t="str">
        <f aca="false">IF(F623="","",IF(COUNTIFS(ABSORCION!$C$5:$C$1004,F623,ABSORCION!$I$5:$I$1004,"&gt;0")=0,"",AVERAGEIFS(ABSORCION!$K$5:$K$1004,ABSORCION!$C$5:$C$1004,F623,ABSORCION!$I$5:$I$1004,"&gt;0")))</f>
        <v/>
      </c>
      <c r="AF623" s="20" t="str">
        <f aca="false">IF(AE623="","",IF(AE623&gt;=CONFIG!$E$21,CONFIG!$F$21,IF(AE623&gt;=CONFIG!$E$20,CONFIG!$F$20,CONFIG!$F$19)))</f>
        <v/>
      </c>
      <c r="AG623" s="21" t="str">
        <f aca="false">IF(F623="","",TRIM(IF(N(M623)=0,"Sin ensayos. ","")&amp;IF(AND(N(M623)&gt;0,N(M623)&lt;CONFIG!$B$26),"Menos de "&amp;CONFIG!$B$26&amp;" probetas. ","")&amp;IF(N(T623)&gt;CONFIG!$B$25,"CV alto. ","")&amp;IF(AND(N(AD623)&gt;0,N(AD623)&gt;N(AF623)),"Absorción alta. ","")))</f>
        <v/>
      </c>
      <c r="AH623" s="22" t="str">
        <f aca="false">IF(AND(N(M623)&gt;0,OR(CONTROL!$C$4="TODAS",C623=CONTROL!$C$4),D623=CONTROL!$C$5),MAX($AH$4:AH622)+1,"")</f>
        <v/>
      </c>
      <c r="AI623" s="22" t="str">
        <f aca="false">IF(AH623="","",P623^2)</f>
        <v/>
      </c>
    </row>
    <row r="624" customFormat="false" ht="15" hidden="false" customHeight="false" outlineLevel="0" collapsed="false">
      <c r="A624" s="11" t="str">
        <f aca="false">IF(B624="","",ROW()-4)</f>
        <v/>
      </c>
      <c r="B624" s="12"/>
      <c r="C624" s="13"/>
      <c r="D624" s="13"/>
      <c r="E624" s="13"/>
      <c r="F624" s="14" t="str">
        <f aca="false">IF(OR(B624="",C624="",D624=""),"",IFERROR(INDEX(CONFIG!$E$5:$E$14,MATCH(D624,CONFIG!$D$5:$D$14,0)),"?")&amp;RIGHT("0"&amp;DAY(B624),2)&amp;RIGHT("0"&amp;MONTH(B624),2)&amp;RIGHT(YEAR(B624),2)&amp;C624&amp;IF(E624="","","-"&amp;E624))</f>
        <v/>
      </c>
      <c r="G624" s="13"/>
      <c r="H624" s="13"/>
      <c r="I624" s="13"/>
      <c r="J624" s="13"/>
      <c r="K624" s="13"/>
      <c r="L624" s="13"/>
      <c r="M624" s="11" t="str">
        <f aca="false">IF(F624="","",COUNTIFS(ENSAYOS!$C$5:$C$3004,F624,ENSAYOS!$Q$5:$Q$3004,"&gt;0"))</f>
        <v/>
      </c>
      <c r="N624" s="15" t="str">
        <f aca="false">IF(N(M624)=0,"",_xlfn.MINIFS(ENSAYOS!$G$5:$G$3004,ENSAYOS!$C$5:$C$3004,F624,ENSAYOS!$Q$5:$Q$3004,"&gt;0"))</f>
        <v/>
      </c>
      <c r="O624" s="15" t="str">
        <f aca="false">IF(N(M624)=0,"",_xlfn.MAXIFS(ENSAYOS!$G$5:$G$3004,ENSAYOS!$C$5:$C$3004,F624,ENSAYOS!$Q$5:$Q$3004,"&gt;0"))</f>
        <v/>
      </c>
      <c r="P624" s="16" t="str">
        <f aca="false">IF(N(M624)=0,"",AVERAGEIFS(ENSAYOS!$Q$5:$Q$3004,ENSAYOS!$C$5:$C$3004,F624,ENSAYOS!$Q$5:$Q$3004,"&gt;0"))</f>
        <v/>
      </c>
      <c r="Q624" s="16" t="str">
        <f aca="false">IF(N(M624)=0,"",_xlfn.MINIFS(ENSAYOS!$Q$5:$Q$3004,ENSAYOS!$C$5:$C$3004,F624,ENSAYOS!$Q$5:$Q$3004,"&gt;0"))</f>
        <v/>
      </c>
      <c r="R624" s="16" t="str">
        <f aca="false">IF(N(M624)=0,"",_xlfn.MAXIFS(ENSAYOS!$Q$5:$Q$3004,ENSAYOS!$C$5:$C$3004,F624,ENSAYOS!$Q$5:$Q$3004,"&gt;0"))</f>
        <v/>
      </c>
      <c r="S624" s="16" t="str">
        <f aca="false">IF(N(M624)&lt;2,"",SQRT(MAX(0,(SUMIFS(ENSAYOS!$X$5:$X$3004,ENSAYOS!$C$5:$C$3004,F624,ENSAYOS!$Q$5:$Q$3004,"&gt;0")-M624*P624^2)/(M624-1))))</f>
        <v/>
      </c>
      <c r="T624" s="17" t="str">
        <f aca="false">IF(S624="","",S624/P624)</f>
        <v/>
      </c>
      <c r="U624" s="16" t="str">
        <f aca="false">IF(N(M624)=0,"",IF(N624&gt;=CONFIG!$B$27,"",AVERAGEIFS(ENSAYOS!$Q$5:$Q$3004,ENSAYOS!$C$5:$C$3004,F624,ENSAYOS!$Q$5:$Q$3004,"&gt;0",ENSAYOS!$G$5:$G$3004,N624)))</f>
        <v/>
      </c>
      <c r="V624" s="16" t="str">
        <f aca="false">IF(N(M624)=0,"",IF(COUNTIFS(ENSAYOS!$C$5:$C$3004,F624,ENSAYOS!$Q$5:$Q$3004,"&gt;0",ENSAYOS!$G$5:$G$3004,"&gt;="&amp;CONFIG!$B$27)=0,"",AVERAGEIFS(ENSAYOS!$Q$5:$Q$3004,ENSAYOS!$C$5:$C$3004,F624,ENSAYOS!$Q$5:$Q$3004,"&gt;0",ENSAYOS!$G$5:$G$3004,"&gt;="&amp;CONFIG!$B$27)))</f>
        <v/>
      </c>
      <c r="W624" s="18" t="str">
        <f aca="false">IF(AND(U624&lt;&gt;"",V624&lt;&gt;""),U624/V624,"")</f>
        <v/>
      </c>
      <c r="X624" s="18" t="str">
        <f aca="false">IF(U624="","",INDEX('CURVA EDAD'!$E$5:$E$32,MIN(28,MAX(1,N624))))</f>
        <v/>
      </c>
      <c r="Y624" s="16" t="str">
        <f aca="false">IF(V624&lt;&gt;"",V624,IF(U624="","",U624/X624))</f>
        <v/>
      </c>
      <c r="Z624" s="16" t="str">
        <f aca="false">IF(V624&lt;&gt;"",_xlfn.MINIFS(ENSAYOS!$Q$5:$Q$3004,ENSAYOS!$C$5:$C$3004,F624,ENSAYOS!$Q$5:$Q$3004,"&gt;0",ENSAYOS!$G$5:$G$3004,"&gt;="&amp;CONFIG!$B$27),IF(U624="","",_xlfn.MINIFS(ENSAYOS!$Q$5:$Q$3004,ENSAYOS!$C$5:$C$3004,F624,ENSAYOS!$Q$5:$Q$3004,"&gt;0",ENSAYOS!$G$5:$G$3004,N624)/X624))</f>
        <v/>
      </c>
      <c r="AA624" s="16" t="str">
        <f aca="false">IF(D624="","",IFERROR(1/(1/INDEX(CONFIG!$J$5:$J$14,MATCH(D624,CONFIG!$D$5:$D$14,0))),""))</f>
        <v/>
      </c>
      <c r="AB624" s="16" t="str">
        <f aca="false">IF(D624="","",IFERROR(1/(1/INDEX(CONFIG!$K$5:$K$14,MATCH(D624,CONFIG!$D$5:$D$14,0))),""))</f>
        <v/>
      </c>
      <c r="AC624" s="19" t="str">
        <f aca="false">IF(N(M624)=0,"",IF(AA624="","Sin spec",IF(AND(Y624&gt;=AA624,OR(AB624="",Z624&gt;=AB624)),"CUMPLE","NO CUMPLE")&amp;IF(V624=""," (est.)","")))</f>
        <v/>
      </c>
      <c r="AD624" s="20" t="str">
        <f aca="false">IF(F624="","",IF(COUNTIFS(ABSORCION!$C$5:$C$1004,F624,ABSORCION!$I$5:$I$1004,"&gt;0")=0,"",AVERAGEIFS(ABSORCION!$I$5:$I$1004,ABSORCION!$C$5:$C$1004,F624,ABSORCION!$I$5:$I$1004,"&gt;0")))</f>
        <v/>
      </c>
      <c r="AE624" s="20" t="str">
        <f aca="false">IF(F624="","",IF(COUNTIFS(ABSORCION!$C$5:$C$1004,F624,ABSORCION!$I$5:$I$1004,"&gt;0")=0,"",AVERAGEIFS(ABSORCION!$K$5:$K$1004,ABSORCION!$C$5:$C$1004,F624,ABSORCION!$I$5:$I$1004,"&gt;0")))</f>
        <v/>
      </c>
      <c r="AF624" s="20" t="str">
        <f aca="false">IF(AE624="","",IF(AE624&gt;=CONFIG!$E$21,CONFIG!$F$21,IF(AE624&gt;=CONFIG!$E$20,CONFIG!$F$20,CONFIG!$F$19)))</f>
        <v/>
      </c>
      <c r="AG624" s="21" t="str">
        <f aca="false">IF(F624="","",TRIM(IF(N(M624)=0,"Sin ensayos. ","")&amp;IF(AND(N(M624)&gt;0,N(M624)&lt;CONFIG!$B$26),"Menos de "&amp;CONFIG!$B$26&amp;" probetas. ","")&amp;IF(N(T624)&gt;CONFIG!$B$25,"CV alto. ","")&amp;IF(AND(N(AD624)&gt;0,N(AD624)&gt;N(AF624)),"Absorción alta. ","")))</f>
        <v/>
      </c>
      <c r="AH624" s="22" t="str">
        <f aca="false">IF(AND(N(M624)&gt;0,OR(CONTROL!$C$4="TODAS",C624=CONTROL!$C$4),D624=CONTROL!$C$5),MAX($AH$4:AH623)+1,"")</f>
        <v/>
      </c>
      <c r="AI624" s="22" t="str">
        <f aca="false">IF(AH624="","",P624^2)</f>
        <v/>
      </c>
    </row>
    <row r="625" customFormat="false" ht="15" hidden="false" customHeight="false" outlineLevel="0" collapsed="false">
      <c r="A625" s="11" t="str">
        <f aca="false">IF(B625="","",ROW()-4)</f>
        <v/>
      </c>
      <c r="B625" s="12"/>
      <c r="C625" s="13"/>
      <c r="D625" s="13"/>
      <c r="E625" s="13"/>
      <c r="F625" s="14" t="str">
        <f aca="false">IF(OR(B625="",C625="",D625=""),"",IFERROR(INDEX(CONFIG!$E$5:$E$14,MATCH(D625,CONFIG!$D$5:$D$14,0)),"?")&amp;RIGHT("0"&amp;DAY(B625),2)&amp;RIGHT("0"&amp;MONTH(B625),2)&amp;RIGHT(YEAR(B625),2)&amp;C625&amp;IF(E625="","","-"&amp;E625))</f>
        <v/>
      </c>
      <c r="G625" s="13"/>
      <c r="H625" s="13"/>
      <c r="I625" s="13"/>
      <c r="J625" s="13"/>
      <c r="K625" s="13"/>
      <c r="L625" s="13"/>
      <c r="M625" s="11" t="str">
        <f aca="false">IF(F625="","",COUNTIFS(ENSAYOS!$C$5:$C$3004,F625,ENSAYOS!$Q$5:$Q$3004,"&gt;0"))</f>
        <v/>
      </c>
      <c r="N625" s="15" t="str">
        <f aca="false">IF(N(M625)=0,"",_xlfn.MINIFS(ENSAYOS!$G$5:$G$3004,ENSAYOS!$C$5:$C$3004,F625,ENSAYOS!$Q$5:$Q$3004,"&gt;0"))</f>
        <v/>
      </c>
      <c r="O625" s="15" t="str">
        <f aca="false">IF(N(M625)=0,"",_xlfn.MAXIFS(ENSAYOS!$G$5:$G$3004,ENSAYOS!$C$5:$C$3004,F625,ENSAYOS!$Q$5:$Q$3004,"&gt;0"))</f>
        <v/>
      </c>
      <c r="P625" s="16" t="str">
        <f aca="false">IF(N(M625)=0,"",AVERAGEIFS(ENSAYOS!$Q$5:$Q$3004,ENSAYOS!$C$5:$C$3004,F625,ENSAYOS!$Q$5:$Q$3004,"&gt;0"))</f>
        <v/>
      </c>
      <c r="Q625" s="16" t="str">
        <f aca="false">IF(N(M625)=0,"",_xlfn.MINIFS(ENSAYOS!$Q$5:$Q$3004,ENSAYOS!$C$5:$C$3004,F625,ENSAYOS!$Q$5:$Q$3004,"&gt;0"))</f>
        <v/>
      </c>
      <c r="R625" s="16" t="str">
        <f aca="false">IF(N(M625)=0,"",_xlfn.MAXIFS(ENSAYOS!$Q$5:$Q$3004,ENSAYOS!$C$5:$C$3004,F625,ENSAYOS!$Q$5:$Q$3004,"&gt;0"))</f>
        <v/>
      </c>
      <c r="S625" s="16" t="str">
        <f aca="false">IF(N(M625)&lt;2,"",SQRT(MAX(0,(SUMIFS(ENSAYOS!$X$5:$X$3004,ENSAYOS!$C$5:$C$3004,F625,ENSAYOS!$Q$5:$Q$3004,"&gt;0")-M625*P625^2)/(M625-1))))</f>
        <v/>
      </c>
      <c r="T625" s="17" t="str">
        <f aca="false">IF(S625="","",S625/P625)</f>
        <v/>
      </c>
      <c r="U625" s="16" t="str">
        <f aca="false">IF(N(M625)=0,"",IF(N625&gt;=CONFIG!$B$27,"",AVERAGEIFS(ENSAYOS!$Q$5:$Q$3004,ENSAYOS!$C$5:$C$3004,F625,ENSAYOS!$Q$5:$Q$3004,"&gt;0",ENSAYOS!$G$5:$G$3004,N625)))</f>
        <v/>
      </c>
      <c r="V625" s="16" t="str">
        <f aca="false">IF(N(M625)=0,"",IF(COUNTIFS(ENSAYOS!$C$5:$C$3004,F625,ENSAYOS!$Q$5:$Q$3004,"&gt;0",ENSAYOS!$G$5:$G$3004,"&gt;="&amp;CONFIG!$B$27)=0,"",AVERAGEIFS(ENSAYOS!$Q$5:$Q$3004,ENSAYOS!$C$5:$C$3004,F625,ENSAYOS!$Q$5:$Q$3004,"&gt;0",ENSAYOS!$G$5:$G$3004,"&gt;="&amp;CONFIG!$B$27)))</f>
        <v/>
      </c>
      <c r="W625" s="18" t="str">
        <f aca="false">IF(AND(U625&lt;&gt;"",V625&lt;&gt;""),U625/V625,"")</f>
        <v/>
      </c>
      <c r="X625" s="18" t="str">
        <f aca="false">IF(U625="","",INDEX('CURVA EDAD'!$E$5:$E$32,MIN(28,MAX(1,N625))))</f>
        <v/>
      </c>
      <c r="Y625" s="16" t="str">
        <f aca="false">IF(V625&lt;&gt;"",V625,IF(U625="","",U625/X625))</f>
        <v/>
      </c>
      <c r="Z625" s="16" t="str">
        <f aca="false">IF(V625&lt;&gt;"",_xlfn.MINIFS(ENSAYOS!$Q$5:$Q$3004,ENSAYOS!$C$5:$C$3004,F625,ENSAYOS!$Q$5:$Q$3004,"&gt;0",ENSAYOS!$G$5:$G$3004,"&gt;="&amp;CONFIG!$B$27),IF(U625="","",_xlfn.MINIFS(ENSAYOS!$Q$5:$Q$3004,ENSAYOS!$C$5:$C$3004,F625,ENSAYOS!$Q$5:$Q$3004,"&gt;0",ENSAYOS!$G$5:$G$3004,N625)/X625))</f>
        <v/>
      </c>
      <c r="AA625" s="16" t="str">
        <f aca="false">IF(D625="","",IFERROR(1/(1/INDEX(CONFIG!$J$5:$J$14,MATCH(D625,CONFIG!$D$5:$D$14,0))),""))</f>
        <v/>
      </c>
      <c r="AB625" s="16" t="str">
        <f aca="false">IF(D625="","",IFERROR(1/(1/INDEX(CONFIG!$K$5:$K$14,MATCH(D625,CONFIG!$D$5:$D$14,0))),""))</f>
        <v/>
      </c>
      <c r="AC625" s="19" t="str">
        <f aca="false">IF(N(M625)=0,"",IF(AA625="","Sin spec",IF(AND(Y625&gt;=AA625,OR(AB625="",Z625&gt;=AB625)),"CUMPLE","NO CUMPLE")&amp;IF(V625=""," (est.)","")))</f>
        <v/>
      </c>
      <c r="AD625" s="20" t="str">
        <f aca="false">IF(F625="","",IF(COUNTIFS(ABSORCION!$C$5:$C$1004,F625,ABSORCION!$I$5:$I$1004,"&gt;0")=0,"",AVERAGEIFS(ABSORCION!$I$5:$I$1004,ABSORCION!$C$5:$C$1004,F625,ABSORCION!$I$5:$I$1004,"&gt;0")))</f>
        <v/>
      </c>
      <c r="AE625" s="20" t="str">
        <f aca="false">IF(F625="","",IF(COUNTIFS(ABSORCION!$C$5:$C$1004,F625,ABSORCION!$I$5:$I$1004,"&gt;0")=0,"",AVERAGEIFS(ABSORCION!$K$5:$K$1004,ABSORCION!$C$5:$C$1004,F625,ABSORCION!$I$5:$I$1004,"&gt;0")))</f>
        <v/>
      </c>
      <c r="AF625" s="20" t="str">
        <f aca="false">IF(AE625="","",IF(AE625&gt;=CONFIG!$E$21,CONFIG!$F$21,IF(AE625&gt;=CONFIG!$E$20,CONFIG!$F$20,CONFIG!$F$19)))</f>
        <v/>
      </c>
      <c r="AG625" s="21" t="str">
        <f aca="false">IF(F625="","",TRIM(IF(N(M625)=0,"Sin ensayos. ","")&amp;IF(AND(N(M625)&gt;0,N(M625)&lt;CONFIG!$B$26),"Menos de "&amp;CONFIG!$B$26&amp;" probetas. ","")&amp;IF(N(T625)&gt;CONFIG!$B$25,"CV alto. ","")&amp;IF(AND(N(AD625)&gt;0,N(AD625)&gt;N(AF625)),"Absorción alta. ","")))</f>
        <v/>
      </c>
      <c r="AH625" s="22" t="str">
        <f aca="false">IF(AND(N(M625)&gt;0,OR(CONTROL!$C$4="TODAS",C625=CONTROL!$C$4),D625=CONTROL!$C$5),MAX($AH$4:AH624)+1,"")</f>
        <v/>
      </c>
      <c r="AI625" s="22" t="str">
        <f aca="false">IF(AH625="","",P625^2)</f>
        <v/>
      </c>
    </row>
    <row r="626" customFormat="false" ht="15" hidden="false" customHeight="false" outlineLevel="0" collapsed="false">
      <c r="A626" s="11" t="str">
        <f aca="false">IF(B626="","",ROW()-4)</f>
        <v/>
      </c>
      <c r="B626" s="12"/>
      <c r="C626" s="13"/>
      <c r="D626" s="13"/>
      <c r="E626" s="13"/>
      <c r="F626" s="14" t="str">
        <f aca="false">IF(OR(B626="",C626="",D626=""),"",IFERROR(INDEX(CONFIG!$E$5:$E$14,MATCH(D626,CONFIG!$D$5:$D$14,0)),"?")&amp;RIGHT("0"&amp;DAY(B626),2)&amp;RIGHT("0"&amp;MONTH(B626),2)&amp;RIGHT(YEAR(B626),2)&amp;C626&amp;IF(E626="","","-"&amp;E626))</f>
        <v/>
      </c>
      <c r="G626" s="13"/>
      <c r="H626" s="13"/>
      <c r="I626" s="13"/>
      <c r="J626" s="13"/>
      <c r="K626" s="13"/>
      <c r="L626" s="13"/>
      <c r="M626" s="11" t="str">
        <f aca="false">IF(F626="","",COUNTIFS(ENSAYOS!$C$5:$C$3004,F626,ENSAYOS!$Q$5:$Q$3004,"&gt;0"))</f>
        <v/>
      </c>
      <c r="N626" s="15" t="str">
        <f aca="false">IF(N(M626)=0,"",_xlfn.MINIFS(ENSAYOS!$G$5:$G$3004,ENSAYOS!$C$5:$C$3004,F626,ENSAYOS!$Q$5:$Q$3004,"&gt;0"))</f>
        <v/>
      </c>
      <c r="O626" s="15" t="str">
        <f aca="false">IF(N(M626)=0,"",_xlfn.MAXIFS(ENSAYOS!$G$5:$G$3004,ENSAYOS!$C$5:$C$3004,F626,ENSAYOS!$Q$5:$Q$3004,"&gt;0"))</f>
        <v/>
      </c>
      <c r="P626" s="16" t="str">
        <f aca="false">IF(N(M626)=0,"",AVERAGEIFS(ENSAYOS!$Q$5:$Q$3004,ENSAYOS!$C$5:$C$3004,F626,ENSAYOS!$Q$5:$Q$3004,"&gt;0"))</f>
        <v/>
      </c>
      <c r="Q626" s="16" t="str">
        <f aca="false">IF(N(M626)=0,"",_xlfn.MINIFS(ENSAYOS!$Q$5:$Q$3004,ENSAYOS!$C$5:$C$3004,F626,ENSAYOS!$Q$5:$Q$3004,"&gt;0"))</f>
        <v/>
      </c>
      <c r="R626" s="16" t="str">
        <f aca="false">IF(N(M626)=0,"",_xlfn.MAXIFS(ENSAYOS!$Q$5:$Q$3004,ENSAYOS!$C$5:$C$3004,F626,ENSAYOS!$Q$5:$Q$3004,"&gt;0"))</f>
        <v/>
      </c>
      <c r="S626" s="16" t="str">
        <f aca="false">IF(N(M626)&lt;2,"",SQRT(MAX(0,(SUMIFS(ENSAYOS!$X$5:$X$3004,ENSAYOS!$C$5:$C$3004,F626,ENSAYOS!$Q$5:$Q$3004,"&gt;0")-M626*P626^2)/(M626-1))))</f>
        <v/>
      </c>
      <c r="T626" s="17" t="str">
        <f aca="false">IF(S626="","",S626/P626)</f>
        <v/>
      </c>
      <c r="U626" s="16" t="str">
        <f aca="false">IF(N(M626)=0,"",IF(N626&gt;=CONFIG!$B$27,"",AVERAGEIFS(ENSAYOS!$Q$5:$Q$3004,ENSAYOS!$C$5:$C$3004,F626,ENSAYOS!$Q$5:$Q$3004,"&gt;0",ENSAYOS!$G$5:$G$3004,N626)))</f>
        <v/>
      </c>
      <c r="V626" s="16" t="str">
        <f aca="false">IF(N(M626)=0,"",IF(COUNTIFS(ENSAYOS!$C$5:$C$3004,F626,ENSAYOS!$Q$5:$Q$3004,"&gt;0",ENSAYOS!$G$5:$G$3004,"&gt;="&amp;CONFIG!$B$27)=0,"",AVERAGEIFS(ENSAYOS!$Q$5:$Q$3004,ENSAYOS!$C$5:$C$3004,F626,ENSAYOS!$Q$5:$Q$3004,"&gt;0",ENSAYOS!$G$5:$G$3004,"&gt;="&amp;CONFIG!$B$27)))</f>
        <v/>
      </c>
      <c r="W626" s="18" t="str">
        <f aca="false">IF(AND(U626&lt;&gt;"",V626&lt;&gt;""),U626/V626,"")</f>
        <v/>
      </c>
      <c r="X626" s="18" t="str">
        <f aca="false">IF(U626="","",INDEX('CURVA EDAD'!$E$5:$E$32,MIN(28,MAX(1,N626))))</f>
        <v/>
      </c>
      <c r="Y626" s="16" t="str">
        <f aca="false">IF(V626&lt;&gt;"",V626,IF(U626="","",U626/X626))</f>
        <v/>
      </c>
      <c r="Z626" s="16" t="str">
        <f aca="false">IF(V626&lt;&gt;"",_xlfn.MINIFS(ENSAYOS!$Q$5:$Q$3004,ENSAYOS!$C$5:$C$3004,F626,ENSAYOS!$Q$5:$Q$3004,"&gt;0",ENSAYOS!$G$5:$G$3004,"&gt;="&amp;CONFIG!$B$27),IF(U626="","",_xlfn.MINIFS(ENSAYOS!$Q$5:$Q$3004,ENSAYOS!$C$5:$C$3004,F626,ENSAYOS!$Q$5:$Q$3004,"&gt;0",ENSAYOS!$G$5:$G$3004,N626)/X626))</f>
        <v/>
      </c>
      <c r="AA626" s="16" t="str">
        <f aca="false">IF(D626="","",IFERROR(1/(1/INDEX(CONFIG!$J$5:$J$14,MATCH(D626,CONFIG!$D$5:$D$14,0))),""))</f>
        <v/>
      </c>
      <c r="AB626" s="16" t="str">
        <f aca="false">IF(D626="","",IFERROR(1/(1/INDEX(CONFIG!$K$5:$K$14,MATCH(D626,CONFIG!$D$5:$D$14,0))),""))</f>
        <v/>
      </c>
      <c r="AC626" s="19" t="str">
        <f aca="false">IF(N(M626)=0,"",IF(AA626="","Sin spec",IF(AND(Y626&gt;=AA626,OR(AB626="",Z626&gt;=AB626)),"CUMPLE","NO CUMPLE")&amp;IF(V626=""," (est.)","")))</f>
        <v/>
      </c>
      <c r="AD626" s="20" t="str">
        <f aca="false">IF(F626="","",IF(COUNTIFS(ABSORCION!$C$5:$C$1004,F626,ABSORCION!$I$5:$I$1004,"&gt;0")=0,"",AVERAGEIFS(ABSORCION!$I$5:$I$1004,ABSORCION!$C$5:$C$1004,F626,ABSORCION!$I$5:$I$1004,"&gt;0")))</f>
        <v/>
      </c>
      <c r="AE626" s="20" t="str">
        <f aca="false">IF(F626="","",IF(COUNTIFS(ABSORCION!$C$5:$C$1004,F626,ABSORCION!$I$5:$I$1004,"&gt;0")=0,"",AVERAGEIFS(ABSORCION!$K$5:$K$1004,ABSORCION!$C$5:$C$1004,F626,ABSORCION!$I$5:$I$1004,"&gt;0")))</f>
        <v/>
      </c>
      <c r="AF626" s="20" t="str">
        <f aca="false">IF(AE626="","",IF(AE626&gt;=CONFIG!$E$21,CONFIG!$F$21,IF(AE626&gt;=CONFIG!$E$20,CONFIG!$F$20,CONFIG!$F$19)))</f>
        <v/>
      </c>
      <c r="AG626" s="21" t="str">
        <f aca="false">IF(F626="","",TRIM(IF(N(M626)=0,"Sin ensayos. ","")&amp;IF(AND(N(M626)&gt;0,N(M626)&lt;CONFIG!$B$26),"Menos de "&amp;CONFIG!$B$26&amp;" probetas. ","")&amp;IF(N(T626)&gt;CONFIG!$B$25,"CV alto. ","")&amp;IF(AND(N(AD626)&gt;0,N(AD626)&gt;N(AF626)),"Absorción alta. ","")))</f>
        <v/>
      </c>
      <c r="AH626" s="22" t="str">
        <f aca="false">IF(AND(N(M626)&gt;0,OR(CONTROL!$C$4="TODAS",C626=CONTROL!$C$4),D626=CONTROL!$C$5),MAX($AH$4:AH625)+1,"")</f>
        <v/>
      </c>
      <c r="AI626" s="22" t="str">
        <f aca="false">IF(AH626="","",P626^2)</f>
        <v/>
      </c>
    </row>
    <row r="627" customFormat="false" ht="15" hidden="false" customHeight="false" outlineLevel="0" collapsed="false">
      <c r="A627" s="11" t="str">
        <f aca="false">IF(B627="","",ROW()-4)</f>
        <v/>
      </c>
      <c r="B627" s="12"/>
      <c r="C627" s="13"/>
      <c r="D627" s="13"/>
      <c r="E627" s="13"/>
      <c r="F627" s="14" t="str">
        <f aca="false">IF(OR(B627="",C627="",D627=""),"",IFERROR(INDEX(CONFIG!$E$5:$E$14,MATCH(D627,CONFIG!$D$5:$D$14,0)),"?")&amp;RIGHT("0"&amp;DAY(B627),2)&amp;RIGHT("0"&amp;MONTH(B627),2)&amp;RIGHT(YEAR(B627),2)&amp;C627&amp;IF(E627="","","-"&amp;E627))</f>
        <v/>
      </c>
      <c r="G627" s="13"/>
      <c r="H627" s="13"/>
      <c r="I627" s="13"/>
      <c r="J627" s="13"/>
      <c r="K627" s="13"/>
      <c r="L627" s="13"/>
      <c r="M627" s="11" t="str">
        <f aca="false">IF(F627="","",COUNTIFS(ENSAYOS!$C$5:$C$3004,F627,ENSAYOS!$Q$5:$Q$3004,"&gt;0"))</f>
        <v/>
      </c>
      <c r="N627" s="15" t="str">
        <f aca="false">IF(N(M627)=0,"",_xlfn.MINIFS(ENSAYOS!$G$5:$G$3004,ENSAYOS!$C$5:$C$3004,F627,ENSAYOS!$Q$5:$Q$3004,"&gt;0"))</f>
        <v/>
      </c>
      <c r="O627" s="15" t="str">
        <f aca="false">IF(N(M627)=0,"",_xlfn.MAXIFS(ENSAYOS!$G$5:$G$3004,ENSAYOS!$C$5:$C$3004,F627,ENSAYOS!$Q$5:$Q$3004,"&gt;0"))</f>
        <v/>
      </c>
      <c r="P627" s="16" t="str">
        <f aca="false">IF(N(M627)=0,"",AVERAGEIFS(ENSAYOS!$Q$5:$Q$3004,ENSAYOS!$C$5:$C$3004,F627,ENSAYOS!$Q$5:$Q$3004,"&gt;0"))</f>
        <v/>
      </c>
      <c r="Q627" s="16" t="str">
        <f aca="false">IF(N(M627)=0,"",_xlfn.MINIFS(ENSAYOS!$Q$5:$Q$3004,ENSAYOS!$C$5:$C$3004,F627,ENSAYOS!$Q$5:$Q$3004,"&gt;0"))</f>
        <v/>
      </c>
      <c r="R627" s="16" t="str">
        <f aca="false">IF(N(M627)=0,"",_xlfn.MAXIFS(ENSAYOS!$Q$5:$Q$3004,ENSAYOS!$C$5:$C$3004,F627,ENSAYOS!$Q$5:$Q$3004,"&gt;0"))</f>
        <v/>
      </c>
      <c r="S627" s="16" t="str">
        <f aca="false">IF(N(M627)&lt;2,"",SQRT(MAX(0,(SUMIFS(ENSAYOS!$X$5:$X$3004,ENSAYOS!$C$5:$C$3004,F627,ENSAYOS!$Q$5:$Q$3004,"&gt;0")-M627*P627^2)/(M627-1))))</f>
        <v/>
      </c>
      <c r="T627" s="17" t="str">
        <f aca="false">IF(S627="","",S627/P627)</f>
        <v/>
      </c>
      <c r="U627" s="16" t="str">
        <f aca="false">IF(N(M627)=0,"",IF(N627&gt;=CONFIG!$B$27,"",AVERAGEIFS(ENSAYOS!$Q$5:$Q$3004,ENSAYOS!$C$5:$C$3004,F627,ENSAYOS!$Q$5:$Q$3004,"&gt;0",ENSAYOS!$G$5:$G$3004,N627)))</f>
        <v/>
      </c>
      <c r="V627" s="16" t="str">
        <f aca="false">IF(N(M627)=0,"",IF(COUNTIFS(ENSAYOS!$C$5:$C$3004,F627,ENSAYOS!$Q$5:$Q$3004,"&gt;0",ENSAYOS!$G$5:$G$3004,"&gt;="&amp;CONFIG!$B$27)=0,"",AVERAGEIFS(ENSAYOS!$Q$5:$Q$3004,ENSAYOS!$C$5:$C$3004,F627,ENSAYOS!$Q$5:$Q$3004,"&gt;0",ENSAYOS!$G$5:$G$3004,"&gt;="&amp;CONFIG!$B$27)))</f>
        <v/>
      </c>
      <c r="W627" s="18" t="str">
        <f aca="false">IF(AND(U627&lt;&gt;"",V627&lt;&gt;""),U627/V627,"")</f>
        <v/>
      </c>
      <c r="X627" s="18" t="str">
        <f aca="false">IF(U627="","",INDEX('CURVA EDAD'!$E$5:$E$32,MIN(28,MAX(1,N627))))</f>
        <v/>
      </c>
      <c r="Y627" s="16" t="str">
        <f aca="false">IF(V627&lt;&gt;"",V627,IF(U627="","",U627/X627))</f>
        <v/>
      </c>
      <c r="Z627" s="16" t="str">
        <f aca="false">IF(V627&lt;&gt;"",_xlfn.MINIFS(ENSAYOS!$Q$5:$Q$3004,ENSAYOS!$C$5:$C$3004,F627,ENSAYOS!$Q$5:$Q$3004,"&gt;0",ENSAYOS!$G$5:$G$3004,"&gt;="&amp;CONFIG!$B$27),IF(U627="","",_xlfn.MINIFS(ENSAYOS!$Q$5:$Q$3004,ENSAYOS!$C$5:$C$3004,F627,ENSAYOS!$Q$5:$Q$3004,"&gt;0",ENSAYOS!$G$5:$G$3004,N627)/X627))</f>
        <v/>
      </c>
      <c r="AA627" s="16" t="str">
        <f aca="false">IF(D627="","",IFERROR(1/(1/INDEX(CONFIG!$J$5:$J$14,MATCH(D627,CONFIG!$D$5:$D$14,0))),""))</f>
        <v/>
      </c>
      <c r="AB627" s="16" t="str">
        <f aca="false">IF(D627="","",IFERROR(1/(1/INDEX(CONFIG!$K$5:$K$14,MATCH(D627,CONFIG!$D$5:$D$14,0))),""))</f>
        <v/>
      </c>
      <c r="AC627" s="19" t="str">
        <f aca="false">IF(N(M627)=0,"",IF(AA627="","Sin spec",IF(AND(Y627&gt;=AA627,OR(AB627="",Z627&gt;=AB627)),"CUMPLE","NO CUMPLE")&amp;IF(V627=""," (est.)","")))</f>
        <v/>
      </c>
      <c r="AD627" s="20" t="str">
        <f aca="false">IF(F627="","",IF(COUNTIFS(ABSORCION!$C$5:$C$1004,F627,ABSORCION!$I$5:$I$1004,"&gt;0")=0,"",AVERAGEIFS(ABSORCION!$I$5:$I$1004,ABSORCION!$C$5:$C$1004,F627,ABSORCION!$I$5:$I$1004,"&gt;0")))</f>
        <v/>
      </c>
      <c r="AE627" s="20" t="str">
        <f aca="false">IF(F627="","",IF(COUNTIFS(ABSORCION!$C$5:$C$1004,F627,ABSORCION!$I$5:$I$1004,"&gt;0")=0,"",AVERAGEIFS(ABSORCION!$K$5:$K$1004,ABSORCION!$C$5:$C$1004,F627,ABSORCION!$I$5:$I$1004,"&gt;0")))</f>
        <v/>
      </c>
      <c r="AF627" s="20" t="str">
        <f aca="false">IF(AE627="","",IF(AE627&gt;=CONFIG!$E$21,CONFIG!$F$21,IF(AE627&gt;=CONFIG!$E$20,CONFIG!$F$20,CONFIG!$F$19)))</f>
        <v/>
      </c>
      <c r="AG627" s="21" t="str">
        <f aca="false">IF(F627="","",TRIM(IF(N(M627)=0,"Sin ensayos. ","")&amp;IF(AND(N(M627)&gt;0,N(M627)&lt;CONFIG!$B$26),"Menos de "&amp;CONFIG!$B$26&amp;" probetas. ","")&amp;IF(N(T627)&gt;CONFIG!$B$25,"CV alto. ","")&amp;IF(AND(N(AD627)&gt;0,N(AD627)&gt;N(AF627)),"Absorción alta. ","")))</f>
        <v/>
      </c>
      <c r="AH627" s="22" t="str">
        <f aca="false">IF(AND(N(M627)&gt;0,OR(CONTROL!$C$4="TODAS",C627=CONTROL!$C$4),D627=CONTROL!$C$5),MAX($AH$4:AH626)+1,"")</f>
        <v/>
      </c>
      <c r="AI627" s="22" t="str">
        <f aca="false">IF(AH627="","",P627^2)</f>
        <v/>
      </c>
    </row>
    <row r="628" customFormat="false" ht="15" hidden="false" customHeight="false" outlineLevel="0" collapsed="false">
      <c r="A628" s="11" t="str">
        <f aca="false">IF(B628="","",ROW()-4)</f>
        <v/>
      </c>
      <c r="B628" s="12"/>
      <c r="C628" s="13"/>
      <c r="D628" s="13"/>
      <c r="E628" s="13"/>
      <c r="F628" s="14" t="str">
        <f aca="false">IF(OR(B628="",C628="",D628=""),"",IFERROR(INDEX(CONFIG!$E$5:$E$14,MATCH(D628,CONFIG!$D$5:$D$14,0)),"?")&amp;RIGHT("0"&amp;DAY(B628),2)&amp;RIGHT("0"&amp;MONTH(B628),2)&amp;RIGHT(YEAR(B628),2)&amp;C628&amp;IF(E628="","","-"&amp;E628))</f>
        <v/>
      </c>
      <c r="G628" s="13"/>
      <c r="H628" s="13"/>
      <c r="I628" s="13"/>
      <c r="J628" s="13"/>
      <c r="K628" s="13"/>
      <c r="L628" s="13"/>
      <c r="M628" s="11" t="str">
        <f aca="false">IF(F628="","",COUNTIFS(ENSAYOS!$C$5:$C$3004,F628,ENSAYOS!$Q$5:$Q$3004,"&gt;0"))</f>
        <v/>
      </c>
      <c r="N628" s="15" t="str">
        <f aca="false">IF(N(M628)=0,"",_xlfn.MINIFS(ENSAYOS!$G$5:$G$3004,ENSAYOS!$C$5:$C$3004,F628,ENSAYOS!$Q$5:$Q$3004,"&gt;0"))</f>
        <v/>
      </c>
      <c r="O628" s="15" t="str">
        <f aca="false">IF(N(M628)=0,"",_xlfn.MAXIFS(ENSAYOS!$G$5:$G$3004,ENSAYOS!$C$5:$C$3004,F628,ENSAYOS!$Q$5:$Q$3004,"&gt;0"))</f>
        <v/>
      </c>
      <c r="P628" s="16" t="str">
        <f aca="false">IF(N(M628)=0,"",AVERAGEIFS(ENSAYOS!$Q$5:$Q$3004,ENSAYOS!$C$5:$C$3004,F628,ENSAYOS!$Q$5:$Q$3004,"&gt;0"))</f>
        <v/>
      </c>
      <c r="Q628" s="16" t="str">
        <f aca="false">IF(N(M628)=0,"",_xlfn.MINIFS(ENSAYOS!$Q$5:$Q$3004,ENSAYOS!$C$5:$C$3004,F628,ENSAYOS!$Q$5:$Q$3004,"&gt;0"))</f>
        <v/>
      </c>
      <c r="R628" s="16" t="str">
        <f aca="false">IF(N(M628)=0,"",_xlfn.MAXIFS(ENSAYOS!$Q$5:$Q$3004,ENSAYOS!$C$5:$C$3004,F628,ENSAYOS!$Q$5:$Q$3004,"&gt;0"))</f>
        <v/>
      </c>
      <c r="S628" s="16" t="str">
        <f aca="false">IF(N(M628)&lt;2,"",SQRT(MAX(0,(SUMIFS(ENSAYOS!$X$5:$X$3004,ENSAYOS!$C$5:$C$3004,F628,ENSAYOS!$Q$5:$Q$3004,"&gt;0")-M628*P628^2)/(M628-1))))</f>
        <v/>
      </c>
      <c r="T628" s="17" t="str">
        <f aca="false">IF(S628="","",S628/P628)</f>
        <v/>
      </c>
      <c r="U628" s="16" t="str">
        <f aca="false">IF(N(M628)=0,"",IF(N628&gt;=CONFIG!$B$27,"",AVERAGEIFS(ENSAYOS!$Q$5:$Q$3004,ENSAYOS!$C$5:$C$3004,F628,ENSAYOS!$Q$5:$Q$3004,"&gt;0",ENSAYOS!$G$5:$G$3004,N628)))</f>
        <v/>
      </c>
      <c r="V628" s="16" t="str">
        <f aca="false">IF(N(M628)=0,"",IF(COUNTIFS(ENSAYOS!$C$5:$C$3004,F628,ENSAYOS!$Q$5:$Q$3004,"&gt;0",ENSAYOS!$G$5:$G$3004,"&gt;="&amp;CONFIG!$B$27)=0,"",AVERAGEIFS(ENSAYOS!$Q$5:$Q$3004,ENSAYOS!$C$5:$C$3004,F628,ENSAYOS!$Q$5:$Q$3004,"&gt;0",ENSAYOS!$G$5:$G$3004,"&gt;="&amp;CONFIG!$B$27)))</f>
        <v/>
      </c>
      <c r="W628" s="18" t="str">
        <f aca="false">IF(AND(U628&lt;&gt;"",V628&lt;&gt;""),U628/V628,"")</f>
        <v/>
      </c>
      <c r="X628" s="18" t="str">
        <f aca="false">IF(U628="","",INDEX('CURVA EDAD'!$E$5:$E$32,MIN(28,MAX(1,N628))))</f>
        <v/>
      </c>
      <c r="Y628" s="16" t="str">
        <f aca="false">IF(V628&lt;&gt;"",V628,IF(U628="","",U628/X628))</f>
        <v/>
      </c>
      <c r="Z628" s="16" t="str">
        <f aca="false">IF(V628&lt;&gt;"",_xlfn.MINIFS(ENSAYOS!$Q$5:$Q$3004,ENSAYOS!$C$5:$C$3004,F628,ENSAYOS!$Q$5:$Q$3004,"&gt;0",ENSAYOS!$G$5:$G$3004,"&gt;="&amp;CONFIG!$B$27),IF(U628="","",_xlfn.MINIFS(ENSAYOS!$Q$5:$Q$3004,ENSAYOS!$C$5:$C$3004,F628,ENSAYOS!$Q$5:$Q$3004,"&gt;0",ENSAYOS!$G$5:$G$3004,N628)/X628))</f>
        <v/>
      </c>
      <c r="AA628" s="16" t="str">
        <f aca="false">IF(D628="","",IFERROR(1/(1/INDEX(CONFIG!$J$5:$J$14,MATCH(D628,CONFIG!$D$5:$D$14,0))),""))</f>
        <v/>
      </c>
      <c r="AB628" s="16" t="str">
        <f aca="false">IF(D628="","",IFERROR(1/(1/INDEX(CONFIG!$K$5:$K$14,MATCH(D628,CONFIG!$D$5:$D$14,0))),""))</f>
        <v/>
      </c>
      <c r="AC628" s="19" t="str">
        <f aca="false">IF(N(M628)=0,"",IF(AA628="","Sin spec",IF(AND(Y628&gt;=AA628,OR(AB628="",Z628&gt;=AB628)),"CUMPLE","NO CUMPLE")&amp;IF(V628=""," (est.)","")))</f>
        <v/>
      </c>
      <c r="AD628" s="20" t="str">
        <f aca="false">IF(F628="","",IF(COUNTIFS(ABSORCION!$C$5:$C$1004,F628,ABSORCION!$I$5:$I$1004,"&gt;0")=0,"",AVERAGEIFS(ABSORCION!$I$5:$I$1004,ABSORCION!$C$5:$C$1004,F628,ABSORCION!$I$5:$I$1004,"&gt;0")))</f>
        <v/>
      </c>
      <c r="AE628" s="20" t="str">
        <f aca="false">IF(F628="","",IF(COUNTIFS(ABSORCION!$C$5:$C$1004,F628,ABSORCION!$I$5:$I$1004,"&gt;0")=0,"",AVERAGEIFS(ABSORCION!$K$5:$K$1004,ABSORCION!$C$5:$C$1004,F628,ABSORCION!$I$5:$I$1004,"&gt;0")))</f>
        <v/>
      </c>
      <c r="AF628" s="20" t="str">
        <f aca="false">IF(AE628="","",IF(AE628&gt;=CONFIG!$E$21,CONFIG!$F$21,IF(AE628&gt;=CONFIG!$E$20,CONFIG!$F$20,CONFIG!$F$19)))</f>
        <v/>
      </c>
      <c r="AG628" s="21" t="str">
        <f aca="false">IF(F628="","",TRIM(IF(N(M628)=0,"Sin ensayos. ","")&amp;IF(AND(N(M628)&gt;0,N(M628)&lt;CONFIG!$B$26),"Menos de "&amp;CONFIG!$B$26&amp;" probetas. ","")&amp;IF(N(T628)&gt;CONFIG!$B$25,"CV alto. ","")&amp;IF(AND(N(AD628)&gt;0,N(AD628)&gt;N(AF628)),"Absorción alta. ","")))</f>
        <v/>
      </c>
      <c r="AH628" s="22" t="str">
        <f aca="false">IF(AND(N(M628)&gt;0,OR(CONTROL!$C$4="TODAS",C628=CONTROL!$C$4),D628=CONTROL!$C$5),MAX($AH$4:AH627)+1,"")</f>
        <v/>
      </c>
      <c r="AI628" s="22" t="str">
        <f aca="false">IF(AH628="","",P628^2)</f>
        <v/>
      </c>
    </row>
    <row r="629" customFormat="false" ht="15" hidden="false" customHeight="false" outlineLevel="0" collapsed="false">
      <c r="A629" s="11" t="str">
        <f aca="false">IF(B629="","",ROW()-4)</f>
        <v/>
      </c>
      <c r="B629" s="12"/>
      <c r="C629" s="13"/>
      <c r="D629" s="13"/>
      <c r="E629" s="13"/>
      <c r="F629" s="14" t="str">
        <f aca="false">IF(OR(B629="",C629="",D629=""),"",IFERROR(INDEX(CONFIG!$E$5:$E$14,MATCH(D629,CONFIG!$D$5:$D$14,0)),"?")&amp;RIGHT("0"&amp;DAY(B629),2)&amp;RIGHT("0"&amp;MONTH(B629),2)&amp;RIGHT(YEAR(B629),2)&amp;C629&amp;IF(E629="","","-"&amp;E629))</f>
        <v/>
      </c>
      <c r="G629" s="13"/>
      <c r="H629" s="13"/>
      <c r="I629" s="13"/>
      <c r="J629" s="13"/>
      <c r="K629" s="13"/>
      <c r="L629" s="13"/>
      <c r="M629" s="11" t="str">
        <f aca="false">IF(F629="","",COUNTIFS(ENSAYOS!$C$5:$C$3004,F629,ENSAYOS!$Q$5:$Q$3004,"&gt;0"))</f>
        <v/>
      </c>
      <c r="N629" s="15" t="str">
        <f aca="false">IF(N(M629)=0,"",_xlfn.MINIFS(ENSAYOS!$G$5:$G$3004,ENSAYOS!$C$5:$C$3004,F629,ENSAYOS!$Q$5:$Q$3004,"&gt;0"))</f>
        <v/>
      </c>
      <c r="O629" s="15" t="str">
        <f aca="false">IF(N(M629)=0,"",_xlfn.MAXIFS(ENSAYOS!$G$5:$G$3004,ENSAYOS!$C$5:$C$3004,F629,ENSAYOS!$Q$5:$Q$3004,"&gt;0"))</f>
        <v/>
      </c>
      <c r="P629" s="16" t="str">
        <f aca="false">IF(N(M629)=0,"",AVERAGEIFS(ENSAYOS!$Q$5:$Q$3004,ENSAYOS!$C$5:$C$3004,F629,ENSAYOS!$Q$5:$Q$3004,"&gt;0"))</f>
        <v/>
      </c>
      <c r="Q629" s="16" t="str">
        <f aca="false">IF(N(M629)=0,"",_xlfn.MINIFS(ENSAYOS!$Q$5:$Q$3004,ENSAYOS!$C$5:$C$3004,F629,ENSAYOS!$Q$5:$Q$3004,"&gt;0"))</f>
        <v/>
      </c>
      <c r="R629" s="16" t="str">
        <f aca="false">IF(N(M629)=0,"",_xlfn.MAXIFS(ENSAYOS!$Q$5:$Q$3004,ENSAYOS!$C$5:$C$3004,F629,ENSAYOS!$Q$5:$Q$3004,"&gt;0"))</f>
        <v/>
      </c>
      <c r="S629" s="16" t="str">
        <f aca="false">IF(N(M629)&lt;2,"",SQRT(MAX(0,(SUMIFS(ENSAYOS!$X$5:$X$3004,ENSAYOS!$C$5:$C$3004,F629,ENSAYOS!$Q$5:$Q$3004,"&gt;0")-M629*P629^2)/(M629-1))))</f>
        <v/>
      </c>
      <c r="T629" s="17" t="str">
        <f aca="false">IF(S629="","",S629/P629)</f>
        <v/>
      </c>
      <c r="U629" s="16" t="str">
        <f aca="false">IF(N(M629)=0,"",IF(N629&gt;=CONFIG!$B$27,"",AVERAGEIFS(ENSAYOS!$Q$5:$Q$3004,ENSAYOS!$C$5:$C$3004,F629,ENSAYOS!$Q$5:$Q$3004,"&gt;0",ENSAYOS!$G$5:$G$3004,N629)))</f>
        <v/>
      </c>
      <c r="V629" s="16" t="str">
        <f aca="false">IF(N(M629)=0,"",IF(COUNTIFS(ENSAYOS!$C$5:$C$3004,F629,ENSAYOS!$Q$5:$Q$3004,"&gt;0",ENSAYOS!$G$5:$G$3004,"&gt;="&amp;CONFIG!$B$27)=0,"",AVERAGEIFS(ENSAYOS!$Q$5:$Q$3004,ENSAYOS!$C$5:$C$3004,F629,ENSAYOS!$Q$5:$Q$3004,"&gt;0",ENSAYOS!$G$5:$G$3004,"&gt;="&amp;CONFIG!$B$27)))</f>
        <v/>
      </c>
      <c r="W629" s="18" t="str">
        <f aca="false">IF(AND(U629&lt;&gt;"",V629&lt;&gt;""),U629/V629,"")</f>
        <v/>
      </c>
      <c r="X629" s="18" t="str">
        <f aca="false">IF(U629="","",INDEX('CURVA EDAD'!$E$5:$E$32,MIN(28,MAX(1,N629))))</f>
        <v/>
      </c>
      <c r="Y629" s="16" t="str">
        <f aca="false">IF(V629&lt;&gt;"",V629,IF(U629="","",U629/X629))</f>
        <v/>
      </c>
      <c r="Z629" s="16" t="str">
        <f aca="false">IF(V629&lt;&gt;"",_xlfn.MINIFS(ENSAYOS!$Q$5:$Q$3004,ENSAYOS!$C$5:$C$3004,F629,ENSAYOS!$Q$5:$Q$3004,"&gt;0",ENSAYOS!$G$5:$G$3004,"&gt;="&amp;CONFIG!$B$27),IF(U629="","",_xlfn.MINIFS(ENSAYOS!$Q$5:$Q$3004,ENSAYOS!$C$5:$C$3004,F629,ENSAYOS!$Q$5:$Q$3004,"&gt;0",ENSAYOS!$G$5:$G$3004,N629)/X629))</f>
        <v/>
      </c>
      <c r="AA629" s="16" t="str">
        <f aca="false">IF(D629="","",IFERROR(1/(1/INDEX(CONFIG!$J$5:$J$14,MATCH(D629,CONFIG!$D$5:$D$14,0))),""))</f>
        <v/>
      </c>
      <c r="AB629" s="16" t="str">
        <f aca="false">IF(D629="","",IFERROR(1/(1/INDEX(CONFIG!$K$5:$K$14,MATCH(D629,CONFIG!$D$5:$D$14,0))),""))</f>
        <v/>
      </c>
      <c r="AC629" s="19" t="str">
        <f aca="false">IF(N(M629)=0,"",IF(AA629="","Sin spec",IF(AND(Y629&gt;=AA629,OR(AB629="",Z629&gt;=AB629)),"CUMPLE","NO CUMPLE")&amp;IF(V629=""," (est.)","")))</f>
        <v/>
      </c>
      <c r="AD629" s="20" t="str">
        <f aca="false">IF(F629="","",IF(COUNTIFS(ABSORCION!$C$5:$C$1004,F629,ABSORCION!$I$5:$I$1004,"&gt;0")=0,"",AVERAGEIFS(ABSORCION!$I$5:$I$1004,ABSORCION!$C$5:$C$1004,F629,ABSORCION!$I$5:$I$1004,"&gt;0")))</f>
        <v/>
      </c>
      <c r="AE629" s="20" t="str">
        <f aca="false">IF(F629="","",IF(COUNTIFS(ABSORCION!$C$5:$C$1004,F629,ABSORCION!$I$5:$I$1004,"&gt;0")=0,"",AVERAGEIFS(ABSORCION!$K$5:$K$1004,ABSORCION!$C$5:$C$1004,F629,ABSORCION!$I$5:$I$1004,"&gt;0")))</f>
        <v/>
      </c>
      <c r="AF629" s="20" t="str">
        <f aca="false">IF(AE629="","",IF(AE629&gt;=CONFIG!$E$21,CONFIG!$F$21,IF(AE629&gt;=CONFIG!$E$20,CONFIG!$F$20,CONFIG!$F$19)))</f>
        <v/>
      </c>
      <c r="AG629" s="21" t="str">
        <f aca="false">IF(F629="","",TRIM(IF(N(M629)=0,"Sin ensayos. ","")&amp;IF(AND(N(M629)&gt;0,N(M629)&lt;CONFIG!$B$26),"Menos de "&amp;CONFIG!$B$26&amp;" probetas. ","")&amp;IF(N(T629)&gt;CONFIG!$B$25,"CV alto. ","")&amp;IF(AND(N(AD629)&gt;0,N(AD629)&gt;N(AF629)),"Absorción alta. ","")))</f>
        <v/>
      </c>
      <c r="AH629" s="22" t="str">
        <f aca="false">IF(AND(N(M629)&gt;0,OR(CONTROL!$C$4="TODAS",C629=CONTROL!$C$4),D629=CONTROL!$C$5),MAX($AH$4:AH628)+1,"")</f>
        <v/>
      </c>
      <c r="AI629" s="22" t="str">
        <f aca="false">IF(AH629="","",P629^2)</f>
        <v/>
      </c>
    </row>
    <row r="630" customFormat="false" ht="15" hidden="false" customHeight="false" outlineLevel="0" collapsed="false">
      <c r="A630" s="11" t="str">
        <f aca="false">IF(B630="","",ROW()-4)</f>
        <v/>
      </c>
      <c r="B630" s="12"/>
      <c r="C630" s="13"/>
      <c r="D630" s="13"/>
      <c r="E630" s="13"/>
      <c r="F630" s="14" t="str">
        <f aca="false">IF(OR(B630="",C630="",D630=""),"",IFERROR(INDEX(CONFIG!$E$5:$E$14,MATCH(D630,CONFIG!$D$5:$D$14,0)),"?")&amp;RIGHT("0"&amp;DAY(B630),2)&amp;RIGHT("0"&amp;MONTH(B630),2)&amp;RIGHT(YEAR(B630),2)&amp;C630&amp;IF(E630="","","-"&amp;E630))</f>
        <v/>
      </c>
      <c r="G630" s="13"/>
      <c r="H630" s="13"/>
      <c r="I630" s="13"/>
      <c r="J630" s="13"/>
      <c r="K630" s="13"/>
      <c r="L630" s="13"/>
      <c r="M630" s="11" t="str">
        <f aca="false">IF(F630="","",COUNTIFS(ENSAYOS!$C$5:$C$3004,F630,ENSAYOS!$Q$5:$Q$3004,"&gt;0"))</f>
        <v/>
      </c>
      <c r="N630" s="15" t="str">
        <f aca="false">IF(N(M630)=0,"",_xlfn.MINIFS(ENSAYOS!$G$5:$G$3004,ENSAYOS!$C$5:$C$3004,F630,ENSAYOS!$Q$5:$Q$3004,"&gt;0"))</f>
        <v/>
      </c>
      <c r="O630" s="15" t="str">
        <f aca="false">IF(N(M630)=0,"",_xlfn.MAXIFS(ENSAYOS!$G$5:$G$3004,ENSAYOS!$C$5:$C$3004,F630,ENSAYOS!$Q$5:$Q$3004,"&gt;0"))</f>
        <v/>
      </c>
      <c r="P630" s="16" t="str">
        <f aca="false">IF(N(M630)=0,"",AVERAGEIFS(ENSAYOS!$Q$5:$Q$3004,ENSAYOS!$C$5:$C$3004,F630,ENSAYOS!$Q$5:$Q$3004,"&gt;0"))</f>
        <v/>
      </c>
      <c r="Q630" s="16" t="str">
        <f aca="false">IF(N(M630)=0,"",_xlfn.MINIFS(ENSAYOS!$Q$5:$Q$3004,ENSAYOS!$C$5:$C$3004,F630,ENSAYOS!$Q$5:$Q$3004,"&gt;0"))</f>
        <v/>
      </c>
      <c r="R630" s="16" t="str">
        <f aca="false">IF(N(M630)=0,"",_xlfn.MAXIFS(ENSAYOS!$Q$5:$Q$3004,ENSAYOS!$C$5:$C$3004,F630,ENSAYOS!$Q$5:$Q$3004,"&gt;0"))</f>
        <v/>
      </c>
      <c r="S630" s="16" t="str">
        <f aca="false">IF(N(M630)&lt;2,"",SQRT(MAX(0,(SUMIFS(ENSAYOS!$X$5:$X$3004,ENSAYOS!$C$5:$C$3004,F630,ENSAYOS!$Q$5:$Q$3004,"&gt;0")-M630*P630^2)/(M630-1))))</f>
        <v/>
      </c>
      <c r="T630" s="17" t="str">
        <f aca="false">IF(S630="","",S630/P630)</f>
        <v/>
      </c>
      <c r="U630" s="16" t="str">
        <f aca="false">IF(N(M630)=0,"",IF(N630&gt;=CONFIG!$B$27,"",AVERAGEIFS(ENSAYOS!$Q$5:$Q$3004,ENSAYOS!$C$5:$C$3004,F630,ENSAYOS!$Q$5:$Q$3004,"&gt;0",ENSAYOS!$G$5:$G$3004,N630)))</f>
        <v/>
      </c>
      <c r="V630" s="16" t="str">
        <f aca="false">IF(N(M630)=0,"",IF(COUNTIFS(ENSAYOS!$C$5:$C$3004,F630,ENSAYOS!$Q$5:$Q$3004,"&gt;0",ENSAYOS!$G$5:$G$3004,"&gt;="&amp;CONFIG!$B$27)=0,"",AVERAGEIFS(ENSAYOS!$Q$5:$Q$3004,ENSAYOS!$C$5:$C$3004,F630,ENSAYOS!$Q$5:$Q$3004,"&gt;0",ENSAYOS!$G$5:$G$3004,"&gt;="&amp;CONFIG!$B$27)))</f>
        <v/>
      </c>
      <c r="W630" s="18" t="str">
        <f aca="false">IF(AND(U630&lt;&gt;"",V630&lt;&gt;""),U630/V630,"")</f>
        <v/>
      </c>
      <c r="X630" s="18" t="str">
        <f aca="false">IF(U630="","",INDEX('CURVA EDAD'!$E$5:$E$32,MIN(28,MAX(1,N630))))</f>
        <v/>
      </c>
      <c r="Y630" s="16" t="str">
        <f aca="false">IF(V630&lt;&gt;"",V630,IF(U630="","",U630/X630))</f>
        <v/>
      </c>
      <c r="Z630" s="16" t="str">
        <f aca="false">IF(V630&lt;&gt;"",_xlfn.MINIFS(ENSAYOS!$Q$5:$Q$3004,ENSAYOS!$C$5:$C$3004,F630,ENSAYOS!$Q$5:$Q$3004,"&gt;0",ENSAYOS!$G$5:$G$3004,"&gt;="&amp;CONFIG!$B$27),IF(U630="","",_xlfn.MINIFS(ENSAYOS!$Q$5:$Q$3004,ENSAYOS!$C$5:$C$3004,F630,ENSAYOS!$Q$5:$Q$3004,"&gt;0",ENSAYOS!$G$5:$G$3004,N630)/X630))</f>
        <v/>
      </c>
      <c r="AA630" s="16" t="str">
        <f aca="false">IF(D630="","",IFERROR(1/(1/INDEX(CONFIG!$J$5:$J$14,MATCH(D630,CONFIG!$D$5:$D$14,0))),""))</f>
        <v/>
      </c>
      <c r="AB630" s="16" t="str">
        <f aca="false">IF(D630="","",IFERROR(1/(1/INDEX(CONFIG!$K$5:$K$14,MATCH(D630,CONFIG!$D$5:$D$14,0))),""))</f>
        <v/>
      </c>
      <c r="AC630" s="19" t="str">
        <f aca="false">IF(N(M630)=0,"",IF(AA630="","Sin spec",IF(AND(Y630&gt;=AA630,OR(AB630="",Z630&gt;=AB630)),"CUMPLE","NO CUMPLE")&amp;IF(V630=""," (est.)","")))</f>
        <v/>
      </c>
      <c r="AD630" s="20" t="str">
        <f aca="false">IF(F630="","",IF(COUNTIFS(ABSORCION!$C$5:$C$1004,F630,ABSORCION!$I$5:$I$1004,"&gt;0")=0,"",AVERAGEIFS(ABSORCION!$I$5:$I$1004,ABSORCION!$C$5:$C$1004,F630,ABSORCION!$I$5:$I$1004,"&gt;0")))</f>
        <v/>
      </c>
      <c r="AE630" s="20" t="str">
        <f aca="false">IF(F630="","",IF(COUNTIFS(ABSORCION!$C$5:$C$1004,F630,ABSORCION!$I$5:$I$1004,"&gt;0")=0,"",AVERAGEIFS(ABSORCION!$K$5:$K$1004,ABSORCION!$C$5:$C$1004,F630,ABSORCION!$I$5:$I$1004,"&gt;0")))</f>
        <v/>
      </c>
      <c r="AF630" s="20" t="str">
        <f aca="false">IF(AE630="","",IF(AE630&gt;=CONFIG!$E$21,CONFIG!$F$21,IF(AE630&gt;=CONFIG!$E$20,CONFIG!$F$20,CONFIG!$F$19)))</f>
        <v/>
      </c>
      <c r="AG630" s="21" t="str">
        <f aca="false">IF(F630="","",TRIM(IF(N(M630)=0,"Sin ensayos. ","")&amp;IF(AND(N(M630)&gt;0,N(M630)&lt;CONFIG!$B$26),"Menos de "&amp;CONFIG!$B$26&amp;" probetas. ","")&amp;IF(N(T630)&gt;CONFIG!$B$25,"CV alto. ","")&amp;IF(AND(N(AD630)&gt;0,N(AD630)&gt;N(AF630)),"Absorción alta. ","")))</f>
        <v/>
      </c>
      <c r="AH630" s="22" t="str">
        <f aca="false">IF(AND(N(M630)&gt;0,OR(CONTROL!$C$4="TODAS",C630=CONTROL!$C$4),D630=CONTROL!$C$5),MAX($AH$4:AH629)+1,"")</f>
        <v/>
      </c>
      <c r="AI630" s="22" t="str">
        <f aca="false">IF(AH630="","",P630^2)</f>
        <v/>
      </c>
    </row>
    <row r="631" customFormat="false" ht="15" hidden="false" customHeight="false" outlineLevel="0" collapsed="false">
      <c r="A631" s="11" t="str">
        <f aca="false">IF(B631="","",ROW()-4)</f>
        <v/>
      </c>
      <c r="B631" s="12"/>
      <c r="C631" s="13"/>
      <c r="D631" s="13"/>
      <c r="E631" s="13"/>
      <c r="F631" s="14" t="str">
        <f aca="false">IF(OR(B631="",C631="",D631=""),"",IFERROR(INDEX(CONFIG!$E$5:$E$14,MATCH(D631,CONFIG!$D$5:$D$14,0)),"?")&amp;RIGHT("0"&amp;DAY(B631),2)&amp;RIGHT("0"&amp;MONTH(B631),2)&amp;RIGHT(YEAR(B631),2)&amp;C631&amp;IF(E631="","","-"&amp;E631))</f>
        <v/>
      </c>
      <c r="G631" s="13"/>
      <c r="H631" s="13"/>
      <c r="I631" s="13"/>
      <c r="J631" s="13"/>
      <c r="K631" s="13"/>
      <c r="L631" s="13"/>
      <c r="M631" s="11" t="str">
        <f aca="false">IF(F631="","",COUNTIFS(ENSAYOS!$C$5:$C$3004,F631,ENSAYOS!$Q$5:$Q$3004,"&gt;0"))</f>
        <v/>
      </c>
      <c r="N631" s="15" t="str">
        <f aca="false">IF(N(M631)=0,"",_xlfn.MINIFS(ENSAYOS!$G$5:$G$3004,ENSAYOS!$C$5:$C$3004,F631,ENSAYOS!$Q$5:$Q$3004,"&gt;0"))</f>
        <v/>
      </c>
      <c r="O631" s="15" t="str">
        <f aca="false">IF(N(M631)=0,"",_xlfn.MAXIFS(ENSAYOS!$G$5:$G$3004,ENSAYOS!$C$5:$C$3004,F631,ENSAYOS!$Q$5:$Q$3004,"&gt;0"))</f>
        <v/>
      </c>
      <c r="P631" s="16" t="str">
        <f aca="false">IF(N(M631)=0,"",AVERAGEIFS(ENSAYOS!$Q$5:$Q$3004,ENSAYOS!$C$5:$C$3004,F631,ENSAYOS!$Q$5:$Q$3004,"&gt;0"))</f>
        <v/>
      </c>
      <c r="Q631" s="16" t="str">
        <f aca="false">IF(N(M631)=0,"",_xlfn.MINIFS(ENSAYOS!$Q$5:$Q$3004,ENSAYOS!$C$5:$C$3004,F631,ENSAYOS!$Q$5:$Q$3004,"&gt;0"))</f>
        <v/>
      </c>
      <c r="R631" s="16" t="str">
        <f aca="false">IF(N(M631)=0,"",_xlfn.MAXIFS(ENSAYOS!$Q$5:$Q$3004,ENSAYOS!$C$5:$C$3004,F631,ENSAYOS!$Q$5:$Q$3004,"&gt;0"))</f>
        <v/>
      </c>
      <c r="S631" s="16" t="str">
        <f aca="false">IF(N(M631)&lt;2,"",SQRT(MAX(0,(SUMIFS(ENSAYOS!$X$5:$X$3004,ENSAYOS!$C$5:$C$3004,F631,ENSAYOS!$Q$5:$Q$3004,"&gt;0")-M631*P631^2)/(M631-1))))</f>
        <v/>
      </c>
      <c r="T631" s="17" t="str">
        <f aca="false">IF(S631="","",S631/P631)</f>
        <v/>
      </c>
      <c r="U631" s="16" t="str">
        <f aca="false">IF(N(M631)=0,"",IF(N631&gt;=CONFIG!$B$27,"",AVERAGEIFS(ENSAYOS!$Q$5:$Q$3004,ENSAYOS!$C$5:$C$3004,F631,ENSAYOS!$Q$5:$Q$3004,"&gt;0",ENSAYOS!$G$5:$G$3004,N631)))</f>
        <v/>
      </c>
      <c r="V631" s="16" t="str">
        <f aca="false">IF(N(M631)=0,"",IF(COUNTIFS(ENSAYOS!$C$5:$C$3004,F631,ENSAYOS!$Q$5:$Q$3004,"&gt;0",ENSAYOS!$G$5:$G$3004,"&gt;="&amp;CONFIG!$B$27)=0,"",AVERAGEIFS(ENSAYOS!$Q$5:$Q$3004,ENSAYOS!$C$5:$C$3004,F631,ENSAYOS!$Q$5:$Q$3004,"&gt;0",ENSAYOS!$G$5:$G$3004,"&gt;="&amp;CONFIG!$B$27)))</f>
        <v/>
      </c>
      <c r="W631" s="18" t="str">
        <f aca="false">IF(AND(U631&lt;&gt;"",V631&lt;&gt;""),U631/V631,"")</f>
        <v/>
      </c>
      <c r="X631" s="18" t="str">
        <f aca="false">IF(U631="","",INDEX('CURVA EDAD'!$E$5:$E$32,MIN(28,MAX(1,N631))))</f>
        <v/>
      </c>
      <c r="Y631" s="16" t="str">
        <f aca="false">IF(V631&lt;&gt;"",V631,IF(U631="","",U631/X631))</f>
        <v/>
      </c>
      <c r="Z631" s="16" t="str">
        <f aca="false">IF(V631&lt;&gt;"",_xlfn.MINIFS(ENSAYOS!$Q$5:$Q$3004,ENSAYOS!$C$5:$C$3004,F631,ENSAYOS!$Q$5:$Q$3004,"&gt;0",ENSAYOS!$G$5:$G$3004,"&gt;="&amp;CONFIG!$B$27),IF(U631="","",_xlfn.MINIFS(ENSAYOS!$Q$5:$Q$3004,ENSAYOS!$C$5:$C$3004,F631,ENSAYOS!$Q$5:$Q$3004,"&gt;0",ENSAYOS!$G$5:$G$3004,N631)/X631))</f>
        <v/>
      </c>
      <c r="AA631" s="16" t="str">
        <f aca="false">IF(D631="","",IFERROR(1/(1/INDEX(CONFIG!$J$5:$J$14,MATCH(D631,CONFIG!$D$5:$D$14,0))),""))</f>
        <v/>
      </c>
      <c r="AB631" s="16" t="str">
        <f aca="false">IF(D631="","",IFERROR(1/(1/INDEX(CONFIG!$K$5:$K$14,MATCH(D631,CONFIG!$D$5:$D$14,0))),""))</f>
        <v/>
      </c>
      <c r="AC631" s="19" t="str">
        <f aca="false">IF(N(M631)=0,"",IF(AA631="","Sin spec",IF(AND(Y631&gt;=AA631,OR(AB631="",Z631&gt;=AB631)),"CUMPLE","NO CUMPLE")&amp;IF(V631=""," (est.)","")))</f>
        <v/>
      </c>
      <c r="AD631" s="20" t="str">
        <f aca="false">IF(F631="","",IF(COUNTIFS(ABSORCION!$C$5:$C$1004,F631,ABSORCION!$I$5:$I$1004,"&gt;0")=0,"",AVERAGEIFS(ABSORCION!$I$5:$I$1004,ABSORCION!$C$5:$C$1004,F631,ABSORCION!$I$5:$I$1004,"&gt;0")))</f>
        <v/>
      </c>
      <c r="AE631" s="20" t="str">
        <f aca="false">IF(F631="","",IF(COUNTIFS(ABSORCION!$C$5:$C$1004,F631,ABSORCION!$I$5:$I$1004,"&gt;0")=0,"",AVERAGEIFS(ABSORCION!$K$5:$K$1004,ABSORCION!$C$5:$C$1004,F631,ABSORCION!$I$5:$I$1004,"&gt;0")))</f>
        <v/>
      </c>
      <c r="AF631" s="20" t="str">
        <f aca="false">IF(AE631="","",IF(AE631&gt;=CONFIG!$E$21,CONFIG!$F$21,IF(AE631&gt;=CONFIG!$E$20,CONFIG!$F$20,CONFIG!$F$19)))</f>
        <v/>
      </c>
      <c r="AG631" s="21" t="str">
        <f aca="false">IF(F631="","",TRIM(IF(N(M631)=0,"Sin ensayos. ","")&amp;IF(AND(N(M631)&gt;0,N(M631)&lt;CONFIG!$B$26),"Menos de "&amp;CONFIG!$B$26&amp;" probetas. ","")&amp;IF(N(T631)&gt;CONFIG!$B$25,"CV alto. ","")&amp;IF(AND(N(AD631)&gt;0,N(AD631)&gt;N(AF631)),"Absorción alta. ","")))</f>
        <v/>
      </c>
      <c r="AH631" s="22" t="str">
        <f aca="false">IF(AND(N(M631)&gt;0,OR(CONTROL!$C$4="TODAS",C631=CONTROL!$C$4),D631=CONTROL!$C$5),MAX($AH$4:AH630)+1,"")</f>
        <v/>
      </c>
      <c r="AI631" s="22" t="str">
        <f aca="false">IF(AH631="","",P631^2)</f>
        <v/>
      </c>
    </row>
    <row r="632" customFormat="false" ht="15" hidden="false" customHeight="false" outlineLevel="0" collapsed="false">
      <c r="A632" s="11" t="str">
        <f aca="false">IF(B632="","",ROW()-4)</f>
        <v/>
      </c>
      <c r="B632" s="12"/>
      <c r="C632" s="13"/>
      <c r="D632" s="13"/>
      <c r="E632" s="13"/>
      <c r="F632" s="14" t="str">
        <f aca="false">IF(OR(B632="",C632="",D632=""),"",IFERROR(INDEX(CONFIG!$E$5:$E$14,MATCH(D632,CONFIG!$D$5:$D$14,0)),"?")&amp;RIGHT("0"&amp;DAY(B632),2)&amp;RIGHT("0"&amp;MONTH(B632),2)&amp;RIGHT(YEAR(B632),2)&amp;C632&amp;IF(E632="","","-"&amp;E632))</f>
        <v/>
      </c>
      <c r="G632" s="13"/>
      <c r="H632" s="13"/>
      <c r="I632" s="13"/>
      <c r="J632" s="13"/>
      <c r="K632" s="13"/>
      <c r="L632" s="13"/>
      <c r="M632" s="11" t="str">
        <f aca="false">IF(F632="","",COUNTIFS(ENSAYOS!$C$5:$C$3004,F632,ENSAYOS!$Q$5:$Q$3004,"&gt;0"))</f>
        <v/>
      </c>
      <c r="N632" s="15" t="str">
        <f aca="false">IF(N(M632)=0,"",_xlfn.MINIFS(ENSAYOS!$G$5:$G$3004,ENSAYOS!$C$5:$C$3004,F632,ENSAYOS!$Q$5:$Q$3004,"&gt;0"))</f>
        <v/>
      </c>
      <c r="O632" s="15" t="str">
        <f aca="false">IF(N(M632)=0,"",_xlfn.MAXIFS(ENSAYOS!$G$5:$G$3004,ENSAYOS!$C$5:$C$3004,F632,ENSAYOS!$Q$5:$Q$3004,"&gt;0"))</f>
        <v/>
      </c>
      <c r="P632" s="16" t="str">
        <f aca="false">IF(N(M632)=0,"",AVERAGEIFS(ENSAYOS!$Q$5:$Q$3004,ENSAYOS!$C$5:$C$3004,F632,ENSAYOS!$Q$5:$Q$3004,"&gt;0"))</f>
        <v/>
      </c>
      <c r="Q632" s="16" t="str">
        <f aca="false">IF(N(M632)=0,"",_xlfn.MINIFS(ENSAYOS!$Q$5:$Q$3004,ENSAYOS!$C$5:$C$3004,F632,ENSAYOS!$Q$5:$Q$3004,"&gt;0"))</f>
        <v/>
      </c>
      <c r="R632" s="16" t="str">
        <f aca="false">IF(N(M632)=0,"",_xlfn.MAXIFS(ENSAYOS!$Q$5:$Q$3004,ENSAYOS!$C$5:$C$3004,F632,ENSAYOS!$Q$5:$Q$3004,"&gt;0"))</f>
        <v/>
      </c>
      <c r="S632" s="16" t="str">
        <f aca="false">IF(N(M632)&lt;2,"",SQRT(MAX(0,(SUMIFS(ENSAYOS!$X$5:$X$3004,ENSAYOS!$C$5:$C$3004,F632,ENSAYOS!$Q$5:$Q$3004,"&gt;0")-M632*P632^2)/(M632-1))))</f>
        <v/>
      </c>
      <c r="T632" s="17" t="str">
        <f aca="false">IF(S632="","",S632/P632)</f>
        <v/>
      </c>
      <c r="U632" s="16" t="str">
        <f aca="false">IF(N(M632)=0,"",IF(N632&gt;=CONFIG!$B$27,"",AVERAGEIFS(ENSAYOS!$Q$5:$Q$3004,ENSAYOS!$C$5:$C$3004,F632,ENSAYOS!$Q$5:$Q$3004,"&gt;0",ENSAYOS!$G$5:$G$3004,N632)))</f>
        <v/>
      </c>
      <c r="V632" s="16" t="str">
        <f aca="false">IF(N(M632)=0,"",IF(COUNTIFS(ENSAYOS!$C$5:$C$3004,F632,ENSAYOS!$Q$5:$Q$3004,"&gt;0",ENSAYOS!$G$5:$G$3004,"&gt;="&amp;CONFIG!$B$27)=0,"",AVERAGEIFS(ENSAYOS!$Q$5:$Q$3004,ENSAYOS!$C$5:$C$3004,F632,ENSAYOS!$Q$5:$Q$3004,"&gt;0",ENSAYOS!$G$5:$G$3004,"&gt;="&amp;CONFIG!$B$27)))</f>
        <v/>
      </c>
      <c r="W632" s="18" t="str">
        <f aca="false">IF(AND(U632&lt;&gt;"",V632&lt;&gt;""),U632/V632,"")</f>
        <v/>
      </c>
      <c r="X632" s="18" t="str">
        <f aca="false">IF(U632="","",INDEX('CURVA EDAD'!$E$5:$E$32,MIN(28,MAX(1,N632))))</f>
        <v/>
      </c>
      <c r="Y632" s="16" t="str">
        <f aca="false">IF(V632&lt;&gt;"",V632,IF(U632="","",U632/X632))</f>
        <v/>
      </c>
      <c r="Z632" s="16" t="str">
        <f aca="false">IF(V632&lt;&gt;"",_xlfn.MINIFS(ENSAYOS!$Q$5:$Q$3004,ENSAYOS!$C$5:$C$3004,F632,ENSAYOS!$Q$5:$Q$3004,"&gt;0",ENSAYOS!$G$5:$G$3004,"&gt;="&amp;CONFIG!$B$27),IF(U632="","",_xlfn.MINIFS(ENSAYOS!$Q$5:$Q$3004,ENSAYOS!$C$5:$C$3004,F632,ENSAYOS!$Q$5:$Q$3004,"&gt;0",ENSAYOS!$G$5:$G$3004,N632)/X632))</f>
        <v/>
      </c>
      <c r="AA632" s="16" t="str">
        <f aca="false">IF(D632="","",IFERROR(1/(1/INDEX(CONFIG!$J$5:$J$14,MATCH(D632,CONFIG!$D$5:$D$14,0))),""))</f>
        <v/>
      </c>
      <c r="AB632" s="16" t="str">
        <f aca="false">IF(D632="","",IFERROR(1/(1/INDEX(CONFIG!$K$5:$K$14,MATCH(D632,CONFIG!$D$5:$D$14,0))),""))</f>
        <v/>
      </c>
      <c r="AC632" s="19" t="str">
        <f aca="false">IF(N(M632)=0,"",IF(AA632="","Sin spec",IF(AND(Y632&gt;=AA632,OR(AB632="",Z632&gt;=AB632)),"CUMPLE","NO CUMPLE")&amp;IF(V632=""," (est.)","")))</f>
        <v/>
      </c>
      <c r="AD632" s="20" t="str">
        <f aca="false">IF(F632="","",IF(COUNTIFS(ABSORCION!$C$5:$C$1004,F632,ABSORCION!$I$5:$I$1004,"&gt;0")=0,"",AVERAGEIFS(ABSORCION!$I$5:$I$1004,ABSORCION!$C$5:$C$1004,F632,ABSORCION!$I$5:$I$1004,"&gt;0")))</f>
        <v/>
      </c>
      <c r="AE632" s="20" t="str">
        <f aca="false">IF(F632="","",IF(COUNTIFS(ABSORCION!$C$5:$C$1004,F632,ABSORCION!$I$5:$I$1004,"&gt;0")=0,"",AVERAGEIFS(ABSORCION!$K$5:$K$1004,ABSORCION!$C$5:$C$1004,F632,ABSORCION!$I$5:$I$1004,"&gt;0")))</f>
        <v/>
      </c>
      <c r="AF632" s="20" t="str">
        <f aca="false">IF(AE632="","",IF(AE632&gt;=CONFIG!$E$21,CONFIG!$F$21,IF(AE632&gt;=CONFIG!$E$20,CONFIG!$F$20,CONFIG!$F$19)))</f>
        <v/>
      </c>
      <c r="AG632" s="21" t="str">
        <f aca="false">IF(F632="","",TRIM(IF(N(M632)=0,"Sin ensayos. ","")&amp;IF(AND(N(M632)&gt;0,N(M632)&lt;CONFIG!$B$26),"Menos de "&amp;CONFIG!$B$26&amp;" probetas. ","")&amp;IF(N(T632)&gt;CONFIG!$B$25,"CV alto. ","")&amp;IF(AND(N(AD632)&gt;0,N(AD632)&gt;N(AF632)),"Absorción alta. ","")))</f>
        <v/>
      </c>
      <c r="AH632" s="22" t="str">
        <f aca="false">IF(AND(N(M632)&gt;0,OR(CONTROL!$C$4="TODAS",C632=CONTROL!$C$4),D632=CONTROL!$C$5),MAX($AH$4:AH631)+1,"")</f>
        <v/>
      </c>
      <c r="AI632" s="22" t="str">
        <f aca="false">IF(AH632="","",P632^2)</f>
        <v/>
      </c>
    </row>
    <row r="633" customFormat="false" ht="15" hidden="false" customHeight="false" outlineLevel="0" collapsed="false">
      <c r="A633" s="11" t="str">
        <f aca="false">IF(B633="","",ROW()-4)</f>
        <v/>
      </c>
      <c r="B633" s="12"/>
      <c r="C633" s="13"/>
      <c r="D633" s="13"/>
      <c r="E633" s="13"/>
      <c r="F633" s="14" t="str">
        <f aca="false">IF(OR(B633="",C633="",D633=""),"",IFERROR(INDEX(CONFIG!$E$5:$E$14,MATCH(D633,CONFIG!$D$5:$D$14,0)),"?")&amp;RIGHT("0"&amp;DAY(B633),2)&amp;RIGHT("0"&amp;MONTH(B633),2)&amp;RIGHT(YEAR(B633),2)&amp;C633&amp;IF(E633="","","-"&amp;E633))</f>
        <v/>
      </c>
      <c r="G633" s="13"/>
      <c r="H633" s="13"/>
      <c r="I633" s="13"/>
      <c r="J633" s="13"/>
      <c r="K633" s="13"/>
      <c r="L633" s="13"/>
      <c r="M633" s="11" t="str">
        <f aca="false">IF(F633="","",COUNTIFS(ENSAYOS!$C$5:$C$3004,F633,ENSAYOS!$Q$5:$Q$3004,"&gt;0"))</f>
        <v/>
      </c>
      <c r="N633" s="15" t="str">
        <f aca="false">IF(N(M633)=0,"",_xlfn.MINIFS(ENSAYOS!$G$5:$G$3004,ENSAYOS!$C$5:$C$3004,F633,ENSAYOS!$Q$5:$Q$3004,"&gt;0"))</f>
        <v/>
      </c>
      <c r="O633" s="15" t="str">
        <f aca="false">IF(N(M633)=0,"",_xlfn.MAXIFS(ENSAYOS!$G$5:$G$3004,ENSAYOS!$C$5:$C$3004,F633,ENSAYOS!$Q$5:$Q$3004,"&gt;0"))</f>
        <v/>
      </c>
      <c r="P633" s="16" t="str">
        <f aca="false">IF(N(M633)=0,"",AVERAGEIFS(ENSAYOS!$Q$5:$Q$3004,ENSAYOS!$C$5:$C$3004,F633,ENSAYOS!$Q$5:$Q$3004,"&gt;0"))</f>
        <v/>
      </c>
      <c r="Q633" s="16" t="str">
        <f aca="false">IF(N(M633)=0,"",_xlfn.MINIFS(ENSAYOS!$Q$5:$Q$3004,ENSAYOS!$C$5:$C$3004,F633,ENSAYOS!$Q$5:$Q$3004,"&gt;0"))</f>
        <v/>
      </c>
      <c r="R633" s="16" t="str">
        <f aca="false">IF(N(M633)=0,"",_xlfn.MAXIFS(ENSAYOS!$Q$5:$Q$3004,ENSAYOS!$C$5:$C$3004,F633,ENSAYOS!$Q$5:$Q$3004,"&gt;0"))</f>
        <v/>
      </c>
      <c r="S633" s="16" t="str">
        <f aca="false">IF(N(M633)&lt;2,"",SQRT(MAX(0,(SUMIFS(ENSAYOS!$X$5:$X$3004,ENSAYOS!$C$5:$C$3004,F633,ENSAYOS!$Q$5:$Q$3004,"&gt;0")-M633*P633^2)/(M633-1))))</f>
        <v/>
      </c>
      <c r="T633" s="17" t="str">
        <f aca="false">IF(S633="","",S633/P633)</f>
        <v/>
      </c>
      <c r="U633" s="16" t="str">
        <f aca="false">IF(N(M633)=0,"",IF(N633&gt;=CONFIG!$B$27,"",AVERAGEIFS(ENSAYOS!$Q$5:$Q$3004,ENSAYOS!$C$5:$C$3004,F633,ENSAYOS!$Q$5:$Q$3004,"&gt;0",ENSAYOS!$G$5:$G$3004,N633)))</f>
        <v/>
      </c>
      <c r="V633" s="16" t="str">
        <f aca="false">IF(N(M633)=0,"",IF(COUNTIFS(ENSAYOS!$C$5:$C$3004,F633,ENSAYOS!$Q$5:$Q$3004,"&gt;0",ENSAYOS!$G$5:$G$3004,"&gt;="&amp;CONFIG!$B$27)=0,"",AVERAGEIFS(ENSAYOS!$Q$5:$Q$3004,ENSAYOS!$C$5:$C$3004,F633,ENSAYOS!$Q$5:$Q$3004,"&gt;0",ENSAYOS!$G$5:$G$3004,"&gt;="&amp;CONFIG!$B$27)))</f>
        <v/>
      </c>
      <c r="W633" s="18" t="str">
        <f aca="false">IF(AND(U633&lt;&gt;"",V633&lt;&gt;""),U633/V633,"")</f>
        <v/>
      </c>
      <c r="X633" s="18" t="str">
        <f aca="false">IF(U633="","",INDEX('CURVA EDAD'!$E$5:$E$32,MIN(28,MAX(1,N633))))</f>
        <v/>
      </c>
      <c r="Y633" s="16" t="str">
        <f aca="false">IF(V633&lt;&gt;"",V633,IF(U633="","",U633/X633))</f>
        <v/>
      </c>
      <c r="Z633" s="16" t="str">
        <f aca="false">IF(V633&lt;&gt;"",_xlfn.MINIFS(ENSAYOS!$Q$5:$Q$3004,ENSAYOS!$C$5:$C$3004,F633,ENSAYOS!$Q$5:$Q$3004,"&gt;0",ENSAYOS!$G$5:$G$3004,"&gt;="&amp;CONFIG!$B$27),IF(U633="","",_xlfn.MINIFS(ENSAYOS!$Q$5:$Q$3004,ENSAYOS!$C$5:$C$3004,F633,ENSAYOS!$Q$5:$Q$3004,"&gt;0",ENSAYOS!$G$5:$G$3004,N633)/X633))</f>
        <v/>
      </c>
      <c r="AA633" s="16" t="str">
        <f aca="false">IF(D633="","",IFERROR(1/(1/INDEX(CONFIG!$J$5:$J$14,MATCH(D633,CONFIG!$D$5:$D$14,0))),""))</f>
        <v/>
      </c>
      <c r="AB633" s="16" t="str">
        <f aca="false">IF(D633="","",IFERROR(1/(1/INDEX(CONFIG!$K$5:$K$14,MATCH(D633,CONFIG!$D$5:$D$14,0))),""))</f>
        <v/>
      </c>
      <c r="AC633" s="19" t="str">
        <f aca="false">IF(N(M633)=0,"",IF(AA633="","Sin spec",IF(AND(Y633&gt;=AA633,OR(AB633="",Z633&gt;=AB633)),"CUMPLE","NO CUMPLE")&amp;IF(V633=""," (est.)","")))</f>
        <v/>
      </c>
      <c r="AD633" s="20" t="str">
        <f aca="false">IF(F633="","",IF(COUNTIFS(ABSORCION!$C$5:$C$1004,F633,ABSORCION!$I$5:$I$1004,"&gt;0")=0,"",AVERAGEIFS(ABSORCION!$I$5:$I$1004,ABSORCION!$C$5:$C$1004,F633,ABSORCION!$I$5:$I$1004,"&gt;0")))</f>
        <v/>
      </c>
      <c r="AE633" s="20" t="str">
        <f aca="false">IF(F633="","",IF(COUNTIFS(ABSORCION!$C$5:$C$1004,F633,ABSORCION!$I$5:$I$1004,"&gt;0")=0,"",AVERAGEIFS(ABSORCION!$K$5:$K$1004,ABSORCION!$C$5:$C$1004,F633,ABSORCION!$I$5:$I$1004,"&gt;0")))</f>
        <v/>
      </c>
      <c r="AF633" s="20" t="str">
        <f aca="false">IF(AE633="","",IF(AE633&gt;=CONFIG!$E$21,CONFIG!$F$21,IF(AE633&gt;=CONFIG!$E$20,CONFIG!$F$20,CONFIG!$F$19)))</f>
        <v/>
      </c>
      <c r="AG633" s="21" t="str">
        <f aca="false">IF(F633="","",TRIM(IF(N(M633)=0,"Sin ensayos. ","")&amp;IF(AND(N(M633)&gt;0,N(M633)&lt;CONFIG!$B$26),"Menos de "&amp;CONFIG!$B$26&amp;" probetas. ","")&amp;IF(N(T633)&gt;CONFIG!$B$25,"CV alto. ","")&amp;IF(AND(N(AD633)&gt;0,N(AD633)&gt;N(AF633)),"Absorción alta. ","")))</f>
        <v/>
      </c>
      <c r="AH633" s="22" t="str">
        <f aca="false">IF(AND(N(M633)&gt;0,OR(CONTROL!$C$4="TODAS",C633=CONTROL!$C$4),D633=CONTROL!$C$5),MAX($AH$4:AH632)+1,"")</f>
        <v/>
      </c>
      <c r="AI633" s="22" t="str">
        <f aca="false">IF(AH633="","",P633^2)</f>
        <v/>
      </c>
    </row>
    <row r="634" customFormat="false" ht="15" hidden="false" customHeight="false" outlineLevel="0" collapsed="false">
      <c r="A634" s="11" t="str">
        <f aca="false">IF(B634="","",ROW()-4)</f>
        <v/>
      </c>
      <c r="B634" s="12"/>
      <c r="C634" s="13"/>
      <c r="D634" s="13"/>
      <c r="E634" s="13"/>
      <c r="F634" s="14" t="str">
        <f aca="false">IF(OR(B634="",C634="",D634=""),"",IFERROR(INDEX(CONFIG!$E$5:$E$14,MATCH(D634,CONFIG!$D$5:$D$14,0)),"?")&amp;RIGHT("0"&amp;DAY(B634),2)&amp;RIGHT("0"&amp;MONTH(B634),2)&amp;RIGHT(YEAR(B634),2)&amp;C634&amp;IF(E634="","","-"&amp;E634))</f>
        <v/>
      </c>
      <c r="G634" s="13"/>
      <c r="H634" s="13"/>
      <c r="I634" s="13"/>
      <c r="J634" s="13"/>
      <c r="K634" s="13"/>
      <c r="L634" s="13"/>
      <c r="M634" s="11" t="str">
        <f aca="false">IF(F634="","",COUNTIFS(ENSAYOS!$C$5:$C$3004,F634,ENSAYOS!$Q$5:$Q$3004,"&gt;0"))</f>
        <v/>
      </c>
      <c r="N634" s="15" t="str">
        <f aca="false">IF(N(M634)=0,"",_xlfn.MINIFS(ENSAYOS!$G$5:$G$3004,ENSAYOS!$C$5:$C$3004,F634,ENSAYOS!$Q$5:$Q$3004,"&gt;0"))</f>
        <v/>
      </c>
      <c r="O634" s="15" t="str">
        <f aca="false">IF(N(M634)=0,"",_xlfn.MAXIFS(ENSAYOS!$G$5:$G$3004,ENSAYOS!$C$5:$C$3004,F634,ENSAYOS!$Q$5:$Q$3004,"&gt;0"))</f>
        <v/>
      </c>
      <c r="P634" s="16" t="str">
        <f aca="false">IF(N(M634)=0,"",AVERAGEIFS(ENSAYOS!$Q$5:$Q$3004,ENSAYOS!$C$5:$C$3004,F634,ENSAYOS!$Q$5:$Q$3004,"&gt;0"))</f>
        <v/>
      </c>
      <c r="Q634" s="16" t="str">
        <f aca="false">IF(N(M634)=0,"",_xlfn.MINIFS(ENSAYOS!$Q$5:$Q$3004,ENSAYOS!$C$5:$C$3004,F634,ENSAYOS!$Q$5:$Q$3004,"&gt;0"))</f>
        <v/>
      </c>
      <c r="R634" s="16" t="str">
        <f aca="false">IF(N(M634)=0,"",_xlfn.MAXIFS(ENSAYOS!$Q$5:$Q$3004,ENSAYOS!$C$5:$C$3004,F634,ENSAYOS!$Q$5:$Q$3004,"&gt;0"))</f>
        <v/>
      </c>
      <c r="S634" s="16" t="str">
        <f aca="false">IF(N(M634)&lt;2,"",SQRT(MAX(0,(SUMIFS(ENSAYOS!$X$5:$X$3004,ENSAYOS!$C$5:$C$3004,F634,ENSAYOS!$Q$5:$Q$3004,"&gt;0")-M634*P634^2)/(M634-1))))</f>
        <v/>
      </c>
      <c r="T634" s="17" t="str">
        <f aca="false">IF(S634="","",S634/P634)</f>
        <v/>
      </c>
      <c r="U634" s="16" t="str">
        <f aca="false">IF(N(M634)=0,"",IF(N634&gt;=CONFIG!$B$27,"",AVERAGEIFS(ENSAYOS!$Q$5:$Q$3004,ENSAYOS!$C$5:$C$3004,F634,ENSAYOS!$Q$5:$Q$3004,"&gt;0",ENSAYOS!$G$5:$G$3004,N634)))</f>
        <v/>
      </c>
      <c r="V634" s="16" t="str">
        <f aca="false">IF(N(M634)=0,"",IF(COUNTIFS(ENSAYOS!$C$5:$C$3004,F634,ENSAYOS!$Q$5:$Q$3004,"&gt;0",ENSAYOS!$G$5:$G$3004,"&gt;="&amp;CONFIG!$B$27)=0,"",AVERAGEIFS(ENSAYOS!$Q$5:$Q$3004,ENSAYOS!$C$5:$C$3004,F634,ENSAYOS!$Q$5:$Q$3004,"&gt;0",ENSAYOS!$G$5:$G$3004,"&gt;="&amp;CONFIG!$B$27)))</f>
        <v/>
      </c>
      <c r="W634" s="18" t="str">
        <f aca="false">IF(AND(U634&lt;&gt;"",V634&lt;&gt;""),U634/V634,"")</f>
        <v/>
      </c>
      <c r="X634" s="18" t="str">
        <f aca="false">IF(U634="","",INDEX('CURVA EDAD'!$E$5:$E$32,MIN(28,MAX(1,N634))))</f>
        <v/>
      </c>
      <c r="Y634" s="16" t="str">
        <f aca="false">IF(V634&lt;&gt;"",V634,IF(U634="","",U634/X634))</f>
        <v/>
      </c>
      <c r="Z634" s="16" t="str">
        <f aca="false">IF(V634&lt;&gt;"",_xlfn.MINIFS(ENSAYOS!$Q$5:$Q$3004,ENSAYOS!$C$5:$C$3004,F634,ENSAYOS!$Q$5:$Q$3004,"&gt;0",ENSAYOS!$G$5:$G$3004,"&gt;="&amp;CONFIG!$B$27),IF(U634="","",_xlfn.MINIFS(ENSAYOS!$Q$5:$Q$3004,ENSAYOS!$C$5:$C$3004,F634,ENSAYOS!$Q$5:$Q$3004,"&gt;0",ENSAYOS!$G$5:$G$3004,N634)/X634))</f>
        <v/>
      </c>
      <c r="AA634" s="16" t="str">
        <f aca="false">IF(D634="","",IFERROR(1/(1/INDEX(CONFIG!$J$5:$J$14,MATCH(D634,CONFIG!$D$5:$D$14,0))),""))</f>
        <v/>
      </c>
      <c r="AB634" s="16" t="str">
        <f aca="false">IF(D634="","",IFERROR(1/(1/INDEX(CONFIG!$K$5:$K$14,MATCH(D634,CONFIG!$D$5:$D$14,0))),""))</f>
        <v/>
      </c>
      <c r="AC634" s="19" t="str">
        <f aca="false">IF(N(M634)=0,"",IF(AA634="","Sin spec",IF(AND(Y634&gt;=AA634,OR(AB634="",Z634&gt;=AB634)),"CUMPLE","NO CUMPLE")&amp;IF(V634=""," (est.)","")))</f>
        <v/>
      </c>
      <c r="AD634" s="20" t="str">
        <f aca="false">IF(F634="","",IF(COUNTIFS(ABSORCION!$C$5:$C$1004,F634,ABSORCION!$I$5:$I$1004,"&gt;0")=0,"",AVERAGEIFS(ABSORCION!$I$5:$I$1004,ABSORCION!$C$5:$C$1004,F634,ABSORCION!$I$5:$I$1004,"&gt;0")))</f>
        <v/>
      </c>
      <c r="AE634" s="20" t="str">
        <f aca="false">IF(F634="","",IF(COUNTIFS(ABSORCION!$C$5:$C$1004,F634,ABSORCION!$I$5:$I$1004,"&gt;0")=0,"",AVERAGEIFS(ABSORCION!$K$5:$K$1004,ABSORCION!$C$5:$C$1004,F634,ABSORCION!$I$5:$I$1004,"&gt;0")))</f>
        <v/>
      </c>
      <c r="AF634" s="20" t="str">
        <f aca="false">IF(AE634="","",IF(AE634&gt;=CONFIG!$E$21,CONFIG!$F$21,IF(AE634&gt;=CONFIG!$E$20,CONFIG!$F$20,CONFIG!$F$19)))</f>
        <v/>
      </c>
      <c r="AG634" s="21" t="str">
        <f aca="false">IF(F634="","",TRIM(IF(N(M634)=0,"Sin ensayos. ","")&amp;IF(AND(N(M634)&gt;0,N(M634)&lt;CONFIG!$B$26),"Menos de "&amp;CONFIG!$B$26&amp;" probetas. ","")&amp;IF(N(T634)&gt;CONFIG!$B$25,"CV alto. ","")&amp;IF(AND(N(AD634)&gt;0,N(AD634)&gt;N(AF634)),"Absorción alta. ","")))</f>
        <v/>
      </c>
      <c r="AH634" s="22" t="str">
        <f aca="false">IF(AND(N(M634)&gt;0,OR(CONTROL!$C$4="TODAS",C634=CONTROL!$C$4),D634=CONTROL!$C$5),MAX($AH$4:AH633)+1,"")</f>
        <v/>
      </c>
      <c r="AI634" s="22" t="str">
        <f aca="false">IF(AH634="","",P634^2)</f>
        <v/>
      </c>
    </row>
    <row r="635" customFormat="false" ht="15" hidden="false" customHeight="false" outlineLevel="0" collapsed="false">
      <c r="A635" s="11" t="str">
        <f aca="false">IF(B635="","",ROW()-4)</f>
        <v/>
      </c>
      <c r="B635" s="12"/>
      <c r="C635" s="13"/>
      <c r="D635" s="13"/>
      <c r="E635" s="13"/>
      <c r="F635" s="14" t="str">
        <f aca="false">IF(OR(B635="",C635="",D635=""),"",IFERROR(INDEX(CONFIG!$E$5:$E$14,MATCH(D635,CONFIG!$D$5:$D$14,0)),"?")&amp;RIGHT("0"&amp;DAY(B635),2)&amp;RIGHT("0"&amp;MONTH(B635),2)&amp;RIGHT(YEAR(B635),2)&amp;C635&amp;IF(E635="","","-"&amp;E635))</f>
        <v/>
      </c>
      <c r="G635" s="13"/>
      <c r="H635" s="13"/>
      <c r="I635" s="13"/>
      <c r="J635" s="13"/>
      <c r="K635" s="13"/>
      <c r="L635" s="13"/>
      <c r="M635" s="11" t="str">
        <f aca="false">IF(F635="","",COUNTIFS(ENSAYOS!$C$5:$C$3004,F635,ENSAYOS!$Q$5:$Q$3004,"&gt;0"))</f>
        <v/>
      </c>
      <c r="N635" s="15" t="str">
        <f aca="false">IF(N(M635)=0,"",_xlfn.MINIFS(ENSAYOS!$G$5:$G$3004,ENSAYOS!$C$5:$C$3004,F635,ENSAYOS!$Q$5:$Q$3004,"&gt;0"))</f>
        <v/>
      </c>
      <c r="O635" s="15" t="str">
        <f aca="false">IF(N(M635)=0,"",_xlfn.MAXIFS(ENSAYOS!$G$5:$G$3004,ENSAYOS!$C$5:$C$3004,F635,ENSAYOS!$Q$5:$Q$3004,"&gt;0"))</f>
        <v/>
      </c>
      <c r="P635" s="16" t="str">
        <f aca="false">IF(N(M635)=0,"",AVERAGEIFS(ENSAYOS!$Q$5:$Q$3004,ENSAYOS!$C$5:$C$3004,F635,ENSAYOS!$Q$5:$Q$3004,"&gt;0"))</f>
        <v/>
      </c>
      <c r="Q635" s="16" t="str">
        <f aca="false">IF(N(M635)=0,"",_xlfn.MINIFS(ENSAYOS!$Q$5:$Q$3004,ENSAYOS!$C$5:$C$3004,F635,ENSAYOS!$Q$5:$Q$3004,"&gt;0"))</f>
        <v/>
      </c>
      <c r="R635" s="16" t="str">
        <f aca="false">IF(N(M635)=0,"",_xlfn.MAXIFS(ENSAYOS!$Q$5:$Q$3004,ENSAYOS!$C$5:$C$3004,F635,ENSAYOS!$Q$5:$Q$3004,"&gt;0"))</f>
        <v/>
      </c>
      <c r="S635" s="16" t="str">
        <f aca="false">IF(N(M635)&lt;2,"",SQRT(MAX(0,(SUMIFS(ENSAYOS!$X$5:$X$3004,ENSAYOS!$C$5:$C$3004,F635,ENSAYOS!$Q$5:$Q$3004,"&gt;0")-M635*P635^2)/(M635-1))))</f>
        <v/>
      </c>
      <c r="T635" s="17" t="str">
        <f aca="false">IF(S635="","",S635/P635)</f>
        <v/>
      </c>
      <c r="U635" s="16" t="str">
        <f aca="false">IF(N(M635)=0,"",IF(N635&gt;=CONFIG!$B$27,"",AVERAGEIFS(ENSAYOS!$Q$5:$Q$3004,ENSAYOS!$C$5:$C$3004,F635,ENSAYOS!$Q$5:$Q$3004,"&gt;0",ENSAYOS!$G$5:$G$3004,N635)))</f>
        <v/>
      </c>
      <c r="V635" s="16" t="str">
        <f aca="false">IF(N(M635)=0,"",IF(COUNTIFS(ENSAYOS!$C$5:$C$3004,F635,ENSAYOS!$Q$5:$Q$3004,"&gt;0",ENSAYOS!$G$5:$G$3004,"&gt;="&amp;CONFIG!$B$27)=0,"",AVERAGEIFS(ENSAYOS!$Q$5:$Q$3004,ENSAYOS!$C$5:$C$3004,F635,ENSAYOS!$Q$5:$Q$3004,"&gt;0",ENSAYOS!$G$5:$G$3004,"&gt;="&amp;CONFIG!$B$27)))</f>
        <v/>
      </c>
      <c r="W635" s="18" t="str">
        <f aca="false">IF(AND(U635&lt;&gt;"",V635&lt;&gt;""),U635/V635,"")</f>
        <v/>
      </c>
      <c r="X635" s="18" t="str">
        <f aca="false">IF(U635="","",INDEX('CURVA EDAD'!$E$5:$E$32,MIN(28,MAX(1,N635))))</f>
        <v/>
      </c>
      <c r="Y635" s="16" t="str">
        <f aca="false">IF(V635&lt;&gt;"",V635,IF(U635="","",U635/X635))</f>
        <v/>
      </c>
      <c r="Z635" s="16" t="str">
        <f aca="false">IF(V635&lt;&gt;"",_xlfn.MINIFS(ENSAYOS!$Q$5:$Q$3004,ENSAYOS!$C$5:$C$3004,F635,ENSAYOS!$Q$5:$Q$3004,"&gt;0",ENSAYOS!$G$5:$G$3004,"&gt;="&amp;CONFIG!$B$27),IF(U635="","",_xlfn.MINIFS(ENSAYOS!$Q$5:$Q$3004,ENSAYOS!$C$5:$C$3004,F635,ENSAYOS!$Q$5:$Q$3004,"&gt;0",ENSAYOS!$G$5:$G$3004,N635)/X635))</f>
        <v/>
      </c>
      <c r="AA635" s="16" t="str">
        <f aca="false">IF(D635="","",IFERROR(1/(1/INDEX(CONFIG!$J$5:$J$14,MATCH(D635,CONFIG!$D$5:$D$14,0))),""))</f>
        <v/>
      </c>
      <c r="AB635" s="16" t="str">
        <f aca="false">IF(D635="","",IFERROR(1/(1/INDEX(CONFIG!$K$5:$K$14,MATCH(D635,CONFIG!$D$5:$D$14,0))),""))</f>
        <v/>
      </c>
      <c r="AC635" s="19" t="str">
        <f aca="false">IF(N(M635)=0,"",IF(AA635="","Sin spec",IF(AND(Y635&gt;=AA635,OR(AB635="",Z635&gt;=AB635)),"CUMPLE","NO CUMPLE")&amp;IF(V635=""," (est.)","")))</f>
        <v/>
      </c>
      <c r="AD635" s="20" t="str">
        <f aca="false">IF(F635="","",IF(COUNTIFS(ABSORCION!$C$5:$C$1004,F635,ABSORCION!$I$5:$I$1004,"&gt;0")=0,"",AVERAGEIFS(ABSORCION!$I$5:$I$1004,ABSORCION!$C$5:$C$1004,F635,ABSORCION!$I$5:$I$1004,"&gt;0")))</f>
        <v/>
      </c>
      <c r="AE635" s="20" t="str">
        <f aca="false">IF(F635="","",IF(COUNTIFS(ABSORCION!$C$5:$C$1004,F635,ABSORCION!$I$5:$I$1004,"&gt;0")=0,"",AVERAGEIFS(ABSORCION!$K$5:$K$1004,ABSORCION!$C$5:$C$1004,F635,ABSORCION!$I$5:$I$1004,"&gt;0")))</f>
        <v/>
      </c>
      <c r="AF635" s="20" t="str">
        <f aca="false">IF(AE635="","",IF(AE635&gt;=CONFIG!$E$21,CONFIG!$F$21,IF(AE635&gt;=CONFIG!$E$20,CONFIG!$F$20,CONFIG!$F$19)))</f>
        <v/>
      </c>
      <c r="AG635" s="21" t="str">
        <f aca="false">IF(F635="","",TRIM(IF(N(M635)=0,"Sin ensayos. ","")&amp;IF(AND(N(M635)&gt;0,N(M635)&lt;CONFIG!$B$26),"Menos de "&amp;CONFIG!$B$26&amp;" probetas. ","")&amp;IF(N(T635)&gt;CONFIG!$B$25,"CV alto. ","")&amp;IF(AND(N(AD635)&gt;0,N(AD635)&gt;N(AF635)),"Absorción alta. ","")))</f>
        <v/>
      </c>
      <c r="AH635" s="22" t="str">
        <f aca="false">IF(AND(N(M635)&gt;0,OR(CONTROL!$C$4="TODAS",C635=CONTROL!$C$4),D635=CONTROL!$C$5),MAX($AH$4:AH634)+1,"")</f>
        <v/>
      </c>
      <c r="AI635" s="22" t="str">
        <f aca="false">IF(AH635="","",P635^2)</f>
        <v/>
      </c>
    </row>
    <row r="636" customFormat="false" ht="15" hidden="false" customHeight="false" outlineLevel="0" collapsed="false">
      <c r="A636" s="11" t="str">
        <f aca="false">IF(B636="","",ROW()-4)</f>
        <v/>
      </c>
      <c r="B636" s="12"/>
      <c r="C636" s="13"/>
      <c r="D636" s="13"/>
      <c r="E636" s="13"/>
      <c r="F636" s="14" t="str">
        <f aca="false">IF(OR(B636="",C636="",D636=""),"",IFERROR(INDEX(CONFIG!$E$5:$E$14,MATCH(D636,CONFIG!$D$5:$D$14,0)),"?")&amp;RIGHT("0"&amp;DAY(B636),2)&amp;RIGHT("0"&amp;MONTH(B636),2)&amp;RIGHT(YEAR(B636),2)&amp;C636&amp;IF(E636="","","-"&amp;E636))</f>
        <v/>
      </c>
      <c r="G636" s="13"/>
      <c r="H636" s="13"/>
      <c r="I636" s="13"/>
      <c r="J636" s="13"/>
      <c r="K636" s="13"/>
      <c r="L636" s="13"/>
      <c r="M636" s="11" t="str">
        <f aca="false">IF(F636="","",COUNTIFS(ENSAYOS!$C$5:$C$3004,F636,ENSAYOS!$Q$5:$Q$3004,"&gt;0"))</f>
        <v/>
      </c>
      <c r="N636" s="15" t="str">
        <f aca="false">IF(N(M636)=0,"",_xlfn.MINIFS(ENSAYOS!$G$5:$G$3004,ENSAYOS!$C$5:$C$3004,F636,ENSAYOS!$Q$5:$Q$3004,"&gt;0"))</f>
        <v/>
      </c>
      <c r="O636" s="15" t="str">
        <f aca="false">IF(N(M636)=0,"",_xlfn.MAXIFS(ENSAYOS!$G$5:$G$3004,ENSAYOS!$C$5:$C$3004,F636,ENSAYOS!$Q$5:$Q$3004,"&gt;0"))</f>
        <v/>
      </c>
      <c r="P636" s="16" t="str">
        <f aca="false">IF(N(M636)=0,"",AVERAGEIFS(ENSAYOS!$Q$5:$Q$3004,ENSAYOS!$C$5:$C$3004,F636,ENSAYOS!$Q$5:$Q$3004,"&gt;0"))</f>
        <v/>
      </c>
      <c r="Q636" s="16" t="str">
        <f aca="false">IF(N(M636)=0,"",_xlfn.MINIFS(ENSAYOS!$Q$5:$Q$3004,ENSAYOS!$C$5:$C$3004,F636,ENSAYOS!$Q$5:$Q$3004,"&gt;0"))</f>
        <v/>
      </c>
      <c r="R636" s="16" t="str">
        <f aca="false">IF(N(M636)=0,"",_xlfn.MAXIFS(ENSAYOS!$Q$5:$Q$3004,ENSAYOS!$C$5:$C$3004,F636,ENSAYOS!$Q$5:$Q$3004,"&gt;0"))</f>
        <v/>
      </c>
      <c r="S636" s="16" t="str">
        <f aca="false">IF(N(M636)&lt;2,"",SQRT(MAX(0,(SUMIFS(ENSAYOS!$X$5:$X$3004,ENSAYOS!$C$5:$C$3004,F636,ENSAYOS!$Q$5:$Q$3004,"&gt;0")-M636*P636^2)/(M636-1))))</f>
        <v/>
      </c>
      <c r="T636" s="17" t="str">
        <f aca="false">IF(S636="","",S636/P636)</f>
        <v/>
      </c>
      <c r="U636" s="16" t="str">
        <f aca="false">IF(N(M636)=0,"",IF(N636&gt;=CONFIG!$B$27,"",AVERAGEIFS(ENSAYOS!$Q$5:$Q$3004,ENSAYOS!$C$5:$C$3004,F636,ENSAYOS!$Q$5:$Q$3004,"&gt;0",ENSAYOS!$G$5:$G$3004,N636)))</f>
        <v/>
      </c>
      <c r="V636" s="16" t="str">
        <f aca="false">IF(N(M636)=0,"",IF(COUNTIFS(ENSAYOS!$C$5:$C$3004,F636,ENSAYOS!$Q$5:$Q$3004,"&gt;0",ENSAYOS!$G$5:$G$3004,"&gt;="&amp;CONFIG!$B$27)=0,"",AVERAGEIFS(ENSAYOS!$Q$5:$Q$3004,ENSAYOS!$C$5:$C$3004,F636,ENSAYOS!$Q$5:$Q$3004,"&gt;0",ENSAYOS!$G$5:$G$3004,"&gt;="&amp;CONFIG!$B$27)))</f>
        <v/>
      </c>
      <c r="W636" s="18" t="str">
        <f aca="false">IF(AND(U636&lt;&gt;"",V636&lt;&gt;""),U636/V636,"")</f>
        <v/>
      </c>
      <c r="X636" s="18" t="str">
        <f aca="false">IF(U636="","",INDEX('CURVA EDAD'!$E$5:$E$32,MIN(28,MAX(1,N636))))</f>
        <v/>
      </c>
      <c r="Y636" s="16" t="str">
        <f aca="false">IF(V636&lt;&gt;"",V636,IF(U636="","",U636/X636))</f>
        <v/>
      </c>
      <c r="Z636" s="16" t="str">
        <f aca="false">IF(V636&lt;&gt;"",_xlfn.MINIFS(ENSAYOS!$Q$5:$Q$3004,ENSAYOS!$C$5:$C$3004,F636,ENSAYOS!$Q$5:$Q$3004,"&gt;0",ENSAYOS!$G$5:$G$3004,"&gt;="&amp;CONFIG!$B$27),IF(U636="","",_xlfn.MINIFS(ENSAYOS!$Q$5:$Q$3004,ENSAYOS!$C$5:$C$3004,F636,ENSAYOS!$Q$5:$Q$3004,"&gt;0",ENSAYOS!$G$5:$G$3004,N636)/X636))</f>
        <v/>
      </c>
      <c r="AA636" s="16" t="str">
        <f aca="false">IF(D636="","",IFERROR(1/(1/INDEX(CONFIG!$J$5:$J$14,MATCH(D636,CONFIG!$D$5:$D$14,0))),""))</f>
        <v/>
      </c>
      <c r="AB636" s="16" t="str">
        <f aca="false">IF(D636="","",IFERROR(1/(1/INDEX(CONFIG!$K$5:$K$14,MATCH(D636,CONFIG!$D$5:$D$14,0))),""))</f>
        <v/>
      </c>
      <c r="AC636" s="19" t="str">
        <f aca="false">IF(N(M636)=0,"",IF(AA636="","Sin spec",IF(AND(Y636&gt;=AA636,OR(AB636="",Z636&gt;=AB636)),"CUMPLE","NO CUMPLE")&amp;IF(V636=""," (est.)","")))</f>
        <v/>
      </c>
      <c r="AD636" s="20" t="str">
        <f aca="false">IF(F636="","",IF(COUNTIFS(ABSORCION!$C$5:$C$1004,F636,ABSORCION!$I$5:$I$1004,"&gt;0")=0,"",AVERAGEIFS(ABSORCION!$I$5:$I$1004,ABSORCION!$C$5:$C$1004,F636,ABSORCION!$I$5:$I$1004,"&gt;0")))</f>
        <v/>
      </c>
      <c r="AE636" s="20" t="str">
        <f aca="false">IF(F636="","",IF(COUNTIFS(ABSORCION!$C$5:$C$1004,F636,ABSORCION!$I$5:$I$1004,"&gt;0")=0,"",AVERAGEIFS(ABSORCION!$K$5:$K$1004,ABSORCION!$C$5:$C$1004,F636,ABSORCION!$I$5:$I$1004,"&gt;0")))</f>
        <v/>
      </c>
      <c r="AF636" s="20" t="str">
        <f aca="false">IF(AE636="","",IF(AE636&gt;=CONFIG!$E$21,CONFIG!$F$21,IF(AE636&gt;=CONFIG!$E$20,CONFIG!$F$20,CONFIG!$F$19)))</f>
        <v/>
      </c>
      <c r="AG636" s="21" t="str">
        <f aca="false">IF(F636="","",TRIM(IF(N(M636)=0,"Sin ensayos. ","")&amp;IF(AND(N(M636)&gt;0,N(M636)&lt;CONFIG!$B$26),"Menos de "&amp;CONFIG!$B$26&amp;" probetas. ","")&amp;IF(N(T636)&gt;CONFIG!$B$25,"CV alto. ","")&amp;IF(AND(N(AD636)&gt;0,N(AD636)&gt;N(AF636)),"Absorción alta. ","")))</f>
        <v/>
      </c>
      <c r="AH636" s="22" t="str">
        <f aca="false">IF(AND(N(M636)&gt;0,OR(CONTROL!$C$4="TODAS",C636=CONTROL!$C$4),D636=CONTROL!$C$5),MAX($AH$4:AH635)+1,"")</f>
        <v/>
      </c>
      <c r="AI636" s="22" t="str">
        <f aca="false">IF(AH636="","",P636^2)</f>
        <v/>
      </c>
    </row>
    <row r="637" customFormat="false" ht="15" hidden="false" customHeight="false" outlineLevel="0" collapsed="false">
      <c r="A637" s="11" t="str">
        <f aca="false">IF(B637="","",ROW()-4)</f>
        <v/>
      </c>
      <c r="B637" s="12"/>
      <c r="C637" s="13"/>
      <c r="D637" s="13"/>
      <c r="E637" s="13"/>
      <c r="F637" s="14" t="str">
        <f aca="false">IF(OR(B637="",C637="",D637=""),"",IFERROR(INDEX(CONFIG!$E$5:$E$14,MATCH(D637,CONFIG!$D$5:$D$14,0)),"?")&amp;RIGHT("0"&amp;DAY(B637),2)&amp;RIGHT("0"&amp;MONTH(B637),2)&amp;RIGHT(YEAR(B637),2)&amp;C637&amp;IF(E637="","","-"&amp;E637))</f>
        <v/>
      </c>
      <c r="G637" s="13"/>
      <c r="H637" s="13"/>
      <c r="I637" s="13"/>
      <c r="J637" s="13"/>
      <c r="K637" s="13"/>
      <c r="L637" s="13"/>
      <c r="M637" s="11" t="str">
        <f aca="false">IF(F637="","",COUNTIFS(ENSAYOS!$C$5:$C$3004,F637,ENSAYOS!$Q$5:$Q$3004,"&gt;0"))</f>
        <v/>
      </c>
      <c r="N637" s="15" t="str">
        <f aca="false">IF(N(M637)=0,"",_xlfn.MINIFS(ENSAYOS!$G$5:$G$3004,ENSAYOS!$C$5:$C$3004,F637,ENSAYOS!$Q$5:$Q$3004,"&gt;0"))</f>
        <v/>
      </c>
      <c r="O637" s="15" t="str">
        <f aca="false">IF(N(M637)=0,"",_xlfn.MAXIFS(ENSAYOS!$G$5:$G$3004,ENSAYOS!$C$5:$C$3004,F637,ENSAYOS!$Q$5:$Q$3004,"&gt;0"))</f>
        <v/>
      </c>
      <c r="P637" s="16" t="str">
        <f aca="false">IF(N(M637)=0,"",AVERAGEIFS(ENSAYOS!$Q$5:$Q$3004,ENSAYOS!$C$5:$C$3004,F637,ENSAYOS!$Q$5:$Q$3004,"&gt;0"))</f>
        <v/>
      </c>
      <c r="Q637" s="16" t="str">
        <f aca="false">IF(N(M637)=0,"",_xlfn.MINIFS(ENSAYOS!$Q$5:$Q$3004,ENSAYOS!$C$5:$C$3004,F637,ENSAYOS!$Q$5:$Q$3004,"&gt;0"))</f>
        <v/>
      </c>
      <c r="R637" s="16" t="str">
        <f aca="false">IF(N(M637)=0,"",_xlfn.MAXIFS(ENSAYOS!$Q$5:$Q$3004,ENSAYOS!$C$5:$C$3004,F637,ENSAYOS!$Q$5:$Q$3004,"&gt;0"))</f>
        <v/>
      </c>
      <c r="S637" s="16" t="str">
        <f aca="false">IF(N(M637)&lt;2,"",SQRT(MAX(0,(SUMIFS(ENSAYOS!$X$5:$X$3004,ENSAYOS!$C$5:$C$3004,F637,ENSAYOS!$Q$5:$Q$3004,"&gt;0")-M637*P637^2)/(M637-1))))</f>
        <v/>
      </c>
      <c r="T637" s="17" t="str">
        <f aca="false">IF(S637="","",S637/P637)</f>
        <v/>
      </c>
      <c r="U637" s="16" t="str">
        <f aca="false">IF(N(M637)=0,"",IF(N637&gt;=CONFIG!$B$27,"",AVERAGEIFS(ENSAYOS!$Q$5:$Q$3004,ENSAYOS!$C$5:$C$3004,F637,ENSAYOS!$Q$5:$Q$3004,"&gt;0",ENSAYOS!$G$5:$G$3004,N637)))</f>
        <v/>
      </c>
      <c r="V637" s="16" t="str">
        <f aca="false">IF(N(M637)=0,"",IF(COUNTIFS(ENSAYOS!$C$5:$C$3004,F637,ENSAYOS!$Q$5:$Q$3004,"&gt;0",ENSAYOS!$G$5:$G$3004,"&gt;="&amp;CONFIG!$B$27)=0,"",AVERAGEIFS(ENSAYOS!$Q$5:$Q$3004,ENSAYOS!$C$5:$C$3004,F637,ENSAYOS!$Q$5:$Q$3004,"&gt;0",ENSAYOS!$G$5:$G$3004,"&gt;="&amp;CONFIG!$B$27)))</f>
        <v/>
      </c>
      <c r="W637" s="18" t="str">
        <f aca="false">IF(AND(U637&lt;&gt;"",V637&lt;&gt;""),U637/V637,"")</f>
        <v/>
      </c>
      <c r="X637" s="18" t="str">
        <f aca="false">IF(U637="","",INDEX('CURVA EDAD'!$E$5:$E$32,MIN(28,MAX(1,N637))))</f>
        <v/>
      </c>
      <c r="Y637" s="16" t="str">
        <f aca="false">IF(V637&lt;&gt;"",V637,IF(U637="","",U637/X637))</f>
        <v/>
      </c>
      <c r="Z637" s="16" t="str">
        <f aca="false">IF(V637&lt;&gt;"",_xlfn.MINIFS(ENSAYOS!$Q$5:$Q$3004,ENSAYOS!$C$5:$C$3004,F637,ENSAYOS!$Q$5:$Q$3004,"&gt;0",ENSAYOS!$G$5:$G$3004,"&gt;="&amp;CONFIG!$B$27),IF(U637="","",_xlfn.MINIFS(ENSAYOS!$Q$5:$Q$3004,ENSAYOS!$C$5:$C$3004,F637,ENSAYOS!$Q$5:$Q$3004,"&gt;0",ENSAYOS!$G$5:$G$3004,N637)/X637))</f>
        <v/>
      </c>
      <c r="AA637" s="16" t="str">
        <f aca="false">IF(D637="","",IFERROR(1/(1/INDEX(CONFIG!$J$5:$J$14,MATCH(D637,CONFIG!$D$5:$D$14,0))),""))</f>
        <v/>
      </c>
      <c r="AB637" s="16" t="str">
        <f aca="false">IF(D637="","",IFERROR(1/(1/INDEX(CONFIG!$K$5:$K$14,MATCH(D637,CONFIG!$D$5:$D$14,0))),""))</f>
        <v/>
      </c>
      <c r="AC637" s="19" t="str">
        <f aca="false">IF(N(M637)=0,"",IF(AA637="","Sin spec",IF(AND(Y637&gt;=AA637,OR(AB637="",Z637&gt;=AB637)),"CUMPLE","NO CUMPLE")&amp;IF(V637=""," (est.)","")))</f>
        <v/>
      </c>
      <c r="AD637" s="20" t="str">
        <f aca="false">IF(F637="","",IF(COUNTIFS(ABSORCION!$C$5:$C$1004,F637,ABSORCION!$I$5:$I$1004,"&gt;0")=0,"",AVERAGEIFS(ABSORCION!$I$5:$I$1004,ABSORCION!$C$5:$C$1004,F637,ABSORCION!$I$5:$I$1004,"&gt;0")))</f>
        <v/>
      </c>
      <c r="AE637" s="20" t="str">
        <f aca="false">IF(F637="","",IF(COUNTIFS(ABSORCION!$C$5:$C$1004,F637,ABSORCION!$I$5:$I$1004,"&gt;0")=0,"",AVERAGEIFS(ABSORCION!$K$5:$K$1004,ABSORCION!$C$5:$C$1004,F637,ABSORCION!$I$5:$I$1004,"&gt;0")))</f>
        <v/>
      </c>
      <c r="AF637" s="20" t="str">
        <f aca="false">IF(AE637="","",IF(AE637&gt;=CONFIG!$E$21,CONFIG!$F$21,IF(AE637&gt;=CONFIG!$E$20,CONFIG!$F$20,CONFIG!$F$19)))</f>
        <v/>
      </c>
      <c r="AG637" s="21" t="str">
        <f aca="false">IF(F637="","",TRIM(IF(N(M637)=0,"Sin ensayos. ","")&amp;IF(AND(N(M637)&gt;0,N(M637)&lt;CONFIG!$B$26),"Menos de "&amp;CONFIG!$B$26&amp;" probetas. ","")&amp;IF(N(T637)&gt;CONFIG!$B$25,"CV alto. ","")&amp;IF(AND(N(AD637)&gt;0,N(AD637)&gt;N(AF637)),"Absorción alta. ","")))</f>
        <v/>
      </c>
      <c r="AH637" s="22" t="str">
        <f aca="false">IF(AND(N(M637)&gt;0,OR(CONTROL!$C$4="TODAS",C637=CONTROL!$C$4),D637=CONTROL!$C$5),MAX($AH$4:AH636)+1,"")</f>
        <v/>
      </c>
      <c r="AI637" s="22" t="str">
        <f aca="false">IF(AH637="","",P637^2)</f>
        <v/>
      </c>
    </row>
    <row r="638" customFormat="false" ht="15" hidden="false" customHeight="false" outlineLevel="0" collapsed="false">
      <c r="A638" s="11" t="str">
        <f aca="false">IF(B638="","",ROW()-4)</f>
        <v/>
      </c>
      <c r="B638" s="12"/>
      <c r="C638" s="13"/>
      <c r="D638" s="13"/>
      <c r="E638" s="13"/>
      <c r="F638" s="14" t="str">
        <f aca="false">IF(OR(B638="",C638="",D638=""),"",IFERROR(INDEX(CONFIG!$E$5:$E$14,MATCH(D638,CONFIG!$D$5:$D$14,0)),"?")&amp;RIGHT("0"&amp;DAY(B638),2)&amp;RIGHT("0"&amp;MONTH(B638),2)&amp;RIGHT(YEAR(B638),2)&amp;C638&amp;IF(E638="","","-"&amp;E638))</f>
        <v/>
      </c>
      <c r="G638" s="13"/>
      <c r="H638" s="13"/>
      <c r="I638" s="13"/>
      <c r="J638" s="13"/>
      <c r="K638" s="13"/>
      <c r="L638" s="13"/>
      <c r="M638" s="11" t="str">
        <f aca="false">IF(F638="","",COUNTIFS(ENSAYOS!$C$5:$C$3004,F638,ENSAYOS!$Q$5:$Q$3004,"&gt;0"))</f>
        <v/>
      </c>
      <c r="N638" s="15" t="str">
        <f aca="false">IF(N(M638)=0,"",_xlfn.MINIFS(ENSAYOS!$G$5:$G$3004,ENSAYOS!$C$5:$C$3004,F638,ENSAYOS!$Q$5:$Q$3004,"&gt;0"))</f>
        <v/>
      </c>
      <c r="O638" s="15" t="str">
        <f aca="false">IF(N(M638)=0,"",_xlfn.MAXIFS(ENSAYOS!$G$5:$G$3004,ENSAYOS!$C$5:$C$3004,F638,ENSAYOS!$Q$5:$Q$3004,"&gt;0"))</f>
        <v/>
      </c>
      <c r="P638" s="16" t="str">
        <f aca="false">IF(N(M638)=0,"",AVERAGEIFS(ENSAYOS!$Q$5:$Q$3004,ENSAYOS!$C$5:$C$3004,F638,ENSAYOS!$Q$5:$Q$3004,"&gt;0"))</f>
        <v/>
      </c>
      <c r="Q638" s="16" t="str">
        <f aca="false">IF(N(M638)=0,"",_xlfn.MINIFS(ENSAYOS!$Q$5:$Q$3004,ENSAYOS!$C$5:$C$3004,F638,ENSAYOS!$Q$5:$Q$3004,"&gt;0"))</f>
        <v/>
      </c>
      <c r="R638" s="16" t="str">
        <f aca="false">IF(N(M638)=0,"",_xlfn.MAXIFS(ENSAYOS!$Q$5:$Q$3004,ENSAYOS!$C$5:$C$3004,F638,ENSAYOS!$Q$5:$Q$3004,"&gt;0"))</f>
        <v/>
      </c>
      <c r="S638" s="16" t="str">
        <f aca="false">IF(N(M638)&lt;2,"",SQRT(MAX(0,(SUMIFS(ENSAYOS!$X$5:$X$3004,ENSAYOS!$C$5:$C$3004,F638,ENSAYOS!$Q$5:$Q$3004,"&gt;0")-M638*P638^2)/(M638-1))))</f>
        <v/>
      </c>
      <c r="T638" s="17" t="str">
        <f aca="false">IF(S638="","",S638/P638)</f>
        <v/>
      </c>
      <c r="U638" s="16" t="str">
        <f aca="false">IF(N(M638)=0,"",IF(N638&gt;=CONFIG!$B$27,"",AVERAGEIFS(ENSAYOS!$Q$5:$Q$3004,ENSAYOS!$C$5:$C$3004,F638,ENSAYOS!$Q$5:$Q$3004,"&gt;0",ENSAYOS!$G$5:$G$3004,N638)))</f>
        <v/>
      </c>
      <c r="V638" s="16" t="str">
        <f aca="false">IF(N(M638)=0,"",IF(COUNTIFS(ENSAYOS!$C$5:$C$3004,F638,ENSAYOS!$Q$5:$Q$3004,"&gt;0",ENSAYOS!$G$5:$G$3004,"&gt;="&amp;CONFIG!$B$27)=0,"",AVERAGEIFS(ENSAYOS!$Q$5:$Q$3004,ENSAYOS!$C$5:$C$3004,F638,ENSAYOS!$Q$5:$Q$3004,"&gt;0",ENSAYOS!$G$5:$G$3004,"&gt;="&amp;CONFIG!$B$27)))</f>
        <v/>
      </c>
      <c r="W638" s="18" t="str">
        <f aca="false">IF(AND(U638&lt;&gt;"",V638&lt;&gt;""),U638/V638,"")</f>
        <v/>
      </c>
      <c r="X638" s="18" t="str">
        <f aca="false">IF(U638="","",INDEX('CURVA EDAD'!$E$5:$E$32,MIN(28,MAX(1,N638))))</f>
        <v/>
      </c>
      <c r="Y638" s="16" t="str">
        <f aca="false">IF(V638&lt;&gt;"",V638,IF(U638="","",U638/X638))</f>
        <v/>
      </c>
      <c r="Z638" s="16" t="str">
        <f aca="false">IF(V638&lt;&gt;"",_xlfn.MINIFS(ENSAYOS!$Q$5:$Q$3004,ENSAYOS!$C$5:$C$3004,F638,ENSAYOS!$Q$5:$Q$3004,"&gt;0",ENSAYOS!$G$5:$G$3004,"&gt;="&amp;CONFIG!$B$27),IF(U638="","",_xlfn.MINIFS(ENSAYOS!$Q$5:$Q$3004,ENSAYOS!$C$5:$C$3004,F638,ENSAYOS!$Q$5:$Q$3004,"&gt;0",ENSAYOS!$G$5:$G$3004,N638)/X638))</f>
        <v/>
      </c>
      <c r="AA638" s="16" t="str">
        <f aca="false">IF(D638="","",IFERROR(1/(1/INDEX(CONFIG!$J$5:$J$14,MATCH(D638,CONFIG!$D$5:$D$14,0))),""))</f>
        <v/>
      </c>
      <c r="AB638" s="16" t="str">
        <f aca="false">IF(D638="","",IFERROR(1/(1/INDEX(CONFIG!$K$5:$K$14,MATCH(D638,CONFIG!$D$5:$D$14,0))),""))</f>
        <v/>
      </c>
      <c r="AC638" s="19" t="str">
        <f aca="false">IF(N(M638)=0,"",IF(AA638="","Sin spec",IF(AND(Y638&gt;=AA638,OR(AB638="",Z638&gt;=AB638)),"CUMPLE","NO CUMPLE")&amp;IF(V638=""," (est.)","")))</f>
        <v/>
      </c>
      <c r="AD638" s="20" t="str">
        <f aca="false">IF(F638="","",IF(COUNTIFS(ABSORCION!$C$5:$C$1004,F638,ABSORCION!$I$5:$I$1004,"&gt;0")=0,"",AVERAGEIFS(ABSORCION!$I$5:$I$1004,ABSORCION!$C$5:$C$1004,F638,ABSORCION!$I$5:$I$1004,"&gt;0")))</f>
        <v/>
      </c>
      <c r="AE638" s="20" t="str">
        <f aca="false">IF(F638="","",IF(COUNTIFS(ABSORCION!$C$5:$C$1004,F638,ABSORCION!$I$5:$I$1004,"&gt;0")=0,"",AVERAGEIFS(ABSORCION!$K$5:$K$1004,ABSORCION!$C$5:$C$1004,F638,ABSORCION!$I$5:$I$1004,"&gt;0")))</f>
        <v/>
      </c>
      <c r="AF638" s="20" t="str">
        <f aca="false">IF(AE638="","",IF(AE638&gt;=CONFIG!$E$21,CONFIG!$F$21,IF(AE638&gt;=CONFIG!$E$20,CONFIG!$F$20,CONFIG!$F$19)))</f>
        <v/>
      </c>
      <c r="AG638" s="21" t="str">
        <f aca="false">IF(F638="","",TRIM(IF(N(M638)=0,"Sin ensayos. ","")&amp;IF(AND(N(M638)&gt;0,N(M638)&lt;CONFIG!$B$26),"Menos de "&amp;CONFIG!$B$26&amp;" probetas. ","")&amp;IF(N(T638)&gt;CONFIG!$B$25,"CV alto. ","")&amp;IF(AND(N(AD638)&gt;0,N(AD638)&gt;N(AF638)),"Absorción alta. ","")))</f>
        <v/>
      </c>
      <c r="AH638" s="22" t="str">
        <f aca="false">IF(AND(N(M638)&gt;0,OR(CONTROL!$C$4="TODAS",C638=CONTROL!$C$4),D638=CONTROL!$C$5),MAX($AH$4:AH637)+1,"")</f>
        <v/>
      </c>
      <c r="AI638" s="22" t="str">
        <f aca="false">IF(AH638="","",P638^2)</f>
        <v/>
      </c>
    </row>
    <row r="639" customFormat="false" ht="15" hidden="false" customHeight="false" outlineLevel="0" collapsed="false">
      <c r="A639" s="11" t="str">
        <f aca="false">IF(B639="","",ROW()-4)</f>
        <v/>
      </c>
      <c r="B639" s="12"/>
      <c r="C639" s="13"/>
      <c r="D639" s="13"/>
      <c r="E639" s="13"/>
      <c r="F639" s="14" t="str">
        <f aca="false">IF(OR(B639="",C639="",D639=""),"",IFERROR(INDEX(CONFIG!$E$5:$E$14,MATCH(D639,CONFIG!$D$5:$D$14,0)),"?")&amp;RIGHT("0"&amp;DAY(B639),2)&amp;RIGHT("0"&amp;MONTH(B639),2)&amp;RIGHT(YEAR(B639),2)&amp;C639&amp;IF(E639="","","-"&amp;E639))</f>
        <v/>
      </c>
      <c r="G639" s="13"/>
      <c r="H639" s="13"/>
      <c r="I639" s="13"/>
      <c r="J639" s="13"/>
      <c r="K639" s="13"/>
      <c r="L639" s="13"/>
      <c r="M639" s="11" t="str">
        <f aca="false">IF(F639="","",COUNTIFS(ENSAYOS!$C$5:$C$3004,F639,ENSAYOS!$Q$5:$Q$3004,"&gt;0"))</f>
        <v/>
      </c>
      <c r="N639" s="15" t="str">
        <f aca="false">IF(N(M639)=0,"",_xlfn.MINIFS(ENSAYOS!$G$5:$G$3004,ENSAYOS!$C$5:$C$3004,F639,ENSAYOS!$Q$5:$Q$3004,"&gt;0"))</f>
        <v/>
      </c>
      <c r="O639" s="15" t="str">
        <f aca="false">IF(N(M639)=0,"",_xlfn.MAXIFS(ENSAYOS!$G$5:$G$3004,ENSAYOS!$C$5:$C$3004,F639,ENSAYOS!$Q$5:$Q$3004,"&gt;0"))</f>
        <v/>
      </c>
      <c r="P639" s="16" t="str">
        <f aca="false">IF(N(M639)=0,"",AVERAGEIFS(ENSAYOS!$Q$5:$Q$3004,ENSAYOS!$C$5:$C$3004,F639,ENSAYOS!$Q$5:$Q$3004,"&gt;0"))</f>
        <v/>
      </c>
      <c r="Q639" s="16" t="str">
        <f aca="false">IF(N(M639)=0,"",_xlfn.MINIFS(ENSAYOS!$Q$5:$Q$3004,ENSAYOS!$C$5:$C$3004,F639,ENSAYOS!$Q$5:$Q$3004,"&gt;0"))</f>
        <v/>
      </c>
      <c r="R639" s="16" t="str">
        <f aca="false">IF(N(M639)=0,"",_xlfn.MAXIFS(ENSAYOS!$Q$5:$Q$3004,ENSAYOS!$C$5:$C$3004,F639,ENSAYOS!$Q$5:$Q$3004,"&gt;0"))</f>
        <v/>
      </c>
      <c r="S639" s="16" t="str">
        <f aca="false">IF(N(M639)&lt;2,"",SQRT(MAX(0,(SUMIFS(ENSAYOS!$X$5:$X$3004,ENSAYOS!$C$5:$C$3004,F639,ENSAYOS!$Q$5:$Q$3004,"&gt;0")-M639*P639^2)/(M639-1))))</f>
        <v/>
      </c>
      <c r="T639" s="17" t="str">
        <f aca="false">IF(S639="","",S639/P639)</f>
        <v/>
      </c>
      <c r="U639" s="16" t="str">
        <f aca="false">IF(N(M639)=0,"",IF(N639&gt;=CONFIG!$B$27,"",AVERAGEIFS(ENSAYOS!$Q$5:$Q$3004,ENSAYOS!$C$5:$C$3004,F639,ENSAYOS!$Q$5:$Q$3004,"&gt;0",ENSAYOS!$G$5:$G$3004,N639)))</f>
        <v/>
      </c>
      <c r="V639" s="16" t="str">
        <f aca="false">IF(N(M639)=0,"",IF(COUNTIFS(ENSAYOS!$C$5:$C$3004,F639,ENSAYOS!$Q$5:$Q$3004,"&gt;0",ENSAYOS!$G$5:$G$3004,"&gt;="&amp;CONFIG!$B$27)=0,"",AVERAGEIFS(ENSAYOS!$Q$5:$Q$3004,ENSAYOS!$C$5:$C$3004,F639,ENSAYOS!$Q$5:$Q$3004,"&gt;0",ENSAYOS!$G$5:$G$3004,"&gt;="&amp;CONFIG!$B$27)))</f>
        <v/>
      </c>
      <c r="W639" s="18" t="str">
        <f aca="false">IF(AND(U639&lt;&gt;"",V639&lt;&gt;""),U639/V639,"")</f>
        <v/>
      </c>
      <c r="X639" s="18" t="str">
        <f aca="false">IF(U639="","",INDEX('CURVA EDAD'!$E$5:$E$32,MIN(28,MAX(1,N639))))</f>
        <v/>
      </c>
      <c r="Y639" s="16" t="str">
        <f aca="false">IF(V639&lt;&gt;"",V639,IF(U639="","",U639/X639))</f>
        <v/>
      </c>
      <c r="Z639" s="16" t="str">
        <f aca="false">IF(V639&lt;&gt;"",_xlfn.MINIFS(ENSAYOS!$Q$5:$Q$3004,ENSAYOS!$C$5:$C$3004,F639,ENSAYOS!$Q$5:$Q$3004,"&gt;0",ENSAYOS!$G$5:$G$3004,"&gt;="&amp;CONFIG!$B$27),IF(U639="","",_xlfn.MINIFS(ENSAYOS!$Q$5:$Q$3004,ENSAYOS!$C$5:$C$3004,F639,ENSAYOS!$Q$5:$Q$3004,"&gt;0",ENSAYOS!$G$5:$G$3004,N639)/X639))</f>
        <v/>
      </c>
      <c r="AA639" s="16" t="str">
        <f aca="false">IF(D639="","",IFERROR(1/(1/INDEX(CONFIG!$J$5:$J$14,MATCH(D639,CONFIG!$D$5:$D$14,0))),""))</f>
        <v/>
      </c>
      <c r="AB639" s="16" t="str">
        <f aca="false">IF(D639="","",IFERROR(1/(1/INDEX(CONFIG!$K$5:$K$14,MATCH(D639,CONFIG!$D$5:$D$14,0))),""))</f>
        <v/>
      </c>
      <c r="AC639" s="19" t="str">
        <f aca="false">IF(N(M639)=0,"",IF(AA639="","Sin spec",IF(AND(Y639&gt;=AA639,OR(AB639="",Z639&gt;=AB639)),"CUMPLE","NO CUMPLE")&amp;IF(V639=""," (est.)","")))</f>
        <v/>
      </c>
      <c r="AD639" s="20" t="str">
        <f aca="false">IF(F639="","",IF(COUNTIFS(ABSORCION!$C$5:$C$1004,F639,ABSORCION!$I$5:$I$1004,"&gt;0")=0,"",AVERAGEIFS(ABSORCION!$I$5:$I$1004,ABSORCION!$C$5:$C$1004,F639,ABSORCION!$I$5:$I$1004,"&gt;0")))</f>
        <v/>
      </c>
      <c r="AE639" s="20" t="str">
        <f aca="false">IF(F639="","",IF(COUNTIFS(ABSORCION!$C$5:$C$1004,F639,ABSORCION!$I$5:$I$1004,"&gt;0")=0,"",AVERAGEIFS(ABSORCION!$K$5:$K$1004,ABSORCION!$C$5:$C$1004,F639,ABSORCION!$I$5:$I$1004,"&gt;0")))</f>
        <v/>
      </c>
      <c r="AF639" s="20" t="str">
        <f aca="false">IF(AE639="","",IF(AE639&gt;=CONFIG!$E$21,CONFIG!$F$21,IF(AE639&gt;=CONFIG!$E$20,CONFIG!$F$20,CONFIG!$F$19)))</f>
        <v/>
      </c>
      <c r="AG639" s="21" t="str">
        <f aca="false">IF(F639="","",TRIM(IF(N(M639)=0,"Sin ensayos. ","")&amp;IF(AND(N(M639)&gt;0,N(M639)&lt;CONFIG!$B$26),"Menos de "&amp;CONFIG!$B$26&amp;" probetas. ","")&amp;IF(N(T639)&gt;CONFIG!$B$25,"CV alto. ","")&amp;IF(AND(N(AD639)&gt;0,N(AD639)&gt;N(AF639)),"Absorción alta. ","")))</f>
        <v/>
      </c>
      <c r="AH639" s="22" t="str">
        <f aca="false">IF(AND(N(M639)&gt;0,OR(CONTROL!$C$4="TODAS",C639=CONTROL!$C$4),D639=CONTROL!$C$5),MAX($AH$4:AH638)+1,"")</f>
        <v/>
      </c>
      <c r="AI639" s="22" t="str">
        <f aca="false">IF(AH639="","",P639^2)</f>
        <v/>
      </c>
    </row>
    <row r="640" customFormat="false" ht="15" hidden="false" customHeight="false" outlineLevel="0" collapsed="false">
      <c r="A640" s="11" t="str">
        <f aca="false">IF(B640="","",ROW()-4)</f>
        <v/>
      </c>
      <c r="B640" s="12"/>
      <c r="C640" s="13"/>
      <c r="D640" s="13"/>
      <c r="E640" s="13"/>
      <c r="F640" s="14" t="str">
        <f aca="false">IF(OR(B640="",C640="",D640=""),"",IFERROR(INDEX(CONFIG!$E$5:$E$14,MATCH(D640,CONFIG!$D$5:$D$14,0)),"?")&amp;RIGHT("0"&amp;DAY(B640),2)&amp;RIGHT("0"&amp;MONTH(B640),2)&amp;RIGHT(YEAR(B640),2)&amp;C640&amp;IF(E640="","","-"&amp;E640))</f>
        <v/>
      </c>
      <c r="G640" s="13"/>
      <c r="H640" s="13"/>
      <c r="I640" s="13"/>
      <c r="J640" s="13"/>
      <c r="K640" s="13"/>
      <c r="L640" s="13"/>
      <c r="M640" s="11" t="str">
        <f aca="false">IF(F640="","",COUNTIFS(ENSAYOS!$C$5:$C$3004,F640,ENSAYOS!$Q$5:$Q$3004,"&gt;0"))</f>
        <v/>
      </c>
      <c r="N640" s="15" t="str">
        <f aca="false">IF(N(M640)=0,"",_xlfn.MINIFS(ENSAYOS!$G$5:$G$3004,ENSAYOS!$C$5:$C$3004,F640,ENSAYOS!$Q$5:$Q$3004,"&gt;0"))</f>
        <v/>
      </c>
      <c r="O640" s="15" t="str">
        <f aca="false">IF(N(M640)=0,"",_xlfn.MAXIFS(ENSAYOS!$G$5:$G$3004,ENSAYOS!$C$5:$C$3004,F640,ENSAYOS!$Q$5:$Q$3004,"&gt;0"))</f>
        <v/>
      </c>
      <c r="P640" s="16" t="str">
        <f aca="false">IF(N(M640)=0,"",AVERAGEIFS(ENSAYOS!$Q$5:$Q$3004,ENSAYOS!$C$5:$C$3004,F640,ENSAYOS!$Q$5:$Q$3004,"&gt;0"))</f>
        <v/>
      </c>
      <c r="Q640" s="16" t="str">
        <f aca="false">IF(N(M640)=0,"",_xlfn.MINIFS(ENSAYOS!$Q$5:$Q$3004,ENSAYOS!$C$5:$C$3004,F640,ENSAYOS!$Q$5:$Q$3004,"&gt;0"))</f>
        <v/>
      </c>
      <c r="R640" s="16" t="str">
        <f aca="false">IF(N(M640)=0,"",_xlfn.MAXIFS(ENSAYOS!$Q$5:$Q$3004,ENSAYOS!$C$5:$C$3004,F640,ENSAYOS!$Q$5:$Q$3004,"&gt;0"))</f>
        <v/>
      </c>
      <c r="S640" s="16" t="str">
        <f aca="false">IF(N(M640)&lt;2,"",SQRT(MAX(0,(SUMIFS(ENSAYOS!$X$5:$X$3004,ENSAYOS!$C$5:$C$3004,F640,ENSAYOS!$Q$5:$Q$3004,"&gt;0")-M640*P640^2)/(M640-1))))</f>
        <v/>
      </c>
      <c r="T640" s="17" t="str">
        <f aca="false">IF(S640="","",S640/P640)</f>
        <v/>
      </c>
      <c r="U640" s="16" t="str">
        <f aca="false">IF(N(M640)=0,"",IF(N640&gt;=CONFIG!$B$27,"",AVERAGEIFS(ENSAYOS!$Q$5:$Q$3004,ENSAYOS!$C$5:$C$3004,F640,ENSAYOS!$Q$5:$Q$3004,"&gt;0",ENSAYOS!$G$5:$G$3004,N640)))</f>
        <v/>
      </c>
      <c r="V640" s="16" t="str">
        <f aca="false">IF(N(M640)=0,"",IF(COUNTIFS(ENSAYOS!$C$5:$C$3004,F640,ENSAYOS!$Q$5:$Q$3004,"&gt;0",ENSAYOS!$G$5:$G$3004,"&gt;="&amp;CONFIG!$B$27)=0,"",AVERAGEIFS(ENSAYOS!$Q$5:$Q$3004,ENSAYOS!$C$5:$C$3004,F640,ENSAYOS!$Q$5:$Q$3004,"&gt;0",ENSAYOS!$G$5:$G$3004,"&gt;="&amp;CONFIG!$B$27)))</f>
        <v/>
      </c>
      <c r="W640" s="18" t="str">
        <f aca="false">IF(AND(U640&lt;&gt;"",V640&lt;&gt;""),U640/V640,"")</f>
        <v/>
      </c>
      <c r="X640" s="18" t="str">
        <f aca="false">IF(U640="","",INDEX('CURVA EDAD'!$E$5:$E$32,MIN(28,MAX(1,N640))))</f>
        <v/>
      </c>
      <c r="Y640" s="16" t="str">
        <f aca="false">IF(V640&lt;&gt;"",V640,IF(U640="","",U640/X640))</f>
        <v/>
      </c>
      <c r="Z640" s="16" t="str">
        <f aca="false">IF(V640&lt;&gt;"",_xlfn.MINIFS(ENSAYOS!$Q$5:$Q$3004,ENSAYOS!$C$5:$C$3004,F640,ENSAYOS!$Q$5:$Q$3004,"&gt;0",ENSAYOS!$G$5:$G$3004,"&gt;="&amp;CONFIG!$B$27),IF(U640="","",_xlfn.MINIFS(ENSAYOS!$Q$5:$Q$3004,ENSAYOS!$C$5:$C$3004,F640,ENSAYOS!$Q$5:$Q$3004,"&gt;0",ENSAYOS!$G$5:$G$3004,N640)/X640))</f>
        <v/>
      </c>
      <c r="AA640" s="16" t="str">
        <f aca="false">IF(D640="","",IFERROR(1/(1/INDEX(CONFIG!$J$5:$J$14,MATCH(D640,CONFIG!$D$5:$D$14,0))),""))</f>
        <v/>
      </c>
      <c r="AB640" s="16" t="str">
        <f aca="false">IF(D640="","",IFERROR(1/(1/INDEX(CONFIG!$K$5:$K$14,MATCH(D640,CONFIG!$D$5:$D$14,0))),""))</f>
        <v/>
      </c>
      <c r="AC640" s="19" t="str">
        <f aca="false">IF(N(M640)=0,"",IF(AA640="","Sin spec",IF(AND(Y640&gt;=AA640,OR(AB640="",Z640&gt;=AB640)),"CUMPLE","NO CUMPLE")&amp;IF(V640=""," (est.)","")))</f>
        <v/>
      </c>
      <c r="AD640" s="20" t="str">
        <f aca="false">IF(F640="","",IF(COUNTIFS(ABSORCION!$C$5:$C$1004,F640,ABSORCION!$I$5:$I$1004,"&gt;0")=0,"",AVERAGEIFS(ABSORCION!$I$5:$I$1004,ABSORCION!$C$5:$C$1004,F640,ABSORCION!$I$5:$I$1004,"&gt;0")))</f>
        <v/>
      </c>
      <c r="AE640" s="20" t="str">
        <f aca="false">IF(F640="","",IF(COUNTIFS(ABSORCION!$C$5:$C$1004,F640,ABSORCION!$I$5:$I$1004,"&gt;0")=0,"",AVERAGEIFS(ABSORCION!$K$5:$K$1004,ABSORCION!$C$5:$C$1004,F640,ABSORCION!$I$5:$I$1004,"&gt;0")))</f>
        <v/>
      </c>
      <c r="AF640" s="20" t="str">
        <f aca="false">IF(AE640="","",IF(AE640&gt;=CONFIG!$E$21,CONFIG!$F$21,IF(AE640&gt;=CONFIG!$E$20,CONFIG!$F$20,CONFIG!$F$19)))</f>
        <v/>
      </c>
      <c r="AG640" s="21" t="str">
        <f aca="false">IF(F640="","",TRIM(IF(N(M640)=0,"Sin ensayos. ","")&amp;IF(AND(N(M640)&gt;0,N(M640)&lt;CONFIG!$B$26),"Menos de "&amp;CONFIG!$B$26&amp;" probetas. ","")&amp;IF(N(T640)&gt;CONFIG!$B$25,"CV alto. ","")&amp;IF(AND(N(AD640)&gt;0,N(AD640)&gt;N(AF640)),"Absorción alta. ","")))</f>
        <v/>
      </c>
      <c r="AH640" s="22" t="str">
        <f aca="false">IF(AND(N(M640)&gt;0,OR(CONTROL!$C$4="TODAS",C640=CONTROL!$C$4),D640=CONTROL!$C$5),MAX($AH$4:AH639)+1,"")</f>
        <v/>
      </c>
      <c r="AI640" s="22" t="str">
        <f aca="false">IF(AH640="","",P640^2)</f>
        <v/>
      </c>
    </row>
    <row r="641" customFormat="false" ht="15" hidden="false" customHeight="false" outlineLevel="0" collapsed="false">
      <c r="A641" s="11" t="str">
        <f aca="false">IF(B641="","",ROW()-4)</f>
        <v/>
      </c>
      <c r="B641" s="12"/>
      <c r="C641" s="13"/>
      <c r="D641" s="13"/>
      <c r="E641" s="13"/>
      <c r="F641" s="14" t="str">
        <f aca="false">IF(OR(B641="",C641="",D641=""),"",IFERROR(INDEX(CONFIG!$E$5:$E$14,MATCH(D641,CONFIG!$D$5:$D$14,0)),"?")&amp;RIGHT("0"&amp;DAY(B641),2)&amp;RIGHT("0"&amp;MONTH(B641),2)&amp;RIGHT(YEAR(B641),2)&amp;C641&amp;IF(E641="","","-"&amp;E641))</f>
        <v/>
      </c>
      <c r="G641" s="13"/>
      <c r="H641" s="13"/>
      <c r="I641" s="13"/>
      <c r="J641" s="13"/>
      <c r="K641" s="13"/>
      <c r="L641" s="13"/>
      <c r="M641" s="11" t="str">
        <f aca="false">IF(F641="","",COUNTIFS(ENSAYOS!$C$5:$C$3004,F641,ENSAYOS!$Q$5:$Q$3004,"&gt;0"))</f>
        <v/>
      </c>
      <c r="N641" s="15" t="str">
        <f aca="false">IF(N(M641)=0,"",_xlfn.MINIFS(ENSAYOS!$G$5:$G$3004,ENSAYOS!$C$5:$C$3004,F641,ENSAYOS!$Q$5:$Q$3004,"&gt;0"))</f>
        <v/>
      </c>
      <c r="O641" s="15" t="str">
        <f aca="false">IF(N(M641)=0,"",_xlfn.MAXIFS(ENSAYOS!$G$5:$G$3004,ENSAYOS!$C$5:$C$3004,F641,ENSAYOS!$Q$5:$Q$3004,"&gt;0"))</f>
        <v/>
      </c>
      <c r="P641" s="16" t="str">
        <f aca="false">IF(N(M641)=0,"",AVERAGEIFS(ENSAYOS!$Q$5:$Q$3004,ENSAYOS!$C$5:$C$3004,F641,ENSAYOS!$Q$5:$Q$3004,"&gt;0"))</f>
        <v/>
      </c>
      <c r="Q641" s="16" t="str">
        <f aca="false">IF(N(M641)=0,"",_xlfn.MINIFS(ENSAYOS!$Q$5:$Q$3004,ENSAYOS!$C$5:$C$3004,F641,ENSAYOS!$Q$5:$Q$3004,"&gt;0"))</f>
        <v/>
      </c>
      <c r="R641" s="16" t="str">
        <f aca="false">IF(N(M641)=0,"",_xlfn.MAXIFS(ENSAYOS!$Q$5:$Q$3004,ENSAYOS!$C$5:$C$3004,F641,ENSAYOS!$Q$5:$Q$3004,"&gt;0"))</f>
        <v/>
      </c>
      <c r="S641" s="16" t="str">
        <f aca="false">IF(N(M641)&lt;2,"",SQRT(MAX(0,(SUMIFS(ENSAYOS!$X$5:$X$3004,ENSAYOS!$C$5:$C$3004,F641,ENSAYOS!$Q$5:$Q$3004,"&gt;0")-M641*P641^2)/(M641-1))))</f>
        <v/>
      </c>
      <c r="T641" s="17" t="str">
        <f aca="false">IF(S641="","",S641/P641)</f>
        <v/>
      </c>
      <c r="U641" s="16" t="str">
        <f aca="false">IF(N(M641)=0,"",IF(N641&gt;=CONFIG!$B$27,"",AVERAGEIFS(ENSAYOS!$Q$5:$Q$3004,ENSAYOS!$C$5:$C$3004,F641,ENSAYOS!$Q$5:$Q$3004,"&gt;0",ENSAYOS!$G$5:$G$3004,N641)))</f>
        <v/>
      </c>
      <c r="V641" s="16" t="str">
        <f aca="false">IF(N(M641)=0,"",IF(COUNTIFS(ENSAYOS!$C$5:$C$3004,F641,ENSAYOS!$Q$5:$Q$3004,"&gt;0",ENSAYOS!$G$5:$G$3004,"&gt;="&amp;CONFIG!$B$27)=0,"",AVERAGEIFS(ENSAYOS!$Q$5:$Q$3004,ENSAYOS!$C$5:$C$3004,F641,ENSAYOS!$Q$5:$Q$3004,"&gt;0",ENSAYOS!$G$5:$G$3004,"&gt;="&amp;CONFIG!$B$27)))</f>
        <v/>
      </c>
      <c r="W641" s="18" t="str">
        <f aca="false">IF(AND(U641&lt;&gt;"",V641&lt;&gt;""),U641/V641,"")</f>
        <v/>
      </c>
      <c r="X641" s="18" t="str">
        <f aca="false">IF(U641="","",INDEX('CURVA EDAD'!$E$5:$E$32,MIN(28,MAX(1,N641))))</f>
        <v/>
      </c>
      <c r="Y641" s="16" t="str">
        <f aca="false">IF(V641&lt;&gt;"",V641,IF(U641="","",U641/X641))</f>
        <v/>
      </c>
      <c r="Z641" s="16" t="str">
        <f aca="false">IF(V641&lt;&gt;"",_xlfn.MINIFS(ENSAYOS!$Q$5:$Q$3004,ENSAYOS!$C$5:$C$3004,F641,ENSAYOS!$Q$5:$Q$3004,"&gt;0",ENSAYOS!$G$5:$G$3004,"&gt;="&amp;CONFIG!$B$27),IF(U641="","",_xlfn.MINIFS(ENSAYOS!$Q$5:$Q$3004,ENSAYOS!$C$5:$C$3004,F641,ENSAYOS!$Q$5:$Q$3004,"&gt;0",ENSAYOS!$G$5:$G$3004,N641)/X641))</f>
        <v/>
      </c>
      <c r="AA641" s="16" t="str">
        <f aca="false">IF(D641="","",IFERROR(1/(1/INDEX(CONFIG!$J$5:$J$14,MATCH(D641,CONFIG!$D$5:$D$14,0))),""))</f>
        <v/>
      </c>
      <c r="AB641" s="16" t="str">
        <f aca="false">IF(D641="","",IFERROR(1/(1/INDEX(CONFIG!$K$5:$K$14,MATCH(D641,CONFIG!$D$5:$D$14,0))),""))</f>
        <v/>
      </c>
      <c r="AC641" s="19" t="str">
        <f aca="false">IF(N(M641)=0,"",IF(AA641="","Sin spec",IF(AND(Y641&gt;=AA641,OR(AB641="",Z641&gt;=AB641)),"CUMPLE","NO CUMPLE")&amp;IF(V641=""," (est.)","")))</f>
        <v/>
      </c>
      <c r="AD641" s="20" t="str">
        <f aca="false">IF(F641="","",IF(COUNTIFS(ABSORCION!$C$5:$C$1004,F641,ABSORCION!$I$5:$I$1004,"&gt;0")=0,"",AVERAGEIFS(ABSORCION!$I$5:$I$1004,ABSORCION!$C$5:$C$1004,F641,ABSORCION!$I$5:$I$1004,"&gt;0")))</f>
        <v/>
      </c>
      <c r="AE641" s="20" t="str">
        <f aca="false">IF(F641="","",IF(COUNTIFS(ABSORCION!$C$5:$C$1004,F641,ABSORCION!$I$5:$I$1004,"&gt;0")=0,"",AVERAGEIFS(ABSORCION!$K$5:$K$1004,ABSORCION!$C$5:$C$1004,F641,ABSORCION!$I$5:$I$1004,"&gt;0")))</f>
        <v/>
      </c>
      <c r="AF641" s="20" t="str">
        <f aca="false">IF(AE641="","",IF(AE641&gt;=CONFIG!$E$21,CONFIG!$F$21,IF(AE641&gt;=CONFIG!$E$20,CONFIG!$F$20,CONFIG!$F$19)))</f>
        <v/>
      </c>
      <c r="AG641" s="21" t="str">
        <f aca="false">IF(F641="","",TRIM(IF(N(M641)=0,"Sin ensayos. ","")&amp;IF(AND(N(M641)&gt;0,N(M641)&lt;CONFIG!$B$26),"Menos de "&amp;CONFIG!$B$26&amp;" probetas. ","")&amp;IF(N(T641)&gt;CONFIG!$B$25,"CV alto. ","")&amp;IF(AND(N(AD641)&gt;0,N(AD641)&gt;N(AF641)),"Absorción alta. ","")))</f>
        <v/>
      </c>
      <c r="AH641" s="22" t="str">
        <f aca="false">IF(AND(N(M641)&gt;0,OR(CONTROL!$C$4="TODAS",C641=CONTROL!$C$4),D641=CONTROL!$C$5),MAX($AH$4:AH640)+1,"")</f>
        <v/>
      </c>
      <c r="AI641" s="22" t="str">
        <f aca="false">IF(AH641="","",P641^2)</f>
        <v/>
      </c>
    </row>
    <row r="642" customFormat="false" ht="15" hidden="false" customHeight="false" outlineLevel="0" collapsed="false">
      <c r="A642" s="11" t="str">
        <f aca="false">IF(B642="","",ROW()-4)</f>
        <v/>
      </c>
      <c r="B642" s="12"/>
      <c r="C642" s="13"/>
      <c r="D642" s="13"/>
      <c r="E642" s="13"/>
      <c r="F642" s="14" t="str">
        <f aca="false">IF(OR(B642="",C642="",D642=""),"",IFERROR(INDEX(CONFIG!$E$5:$E$14,MATCH(D642,CONFIG!$D$5:$D$14,0)),"?")&amp;RIGHT("0"&amp;DAY(B642),2)&amp;RIGHT("0"&amp;MONTH(B642),2)&amp;RIGHT(YEAR(B642),2)&amp;C642&amp;IF(E642="","","-"&amp;E642))</f>
        <v/>
      </c>
      <c r="G642" s="13"/>
      <c r="H642" s="13"/>
      <c r="I642" s="13"/>
      <c r="J642" s="13"/>
      <c r="K642" s="13"/>
      <c r="L642" s="13"/>
      <c r="M642" s="11" t="str">
        <f aca="false">IF(F642="","",COUNTIFS(ENSAYOS!$C$5:$C$3004,F642,ENSAYOS!$Q$5:$Q$3004,"&gt;0"))</f>
        <v/>
      </c>
      <c r="N642" s="15" t="str">
        <f aca="false">IF(N(M642)=0,"",_xlfn.MINIFS(ENSAYOS!$G$5:$G$3004,ENSAYOS!$C$5:$C$3004,F642,ENSAYOS!$Q$5:$Q$3004,"&gt;0"))</f>
        <v/>
      </c>
      <c r="O642" s="15" t="str">
        <f aca="false">IF(N(M642)=0,"",_xlfn.MAXIFS(ENSAYOS!$G$5:$G$3004,ENSAYOS!$C$5:$C$3004,F642,ENSAYOS!$Q$5:$Q$3004,"&gt;0"))</f>
        <v/>
      </c>
      <c r="P642" s="16" t="str">
        <f aca="false">IF(N(M642)=0,"",AVERAGEIFS(ENSAYOS!$Q$5:$Q$3004,ENSAYOS!$C$5:$C$3004,F642,ENSAYOS!$Q$5:$Q$3004,"&gt;0"))</f>
        <v/>
      </c>
      <c r="Q642" s="16" t="str">
        <f aca="false">IF(N(M642)=0,"",_xlfn.MINIFS(ENSAYOS!$Q$5:$Q$3004,ENSAYOS!$C$5:$C$3004,F642,ENSAYOS!$Q$5:$Q$3004,"&gt;0"))</f>
        <v/>
      </c>
      <c r="R642" s="16" t="str">
        <f aca="false">IF(N(M642)=0,"",_xlfn.MAXIFS(ENSAYOS!$Q$5:$Q$3004,ENSAYOS!$C$5:$C$3004,F642,ENSAYOS!$Q$5:$Q$3004,"&gt;0"))</f>
        <v/>
      </c>
      <c r="S642" s="16" t="str">
        <f aca="false">IF(N(M642)&lt;2,"",SQRT(MAX(0,(SUMIFS(ENSAYOS!$X$5:$X$3004,ENSAYOS!$C$5:$C$3004,F642,ENSAYOS!$Q$5:$Q$3004,"&gt;0")-M642*P642^2)/(M642-1))))</f>
        <v/>
      </c>
      <c r="T642" s="17" t="str">
        <f aca="false">IF(S642="","",S642/P642)</f>
        <v/>
      </c>
      <c r="U642" s="16" t="str">
        <f aca="false">IF(N(M642)=0,"",IF(N642&gt;=CONFIG!$B$27,"",AVERAGEIFS(ENSAYOS!$Q$5:$Q$3004,ENSAYOS!$C$5:$C$3004,F642,ENSAYOS!$Q$5:$Q$3004,"&gt;0",ENSAYOS!$G$5:$G$3004,N642)))</f>
        <v/>
      </c>
      <c r="V642" s="16" t="str">
        <f aca="false">IF(N(M642)=0,"",IF(COUNTIFS(ENSAYOS!$C$5:$C$3004,F642,ENSAYOS!$Q$5:$Q$3004,"&gt;0",ENSAYOS!$G$5:$G$3004,"&gt;="&amp;CONFIG!$B$27)=0,"",AVERAGEIFS(ENSAYOS!$Q$5:$Q$3004,ENSAYOS!$C$5:$C$3004,F642,ENSAYOS!$Q$5:$Q$3004,"&gt;0",ENSAYOS!$G$5:$G$3004,"&gt;="&amp;CONFIG!$B$27)))</f>
        <v/>
      </c>
      <c r="W642" s="18" t="str">
        <f aca="false">IF(AND(U642&lt;&gt;"",V642&lt;&gt;""),U642/V642,"")</f>
        <v/>
      </c>
      <c r="X642" s="18" t="str">
        <f aca="false">IF(U642="","",INDEX('CURVA EDAD'!$E$5:$E$32,MIN(28,MAX(1,N642))))</f>
        <v/>
      </c>
      <c r="Y642" s="16" t="str">
        <f aca="false">IF(V642&lt;&gt;"",V642,IF(U642="","",U642/X642))</f>
        <v/>
      </c>
      <c r="Z642" s="16" t="str">
        <f aca="false">IF(V642&lt;&gt;"",_xlfn.MINIFS(ENSAYOS!$Q$5:$Q$3004,ENSAYOS!$C$5:$C$3004,F642,ENSAYOS!$Q$5:$Q$3004,"&gt;0",ENSAYOS!$G$5:$G$3004,"&gt;="&amp;CONFIG!$B$27),IF(U642="","",_xlfn.MINIFS(ENSAYOS!$Q$5:$Q$3004,ENSAYOS!$C$5:$C$3004,F642,ENSAYOS!$Q$5:$Q$3004,"&gt;0",ENSAYOS!$G$5:$G$3004,N642)/X642))</f>
        <v/>
      </c>
      <c r="AA642" s="16" t="str">
        <f aca="false">IF(D642="","",IFERROR(1/(1/INDEX(CONFIG!$J$5:$J$14,MATCH(D642,CONFIG!$D$5:$D$14,0))),""))</f>
        <v/>
      </c>
      <c r="AB642" s="16" t="str">
        <f aca="false">IF(D642="","",IFERROR(1/(1/INDEX(CONFIG!$K$5:$K$14,MATCH(D642,CONFIG!$D$5:$D$14,0))),""))</f>
        <v/>
      </c>
      <c r="AC642" s="19" t="str">
        <f aca="false">IF(N(M642)=0,"",IF(AA642="","Sin spec",IF(AND(Y642&gt;=AA642,OR(AB642="",Z642&gt;=AB642)),"CUMPLE","NO CUMPLE")&amp;IF(V642=""," (est.)","")))</f>
        <v/>
      </c>
      <c r="AD642" s="20" t="str">
        <f aca="false">IF(F642="","",IF(COUNTIFS(ABSORCION!$C$5:$C$1004,F642,ABSORCION!$I$5:$I$1004,"&gt;0")=0,"",AVERAGEIFS(ABSORCION!$I$5:$I$1004,ABSORCION!$C$5:$C$1004,F642,ABSORCION!$I$5:$I$1004,"&gt;0")))</f>
        <v/>
      </c>
      <c r="AE642" s="20" t="str">
        <f aca="false">IF(F642="","",IF(COUNTIFS(ABSORCION!$C$5:$C$1004,F642,ABSORCION!$I$5:$I$1004,"&gt;0")=0,"",AVERAGEIFS(ABSORCION!$K$5:$K$1004,ABSORCION!$C$5:$C$1004,F642,ABSORCION!$I$5:$I$1004,"&gt;0")))</f>
        <v/>
      </c>
      <c r="AF642" s="20" t="str">
        <f aca="false">IF(AE642="","",IF(AE642&gt;=CONFIG!$E$21,CONFIG!$F$21,IF(AE642&gt;=CONFIG!$E$20,CONFIG!$F$20,CONFIG!$F$19)))</f>
        <v/>
      </c>
      <c r="AG642" s="21" t="str">
        <f aca="false">IF(F642="","",TRIM(IF(N(M642)=0,"Sin ensayos. ","")&amp;IF(AND(N(M642)&gt;0,N(M642)&lt;CONFIG!$B$26),"Menos de "&amp;CONFIG!$B$26&amp;" probetas. ","")&amp;IF(N(T642)&gt;CONFIG!$B$25,"CV alto. ","")&amp;IF(AND(N(AD642)&gt;0,N(AD642)&gt;N(AF642)),"Absorción alta. ","")))</f>
        <v/>
      </c>
      <c r="AH642" s="22" t="str">
        <f aca="false">IF(AND(N(M642)&gt;0,OR(CONTROL!$C$4="TODAS",C642=CONTROL!$C$4),D642=CONTROL!$C$5),MAX($AH$4:AH641)+1,"")</f>
        <v/>
      </c>
      <c r="AI642" s="22" t="str">
        <f aca="false">IF(AH642="","",P642^2)</f>
        <v/>
      </c>
    </row>
    <row r="643" customFormat="false" ht="15" hidden="false" customHeight="false" outlineLevel="0" collapsed="false">
      <c r="A643" s="11" t="str">
        <f aca="false">IF(B643="","",ROW()-4)</f>
        <v/>
      </c>
      <c r="B643" s="12"/>
      <c r="C643" s="13"/>
      <c r="D643" s="13"/>
      <c r="E643" s="13"/>
      <c r="F643" s="14" t="str">
        <f aca="false">IF(OR(B643="",C643="",D643=""),"",IFERROR(INDEX(CONFIG!$E$5:$E$14,MATCH(D643,CONFIG!$D$5:$D$14,0)),"?")&amp;RIGHT("0"&amp;DAY(B643),2)&amp;RIGHT("0"&amp;MONTH(B643),2)&amp;RIGHT(YEAR(B643),2)&amp;C643&amp;IF(E643="","","-"&amp;E643))</f>
        <v/>
      </c>
      <c r="G643" s="13"/>
      <c r="H643" s="13"/>
      <c r="I643" s="13"/>
      <c r="J643" s="13"/>
      <c r="K643" s="13"/>
      <c r="L643" s="13"/>
      <c r="M643" s="11" t="str">
        <f aca="false">IF(F643="","",COUNTIFS(ENSAYOS!$C$5:$C$3004,F643,ENSAYOS!$Q$5:$Q$3004,"&gt;0"))</f>
        <v/>
      </c>
      <c r="N643" s="15" t="str">
        <f aca="false">IF(N(M643)=0,"",_xlfn.MINIFS(ENSAYOS!$G$5:$G$3004,ENSAYOS!$C$5:$C$3004,F643,ENSAYOS!$Q$5:$Q$3004,"&gt;0"))</f>
        <v/>
      </c>
      <c r="O643" s="15" t="str">
        <f aca="false">IF(N(M643)=0,"",_xlfn.MAXIFS(ENSAYOS!$G$5:$G$3004,ENSAYOS!$C$5:$C$3004,F643,ENSAYOS!$Q$5:$Q$3004,"&gt;0"))</f>
        <v/>
      </c>
      <c r="P643" s="16" t="str">
        <f aca="false">IF(N(M643)=0,"",AVERAGEIFS(ENSAYOS!$Q$5:$Q$3004,ENSAYOS!$C$5:$C$3004,F643,ENSAYOS!$Q$5:$Q$3004,"&gt;0"))</f>
        <v/>
      </c>
      <c r="Q643" s="16" t="str">
        <f aca="false">IF(N(M643)=0,"",_xlfn.MINIFS(ENSAYOS!$Q$5:$Q$3004,ENSAYOS!$C$5:$C$3004,F643,ENSAYOS!$Q$5:$Q$3004,"&gt;0"))</f>
        <v/>
      </c>
      <c r="R643" s="16" t="str">
        <f aca="false">IF(N(M643)=0,"",_xlfn.MAXIFS(ENSAYOS!$Q$5:$Q$3004,ENSAYOS!$C$5:$C$3004,F643,ENSAYOS!$Q$5:$Q$3004,"&gt;0"))</f>
        <v/>
      </c>
      <c r="S643" s="16" t="str">
        <f aca="false">IF(N(M643)&lt;2,"",SQRT(MAX(0,(SUMIFS(ENSAYOS!$X$5:$X$3004,ENSAYOS!$C$5:$C$3004,F643,ENSAYOS!$Q$5:$Q$3004,"&gt;0")-M643*P643^2)/(M643-1))))</f>
        <v/>
      </c>
      <c r="T643" s="17" t="str">
        <f aca="false">IF(S643="","",S643/P643)</f>
        <v/>
      </c>
      <c r="U643" s="16" t="str">
        <f aca="false">IF(N(M643)=0,"",IF(N643&gt;=CONFIG!$B$27,"",AVERAGEIFS(ENSAYOS!$Q$5:$Q$3004,ENSAYOS!$C$5:$C$3004,F643,ENSAYOS!$Q$5:$Q$3004,"&gt;0",ENSAYOS!$G$5:$G$3004,N643)))</f>
        <v/>
      </c>
      <c r="V643" s="16" t="str">
        <f aca="false">IF(N(M643)=0,"",IF(COUNTIFS(ENSAYOS!$C$5:$C$3004,F643,ENSAYOS!$Q$5:$Q$3004,"&gt;0",ENSAYOS!$G$5:$G$3004,"&gt;="&amp;CONFIG!$B$27)=0,"",AVERAGEIFS(ENSAYOS!$Q$5:$Q$3004,ENSAYOS!$C$5:$C$3004,F643,ENSAYOS!$Q$5:$Q$3004,"&gt;0",ENSAYOS!$G$5:$G$3004,"&gt;="&amp;CONFIG!$B$27)))</f>
        <v/>
      </c>
      <c r="W643" s="18" t="str">
        <f aca="false">IF(AND(U643&lt;&gt;"",V643&lt;&gt;""),U643/V643,"")</f>
        <v/>
      </c>
      <c r="X643" s="18" t="str">
        <f aca="false">IF(U643="","",INDEX('CURVA EDAD'!$E$5:$E$32,MIN(28,MAX(1,N643))))</f>
        <v/>
      </c>
      <c r="Y643" s="16" t="str">
        <f aca="false">IF(V643&lt;&gt;"",V643,IF(U643="","",U643/X643))</f>
        <v/>
      </c>
      <c r="Z643" s="16" t="str">
        <f aca="false">IF(V643&lt;&gt;"",_xlfn.MINIFS(ENSAYOS!$Q$5:$Q$3004,ENSAYOS!$C$5:$C$3004,F643,ENSAYOS!$Q$5:$Q$3004,"&gt;0",ENSAYOS!$G$5:$G$3004,"&gt;="&amp;CONFIG!$B$27),IF(U643="","",_xlfn.MINIFS(ENSAYOS!$Q$5:$Q$3004,ENSAYOS!$C$5:$C$3004,F643,ENSAYOS!$Q$5:$Q$3004,"&gt;0",ENSAYOS!$G$5:$G$3004,N643)/X643))</f>
        <v/>
      </c>
      <c r="AA643" s="16" t="str">
        <f aca="false">IF(D643="","",IFERROR(1/(1/INDEX(CONFIG!$J$5:$J$14,MATCH(D643,CONFIG!$D$5:$D$14,0))),""))</f>
        <v/>
      </c>
      <c r="AB643" s="16" t="str">
        <f aca="false">IF(D643="","",IFERROR(1/(1/INDEX(CONFIG!$K$5:$K$14,MATCH(D643,CONFIG!$D$5:$D$14,0))),""))</f>
        <v/>
      </c>
      <c r="AC643" s="19" t="str">
        <f aca="false">IF(N(M643)=0,"",IF(AA643="","Sin spec",IF(AND(Y643&gt;=AA643,OR(AB643="",Z643&gt;=AB643)),"CUMPLE","NO CUMPLE")&amp;IF(V643=""," (est.)","")))</f>
        <v/>
      </c>
      <c r="AD643" s="20" t="str">
        <f aca="false">IF(F643="","",IF(COUNTIFS(ABSORCION!$C$5:$C$1004,F643,ABSORCION!$I$5:$I$1004,"&gt;0")=0,"",AVERAGEIFS(ABSORCION!$I$5:$I$1004,ABSORCION!$C$5:$C$1004,F643,ABSORCION!$I$5:$I$1004,"&gt;0")))</f>
        <v/>
      </c>
      <c r="AE643" s="20" t="str">
        <f aca="false">IF(F643="","",IF(COUNTIFS(ABSORCION!$C$5:$C$1004,F643,ABSORCION!$I$5:$I$1004,"&gt;0")=0,"",AVERAGEIFS(ABSORCION!$K$5:$K$1004,ABSORCION!$C$5:$C$1004,F643,ABSORCION!$I$5:$I$1004,"&gt;0")))</f>
        <v/>
      </c>
      <c r="AF643" s="20" t="str">
        <f aca="false">IF(AE643="","",IF(AE643&gt;=CONFIG!$E$21,CONFIG!$F$21,IF(AE643&gt;=CONFIG!$E$20,CONFIG!$F$20,CONFIG!$F$19)))</f>
        <v/>
      </c>
      <c r="AG643" s="21" t="str">
        <f aca="false">IF(F643="","",TRIM(IF(N(M643)=0,"Sin ensayos. ","")&amp;IF(AND(N(M643)&gt;0,N(M643)&lt;CONFIG!$B$26),"Menos de "&amp;CONFIG!$B$26&amp;" probetas. ","")&amp;IF(N(T643)&gt;CONFIG!$B$25,"CV alto. ","")&amp;IF(AND(N(AD643)&gt;0,N(AD643)&gt;N(AF643)),"Absorción alta. ","")))</f>
        <v/>
      </c>
      <c r="AH643" s="22" t="str">
        <f aca="false">IF(AND(N(M643)&gt;0,OR(CONTROL!$C$4="TODAS",C643=CONTROL!$C$4),D643=CONTROL!$C$5),MAX($AH$4:AH642)+1,"")</f>
        <v/>
      </c>
      <c r="AI643" s="22" t="str">
        <f aca="false">IF(AH643="","",P643^2)</f>
        <v/>
      </c>
    </row>
    <row r="644" customFormat="false" ht="15" hidden="false" customHeight="false" outlineLevel="0" collapsed="false">
      <c r="A644" s="11" t="str">
        <f aca="false">IF(B644="","",ROW()-4)</f>
        <v/>
      </c>
      <c r="B644" s="12"/>
      <c r="C644" s="13"/>
      <c r="D644" s="13"/>
      <c r="E644" s="13"/>
      <c r="F644" s="14" t="str">
        <f aca="false">IF(OR(B644="",C644="",D644=""),"",IFERROR(INDEX(CONFIG!$E$5:$E$14,MATCH(D644,CONFIG!$D$5:$D$14,0)),"?")&amp;RIGHT("0"&amp;DAY(B644),2)&amp;RIGHT("0"&amp;MONTH(B644),2)&amp;RIGHT(YEAR(B644),2)&amp;C644&amp;IF(E644="","","-"&amp;E644))</f>
        <v/>
      </c>
      <c r="G644" s="13"/>
      <c r="H644" s="13"/>
      <c r="I644" s="13"/>
      <c r="J644" s="13"/>
      <c r="K644" s="13"/>
      <c r="L644" s="13"/>
      <c r="M644" s="11" t="str">
        <f aca="false">IF(F644="","",COUNTIFS(ENSAYOS!$C$5:$C$3004,F644,ENSAYOS!$Q$5:$Q$3004,"&gt;0"))</f>
        <v/>
      </c>
      <c r="N644" s="15" t="str">
        <f aca="false">IF(N(M644)=0,"",_xlfn.MINIFS(ENSAYOS!$G$5:$G$3004,ENSAYOS!$C$5:$C$3004,F644,ENSAYOS!$Q$5:$Q$3004,"&gt;0"))</f>
        <v/>
      </c>
      <c r="O644" s="15" t="str">
        <f aca="false">IF(N(M644)=0,"",_xlfn.MAXIFS(ENSAYOS!$G$5:$G$3004,ENSAYOS!$C$5:$C$3004,F644,ENSAYOS!$Q$5:$Q$3004,"&gt;0"))</f>
        <v/>
      </c>
      <c r="P644" s="16" t="str">
        <f aca="false">IF(N(M644)=0,"",AVERAGEIFS(ENSAYOS!$Q$5:$Q$3004,ENSAYOS!$C$5:$C$3004,F644,ENSAYOS!$Q$5:$Q$3004,"&gt;0"))</f>
        <v/>
      </c>
      <c r="Q644" s="16" t="str">
        <f aca="false">IF(N(M644)=0,"",_xlfn.MINIFS(ENSAYOS!$Q$5:$Q$3004,ENSAYOS!$C$5:$C$3004,F644,ENSAYOS!$Q$5:$Q$3004,"&gt;0"))</f>
        <v/>
      </c>
      <c r="R644" s="16" t="str">
        <f aca="false">IF(N(M644)=0,"",_xlfn.MAXIFS(ENSAYOS!$Q$5:$Q$3004,ENSAYOS!$C$5:$C$3004,F644,ENSAYOS!$Q$5:$Q$3004,"&gt;0"))</f>
        <v/>
      </c>
      <c r="S644" s="16" t="str">
        <f aca="false">IF(N(M644)&lt;2,"",SQRT(MAX(0,(SUMIFS(ENSAYOS!$X$5:$X$3004,ENSAYOS!$C$5:$C$3004,F644,ENSAYOS!$Q$5:$Q$3004,"&gt;0")-M644*P644^2)/(M644-1))))</f>
        <v/>
      </c>
      <c r="T644" s="17" t="str">
        <f aca="false">IF(S644="","",S644/P644)</f>
        <v/>
      </c>
      <c r="U644" s="16" t="str">
        <f aca="false">IF(N(M644)=0,"",IF(N644&gt;=CONFIG!$B$27,"",AVERAGEIFS(ENSAYOS!$Q$5:$Q$3004,ENSAYOS!$C$5:$C$3004,F644,ENSAYOS!$Q$5:$Q$3004,"&gt;0",ENSAYOS!$G$5:$G$3004,N644)))</f>
        <v/>
      </c>
      <c r="V644" s="16" t="str">
        <f aca="false">IF(N(M644)=0,"",IF(COUNTIFS(ENSAYOS!$C$5:$C$3004,F644,ENSAYOS!$Q$5:$Q$3004,"&gt;0",ENSAYOS!$G$5:$G$3004,"&gt;="&amp;CONFIG!$B$27)=0,"",AVERAGEIFS(ENSAYOS!$Q$5:$Q$3004,ENSAYOS!$C$5:$C$3004,F644,ENSAYOS!$Q$5:$Q$3004,"&gt;0",ENSAYOS!$G$5:$G$3004,"&gt;="&amp;CONFIG!$B$27)))</f>
        <v/>
      </c>
      <c r="W644" s="18" t="str">
        <f aca="false">IF(AND(U644&lt;&gt;"",V644&lt;&gt;""),U644/V644,"")</f>
        <v/>
      </c>
      <c r="X644" s="18" t="str">
        <f aca="false">IF(U644="","",INDEX('CURVA EDAD'!$E$5:$E$32,MIN(28,MAX(1,N644))))</f>
        <v/>
      </c>
      <c r="Y644" s="16" t="str">
        <f aca="false">IF(V644&lt;&gt;"",V644,IF(U644="","",U644/X644))</f>
        <v/>
      </c>
      <c r="Z644" s="16" t="str">
        <f aca="false">IF(V644&lt;&gt;"",_xlfn.MINIFS(ENSAYOS!$Q$5:$Q$3004,ENSAYOS!$C$5:$C$3004,F644,ENSAYOS!$Q$5:$Q$3004,"&gt;0",ENSAYOS!$G$5:$G$3004,"&gt;="&amp;CONFIG!$B$27),IF(U644="","",_xlfn.MINIFS(ENSAYOS!$Q$5:$Q$3004,ENSAYOS!$C$5:$C$3004,F644,ENSAYOS!$Q$5:$Q$3004,"&gt;0",ENSAYOS!$G$5:$G$3004,N644)/X644))</f>
        <v/>
      </c>
      <c r="AA644" s="16" t="str">
        <f aca="false">IF(D644="","",IFERROR(1/(1/INDEX(CONFIG!$J$5:$J$14,MATCH(D644,CONFIG!$D$5:$D$14,0))),""))</f>
        <v/>
      </c>
      <c r="AB644" s="16" t="str">
        <f aca="false">IF(D644="","",IFERROR(1/(1/INDEX(CONFIG!$K$5:$K$14,MATCH(D644,CONFIG!$D$5:$D$14,0))),""))</f>
        <v/>
      </c>
      <c r="AC644" s="19" t="str">
        <f aca="false">IF(N(M644)=0,"",IF(AA644="","Sin spec",IF(AND(Y644&gt;=AA644,OR(AB644="",Z644&gt;=AB644)),"CUMPLE","NO CUMPLE")&amp;IF(V644=""," (est.)","")))</f>
        <v/>
      </c>
      <c r="AD644" s="20" t="str">
        <f aca="false">IF(F644="","",IF(COUNTIFS(ABSORCION!$C$5:$C$1004,F644,ABSORCION!$I$5:$I$1004,"&gt;0")=0,"",AVERAGEIFS(ABSORCION!$I$5:$I$1004,ABSORCION!$C$5:$C$1004,F644,ABSORCION!$I$5:$I$1004,"&gt;0")))</f>
        <v/>
      </c>
      <c r="AE644" s="20" t="str">
        <f aca="false">IF(F644="","",IF(COUNTIFS(ABSORCION!$C$5:$C$1004,F644,ABSORCION!$I$5:$I$1004,"&gt;0")=0,"",AVERAGEIFS(ABSORCION!$K$5:$K$1004,ABSORCION!$C$5:$C$1004,F644,ABSORCION!$I$5:$I$1004,"&gt;0")))</f>
        <v/>
      </c>
      <c r="AF644" s="20" t="str">
        <f aca="false">IF(AE644="","",IF(AE644&gt;=CONFIG!$E$21,CONFIG!$F$21,IF(AE644&gt;=CONFIG!$E$20,CONFIG!$F$20,CONFIG!$F$19)))</f>
        <v/>
      </c>
      <c r="AG644" s="21" t="str">
        <f aca="false">IF(F644="","",TRIM(IF(N(M644)=0,"Sin ensayos. ","")&amp;IF(AND(N(M644)&gt;0,N(M644)&lt;CONFIG!$B$26),"Menos de "&amp;CONFIG!$B$26&amp;" probetas. ","")&amp;IF(N(T644)&gt;CONFIG!$B$25,"CV alto. ","")&amp;IF(AND(N(AD644)&gt;0,N(AD644)&gt;N(AF644)),"Absorción alta. ","")))</f>
        <v/>
      </c>
      <c r="AH644" s="22" t="str">
        <f aca="false">IF(AND(N(M644)&gt;0,OR(CONTROL!$C$4="TODAS",C644=CONTROL!$C$4),D644=CONTROL!$C$5),MAX($AH$4:AH643)+1,"")</f>
        <v/>
      </c>
      <c r="AI644" s="22" t="str">
        <f aca="false">IF(AH644="","",P644^2)</f>
        <v/>
      </c>
    </row>
    <row r="645" customFormat="false" ht="15" hidden="false" customHeight="false" outlineLevel="0" collapsed="false">
      <c r="A645" s="11" t="str">
        <f aca="false">IF(B645="","",ROW()-4)</f>
        <v/>
      </c>
      <c r="B645" s="12"/>
      <c r="C645" s="13"/>
      <c r="D645" s="13"/>
      <c r="E645" s="13"/>
      <c r="F645" s="14" t="str">
        <f aca="false">IF(OR(B645="",C645="",D645=""),"",IFERROR(INDEX(CONFIG!$E$5:$E$14,MATCH(D645,CONFIG!$D$5:$D$14,0)),"?")&amp;RIGHT("0"&amp;DAY(B645),2)&amp;RIGHT("0"&amp;MONTH(B645),2)&amp;RIGHT(YEAR(B645),2)&amp;C645&amp;IF(E645="","","-"&amp;E645))</f>
        <v/>
      </c>
      <c r="G645" s="13"/>
      <c r="H645" s="13"/>
      <c r="I645" s="13"/>
      <c r="J645" s="13"/>
      <c r="K645" s="13"/>
      <c r="L645" s="13"/>
      <c r="M645" s="11" t="str">
        <f aca="false">IF(F645="","",COUNTIFS(ENSAYOS!$C$5:$C$3004,F645,ENSAYOS!$Q$5:$Q$3004,"&gt;0"))</f>
        <v/>
      </c>
      <c r="N645" s="15" t="str">
        <f aca="false">IF(N(M645)=0,"",_xlfn.MINIFS(ENSAYOS!$G$5:$G$3004,ENSAYOS!$C$5:$C$3004,F645,ENSAYOS!$Q$5:$Q$3004,"&gt;0"))</f>
        <v/>
      </c>
      <c r="O645" s="15" t="str">
        <f aca="false">IF(N(M645)=0,"",_xlfn.MAXIFS(ENSAYOS!$G$5:$G$3004,ENSAYOS!$C$5:$C$3004,F645,ENSAYOS!$Q$5:$Q$3004,"&gt;0"))</f>
        <v/>
      </c>
      <c r="P645" s="16" t="str">
        <f aca="false">IF(N(M645)=0,"",AVERAGEIFS(ENSAYOS!$Q$5:$Q$3004,ENSAYOS!$C$5:$C$3004,F645,ENSAYOS!$Q$5:$Q$3004,"&gt;0"))</f>
        <v/>
      </c>
      <c r="Q645" s="16" t="str">
        <f aca="false">IF(N(M645)=0,"",_xlfn.MINIFS(ENSAYOS!$Q$5:$Q$3004,ENSAYOS!$C$5:$C$3004,F645,ENSAYOS!$Q$5:$Q$3004,"&gt;0"))</f>
        <v/>
      </c>
      <c r="R645" s="16" t="str">
        <f aca="false">IF(N(M645)=0,"",_xlfn.MAXIFS(ENSAYOS!$Q$5:$Q$3004,ENSAYOS!$C$5:$C$3004,F645,ENSAYOS!$Q$5:$Q$3004,"&gt;0"))</f>
        <v/>
      </c>
      <c r="S645" s="16" t="str">
        <f aca="false">IF(N(M645)&lt;2,"",SQRT(MAX(0,(SUMIFS(ENSAYOS!$X$5:$X$3004,ENSAYOS!$C$5:$C$3004,F645,ENSAYOS!$Q$5:$Q$3004,"&gt;0")-M645*P645^2)/(M645-1))))</f>
        <v/>
      </c>
      <c r="T645" s="17" t="str">
        <f aca="false">IF(S645="","",S645/P645)</f>
        <v/>
      </c>
      <c r="U645" s="16" t="str">
        <f aca="false">IF(N(M645)=0,"",IF(N645&gt;=CONFIG!$B$27,"",AVERAGEIFS(ENSAYOS!$Q$5:$Q$3004,ENSAYOS!$C$5:$C$3004,F645,ENSAYOS!$Q$5:$Q$3004,"&gt;0",ENSAYOS!$G$5:$G$3004,N645)))</f>
        <v/>
      </c>
      <c r="V645" s="16" t="str">
        <f aca="false">IF(N(M645)=0,"",IF(COUNTIFS(ENSAYOS!$C$5:$C$3004,F645,ENSAYOS!$Q$5:$Q$3004,"&gt;0",ENSAYOS!$G$5:$G$3004,"&gt;="&amp;CONFIG!$B$27)=0,"",AVERAGEIFS(ENSAYOS!$Q$5:$Q$3004,ENSAYOS!$C$5:$C$3004,F645,ENSAYOS!$Q$5:$Q$3004,"&gt;0",ENSAYOS!$G$5:$G$3004,"&gt;="&amp;CONFIG!$B$27)))</f>
        <v/>
      </c>
      <c r="W645" s="18" t="str">
        <f aca="false">IF(AND(U645&lt;&gt;"",V645&lt;&gt;""),U645/V645,"")</f>
        <v/>
      </c>
      <c r="X645" s="18" t="str">
        <f aca="false">IF(U645="","",INDEX('CURVA EDAD'!$E$5:$E$32,MIN(28,MAX(1,N645))))</f>
        <v/>
      </c>
      <c r="Y645" s="16" t="str">
        <f aca="false">IF(V645&lt;&gt;"",V645,IF(U645="","",U645/X645))</f>
        <v/>
      </c>
      <c r="Z645" s="16" t="str">
        <f aca="false">IF(V645&lt;&gt;"",_xlfn.MINIFS(ENSAYOS!$Q$5:$Q$3004,ENSAYOS!$C$5:$C$3004,F645,ENSAYOS!$Q$5:$Q$3004,"&gt;0",ENSAYOS!$G$5:$G$3004,"&gt;="&amp;CONFIG!$B$27),IF(U645="","",_xlfn.MINIFS(ENSAYOS!$Q$5:$Q$3004,ENSAYOS!$C$5:$C$3004,F645,ENSAYOS!$Q$5:$Q$3004,"&gt;0",ENSAYOS!$G$5:$G$3004,N645)/X645))</f>
        <v/>
      </c>
      <c r="AA645" s="16" t="str">
        <f aca="false">IF(D645="","",IFERROR(1/(1/INDEX(CONFIG!$J$5:$J$14,MATCH(D645,CONFIG!$D$5:$D$14,0))),""))</f>
        <v/>
      </c>
      <c r="AB645" s="16" t="str">
        <f aca="false">IF(D645="","",IFERROR(1/(1/INDEX(CONFIG!$K$5:$K$14,MATCH(D645,CONFIG!$D$5:$D$14,0))),""))</f>
        <v/>
      </c>
      <c r="AC645" s="19" t="str">
        <f aca="false">IF(N(M645)=0,"",IF(AA645="","Sin spec",IF(AND(Y645&gt;=AA645,OR(AB645="",Z645&gt;=AB645)),"CUMPLE","NO CUMPLE")&amp;IF(V645=""," (est.)","")))</f>
        <v/>
      </c>
      <c r="AD645" s="20" t="str">
        <f aca="false">IF(F645="","",IF(COUNTIFS(ABSORCION!$C$5:$C$1004,F645,ABSORCION!$I$5:$I$1004,"&gt;0")=0,"",AVERAGEIFS(ABSORCION!$I$5:$I$1004,ABSORCION!$C$5:$C$1004,F645,ABSORCION!$I$5:$I$1004,"&gt;0")))</f>
        <v/>
      </c>
      <c r="AE645" s="20" t="str">
        <f aca="false">IF(F645="","",IF(COUNTIFS(ABSORCION!$C$5:$C$1004,F645,ABSORCION!$I$5:$I$1004,"&gt;0")=0,"",AVERAGEIFS(ABSORCION!$K$5:$K$1004,ABSORCION!$C$5:$C$1004,F645,ABSORCION!$I$5:$I$1004,"&gt;0")))</f>
        <v/>
      </c>
      <c r="AF645" s="20" t="str">
        <f aca="false">IF(AE645="","",IF(AE645&gt;=CONFIG!$E$21,CONFIG!$F$21,IF(AE645&gt;=CONFIG!$E$20,CONFIG!$F$20,CONFIG!$F$19)))</f>
        <v/>
      </c>
      <c r="AG645" s="21" t="str">
        <f aca="false">IF(F645="","",TRIM(IF(N(M645)=0,"Sin ensayos. ","")&amp;IF(AND(N(M645)&gt;0,N(M645)&lt;CONFIG!$B$26),"Menos de "&amp;CONFIG!$B$26&amp;" probetas. ","")&amp;IF(N(T645)&gt;CONFIG!$B$25,"CV alto. ","")&amp;IF(AND(N(AD645)&gt;0,N(AD645)&gt;N(AF645)),"Absorción alta. ","")))</f>
        <v/>
      </c>
      <c r="AH645" s="22" t="str">
        <f aca="false">IF(AND(N(M645)&gt;0,OR(CONTROL!$C$4="TODAS",C645=CONTROL!$C$4),D645=CONTROL!$C$5),MAX($AH$4:AH644)+1,"")</f>
        <v/>
      </c>
      <c r="AI645" s="22" t="str">
        <f aca="false">IF(AH645="","",P645^2)</f>
        <v/>
      </c>
    </row>
    <row r="646" customFormat="false" ht="15" hidden="false" customHeight="false" outlineLevel="0" collapsed="false">
      <c r="A646" s="11" t="str">
        <f aca="false">IF(B646="","",ROW()-4)</f>
        <v/>
      </c>
      <c r="B646" s="12"/>
      <c r="C646" s="13"/>
      <c r="D646" s="13"/>
      <c r="E646" s="13"/>
      <c r="F646" s="14" t="str">
        <f aca="false">IF(OR(B646="",C646="",D646=""),"",IFERROR(INDEX(CONFIG!$E$5:$E$14,MATCH(D646,CONFIG!$D$5:$D$14,0)),"?")&amp;RIGHT("0"&amp;DAY(B646),2)&amp;RIGHT("0"&amp;MONTH(B646),2)&amp;RIGHT(YEAR(B646),2)&amp;C646&amp;IF(E646="","","-"&amp;E646))</f>
        <v/>
      </c>
      <c r="G646" s="13"/>
      <c r="H646" s="13"/>
      <c r="I646" s="13"/>
      <c r="J646" s="13"/>
      <c r="K646" s="13"/>
      <c r="L646" s="13"/>
      <c r="M646" s="11" t="str">
        <f aca="false">IF(F646="","",COUNTIFS(ENSAYOS!$C$5:$C$3004,F646,ENSAYOS!$Q$5:$Q$3004,"&gt;0"))</f>
        <v/>
      </c>
      <c r="N646" s="15" t="str">
        <f aca="false">IF(N(M646)=0,"",_xlfn.MINIFS(ENSAYOS!$G$5:$G$3004,ENSAYOS!$C$5:$C$3004,F646,ENSAYOS!$Q$5:$Q$3004,"&gt;0"))</f>
        <v/>
      </c>
      <c r="O646" s="15" t="str">
        <f aca="false">IF(N(M646)=0,"",_xlfn.MAXIFS(ENSAYOS!$G$5:$G$3004,ENSAYOS!$C$5:$C$3004,F646,ENSAYOS!$Q$5:$Q$3004,"&gt;0"))</f>
        <v/>
      </c>
      <c r="P646" s="16" t="str">
        <f aca="false">IF(N(M646)=0,"",AVERAGEIFS(ENSAYOS!$Q$5:$Q$3004,ENSAYOS!$C$5:$C$3004,F646,ENSAYOS!$Q$5:$Q$3004,"&gt;0"))</f>
        <v/>
      </c>
      <c r="Q646" s="16" t="str">
        <f aca="false">IF(N(M646)=0,"",_xlfn.MINIFS(ENSAYOS!$Q$5:$Q$3004,ENSAYOS!$C$5:$C$3004,F646,ENSAYOS!$Q$5:$Q$3004,"&gt;0"))</f>
        <v/>
      </c>
      <c r="R646" s="16" t="str">
        <f aca="false">IF(N(M646)=0,"",_xlfn.MAXIFS(ENSAYOS!$Q$5:$Q$3004,ENSAYOS!$C$5:$C$3004,F646,ENSAYOS!$Q$5:$Q$3004,"&gt;0"))</f>
        <v/>
      </c>
      <c r="S646" s="16" t="str">
        <f aca="false">IF(N(M646)&lt;2,"",SQRT(MAX(0,(SUMIFS(ENSAYOS!$X$5:$X$3004,ENSAYOS!$C$5:$C$3004,F646,ENSAYOS!$Q$5:$Q$3004,"&gt;0")-M646*P646^2)/(M646-1))))</f>
        <v/>
      </c>
      <c r="T646" s="17" t="str">
        <f aca="false">IF(S646="","",S646/P646)</f>
        <v/>
      </c>
      <c r="U646" s="16" t="str">
        <f aca="false">IF(N(M646)=0,"",IF(N646&gt;=CONFIG!$B$27,"",AVERAGEIFS(ENSAYOS!$Q$5:$Q$3004,ENSAYOS!$C$5:$C$3004,F646,ENSAYOS!$Q$5:$Q$3004,"&gt;0",ENSAYOS!$G$5:$G$3004,N646)))</f>
        <v/>
      </c>
      <c r="V646" s="16" t="str">
        <f aca="false">IF(N(M646)=0,"",IF(COUNTIFS(ENSAYOS!$C$5:$C$3004,F646,ENSAYOS!$Q$5:$Q$3004,"&gt;0",ENSAYOS!$G$5:$G$3004,"&gt;="&amp;CONFIG!$B$27)=0,"",AVERAGEIFS(ENSAYOS!$Q$5:$Q$3004,ENSAYOS!$C$5:$C$3004,F646,ENSAYOS!$Q$5:$Q$3004,"&gt;0",ENSAYOS!$G$5:$G$3004,"&gt;="&amp;CONFIG!$B$27)))</f>
        <v/>
      </c>
      <c r="W646" s="18" t="str">
        <f aca="false">IF(AND(U646&lt;&gt;"",V646&lt;&gt;""),U646/V646,"")</f>
        <v/>
      </c>
      <c r="X646" s="18" t="str">
        <f aca="false">IF(U646="","",INDEX('CURVA EDAD'!$E$5:$E$32,MIN(28,MAX(1,N646))))</f>
        <v/>
      </c>
      <c r="Y646" s="16" t="str">
        <f aca="false">IF(V646&lt;&gt;"",V646,IF(U646="","",U646/X646))</f>
        <v/>
      </c>
      <c r="Z646" s="16" t="str">
        <f aca="false">IF(V646&lt;&gt;"",_xlfn.MINIFS(ENSAYOS!$Q$5:$Q$3004,ENSAYOS!$C$5:$C$3004,F646,ENSAYOS!$Q$5:$Q$3004,"&gt;0",ENSAYOS!$G$5:$G$3004,"&gt;="&amp;CONFIG!$B$27),IF(U646="","",_xlfn.MINIFS(ENSAYOS!$Q$5:$Q$3004,ENSAYOS!$C$5:$C$3004,F646,ENSAYOS!$Q$5:$Q$3004,"&gt;0",ENSAYOS!$G$5:$G$3004,N646)/X646))</f>
        <v/>
      </c>
      <c r="AA646" s="16" t="str">
        <f aca="false">IF(D646="","",IFERROR(1/(1/INDEX(CONFIG!$J$5:$J$14,MATCH(D646,CONFIG!$D$5:$D$14,0))),""))</f>
        <v/>
      </c>
      <c r="AB646" s="16" t="str">
        <f aca="false">IF(D646="","",IFERROR(1/(1/INDEX(CONFIG!$K$5:$K$14,MATCH(D646,CONFIG!$D$5:$D$14,0))),""))</f>
        <v/>
      </c>
      <c r="AC646" s="19" t="str">
        <f aca="false">IF(N(M646)=0,"",IF(AA646="","Sin spec",IF(AND(Y646&gt;=AA646,OR(AB646="",Z646&gt;=AB646)),"CUMPLE","NO CUMPLE")&amp;IF(V646=""," (est.)","")))</f>
        <v/>
      </c>
      <c r="AD646" s="20" t="str">
        <f aca="false">IF(F646="","",IF(COUNTIFS(ABSORCION!$C$5:$C$1004,F646,ABSORCION!$I$5:$I$1004,"&gt;0")=0,"",AVERAGEIFS(ABSORCION!$I$5:$I$1004,ABSORCION!$C$5:$C$1004,F646,ABSORCION!$I$5:$I$1004,"&gt;0")))</f>
        <v/>
      </c>
      <c r="AE646" s="20" t="str">
        <f aca="false">IF(F646="","",IF(COUNTIFS(ABSORCION!$C$5:$C$1004,F646,ABSORCION!$I$5:$I$1004,"&gt;0")=0,"",AVERAGEIFS(ABSORCION!$K$5:$K$1004,ABSORCION!$C$5:$C$1004,F646,ABSORCION!$I$5:$I$1004,"&gt;0")))</f>
        <v/>
      </c>
      <c r="AF646" s="20" t="str">
        <f aca="false">IF(AE646="","",IF(AE646&gt;=CONFIG!$E$21,CONFIG!$F$21,IF(AE646&gt;=CONFIG!$E$20,CONFIG!$F$20,CONFIG!$F$19)))</f>
        <v/>
      </c>
      <c r="AG646" s="21" t="str">
        <f aca="false">IF(F646="","",TRIM(IF(N(M646)=0,"Sin ensayos. ","")&amp;IF(AND(N(M646)&gt;0,N(M646)&lt;CONFIG!$B$26),"Menos de "&amp;CONFIG!$B$26&amp;" probetas. ","")&amp;IF(N(T646)&gt;CONFIG!$B$25,"CV alto. ","")&amp;IF(AND(N(AD646)&gt;0,N(AD646)&gt;N(AF646)),"Absorción alta. ","")))</f>
        <v/>
      </c>
      <c r="AH646" s="22" t="str">
        <f aca="false">IF(AND(N(M646)&gt;0,OR(CONTROL!$C$4="TODAS",C646=CONTROL!$C$4),D646=CONTROL!$C$5),MAX($AH$4:AH645)+1,"")</f>
        <v/>
      </c>
      <c r="AI646" s="22" t="str">
        <f aca="false">IF(AH646="","",P646^2)</f>
        <v/>
      </c>
    </row>
    <row r="647" customFormat="false" ht="15" hidden="false" customHeight="false" outlineLevel="0" collapsed="false">
      <c r="A647" s="11" t="str">
        <f aca="false">IF(B647="","",ROW()-4)</f>
        <v/>
      </c>
      <c r="B647" s="12"/>
      <c r="C647" s="13"/>
      <c r="D647" s="13"/>
      <c r="E647" s="13"/>
      <c r="F647" s="14" t="str">
        <f aca="false">IF(OR(B647="",C647="",D647=""),"",IFERROR(INDEX(CONFIG!$E$5:$E$14,MATCH(D647,CONFIG!$D$5:$D$14,0)),"?")&amp;RIGHT("0"&amp;DAY(B647),2)&amp;RIGHT("0"&amp;MONTH(B647),2)&amp;RIGHT(YEAR(B647),2)&amp;C647&amp;IF(E647="","","-"&amp;E647))</f>
        <v/>
      </c>
      <c r="G647" s="13"/>
      <c r="H647" s="13"/>
      <c r="I647" s="13"/>
      <c r="J647" s="13"/>
      <c r="K647" s="13"/>
      <c r="L647" s="13"/>
      <c r="M647" s="11" t="str">
        <f aca="false">IF(F647="","",COUNTIFS(ENSAYOS!$C$5:$C$3004,F647,ENSAYOS!$Q$5:$Q$3004,"&gt;0"))</f>
        <v/>
      </c>
      <c r="N647" s="15" t="str">
        <f aca="false">IF(N(M647)=0,"",_xlfn.MINIFS(ENSAYOS!$G$5:$G$3004,ENSAYOS!$C$5:$C$3004,F647,ENSAYOS!$Q$5:$Q$3004,"&gt;0"))</f>
        <v/>
      </c>
      <c r="O647" s="15" t="str">
        <f aca="false">IF(N(M647)=0,"",_xlfn.MAXIFS(ENSAYOS!$G$5:$G$3004,ENSAYOS!$C$5:$C$3004,F647,ENSAYOS!$Q$5:$Q$3004,"&gt;0"))</f>
        <v/>
      </c>
      <c r="P647" s="16" t="str">
        <f aca="false">IF(N(M647)=0,"",AVERAGEIFS(ENSAYOS!$Q$5:$Q$3004,ENSAYOS!$C$5:$C$3004,F647,ENSAYOS!$Q$5:$Q$3004,"&gt;0"))</f>
        <v/>
      </c>
      <c r="Q647" s="16" t="str">
        <f aca="false">IF(N(M647)=0,"",_xlfn.MINIFS(ENSAYOS!$Q$5:$Q$3004,ENSAYOS!$C$5:$C$3004,F647,ENSAYOS!$Q$5:$Q$3004,"&gt;0"))</f>
        <v/>
      </c>
      <c r="R647" s="16" t="str">
        <f aca="false">IF(N(M647)=0,"",_xlfn.MAXIFS(ENSAYOS!$Q$5:$Q$3004,ENSAYOS!$C$5:$C$3004,F647,ENSAYOS!$Q$5:$Q$3004,"&gt;0"))</f>
        <v/>
      </c>
      <c r="S647" s="16" t="str">
        <f aca="false">IF(N(M647)&lt;2,"",SQRT(MAX(0,(SUMIFS(ENSAYOS!$X$5:$X$3004,ENSAYOS!$C$5:$C$3004,F647,ENSAYOS!$Q$5:$Q$3004,"&gt;0")-M647*P647^2)/(M647-1))))</f>
        <v/>
      </c>
      <c r="T647" s="17" t="str">
        <f aca="false">IF(S647="","",S647/P647)</f>
        <v/>
      </c>
      <c r="U647" s="16" t="str">
        <f aca="false">IF(N(M647)=0,"",IF(N647&gt;=CONFIG!$B$27,"",AVERAGEIFS(ENSAYOS!$Q$5:$Q$3004,ENSAYOS!$C$5:$C$3004,F647,ENSAYOS!$Q$5:$Q$3004,"&gt;0",ENSAYOS!$G$5:$G$3004,N647)))</f>
        <v/>
      </c>
      <c r="V647" s="16" t="str">
        <f aca="false">IF(N(M647)=0,"",IF(COUNTIFS(ENSAYOS!$C$5:$C$3004,F647,ENSAYOS!$Q$5:$Q$3004,"&gt;0",ENSAYOS!$G$5:$G$3004,"&gt;="&amp;CONFIG!$B$27)=0,"",AVERAGEIFS(ENSAYOS!$Q$5:$Q$3004,ENSAYOS!$C$5:$C$3004,F647,ENSAYOS!$Q$5:$Q$3004,"&gt;0",ENSAYOS!$G$5:$G$3004,"&gt;="&amp;CONFIG!$B$27)))</f>
        <v/>
      </c>
      <c r="W647" s="18" t="str">
        <f aca="false">IF(AND(U647&lt;&gt;"",V647&lt;&gt;""),U647/V647,"")</f>
        <v/>
      </c>
      <c r="X647" s="18" t="str">
        <f aca="false">IF(U647="","",INDEX('CURVA EDAD'!$E$5:$E$32,MIN(28,MAX(1,N647))))</f>
        <v/>
      </c>
      <c r="Y647" s="16" t="str">
        <f aca="false">IF(V647&lt;&gt;"",V647,IF(U647="","",U647/X647))</f>
        <v/>
      </c>
      <c r="Z647" s="16" t="str">
        <f aca="false">IF(V647&lt;&gt;"",_xlfn.MINIFS(ENSAYOS!$Q$5:$Q$3004,ENSAYOS!$C$5:$C$3004,F647,ENSAYOS!$Q$5:$Q$3004,"&gt;0",ENSAYOS!$G$5:$G$3004,"&gt;="&amp;CONFIG!$B$27),IF(U647="","",_xlfn.MINIFS(ENSAYOS!$Q$5:$Q$3004,ENSAYOS!$C$5:$C$3004,F647,ENSAYOS!$Q$5:$Q$3004,"&gt;0",ENSAYOS!$G$5:$G$3004,N647)/X647))</f>
        <v/>
      </c>
      <c r="AA647" s="16" t="str">
        <f aca="false">IF(D647="","",IFERROR(1/(1/INDEX(CONFIG!$J$5:$J$14,MATCH(D647,CONFIG!$D$5:$D$14,0))),""))</f>
        <v/>
      </c>
      <c r="AB647" s="16" t="str">
        <f aca="false">IF(D647="","",IFERROR(1/(1/INDEX(CONFIG!$K$5:$K$14,MATCH(D647,CONFIG!$D$5:$D$14,0))),""))</f>
        <v/>
      </c>
      <c r="AC647" s="19" t="str">
        <f aca="false">IF(N(M647)=0,"",IF(AA647="","Sin spec",IF(AND(Y647&gt;=AA647,OR(AB647="",Z647&gt;=AB647)),"CUMPLE","NO CUMPLE")&amp;IF(V647=""," (est.)","")))</f>
        <v/>
      </c>
      <c r="AD647" s="20" t="str">
        <f aca="false">IF(F647="","",IF(COUNTIFS(ABSORCION!$C$5:$C$1004,F647,ABSORCION!$I$5:$I$1004,"&gt;0")=0,"",AVERAGEIFS(ABSORCION!$I$5:$I$1004,ABSORCION!$C$5:$C$1004,F647,ABSORCION!$I$5:$I$1004,"&gt;0")))</f>
        <v/>
      </c>
      <c r="AE647" s="20" t="str">
        <f aca="false">IF(F647="","",IF(COUNTIFS(ABSORCION!$C$5:$C$1004,F647,ABSORCION!$I$5:$I$1004,"&gt;0")=0,"",AVERAGEIFS(ABSORCION!$K$5:$K$1004,ABSORCION!$C$5:$C$1004,F647,ABSORCION!$I$5:$I$1004,"&gt;0")))</f>
        <v/>
      </c>
      <c r="AF647" s="20" t="str">
        <f aca="false">IF(AE647="","",IF(AE647&gt;=CONFIG!$E$21,CONFIG!$F$21,IF(AE647&gt;=CONFIG!$E$20,CONFIG!$F$20,CONFIG!$F$19)))</f>
        <v/>
      </c>
      <c r="AG647" s="21" t="str">
        <f aca="false">IF(F647="","",TRIM(IF(N(M647)=0,"Sin ensayos. ","")&amp;IF(AND(N(M647)&gt;0,N(M647)&lt;CONFIG!$B$26),"Menos de "&amp;CONFIG!$B$26&amp;" probetas. ","")&amp;IF(N(T647)&gt;CONFIG!$B$25,"CV alto. ","")&amp;IF(AND(N(AD647)&gt;0,N(AD647)&gt;N(AF647)),"Absorción alta. ","")))</f>
        <v/>
      </c>
      <c r="AH647" s="22" t="str">
        <f aca="false">IF(AND(N(M647)&gt;0,OR(CONTROL!$C$4="TODAS",C647=CONTROL!$C$4),D647=CONTROL!$C$5),MAX($AH$4:AH646)+1,"")</f>
        <v/>
      </c>
      <c r="AI647" s="22" t="str">
        <f aca="false">IF(AH647="","",P647^2)</f>
        <v/>
      </c>
    </row>
    <row r="648" customFormat="false" ht="15" hidden="false" customHeight="false" outlineLevel="0" collapsed="false">
      <c r="A648" s="11" t="str">
        <f aca="false">IF(B648="","",ROW()-4)</f>
        <v/>
      </c>
      <c r="B648" s="12"/>
      <c r="C648" s="13"/>
      <c r="D648" s="13"/>
      <c r="E648" s="13"/>
      <c r="F648" s="14" t="str">
        <f aca="false">IF(OR(B648="",C648="",D648=""),"",IFERROR(INDEX(CONFIG!$E$5:$E$14,MATCH(D648,CONFIG!$D$5:$D$14,0)),"?")&amp;RIGHT("0"&amp;DAY(B648),2)&amp;RIGHT("0"&amp;MONTH(B648),2)&amp;RIGHT(YEAR(B648),2)&amp;C648&amp;IF(E648="","","-"&amp;E648))</f>
        <v/>
      </c>
      <c r="G648" s="13"/>
      <c r="H648" s="13"/>
      <c r="I648" s="13"/>
      <c r="J648" s="13"/>
      <c r="K648" s="13"/>
      <c r="L648" s="13"/>
      <c r="M648" s="11" t="str">
        <f aca="false">IF(F648="","",COUNTIFS(ENSAYOS!$C$5:$C$3004,F648,ENSAYOS!$Q$5:$Q$3004,"&gt;0"))</f>
        <v/>
      </c>
      <c r="N648" s="15" t="str">
        <f aca="false">IF(N(M648)=0,"",_xlfn.MINIFS(ENSAYOS!$G$5:$G$3004,ENSAYOS!$C$5:$C$3004,F648,ENSAYOS!$Q$5:$Q$3004,"&gt;0"))</f>
        <v/>
      </c>
      <c r="O648" s="15" t="str">
        <f aca="false">IF(N(M648)=0,"",_xlfn.MAXIFS(ENSAYOS!$G$5:$G$3004,ENSAYOS!$C$5:$C$3004,F648,ENSAYOS!$Q$5:$Q$3004,"&gt;0"))</f>
        <v/>
      </c>
      <c r="P648" s="16" t="str">
        <f aca="false">IF(N(M648)=0,"",AVERAGEIFS(ENSAYOS!$Q$5:$Q$3004,ENSAYOS!$C$5:$C$3004,F648,ENSAYOS!$Q$5:$Q$3004,"&gt;0"))</f>
        <v/>
      </c>
      <c r="Q648" s="16" t="str">
        <f aca="false">IF(N(M648)=0,"",_xlfn.MINIFS(ENSAYOS!$Q$5:$Q$3004,ENSAYOS!$C$5:$C$3004,F648,ENSAYOS!$Q$5:$Q$3004,"&gt;0"))</f>
        <v/>
      </c>
      <c r="R648" s="16" t="str">
        <f aca="false">IF(N(M648)=0,"",_xlfn.MAXIFS(ENSAYOS!$Q$5:$Q$3004,ENSAYOS!$C$5:$C$3004,F648,ENSAYOS!$Q$5:$Q$3004,"&gt;0"))</f>
        <v/>
      </c>
      <c r="S648" s="16" t="str">
        <f aca="false">IF(N(M648)&lt;2,"",SQRT(MAX(0,(SUMIFS(ENSAYOS!$X$5:$X$3004,ENSAYOS!$C$5:$C$3004,F648,ENSAYOS!$Q$5:$Q$3004,"&gt;0")-M648*P648^2)/(M648-1))))</f>
        <v/>
      </c>
      <c r="T648" s="17" t="str">
        <f aca="false">IF(S648="","",S648/P648)</f>
        <v/>
      </c>
      <c r="U648" s="16" t="str">
        <f aca="false">IF(N(M648)=0,"",IF(N648&gt;=CONFIG!$B$27,"",AVERAGEIFS(ENSAYOS!$Q$5:$Q$3004,ENSAYOS!$C$5:$C$3004,F648,ENSAYOS!$Q$5:$Q$3004,"&gt;0",ENSAYOS!$G$5:$G$3004,N648)))</f>
        <v/>
      </c>
      <c r="V648" s="16" t="str">
        <f aca="false">IF(N(M648)=0,"",IF(COUNTIFS(ENSAYOS!$C$5:$C$3004,F648,ENSAYOS!$Q$5:$Q$3004,"&gt;0",ENSAYOS!$G$5:$G$3004,"&gt;="&amp;CONFIG!$B$27)=0,"",AVERAGEIFS(ENSAYOS!$Q$5:$Q$3004,ENSAYOS!$C$5:$C$3004,F648,ENSAYOS!$Q$5:$Q$3004,"&gt;0",ENSAYOS!$G$5:$G$3004,"&gt;="&amp;CONFIG!$B$27)))</f>
        <v/>
      </c>
      <c r="W648" s="18" t="str">
        <f aca="false">IF(AND(U648&lt;&gt;"",V648&lt;&gt;""),U648/V648,"")</f>
        <v/>
      </c>
      <c r="X648" s="18" t="str">
        <f aca="false">IF(U648="","",INDEX('CURVA EDAD'!$E$5:$E$32,MIN(28,MAX(1,N648))))</f>
        <v/>
      </c>
      <c r="Y648" s="16" t="str">
        <f aca="false">IF(V648&lt;&gt;"",V648,IF(U648="","",U648/X648))</f>
        <v/>
      </c>
      <c r="Z648" s="16" t="str">
        <f aca="false">IF(V648&lt;&gt;"",_xlfn.MINIFS(ENSAYOS!$Q$5:$Q$3004,ENSAYOS!$C$5:$C$3004,F648,ENSAYOS!$Q$5:$Q$3004,"&gt;0",ENSAYOS!$G$5:$G$3004,"&gt;="&amp;CONFIG!$B$27),IF(U648="","",_xlfn.MINIFS(ENSAYOS!$Q$5:$Q$3004,ENSAYOS!$C$5:$C$3004,F648,ENSAYOS!$Q$5:$Q$3004,"&gt;0",ENSAYOS!$G$5:$G$3004,N648)/X648))</f>
        <v/>
      </c>
      <c r="AA648" s="16" t="str">
        <f aca="false">IF(D648="","",IFERROR(1/(1/INDEX(CONFIG!$J$5:$J$14,MATCH(D648,CONFIG!$D$5:$D$14,0))),""))</f>
        <v/>
      </c>
      <c r="AB648" s="16" t="str">
        <f aca="false">IF(D648="","",IFERROR(1/(1/INDEX(CONFIG!$K$5:$K$14,MATCH(D648,CONFIG!$D$5:$D$14,0))),""))</f>
        <v/>
      </c>
      <c r="AC648" s="19" t="str">
        <f aca="false">IF(N(M648)=0,"",IF(AA648="","Sin spec",IF(AND(Y648&gt;=AA648,OR(AB648="",Z648&gt;=AB648)),"CUMPLE","NO CUMPLE")&amp;IF(V648=""," (est.)","")))</f>
        <v/>
      </c>
      <c r="AD648" s="20" t="str">
        <f aca="false">IF(F648="","",IF(COUNTIFS(ABSORCION!$C$5:$C$1004,F648,ABSORCION!$I$5:$I$1004,"&gt;0")=0,"",AVERAGEIFS(ABSORCION!$I$5:$I$1004,ABSORCION!$C$5:$C$1004,F648,ABSORCION!$I$5:$I$1004,"&gt;0")))</f>
        <v/>
      </c>
      <c r="AE648" s="20" t="str">
        <f aca="false">IF(F648="","",IF(COUNTIFS(ABSORCION!$C$5:$C$1004,F648,ABSORCION!$I$5:$I$1004,"&gt;0")=0,"",AVERAGEIFS(ABSORCION!$K$5:$K$1004,ABSORCION!$C$5:$C$1004,F648,ABSORCION!$I$5:$I$1004,"&gt;0")))</f>
        <v/>
      </c>
      <c r="AF648" s="20" t="str">
        <f aca="false">IF(AE648="","",IF(AE648&gt;=CONFIG!$E$21,CONFIG!$F$21,IF(AE648&gt;=CONFIG!$E$20,CONFIG!$F$20,CONFIG!$F$19)))</f>
        <v/>
      </c>
      <c r="AG648" s="21" t="str">
        <f aca="false">IF(F648="","",TRIM(IF(N(M648)=0,"Sin ensayos. ","")&amp;IF(AND(N(M648)&gt;0,N(M648)&lt;CONFIG!$B$26),"Menos de "&amp;CONFIG!$B$26&amp;" probetas. ","")&amp;IF(N(T648)&gt;CONFIG!$B$25,"CV alto. ","")&amp;IF(AND(N(AD648)&gt;0,N(AD648)&gt;N(AF648)),"Absorción alta. ","")))</f>
        <v/>
      </c>
      <c r="AH648" s="22" t="str">
        <f aca="false">IF(AND(N(M648)&gt;0,OR(CONTROL!$C$4="TODAS",C648=CONTROL!$C$4),D648=CONTROL!$C$5),MAX($AH$4:AH647)+1,"")</f>
        <v/>
      </c>
      <c r="AI648" s="22" t="str">
        <f aca="false">IF(AH648="","",P648^2)</f>
        <v/>
      </c>
    </row>
    <row r="649" customFormat="false" ht="15" hidden="false" customHeight="false" outlineLevel="0" collapsed="false">
      <c r="A649" s="11" t="str">
        <f aca="false">IF(B649="","",ROW()-4)</f>
        <v/>
      </c>
      <c r="B649" s="12"/>
      <c r="C649" s="13"/>
      <c r="D649" s="13"/>
      <c r="E649" s="13"/>
      <c r="F649" s="14" t="str">
        <f aca="false">IF(OR(B649="",C649="",D649=""),"",IFERROR(INDEX(CONFIG!$E$5:$E$14,MATCH(D649,CONFIG!$D$5:$D$14,0)),"?")&amp;RIGHT("0"&amp;DAY(B649),2)&amp;RIGHT("0"&amp;MONTH(B649),2)&amp;RIGHT(YEAR(B649),2)&amp;C649&amp;IF(E649="","","-"&amp;E649))</f>
        <v/>
      </c>
      <c r="G649" s="13"/>
      <c r="H649" s="13"/>
      <c r="I649" s="13"/>
      <c r="J649" s="13"/>
      <c r="K649" s="13"/>
      <c r="L649" s="13"/>
      <c r="M649" s="11" t="str">
        <f aca="false">IF(F649="","",COUNTIFS(ENSAYOS!$C$5:$C$3004,F649,ENSAYOS!$Q$5:$Q$3004,"&gt;0"))</f>
        <v/>
      </c>
      <c r="N649" s="15" t="str">
        <f aca="false">IF(N(M649)=0,"",_xlfn.MINIFS(ENSAYOS!$G$5:$G$3004,ENSAYOS!$C$5:$C$3004,F649,ENSAYOS!$Q$5:$Q$3004,"&gt;0"))</f>
        <v/>
      </c>
      <c r="O649" s="15" t="str">
        <f aca="false">IF(N(M649)=0,"",_xlfn.MAXIFS(ENSAYOS!$G$5:$G$3004,ENSAYOS!$C$5:$C$3004,F649,ENSAYOS!$Q$5:$Q$3004,"&gt;0"))</f>
        <v/>
      </c>
      <c r="P649" s="16" t="str">
        <f aca="false">IF(N(M649)=0,"",AVERAGEIFS(ENSAYOS!$Q$5:$Q$3004,ENSAYOS!$C$5:$C$3004,F649,ENSAYOS!$Q$5:$Q$3004,"&gt;0"))</f>
        <v/>
      </c>
      <c r="Q649" s="16" t="str">
        <f aca="false">IF(N(M649)=0,"",_xlfn.MINIFS(ENSAYOS!$Q$5:$Q$3004,ENSAYOS!$C$5:$C$3004,F649,ENSAYOS!$Q$5:$Q$3004,"&gt;0"))</f>
        <v/>
      </c>
      <c r="R649" s="16" t="str">
        <f aca="false">IF(N(M649)=0,"",_xlfn.MAXIFS(ENSAYOS!$Q$5:$Q$3004,ENSAYOS!$C$5:$C$3004,F649,ENSAYOS!$Q$5:$Q$3004,"&gt;0"))</f>
        <v/>
      </c>
      <c r="S649" s="16" t="str">
        <f aca="false">IF(N(M649)&lt;2,"",SQRT(MAX(0,(SUMIFS(ENSAYOS!$X$5:$X$3004,ENSAYOS!$C$5:$C$3004,F649,ENSAYOS!$Q$5:$Q$3004,"&gt;0")-M649*P649^2)/(M649-1))))</f>
        <v/>
      </c>
      <c r="T649" s="17" t="str">
        <f aca="false">IF(S649="","",S649/P649)</f>
        <v/>
      </c>
      <c r="U649" s="16" t="str">
        <f aca="false">IF(N(M649)=0,"",IF(N649&gt;=CONFIG!$B$27,"",AVERAGEIFS(ENSAYOS!$Q$5:$Q$3004,ENSAYOS!$C$5:$C$3004,F649,ENSAYOS!$Q$5:$Q$3004,"&gt;0",ENSAYOS!$G$5:$G$3004,N649)))</f>
        <v/>
      </c>
      <c r="V649" s="16" t="str">
        <f aca="false">IF(N(M649)=0,"",IF(COUNTIFS(ENSAYOS!$C$5:$C$3004,F649,ENSAYOS!$Q$5:$Q$3004,"&gt;0",ENSAYOS!$G$5:$G$3004,"&gt;="&amp;CONFIG!$B$27)=0,"",AVERAGEIFS(ENSAYOS!$Q$5:$Q$3004,ENSAYOS!$C$5:$C$3004,F649,ENSAYOS!$Q$5:$Q$3004,"&gt;0",ENSAYOS!$G$5:$G$3004,"&gt;="&amp;CONFIG!$B$27)))</f>
        <v/>
      </c>
      <c r="W649" s="18" t="str">
        <f aca="false">IF(AND(U649&lt;&gt;"",V649&lt;&gt;""),U649/V649,"")</f>
        <v/>
      </c>
      <c r="X649" s="18" t="str">
        <f aca="false">IF(U649="","",INDEX('CURVA EDAD'!$E$5:$E$32,MIN(28,MAX(1,N649))))</f>
        <v/>
      </c>
      <c r="Y649" s="16" t="str">
        <f aca="false">IF(V649&lt;&gt;"",V649,IF(U649="","",U649/X649))</f>
        <v/>
      </c>
      <c r="Z649" s="16" t="str">
        <f aca="false">IF(V649&lt;&gt;"",_xlfn.MINIFS(ENSAYOS!$Q$5:$Q$3004,ENSAYOS!$C$5:$C$3004,F649,ENSAYOS!$Q$5:$Q$3004,"&gt;0",ENSAYOS!$G$5:$G$3004,"&gt;="&amp;CONFIG!$B$27),IF(U649="","",_xlfn.MINIFS(ENSAYOS!$Q$5:$Q$3004,ENSAYOS!$C$5:$C$3004,F649,ENSAYOS!$Q$5:$Q$3004,"&gt;0",ENSAYOS!$G$5:$G$3004,N649)/X649))</f>
        <v/>
      </c>
      <c r="AA649" s="16" t="str">
        <f aca="false">IF(D649="","",IFERROR(1/(1/INDEX(CONFIG!$J$5:$J$14,MATCH(D649,CONFIG!$D$5:$D$14,0))),""))</f>
        <v/>
      </c>
      <c r="AB649" s="16" t="str">
        <f aca="false">IF(D649="","",IFERROR(1/(1/INDEX(CONFIG!$K$5:$K$14,MATCH(D649,CONFIG!$D$5:$D$14,0))),""))</f>
        <v/>
      </c>
      <c r="AC649" s="19" t="str">
        <f aca="false">IF(N(M649)=0,"",IF(AA649="","Sin spec",IF(AND(Y649&gt;=AA649,OR(AB649="",Z649&gt;=AB649)),"CUMPLE","NO CUMPLE")&amp;IF(V649=""," (est.)","")))</f>
        <v/>
      </c>
      <c r="AD649" s="20" t="str">
        <f aca="false">IF(F649="","",IF(COUNTIFS(ABSORCION!$C$5:$C$1004,F649,ABSORCION!$I$5:$I$1004,"&gt;0")=0,"",AVERAGEIFS(ABSORCION!$I$5:$I$1004,ABSORCION!$C$5:$C$1004,F649,ABSORCION!$I$5:$I$1004,"&gt;0")))</f>
        <v/>
      </c>
      <c r="AE649" s="20" t="str">
        <f aca="false">IF(F649="","",IF(COUNTIFS(ABSORCION!$C$5:$C$1004,F649,ABSORCION!$I$5:$I$1004,"&gt;0")=0,"",AVERAGEIFS(ABSORCION!$K$5:$K$1004,ABSORCION!$C$5:$C$1004,F649,ABSORCION!$I$5:$I$1004,"&gt;0")))</f>
        <v/>
      </c>
      <c r="AF649" s="20" t="str">
        <f aca="false">IF(AE649="","",IF(AE649&gt;=CONFIG!$E$21,CONFIG!$F$21,IF(AE649&gt;=CONFIG!$E$20,CONFIG!$F$20,CONFIG!$F$19)))</f>
        <v/>
      </c>
      <c r="AG649" s="21" t="str">
        <f aca="false">IF(F649="","",TRIM(IF(N(M649)=0,"Sin ensayos. ","")&amp;IF(AND(N(M649)&gt;0,N(M649)&lt;CONFIG!$B$26),"Menos de "&amp;CONFIG!$B$26&amp;" probetas. ","")&amp;IF(N(T649)&gt;CONFIG!$B$25,"CV alto. ","")&amp;IF(AND(N(AD649)&gt;0,N(AD649)&gt;N(AF649)),"Absorción alta. ","")))</f>
        <v/>
      </c>
      <c r="AH649" s="22" t="str">
        <f aca="false">IF(AND(N(M649)&gt;0,OR(CONTROL!$C$4="TODAS",C649=CONTROL!$C$4),D649=CONTROL!$C$5),MAX($AH$4:AH648)+1,"")</f>
        <v/>
      </c>
      <c r="AI649" s="22" t="str">
        <f aca="false">IF(AH649="","",P649^2)</f>
        <v/>
      </c>
    </row>
    <row r="650" customFormat="false" ht="15" hidden="false" customHeight="false" outlineLevel="0" collapsed="false">
      <c r="A650" s="11" t="str">
        <f aca="false">IF(B650="","",ROW()-4)</f>
        <v/>
      </c>
      <c r="B650" s="12"/>
      <c r="C650" s="13"/>
      <c r="D650" s="13"/>
      <c r="E650" s="13"/>
      <c r="F650" s="14" t="str">
        <f aca="false">IF(OR(B650="",C650="",D650=""),"",IFERROR(INDEX(CONFIG!$E$5:$E$14,MATCH(D650,CONFIG!$D$5:$D$14,0)),"?")&amp;RIGHT("0"&amp;DAY(B650),2)&amp;RIGHT("0"&amp;MONTH(B650),2)&amp;RIGHT(YEAR(B650),2)&amp;C650&amp;IF(E650="","","-"&amp;E650))</f>
        <v/>
      </c>
      <c r="G650" s="13"/>
      <c r="H650" s="13"/>
      <c r="I650" s="13"/>
      <c r="J650" s="13"/>
      <c r="K650" s="13"/>
      <c r="L650" s="13"/>
      <c r="M650" s="11" t="str">
        <f aca="false">IF(F650="","",COUNTIFS(ENSAYOS!$C$5:$C$3004,F650,ENSAYOS!$Q$5:$Q$3004,"&gt;0"))</f>
        <v/>
      </c>
      <c r="N650" s="15" t="str">
        <f aca="false">IF(N(M650)=0,"",_xlfn.MINIFS(ENSAYOS!$G$5:$G$3004,ENSAYOS!$C$5:$C$3004,F650,ENSAYOS!$Q$5:$Q$3004,"&gt;0"))</f>
        <v/>
      </c>
      <c r="O650" s="15" t="str">
        <f aca="false">IF(N(M650)=0,"",_xlfn.MAXIFS(ENSAYOS!$G$5:$G$3004,ENSAYOS!$C$5:$C$3004,F650,ENSAYOS!$Q$5:$Q$3004,"&gt;0"))</f>
        <v/>
      </c>
      <c r="P650" s="16" t="str">
        <f aca="false">IF(N(M650)=0,"",AVERAGEIFS(ENSAYOS!$Q$5:$Q$3004,ENSAYOS!$C$5:$C$3004,F650,ENSAYOS!$Q$5:$Q$3004,"&gt;0"))</f>
        <v/>
      </c>
      <c r="Q650" s="16" t="str">
        <f aca="false">IF(N(M650)=0,"",_xlfn.MINIFS(ENSAYOS!$Q$5:$Q$3004,ENSAYOS!$C$5:$C$3004,F650,ENSAYOS!$Q$5:$Q$3004,"&gt;0"))</f>
        <v/>
      </c>
      <c r="R650" s="16" t="str">
        <f aca="false">IF(N(M650)=0,"",_xlfn.MAXIFS(ENSAYOS!$Q$5:$Q$3004,ENSAYOS!$C$5:$C$3004,F650,ENSAYOS!$Q$5:$Q$3004,"&gt;0"))</f>
        <v/>
      </c>
      <c r="S650" s="16" t="str">
        <f aca="false">IF(N(M650)&lt;2,"",SQRT(MAX(0,(SUMIFS(ENSAYOS!$X$5:$X$3004,ENSAYOS!$C$5:$C$3004,F650,ENSAYOS!$Q$5:$Q$3004,"&gt;0")-M650*P650^2)/(M650-1))))</f>
        <v/>
      </c>
      <c r="T650" s="17" t="str">
        <f aca="false">IF(S650="","",S650/P650)</f>
        <v/>
      </c>
      <c r="U650" s="16" t="str">
        <f aca="false">IF(N(M650)=0,"",IF(N650&gt;=CONFIG!$B$27,"",AVERAGEIFS(ENSAYOS!$Q$5:$Q$3004,ENSAYOS!$C$5:$C$3004,F650,ENSAYOS!$Q$5:$Q$3004,"&gt;0",ENSAYOS!$G$5:$G$3004,N650)))</f>
        <v/>
      </c>
      <c r="V650" s="16" t="str">
        <f aca="false">IF(N(M650)=0,"",IF(COUNTIFS(ENSAYOS!$C$5:$C$3004,F650,ENSAYOS!$Q$5:$Q$3004,"&gt;0",ENSAYOS!$G$5:$G$3004,"&gt;="&amp;CONFIG!$B$27)=0,"",AVERAGEIFS(ENSAYOS!$Q$5:$Q$3004,ENSAYOS!$C$5:$C$3004,F650,ENSAYOS!$Q$5:$Q$3004,"&gt;0",ENSAYOS!$G$5:$G$3004,"&gt;="&amp;CONFIG!$B$27)))</f>
        <v/>
      </c>
      <c r="W650" s="18" t="str">
        <f aca="false">IF(AND(U650&lt;&gt;"",V650&lt;&gt;""),U650/V650,"")</f>
        <v/>
      </c>
      <c r="X650" s="18" t="str">
        <f aca="false">IF(U650="","",INDEX('CURVA EDAD'!$E$5:$E$32,MIN(28,MAX(1,N650))))</f>
        <v/>
      </c>
      <c r="Y650" s="16" t="str">
        <f aca="false">IF(V650&lt;&gt;"",V650,IF(U650="","",U650/X650))</f>
        <v/>
      </c>
      <c r="Z650" s="16" t="str">
        <f aca="false">IF(V650&lt;&gt;"",_xlfn.MINIFS(ENSAYOS!$Q$5:$Q$3004,ENSAYOS!$C$5:$C$3004,F650,ENSAYOS!$Q$5:$Q$3004,"&gt;0",ENSAYOS!$G$5:$G$3004,"&gt;="&amp;CONFIG!$B$27),IF(U650="","",_xlfn.MINIFS(ENSAYOS!$Q$5:$Q$3004,ENSAYOS!$C$5:$C$3004,F650,ENSAYOS!$Q$5:$Q$3004,"&gt;0",ENSAYOS!$G$5:$G$3004,N650)/X650))</f>
        <v/>
      </c>
      <c r="AA650" s="16" t="str">
        <f aca="false">IF(D650="","",IFERROR(1/(1/INDEX(CONFIG!$J$5:$J$14,MATCH(D650,CONFIG!$D$5:$D$14,0))),""))</f>
        <v/>
      </c>
      <c r="AB650" s="16" t="str">
        <f aca="false">IF(D650="","",IFERROR(1/(1/INDEX(CONFIG!$K$5:$K$14,MATCH(D650,CONFIG!$D$5:$D$14,0))),""))</f>
        <v/>
      </c>
      <c r="AC650" s="19" t="str">
        <f aca="false">IF(N(M650)=0,"",IF(AA650="","Sin spec",IF(AND(Y650&gt;=AA650,OR(AB650="",Z650&gt;=AB650)),"CUMPLE","NO CUMPLE")&amp;IF(V650=""," (est.)","")))</f>
        <v/>
      </c>
      <c r="AD650" s="20" t="str">
        <f aca="false">IF(F650="","",IF(COUNTIFS(ABSORCION!$C$5:$C$1004,F650,ABSORCION!$I$5:$I$1004,"&gt;0")=0,"",AVERAGEIFS(ABSORCION!$I$5:$I$1004,ABSORCION!$C$5:$C$1004,F650,ABSORCION!$I$5:$I$1004,"&gt;0")))</f>
        <v/>
      </c>
      <c r="AE650" s="20" t="str">
        <f aca="false">IF(F650="","",IF(COUNTIFS(ABSORCION!$C$5:$C$1004,F650,ABSORCION!$I$5:$I$1004,"&gt;0")=0,"",AVERAGEIFS(ABSORCION!$K$5:$K$1004,ABSORCION!$C$5:$C$1004,F650,ABSORCION!$I$5:$I$1004,"&gt;0")))</f>
        <v/>
      </c>
      <c r="AF650" s="20" t="str">
        <f aca="false">IF(AE650="","",IF(AE650&gt;=CONFIG!$E$21,CONFIG!$F$21,IF(AE650&gt;=CONFIG!$E$20,CONFIG!$F$20,CONFIG!$F$19)))</f>
        <v/>
      </c>
      <c r="AG650" s="21" t="str">
        <f aca="false">IF(F650="","",TRIM(IF(N(M650)=0,"Sin ensayos. ","")&amp;IF(AND(N(M650)&gt;0,N(M650)&lt;CONFIG!$B$26),"Menos de "&amp;CONFIG!$B$26&amp;" probetas. ","")&amp;IF(N(T650)&gt;CONFIG!$B$25,"CV alto. ","")&amp;IF(AND(N(AD650)&gt;0,N(AD650)&gt;N(AF650)),"Absorción alta. ","")))</f>
        <v/>
      </c>
      <c r="AH650" s="22" t="str">
        <f aca="false">IF(AND(N(M650)&gt;0,OR(CONTROL!$C$4="TODAS",C650=CONTROL!$C$4),D650=CONTROL!$C$5),MAX($AH$4:AH649)+1,"")</f>
        <v/>
      </c>
      <c r="AI650" s="22" t="str">
        <f aca="false">IF(AH650="","",P650^2)</f>
        <v/>
      </c>
    </row>
    <row r="651" customFormat="false" ht="15" hidden="false" customHeight="false" outlineLevel="0" collapsed="false">
      <c r="A651" s="11" t="str">
        <f aca="false">IF(B651="","",ROW()-4)</f>
        <v/>
      </c>
      <c r="B651" s="12"/>
      <c r="C651" s="13"/>
      <c r="D651" s="13"/>
      <c r="E651" s="13"/>
      <c r="F651" s="14" t="str">
        <f aca="false">IF(OR(B651="",C651="",D651=""),"",IFERROR(INDEX(CONFIG!$E$5:$E$14,MATCH(D651,CONFIG!$D$5:$D$14,0)),"?")&amp;RIGHT("0"&amp;DAY(B651),2)&amp;RIGHT("0"&amp;MONTH(B651),2)&amp;RIGHT(YEAR(B651),2)&amp;C651&amp;IF(E651="","","-"&amp;E651))</f>
        <v/>
      </c>
      <c r="G651" s="13"/>
      <c r="H651" s="13"/>
      <c r="I651" s="13"/>
      <c r="J651" s="13"/>
      <c r="K651" s="13"/>
      <c r="L651" s="13"/>
      <c r="M651" s="11" t="str">
        <f aca="false">IF(F651="","",COUNTIFS(ENSAYOS!$C$5:$C$3004,F651,ENSAYOS!$Q$5:$Q$3004,"&gt;0"))</f>
        <v/>
      </c>
      <c r="N651" s="15" t="str">
        <f aca="false">IF(N(M651)=0,"",_xlfn.MINIFS(ENSAYOS!$G$5:$G$3004,ENSAYOS!$C$5:$C$3004,F651,ENSAYOS!$Q$5:$Q$3004,"&gt;0"))</f>
        <v/>
      </c>
      <c r="O651" s="15" t="str">
        <f aca="false">IF(N(M651)=0,"",_xlfn.MAXIFS(ENSAYOS!$G$5:$G$3004,ENSAYOS!$C$5:$C$3004,F651,ENSAYOS!$Q$5:$Q$3004,"&gt;0"))</f>
        <v/>
      </c>
      <c r="P651" s="16" t="str">
        <f aca="false">IF(N(M651)=0,"",AVERAGEIFS(ENSAYOS!$Q$5:$Q$3004,ENSAYOS!$C$5:$C$3004,F651,ENSAYOS!$Q$5:$Q$3004,"&gt;0"))</f>
        <v/>
      </c>
      <c r="Q651" s="16" t="str">
        <f aca="false">IF(N(M651)=0,"",_xlfn.MINIFS(ENSAYOS!$Q$5:$Q$3004,ENSAYOS!$C$5:$C$3004,F651,ENSAYOS!$Q$5:$Q$3004,"&gt;0"))</f>
        <v/>
      </c>
      <c r="R651" s="16" t="str">
        <f aca="false">IF(N(M651)=0,"",_xlfn.MAXIFS(ENSAYOS!$Q$5:$Q$3004,ENSAYOS!$C$5:$C$3004,F651,ENSAYOS!$Q$5:$Q$3004,"&gt;0"))</f>
        <v/>
      </c>
      <c r="S651" s="16" t="str">
        <f aca="false">IF(N(M651)&lt;2,"",SQRT(MAX(0,(SUMIFS(ENSAYOS!$X$5:$X$3004,ENSAYOS!$C$5:$C$3004,F651,ENSAYOS!$Q$5:$Q$3004,"&gt;0")-M651*P651^2)/(M651-1))))</f>
        <v/>
      </c>
      <c r="T651" s="17" t="str">
        <f aca="false">IF(S651="","",S651/P651)</f>
        <v/>
      </c>
      <c r="U651" s="16" t="str">
        <f aca="false">IF(N(M651)=0,"",IF(N651&gt;=CONFIG!$B$27,"",AVERAGEIFS(ENSAYOS!$Q$5:$Q$3004,ENSAYOS!$C$5:$C$3004,F651,ENSAYOS!$Q$5:$Q$3004,"&gt;0",ENSAYOS!$G$5:$G$3004,N651)))</f>
        <v/>
      </c>
      <c r="V651" s="16" t="str">
        <f aca="false">IF(N(M651)=0,"",IF(COUNTIFS(ENSAYOS!$C$5:$C$3004,F651,ENSAYOS!$Q$5:$Q$3004,"&gt;0",ENSAYOS!$G$5:$G$3004,"&gt;="&amp;CONFIG!$B$27)=0,"",AVERAGEIFS(ENSAYOS!$Q$5:$Q$3004,ENSAYOS!$C$5:$C$3004,F651,ENSAYOS!$Q$5:$Q$3004,"&gt;0",ENSAYOS!$G$5:$G$3004,"&gt;="&amp;CONFIG!$B$27)))</f>
        <v/>
      </c>
      <c r="W651" s="18" t="str">
        <f aca="false">IF(AND(U651&lt;&gt;"",V651&lt;&gt;""),U651/V651,"")</f>
        <v/>
      </c>
      <c r="X651" s="18" t="str">
        <f aca="false">IF(U651="","",INDEX('CURVA EDAD'!$E$5:$E$32,MIN(28,MAX(1,N651))))</f>
        <v/>
      </c>
      <c r="Y651" s="16" t="str">
        <f aca="false">IF(V651&lt;&gt;"",V651,IF(U651="","",U651/X651))</f>
        <v/>
      </c>
      <c r="Z651" s="16" t="str">
        <f aca="false">IF(V651&lt;&gt;"",_xlfn.MINIFS(ENSAYOS!$Q$5:$Q$3004,ENSAYOS!$C$5:$C$3004,F651,ENSAYOS!$Q$5:$Q$3004,"&gt;0",ENSAYOS!$G$5:$G$3004,"&gt;="&amp;CONFIG!$B$27),IF(U651="","",_xlfn.MINIFS(ENSAYOS!$Q$5:$Q$3004,ENSAYOS!$C$5:$C$3004,F651,ENSAYOS!$Q$5:$Q$3004,"&gt;0",ENSAYOS!$G$5:$G$3004,N651)/X651))</f>
        <v/>
      </c>
      <c r="AA651" s="16" t="str">
        <f aca="false">IF(D651="","",IFERROR(1/(1/INDEX(CONFIG!$J$5:$J$14,MATCH(D651,CONFIG!$D$5:$D$14,0))),""))</f>
        <v/>
      </c>
      <c r="AB651" s="16" t="str">
        <f aca="false">IF(D651="","",IFERROR(1/(1/INDEX(CONFIG!$K$5:$K$14,MATCH(D651,CONFIG!$D$5:$D$14,0))),""))</f>
        <v/>
      </c>
      <c r="AC651" s="19" t="str">
        <f aca="false">IF(N(M651)=0,"",IF(AA651="","Sin spec",IF(AND(Y651&gt;=AA651,OR(AB651="",Z651&gt;=AB651)),"CUMPLE","NO CUMPLE")&amp;IF(V651=""," (est.)","")))</f>
        <v/>
      </c>
      <c r="AD651" s="20" t="str">
        <f aca="false">IF(F651="","",IF(COUNTIFS(ABSORCION!$C$5:$C$1004,F651,ABSORCION!$I$5:$I$1004,"&gt;0")=0,"",AVERAGEIFS(ABSORCION!$I$5:$I$1004,ABSORCION!$C$5:$C$1004,F651,ABSORCION!$I$5:$I$1004,"&gt;0")))</f>
        <v/>
      </c>
      <c r="AE651" s="20" t="str">
        <f aca="false">IF(F651="","",IF(COUNTIFS(ABSORCION!$C$5:$C$1004,F651,ABSORCION!$I$5:$I$1004,"&gt;0")=0,"",AVERAGEIFS(ABSORCION!$K$5:$K$1004,ABSORCION!$C$5:$C$1004,F651,ABSORCION!$I$5:$I$1004,"&gt;0")))</f>
        <v/>
      </c>
      <c r="AF651" s="20" t="str">
        <f aca="false">IF(AE651="","",IF(AE651&gt;=CONFIG!$E$21,CONFIG!$F$21,IF(AE651&gt;=CONFIG!$E$20,CONFIG!$F$20,CONFIG!$F$19)))</f>
        <v/>
      </c>
      <c r="AG651" s="21" t="str">
        <f aca="false">IF(F651="","",TRIM(IF(N(M651)=0,"Sin ensayos. ","")&amp;IF(AND(N(M651)&gt;0,N(M651)&lt;CONFIG!$B$26),"Menos de "&amp;CONFIG!$B$26&amp;" probetas. ","")&amp;IF(N(T651)&gt;CONFIG!$B$25,"CV alto. ","")&amp;IF(AND(N(AD651)&gt;0,N(AD651)&gt;N(AF651)),"Absorción alta. ","")))</f>
        <v/>
      </c>
      <c r="AH651" s="22" t="str">
        <f aca="false">IF(AND(N(M651)&gt;0,OR(CONTROL!$C$4="TODAS",C651=CONTROL!$C$4),D651=CONTROL!$C$5),MAX($AH$4:AH650)+1,"")</f>
        <v/>
      </c>
      <c r="AI651" s="22" t="str">
        <f aca="false">IF(AH651="","",P651^2)</f>
        <v/>
      </c>
    </row>
    <row r="652" customFormat="false" ht="15" hidden="false" customHeight="false" outlineLevel="0" collapsed="false">
      <c r="A652" s="11" t="str">
        <f aca="false">IF(B652="","",ROW()-4)</f>
        <v/>
      </c>
      <c r="B652" s="12"/>
      <c r="C652" s="13"/>
      <c r="D652" s="13"/>
      <c r="E652" s="13"/>
      <c r="F652" s="14" t="str">
        <f aca="false">IF(OR(B652="",C652="",D652=""),"",IFERROR(INDEX(CONFIG!$E$5:$E$14,MATCH(D652,CONFIG!$D$5:$D$14,0)),"?")&amp;RIGHT("0"&amp;DAY(B652),2)&amp;RIGHT("0"&amp;MONTH(B652),2)&amp;RIGHT(YEAR(B652),2)&amp;C652&amp;IF(E652="","","-"&amp;E652))</f>
        <v/>
      </c>
      <c r="G652" s="13"/>
      <c r="H652" s="13"/>
      <c r="I652" s="13"/>
      <c r="J652" s="13"/>
      <c r="K652" s="13"/>
      <c r="L652" s="13"/>
      <c r="M652" s="11" t="str">
        <f aca="false">IF(F652="","",COUNTIFS(ENSAYOS!$C$5:$C$3004,F652,ENSAYOS!$Q$5:$Q$3004,"&gt;0"))</f>
        <v/>
      </c>
      <c r="N652" s="15" t="str">
        <f aca="false">IF(N(M652)=0,"",_xlfn.MINIFS(ENSAYOS!$G$5:$G$3004,ENSAYOS!$C$5:$C$3004,F652,ENSAYOS!$Q$5:$Q$3004,"&gt;0"))</f>
        <v/>
      </c>
      <c r="O652" s="15" t="str">
        <f aca="false">IF(N(M652)=0,"",_xlfn.MAXIFS(ENSAYOS!$G$5:$G$3004,ENSAYOS!$C$5:$C$3004,F652,ENSAYOS!$Q$5:$Q$3004,"&gt;0"))</f>
        <v/>
      </c>
      <c r="P652" s="16" t="str">
        <f aca="false">IF(N(M652)=0,"",AVERAGEIFS(ENSAYOS!$Q$5:$Q$3004,ENSAYOS!$C$5:$C$3004,F652,ENSAYOS!$Q$5:$Q$3004,"&gt;0"))</f>
        <v/>
      </c>
      <c r="Q652" s="16" t="str">
        <f aca="false">IF(N(M652)=0,"",_xlfn.MINIFS(ENSAYOS!$Q$5:$Q$3004,ENSAYOS!$C$5:$C$3004,F652,ENSAYOS!$Q$5:$Q$3004,"&gt;0"))</f>
        <v/>
      </c>
      <c r="R652" s="16" t="str">
        <f aca="false">IF(N(M652)=0,"",_xlfn.MAXIFS(ENSAYOS!$Q$5:$Q$3004,ENSAYOS!$C$5:$C$3004,F652,ENSAYOS!$Q$5:$Q$3004,"&gt;0"))</f>
        <v/>
      </c>
      <c r="S652" s="16" t="str">
        <f aca="false">IF(N(M652)&lt;2,"",SQRT(MAX(0,(SUMIFS(ENSAYOS!$X$5:$X$3004,ENSAYOS!$C$5:$C$3004,F652,ENSAYOS!$Q$5:$Q$3004,"&gt;0")-M652*P652^2)/(M652-1))))</f>
        <v/>
      </c>
      <c r="T652" s="17" t="str">
        <f aca="false">IF(S652="","",S652/P652)</f>
        <v/>
      </c>
      <c r="U652" s="16" t="str">
        <f aca="false">IF(N(M652)=0,"",IF(N652&gt;=CONFIG!$B$27,"",AVERAGEIFS(ENSAYOS!$Q$5:$Q$3004,ENSAYOS!$C$5:$C$3004,F652,ENSAYOS!$Q$5:$Q$3004,"&gt;0",ENSAYOS!$G$5:$G$3004,N652)))</f>
        <v/>
      </c>
      <c r="V652" s="16" t="str">
        <f aca="false">IF(N(M652)=0,"",IF(COUNTIFS(ENSAYOS!$C$5:$C$3004,F652,ENSAYOS!$Q$5:$Q$3004,"&gt;0",ENSAYOS!$G$5:$G$3004,"&gt;="&amp;CONFIG!$B$27)=0,"",AVERAGEIFS(ENSAYOS!$Q$5:$Q$3004,ENSAYOS!$C$5:$C$3004,F652,ENSAYOS!$Q$5:$Q$3004,"&gt;0",ENSAYOS!$G$5:$G$3004,"&gt;="&amp;CONFIG!$B$27)))</f>
        <v/>
      </c>
      <c r="W652" s="18" t="str">
        <f aca="false">IF(AND(U652&lt;&gt;"",V652&lt;&gt;""),U652/V652,"")</f>
        <v/>
      </c>
      <c r="X652" s="18" t="str">
        <f aca="false">IF(U652="","",INDEX('CURVA EDAD'!$E$5:$E$32,MIN(28,MAX(1,N652))))</f>
        <v/>
      </c>
      <c r="Y652" s="16" t="str">
        <f aca="false">IF(V652&lt;&gt;"",V652,IF(U652="","",U652/X652))</f>
        <v/>
      </c>
      <c r="Z652" s="16" t="str">
        <f aca="false">IF(V652&lt;&gt;"",_xlfn.MINIFS(ENSAYOS!$Q$5:$Q$3004,ENSAYOS!$C$5:$C$3004,F652,ENSAYOS!$Q$5:$Q$3004,"&gt;0",ENSAYOS!$G$5:$G$3004,"&gt;="&amp;CONFIG!$B$27),IF(U652="","",_xlfn.MINIFS(ENSAYOS!$Q$5:$Q$3004,ENSAYOS!$C$5:$C$3004,F652,ENSAYOS!$Q$5:$Q$3004,"&gt;0",ENSAYOS!$G$5:$G$3004,N652)/X652))</f>
        <v/>
      </c>
      <c r="AA652" s="16" t="str">
        <f aca="false">IF(D652="","",IFERROR(1/(1/INDEX(CONFIG!$J$5:$J$14,MATCH(D652,CONFIG!$D$5:$D$14,0))),""))</f>
        <v/>
      </c>
      <c r="AB652" s="16" t="str">
        <f aca="false">IF(D652="","",IFERROR(1/(1/INDEX(CONFIG!$K$5:$K$14,MATCH(D652,CONFIG!$D$5:$D$14,0))),""))</f>
        <v/>
      </c>
      <c r="AC652" s="19" t="str">
        <f aca="false">IF(N(M652)=0,"",IF(AA652="","Sin spec",IF(AND(Y652&gt;=AA652,OR(AB652="",Z652&gt;=AB652)),"CUMPLE","NO CUMPLE")&amp;IF(V652=""," (est.)","")))</f>
        <v/>
      </c>
      <c r="AD652" s="20" t="str">
        <f aca="false">IF(F652="","",IF(COUNTIFS(ABSORCION!$C$5:$C$1004,F652,ABSORCION!$I$5:$I$1004,"&gt;0")=0,"",AVERAGEIFS(ABSORCION!$I$5:$I$1004,ABSORCION!$C$5:$C$1004,F652,ABSORCION!$I$5:$I$1004,"&gt;0")))</f>
        <v/>
      </c>
      <c r="AE652" s="20" t="str">
        <f aca="false">IF(F652="","",IF(COUNTIFS(ABSORCION!$C$5:$C$1004,F652,ABSORCION!$I$5:$I$1004,"&gt;0")=0,"",AVERAGEIFS(ABSORCION!$K$5:$K$1004,ABSORCION!$C$5:$C$1004,F652,ABSORCION!$I$5:$I$1004,"&gt;0")))</f>
        <v/>
      </c>
      <c r="AF652" s="20" t="str">
        <f aca="false">IF(AE652="","",IF(AE652&gt;=CONFIG!$E$21,CONFIG!$F$21,IF(AE652&gt;=CONFIG!$E$20,CONFIG!$F$20,CONFIG!$F$19)))</f>
        <v/>
      </c>
      <c r="AG652" s="21" t="str">
        <f aca="false">IF(F652="","",TRIM(IF(N(M652)=0,"Sin ensayos. ","")&amp;IF(AND(N(M652)&gt;0,N(M652)&lt;CONFIG!$B$26),"Menos de "&amp;CONFIG!$B$26&amp;" probetas. ","")&amp;IF(N(T652)&gt;CONFIG!$B$25,"CV alto. ","")&amp;IF(AND(N(AD652)&gt;0,N(AD652)&gt;N(AF652)),"Absorción alta. ","")))</f>
        <v/>
      </c>
      <c r="AH652" s="22" t="str">
        <f aca="false">IF(AND(N(M652)&gt;0,OR(CONTROL!$C$4="TODAS",C652=CONTROL!$C$4),D652=CONTROL!$C$5),MAX($AH$4:AH651)+1,"")</f>
        <v/>
      </c>
      <c r="AI652" s="22" t="str">
        <f aca="false">IF(AH652="","",P652^2)</f>
        <v/>
      </c>
    </row>
    <row r="653" customFormat="false" ht="15" hidden="false" customHeight="false" outlineLevel="0" collapsed="false">
      <c r="A653" s="11" t="str">
        <f aca="false">IF(B653="","",ROW()-4)</f>
        <v/>
      </c>
      <c r="B653" s="12"/>
      <c r="C653" s="13"/>
      <c r="D653" s="13"/>
      <c r="E653" s="13"/>
      <c r="F653" s="14" t="str">
        <f aca="false">IF(OR(B653="",C653="",D653=""),"",IFERROR(INDEX(CONFIG!$E$5:$E$14,MATCH(D653,CONFIG!$D$5:$D$14,0)),"?")&amp;RIGHT("0"&amp;DAY(B653),2)&amp;RIGHT("0"&amp;MONTH(B653),2)&amp;RIGHT(YEAR(B653),2)&amp;C653&amp;IF(E653="","","-"&amp;E653))</f>
        <v/>
      </c>
      <c r="G653" s="13"/>
      <c r="H653" s="13"/>
      <c r="I653" s="13"/>
      <c r="J653" s="13"/>
      <c r="K653" s="13"/>
      <c r="L653" s="13"/>
      <c r="M653" s="11" t="str">
        <f aca="false">IF(F653="","",COUNTIFS(ENSAYOS!$C$5:$C$3004,F653,ENSAYOS!$Q$5:$Q$3004,"&gt;0"))</f>
        <v/>
      </c>
      <c r="N653" s="15" t="str">
        <f aca="false">IF(N(M653)=0,"",_xlfn.MINIFS(ENSAYOS!$G$5:$G$3004,ENSAYOS!$C$5:$C$3004,F653,ENSAYOS!$Q$5:$Q$3004,"&gt;0"))</f>
        <v/>
      </c>
      <c r="O653" s="15" t="str">
        <f aca="false">IF(N(M653)=0,"",_xlfn.MAXIFS(ENSAYOS!$G$5:$G$3004,ENSAYOS!$C$5:$C$3004,F653,ENSAYOS!$Q$5:$Q$3004,"&gt;0"))</f>
        <v/>
      </c>
      <c r="P653" s="16" t="str">
        <f aca="false">IF(N(M653)=0,"",AVERAGEIFS(ENSAYOS!$Q$5:$Q$3004,ENSAYOS!$C$5:$C$3004,F653,ENSAYOS!$Q$5:$Q$3004,"&gt;0"))</f>
        <v/>
      </c>
      <c r="Q653" s="16" t="str">
        <f aca="false">IF(N(M653)=0,"",_xlfn.MINIFS(ENSAYOS!$Q$5:$Q$3004,ENSAYOS!$C$5:$C$3004,F653,ENSAYOS!$Q$5:$Q$3004,"&gt;0"))</f>
        <v/>
      </c>
      <c r="R653" s="16" t="str">
        <f aca="false">IF(N(M653)=0,"",_xlfn.MAXIFS(ENSAYOS!$Q$5:$Q$3004,ENSAYOS!$C$5:$C$3004,F653,ENSAYOS!$Q$5:$Q$3004,"&gt;0"))</f>
        <v/>
      </c>
      <c r="S653" s="16" t="str">
        <f aca="false">IF(N(M653)&lt;2,"",SQRT(MAX(0,(SUMIFS(ENSAYOS!$X$5:$X$3004,ENSAYOS!$C$5:$C$3004,F653,ENSAYOS!$Q$5:$Q$3004,"&gt;0")-M653*P653^2)/(M653-1))))</f>
        <v/>
      </c>
      <c r="T653" s="17" t="str">
        <f aca="false">IF(S653="","",S653/P653)</f>
        <v/>
      </c>
      <c r="U653" s="16" t="str">
        <f aca="false">IF(N(M653)=0,"",IF(N653&gt;=CONFIG!$B$27,"",AVERAGEIFS(ENSAYOS!$Q$5:$Q$3004,ENSAYOS!$C$5:$C$3004,F653,ENSAYOS!$Q$5:$Q$3004,"&gt;0",ENSAYOS!$G$5:$G$3004,N653)))</f>
        <v/>
      </c>
      <c r="V653" s="16" t="str">
        <f aca="false">IF(N(M653)=0,"",IF(COUNTIFS(ENSAYOS!$C$5:$C$3004,F653,ENSAYOS!$Q$5:$Q$3004,"&gt;0",ENSAYOS!$G$5:$G$3004,"&gt;="&amp;CONFIG!$B$27)=0,"",AVERAGEIFS(ENSAYOS!$Q$5:$Q$3004,ENSAYOS!$C$5:$C$3004,F653,ENSAYOS!$Q$5:$Q$3004,"&gt;0",ENSAYOS!$G$5:$G$3004,"&gt;="&amp;CONFIG!$B$27)))</f>
        <v/>
      </c>
      <c r="W653" s="18" t="str">
        <f aca="false">IF(AND(U653&lt;&gt;"",V653&lt;&gt;""),U653/V653,"")</f>
        <v/>
      </c>
      <c r="X653" s="18" t="str">
        <f aca="false">IF(U653="","",INDEX('CURVA EDAD'!$E$5:$E$32,MIN(28,MAX(1,N653))))</f>
        <v/>
      </c>
      <c r="Y653" s="16" t="str">
        <f aca="false">IF(V653&lt;&gt;"",V653,IF(U653="","",U653/X653))</f>
        <v/>
      </c>
      <c r="Z653" s="16" t="str">
        <f aca="false">IF(V653&lt;&gt;"",_xlfn.MINIFS(ENSAYOS!$Q$5:$Q$3004,ENSAYOS!$C$5:$C$3004,F653,ENSAYOS!$Q$5:$Q$3004,"&gt;0",ENSAYOS!$G$5:$G$3004,"&gt;="&amp;CONFIG!$B$27),IF(U653="","",_xlfn.MINIFS(ENSAYOS!$Q$5:$Q$3004,ENSAYOS!$C$5:$C$3004,F653,ENSAYOS!$Q$5:$Q$3004,"&gt;0",ENSAYOS!$G$5:$G$3004,N653)/X653))</f>
        <v/>
      </c>
      <c r="AA653" s="16" t="str">
        <f aca="false">IF(D653="","",IFERROR(1/(1/INDEX(CONFIG!$J$5:$J$14,MATCH(D653,CONFIG!$D$5:$D$14,0))),""))</f>
        <v/>
      </c>
      <c r="AB653" s="16" t="str">
        <f aca="false">IF(D653="","",IFERROR(1/(1/INDEX(CONFIG!$K$5:$K$14,MATCH(D653,CONFIG!$D$5:$D$14,0))),""))</f>
        <v/>
      </c>
      <c r="AC653" s="19" t="str">
        <f aca="false">IF(N(M653)=0,"",IF(AA653="","Sin spec",IF(AND(Y653&gt;=AA653,OR(AB653="",Z653&gt;=AB653)),"CUMPLE","NO CUMPLE")&amp;IF(V653=""," (est.)","")))</f>
        <v/>
      </c>
      <c r="AD653" s="20" t="str">
        <f aca="false">IF(F653="","",IF(COUNTIFS(ABSORCION!$C$5:$C$1004,F653,ABSORCION!$I$5:$I$1004,"&gt;0")=0,"",AVERAGEIFS(ABSORCION!$I$5:$I$1004,ABSORCION!$C$5:$C$1004,F653,ABSORCION!$I$5:$I$1004,"&gt;0")))</f>
        <v/>
      </c>
      <c r="AE653" s="20" t="str">
        <f aca="false">IF(F653="","",IF(COUNTIFS(ABSORCION!$C$5:$C$1004,F653,ABSORCION!$I$5:$I$1004,"&gt;0")=0,"",AVERAGEIFS(ABSORCION!$K$5:$K$1004,ABSORCION!$C$5:$C$1004,F653,ABSORCION!$I$5:$I$1004,"&gt;0")))</f>
        <v/>
      </c>
      <c r="AF653" s="20" t="str">
        <f aca="false">IF(AE653="","",IF(AE653&gt;=CONFIG!$E$21,CONFIG!$F$21,IF(AE653&gt;=CONFIG!$E$20,CONFIG!$F$20,CONFIG!$F$19)))</f>
        <v/>
      </c>
      <c r="AG653" s="21" t="str">
        <f aca="false">IF(F653="","",TRIM(IF(N(M653)=0,"Sin ensayos. ","")&amp;IF(AND(N(M653)&gt;0,N(M653)&lt;CONFIG!$B$26),"Menos de "&amp;CONFIG!$B$26&amp;" probetas. ","")&amp;IF(N(T653)&gt;CONFIG!$B$25,"CV alto. ","")&amp;IF(AND(N(AD653)&gt;0,N(AD653)&gt;N(AF653)),"Absorción alta. ","")))</f>
        <v/>
      </c>
      <c r="AH653" s="22" t="str">
        <f aca="false">IF(AND(N(M653)&gt;0,OR(CONTROL!$C$4="TODAS",C653=CONTROL!$C$4),D653=CONTROL!$C$5),MAX($AH$4:AH652)+1,"")</f>
        <v/>
      </c>
      <c r="AI653" s="22" t="str">
        <f aca="false">IF(AH653="","",P653^2)</f>
        <v/>
      </c>
    </row>
    <row r="654" customFormat="false" ht="15" hidden="false" customHeight="false" outlineLevel="0" collapsed="false">
      <c r="A654" s="11" t="str">
        <f aca="false">IF(B654="","",ROW()-4)</f>
        <v/>
      </c>
      <c r="B654" s="12"/>
      <c r="C654" s="13"/>
      <c r="D654" s="13"/>
      <c r="E654" s="13"/>
      <c r="F654" s="14" t="str">
        <f aca="false">IF(OR(B654="",C654="",D654=""),"",IFERROR(INDEX(CONFIG!$E$5:$E$14,MATCH(D654,CONFIG!$D$5:$D$14,0)),"?")&amp;RIGHT("0"&amp;DAY(B654),2)&amp;RIGHT("0"&amp;MONTH(B654),2)&amp;RIGHT(YEAR(B654),2)&amp;C654&amp;IF(E654="","","-"&amp;E654))</f>
        <v/>
      </c>
      <c r="G654" s="13"/>
      <c r="H654" s="13"/>
      <c r="I654" s="13"/>
      <c r="J654" s="13"/>
      <c r="K654" s="13"/>
      <c r="L654" s="13"/>
      <c r="M654" s="11" t="str">
        <f aca="false">IF(F654="","",COUNTIFS(ENSAYOS!$C$5:$C$3004,F654,ENSAYOS!$Q$5:$Q$3004,"&gt;0"))</f>
        <v/>
      </c>
      <c r="N654" s="15" t="str">
        <f aca="false">IF(N(M654)=0,"",_xlfn.MINIFS(ENSAYOS!$G$5:$G$3004,ENSAYOS!$C$5:$C$3004,F654,ENSAYOS!$Q$5:$Q$3004,"&gt;0"))</f>
        <v/>
      </c>
      <c r="O654" s="15" t="str">
        <f aca="false">IF(N(M654)=0,"",_xlfn.MAXIFS(ENSAYOS!$G$5:$G$3004,ENSAYOS!$C$5:$C$3004,F654,ENSAYOS!$Q$5:$Q$3004,"&gt;0"))</f>
        <v/>
      </c>
      <c r="P654" s="16" t="str">
        <f aca="false">IF(N(M654)=0,"",AVERAGEIFS(ENSAYOS!$Q$5:$Q$3004,ENSAYOS!$C$5:$C$3004,F654,ENSAYOS!$Q$5:$Q$3004,"&gt;0"))</f>
        <v/>
      </c>
      <c r="Q654" s="16" t="str">
        <f aca="false">IF(N(M654)=0,"",_xlfn.MINIFS(ENSAYOS!$Q$5:$Q$3004,ENSAYOS!$C$5:$C$3004,F654,ENSAYOS!$Q$5:$Q$3004,"&gt;0"))</f>
        <v/>
      </c>
      <c r="R654" s="16" t="str">
        <f aca="false">IF(N(M654)=0,"",_xlfn.MAXIFS(ENSAYOS!$Q$5:$Q$3004,ENSAYOS!$C$5:$C$3004,F654,ENSAYOS!$Q$5:$Q$3004,"&gt;0"))</f>
        <v/>
      </c>
      <c r="S654" s="16" t="str">
        <f aca="false">IF(N(M654)&lt;2,"",SQRT(MAX(0,(SUMIFS(ENSAYOS!$X$5:$X$3004,ENSAYOS!$C$5:$C$3004,F654,ENSAYOS!$Q$5:$Q$3004,"&gt;0")-M654*P654^2)/(M654-1))))</f>
        <v/>
      </c>
      <c r="T654" s="17" t="str">
        <f aca="false">IF(S654="","",S654/P654)</f>
        <v/>
      </c>
      <c r="U654" s="16" t="str">
        <f aca="false">IF(N(M654)=0,"",IF(N654&gt;=CONFIG!$B$27,"",AVERAGEIFS(ENSAYOS!$Q$5:$Q$3004,ENSAYOS!$C$5:$C$3004,F654,ENSAYOS!$Q$5:$Q$3004,"&gt;0",ENSAYOS!$G$5:$G$3004,N654)))</f>
        <v/>
      </c>
      <c r="V654" s="16" t="str">
        <f aca="false">IF(N(M654)=0,"",IF(COUNTIFS(ENSAYOS!$C$5:$C$3004,F654,ENSAYOS!$Q$5:$Q$3004,"&gt;0",ENSAYOS!$G$5:$G$3004,"&gt;="&amp;CONFIG!$B$27)=0,"",AVERAGEIFS(ENSAYOS!$Q$5:$Q$3004,ENSAYOS!$C$5:$C$3004,F654,ENSAYOS!$Q$5:$Q$3004,"&gt;0",ENSAYOS!$G$5:$G$3004,"&gt;="&amp;CONFIG!$B$27)))</f>
        <v/>
      </c>
      <c r="W654" s="18" t="str">
        <f aca="false">IF(AND(U654&lt;&gt;"",V654&lt;&gt;""),U654/V654,"")</f>
        <v/>
      </c>
      <c r="X654" s="18" t="str">
        <f aca="false">IF(U654="","",INDEX('CURVA EDAD'!$E$5:$E$32,MIN(28,MAX(1,N654))))</f>
        <v/>
      </c>
      <c r="Y654" s="16" t="str">
        <f aca="false">IF(V654&lt;&gt;"",V654,IF(U654="","",U654/X654))</f>
        <v/>
      </c>
      <c r="Z654" s="16" t="str">
        <f aca="false">IF(V654&lt;&gt;"",_xlfn.MINIFS(ENSAYOS!$Q$5:$Q$3004,ENSAYOS!$C$5:$C$3004,F654,ENSAYOS!$Q$5:$Q$3004,"&gt;0",ENSAYOS!$G$5:$G$3004,"&gt;="&amp;CONFIG!$B$27),IF(U654="","",_xlfn.MINIFS(ENSAYOS!$Q$5:$Q$3004,ENSAYOS!$C$5:$C$3004,F654,ENSAYOS!$Q$5:$Q$3004,"&gt;0",ENSAYOS!$G$5:$G$3004,N654)/X654))</f>
        <v/>
      </c>
      <c r="AA654" s="16" t="str">
        <f aca="false">IF(D654="","",IFERROR(1/(1/INDEX(CONFIG!$J$5:$J$14,MATCH(D654,CONFIG!$D$5:$D$14,0))),""))</f>
        <v/>
      </c>
      <c r="AB654" s="16" t="str">
        <f aca="false">IF(D654="","",IFERROR(1/(1/INDEX(CONFIG!$K$5:$K$14,MATCH(D654,CONFIG!$D$5:$D$14,0))),""))</f>
        <v/>
      </c>
      <c r="AC654" s="19" t="str">
        <f aca="false">IF(N(M654)=0,"",IF(AA654="","Sin spec",IF(AND(Y654&gt;=AA654,OR(AB654="",Z654&gt;=AB654)),"CUMPLE","NO CUMPLE")&amp;IF(V654=""," (est.)","")))</f>
        <v/>
      </c>
      <c r="AD654" s="20" t="str">
        <f aca="false">IF(F654="","",IF(COUNTIFS(ABSORCION!$C$5:$C$1004,F654,ABSORCION!$I$5:$I$1004,"&gt;0")=0,"",AVERAGEIFS(ABSORCION!$I$5:$I$1004,ABSORCION!$C$5:$C$1004,F654,ABSORCION!$I$5:$I$1004,"&gt;0")))</f>
        <v/>
      </c>
      <c r="AE654" s="20" t="str">
        <f aca="false">IF(F654="","",IF(COUNTIFS(ABSORCION!$C$5:$C$1004,F654,ABSORCION!$I$5:$I$1004,"&gt;0")=0,"",AVERAGEIFS(ABSORCION!$K$5:$K$1004,ABSORCION!$C$5:$C$1004,F654,ABSORCION!$I$5:$I$1004,"&gt;0")))</f>
        <v/>
      </c>
      <c r="AF654" s="20" t="str">
        <f aca="false">IF(AE654="","",IF(AE654&gt;=CONFIG!$E$21,CONFIG!$F$21,IF(AE654&gt;=CONFIG!$E$20,CONFIG!$F$20,CONFIG!$F$19)))</f>
        <v/>
      </c>
      <c r="AG654" s="21" t="str">
        <f aca="false">IF(F654="","",TRIM(IF(N(M654)=0,"Sin ensayos. ","")&amp;IF(AND(N(M654)&gt;0,N(M654)&lt;CONFIG!$B$26),"Menos de "&amp;CONFIG!$B$26&amp;" probetas. ","")&amp;IF(N(T654)&gt;CONFIG!$B$25,"CV alto. ","")&amp;IF(AND(N(AD654)&gt;0,N(AD654)&gt;N(AF654)),"Absorción alta. ","")))</f>
        <v/>
      </c>
      <c r="AH654" s="22" t="str">
        <f aca="false">IF(AND(N(M654)&gt;0,OR(CONTROL!$C$4="TODAS",C654=CONTROL!$C$4),D654=CONTROL!$C$5),MAX($AH$4:AH653)+1,"")</f>
        <v/>
      </c>
      <c r="AI654" s="22" t="str">
        <f aca="false">IF(AH654="","",P654^2)</f>
        <v/>
      </c>
    </row>
    <row r="655" customFormat="false" ht="15" hidden="false" customHeight="false" outlineLevel="0" collapsed="false">
      <c r="A655" s="11" t="str">
        <f aca="false">IF(B655="","",ROW()-4)</f>
        <v/>
      </c>
      <c r="B655" s="12"/>
      <c r="C655" s="13"/>
      <c r="D655" s="13"/>
      <c r="E655" s="13"/>
      <c r="F655" s="14" t="str">
        <f aca="false">IF(OR(B655="",C655="",D655=""),"",IFERROR(INDEX(CONFIG!$E$5:$E$14,MATCH(D655,CONFIG!$D$5:$D$14,0)),"?")&amp;RIGHT("0"&amp;DAY(B655),2)&amp;RIGHT("0"&amp;MONTH(B655),2)&amp;RIGHT(YEAR(B655),2)&amp;C655&amp;IF(E655="","","-"&amp;E655))</f>
        <v/>
      </c>
      <c r="G655" s="13"/>
      <c r="H655" s="13"/>
      <c r="I655" s="13"/>
      <c r="J655" s="13"/>
      <c r="K655" s="13"/>
      <c r="L655" s="13"/>
      <c r="M655" s="11" t="str">
        <f aca="false">IF(F655="","",COUNTIFS(ENSAYOS!$C$5:$C$3004,F655,ENSAYOS!$Q$5:$Q$3004,"&gt;0"))</f>
        <v/>
      </c>
      <c r="N655" s="15" t="str">
        <f aca="false">IF(N(M655)=0,"",_xlfn.MINIFS(ENSAYOS!$G$5:$G$3004,ENSAYOS!$C$5:$C$3004,F655,ENSAYOS!$Q$5:$Q$3004,"&gt;0"))</f>
        <v/>
      </c>
      <c r="O655" s="15" t="str">
        <f aca="false">IF(N(M655)=0,"",_xlfn.MAXIFS(ENSAYOS!$G$5:$G$3004,ENSAYOS!$C$5:$C$3004,F655,ENSAYOS!$Q$5:$Q$3004,"&gt;0"))</f>
        <v/>
      </c>
      <c r="P655" s="16" t="str">
        <f aca="false">IF(N(M655)=0,"",AVERAGEIFS(ENSAYOS!$Q$5:$Q$3004,ENSAYOS!$C$5:$C$3004,F655,ENSAYOS!$Q$5:$Q$3004,"&gt;0"))</f>
        <v/>
      </c>
      <c r="Q655" s="16" t="str">
        <f aca="false">IF(N(M655)=0,"",_xlfn.MINIFS(ENSAYOS!$Q$5:$Q$3004,ENSAYOS!$C$5:$C$3004,F655,ENSAYOS!$Q$5:$Q$3004,"&gt;0"))</f>
        <v/>
      </c>
      <c r="R655" s="16" t="str">
        <f aca="false">IF(N(M655)=0,"",_xlfn.MAXIFS(ENSAYOS!$Q$5:$Q$3004,ENSAYOS!$C$5:$C$3004,F655,ENSAYOS!$Q$5:$Q$3004,"&gt;0"))</f>
        <v/>
      </c>
      <c r="S655" s="16" t="str">
        <f aca="false">IF(N(M655)&lt;2,"",SQRT(MAX(0,(SUMIFS(ENSAYOS!$X$5:$X$3004,ENSAYOS!$C$5:$C$3004,F655,ENSAYOS!$Q$5:$Q$3004,"&gt;0")-M655*P655^2)/(M655-1))))</f>
        <v/>
      </c>
      <c r="T655" s="17" t="str">
        <f aca="false">IF(S655="","",S655/P655)</f>
        <v/>
      </c>
      <c r="U655" s="16" t="str">
        <f aca="false">IF(N(M655)=0,"",IF(N655&gt;=CONFIG!$B$27,"",AVERAGEIFS(ENSAYOS!$Q$5:$Q$3004,ENSAYOS!$C$5:$C$3004,F655,ENSAYOS!$Q$5:$Q$3004,"&gt;0",ENSAYOS!$G$5:$G$3004,N655)))</f>
        <v/>
      </c>
      <c r="V655" s="16" t="str">
        <f aca="false">IF(N(M655)=0,"",IF(COUNTIFS(ENSAYOS!$C$5:$C$3004,F655,ENSAYOS!$Q$5:$Q$3004,"&gt;0",ENSAYOS!$G$5:$G$3004,"&gt;="&amp;CONFIG!$B$27)=0,"",AVERAGEIFS(ENSAYOS!$Q$5:$Q$3004,ENSAYOS!$C$5:$C$3004,F655,ENSAYOS!$Q$5:$Q$3004,"&gt;0",ENSAYOS!$G$5:$G$3004,"&gt;="&amp;CONFIG!$B$27)))</f>
        <v/>
      </c>
      <c r="W655" s="18" t="str">
        <f aca="false">IF(AND(U655&lt;&gt;"",V655&lt;&gt;""),U655/V655,"")</f>
        <v/>
      </c>
      <c r="X655" s="18" t="str">
        <f aca="false">IF(U655="","",INDEX('CURVA EDAD'!$E$5:$E$32,MIN(28,MAX(1,N655))))</f>
        <v/>
      </c>
      <c r="Y655" s="16" t="str">
        <f aca="false">IF(V655&lt;&gt;"",V655,IF(U655="","",U655/X655))</f>
        <v/>
      </c>
      <c r="Z655" s="16" t="str">
        <f aca="false">IF(V655&lt;&gt;"",_xlfn.MINIFS(ENSAYOS!$Q$5:$Q$3004,ENSAYOS!$C$5:$C$3004,F655,ENSAYOS!$Q$5:$Q$3004,"&gt;0",ENSAYOS!$G$5:$G$3004,"&gt;="&amp;CONFIG!$B$27),IF(U655="","",_xlfn.MINIFS(ENSAYOS!$Q$5:$Q$3004,ENSAYOS!$C$5:$C$3004,F655,ENSAYOS!$Q$5:$Q$3004,"&gt;0",ENSAYOS!$G$5:$G$3004,N655)/X655))</f>
        <v/>
      </c>
      <c r="AA655" s="16" t="str">
        <f aca="false">IF(D655="","",IFERROR(1/(1/INDEX(CONFIG!$J$5:$J$14,MATCH(D655,CONFIG!$D$5:$D$14,0))),""))</f>
        <v/>
      </c>
      <c r="AB655" s="16" t="str">
        <f aca="false">IF(D655="","",IFERROR(1/(1/INDEX(CONFIG!$K$5:$K$14,MATCH(D655,CONFIG!$D$5:$D$14,0))),""))</f>
        <v/>
      </c>
      <c r="AC655" s="19" t="str">
        <f aca="false">IF(N(M655)=0,"",IF(AA655="","Sin spec",IF(AND(Y655&gt;=AA655,OR(AB655="",Z655&gt;=AB655)),"CUMPLE","NO CUMPLE")&amp;IF(V655=""," (est.)","")))</f>
        <v/>
      </c>
      <c r="AD655" s="20" t="str">
        <f aca="false">IF(F655="","",IF(COUNTIFS(ABSORCION!$C$5:$C$1004,F655,ABSORCION!$I$5:$I$1004,"&gt;0")=0,"",AVERAGEIFS(ABSORCION!$I$5:$I$1004,ABSORCION!$C$5:$C$1004,F655,ABSORCION!$I$5:$I$1004,"&gt;0")))</f>
        <v/>
      </c>
      <c r="AE655" s="20" t="str">
        <f aca="false">IF(F655="","",IF(COUNTIFS(ABSORCION!$C$5:$C$1004,F655,ABSORCION!$I$5:$I$1004,"&gt;0")=0,"",AVERAGEIFS(ABSORCION!$K$5:$K$1004,ABSORCION!$C$5:$C$1004,F655,ABSORCION!$I$5:$I$1004,"&gt;0")))</f>
        <v/>
      </c>
      <c r="AF655" s="20" t="str">
        <f aca="false">IF(AE655="","",IF(AE655&gt;=CONFIG!$E$21,CONFIG!$F$21,IF(AE655&gt;=CONFIG!$E$20,CONFIG!$F$20,CONFIG!$F$19)))</f>
        <v/>
      </c>
      <c r="AG655" s="21" t="str">
        <f aca="false">IF(F655="","",TRIM(IF(N(M655)=0,"Sin ensayos. ","")&amp;IF(AND(N(M655)&gt;0,N(M655)&lt;CONFIG!$B$26),"Menos de "&amp;CONFIG!$B$26&amp;" probetas. ","")&amp;IF(N(T655)&gt;CONFIG!$B$25,"CV alto. ","")&amp;IF(AND(N(AD655)&gt;0,N(AD655)&gt;N(AF655)),"Absorción alta. ","")))</f>
        <v/>
      </c>
      <c r="AH655" s="22" t="str">
        <f aca="false">IF(AND(N(M655)&gt;0,OR(CONTROL!$C$4="TODAS",C655=CONTROL!$C$4),D655=CONTROL!$C$5),MAX($AH$4:AH654)+1,"")</f>
        <v/>
      </c>
      <c r="AI655" s="22" t="str">
        <f aca="false">IF(AH655="","",P655^2)</f>
        <v/>
      </c>
    </row>
    <row r="656" customFormat="false" ht="15" hidden="false" customHeight="false" outlineLevel="0" collapsed="false">
      <c r="A656" s="11" t="str">
        <f aca="false">IF(B656="","",ROW()-4)</f>
        <v/>
      </c>
      <c r="B656" s="12"/>
      <c r="C656" s="13"/>
      <c r="D656" s="13"/>
      <c r="E656" s="13"/>
      <c r="F656" s="14" t="str">
        <f aca="false">IF(OR(B656="",C656="",D656=""),"",IFERROR(INDEX(CONFIG!$E$5:$E$14,MATCH(D656,CONFIG!$D$5:$D$14,0)),"?")&amp;RIGHT("0"&amp;DAY(B656),2)&amp;RIGHT("0"&amp;MONTH(B656),2)&amp;RIGHT(YEAR(B656),2)&amp;C656&amp;IF(E656="","","-"&amp;E656))</f>
        <v/>
      </c>
      <c r="G656" s="13"/>
      <c r="H656" s="13"/>
      <c r="I656" s="13"/>
      <c r="J656" s="13"/>
      <c r="K656" s="13"/>
      <c r="L656" s="13"/>
      <c r="M656" s="11" t="str">
        <f aca="false">IF(F656="","",COUNTIFS(ENSAYOS!$C$5:$C$3004,F656,ENSAYOS!$Q$5:$Q$3004,"&gt;0"))</f>
        <v/>
      </c>
      <c r="N656" s="15" t="str">
        <f aca="false">IF(N(M656)=0,"",_xlfn.MINIFS(ENSAYOS!$G$5:$G$3004,ENSAYOS!$C$5:$C$3004,F656,ENSAYOS!$Q$5:$Q$3004,"&gt;0"))</f>
        <v/>
      </c>
      <c r="O656" s="15" t="str">
        <f aca="false">IF(N(M656)=0,"",_xlfn.MAXIFS(ENSAYOS!$G$5:$G$3004,ENSAYOS!$C$5:$C$3004,F656,ENSAYOS!$Q$5:$Q$3004,"&gt;0"))</f>
        <v/>
      </c>
      <c r="P656" s="16" t="str">
        <f aca="false">IF(N(M656)=0,"",AVERAGEIFS(ENSAYOS!$Q$5:$Q$3004,ENSAYOS!$C$5:$C$3004,F656,ENSAYOS!$Q$5:$Q$3004,"&gt;0"))</f>
        <v/>
      </c>
      <c r="Q656" s="16" t="str">
        <f aca="false">IF(N(M656)=0,"",_xlfn.MINIFS(ENSAYOS!$Q$5:$Q$3004,ENSAYOS!$C$5:$C$3004,F656,ENSAYOS!$Q$5:$Q$3004,"&gt;0"))</f>
        <v/>
      </c>
      <c r="R656" s="16" t="str">
        <f aca="false">IF(N(M656)=0,"",_xlfn.MAXIFS(ENSAYOS!$Q$5:$Q$3004,ENSAYOS!$C$5:$C$3004,F656,ENSAYOS!$Q$5:$Q$3004,"&gt;0"))</f>
        <v/>
      </c>
      <c r="S656" s="16" t="str">
        <f aca="false">IF(N(M656)&lt;2,"",SQRT(MAX(0,(SUMIFS(ENSAYOS!$X$5:$X$3004,ENSAYOS!$C$5:$C$3004,F656,ENSAYOS!$Q$5:$Q$3004,"&gt;0")-M656*P656^2)/(M656-1))))</f>
        <v/>
      </c>
      <c r="T656" s="17" t="str">
        <f aca="false">IF(S656="","",S656/P656)</f>
        <v/>
      </c>
      <c r="U656" s="16" t="str">
        <f aca="false">IF(N(M656)=0,"",IF(N656&gt;=CONFIG!$B$27,"",AVERAGEIFS(ENSAYOS!$Q$5:$Q$3004,ENSAYOS!$C$5:$C$3004,F656,ENSAYOS!$Q$5:$Q$3004,"&gt;0",ENSAYOS!$G$5:$G$3004,N656)))</f>
        <v/>
      </c>
      <c r="V656" s="16" t="str">
        <f aca="false">IF(N(M656)=0,"",IF(COUNTIFS(ENSAYOS!$C$5:$C$3004,F656,ENSAYOS!$Q$5:$Q$3004,"&gt;0",ENSAYOS!$G$5:$G$3004,"&gt;="&amp;CONFIG!$B$27)=0,"",AVERAGEIFS(ENSAYOS!$Q$5:$Q$3004,ENSAYOS!$C$5:$C$3004,F656,ENSAYOS!$Q$5:$Q$3004,"&gt;0",ENSAYOS!$G$5:$G$3004,"&gt;="&amp;CONFIG!$B$27)))</f>
        <v/>
      </c>
      <c r="W656" s="18" t="str">
        <f aca="false">IF(AND(U656&lt;&gt;"",V656&lt;&gt;""),U656/V656,"")</f>
        <v/>
      </c>
      <c r="X656" s="18" t="str">
        <f aca="false">IF(U656="","",INDEX('CURVA EDAD'!$E$5:$E$32,MIN(28,MAX(1,N656))))</f>
        <v/>
      </c>
      <c r="Y656" s="16" t="str">
        <f aca="false">IF(V656&lt;&gt;"",V656,IF(U656="","",U656/X656))</f>
        <v/>
      </c>
      <c r="Z656" s="16" t="str">
        <f aca="false">IF(V656&lt;&gt;"",_xlfn.MINIFS(ENSAYOS!$Q$5:$Q$3004,ENSAYOS!$C$5:$C$3004,F656,ENSAYOS!$Q$5:$Q$3004,"&gt;0",ENSAYOS!$G$5:$G$3004,"&gt;="&amp;CONFIG!$B$27),IF(U656="","",_xlfn.MINIFS(ENSAYOS!$Q$5:$Q$3004,ENSAYOS!$C$5:$C$3004,F656,ENSAYOS!$Q$5:$Q$3004,"&gt;0",ENSAYOS!$G$5:$G$3004,N656)/X656))</f>
        <v/>
      </c>
      <c r="AA656" s="16" t="str">
        <f aca="false">IF(D656="","",IFERROR(1/(1/INDEX(CONFIG!$J$5:$J$14,MATCH(D656,CONFIG!$D$5:$D$14,0))),""))</f>
        <v/>
      </c>
      <c r="AB656" s="16" t="str">
        <f aca="false">IF(D656="","",IFERROR(1/(1/INDEX(CONFIG!$K$5:$K$14,MATCH(D656,CONFIG!$D$5:$D$14,0))),""))</f>
        <v/>
      </c>
      <c r="AC656" s="19" t="str">
        <f aca="false">IF(N(M656)=0,"",IF(AA656="","Sin spec",IF(AND(Y656&gt;=AA656,OR(AB656="",Z656&gt;=AB656)),"CUMPLE","NO CUMPLE")&amp;IF(V656=""," (est.)","")))</f>
        <v/>
      </c>
      <c r="AD656" s="20" t="str">
        <f aca="false">IF(F656="","",IF(COUNTIFS(ABSORCION!$C$5:$C$1004,F656,ABSORCION!$I$5:$I$1004,"&gt;0")=0,"",AVERAGEIFS(ABSORCION!$I$5:$I$1004,ABSORCION!$C$5:$C$1004,F656,ABSORCION!$I$5:$I$1004,"&gt;0")))</f>
        <v/>
      </c>
      <c r="AE656" s="20" t="str">
        <f aca="false">IF(F656="","",IF(COUNTIFS(ABSORCION!$C$5:$C$1004,F656,ABSORCION!$I$5:$I$1004,"&gt;0")=0,"",AVERAGEIFS(ABSORCION!$K$5:$K$1004,ABSORCION!$C$5:$C$1004,F656,ABSORCION!$I$5:$I$1004,"&gt;0")))</f>
        <v/>
      </c>
      <c r="AF656" s="20" t="str">
        <f aca="false">IF(AE656="","",IF(AE656&gt;=CONFIG!$E$21,CONFIG!$F$21,IF(AE656&gt;=CONFIG!$E$20,CONFIG!$F$20,CONFIG!$F$19)))</f>
        <v/>
      </c>
      <c r="AG656" s="21" t="str">
        <f aca="false">IF(F656="","",TRIM(IF(N(M656)=0,"Sin ensayos. ","")&amp;IF(AND(N(M656)&gt;0,N(M656)&lt;CONFIG!$B$26),"Menos de "&amp;CONFIG!$B$26&amp;" probetas. ","")&amp;IF(N(T656)&gt;CONFIG!$B$25,"CV alto. ","")&amp;IF(AND(N(AD656)&gt;0,N(AD656)&gt;N(AF656)),"Absorción alta. ","")))</f>
        <v/>
      </c>
      <c r="AH656" s="22" t="str">
        <f aca="false">IF(AND(N(M656)&gt;0,OR(CONTROL!$C$4="TODAS",C656=CONTROL!$C$4),D656=CONTROL!$C$5),MAX($AH$4:AH655)+1,"")</f>
        <v/>
      </c>
      <c r="AI656" s="22" t="str">
        <f aca="false">IF(AH656="","",P656^2)</f>
        <v/>
      </c>
    </row>
    <row r="657" customFormat="false" ht="15" hidden="false" customHeight="false" outlineLevel="0" collapsed="false">
      <c r="A657" s="11" t="str">
        <f aca="false">IF(B657="","",ROW()-4)</f>
        <v/>
      </c>
      <c r="B657" s="12"/>
      <c r="C657" s="13"/>
      <c r="D657" s="13"/>
      <c r="E657" s="13"/>
      <c r="F657" s="14" t="str">
        <f aca="false">IF(OR(B657="",C657="",D657=""),"",IFERROR(INDEX(CONFIG!$E$5:$E$14,MATCH(D657,CONFIG!$D$5:$D$14,0)),"?")&amp;RIGHT("0"&amp;DAY(B657),2)&amp;RIGHT("0"&amp;MONTH(B657),2)&amp;RIGHT(YEAR(B657),2)&amp;C657&amp;IF(E657="","","-"&amp;E657))</f>
        <v/>
      </c>
      <c r="G657" s="13"/>
      <c r="H657" s="13"/>
      <c r="I657" s="13"/>
      <c r="J657" s="13"/>
      <c r="K657" s="13"/>
      <c r="L657" s="13"/>
      <c r="M657" s="11" t="str">
        <f aca="false">IF(F657="","",COUNTIFS(ENSAYOS!$C$5:$C$3004,F657,ENSAYOS!$Q$5:$Q$3004,"&gt;0"))</f>
        <v/>
      </c>
      <c r="N657" s="15" t="str">
        <f aca="false">IF(N(M657)=0,"",_xlfn.MINIFS(ENSAYOS!$G$5:$G$3004,ENSAYOS!$C$5:$C$3004,F657,ENSAYOS!$Q$5:$Q$3004,"&gt;0"))</f>
        <v/>
      </c>
      <c r="O657" s="15" t="str">
        <f aca="false">IF(N(M657)=0,"",_xlfn.MAXIFS(ENSAYOS!$G$5:$G$3004,ENSAYOS!$C$5:$C$3004,F657,ENSAYOS!$Q$5:$Q$3004,"&gt;0"))</f>
        <v/>
      </c>
      <c r="P657" s="16" t="str">
        <f aca="false">IF(N(M657)=0,"",AVERAGEIFS(ENSAYOS!$Q$5:$Q$3004,ENSAYOS!$C$5:$C$3004,F657,ENSAYOS!$Q$5:$Q$3004,"&gt;0"))</f>
        <v/>
      </c>
      <c r="Q657" s="16" t="str">
        <f aca="false">IF(N(M657)=0,"",_xlfn.MINIFS(ENSAYOS!$Q$5:$Q$3004,ENSAYOS!$C$5:$C$3004,F657,ENSAYOS!$Q$5:$Q$3004,"&gt;0"))</f>
        <v/>
      </c>
      <c r="R657" s="16" t="str">
        <f aca="false">IF(N(M657)=0,"",_xlfn.MAXIFS(ENSAYOS!$Q$5:$Q$3004,ENSAYOS!$C$5:$C$3004,F657,ENSAYOS!$Q$5:$Q$3004,"&gt;0"))</f>
        <v/>
      </c>
      <c r="S657" s="16" t="str">
        <f aca="false">IF(N(M657)&lt;2,"",SQRT(MAX(0,(SUMIFS(ENSAYOS!$X$5:$X$3004,ENSAYOS!$C$5:$C$3004,F657,ENSAYOS!$Q$5:$Q$3004,"&gt;0")-M657*P657^2)/(M657-1))))</f>
        <v/>
      </c>
      <c r="T657" s="17" t="str">
        <f aca="false">IF(S657="","",S657/P657)</f>
        <v/>
      </c>
      <c r="U657" s="16" t="str">
        <f aca="false">IF(N(M657)=0,"",IF(N657&gt;=CONFIG!$B$27,"",AVERAGEIFS(ENSAYOS!$Q$5:$Q$3004,ENSAYOS!$C$5:$C$3004,F657,ENSAYOS!$Q$5:$Q$3004,"&gt;0",ENSAYOS!$G$5:$G$3004,N657)))</f>
        <v/>
      </c>
      <c r="V657" s="16" t="str">
        <f aca="false">IF(N(M657)=0,"",IF(COUNTIFS(ENSAYOS!$C$5:$C$3004,F657,ENSAYOS!$Q$5:$Q$3004,"&gt;0",ENSAYOS!$G$5:$G$3004,"&gt;="&amp;CONFIG!$B$27)=0,"",AVERAGEIFS(ENSAYOS!$Q$5:$Q$3004,ENSAYOS!$C$5:$C$3004,F657,ENSAYOS!$Q$5:$Q$3004,"&gt;0",ENSAYOS!$G$5:$G$3004,"&gt;="&amp;CONFIG!$B$27)))</f>
        <v/>
      </c>
      <c r="W657" s="18" t="str">
        <f aca="false">IF(AND(U657&lt;&gt;"",V657&lt;&gt;""),U657/V657,"")</f>
        <v/>
      </c>
      <c r="X657" s="18" t="str">
        <f aca="false">IF(U657="","",INDEX('CURVA EDAD'!$E$5:$E$32,MIN(28,MAX(1,N657))))</f>
        <v/>
      </c>
      <c r="Y657" s="16" t="str">
        <f aca="false">IF(V657&lt;&gt;"",V657,IF(U657="","",U657/X657))</f>
        <v/>
      </c>
      <c r="Z657" s="16" t="str">
        <f aca="false">IF(V657&lt;&gt;"",_xlfn.MINIFS(ENSAYOS!$Q$5:$Q$3004,ENSAYOS!$C$5:$C$3004,F657,ENSAYOS!$Q$5:$Q$3004,"&gt;0",ENSAYOS!$G$5:$G$3004,"&gt;="&amp;CONFIG!$B$27),IF(U657="","",_xlfn.MINIFS(ENSAYOS!$Q$5:$Q$3004,ENSAYOS!$C$5:$C$3004,F657,ENSAYOS!$Q$5:$Q$3004,"&gt;0",ENSAYOS!$G$5:$G$3004,N657)/X657))</f>
        <v/>
      </c>
      <c r="AA657" s="16" t="str">
        <f aca="false">IF(D657="","",IFERROR(1/(1/INDEX(CONFIG!$J$5:$J$14,MATCH(D657,CONFIG!$D$5:$D$14,0))),""))</f>
        <v/>
      </c>
      <c r="AB657" s="16" t="str">
        <f aca="false">IF(D657="","",IFERROR(1/(1/INDEX(CONFIG!$K$5:$K$14,MATCH(D657,CONFIG!$D$5:$D$14,0))),""))</f>
        <v/>
      </c>
      <c r="AC657" s="19" t="str">
        <f aca="false">IF(N(M657)=0,"",IF(AA657="","Sin spec",IF(AND(Y657&gt;=AA657,OR(AB657="",Z657&gt;=AB657)),"CUMPLE","NO CUMPLE")&amp;IF(V657=""," (est.)","")))</f>
        <v/>
      </c>
      <c r="AD657" s="20" t="str">
        <f aca="false">IF(F657="","",IF(COUNTIFS(ABSORCION!$C$5:$C$1004,F657,ABSORCION!$I$5:$I$1004,"&gt;0")=0,"",AVERAGEIFS(ABSORCION!$I$5:$I$1004,ABSORCION!$C$5:$C$1004,F657,ABSORCION!$I$5:$I$1004,"&gt;0")))</f>
        <v/>
      </c>
      <c r="AE657" s="20" t="str">
        <f aca="false">IF(F657="","",IF(COUNTIFS(ABSORCION!$C$5:$C$1004,F657,ABSORCION!$I$5:$I$1004,"&gt;0")=0,"",AVERAGEIFS(ABSORCION!$K$5:$K$1004,ABSORCION!$C$5:$C$1004,F657,ABSORCION!$I$5:$I$1004,"&gt;0")))</f>
        <v/>
      </c>
      <c r="AF657" s="20" t="str">
        <f aca="false">IF(AE657="","",IF(AE657&gt;=CONFIG!$E$21,CONFIG!$F$21,IF(AE657&gt;=CONFIG!$E$20,CONFIG!$F$20,CONFIG!$F$19)))</f>
        <v/>
      </c>
      <c r="AG657" s="21" t="str">
        <f aca="false">IF(F657="","",TRIM(IF(N(M657)=0,"Sin ensayos. ","")&amp;IF(AND(N(M657)&gt;0,N(M657)&lt;CONFIG!$B$26),"Menos de "&amp;CONFIG!$B$26&amp;" probetas. ","")&amp;IF(N(T657)&gt;CONFIG!$B$25,"CV alto. ","")&amp;IF(AND(N(AD657)&gt;0,N(AD657)&gt;N(AF657)),"Absorción alta. ","")))</f>
        <v/>
      </c>
      <c r="AH657" s="22" t="str">
        <f aca="false">IF(AND(N(M657)&gt;0,OR(CONTROL!$C$4="TODAS",C657=CONTROL!$C$4),D657=CONTROL!$C$5),MAX($AH$4:AH656)+1,"")</f>
        <v/>
      </c>
      <c r="AI657" s="22" t="str">
        <f aca="false">IF(AH657="","",P657^2)</f>
        <v/>
      </c>
    </row>
    <row r="658" customFormat="false" ht="15" hidden="false" customHeight="false" outlineLevel="0" collapsed="false">
      <c r="A658" s="11" t="str">
        <f aca="false">IF(B658="","",ROW()-4)</f>
        <v/>
      </c>
      <c r="B658" s="12"/>
      <c r="C658" s="13"/>
      <c r="D658" s="13"/>
      <c r="E658" s="13"/>
      <c r="F658" s="14" t="str">
        <f aca="false">IF(OR(B658="",C658="",D658=""),"",IFERROR(INDEX(CONFIG!$E$5:$E$14,MATCH(D658,CONFIG!$D$5:$D$14,0)),"?")&amp;RIGHT("0"&amp;DAY(B658),2)&amp;RIGHT("0"&amp;MONTH(B658),2)&amp;RIGHT(YEAR(B658),2)&amp;C658&amp;IF(E658="","","-"&amp;E658))</f>
        <v/>
      </c>
      <c r="G658" s="13"/>
      <c r="H658" s="13"/>
      <c r="I658" s="13"/>
      <c r="J658" s="13"/>
      <c r="K658" s="13"/>
      <c r="L658" s="13"/>
      <c r="M658" s="11" t="str">
        <f aca="false">IF(F658="","",COUNTIFS(ENSAYOS!$C$5:$C$3004,F658,ENSAYOS!$Q$5:$Q$3004,"&gt;0"))</f>
        <v/>
      </c>
      <c r="N658" s="15" t="str">
        <f aca="false">IF(N(M658)=0,"",_xlfn.MINIFS(ENSAYOS!$G$5:$G$3004,ENSAYOS!$C$5:$C$3004,F658,ENSAYOS!$Q$5:$Q$3004,"&gt;0"))</f>
        <v/>
      </c>
      <c r="O658" s="15" t="str">
        <f aca="false">IF(N(M658)=0,"",_xlfn.MAXIFS(ENSAYOS!$G$5:$G$3004,ENSAYOS!$C$5:$C$3004,F658,ENSAYOS!$Q$5:$Q$3004,"&gt;0"))</f>
        <v/>
      </c>
      <c r="P658" s="16" t="str">
        <f aca="false">IF(N(M658)=0,"",AVERAGEIFS(ENSAYOS!$Q$5:$Q$3004,ENSAYOS!$C$5:$C$3004,F658,ENSAYOS!$Q$5:$Q$3004,"&gt;0"))</f>
        <v/>
      </c>
      <c r="Q658" s="16" t="str">
        <f aca="false">IF(N(M658)=0,"",_xlfn.MINIFS(ENSAYOS!$Q$5:$Q$3004,ENSAYOS!$C$5:$C$3004,F658,ENSAYOS!$Q$5:$Q$3004,"&gt;0"))</f>
        <v/>
      </c>
      <c r="R658" s="16" t="str">
        <f aca="false">IF(N(M658)=0,"",_xlfn.MAXIFS(ENSAYOS!$Q$5:$Q$3004,ENSAYOS!$C$5:$C$3004,F658,ENSAYOS!$Q$5:$Q$3004,"&gt;0"))</f>
        <v/>
      </c>
      <c r="S658" s="16" t="str">
        <f aca="false">IF(N(M658)&lt;2,"",SQRT(MAX(0,(SUMIFS(ENSAYOS!$X$5:$X$3004,ENSAYOS!$C$5:$C$3004,F658,ENSAYOS!$Q$5:$Q$3004,"&gt;0")-M658*P658^2)/(M658-1))))</f>
        <v/>
      </c>
      <c r="T658" s="17" t="str">
        <f aca="false">IF(S658="","",S658/P658)</f>
        <v/>
      </c>
      <c r="U658" s="16" t="str">
        <f aca="false">IF(N(M658)=0,"",IF(N658&gt;=CONFIG!$B$27,"",AVERAGEIFS(ENSAYOS!$Q$5:$Q$3004,ENSAYOS!$C$5:$C$3004,F658,ENSAYOS!$Q$5:$Q$3004,"&gt;0",ENSAYOS!$G$5:$G$3004,N658)))</f>
        <v/>
      </c>
      <c r="V658" s="16" t="str">
        <f aca="false">IF(N(M658)=0,"",IF(COUNTIFS(ENSAYOS!$C$5:$C$3004,F658,ENSAYOS!$Q$5:$Q$3004,"&gt;0",ENSAYOS!$G$5:$G$3004,"&gt;="&amp;CONFIG!$B$27)=0,"",AVERAGEIFS(ENSAYOS!$Q$5:$Q$3004,ENSAYOS!$C$5:$C$3004,F658,ENSAYOS!$Q$5:$Q$3004,"&gt;0",ENSAYOS!$G$5:$G$3004,"&gt;="&amp;CONFIG!$B$27)))</f>
        <v/>
      </c>
      <c r="W658" s="18" t="str">
        <f aca="false">IF(AND(U658&lt;&gt;"",V658&lt;&gt;""),U658/V658,"")</f>
        <v/>
      </c>
      <c r="X658" s="18" t="str">
        <f aca="false">IF(U658="","",INDEX('CURVA EDAD'!$E$5:$E$32,MIN(28,MAX(1,N658))))</f>
        <v/>
      </c>
      <c r="Y658" s="16" t="str">
        <f aca="false">IF(V658&lt;&gt;"",V658,IF(U658="","",U658/X658))</f>
        <v/>
      </c>
      <c r="Z658" s="16" t="str">
        <f aca="false">IF(V658&lt;&gt;"",_xlfn.MINIFS(ENSAYOS!$Q$5:$Q$3004,ENSAYOS!$C$5:$C$3004,F658,ENSAYOS!$Q$5:$Q$3004,"&gt;0",ENSAYOS!$G$5:$G$3004,"&gt;="&amp;CONFIG!$B$27),IF(U658="","",_xlfn.MINIFS(ENSAYOS!$Q$5:$Q$3004,ENSAYOS!$C$5:$C$3004,F658,ENSAYOS!$Q$5:$Q$3004,"&gt;0",ENSAYOS!$G$5:$G$3004,N658)/X658))</f>
        <v/>
      </c>
      <c r="AA658" s="16" t="str">
        <f aca="false">IF(D658="","",IFERROR(1/(1/INDEX(CONFIG!$J$5:$J$14,MATCH(D658,CONFIG!$D$5:$D$14,0))),""))</f>
        <v/>
      </c>
      <c r="AB658" s="16" t="str">
        <f aca="false">IF(D658="","",IFERROR(1/(1/INDEX(CONFIG!$K$5:$K$14,MATCH(D658,CONFIG!$D$5:$D$14,0))),""))</f>
        <v/>
      </c>
      <c r="AC658" s="19" t="str">
        <f aca="false">IF(N(M658)=0,"",IF(AA658="","Sin spec",IF(AND(Y658&gt;=AA658,OR(AB658="",Z658&gt;=AB658)),"CUMPLE","NO CUMPLE")&amp;IF(V658=""," (est.)","")))</f>
        <v/>
      </c>
      <c r="AD658" s="20" t="str">
        <f aca="false">IF(F658="","",IF(COUNTIFS(ABSORCION!$C$5:$C$1004,F658,ABSORCION!$I$5:$I$1004,"&gt;0")=0,"",AVERAGEIFS(ABSORCION!$I$5:$I$1004,ABSORCION!$C$5:$C$1004,F658,ABSORCION!$I$5:$I$1004,"&gt;0")))</f>
        <v/>
      </c>
      <c r="AE658" s="20" t="str">
        <f aca="false">IF(F658="","",IF(COUNTIFS(ABSORCION!$C$5:$C$1004,F658,ABSORCION!$I$5:$I$1004,"&gt;0")=0,"",AVERAGEIFS(ABSORCION!$K$5:$K$1004,ABSORCION!$C$5:$C$1004,F658,ABSORCION!$I$5:$I$1004,"&gt;0")))</f>
        <v/>
      </c>
      <c r="AF658" s="20" t="str">
        <f aca="false">IF(AE658="","",IF(AE658&gt;=CONFIG!$E$21,CONFIG!$F$21,IF(AE658&gt;=CONFIG!$E$20,CONFIG!$F$20,CONFIG!$F$19)))</f>
        <v/>
      </c>
      <c r="AG658" s="21" t="str">
        <f aca="false">IF(F658="","",TRIM(IF(N(M658)=0,"Sin ensayos. ","")&amp;IF(AND(N(M658)&gt;0,N(M658)&lt;CONFIG!$B$26),"Menos de "&amp;CONFIG!$B$26&amp;" probetas. ","")&amp;IF(N(T658)&gt;CONFIG!$B$25,"CV alto. ","")&amp;IF(AND(N(AD658)&gt;0,N(AD658)&gt;N(AF658)),"Absorción alta. ","")))</f>
        <v/>
      </c>
      <c r="AH658" s="22" t="str">
        <f aca="false">IF(AND(N(M658)&gt;0,OR(CONTROL!$C$4="TODAS",C658=CONTROL!$C$4),D658=CONTROL!$C$5),MAX($AH$4:AH657)+1,"")</f>
        <v/>
      </c>
      <c r="AI658" s="22" t="str">
        <f aca="false">IF(AH658="","",P658^2)</f>
        <v/>
      </c>
    </row>
    <row r="659" customFormat="false" ht="15" hidden="false" customHeight="false" outlineLevel="0" collapsed="false">
      <c r="A659" s="11" t="str">
        <f aca="false">IF(B659="","",ROW()-4)</f>
        <v/>
      </c>
      <c r="B659" s="12"/>
      <c r="C659" s="13"/>
      <c r="D659" s="13"/>
      <c r="E659" s="13"/>
      <c r="F659" s="14" t="str">
        <f aca="false">IF(OR(B659="",C659="",D659=""),"",IFERROR(INDEX(CONFIG!$E$5:$E$14,MATCH(D659,CONFIG!$D$5:$D$14,0)),"?")&amp;RIGHT("0"&amp;DAY(B659),2)&amp;RIGHT("0"&amp;MONTH(B659),2)&amp;RIGHT(YEAR(B659),2)&amp;C659&amp;IF(E659="","","-"&amp;E659))</f>
        <v/>
      </c>
      <c r="G659" s="13"/>
      <c r="H659" s="13"/>
      <c r="I659" s="13"/>
      <c r="J659" s="13"/>
      <c r="K659" s="13"/>
      <c r="L659" s="13"/>
      <c r="M659" s="11" t="str">
        <f aca="false">IF(F659="","",COUNTIFS(ENSAYOS!$C$5:$C$3004,F659,ENSAYOS!$Q$5:$Q$3004,"&gt;0"))</f>
        <v/>
      </c>
      <c r="N659" s="15" t="str">
        <f aca="false">IF(N(M659)=0,"",_xlfn.MINIFS(ENSAYOS!$G$5:$G$3004,ENSAYOS!$C$5:$C$3004,F659,ENSAYOS!$Q$5:$Q$3004,"&gt;0"))</f>
        <v/>
      </c>
      <c r="O659" s="15" t="str">
        <f aca="false">IF(N(M659)=0,"",_xlfn.MAXIFS(ENSAYOS!$G$5:$G$3004,ENSAYOS!$C$5:$C$3004,F659,ENSAYOS!$Q$5:$Q$3004,"&gt;0"))</f>
        <v/>
      </c>
      <c r="P659" s="16" t="str">
        <f aca="false">IF(N(M659)=0,"",AVERAGEIFS(ENSAYOS!$Q$5:$Q$3004,ENSAYOS!$C$5:$C$3004,F659,ENSAYOS!$Q$5:$Q$3004,"&gt;0"))</f>
        <v/>
      </c>
      <c r="Q659" s="16" t="str">
        <f aca="false">IF(N(M659)=0,"",_xlfn.MINIFS(ENSAYOS!$Q$5:$Q$3004,ENSAYOS!$C$5:$C$3004,F659,ENSAYOS!$Q$5:$Q$3004,"&gt;0"))</f>
        <v/>
      </c>
      <c r="R659" s="16" t="str">
        <f aca="false">IF(N(M659)=0,"",_xlfn.MAXIFS(ENSAYOS!$Q$5:$Q$3004,ENSAYOS!$C$5:$C$3004,F659,ENSAYOS!$Q$5:$Q$3004,"&gt;0"))</f>
        <v/>
      </c>
      <c r="S659" s="16" t="str">
        <f aca="false">IF(N(M659)&lt;2,"",SQRT(MAX(0,(SUMIFS(ENSAYOS!$X$5:$X$3004,ENSAYOS!$C$5:$C$3004,F659,ENSAYOS!$Q$5:$Q$3004,"&gt;0")-M659*P659^2)/(M659-1))))</f>
        <v/>
      </c>
      <c r="T659" s="17" t="str">
        <f aca="false">IF(S659="","",S659/P659)</f>
        <v/>
      </c>
      <c r="U659" s="16" t="str">
        <f aca="false">IF(N(M659)=0,"",IF(N659&gt;=CONFIG!$B$27,"",AVERAGEIFS(ENSAYOS!$Q$5:$Q$3004,ENSAYOS!$C$5:$C$3004,F659,ENSAYOS!$Q$5:$Q$3004,"&gt;0",ENSAYOS!$G$5:$G$3004,N659)))</f>
        <v/>
      </c>
      <c r="V659" s="16" t="str">
        <f aca="false">IF(N(M659)=0,"",IF(COUNTIFS(ENSAYOS!$C$5:$C$3004,F659,ENSAYOS!$Q$5:$Q$3004,"&gt;0",ENSAYOS!$G$5:$G$3004,"&gt;="&amp;CONFIG!$B$27)=0,"",AVERAGEIFS(ENSAYOS!$Q$5:$Q$3004,ENSAYOS!$C$5:$C$3004,F659,ENSAYOS!$Q$5:$Q$3004,"&gt;0",ENSAYOS!$G$5:$G$3004,"&gt;="&amp;CONFIG!$B$27)))</f>
        <v/>
      </c>
      <c r="W659" s="18" t="str">
        <f aca="false">IF(AND(U659&lt;&gt;"",V659&lt;&gt;""),U659/V659,"")</f>
        <v/>
      </c>
      <c r="X659" s="18" t="str">
        <f aca="false">IF(U659="","",INDEX('CURVA EDAD'!$E$5:$E$32,MIN(28,MAX(1,N659))))</f>
        <v/>
      </c>
      <c r="Y659" s="16" t="str">
        <f aca="false">IF(V659&lt;&gt;"",V659,IF(U659="","",U659/X659))</f>
        <v/>
      </c>
      <c r="Z659" s="16" t="str">
        <f aca="false">IF(V659&lt;&gt;"",_xlfn.MINIFS(ENSAYOS!$Q$5:$Q$3004,ENSAYOS!$C$5:$C$3004,F659,ENSAYOS!$Q$5:$Q$3004,"&gt;0",ENSAYOS!$G$5:$G$3004,"&gt;="&amp;CONFIG!$B$27),IF(U659="","",_xlfn.MINIFS(ENSAYOS!$Q$5:$Q$3004,ENSAYOS!$C$5:$C$3004,F659,ENSAYOS!$Q$5:$Q$3004,"&gt;0",ENSAYOS!$G$5:$G$3004,N659)/X659))</f>
        <v/>
      </c>
      <c r="AA659" s="16" t="str">
        <f aca="false">IF(D659="","",IFERROR(1/(1/INDEX(CONFIG!$J$5:$J$14,MATCH(D659,CONFIG!$D$5:$D$14,0))),""))</f>
        <v/>
      </c>
      <c r="AB659" s="16" t="str">
        <f aca="false">IF(D659="","",IFERROR(1/(1/INDEX(CONFIG!$K$5:$K$14,MATCH(D659,CONFIG!$D$5:$D$14,0))),""))</f>
        <v/>
      </c>
      <c r="AC659" s="19" t="str">
        <f aca="false">IF(N(M659)=0,"",IF(AA659="","Sin spec",IF(AND(Y659&gt;=AA659,OR(AB659="",Z659&gt;=AB659)),"CUMPLE","NO CUMPLE")&amp;IF(V659=""," (est.)","")))</f>
        <v/>
      </c>
      <c r="AD659" s="20" t="str">
        <f aca="false">IF(F659="","",IF(COUNTIFS(ABSORCION!$C$5:$C$1004,F659,ABSORCION!$I$5:$I$1004,"&gt;0")=0,"",AVERAGEIFS(ABSORCION!$I$5:$I$1004,ABSORCION!$C$5:$C$1004,F659,ABSORCION!$I$5:$I$1004,"&gt;0")))</f>
        <v/>
      </c>
      <c r="AE659" s="20" t="str">
        <f aca="false">IF(F659="","",IF(COUNTIFS(ABSORCION!$C$5:$C$1004,F659,ABSORCION!$I$5:$I$1004,"&gt;0")=0,"",AVERAGEIFS(ABSORCION!$K$5:$K$1004,ABSORCION!$C$5:$C$1004,F659,ABSORCION!$I$5:$I$1004,"&gt;0")))</f>
        <v/>
      </c>
      <c r="AF659" s="20" t="str">
        <f aca="false">IF(AE659="","",IF(AE659&gt;=CONFIG!$E$21,CONFIG!$F$21,IF(AE659&gt;=CONFIG!$E$20,CONFIG!$F$20,CONFIG!$F$19)))</f>
        <v/>
      </c>
      <c r="AG659" s="21" t="str">
        <f aca="false">IF(F659="","",TRIM(IF(N(M659)=0,"Sin ensayos. ","")&amp;IF(AND(N(M659)&gt;0,N(M659)&lt;CONFIG!$B$26),"Menos de "&amp;CONFIG!$B$26&amp;" probetas. ","")&amp;IF(N(T659)&gt;CONFIG!$B$25,"CV alto. ","")&amp;IF(AND(N(AD659)&gt;0,N(AD659)&gt;N(AF659)),"Absorción alta. ","")))</f>
        <v/>
      </c>
      <c r="AH659" s="22" t="str">
        <f aca="false">IF(AND(N(M659)&gt;0,OR(CONTROL!$C$4="TODAS",C659=CONTROL!$C$4),D659=CONTROL!$C$5),MAX($AH$4:AH658)+1,"")</f>
        <v/>
      </c>
      <c r="AI659" s="22" t="str">
        <f aca="false">IF(AH659="","",P659^2)</f>
        <v/>
      </c>
    </row>
    <row r="660" customFormat="false" ht="15" hidden="false" customHeight="false" outlineLevel="0" collapsed="false">
      <c r="A660" s="11" t="str">
        <f aca="false">IF(B660="","",ROW()-4)</f>
        <v/>
      </c>
      <c r="B660" s="12"/>
      <c r="C660" s="13"/>
      <c r="D660" s="13"/>
      <c r="E660" s="13"/>
      <c r="F660" s="14" t="str">
        <f aca="false">IF(OR(B660="",C660="",D660=""),"",IFERROR(INDEX(CONFIG!$E$5:$E$14,MATCH(D660,CONFIG!$D$5:$D$14,0)),"?")&amp;RIGHT("0"&amp;DAY(B660),2)&amp;RIGHT("0"&amp;MONTH(B660),2)&amp;RIGHT(YEAR(B660),2)&amp;C660&amp;IF(E660="","","-"&amp;E660))</f>
        <v/>
      </c>
      <c r="G660" s="13"/>
      <c r="H660" s="13"/>
      <c r="I660" s="13"/>
      <c r="J660" s="13"/>
      <c r="K660" s="13"/>
      <c r="L660" s="13"/>
      <c r="M660" s="11" t="str">
        <f aca="false">IF(F660="","",COUNTIFS(ENSAYOS!$C$5:$C$3004,F660,ENSAYOS!$Q$5:$Q$3004,"&gt;0"))</f>
        <v/>
      </c>
      <c r="N660" s="15" t="str">
        <f aca="false">IF(N(M660)=0,"",_xlfn.MINIFS(ENSAYOS!$G$5:$G$3004,ENSAYOS!$C$5:$C$3004,F660,ENSAYOS!$Q$5:$Q$3004,"&gt;0"))</f>
        <v/>
      </c>
      <c r="O660" s="15" t="str">
        <f aca="false">IF(N(M660)=0,"",_xlfn.MAXIFS(ENSAYOS!$G$5:$G$3004,ENSAYOS!$C$5:$C$3004,F660,ENSAYOS!$Q$5:$Q$3004,"&gt;0"))</f>
        <v/>
      </c>
      <c r="P660" s="16" t="str">
        <f aca="false">IF(N(M660)=0,"",AVERAGEIFS(ENSAYOS!$Q$5:$Q$3004,ENSAYOS!$C$5:$C$3004,F660,ENSAYOS!$Q$5:$Q$3004,"&gt;0"))</f>
        <v/>
      </c>
      <c r="Q660" s="16" t="str">
        <f aca="false">IF(N(M660)=0,"",_xlfn.MINIFS(ENSAYOS!$Q$5:$Q$3004,ENSAYOS!$C$5:$C$3004,F660,ENSAYOS!$Q$5:$Q$3004,"&gt;0"))</f>
        <v/>
      </c>
      <c r="R660" s="16" t="str">
        <f aca="false">IF(N(M660)=0,"",_xlfn.MAXIFS(ENSAYOS!$Q$5:$Q$3004,ENSAYOS!$C$5:$C$3004,F660,ENSAYOS!$Q$5:$Q$3004,"&gt;0"))</f>
        <v/>
      </c>
      <c r="S660" s="16" t="str">
        <f aca="false">IF(N(M660)&lt;2,"",SQRT(MAX(0,(SUMIFS(ENSAYOS!$X$5:$X$3004,ENSAYOS!$C$5:$C$3004,F660,ENSAYOS!$Q$5:$Q$3004,"&gt;0")-M660*P660^2)/(M660-1))))</f>
        <v/>
      </c>
      <c r="T660" s="17" t="str">
        <f aca="false">IF(S660="","",S660/P660)</f>
        <v/>
      </c>
      <c r="U660" s="16" t="str">
        <f aca="false">IF(N(M660)=0,"",IF(N660&gt;=CONFIG!$B$27,"",AVERAGEIFS(ENSAYOS!$Q$5:$Q$3004,ENSAYOS!$C$5:$C$3004,F660,ENSAYOS!$Q$5:$Q$3004,"&gt;0",ENSAYOS!$G$5:$G$3004,N660)))</f>
        <v/>
      </c>
      <c r="V660" s="16" t="str">
        <f aca="false">IF(N(M660)=0,"",IF(COUNTIFS(ENSAYOS!$C$5:$C$3004,F660,ENSAYOS!$Q$5:$Q$3004,"&gt;0",ENSAYOS!$G$5:$G$3004,"&gt;="&amp;CONFIG!$B$27)=0,"",AVERAGEIFS(ENSAYOS!$Q$5:$Q$3004,ENSAYOS!$C$5:$C$3004,F660,ENSAYOS!$Q$5:$Q$3004,"&gt;0",ENSAYOS!$G$5:$G$3004,"&gt;="&amp;CONFIG!$B$27)))</f>
        <v/>
      </c>
      <c r="W660" s="18" t="str">
        <f aca="false">IF(AND(U660&lt;&gt;"",V660&lt;&gt;""),U660/V660,"")</f>
        <v/>
      </c>
      <c r="X660" s="18" t="str">
        <f aca="false">IF(U660="","",INDEX('CURVA EDAD'!$E$5:$E$32,MIN(28,MAX(1,N660))))</f>
        <v/>
      </c>
      <c r="Y660" s="16" t="str">
        <f aca="false">IF(V660&lt;&gt;"",V660,IF(U660="","",U660/X660))</f>
        <v/>
      </c>
      <c r="Z660" s="16" t="str">
        <f aca="false">IF(V660&lt;&gt;"",_xlfn.MINIFS(ENSAYOS!$Q$5:$Q$3004,ENSAYOS!$C$5:$C$3004,F660,ENSAYOS!$Q$5:$Q$3004,"&gt;0",ENSAYOS!$G$5:$G$3004,"&gt;="&amp;CONFIG!$B$27),IF(U660="","",_xlfn.MINIFS(ENSAYOS!$Q$5:$Q$3004,ENSAYOS!$C$5:$C$3004,F660,ENSAYOS!$Q$5:$Q$3004,"&gt;0",ENSAYOS!$G$5:$G$3004,N660)/X660))</f>
        <v/>
      </c>
      <c r="AA660" s="16" t="str">
        <f aca="false">IF(D660="","",IFERROR(1/(1/INDEX(CONFIG!$J$5:$J$14,MATCH(D660,CONFIG!$D$5:$D$14,0))),""))</f>
        <v/>
      </c>
      <c r="AB660" s="16" t="str">
        <f aca="false">IF(D660="","",IFERROR(1/(1/INDEX(CONFIG!$K$5:$K$14,MATCH(D660,CONFIG!$D$5:$D$14,0))),""))</f>
        <v/>
      </c>
      <c r="AC660" s="19" t="str">
        <f aca="false">IF(N(M660)=0,"",IF(AA660="","Sin spec",IF(AND(Y660&gt;=AA660,OR(AB660="",Z660&gt;=AB660)),"CUMPLE","NO CUMPLE")&amp;IF(V660=""," (est.)","")))</f>
        <v/>
      </c>
      <c r="AD660" s="20" t="str">
        <f aca="false">IF(F660="","",IF(COUNTIFS(ABSORCION!$C$5:$C$1004,F660,ABSORCION!$I$5:$I$1004,"&gt;0")=0,"",AVERAGEIFS(ABSORCION!$I$5:$I$1004,ABSORCION!$C$5:$C$1004,F660,ABSORCION!$I$5:$I$1004,"&gt;0")))</f>
        <v/>
      </c>
      <c r="AE660" s="20" t="str">
        <f aca="false">IF(F660="","",IF(COUNTIFS(ABSORCION!$C$5:$C$1004,F660,ABSORCION!$I$5:$I$1004,"&gt;0")=0,"",AVERAGEIFS(ABSORCION!$K$5:$K$1004,ABSORCION!$C$5:$C$1004,F660,ABSORCION!$I$5:$I$1004,"&gt;0")))</f>
        <v/>
      </c>
      <c r="AF660" s="20" t="str">
        <f aca="false">IF(AE660="","",IF(AE660&gt;=CONFIG!$E$21,CONFIG!$F$21,IF(AE660&gt;=CONFIG!$E$20,CONFIG!$F$20,CONFIG!$F$19)))</f>
        <v/>
      </c>
      <c r="AG660" s="21" t="str">
        <f aca="false">IF(F660="","",TRIM(IF(N(M660)=0,"Sin ensayos. ","")&amp;IF(AND(N(M660)&gt;0,N(M660)&lt;CONFIG!$B$26),"Menos de "&amp;CONFIG!$B$26&amp;" probetas. ","")&amp;IF(N(T660)&gt;CONFIG!$B$25,"CV alto. ","")&amp;IF(AND(N(AD660)&gt;0,N(AD660)&gt;N(AF660)),"Absorción alta. ","")))</f>
        <v/>
      </c>
      <c r="AH660" s="22" t="str">
        <f aca="false">IF(AND(N(M660)&gt;0,OR(CONTROL!$C$4="TODAS",C660=CONTROL!$C$4),D660=CONTROL!$C$5),MAX($AH$4:AH659)+1,"")</f>
        <v/>
      </c>
      <c r="AI660" s="22" t="str">
        <f aca="false">IF(AH660="","",P660^2)</f>
        <v/>
      </c>
    </row>
    <row r="661" customFormat="false" ht="15" hidden="false" customHeight="false" outlineLevel="0" collapsed="false">
      <c r="A661" s="11" t="str">
        <f aca="false">IF(B661="","",ROW()-4)</f>
        <v/>
      </c>
      <c r="B661" s="12"/>
      <c r="C661" s="13"/>
      <c r="D661" s="13"/>
      <c r="E661" s="13"/>
      <c r="F661" s="14" t="str">
        <f aca="false">IF(OR(B661="",C661="",D661=""),"",IFERROR(INDEX(CONFIG!$E$5:$E$14,MATCH(D661,CONFIG!$D$5:$D$14,0)),"?")&amp;RIGHT("0"&amp;DAY(B661),2)&amp;RIGHT("0"&amp;MONTH(B661),2)&amp;RIGHT(YEAR(B661),2)&amp;C661&amp;IF(E661="","","-"&amp;E661))</f>
        <v/>
      </c>
      <c r="G661" s="13"/>
      <c r="H661" s="13"/>
      <c r="I661" s="13"/>
      <c r="J661" s="13"/>
      <c r="K661" s="13"/>
      <c r="L661" s="13"/>
      <c r="M661" s="11" t="str">
        <f aca="false">IF(F661="","",COUNTIFS(ENSAYOS!$C$5:$C$3004,F661,ENSAYOS!$Q$5:$Q$3004,"&gt;0"))</f>
        <v/>
      </c>
      <c r="N661" s="15" t="str">
        <f aca="false">IF(N(M661)=0,"",_xlfn.MINIFS(ENSAYOS!$G$5:$G$3004,ENSAYOS!$C$5:$C$3004,F661,ENSAYOS!$Q$5:$Q$3004,"&gt;0"))</f>
        <v/>
      </c>
      <c r="O661" s="15" t="str">
        <f aca="false">IF(N(M661)=0,"",_xlfn.MAXIFS(ENSAYOS!$G$5:$G$3004,ENSAYOS!$C$5:$C$3004,F661,ENSAYOS!$Q$5:$Q$3004,"&gt;0"))</f>
        <v/>
      </c>
      <c r="P661" s="16" t="str">
        <f aca="false">IF(N(M661)=0,"",AVERAGEIFS(ENSAYOS!$Q$5:$Q$3004,ENSAYOS!$C$5:$C$3004,F661,ENSAYOS!$Q$5:$Q$3004,"&gt;0"))</f>
        <v/>
      </c>
      <c r="Q661" s="16" t="str">
        <f aca="false">IF(N(M661)=0,"",_xlfn.MINIFS(ENSAYOS!$Q$5:$Q$3004,ENSAYOS!$C$5:$C$3004,F661,ENSAYOS!$Q$5:$Q$3004,"&gt;0"))</f>
        <v/>
      </c>
      <c r="R661" s="16" t="str">
        <f aca="false">IF(N(M661)=0,"",_xlfn.MAXIFS(ENSAYOS!$Q$5:$Q$3004,ENSAYOS!$C$5:$C$3004,F661,ENSAYOS!$Q$5:$Q$3004,"&gt;0"))</f>
        <v/>
      </c>
      <c r="S661" s="16" t="str">
        <f aca="false">IF(N(M661)&lt;2,"",SQRT(MAX(0,(SUMIFS(ENSAYOS!$X$5:$X$3004,ENSAYOS!$C$5:$C$3004,F661,ENSAYOS!$Q$5:$Q$3004,"&gt;0")-M661*P661^2)/(M661-1))))</f>
        <v/>
      </c>
      <c r="T661" s="17" t="str">
        <f aca="false">IF(S661="","",S661/P661)</f>
        <v/>
      </c>
      <c r="U661" s="16" t="str">
        <f aca="false">IF(N(M661)=0,"",IF(N661&gt;=CONFIG!$B$27,"",AVERAGEIFS(ENSAYOS!$Q$5:$Q$3004,ENSAYOS!$C$5:$C$3004,F661,ENSAYOS!$Q$5:$Q$3004,"&gt;0",ENSAYOS!$G$5:$G$3004,N661)))</f>
        <v/>
      </c>
      <c r="V661" s="16" t="str">
        <f aca="false">IF(N(M661)=0,"",IF(COUNTIFS(ENSAYOS!$C$5:$C$3004,F661,ENSAYOS!$Q$5:$Q$3004,"&gt;0",ENSAYOS!$G$5:$G$3004,"&gt;="&amp;CONFIG!$B$27)=0,"",AVERAGEIFS(ENSAYOS!$Q$5:$Q$3004,ENSAYOS!$C$5:$C$3004,F661,ENSAYOS!$Q$5:$Q$3004,"&gt;0",ENSAYOS!$G$5:$G$3004,"&gt;="&amp;CONFIG!$B$27)))</f>
        <v/>
      </c>
      <c r="W661" s="18" t="str">
        <f aca="false">IF(AND(U661&lt;&gt;"",V661&lt;&gt;""),U661/V661,"")</f>
        <v/>
      </c>
      <c r="X661" s="18" t="str">
        <f aca="false">IF(U661="","",INDEX('CURVA EDAD'!$E$5:$E$32,MIN(28,MAX(1,N661))))</f>
        <v/>
      </c>
      <c r="Y661" s="16" t="str">
        <f aca="false">IF(V661&lt;&gt;"",V661,IF(U661="","",U661/X661))</f>
        <v/>
      </c>
      <c r="Z661" s="16" t="str">
        <f aca="false">IF(V661&lt;&gt;"",_xlfn.MINIFS(ENSAYOS!$Q$5:$Q$3004,ENSAYOS!$C$5:$C$3004,F661,ENSAYOS!$Q$5:$Q$3004,"&gt;0",ENSAYOS!$G$5:$G$3004,"&gt;="&amp;CONFIG!$B$27),IF(U661="","",_xlfn.MINIFS(ENSAYOS!$Q$5:$Q$3004,ENSAYOS!$C$5:$C$3004,F661,ENSAYOS!$Q$5:$Q$3004,"&gt;0",ENSAYOS!$G$5:$G$3004,N661)/X661))</f>
        <v/>
      </c>
      <c r="AA661" s="16" t="str">
        <f aca="false">IF(D661="","",IFERROR(1/(1/INDEX(CONFIG!$J$5:$J$14,MATCH(D661,CONFIG!$D$5:$D$14,0))),""))</f>
        <v/>
      </c>
      <c r="AB661" s="16" t="str">
        <f aca="false">IF(D661="","",IFERROR(1/(1/INDEX(CONFIG!$K$5:$K$14,MATCH(D661,CONFIG!$D$5:$D$14,0))),""))</f>
        <v/>
      </c>
      <c r="AC661" s="19" t="str">
        <f aca="false">IF(N(M661)=0,"",IF(AA661="","Sin spec",IF(AND(Y661&gt;=AA661,OR(AB661="",Z661&gt;=AB661)),"CUMPLE","NO CUMPLE")&amp;IF(V661=""," (est.)","")))</f>
        <v/>
      </c>
      <c r="AD661" s="20" t="str">
        <f aca="false">IF(F661="","",IF(COUNTIFS(ABSORCION!$C$5:$C$1004,F661,ABSORCION!$I$5:$I$1004,"&gt;0")=0,"",AVERAGEIFS(ABSORCION!$I$5:$I$1004,ABSORCION!$C$5:$C$1004,F661,ABSORCION!$I$5:$I$1004,"&gt;0")))</f>
        <v/>
      </c>
      <c r="AE661" s="20" t="str">
        <f aca="false">IF(F661="","",IF(COUNTIFS(ABSORCION!$C$5:$C$1004,F661,ABSORCION!$I$5:$I$1004,"&gt;0")=0,"",AVERAGEIFS(ABSORCION!$K$5:$K$1004,ABSORCION!$C$5:$C$1004,F661,ABSORCION!$I$5:$I$1004,"&gt;0")))</f>
        <v/>
      </c>
      <c r="AF661" s="20" t="str">
        <f aca="false">IF(AE661="","",IF(AE661&gt;=CONFIG!$E$21,CONFIG!$F$21,IF(AE661&gt;=CONFIG!$E$20,CONFIG!$F$20,CONFIG!$F$19)))</f>
        <v/>
      </c>
      <c r="AG661" s="21" t="str">
        <f aca="false">IF(F661="","",TRIM(IF(N(M661)=0,"Sin ensayos. ","")&amp;IF(AND(N(M661)&gt;0,N(M661)&lt;CONFIG!$B$26),"Menos de "&amp;CONFIG!$B$26&amp;" probetas. ","")&amp;IF(N(T661)&gt;CONFIG!$B$25,"CV alto. ","")&amp;IF(AND(N(AD661)&gt;0,N(AD661)&gt;N(AF661)),"Absorción alta. ","")))</f>
        <v/>
      </c>
      <c r="AH661" s="22" t="str">
        <f aca="false">IF(AND(N(M661)&gt;0,OR(CONTROL!$C$4="TODAS",C661=CONTROL!$C$4),D661=CONTROL!$C$5),MAX($AH$4:AH660)+1,"")</f>
        <v/>
      </c>
      <c r="AI661" s="22" t="str">
        <f aca="false">IF(AH661="","",P661^2)</f>
        <v/>
      </c>
    </row>
    <row r="662" customFormat="false" ht="15" hidden="false" customHeight="false" outlineLevel="0" collapsed="false">
      <c r="A662" s="11" t="str">
        <f aca="false">IF(B662="","",ROW()-4)</f>
        <v/>
      </c>
      <c r="B662" s="12"/>
      <c r="C662" s="13"/>
      <c r="D662" s="13"/>
      <c r="E662" s="13"/>
      <c r="F662" s="14" t="str">
        <f aca="false">IF(OR(B662="",C662="",D662=""),"",IFERROR(INDEX(CONFIG!$E$5:$E$14,MATCH(D662,CONFIG!$D$5:$D$14,0)),"?")&amp;RIGHT("0"&amp;DAY(B662),2)&amp;RIGHT("0"&amp;MONTH(B662),2)&amp;RIGHT(YEAR(B662),2)&amp;C662&amp;IF(E662="","","-"&amp;E662))</f>
        <v/>
      </c>
      <c r="G662" s="13"/>
      <c r="H662" s="13"/>
      <c r="I662" s="13"/>
      <c r="J662" s="13"/>
      <c r="K662" s="13"/>
      <c r="L662" s="13"/>
      <c r="M662" s="11" t="str">
        <f aca="false">IF(F662="","",COUNTIFS(ENSAYOS!$C$5:$C$3004,F662,ENSAYOS!$Q$5:$Q$3004,"&gt;0"))</f>
        <v/>
      </c>
      <c r="N662" s="15" t="str">
        <f aca="false">IF(N(M662)=0,"",_xlfn.MINIFS(ENSAYOS!$G$5:$G$3004,ENSAYOS!$C$5:$C$3004,F662,ENSAYOS!$Q$5:$Q$3004,"&gt;0"))</f>
        <v/>
      </c>
      <c r="O662" s="15" t="str">
        <f aca="false">IF(N(M662)=0,"",_xlfn.MAXIFS(ENSAYOS!$G$5:$G$3004,ENSAYOS!$C$5:$C$3004,F662,ENSAYOS!$Q$5:$Q$3004,"&gt;0"))</f>
        <v/>
      </c>
      <c r="P662" s="16" t="str">
        <f aca="false">IF(N(M662)=0,"",AVERAGEIFS(ENSAYOS!$Q$5:$Q$3004,ENSAYOS!$C$5:$C$3004,F662,ENSAYOS!$Q$5:$Q$3004,"&gt;0"))</f>
        <v/>
      </c>
      <c r="Q662" s="16" t="str">
        <f aca="false">IF(N(M662)=0,"",_xlfn.MINIFS(ENSAYOS!$Q$5:$Q$3004,ENSAYOS!$C$5:$C$3004,F662,ENSAYOS!$Q$5:$Q$3004,"&gt;0"))</f>
        <v/>
      </c>
      <c r="R662" s="16" t="str">
        <f aca="false">IF(N(M662)=0,"",_xlfn.MAXIFS(ENSAYOS!$Q$5:$Q$3004,ENSAYOS!$C$5:$C$3004,F662,ENSAYOS!$Q$5:$Q$3004,"&gt;0"))</f>
        <v/>
      </c>
      <c r="S662" s="16" t="str">
        <f aca="false">IF(N(M662)&lt;2,"",SQRT(MAX(0,(SUMIFS(ENSAYOS!$X$5:$X$3004,ENSAYOS!$C$5:$C$3004,F662,ENSAYOS!$Q$5:$Q$3004,"&gt;0")-M662*P662^2)/(M662-1))))</f>
        <v/>
      </c>
      <c r="T662" s="17" t="str">
        <f aca="false">IF(S662="","",S662/P662)</f>
        <v/>
      </c>
      <c r="U662" s="16" t="str">
        <f aca="false">IF(N(M662)=0,"",IF(N662&gt;=CONFIG!$B$27,"",AVERAGEIFS(ENSAYOS!$Q$5:$Q$3004,ENSAYOS!$C$5:$C$3004,F662,ENSAYOS!$Q$5:$Q$3004,"&gt;0",ENSAYOS!$G$5:$G$3004,N662)))</f>
        <v/>
      </c>
      <c r="V662" s="16" t="str">
        <f aca="false">IF(N(M662)=0,"",IF(COUNTIFS(ENSAYOS!$C$5:$C$3004,F662,ENSAYOS!$Q$5:$Q$3004,"&gt;0",ENSAYOS!$G$5:$G$3004,"&gt;="&amp;CONFIG!$B$27)=0,"",AVERAGEIFS(ENSAYOS!$Q$5:$Q$3004,ENSAYOS!$C$5:$C$3004,F662,ENSAYOS!$Q$5:$Q$3004,"&gt;0",ENSAYOS!$G$5:$G$3004,"&gt;="&amp;CONFIG!$B$27)))</f>
        <v/>
      </c>
      <c r="W662" s="18" t="str">
        <f aca="false">IF(AND(U662&lt;&gt;"",V662&lt;&gt;""),U662/V662,"")</f>
        <v/>
      </c>
      <c r="X662" s="18" t="str">
        <f aca="false">IF(U662="","",INDEX('CURVA EDAD'!$E$5:$E$32,MIN(28,MAX(1,N662))))</f>
        <v/>
      </c>
      <c r="Y662" s="16" t="str">
        <f aca="false">IF(V662&lt;&gt;"",V662,IF(U662="","",U662/X662))</f>
        <v/>
      </c>
      <c r="Z662" s="16" t="str">
        <f aca="false">IF(V662&lt;&gt;"",_xlfn.MINIFS(ENSAYOS!$Q$5:$Q$3004,ENSAYOS!$C$5:$C$3004,F662,ENSAYOS!$Q$5:$Q$3004,"&gt;0",ENSAYOS!$G$5:$G$3004,"&gt;="&amp;CONFIG!$B$27),IF(U662="","",_xlfn.MINIFS(ENSAYOS!$Q$5:$Q$3004,ENSAYOS!$C$5:$C$3004,F662,ENSAYOS!$Q$5:$Q$3004,"&gt;0",ENSAYOS!$G$5:$G$3004,N662)/X662))</f>
        <v/>
      </c>
      <c r="AA662" s="16" t="str">
        <f aca="false">IF(D662="","",IFERROR(1/(1/INDEX(CONFIG!$J$5:$J$14,MATCH(D662,CONFIG!$D$5:$D$14,0))),""))</f>
        <v/>
      </c>
      <c r="AB662" s="16" t="str">
        <f aca="false">IF(D662="","",IFERROR(1/(1/INDEX(CONFIG!$K$5:$K$14,MATCH(D662,CONFIG!$D$5:$D$14,0))),""))</f>
        <v/>
      </c>
      <c r="AC662" s="19" t="str">
        <f aca="false">IF(N(M662)=0,"",IF(AA662="","Sin spec",IF(AND(Y662&gt;=AA662,OR(AB662="",Z662&gt;=AB662)),"CUMPLE","NO CUMPLE")&amp;IF(V662=""," (est.)","")))</f>
        <v/>
      </c>
      <c r="AD662" s="20" t="str">
        <f aca="false">IF(F662="","",IF(COUNTIFS(ABSORCION!$C$5:$C$1004,F662,ABSORCION!$I$5:$I$1004,"&gt;0")=0,"",AVERAGEIFS(ABSORCION!$I$5:$I$1004,ABSORCION!$C$5:$C$1004,F662,ABSORCION!$I$5:$I$1004,"&gt;0")))</f>
        <v/>
      </c>
      <c r="AE662" s="20" t="str">
        <f aca="false">IF(F662="","",IF(COUNTIFS(ABSORCION!$C$5:$C$1004,F662,ABSORCION!$I$5:$I$1004,"&gt;0")=0,"",AVERAGEIFS(ABSORCION!$K$5:$K$1004,ABSORCION!$C$5:$C$1004,F662,ABSORCION!$I$5:$I$1004,"&gt;0")))</f>
        <v/>
      </c>
      <c r="AF662" s="20" t="str">
        <f aca="false">IF(AE662="","",IF(AE662&gt;=CONFIG!$E$21,CONFIG!$F$21,IF(AE662&gt;=CONFIG!$E$20,CONFIG!$F$20,CONFIG!$F$19)))</f>
        <v/>
      </c>
      <c r="AG662" s="21" t="str">
        <f aca="false">IF(F662="","",TRIM(IF(N(M662)=0,"Sin ensayos. ","")&amp;IF(AND(N(M662)&gt;0,N(M662)&lt;CONFIG!$B$26),"Menos de "&amp;CONFIG!$B$26&amp;" probetas. ","")&amp;IF(N(T662)&gt;CONFIG!$B$25,"CV alto. ","")&amp;IF(AND(N(AD662)&gt;0,N(AD662)&gt;N(AF662)),"Absorción alta. ","")))</f>
        <v/>
      </c>
      <c r="AH662" s="22" t="str">
        <f aca="false">IF(AND(N(M662)&gt;0,OR(CONTROL!$C$4="TODAS",C662=CONTROL!$C$4),D662=CONTROL!$C$5),MAX($AH$4:AH661)+1,"")</f>
        <v/>
      </c>
      <c r="AI662" s="22" t="str">
        <f aca="false">IF(AH662="","",P662^2)</f>
        <v/>
      </c>
    </row>
    <row r="663" customFormat="false" ht="15" hidden="false" customHeight="false" outlineLevel="0" collapsed="false">
      <c r="A663" s="11" t="str">
        <f aca="false">IF(B663="","",ROW()-4)</f>
        <v/>
      </c>
      <c r="B663" s="12"/>
      <c r="C663" s="13"/>
      <c r="D663" s="13"/>
      <c r="E663" s="13"/>
      <c r="F663" s="14" t="str">
        <f aca="false">IF(OR(B663="",C663="",D663=""),"",IFERROR(INDEX(CONFIG!$E$5:$E$14,MATCH(D663,CONFIG!$D$5:$D$14,0)),"?")&amp;RIGHT("0"&amp;DAY(B663),2)&amp;RIGHT("0"&amp;MONTH(B663),2)&amp;RIGHT(YEAR(B663),2)&amp;C663&amp;IF(E663="","","-"&amp;E663))</f>
        <v/>
      </c>
      <c r="G663" s="13"/>
      <c r="H663" s="13"/>
      <c r="I663" s="13"/>
      <c r="J663" s="13"/>
      <c r="K663" s="13"/>
      <c r="L663" s="13"/>
      <c r="M663" s="11" t="str">
        <f aca="false">IF(F663="","",COUNTIFS(ENSAYOS!$C$5:$C$3004,F663,ENSAYOS!$Q$5:$Q$3004,"&gt;0"))</f>
        <v/>
      </c>
      <c r="N663" s="15" t="str">
        <f aca="false">IF(N(M663)=0,"",_xlfn.MINIFS(ENSAYOS!$G$5:$G$3004,ENSAYOS!$C$5:$C$3004,F663,ENSAYOS!$Q$5:$Q$3004,"&gt;0"))</f>
        <v/>
      </c>
      <c r="O663" s="15" t="str">
        <f aca="false">IF(N(M663)=0,"",_xlfn.MAXIFS(ENSAYOS!$G$5:$G$3004,ENSAYOS!$C$5:$C$3004,F663,ENSAYOS!$Q$5:$Q$3004,"&gt;0"))</f>
        <v/>
      </c>
      <c r="P663" s="16" t="str">
        <f aca="false">IF(N(M663)=0,"",AVERAGEIFS(ENSAYOS!$Q$5:$Q$3004,ENSAYOS!$C$5:$C$3004,F663,ENSAYOS!$Q$5:$Q$3004,"&gt;0"))</f>
        <v/>
      </c>
      <c r="Q663" s="16" t="str">
        <f aca="false">IF(N(M663)=0,"",_xlfn.MINIFS(ENSAYOS!$Q$5:$Q$3004,ENSAYOS!$C$5:$C$3004,F663,ENSAYOS!$Q$5:$Q$3004,"&gt;0"))</f>
        <v/>
      </c>
      <c r="R663" s="16" t="str">
        <f aca="false">IF(N(M663)=0,"",_xlfn.MAXIFS(ENSAYOS!$Q$5:$Q$3004,ENSAYOS!$C$5:$C$3004,F663,ENSAYOS!$Q$5:$Q$3004,"&gt;0"))</f>
        <v/>
      </c>
      <c r="S663" s="16" t="str">
        <f aca="false">IF(N(M663)&lt;2,"",SQRT(MAX(0,(SUMIFS(ENSAYOS!$X$5:$X$3004,ENSAYOS!$C$5:$C$3004,F663,ENSAYOS!$Q$5:$Q$3004,"&gt;0")-M663*P663^2)/(M663-1))))</f>
        <v/>
      </c>
      <c r="T663" s="17" t="str">
        <f aca="false">IF(S663="","",S663/P663)</f>
        <v/>
      </c>
      <c r="U663" s="16" t="str">
        <f aca="false">IF(N(M663)=0,"",IF(N663&gt;=CONFIG!$B$27,"",AVERAGEIFS(ENSAYOS!$Q$5:$Q$3004,ENSAYOS!$C$5:$C$3004,F663,ENSAYOS!$Q$5:$Q$3004,"&gt;0",ENSAYOS!$G$5:$G$3004,N663)))</f>
        <v/>
      </c>
      <c r="V663" s="16" t="str">
        <f aca="false">IF(N(M663)=0,"",IF(COUNTIFS(ENSAYOS!$C$5:$C$3004,F663,ENSAYOS!$Q$5:$Q$3004,"&gt;0",ENSAYOS!$G$5:$G$3004,"&gt;="&amp;CONFIG!$B$27)=0,"",AVERAGEIFS(ENSAYOS!$Q$5:$Q$3004,ENSAYOS!$C$5:$C$3004,F663,ENSAYOS!$Q$5:$Q$3004,"&gt;0",ENSAYOS!$G$5:$G$3004,"&gt;="&amp;CONFIG!$B$27)))</f>
        <v/>
      </c>
      <c r="W663" s="18" t="str">
        <f aca="false">IF(AND(U663&lt;&gt;"",V663&lt;&gt;""),U663/V663,"")</f>
        <v/>
      </c>
      <c r="X663" s="18" t="str">
        <f aca="false">IF(U663="","",INDEX('CURVA EDAD'!$E$5:$E$32,MIN(28,MAX(1,N663))))</f>
        <v/>
      </c>
      <c r="Y663" s="16" t="str">
        <f aca="false">IF(V663&lt;&gt;"",V663,IF(U663="","",U663/X663))</f>
        <v/>
      </c>
      <c r="Z663" s="16" t="str">
        <f aca="false">IF(V663&lt;&gt;"",_xlfn.MINIFS(ENSAYOS!$Q$5:$Q$3004,ENSAYOS!$C$5:$C$3004,F663,ENSAYOS!$Q$5:$Q$3004,"&gt;0",ENSAYOS!$G$5:$G$3004,"&gt;="&amp;CONFIG!$B$27),IF(U663="","",_xlfn.MINIFS(ENSAYOS!$Q$5:$Q$3004,ENSAYOS!$C$5:$C$3004,F663,ENSAYOS!$Q$5:$Q$3004,"&gt;0",ENSAYOS!$G$5:$G$3004,N663)/X663))</f>
        <v/>
      </c>
      <c r="AA663" s="16" t="str">
        <f aca="false">IF(D663="","",IFERROR(1/(1/INDEX(CONFIG!$J$5:$J$14,MATCH(D663,CONFIG!$D$5:$D$14,0))),""))</f>
        <v/>
      </c>
      <c r="AB663" s="16" t="str">
        <f aca="false">IF(D663="","",IFERROR(1/(1/INDEX(CONFIG!$K$5:$K$14,MATCH(D663,CONFIG!$D$5:$D$14,0))),""))</f>
        <v/>
      </c>
      <c r="AC663" s="19" t="str">
        <f aca="false">IF(N(M663)=0,"",IF(AA663="","Sin spec",IF(AND(Y663&gt;=AA663,OR(AB663="",Z663&gt;=AB663)),"CUMPLE","NO CUMPLE")&amp;IF(V663=""," (est.)","")))</f>
        <v/>
      </c>
      <c r="AD663" s="20" t="str">
        <f aca="false">IF(F663="","",IF(COUNTIFS(ABSORCION!$C$5:$C$1004,F663,ABSORCION!$I$5:$I$1004,"&gt;0")=0,"",AVERAGEIFS(ABSORCION!$I$5:$I$1004,ABSORCION!$C$5:$C$1004,F663,ABSORCION!$I$5:$I$1004,"&gt;0")))</f>
        <v/>
      </c>
      <c r="AE663" s="20" t="str">
        <f aca="false">IF(F663="","",IF(COUNTIFS(ABSORCION!$C$5:$C$1004,F663,ABSORCION!$I$5:$I$1004,"&gt;0")=0,"",AVERAGEIFS(ABSORCION!$K$5:$K$1004,ABSORCION!$C$5:$C$1004,F663,ABSORCION!$I$5:$I$1004,"&gt;0")))</f>
        <v/>
      </c>
      <c r="AF663" s="20" t="str">
        <f aca="false">IF(AE663="","",IF(AE663&gt;=CONFIG!$E$21,CONFIG!$F$21,IF(AE663&gt;=CONFIG!$E$20,CONFIG!$F$20,CONFIG!$F$19)))</f>
        <v/>
      </c>
      <c r="AG663" s="21" t="str">
        <f aca="false">IF(F663="","",TRIM(IF(N(M663)=0,"Sin ensayos. ","")&amp;IF(AND(N(M663)&gt;0,N(M663)&lt;CONFIG!$B$26),"Menos de "&amp;CONFIG!$B$26&amp;" probetas. ","")&amp;IF(N(T663)&gt;CONFIG!$B$25,"CV alto. ","")&amp;IF(AND(N(AD663)&gt;0,N(AD663)&gt;N(AF663)),"Absorción alta. ","")))</f>
        <v/>
      </c>
      <c r="AH663" s="22" t="str">
        <f aca="false">IF(AND(N(M663)&gt;0,OR(CONTROL!$C$4="TODAS",C663=CONTROL!$C$4),D663=CONTROL!$C$5),MAX($AH$4:AH662)+1,"")</f>
        <v/>
      </c>
      <c r="AI663" s="22" t="str">
        <f aca="false">IF(AH663="","",P663^2)</f>
        <v/>
      </c>
    </row>
    <row r="664" customFormat="false" ht="15" hidden="false" customHeight="false" outlineLevel="0" collapsed="false">
      <c r="A664" s="11" t="str">
        <f aca="false">IF(B664="","",ROW()-4)</f>
        <v/>
      </c>
      <c r="B664" s="12"/>
      <c r="C664" s="13"/>
      <c r="D664" s="13"/>
      <c r="E664" s="13"/>
      <c r="F664" s="14" t="str">
        <f aca="false">IF(OR(B664="",C664="",D664=""),"",IFERROR(INDEX(CONFIG!$E$5:$E$14,MATCH(D664,CONFIG!$D$5:$D$14,0)),"?")&amp;RIGHT("0"&amp;DAY(B664),2)&amp;RIGHT("0"&amp;MONTH(B664),2)&amp;RIGHT(YEAR(B664),2)&amp;C664&amp;IF(E664="","","-"&amp;E664))</f>
        <v/>
      </c>
      <c r="G664" s="13"/>
      <c r="H664" s="13"/>
      <c r="I664" s="13"/>
      <c r="J664" s="13"/>
      <c r="K664" s="13"/>
      <c r="L664" s="13"/>
      <c r="M664" s="11" t="str">
        <f aca="false">IF(F664="","",COUNTIFS(ENSAYOS!$C$5:$C$3004,F664,ENSAYOS!$Q$5:$Q$3004,"&gt;0"))</f>
        <v/>
      </c>
      <c r="N664" s="15" t="str">
        <f aca="false">IF(N(M664)=0,"",_xlfn.MINIFS(ENSAYOS!$G$5:$G$3004,ENSAYOS!$C$5:$C$3004,F664,ENSAYOS!$Q$5:$Q$3004,"&gt;0"))</f>
        <v/>
      </c>
      <c r="O664" s="15" t="str">
        <f aca="false">IF(N(M664)=0,"",_xlfn.MAXIFS(ENSAYOS!$G$5:$G$3004,ENSAYOS!$C$5:$C$3004,F664,ENSAYOS!$Q$5:$Q$3004,"&gt;0"))</f>
        <v/>
      </c>
      <c r="P664" s="16" t="str">
        <f aca="false">IF(N(M664)=0,"",AVERAGEIFS(ENSAYOS!$Q$5:$Q$3004,ENSAYOS!$C$5:$C$3004,F664,ENSAYOS!$Q$5:$Q$3004,"&gt;0"))</f>
        <v/>
      </c>
      <c r="Q664" s="16" t="str">
        <f aca="false">IF(N(M664)=0,"",_xlfn.MINIFS(ENSAYOS!$Q$5:$Q$3004,ENSAYOS!$C$5:$C$3004,F664,ENSAYOS!$Q$5:$Q$3004,"&gt;0"))</f>
        <v/>
      </c>
      <c r="R664" s="16" t="str">
        <f aca="false">IF(N(M664)=0,"",_xlfn.MAXIFS(ENSAYOS!$Q$5:$Q$3004,ENSAYOS!$C$5:$C$3004,F664,ENSAYOS!$Q$5:$Q$3004,"&gt;0"))</f>
        <v/>
      </c>
      <c r="S664" s="16" t="str">
        <f aca="false">IF(N(M664)&lt;2,"",SQRT(MAX(0,(SUMIFS(ENSAYOS!$X$5:$X$3004,ENSAYOS!$C$5:$C$3004,F664,ENSAYOS!$Q$5:$Q$3004,"&gt;0")-M664*P664^2)/(M664-1))))</f>
        <v/>
      </c>
      <c r="T664" s="17" t="str">
        <f aca="false">IF(S664="","",S664/P664)</f>
        <v/>
      </c>
      <c r="U664" s="16" t="str">
        <f aca="false">IF(N(M664)=0,"",IF(N664&gt;=CONFIG!$B$27,"",AVERAGEIFS(ENSAYOS!$Q$5:$Q$3004,ENSAYOS!$C$5:$C$3004,F664,ENSAYOS!$Q$5:$Q$3004,"&gt;0",ENSAYOS!$G$5:$G$3004,N664)))</f>
        <v/>
      </c>
      <c r="V664" s="16" t="str">
        <f aca="false">IF(N(M664)=0,"",IF(COUNTIFS(ENSAYOS!$C$5:$C$3004,F664,ENSAYOS!$Q$5:$Q$3004,"&gt;0",ENSAYOS!$G$5:$G$3004,"&gt;="&amp;CONFIG!$B$27)=0,"",AVERAGEIFS(ENSAYOS!$Q$5:$Q$3004,ENSAYOS!$C$5:$C$3004,F664,ENSAYOS!$Q$5:$Q$3004,"&gt;0",ENSAYOS!$G$5:$G$3004,"&gt;="&amp;CONFIG!$B$27)))</f>
        <v/>
      </c>
      <c r="W664" s="18" t="str">
        <f aca="false">IF(AND(U664&lt;&gt;"",V664&lt;&gt;""),U664/V664,"")</f>
        <v/>
      </c>
      <c r="X664" s="18" t="str">
        <f aca="false">IF(U664="","",INDEX('CURVA EDAD'!$E$5:$E$32,MIN(28,MAX(1,N664))))</f>
        <v/>
      </c>
      <c r="Y664" s="16" t="str">
        <f aca="false">IF(V664&lt;&gt;"",V664,IF(U664="","",U664/X664))</f>
        <v/>
      </c>
      <c r="Z664" s="16" t="str">
        <f aca="false">IF(V664&lt;&gt;"",_xlfn.MINIFS(ENSAYOS!$Q$5:$Q$3004,ENSAYOS!$C$5:$C$3004,F664,ENSAYOS!$Q$5:$Q$3004,"&gt;0",ENSAYOS!$G$5:$G$3004,"&gt;="&amp;CONFIG!$B$27),IF(U664="","",_xlfn.MINIFS(ENSAYOS!$Q$5:$Q$3004,ENSAYOS!$C$5:$C$3004,F664,ENSAYOS!$Q$5:$Q$3004,"&gt;0",ENSAYOS!$G$5:$G$3004,N664)/X664))</f>
        <v/>
      </c>
      <c r="AA664" s="16" t="str">
        <f aca="false">IF(D664="","",IFERROR(1/(1/INDEX(CONFIG!$J$5:$J$14,MATCH(D664,CONFIG!$D$5:$D$14,0))),""))</f>
        <v/>
      </c>
      <c r="AB664" s="16" t="str">
        <f aca="false">IF(D664="","",IFERROR(1/(1/INDEX(CONFIG!$K$5:$K$14,MATCH(D664,CONFIG!$D$5:$D$14,0))),""))</f>
        <v/>
      </c>
      <c r="AC664" s="19" t="str">
        <f aca="false">IF(N(M664)=0,"",IF(AA664="","Sin spec",IF(AND(Y664&gt;=AA664,OR(AB664="",Z664&gt;=AB664)),"CUMPLE","NO CUMPLE")&amp;IF(V664=""," (est.)","")))</f>
        <v/>
      </c>
      <c r="AD664" s="20" t="str">
        <f aca="false">IF(F664="","",IF(COUNTIFS(ABSORCION!$C$5:$C$1004,F664,ABSORCION!$I$5:$I$1004,"&gt;0")=0,"",AVERAGEIFS(ABSORCION!$I$5:$I$1004,ABSORCION!$C$5:$C$1004,F664,ABSORCION!$I$5:$I$1004,"&gt;0")))</f>
        <v/>
      </c>
      <c r="AE664" s="20" t="str">
        <f aca="false">IF(F664="","",IF(COUNTIFS(ABSORCION!$C$5:$C$1004,F664,ABSORCION!$I$5:$I$1004,"&gt;0")=0,"",AVERAGEIFS(ABSORCION!$K$5:$K$1004,ABSORCION!$C$5:$C$1004,F664,ABSORCION!$I$5:$I$1004,"&gt;0")))</f>
        <v/>
      </c>
      <c r="AF664" s="20" t="str">
        <f aca="false">IF(AE664="","",IF(AE664&gt;=CONFIG!$E$21,CONFIG!$F$21,IF(AE664&gt;=CONFIG!$E$20,CONFIG!$F$20,CONFIG!$F$19)))</f>
        <v/>
      </c>
      <c r="AG664" s="21" t="str">
        <f aca="false">IF(F664="","",TRIM(IF(N(M664)=0,"Sin ensayos. ","")&amp;IF(AND(N(M664)&gt;0,N(M664)&lt;CONFIG!$B$26),"Menos de "&amp;CONFIG!$B$26&amp;" probetas. ","")&amp;IF(N(T664)&gt;CONFIG!$B$25,"CV alto. ","")&amp;IF(AND(N(AD664)&gt;0,N(AD664)&gt;N(AF664)),"Absorción alta. ","")))</f>
        <v/>
      </c>
      <c r="AH664" s="22" t="str">
        <f aca="false">IF(AND(N(M664)&gt;0,OR(CONTROL!$C$4="TODAS",C664=CONTROL!$C$4),D664=CONTROL!$C$5),MAX($AH$4:AH663)+1,"")</f>
        <v/>
      </c>
      <c r="AI664" s="22" t="str">
        <f aca="false">IF(AH664="","",P664^2)</f>
        <v/>
      </c>
    </row>
    <row r="665" customFormat="false" ht="15" hidden="false" customHeight="false" outlineLevel="0" collapsed="false">
      <c r="A665" s="11" t="str">
        <f aca="false">IF(B665="","",ROW()-4)</f>
        <v/>
      </c>
      <c r="B665" s="12"/>
      <c r="C665" s="13"/>
      <c r="D665" s="13"/>
      <c r="E665" s="13"/>
      <c r="F665" s="14" t="str">
        <f aca="false">IF(OR(B665="",C665="",D665=""),"",IFERROR(INDEX(CONFIG!$E$5:$E$14,MATCH(D665,CONFIG!$D$5:$D$14,0)),"?")&amp;RIGHT("0"&amp;DAY(B665),2)&amp;RIGHT("0"&amp;MONTH(B665),2)&amp;RIGHT(YEAR(B665),2)&amp;C665&amp;IF(E665="","","-"&amp;E665))</f>
        <v/>
      </c>
      <c r="G665" s="13"/>
      <c r="H665" s="13"/>
      <c r="I665" s="13"/>
      <c r="J665" s="13"/>
      <c r="K665" s="13"/>
      <c r="L665" s="13"/>
      <c r="M665" s="11" t="str">
        <f aca="false">IF(F665="","",COUNTIFS(ENSAYOS!$C$5:$C$3004,F665,ENSAYOS!$Q$5:$Q$3004,"&gt;0"))</f>
        <v/>
      </c>
      <c r="N665" s="15" t="str">
        <f aca="false">IF(N(M665)=0,"",_xlfn.MINIFS(ENSAYOS!$G$5:$G$3004,ENSAYOS!$C$5:$C$3004,F665,ENSAYOS!$Q$5:$Q$3004,"&gt;0"))</f>
        <v/>
      </c>
      <c r="O665" s="15" t="str">
        <f aca="false">IF(N(M665)=0,"",_xlfn.MAXIFS(ENSAYOS!$G$5:$G$3004,ENSAYOS!$C$5:$C$3004,F665,ENSAYOS!$Q$5:$Q$3004,"&gt;0"))</f>
        <v/>
      </c>
      <c r="P665" s="16" t="str">
        <f aca="false">IF(N(M665)=0,"",AVERAGEIFS(ENSAYOS!$Q$5:$Q$3004,ENSAYOS!$C$5:$C$3004,F665,ENSAYOS!$Q$5:$Q$3004,"&gt;0"))</f>
        <v/>
      </c>
      <c r="Q665" s="16" t="str">
        <f aca="false">IF(N(M665)=0,"",_xlfn.MINIFS(ENSAYOS!$Q$5:$Q$3004,ENSAYOS!$C$5:$C$3004,F665,ENSAYOS!$Q$5:$Q$3004,"&gt;0"))</f>
        <v/>
      </c>
      <c r="R665" s="16" t="str">
        <f aca="false">IF(N(M665)=0,"",_xlfn.MAXIFS(ENSAYOS!$Q$5:$Q$3004,ENSAYOS!$C$5:$C$3004,F665,ENSAYOS!$Q$5:$Q$3004,"&gt;0"))</f>
        <v/>
      </c>
      <c r="S665" s="16" t="str">
        <f aca="false">IF(N(M665)&lt;2,"",SQRT(MAX(0,(SUMIFS(ENSAYOS!$X$5:$X$3004,ENSAYOS!$C$5:$C$3004,F665,ENSAYOS!$Q$5:$Q$3004,"&gt;0")-M665*P665^2)/(M665-1))))</f>
        <v/>
      </c>
      <c r="T665" s="17" t="str">
        <f aca="false">IF(S665="","",S665/P665)</f>
        <v/>
      </c>
      <c r="U665" s="16" t="str">
        <f aca="false">IF(N(M665)=0,"",IF(N665&gt;=CONFIG!$B$27,"",AVERAGEIFS(ENSAYOS!$Q$5:$Q$3004,ENSAYOS!$C$5:$C$3004,F665,ENSAYOS!$Q$5:$Q$3004,"&gt;0",ENSAYOS!$G$5:$G$3004,N665)))</f>
        <v/>
      </c>
      <c r="V665" s="16" t="str">
        <f aca="false">IF(N(M665)=0,"",IF(COUNTIFS(ENSAYOS!$C$5:$C$3004,F665,ENSAYOS!$Q$5:$Q$3004,"&gt;0",ENSAYOS!$G$5:$G$3004,"&gt;="&amp;CONFIG!$B$27)=0,"",AVERAGEIFS(ENSAYOS!$Q$5:$Q$3004,ENSAYOS!$C$5:$C$3004,F665,ENSAYOS!$Q$5:$Q$3004,"&gt;0",ENSAYOS!$G$5:$G$3004,"&gt;="&amp;CONFIG!$B$27)))</f>
        <v/>
      </c>
      <c r="W665" s="18" t="str">
        <f aca="false">IF(AND(U665&lt;&gt;"",V665&lt;&gt;""),U665/V665,"")</f>
        <v/>
      </c>
      <c r="X665" s="18" t="str">
        <f aca="false">IF(U665="","",INDEX('CURVA EDAD'!$E$5:$E$32,MIN(28,MAX(1,N665))))</f>
        <v/>
      </c>
      <c r="Y665" s="16" t="str">
        <f aca="false">IF(V665&lt;&gt;"",V665,IF(U665="","",U665/X665))</f>
        <v/>
      </c>
      <c r="Z665" s="16" t="str">
        <f aca="false">IF(V665&lt;&gt;"",_xlfn.MINIFS(ENSAYOS!$Q$5:$Q$3004,ENSAYOS!$C$5:$C$3004,F665,ENSAYOS!$Q$5:$Q$3004,"&gt;0",ENSAYOS!$G$5:$G$3004,"&gt;="&amp;CONFIG!$B$27),IF(U665="","",_xlfn.MINIFS(ENSAYOS!$Q$5:$Q$3004,ENSAYOS!$C$5:$C$3004,F665,ENSAYOS!$Q$5:$Q$3004,"&gt;0",ENSAYOS!$G$5:$G$3004,N665)/X665))</f>
        <v/>
      </c>
      <c r="AA665" s="16" t="str">
        <f aca="false">IF(D665="","",IFERROR(1/(1/INDEX(CONFIG!$J$5:$J$14,MATCH(D665,CONFIG!$D$5:$D$14,0))),""))</f>
        <v/>
      </c>
      <c r="AB665" s="16" t="str">
        <f aca="false">IF(D665="","",IFERROR(1/(1/INDEX(CONFIG!$K$5:$K$14,MATCH(D665,CONFIG!$D$5:$D$14,0))),""))</f>
        <v/>
      </c>
      <c r="AC665" s="19" t="str">
        <f aca="false">IF(N(M665)=0,"",IF(AA665="","Sin spec",IF(AND(Y665&gt;=AA665,OR(AB665="",Z665&gt;=AB665)),"CUMPLE","NO CUMPLE")&amp;IF(V665=""," (est.)","")))</f>
        <v/>
      </c>
      <c r="AD665" s="20" t="str">
        <f aca="false">IF(F665="","",IF(COUNTIFS(ABSORCION!$C$5:$C$1004,F665,ABSORCION!$I$5:$I$1004,"&gt;0")=0,"",AVERAGEIFS(ABSORCION!$I$5:$I$1004,ABSORCION!$C$5:$C$1004,F665,ABSORCION!$I$5:$I$1004,"&gt;0")))</f>
        <v/>
      </c>
      <c r="AE665" s="20" t="str">
        <f aca="false">IF(F665="","",IF(COUNTIFS(ABSORCION!$C$5:$C$1004,F665,ABSORCION!$I$5:$I$1004,"&gt;0")=0,"",AVERAGEIFS(ABSORCION!$K$5:$K$1004,ABSORCION!$C$5:$C$1004,F665,ABSORCION!$I$5:$I$1004,"&gt;0")))</f>
        <v/>
      </c>
      <c r="AF665" s="20" t="str">
        <f aca="false">IF(AE665="","",IF(AE665&gt;=CONFIG!$E$21,CONFIG!$F$21,IF(AE665&gt;=CONFIG!$E$20,CONFIG!$F$20,CONFIG!$F$19)))</f>
        <v/>
      </c>
      <c r="AG665" s="21" t="str">
        <f aca="false">IF(F665="","",TRIM(IF(N(M665)=0,"Sin ensayos. ","")&amp;IF(AND(N(M665)&gt;0,N(M665)&lt;CONFIG!$B$26),"Menos de "&amp;CONFIG!$B$26&amp;" probetas. ","")&amp;IF(N(T665)&gt;CONFIG!$B$25,"CV alto. ","")&amp;IF(AND(N(AD665)&gt;0,N(AD665)&gt;N(AF665)),"Absorción alta. ","")))</f>
        <v/>
      </c>
      <c r="AH665" s="22" t="str">
        <f aca="false">IF(AND(N(M665)&gt;0,OR(CONTROL!$C$4="TODAS",C665=CONTROL!$C$4),D665=CONTROL!$C$5),MAX($AH$4:AH664)+1,"")</f>
        <v/>
      </c>
      <c r="AI665" s="22" t="str">
        <f aca="false">IF(AH665="","",P665^2)</f>
        <v/>
      </c>
    </row>
    <row r="666" customFormat="false" ht="15" hidden="false" customHeight="false" outlineLevel="0" collapsed="false">
      <c r="A666" s="11" t="str">
        <f aca="false">IF(B666="","",ROW()-4)</f>
        <v/>
      </c>
      <c r="B666" s="12"/>
      <c r="C666" s="13"/>
      <c r="D666" s="13"/>
      <c r="E666" s="13"/>
      <c r="F666" s="14" t="str">
        <f aca="false">IF(OR(B666="",C666="",D666=""),"",IFERROR(INDEX(CONFIG!$E$5:$E$14,MATCH(D666,CONFIG!$D$5:$D$14,0)),"?")&amp;RIGHT("0"&amp;DAY(B666),2)&amp;RIGHT("0"&amp;MONTH(B666),2)&amp;RIGHT(YEAR(B666),2)&amp;C666&amp;IF(E666="","","-"&amp;E666))</f>
        <v/>
      </c>
      <c r="G666" s="13"/>
      <c r="H666" s="13"/>
      <c r="I666" s="13"/>
      <c r="J666" s="13"/>
      <c r="K666" s="13"/>
      <c r="L666" s="13"/>
      <c r="M666" s="11" t="str">
        <f aca="false">IF(F666="","",COUNTIFS(ENSAYOS!$C$5:$C$3004,F666,ENSAYOS!$Q$5:$Q$3004,"&gt;0"))</f>
        <v/>
      </c>
      <c r="N666" s="15" t="str">
        <f aca="false">IF(N(M666)=0,"",_xlfn.MINIFS(ENSAYOS!$G$5:$G$3004,ENSAYOS!$C$5:$C$3004,F666,ENSAYOS!$Q$5:$Q$3004,"&gt;0"))</f>
        <v/>
      </c>
      <c r="O666" s="15" t="str">
        <f aca="false">IF(N(M666)=0,"",_xlfn.MAXIFS(ENSAYOS!$G$5:$G$3004,ENSAYOS!$C$5:$C$3004,F666,ENSAYOS!$Q$5:$Q$3004,"&gt;0"))</f>
        <v/>
      </c>
      <c r="P666" s="16" t="str">
        <f aca="false">IF(N(M666)=0,"",AVERAGEIFS(ENSAYOS!$Q$5:$Q$3004,ENSAYOS!$C$5:$C$3004,F666,ENSAYOS!$Q$5:$Q$3004,"&gt;0"))</f>
        <v/>
      </c>
      <c r="Q666" s="16" t="str">
        <f aca="false">IF(N(M666)=0,"",_xlfn.MINIFS(ENSAYOS!$Q$5:$Q$3004,ENSAYOS!$C$5:$C$3004,F666,ENSAYOS!$Q$5:$Q$3004,"&gt;0"))</f>
        <v/>
      </c>
      <c r="R666" s="16" t="str">
        <f aca="false">IF(N(M666)=0,"",_xlfn.MAXIFS(ENSAYOS!$Q$5:$Q$3004,ENSAYOS!$C$5:$C$3004,F666,ENSAYOS!$Q$5:$Q$3004,"&gt;0"))</f>
        <v/>
      </c>
      <c r="S666" s="16" t="str">
        <f aca="false">IF(N(M666)&lt;2,"",SQRT(MAX(0,(SUMIFS(ENSAYOS!$X$5:$X$3004,ENSAYOS!$C$5:$C$3004,F666,ENSAYOS!$Q$5:$Q$3004,"&gt;0")-M666*P666^2)/(M666-1))))</f>
        <v/>
      </c>
      <c r="T666" s="17" t="str">
        <f aca="false">IF(S666="","",S666/P666)</f>
        <v/>
      </c>
      <c r="U666" s="16" t="str">
        <f aca="false">IF(N(M666)=0,"",IF(N666&gt;=CONFIG!$B$27,"",AVERAGEIFS(ENSAYOS!$Q$5:$Q$3004,ENSAYOS!$C$5:$C$3004,F666,ENSAYOS!$Q$5:$Q$3004,"&gt;0",ENSAYOS!$G$5:$G$3004,N666)))</f>
        <v/>
      </c>
      <c r="V666" s="16" t="str">
        <f aca="false">IF(N(M666)=0,"",IF(COUNTIFS(ENSAYOS!$C$5:$C$3004,F666,ENSAYOS!$Q$5:$Q$3004,"&gt;0",ENSAYOS!$G$5:$G$3004,"&gt;="&amp;CONFIG!$B$27)=0,"",AVERAGEIFS(ENSAYOS!$Q$5:$Q$3004,ENSAYOS!$C$5:$C$3004,F666,ENSAYOS!$Q$5:$Q$3004,"&gt;0",ENSAYOS!$G$5:$G$3004,"&gt;="&amp;CONFIG!$B$27)))</f>
        <v/>
      </c>
      <c r="W666" s="18" t="str">
        <f aca="false">IF(AND(U666&lt;&gt;"",V666&lt;&gt;""),U666/V666,"")</f>
        <v/>
      </c>
      <c r="X666" s="18" t="str">
        <f aca="false">IF(U666="","",INDEX('CURVA EDAD'!$E$5:$E$32,MIN(28,MAX(1,N666))))</f>
        <v/>
      </c>
      <c r="Y666" s="16" t="str">
        <f aca="false">IF(V666&lt;&gt;"",V666,IF(U666="","",U666/X666))</f>
        <v/>
      </c>
      <c r="Z666" s="16" t="str">
        <f aca="false">IF(V666&lt;&gt;"",_xlfn.MINIFS(ENSAYOS!$Q$5:$Q$3004,ENSAYOS!$C$5:$C$3004,F666,ENSAYOS!$Q$5:$Q$3004,"&gt;0",ENSAYOS!$G$5:$G$3004,"&gt;="&amp;CONFIG!$B$27),IF(U666="","",_xlfn.MINIFS(ENSAYOS!$Q$5:$Q$3004,ENSAYOS!$C$5:$C$3004,F666,ENSAYOS!$Q$5:$Q$3004,"&gt;0",ENSAYOS!$G$5:$G$3004,N666)/X666))</f>
        <v/>
      </c>
      <c r="AA666" s="16" t="str">
        <f aca="false">IF(D666="","",IFERROR(1/(1/INDEX(CONFIG!$J$5:$J$14,MATCH(D666,CONFIG!$D$5:$D$14,0))),""))</f>
        <v/>
      </c>
      <c r="AB666" s="16" t="str">
        <f aca="false">IF(D666="","",IFERROR(1/(1/INDEX(CONFIG!$K$5:$K$14,MATCH(D666,CONFIG!$D$5:$D$14,0))),""))</f>
        <v/>
      </c>
      <c r="AC666" s="19" t="str">
        <f aca="false">IF(N(M666)=0,"",IF(AA666="","Sin spec",IF(AND(Y666&gt;=AA666,OR(AB666="",Z666&gt;=AB666)),"CUMPLE","NO CUMPLE")&amp;IF(V666=""," (est.)","")))</f>
        <v/>
      </c>
      <c r="AD666" s="20" t="str">
        <f aca="false">IF(F666="","",IF(COUNTIFS(ABSORCION!$C$5:$C$1004,F666,ABSORCION!$I$5:$I$1004,"&gt;0")=0,"",AVERAGEIFS(ABSORCION!$I$5:$I$1004,ABSORCION!$C$5:$C$1004,F666,ABSORCION!$I$5:$I$1004,"&gt;0")))</f>
        <v/>
      </c>
      <c r="AE666" s="20" t="str">
        <f aca="false">IF(F666="","",IF(COUNTIFS(ABSORCION!$C$5:$C$1004,F666,ABSORCION!$I$5:$I$1004,"&gt;0")=0,"",AVERAGEIFS(ABSORCION!$K$5:$K$1004,ABSORCION!$C$5:$C$1004,F666,ABSORCION!$I$5:$I$1004,"&gt;0")))</f>
        <v/>
      </c>
      <c r="AF666" s="20" t="str">
        <f aca="false">IF(AE666="","",IF(AE666&gt;=CONFIG!$E$21,CONFIG!$F$21,IF(AE666&gt;=CONFIG!$E$20,CONFIG!$F$20,CONFIG!$F$19)))</f>
        <v/>
      </c>
      <c r="AG666" s="21" t="str">
        <f aca="false">IF(F666="","",TRIM(IF(N(M666)=0,"Sin ensayos. ","")&amp;IF(AND(N(M666)&gt;0,N(M666)&lt;CONFIG!$B$26),"Menos de "&amp;CONFIG!$B$26&amp;" probetas. ","")&amp;IF(N(T666)&gt;CONFIG!$B$25,"CV alto. ","")&amp;IF(AND(N(AD666)&gt;0,N(AD666)&gt;N(AF666)),"Absorción alta. ","")))</f>
        <v/>
      </c>
      <c r="AH666" s="22" t="str">
        <f aca="false">IF(AND(N(M666)&gt;0,OR(CONTROL!$C$4="TODAS",C666=CONTROL!$C$4),D666=CONTROL!$C$5),MAX($AH$4:AH665)+1,"")</f>
        <v/>
      </c>
      <c r="AI666" s="22" t="str">
        <f aca="false">IF(AH666="","",P666^2)</f>
        <v/>
      </c>
    </row>
    <row r="667" customFormat="false" ht="15" hidden="false" customHeight="false" outlineLevel="0" collapsed="false">
      <c r="A667" s="11" t="str">
        <f aca="false">IF(B667="","",ROW()-4)</f>
        <v/>
      </c>
      <c r="B667" s="12"/>
      <c r="C667" s="13"/>
      <c r="D667" s="13"/>
      <c r="E667" s="13"/>
      <c r="F667" s="14" t="str">
        <f aca="false">IF(OR(B667="",C667="",D667=""),"",IFERROR(INDEX(CONFIG!$E$5:$E$14,MATCH(D667,CONFIG!$D$5:$D$14,0)),"?")&amp;RIGHT("0"&amp;DAY(B667),2)&amp;RIGHT("0"&amp;MONTH(B667),2)&amp;RIGHT(YEAR(B667),2)&amp;C667&amp;IF(E667="","","-"&amp;E667))</f>
        <v/>
      </c>
      <c r="G667" s="13"/>
      <c r="H667" s="13"/>
      <c r="I667" s="13"/>
      <c r="J667" s="13"/>
      <c r="K667" s="13"/>
      <c r="L667" s="13"/>
      <c r="M667" s="11" t="str">
        <f aca="false">IF(F667="","",COUNTIFS(ENSAYOS!$C$5:$C$3004,F667,ENSAYOS!$Q$5:$Q$3004,"&gt;0"))</f>
        <v/>
      </c>
      <c r="N667" s="15" t="str">
        <f aca="false">IF(N(M667)=0,"",_xlfn.MINIFS(ENSAYOS!$G$5:$G$3004,ENSAYOS!$C$5:$C$3004,F667,ENSAYOS!$Q$5:$Q$3004,"&gt;0"))</f>
        <v/>
      </c>
      <c r="O667" s="15" t="str">
        <f aca="false">IF(N(M667)=0,"",_xlfn.MAXIFS(ENSAYOS!$G$5:$G$3004,ENSAYOS!$C$5:$C$3004,F667,ENSAYOS!$Q$5:$Q$3004,"&gt;0"))</f>
        <v/>
      </c>
      <c r="P667" s="16" t="str">
        <f aca="false">IF(N(M667)=0,"",AVERAGEIFS(ENSAYOS!$Q$5:$Q$3004,ENSAYOS!$C$5:$C$3004,F667,ENSAYOS!$Q$5:$Q$3004,"&gt;0"))</f>
        <v/>
      </c>
      <c r="Q667" s="16" t="str">
        <f aca="false">IF(N(M667)=0,"",_xlfn.MINIFS(ENSAYOS!$Q$5:$Q$3004,ENSAYOS!$C$5:$C$3004,F667,ENSAYOS!$Q$5:$Q$3004,"&gt;0"))</f>
        <v/>
      </c>
      <c r="R667" s="16" t="str">
        <f aca="false">IF(N(M667)=0,"",_xlfn.MAXIFS(ENSAYOS!$Q$5:$Q$3004,ENSAYOS!$C$5:$C$3004,F667,ENSAYOS!$Q$5:$Q$3004,"&gt;0"))</f>
        <v/>
      </c>
      <c r="S667" s="16" t="str">
        <f aca="false">IF(N(M667)&lt;2,"",SQRT(MAX(0,(SUMIFS(ENSAYOS!$X$5:$X$3004,ENSAYOS!$C$5:$C$3004,F667,ENSAYOS!$Q$5:$Q$3004,"&gt;0")-M667*P667^2)/(M667-1))))</f>
        <v/>
      </c>
      <c r="T667" s="17" t="str">
        <f aca="false">IF(S667="","",S667/P667)</f>
        <v/>
      </c>
      <c r="U667" s="16" t="str">
        <f aca="false">IF(N(M667)=0,"",IF(N667&gt;=CONFIG!$B$27,"",AVERAGEIFS(ENSAYOS!$Q$5:$Q$3004,ENSAYOS!$C$5:$C$3004,F667,ENSAYOS!$Q$5:$Q$3004,"&gt;0",ENSAYOS!$G$5:$G$3004,N667)))</f>
        <v/>
      </c>
      <c r="V667" s="16" t="str">
        <f aca="false">IF(N(M667)=0,"",IF(COUNTIFS(ENSAYOS!$C$5:$C$3004,F667,ENSAYOS!$Q$5:$Q$3004,"&gt;0",ENSAYOS!$G$5:$G$3004,"&gt;="&amp;CONFIG!$B$27)=0,"",AVERAGEIFS(ENSAYOS!$Q$5:$Q$3004,ENSAYOS!$C$5:$C$3004,F667,ENSAYOS!$Q$5:$Q$3004,"&gt;0",ENSAYOS!$G$5:$G$3004,"&gt;="&amp;CONFIG!$B$27)))</f>
        <v/>
      </c>
      <c r="W667" s="18" t="str">
        <f aca="false">IF(AND(U667&lt;&gt;"",V667&lt;&gt;""),U667/V667,"")</f>
        <v/>
      </c>
      <c r="X667" s="18" t="str">
        <f aca="false">IF(U667="","",INDEX('CURVA EDAD'!$E$5:$E$32,MIN(28,MAX(1,N667))))</f>
        <v/>
      </c>
      <c r="Y667" s="16" t="str">
        <f aca="false">IF(V667&lt;&gt;"",V667,IF(U667="","",U667/X667))</f>
        <v/>
      </c>
      <c r="Z667" s="16" t="str">
        <f aca="false">IF(V667&lt;&gt;"",_xlfn.MINIFS(ENSAYOS!$Q$5:$Q$3004,ENSAYOS!$C$5:$C$3004,F667,ENSAYOS!$Q$5:$Q$3004,"&gt;0",ENSAYOS!$G$5:$G$3004,"&gt;="&amp;CONFIG!$B$27),IF(U667="","",_xlfn.MINIFS(ENSAYOS!$Q$5:$Q$3004,ENSAYOS!$C$5:$C$3004,F667,ENSAYOS!$Q$5:$Q$3004,"&gt;0",ENSAYOS!$G$5:$G$3004,N667)/X667))</f>
        <v/>
      </c>
      <c r="AA667" s="16" t="str">
        <f aca="false">IF(D667="","",IFERROR(1/(1/INDEX(CONFIG!$J$5:$J$14,MATCH(D667,CONFIG!$D$5:$D$14,0))),""))</f>
        <v/>
      </c>
      <c r="AB667" s="16" t="str">
        <f aca="false">IF(D667="","",IFERROR(1/(1/INDEX(CONFIG!$K$5:$K$14,MATCH(D667,CONFIG!$D$5:$D$14,0))),""))</f>
        <v/>
      </c>
      <c r="AC667" s="19" t="str">
        <f aca="false">IF(N(M667)=0,"",IF(AA667="","Sin spec",IF(AND(Y667&gt;=AA667,OR(AB667="",Z667&gt;=AB667)),"CUMPLE","NO CUMPLE")&amp;IF(V667=""," (est.)","")))</f>
        <v/>
      </c>
      <c r="AD667" s="20" t="str">
        <f aca="false">IF(F667="","",IF(COUNTIFS(ABSORCION!$C$5:$C$1004,F667,ABSORCION!$I$5:$I$1004,"&gt;0")=0,"",AVERAGEIFS(ABSORCION!$I$5:$I$1004,ABSORCION!$C$5:$C$1004,F667,ABSORCION!$I$5:$I$1004,"&gt;0")))</f>
        <v/>
      </c>
      <c r="AE667" s="20" t="str">
        <f aca="false">IF(F667="","",IF(COUNTIFS(ABSORCION!$C$5:$C$1004,F667,ABSORCION!$I$5:$I$1004,"&gt;0")=0,"",AVERAGEIFS(ABSORCION!$K$5:$K$1004,ABSORCION!$C$5:$C$1004,F667,ABSORCION!$I$5:$I$1004,"&gt;0")))</f>
        <v/>
      </c>
      <c r="AF667" s="20" t="str">
        <f aca="false">IF(AE667="","",IF(AE667&gt;=CONFIG!$E$21,CONFIG!$F$21,IF(AE667&gt;=CONFIG!$E$20,CONFIG!$F$20,CONFIG!$F$19)))</f>
        <v/>
      </c>
      <c r="AG667" s="21" t="str">
        <f aca="false">IF(F667="","",TRIM(IF(N(M667)=0,"Sin ensayos. ","")&amp;IF(AND(N(M667)&gt;0,N(M667)&lt;CONFIG!$B$26),"Menos de "&amp;CONFIG!$B$26&amp;" probetas. ","")&amp;IF(N(T667)&gt;CONFIG!$B$25,"CV alto. ","")&amp;IF(AND(N(AD667)&gt;0,N(AD667)&gt;N(AF667)),"Absorción alta. ","")))</f>
        <v/>
      </c>
      <c r="AH667" s="22" t="str">
        <f aca="false">IF(AND(N(M667)&gt;0,OR(CONTROL!$C$4="TODAS",C667=CONTROL!$C$4),D667=CONTROL!$C$5),MAX($AH$4:AH666)+1,"")</f>
        <v/>
      </c>
      <c r="AI667" s="22" t="str">
        <f aca="false">IF(AH667="","",P667^2)</f>
        <v/>
      </c>
    </row>
    <row r="668" customFormat="false" ht="15" hidden="false" customHeight="false" outlineLevel="0" collapsed="false">
      <c r="A668" s="11" t="str">
        <f aca="false">IF(B668="","",ROW()-4)</f>
        <v/>
      </c>
      <c r="B668" s="12"/>
      <c r="C668" s="13"/>
      <c r="D668" s="13"/>
      <c r="E668" s="13"/>
      <c r="F668" s="14" t="str">
        <f aca="false">IF(OR(B668="",C668="",D668=""),"",IFERROR(INDEX(CONFIG!$E$5:$E$14,MATCH(D668,CONFIG!$D$5:$D$14,0)),"?")&amp;RIGHT("0"&amp;DAY(B668),2)&amp;RIGHT("0"&amp;MONTH(B668),2)&amp;RIGHT(YEAR(B668),2)&amp;C668&amp;IF(E668="","","-"&amp;E668))</f>
        <v/>
      </c>
      <c r="G668" s="13"/>
      <c r="H668" s="13"/>
      <c r="I668" s="13"/>
      <c r="J668" s="13"/>
      <c r="K668" s="13"/>
      <c r="L668" s="13"/>
      <c r="M668" s="11" t="str">
        <f aca="false">IF(F668="","",COUNTIFS(ENSAYOS!$C$5:$C$3004,F668,ENSAYOS!$Q$5:$Q$3004,"&gt;0"))</f>
        <v/>
      </c>
      <c r="N668" s="15" t="str">
        <f aca="false">IF(N(M668)=0,"",_xlfn.MINIFS(ENSAYOS!$G$5:$G$3004,ENSAYOS!$C$5:$C$3004,F668,ENSAYOS!$Q$5:$Q$3004,"&gt;0"))</f>
        <v/>
      </c>
      <c r="O668" s="15" t="str">
        <f aca="false">IF(N(M668)=0,"",_xlfn.MAXIFS(ENSAYOS!$G$5:$G$3004,ENSAYOS!$C$5:$C$3004,F668,ENSAYOS!$Q$5:$Q$3004,"&gt;0"))</f>
        <v/>
      </c>
      <c r="P668" s="16" t="str">
        <f aca="false">IF(N(M668)=0,"",AVERAGEIFS(ENSAYOS!$Q$5:$Q$3004,ENSAYOS!$C$5:$C$3004,F668,ENSAYOS!$Q$5:$Q$3004,"&gt;0"))</f>
        <v/>
      </c>
      <c r="Q668" s="16" t="str">
        <f aca="false">IF(N(M668)=0,"",_xlfn.MINIFS(ENSAYOS!$Q$5:$Q$3004,ENSAYOS!$C$5:$C$3004,F668,ENSAYOS!$Q$5:$Q$3004,"&gt;0"))</f>
        <v/>
      </c>
      <c r="R668" s="16" t="str">
        <f aca="false">IF(N(M668)=0,"",_xlfn.MAXIFS(ENSAYOS!$Q$5:$Q$3004,ENSAYOS!$C$5:$C$3004,F668,ENSAYOS!$Q$5:$Q$3004,"&gt;0"))</f>
        <v/>
      </c>
      <c r="S668" s="16" t="str">
        <f aca="false">IF(N(M668)&lt;2,"",SQRT(MAX(0,(SUMIFS(ENSAYOS!$X$5:$X$3004,ENSAYOS!$C$5:$C$3004,F668,ENSAYOS!$Q$5:$Q$3004,"&gt;0")-M668*P668^2)/(M668-1))))</f>
        <v/>
      </c>
      <c r="T668" s="17" t="str">
        <f aca="false">IF(S668="","",S668/P668)</f>
        <v/>
      </c>
      <c r="U668" s="16" t="str">
        <f aca="false">IF(N(M668)=0,"",IF(N668&gt;=CONFIG!$B$27,"",AVERAGEIFS(ENSAYOS!$Q$5:$Q$3004,ENSAYOS!$C$5:$C$3004,F668,ENSAYOS!$Q$5:$Q$3004,"&gt;0",ENSAYOS!$G$5:$G$3004,N668)))</f>
        <v/>
      </c>
      <c r="V668" s="16" t="str">
        <f aca="false">IF(N(M668)=0,"",IF(COUNTIFS(ENSAYOS!$C$5:$C$3004,F668,ENSAYOS!$Q$5:$Q$3004,"&gt;0",ENSAYOS!$G$5:$G$3004,"&gt;="&amp;CONFIG!$B$27)=0,"",AVERAGEIFS(ENSAYOS!$Q$5:$Q$3004,ENSAYOS!$C$5:$C$3004,F668,ENSAYOS!$Q$5:$Q$3004,"&gt;0",ENSAYOS!$G$5:$G$3004,"&gt;="&amp;CONFIG!$B$27)))</f>
        <v/>
      </c>
      <c r="W668" s="18" t="str">
        <f aca="false">IF(AND(U668&lt;&gt;"",V668&lt;&gt;""),U668/V668,"")</f>
        <v/>
      </c>
      <c r="X668" s="18" t="str">
        <f aca="false">IF(U668="","",INDEX('CURVA EDAD'!$E$5:$E$32,MIN(28,MAX(1,N668))))</f>
        <v/>
      </c>
      <c r="Y668" s="16" t="str">
        <f aca="false">IF(V668&lt;&gt;"",V668,IF(U668="","",U668/X668))</f>
        <v/>
      </c>
      <c r="Z668" s="16" t="str">
        <f aca="false">IF(V668&lt;&gt;"",_xlfn.MINIFS(ENSAYOS!$Q$5:$Q$3004,ENSAYOS!$C$5:$C$3004,F668,ENSAYOS!$Q$5:$Q$3004,"&gt;0",ENSAYOS!$G$5:$G$3004,"&gt;="&amp;CONFIG!$B$27),IF(U668="","",_xlfn.MINIFS(ENSAYOS!$Q$5:$Q$3004,ENSAYOS!$C$5:$C$3004,F668,ENSAYOS!$Q$5:$Q$3004,"&gt;0",ENSAYOS!$G$5:$G$3004,N668)/X668))</f>
        <v/>
      </c>
      <c r="AA668" s="16" t="str">
        <f aca="false">IF(D668="","",IFERROR(1/(1/INDEX(CONFIG!$J$5:$J$14,MATCH(D668,CONFIG!$D$5:$D$14,0))),""))</f>
        <v/>
      </c>
      <c r="AB668" s="16" t="str">
        <f aca="false">IF(D668="","",IFERROR(1/(1/INDEX(CONFIG!$K$5:$K$14,MATCH(D668,CONFIG!$D$5:$D$14,0))),""))</f>
        <v/>
      </c>
      <c r="AC668" s="19" t="str">
        <f aca="false">IF(N(M668)=0,"",IF(AA668="","Sin spec",IF(AND(Y668&gt;=AA668,OR(AB668="",Z668&gt;=AB668)),"CUMPLE","NO CUMPLE")&amp;IF(V668=""," (est.)","")))</f>
        <v/>
      </c>
      <c r="AD668" s="20" t="str">
        <f aca="false">IF(F668="","",IF(COUNTIFS(ABSORCION!$C$5:$C$1004,F668,ABSORCION!$I$5:$I$1004,"&gt;0")=0,"",AVERAGEIFS(ABSORCION!$I$5:$I$1004,ABSORCION!$C$5:$C$1004,F668,ABSORCION!$I$5:$I$1004,"&gt;0")))</f>
        <v/>
      </c>
      <c r="AE668" s="20" t="str">
        <f aca="false">IF(F668="","",IF(COUNTIFS(ABSORCION!$C$5:$C$1004,F668,ABSORCION!$I$5:$I$1004,"&gt;0")=0,"",AVERAGEIFS(ABSORCION!$K$5:$K$1004,ABSORCION!$C$5:$C$1004,F668,ABSORCION!$I$5:$I$1004,"&gt;0")))</f>
        <v/>
      </c>
      <c r="AF668" s="20" t="str">
        <f aca="false">IF(AE668="","",IF(AE668&gt;=CONFIG!$E$21,CONFIG!$F$21,IF(AE668&gt;=CONFIG!$E$20,CONFIG!$F$20,CONFIG!$F$19)))</f>
        <v/>
      </c>
      <c r="AG668" s="21" t="str">
        <f aca="false">IF(F668="","",TRIM(IF(N(M668)=0,"Sin ensayos. ","")&amp;IF(AND(N(M668)&gt;0,N(M668)&lt;CONFIG!$B$26),"Menos de "&amp;CONFIG!$B$26&amp;" probetas. ","")&amp;IF(N(T668)&gt;CONFIG!$B$25,"CV alto. ","")&amp;IF(AND(N(AD668)&gt;0,N(AD668)&gt;N(AF668)),"Absorción alta. ","")))</f>
        <v/>
      </c>
      <c r="AH668" s="22" t="str">
        <f aca="false">IF(AND(N(M668)&gt;0,OR(CONTROL!$C$4="TODAS",C668=CONTROL!$C$4),D668=CONTROL!$C$5),MAX($AH$4:AH667)+1,"")</f>
        <v/>
      </c>
      <c r="AI668" s="22" t="str">
        <f aca="false">IF(AH668="","",P668^2)</f>
        <v/>
      </c>
    </row>
    <row r="669" customFormat="false" ht="15" hidden="false" customHeight="false" outlineLevel="0" collapsed="false">
      <c r="A669" s="11" t="str">
        <f aca="false">IF(B669="","",ROW()-4)</f>
        <v/>
      </c>
      <c r="B669" s="12"/>
      <c r="C669" s="13"/>
      <c r="D669" s="13"/>
      <c r="E669" s="13"/>
      <c r="F669" s="14" t="str">
        <f aca="false">IF(OR(B669="",C669="",D669=""),"",IFERROR(INDEX(CONFIG!$E$5:$E$14,MATCH(D669,CONFIG!$D$5:$D$14,0)),"?")&amp;RIGHT("0"&amp;DAY(B669),2)&amp;RIGHT("0"&amp;MONTH(B669),2)&amp;RIGHT(YEAR(B669),2)&amp;C669&amp;IF(E669="","","-"&amp;E669))</f>
        <v/>
      </c>
      <c r="G669" s="13"/>
      <c r="H669" s="13"/>
      <c r="I669" s="13"/>
      <c r="J669" s="13"/>
      <c r="K669" s="13"/>
      <c r="L669" s="13"/>
      <c r="M669" s="11" t="str">
        <f aca="false">IF(F669="","",COUNTIFS(ENSAYOS!$C$5:$C$3004,F669,ENSAYOS!$Q$5:$Q$3004,"&gt;0"))</f>
        <v/>
      </c>
      <c r="N669" s="15" t="str">
        <f aca="false">IF(N(M669)=0,"",_xlfn.MINIFS(ENSAYOS!$G$5:$G$3004,ENSAYOS!$C$5:$C$3004,F669,ENSAYOS!$Q$5:$Q$3004,"&gt;0"))</f>
        <v/>
      </c>
      <c r="O669" s="15" t="str">
        <f aca="false">IF(N(M669)=0,"",_xlfn.MAXIFS(ENSAYOS!$G$5:$G$3004,ENSAYOS!$C$5:$C$3004,F669,ENSAYOS!$Q$5:$Q$3004,"&gt;0"))</f>
        <v/>
      </c>
      <c r="P669" s="16" t="str">
        <f aca="false">IF(N(M669)=0,"",AVERAGEIFS(ENSAYOS!$Q$5:$Q$3004,ENSAYOS!$C$5:$C$3004,F669,ENSAYOS!$Q$5:$Q$3004,"&gt;0"))</f>
        <v/>
      </c>
      <c r="Q669" s="16" t="str">
        <f aca="false">IF(N(M669)=0,"",_xlfn.MINIFS(ENSAYOS!$Q$5:$Q$3004,ENSAYOS!$C$5:$C$3004,F669,ENSAYOS!$Q$5:$Q$3004,"&gt;0"))</f>
        <v/>
      </c>
      <c r="R669" s="16" t="str">
        <f aca="false">IF(N(M669)=0,"",_xlfn.MAXIFS(ENSAYOS!$Q$5:$Q$3004,ENSAYOS!$C$5:$C$3004,F669,ENSAYOS!$Q$5:$Q$3004,"&gt;0"))</f>
        <v/>
      </c>
      <c r="S669" s="16" t="str">
        <f aca="false">IF(N(M669)&lt;2,"",SQRT(MAX(0,(SUMIFS(ENSAYOS!$X$5:$X$3004,ENSAYOS!$C$5:$C$3004,F669,ENSAYOS!$Q$5:$Q$3004,"&gt;0")-M669*P669^2)/(M669-1))))</f>
        <v/>
      </c>
      <c r="T669" s="17" t="str">
        <f aca="false">IF(S669="","",S669/P669)</f>
        <v/>
      </c>
      <c r="U669" s="16" t="str">
        <f aca="false">IF(N(M669)=0,"",IF(N669&gt;=CONFIG!$B$27,"",AVERAGEIFS(ENSAYOS!$Q$5:$Q$3004,ENSAYOS!$C$5:$C$3004,F669,ENSAYOS!$Q$5:$Q$3004,"&gt;0",ENSAYOS!$G$5:$G$3004,N669)))</f>
        <v/>
      </c>
      <c r="V669" s="16" t="str">
        <f aca="false">IF(N(M669)=0,"",IF(COUNTIFS(ENSAYOS!$C$5:$C$3004,F669,ENSAYOS!$Q$5:$Q$3004,"&gt;0",ENSAYOS!$G$5:$G$3004,"&gt;="&amp;CONFIG!$B$27)=0,"",AVERAGEIFS(ENSAYOS!$Q$5:$Q$3004,ENSAYOS!$C$5:$C$3004,F669,ENSAYOS!$Q$5:$Q$3004,"&gt;0",ENSAYOS!$G$5:$G$3004,"&gt;="&amp;CONFIG!$B$27)))</f>
        <v/>
      </c>
      <c r="W669" s="18" t="str">
        <f aca="false">IF(AND(U669&lt;&gt;"",V669&lt;&gt;""),U669/V669,"")</f>
        <v/>
      </c>
      <c r="X669" s="18" t="str">
        <f aca="false">IF(U669="","",INDEX('CURVA EDAD'!$E$5:$E$32,MIN(28,MAX(1,N669))))</f>
        <v/>
      </c>
      <c r="Y669" s="16" t="str">
        <f aca="false">IF(V669&lt;&gt;"",V669,IF(U669="","",U669/X669))</f>
        <v/>
      </c>
      <c r="Z669" s="16" t="str">
        <f aca="false">IF(V669&lt;&gt;"",_xlfn.MINIFS(ENSAYOS!$Q$5:$Q$3004,ENSAYOS!$C$5:$C$3004,F669,ENSAYOS!$Q$5:$Q$3004,"&gt;0",ENSAYOS!$G$5:$G$3004,"&gt;="&amp;CONFIG!$B$27),IF(U669="","",_xlfn.MINIFS(ENSAYOS!$Q$5:$Q$3004,ENSAYOS!$C$5:$C$3004,F669,ENSAYOS!$Q$5:$Q$3004,"&gt;0",ENSAYOS!$G$5:$G$3004,N669)/X669))</f>
        <v/>
      </c>
      <c r="AA669" s="16" t="str">
        <f aca="false">IF(D669="","",IFERROR(1/(1/INDEX(CONFIG!$J$5:$J$14,MATCH(D669,CONFIG!$D$5:$D$14,0))),""))</f>
        <v/>
      </c>
      <c r="AB669" s="16" t="str">
        <f aca="false">IF(D669="","",IFERROR(1/(1/INDEX(CONFIG!$K$5:$K$14,MATCH(D669,CONFIG!$D$5:$D$14,0))),""))</f>
        <v/>
      </c>
      <c r="AC669" s="19" t="str">
        <f aca="false">IF(N(M669)=0,"",IF(AA669="","Sin spec",IF(AND(Y669&gt;=AA669,OR(AB669="",Z669&gt;=AB669)),"CUMPLE","NO CUMPLE")&amp;IF(V669=""," (est.)","")))</f>
        <v/>
      </c>
      <c r="AD669" s="20" t="str">
        <f aca="false">IF(F669="","",IF(COUNTIFS(ABSORCION!$C$5:$C$1004,F669,ABSORCION!$I$5:$I$1004,"&gt;0")=0,"",AVERAGEIFS(ABSORCION!$I$5:$I$1004,ABSORCION!$C$5:$C$1004,F669,ABSORCION!$I$5:$I$1004,"&gt;0")))</f>
        <v/>
      </c>
      <c r="AE669" s="20" t="str">
        <f aca="false">IF(F669="","",IF(COUNTIFS(ABSORCION!$C$5:$C$1004,F669,ABSORCION!$I$5:$I$1004,"&gt;0")=0,"",AVERAGEIFS(ABSORCION!$K$5:$K$1004,ABSORCION!$C$5:$C$1004,F669,ABSORCION!$I$5:$I$1004,"&gt;0")))</f>
        <v/>
      </c>
      <c r="AF669" s="20" t="str">
        <f aca="false">IF(AE669="","",IF(AE669&gt;=CONFIG!$E$21,CONFIG!$F$21,IF(AE669&gt;=CONFIG!$E$20,CONFIG!$F$20,CONFIG!$F$19)))</f>
        <v/>
      </c>
      <c r="AG669" s="21" t="str">
        <f aca="false">IF(F669="","",TRIM(IF(N(M669)=0,"Sin ensayos. ","")&amp;IF(AND(N(M669)&gt;0,N(M669)&lt;CONFIG!$B$26),"Menos de "&amp;CONFIG!$B$26&amp;" probetas. ","")&amp;IF(N(T669)&gt;CONFIG!$B$25,"CV alto. ","")&amp;IF(AND(N(AD669)&gt;0,N(AD669)&gt;N(AF669)),"Absorción alta. ","")))</f>
        <v/>
      </c>
      <c r="AH669" s="22" t="str">
        <f aca="false">IF(AND(N(M669)&gt;0,OR(CONTROL!$C$4="TODAS",C669=CONTROL!$C$4),D669=CONTROL!$C$5),MAX($AH$4:AH668)+1,"")</f>
        <v/>
      </c>
      <c r="AI669" s="22" t="str">
        <f aca="false">IF(AH669="","",P669^2)</f>
        <v/>
      </c>
    </row>
    <row r="670" customFormat="false" ht="15" hidden="false" customHeight="false" outlineLevel="0" collapsed="false">
      <c r="A670" s="11" t="str">
        <f aca="false">IF(B670="","",ROW()-4)</f>
        <v/>
      </c>
      <c r="B670" s="12"/>
      <c r="C670" s="13"/>
      <c r="D670" s="13"/>
      <c r="E670" s="13"/>
      <c r="F670" s="14" t="str">
        <f aca="false">IF(OR(B670="",C670="",D670=""),"",IFERROR(INDEX(CONFIG!$E$5:$E$14,MATCH(D670,CONFIG!$D$5:$D$14,0)),"?")&amp;RIGHT("0"&amp;DAY(B670),2)&amp;RIGHT("0"&amp;MONTH(B670),2)&amp;RIGHT(YEAR(B670),2)&amp;C670&amp;IF(E670="","","-"&amp;E670))</f>
        <v/>
      </c>
      <c r="G670" s="13"/>
      <c r="H670" s="13"/>
      <c r="I670" s="13"/>
      <c r="J670" s="13"/>
      <c r="K670" s="13"/>
      <c r="L670" s="13"/>
      <c r="M670" s="11" t="str">
        <f aca="false">IF(F670="","",COUNTIFS(ENSAYOS!$C$5:$C$3004,F670,ENSAYOS!$Q$5:$Q$3004,"&gt;0"))</f>
        <v/>
      </c>
      <c r="N670" s="15" t="str">
        <f aca="false">IF(N(M670)=0,"",_xlfn.MINIFS(ENSAYOS!$G$5:$G$3004,ENSAYOS!$C$5:$C$3004,F670,ENSAYOS!$Q$5:$Q$3004,"&gt;0"))</f>
        <v/>
      </c>
      <c r="O670" s="15" t="str">
        <f aca="false">IF(N(M670)=0,"",_xlfn.MAXIFS(ENSAYOS!$G$5:$G$3004,ENSAYOS!$C$5:$C$3004,F670,ENSAYOS!$Q$5:$Q$3004,"&gt;0"))</f>
        <v/>
      </c>
      <c r="P670" s="16" t="str">
        <f aca="false">IF(N(M670)=0,"",AVERAGEIFS(ENSAYOS!$Q$5:$Q$3004,ENSAYOS!$C$5:$C$3004,F670,ENSAYOS!$Q$5:$Q$3004,"&gt;0"))</f>
        <v/>
      </c>
      <c r="Q670" s="16" t="str">
        <f aca="false">IF(N(M670)=0,"",_xlfn.MINIFS(ENSAYOS!$Q$5:$Q$3004,ENSAYOS!$C$5:$C$3004,F670,ENSAYOS!$Q$5:$Q$3004,"&gt;0"))</f>
        <v/>
      </c>
      <c r="R670" s="16" t="str">
        <f aca="false">IF(N(M670)=0,"",_xlfn.MAXIFS(ENSAYOS!$Q$5:$Q$3004,ENSAYOS!$C$5:$C$3004,F670,ENSAYOS!$Q$5:$Q$3004,"&gt;0"))</f>
        <v/>
      </c>
      <c r="S670" s="16" t="str">
        <f aca="false">IF(N(M670)&lt;2,"",SQRT(MAX(0,(SUMIFS(ENSAYOS!$X$5:$X$3004,ENSAYOS!$C$5:$C$3004,F670,ENSAYOS!$Q$5:$Q$3004,"&gt;0")-M670*P670^2)/(M670-1))))</f>
        <v/>
      </c>
      <c r="T670" s="17" t="str">
        <f aca="false">IF(S670="","",S670/P670)</f>
        <v/>
      </c>
      <c r="U670" s="16" t="str">
        <f aca="false">IF(N(M670)=0,"",IF(N670&gt;=CONFIG!$B$27,"",AVERAGEIFS(ENSAYOS!$Q$5:$Q$3004,ENSAYOS!$C$5:$C$3004,F670,ENSAYOS!$Q$5:$Q$3004,"&gt;0",ENSAYOS!$G$5:$G$3004,N670)))</f>
        <v/>
      </c>
      <c r="V670" s="16" t="str">
        <f aca="false">IF(N(M670)=0,"",IF(COUNTIFS(ENSAYOS!$C$5:$C$3004,F670,ENSAYOS!$Q$5:$Q$3004,"&gt;0",ENSAYOS!$G$5:$G$3004,"&gt;="&amp;CONFIG!$B$27)=0,"",AVERAGEIFS(ENSAYOS!$Q$5:$Q$3004,ENSAYOS!$C$5:$C$3004,F670,ENSAYOS!$Q$5:$Q$3004,"&gt;0",ENSAYOS!$G$5:$G$3004,"&gt;="&amp;CONFIG!$B$27)))</f>
        <v/>
      </c>
      <c r="W670" s="18" t="str">
        <f aca="false">IF(AND(U670&lt;&gt;"",V670&lt;&gt;""),U670/V670,"")</f>
        <v/>
      </c>
      <c r="X670" s="18" t="str">
        <f aca="false">IF(U670="","",INDEX('CURVA EDAD'!$E$5:$E$32,MIN(28,MAX(1,N670))))</f>
        <v/>
      </c>
      <c r="Y670" s="16" t="str">
        <f aca="false">IF(V670&lt;&gt;"",V670,IF(U670="","",U670/X670))</f>
        <v/>
      </c>
      <c r="Z670" s="16" t="str">
        <f aca="false">IF(V670&lt;&gt;"",_xlfn.MINIFS(ENSAYOS!$Q$5:$Q$3004,ENSAYOS!$C$5:$C$3004,F670,ENSAYOS!$Q$5:$Q$3004,"&gt;0",ENSAYOS!$G$5:$G$3004,"&gt;="&amp;CONFIG!$B$27),IF(U670="","",_xlfn.MINIFS(ENSAYOS!$Q$5:$Q$3004,ENSAYOS!$C$5:$C$3004,F670,ENSAYOS!$Q$5:$Q$3004,"&gt;0",ENSAYOS!$G$5:$G$3004,N670)/X670))</f>
        <v/>
      </c>
      <c r="AA670" s="16" t="str">
        <f aca="false">IF(D670="","",IFERROR(1/(1/INDEX(CONFIG!$J$5:$J$14,MATCH(D670,CONFIG!$D$5:$D$14,0))),""))</f>
        <v/>
      </c>
      <c r="AB670" s="16" t="str">
        <f aca="false">IF(D670="","",IFERROR(1/(1/INDEX(CONFIG!$K$5:$K$14,MATCH(D670,CONFIG!$D$5:$D$14,0))),""))</f>
        <v/>
      </c>
      <c r="AC670" s="19" t="str">
        <f aca="false">IF(N(M670)=0,"",IF(AA670="","Sin spec",IF(AND(Y670&gt;=AA670,OR(AB670="",Z670&gt;=AB670)),"CUMPLE","NO CUMPLE")&amp;IF(V670=""," (est.)","")))</f>
        <v/>
      </c>
      <c r="AD670" s="20" t="str">
        <f aca="false">IF(F670="","",IF(COUNTIFS(ABSORCION!$C$5:$C$1004,F670,ABSORCION!$I$5:$I$1004,"&gt;0")=0,"",AVERAGEIFS(ABSORCION!$I$5:$I$1004,ABSORCION!$C$5:$C$1004,F670,ABSORCION!$I$5:$I$1004,"&gt;0")))</f>
        <v/>
      </c>
      <c r="AE670" s="20" t="str">
        <f aca="false">IF(F670="","",IF(COUNTIFS(ABSORCION!$C$5:$C$1004,F670,ABSORCION!$I$5:$I$1004,"&gt;0")=0,"",AVERAGEIFS(ABSORCION!$K$5:$K$1004,ABSORCION!$C$5:$C$1004,F670,ABSORCION!$I$5:$I$1004,"&gt;0")))</f>
        <v/>
      </c>
      <c r="AF670" s="20" t="str">
        <f aca="false">IF(AE670="","",IF(AE670&gt;=CONFIG!$E$21,CONFIG!$F$21,IF(AE670&gt;=CONFIG!$E$20,CONFIG!$F$20,CONFIG!$F$19)))</f>
        <v/>
      </c>
      <c r="AG670" s="21" t="str">
        <f aca="false">IF(F670="","",TRIM(IF(N(M670)=0,"Sin ensayos. ","")&amp;IF(AND(N(M670)&gt;0,N(M670)&lt;CONFIG!$B$26),"Menos de "&amp;CONFIG!$B$26&amp;" probetas. ","")&amp;IF(N(T670)&gt;CONFIG!$B$25,"CV alto. ","")&amp;IF(AND(N(AD670)&gt;0,N(AD670)&gt;N(AF670)),"Absorción alta. ","")))</f>
        <v/>
      </c>
      <c r="AH670" s="22" t="str">
        <f aca="false">IF(AND(N(M670)&gt;0,OR(CONTROL!$C$4="TODAS",C670=CONTROL!$C$4),D670=CONTROL!$C$5),MAX($AH$4:AH669)+1,"")</f>
        <v/>
      </c>
      <c r="AI670" s="22" t="str">
        <f aca="false">IF(AH670="","",P670^2)</f>
        <v/>
      </c>
    </row>
    <row r="671" customFormat="false" ht="15" hidden="false" customHeight="false" outlineLevel="0" collapsed="false">
      <c r="A671" s="11" t="str">
        <f aca="false">IF(B671="","",ROW()-4)</f>
        <v/>
      </c>
      <c r="B671" s="12"/>
      <c r="C671" s="13"/>
      <c r="D671" s="13"/>
      <c r="E671" s="13"/>
      <c r="F671" s="14" t="str">
        <f aca="false">IF(OR(B671="",C671="",D671=""),"",IFERROR(INDEX(CONFIG!$E$5:$E$14,MATCH(D671,CONFIG!$D$5:$D$14,0)),"?")&amp;RIGHT("0"&amp;DAY(B671),2)&amp;RIGHT("0"&amp;MONTH(B671),2)&amp;RIGHT(YEAR(B671),2)&amp;C671&amp;IF(E671="","","-"&amp;E671))</f>
        <v/>
      </c>
      <c r="G671" s="13"/>
      <c r="H671" s="13"/>
      <c r="I671" s="13"/>
      <c r="J671" s="13"/>
      <c r="K671" s="13"/>
      <c r="L671" s="13"/>
      <c r="M671" s="11" t="str">
        <f aca="false">IF(F671="","",COUNTIFS(ENSAYOS!$C$5:$C$3004,F671,ENSAYOS!$Q$5:$Q$3004,"&gt;0"))</f>
        <v/>
      </c>
      <c r="N671" s="15" t="str">
        <f aca="false">IF(N(M671)=0,"",_xlfn.MINIFS(ENSAYOS!$G$5:$G$3004,ENSAYOS!$C$5:$C$3004,F671,ENSAYOS!$Q$5:$Q$3004,"&gt;0"))</f>
        <v/>
      </c>
      <c r="O671" s="15" t="str">
        <f aca="false">IF(N(M671)=0,"",_xlfn.MAXIFS(ENSAYOS!$G$5:$G$3004,ENSAYOS!$C$5:$C$3004,F671,ENSAYOS!$Q$5:$Q$3004,"&gt;0"))</f>
        <v/>
      </c>
      <c r="P671" s="16" t="str">
        <f aca="false">IF(N(M671)=0,"",AVERAGEIFS(ENSAYOS!$Q$5:$Q$3004,ENSAYOS!$C$5:$C$3004,F671,ENSAYOS!$Q$5:$Q$3004,"&gt;0"))</f>
        <v/>
      </c>
      <c r="Q671" s="16" t="str">
        <f aca="false">IF(N(M671)=0,"",_xlfn.MINIFS(ENSAYOS!$Q$5:$Q$3004,ENSAYOS!$C$5:$C$3004,F671,ENSAYOS!$Q$5:$Q$3004,"&gt;0"))</f>
        <v/>
      </c>
      <c r="R671" s="16" t="str">
        <f aca="false">IF(N(M671)=0,"",_xlfn.MAXIFS(ENSAYOS!$Q$5:$Q$3004,ENSAYOS!$C$5:$C$3004,F671,ENSAYOS!$Q$5:$Q$3004,"&gt;0"))</f>
        <v/>
      </c>
      <c r="S671" s="16" t="str">
        <f aca="false">IF(N(M671)&lt;2,"",SQRT(MAX(0,(SUMIFS(ENSAYOS!$X$5:$X$3004,ENSAYOS!$C$5:$C$3004,F671,ENSAYOS!$Q$5:$Q$3004,"&gt;0")-M671*P671^2)/(M671-1))))</f>
        <v/>
      </c>
      <c r="T671" s="17" t="str">
        <f aca="false">IF(S671="","",S671/P671)</f>
        <v/>
      </c>
      <c r="U671" s="16" t="str">
        <f aca="false">IF(N(M671)=0,"",IF(N671&gt;=CONFIG!$B$27,"",AVERAGEIFS(ENSAYOS!$Q$5:$Q$3004,ENSAYOS!$C$5:$C$3004,F671,ENSAYOS!$Q$5:$Q$3004,"&gt;0",ENSAYOS!$G$5:$G$3004,N671)))</f>
        <v/>
      </c>
      <c r="V671" s="16" t="str">
        <f aca="false">IF(N(M671)=0,"",IF(COUNTIFS(ENSAYOS!$C$5:$C$3004,F671,ENSAYOS!$Q$5:$Q$3004,"&gt;0",ENSAYOS!$G$5:$G$3004,"&gt;="&amp;CONFIG!$B$27)=0,"",AVERAGEIFS(ENSAYOS!$Q$5:$Q$3004,ENSAYOS!$C$5:$C$3004,F671,ENSAYOS!$Q$5:$Q$3004,"&gt;0",ENSAYOS!$G$5:$G$3004,"&gt;="&amp;CONFIG!$B$27)))</f>
        <v/>
      </c>
      <c r="W671" s="18" t="str">
        <f aca="false">IF(AND(U671&lt;&gt;"",V671&lt;&gt;""),U671/V671,"")</f>
        <v/>
      </c>
      <c r="X671" s="18" t="str">
        <f aca="false">IF(U671="","",INDEX('CURVA EDAD'!$E$5:$E$32,MIN(28,MAX(1,N671))))</f>
        <v/>
      </c>
      <c r="Y671" s="16" t="str">
        <f aca="false">IF(V671&lt;&gt;"",V671,IF(U671="","",U671/X671))</f>
        <v/>
      </c>
      <c r="Z671" s="16" t="str">
        <f aca="false">IF(V671&lt;&gt;"",_xlfn.MINIFS(ENSAYOS!$Q$5:$Q$3004,ENSAYOS!$C$5:$C$3004,F671,ENSAYOS!$Q$5:$Q$3004,"&gt;0",ENSAYOS!$G$5:$G$3004,"&gt;="&amp;CONFIG!$B$27),IF(U671="","",_xlfn.MINIFS(ENSAYOS!$Q$5:$Q$3004,ENSAYOS!$C$5:$C$3004,F671,ENSAYOS!$Q$5:$Q$3004,"&gt;0",ENSAYOS!$G$5:$G$3004,N671)/X671))</f>
        <v/>
      </c>
      <c r="AA671" s="16" t="str">
        <f aca="false">IF(D671="","",IFERROR(1/(1/INDEX(CONFIG!$J$5:$J$14,MATCH(D671,CONFIG!$D$5:$D$14,0))),""))</f>
        <v/>
      </c>
      <c r="AB671" s="16" t="str">
        <f aca="false">IF(D671="","",IFERROR(1/(1/INDEX(CONFIG!$K$5:$K$14,MATCH(D671,CONFIG!$D$5:$D$14,0))),""))</f>
        <v/>
      </c>
      <c r="AC671" s="19" t="str">
        <f aca="false">IF(N(M671)=0,"",IF(AA671="","Sin spec",IF(AND(Y671&gt;=AA671,OR(AB671="",Z671&gt;=AB671)),"CUMPLE","NO CUMPLE")&amp;IF(V671=""," (est.)","")))</f>
        <v/>
      </c>
      <c r="AD671" s="20" t="str">
        <f aca="false">IF(F671="","",IF(COUNTIFS(ABSORCION!$C$5:$C$1004,F671,ABSORCION!$I$5:$I$1004,"&gt;0")=0,"",AVERAGEIFS(ABSORCION!$I$5:$I$1004,ABSORCION!$C$5:$C$1004,F671,ABSORCION!$I$5:$I$1004,"&gt;0")))</f>
        <v/>
      </c>
      <c r="AE671" s="20" t="str">
        <f aca="false">IF(F671="","",IF(COUNTIFS(ABSORCION!$C$5:$C$1004,F671,ABSORCION!$I$5:$I$1004,"&gt;0")=0,"",AVERAGEIFS(ABSORCION!$K$5:$K$1004,ABSORCION!$C$5:$C$1004,F671,ABSORCION!$I$5:$I$1004,"&gt;0")))</f>
        <v/>
      </c>
      <c r="AF671" s="20" t="str">
        <f aca="false">IF(AE671="","",IF(AE671&gt;=CONFIG!$E$21,CONFIG!$F$21,IF(AE671&gt;=CONFIG!$E$20,CONFIG!$F$20,CONFIG!$F$19)))</f>
        <v/>
      </c>
      <c r="AG671" s="21" t="str">
        <f aca="false">IF(F671="","",TRIM(IF(N(M671)=0,"Sin ensayos. ","")&amp;IF(AND(N(M671)&gt;0,N(M671)&lt;CONFIG!$B$26),"Menos de "&amp;CONFIG!$B$26&amp;" probetas. ","")&amp;IF(N(T671)&gt;CONFIG!$B$25,"CV alto. ","")&amp;IF(AND(N(AD671)&gt;0,N(AD671)&gt;N(AF671)),"Absorción alta. ","")))</f>
        <v/>
      </c>
      <c r="AH671" s="22" t="str">
        <f aca="false">IF(AND(N(M671)&gt;0,OR(CONTROL!$C$4="TODAS",C671=CONTROL!$C$4),D671=CONTROL!$C$5),MAX($AH$4:AH670)+1,"")</f>
        <v/>
      </c>
      <c r="AI671" s="22" t="str">
        <f aca="false">IF(AH671="","",P671^2)</f>
        <v/>
      </c>
    </row>
    <row r="672" customFormat="false" ht="15" hidden="false" customHeight="false" outlineLevel="0" collapsed="false">
      <c r="A672" s="11" t="str">
        <f aca="false">IF(B672="","",ROW()-4)</f>
        <v/>
      </c>
      <c r="B672" s="12"/>
      <c r="C672" s="13"/>
      <c r="D672" s="13"/>
      <c r="E672" s="13"/>
      <c r="F672" s="14" t="str">
        <f aca="false">IF(OR(B672="",C672="",D672=""),"",IFERROR(INDEX(CONFIG!$E$5:$E$14,MATCH(D672,CONFIG!$D$5:$D$14,0)),"?")&amp;RIGHT("0"&amp;DAY(B672),2)&amp;RIGHT("0"&amp;MONTH(B672),2)&amp;RIGHT(YEAR(B672),2)&amp;C672&amp;IF(E672="","","-"&amp;E672))</f>
        <v/>
      </c>
      <c r="G672" s="13"/>
      <c r="H672" s="13"/>
      <c r="I672" s="13"/>
      <c r="J672" s="13"/>
      <c r="K672" s="13"/>
      <c r="L672" s="13"/>
      <c r="M672" s="11" t="str">
        <f aca="false">IF(F672="","",COUNTIFS(ENSAYOS!$C$5:$C$3004,F672,ENSAYOS!$Q$5:$Q$3004,"&gt;0"))</f>
        <v/>
      </c>
      <c r="N672" s="15" t="str">
        <f aca="false">IF(N(M672)=0,"",_xlfn.MINIFS(ENSAYOS!$G$5:$G$3004,ENSAYOS!$C$5:$C$3004,F672,ENSAYOS!$Q$5:$Q$3004,"&gt;0"))</f>
        <v/>
      </c>
      <c r="O672" s="15" t="str">
        <f aca="false">IF(N(M672)=0,"",_xlfn.MAXIFS(ENSAYOS!$G$5:$G$3004,ENSAYOS!$C$5:$C$3004,F672,ENSAYOS!$Q$5:$Q$3004,"&gt;0"))</f>
        <v/>
      </c>
      <c r="P672" s="16" t="str">
        <f aca="false">IF(N(M672)=0,"",AVERAGEIFS(ENSAYOS!$Q$5:$Q$3004,ENSAYOS!$C$5:$C$3004,F672,ENSAYOS!$Q$5:$Q$3004,"&gt;0"))</f>
        <v/>
      </c>
      <c r="Q672" s="16" t="str">
        <f aca="false">IF(N(M672)=0,"",_xlfn.MINIFS(ENSAYOS!$Q$5:$Q$3004,ENSAYOS!$C$5:$C$3004,F672,ENSAYOS!$Q$5:$Q$3004,"&gt;0"))</f>
        <v/>
      </c>
      <c r="R672" s="16" t="str">
        <f aca="false">IF(N(M672)=0,"",_xlfn.MAXIFS(ENSAYOS!$Q$5:$Q$3004,ENSAYOS!$C$5:$C$3004,F672,ENSAYOS!$Q$5:$Q$3004,"&gt;0"))</f>
        <v/>
      </c>
      <c r="S672" s="16" t="str">
        <f aca="false">IF(N(M672)&lt;2,"",SQRT(MAX(0,(SUMIFS(ENSAYOS!$X$5:$X$3004,ENSAYOS!$C$5:$C$3004,F672,ENSAYOS!$Q$5:$Q$3004,"&gt;0")-M672*P672^2)/(M672-1))))</f>
        <v/>
      </c>
      <c r="T672" s="17" t="str">
        <f aca="false">IF(S672="","",S672/P672)</f>
        <v/>
      </c>
      <c r="U672" s="16" t="str">
        <f aca="false">IF(N(M672)=0,"",IF(N672&gt;=CONFIG!$B$27,"",AVERAGEIFS(ENSAYOS!$Q$5:$Q$3004,ENSAYOS!$C$5:$C$3004,F672,ENSAYOS!$Q$5:$Q$3004,"&gt;0",ENSAYOS!$G$5:$G$3004,N672)))</f>
        <v/>
      </c>
      <c r="V672" s="16" t="str">
        <f aca="false">IF(N(M672)=0,"",IF(COUNTIFS(ENSAYOS!$C$5:$C$3004,F672,ENSAYOS!$Q$5:$Q$3004,"&gt;0",ENSAYOS!$G$5:$G$3004,"&gt;="&amp;CONFIG!$B$27)=0,"",AVERAGEIFS(ENSAYOS!$Q$5:$Q$3004,ENSAYOS!$C$5:$C$3004,F672,ENSAYOS!$Q$5:$Q$3004,"&gt;0",ENSAYOS!$G$5:$G$3004,"&gt;="&amp;CONFIG!$B$27)))</f>
        <v/>
      </c>
      <c r="W672" s="18" t="str">
        <f aca="false">IF(AND(U672&lt;&gt;"",V672&lt;&gt;""),U672/V672,"")</f>
        <v/>
      </c>
      <c r="X672" s="18" t="str">
        <f aca="false">IF(U672="","",INDEX('CURVA EDAD'!$E$5:$E$32,MIN(28,MAX(1,N672))))</f>
        <v/>
      </c>
      <c r="Y672" s="16" t="str">
        <f aca="false">IF(V672&lt;&gt;"",V672,IF(U672="","",U672/X672))</f>
        <v/>
      </c>
      <c r="Z672" s="16" t="str">
        <f aca="false">IF(V672&lt;&gt;"",_xlfn.MINIFS(ENSAYOS!$Q$5:$Q$3004,ENSAYOS!$C$5:$C$3004,F672,ENSAYOS!$Q$5:$Q$3004,"&gt;0",ENSAYOS!$G$5:$G$3004,"&gt;="&amp;CONFIG!$B$27),IF(U672="","",_xlfn.MINIFS(ENSAYOS!$Q$5:$Q$3004,ENSAYOS!$C$5:$C$3004,F672,ENSAYOS!$Q$5:$Q$3004,"&gt;0",ENSAYOS!$G$5:$G$3004,N672)/X672))</f>
        <v/>
      </c>
      <c r="AA672" s="16" t="str">
        <f aca="false">IF(D672="","",IFERROR(1/(1/INDEX(CONFIG!$J$5:$J$14,MATCH(D672,CONFIG!$D$5:$D$14,0))),""))</f>
        <v/>
      </c>
      <c r="AB672" s="16" t="str">
        <f aca="false">IF(D672="","",IFERROR(1/(1/INDEX(CONFIG!$K$5:$K$14,MATCH(D672,CONFIG!$D$5:$D$14,0))),""))</f>
        <v/>
      </c>
      <c r="AC672" s="19" t="str">
        <f aca="false">IF(N(M672)=0,"",IF(AA672="","Sin spec",IF(AND(Y672&gt;=AA672,OR(AB672="",Z672&gt;=AB672)),"CUMPLE","NO CUMPLE")&amp;IF(V672=""," (est.)","")))</f>
        <v/>
      </c>
      <c r="AD672" s="20" t="str">
        <f aca="false">IF(F672="","",IF(COUNTIFS(ABSORCION!$C$5:$C$1004,F672,ABSORCION!$I$5:$I$1004,"&gt;0")=0,"",AVERAGEIFS(ABSORCION!$I$5:$I$1004,ABSORCION!$C$5:$C$1004,F672,ABSORCION!$I$5:$I$1004,"&gt;0")))</f>
        <v/>
      </c>
      <c r="AE672" s="20" t="str">
        <f aca="false">IF(F672="","",IF(COUNTIFS(ABSORCION!$C$5:$C$1004,F672,ABSORCION!$I$5:$I$1004,"&gt;0")=0,"",AVERAGEIFS(ABSORCION!$K$5:$K$1004,ABSORCION!$C$5:$C$1004,F672,ABSORCION!$I$5:$I$1004,"&gt;0")))</f>
        <v/>
      </c>
      <c r="AF672" s="20" t="str">
        <f aca="false">IF(AE672="","",IF(AE672&gt;=CONFIG!$E$21,CONFIG!$F$21,IF(AE672&gt;=CONFIG!$E$20,CONFIG!$F$20,CONFIG!$F$19)))</f>
        <v/>
      </c>
      <c r="AG672" s="21" t="str">
        <f aca="false">IF(F672="","",TRIM(IF(N(M672)=0,"Sin ensayos. ","")&amp;IF(AND(N(M672)&gt;0,N(M672)&lt;CONFIG!$B$26),"Menos de "&amp;CONFIG!$B$26&amp;" probetas. ","")&amp;IF(N(T672)&gt;CONFIG!$B$25,"CV alto. ","")&amp;IF(AND(N(AD672)&gt;0,N(AD672)&gt;N(AF672)),"Absorción alta. ","")))</f>
        <v/>
      </c>
      <c r="AH672" s="22" t="str">
        <f aca="false">IF(AND(N(M672)&gt;0,OR(CONTROL!$C$4="TODAS",C672=CONTROL!$C$4),D672=CONTROL!$C$5),MAX($AH$4:AH671)+1,"")</f>
        <v/>
      </c>
      <c r="AI672" s="22" t="str">
        <f aca="false">IF(AH672="","",P672^2)</f>
        <v/>
      </c>
    </row>
    <row r="673" customFormat="false" ht="15" hidden="false" customHeight="false" outlineLevel="0" collapsed="false">
      <c r="A673" s="11" t="str">
        <f aca="false">IF(B673="","",ROW()-4)</f>
        <v/>
      </c>
      <c r="B673" s="12"/>
      <c r="C673" s="13"/>
      <c r="D673" s="13"/>
      <c r="E673" s="13"/>
      <c r="F673" s="14" t="str">
        <f aca="false">IF(OR(B673="",C673="",D673=""),"",IFERROR(INDEX(CONFIG!$E$5:$E$14,MATCH(D673,CONFIG!$D$5:$D$14,0)),"?")&amp;RIGHT("0"&amp;DAY(B673),2)&amp;RIGHT("0"&amp;MONTH(B673),2)&amp;RIGHT(YEAR(B673),2)&amp;C673&amp;IF(E673="","","-"&amp;E673))</f>
        <v/>
      </c>
      <c r="G673" s="13"/>
      <c r="H673" s="13"/>
      <c r="I673" s="13"/>
      <c r="J673" s="13"/>
      <c r="K673" s="13"/>
      <c r="L673" s="13"/>
      <c r="M673" s="11" t="str">
        <f aca="false">IF(F673="","",COUNTIFS(ENSAYOS!$C$5:$C$3004,F673,ENSAYOS!$Q$5:$Q$3004,"&gt;0"))</f>
        <v/>
      </c>
      <c r="N673" s="15" t="str">
        <f aca="false">IF(N(M673)=0,"",_xlfn.MINIFS(ENSAYOS!$G$5:$G$3004,ENSAYOS!$C$5:$C$3004,F673,ENSAYOS!$Q$5:$Q$3004,"&gt;0"))</f>
        <v/>
      </c>
      <c r="O673" s="15" t="str">
        <f aca="false">IF(N(M673)=0,"",_xlfn.MAXIFS(ENSAYOS!$G$5:$G$3004,ENSAYOS!$C$5:$C$3004,F673,ENSAYOS!$Q$5:$Q$3004,"&gt;0"))</f>
        <v/>
      </c>
      <c r="P673" s="16" t="str">
        <f aca="false">IF(N(M673)=0,"",AVERAGEIFS(ENSAYOS!$Q$5:$Q$3004,ENSAYOS!$C$5:$C$3004,F673,ENSAYOS!$Q$5:$Q$3004,"&gt;0"))</f>
        <v/>
      </c>
      <c r="Q673" s="16" t="str">
        <f aca="false">IF(N(M673)=0,"",_xlfn.MINIFS(ENSAYOS!$Q$5:$Q$3004,ENSAYOS!$C$5:$C$3004,F673,ENSAYOS!$Q$5:$Q$3004,"&gt;0"))</f>
        <v/>
      </c>
      <c r="R673" s="16" t="str">
        <f aca="false">IF(N(M673)=0,"",_xlfn.MAXIFS(ENSAYOS!$Q$5:$Q$3004,ENSAYOS!$C$5:$C$3004,F673,ENSAYOS!$Q$5:$Q$3004,"&gt;0"))</f>
        <v/>
      </c>
      <c r="S673" s="16" t="str">
        <f aca="false">IF(N(M673)&lt;2,"",SQRT(MAX(0,(SUMIFS(ENSAYOS!$X$5:$X$3004,ENSAYOS!$C$5:$C$3004,F673,ENSAYOS!$Q$5:$Q$3004,"&gt;0")-M673*P673^2)/(M673-1))))</f>
        <v/>
      </c>
      <c r="T673" s="17" t="str">
        <f aca="false">IF(S673="","",S673/P673)</f>
        <v/>
      </c>
      <c r="U673" s="16" t="str">
        <f aca="false">IF(N(M673)=0,"",IF(N673&gt;=CONFIG!$B$27,"",AVERAGEIFS(ENSAYOS!$Q$5:$Q$3004,ENSAYOS!$C$5:$C$3004,F673,ENSAYOS!$Q$5:$Q$3004,"&gt;0",ENSAYOS!$G$5:$G$3004,N673)))</f>
        <v/>
      </c>
      <c r="V673" s="16" t="str">
        <f aca="false">IF(N(M673)=0,"",IF(COUNTIFS(ENSAYOS!$C$5:$C$3004,F673,ENSAYOS!$Q$5:$Q$3004,"&gt;0",ENSAYOS!$G$5:$G$3004,"&gt;="&amp;CONFIG!$B$27)=0,"",AVERAGEIFS(ENSAYOS!$Q$5:$Q$3004,ENSAYOS!$C$5:$C$3004,F673,ENSAYOS!$Q$5:$Q$3004,"&gt;0",ENSAYOS!$G$5:$G$3004,"&gt;="&amp;CONFIG!$B$27)))</f>
        <v/>
      </c>
      <c r="W673" s="18" t="str">
        <f aca="false">IF(AND(U673&lt;&gt;"",V673&lt;&gt;""),U673/V673,"")</f>
        <v/>
      </c>
      <c r="X673" s="18" t="str">
        <f aca="false">IF(U673="","",INDEX('CURVA EDAD'!$E$5:$E$32,MIN(28,MAX(1,N673))))</f>
        <v/>
      </c>
      <c r="Y673" s="16" t="str">
        <f aca="false">IF(V673&lt;&gt;"",V673,IF(U673="","",U673/X673))</f>
        <v/>
      </c>
      <c r="Z673" s="16" t="str">
        <f aca="false">IF(V673&lt;&gt;"",_xlfn.MINIFS(ENSAYOS!$Q$5:$Q$3004,ENSAYOS!$C$5:$C$3004,F673,ENSAYOS!$Q$5:$Q$3004,"&gt;0",ENSAYOS!$G$5:$G$3004,"&gt;="&amp;CONFIG!$B$27),IF(U673="","",_xlfn.MINIFS(ENSAYOS!$Q$5:$Q$3004,ENSAYOS!$C$5:$C$3004,F673,ENSAYOS!$Q$5:$Q$3004,"&gt;0",ENSAYOS!$G$5:$G$3004,N673)/X673))</f>
        <v/>
      </c>
      <c r="AA673" s="16" t="str">
        <f aca="false">IF(D673="","",IFERROR(1/(1/INDEX(CONFIG!$J$5:$J$14,MATCH(D673,CONFIG!$D$5:$D$14,0))),""))</f>
        <v/>
      </c>
      <c r="AB673" s="16" t="str">
        <f aca="false">IF(D673="","",IFERROR(1/(1/INDEX(CONFIG!$K$5:$K$14,MATCH(D673,CONFIG!$D$5:$D$14,0))),""))</f>
        <v/>
      </c>
      <c r="AC673" s="19" t="str">
        <f aca="false">IF(N(M673)=0,"",IF(AA673="","Sin spec",IF(AND(Y673&gt;=AA673,OR(AB673="",Z673&gt;=AB673)),"CUMPLE","NO CUMPLE")&amp;IF(V673=""," (est.)","")))</f>
        <v/>
      </c>
      <c r="AD673" s="20" t="str">
        <f aca="false">IF(F673="","",IF(COUNTIFS(ABSORCION!$C$5:$C$1004,F673,ABSORCION!$I$5:$I$1004,"&gt;0")=0,"",AVERAGEIFS(ABSORCION!$I$5:$I$1004,ABSORCION!$C$5:$C$1004,F673,ABSORCION!$I$5:$I$1004,"&gt;0")))</f>
        <v/>
      </c>
      <c r="AE673" s="20" t="str">
        <f aca="false">IF(F673="","",IF(COUNTIFS(ABSORCION!$C$5:$C$1004,F673,ABSORCION!$I$5:$I$1004,"&gt;0")=0,"",AVERAGEIFS(ABSORCION!$K$5:$K$1004,ABSORCION!$C$5:$C$1004,F673,ABSORCION!$I$5:$I$1004,"&gt;0")))</f>
        <v/>
      </c>
      <c r="AF673" s="20" t="str">
        <f aca="false">IF(AE673="","",IF(AE673&gt;=CONFIG!$E$21,CONFIG!$F$21,IF(AE673&gt;=CONFIG!$E$20,CONFIG!$F$20,CONFIG!$F$19)))</f>
        <v/>
      </c>
      <c r="AG673" s="21" t="str">
        <f aca="false">IF(F673="","",TRIM(IF(N(M673)=0,"Sin ensayos. ","")&amp;IF(AND(N(M673)&gt;0,N(M673)&lt;CONFIG!$B$26),"Menos de "&amp;CONFIG!$B$26&amp;" probetas. ","")&amp;IF(N(T673)&gt;CONFIG!$B$25,"CV alto. ","")&amp;IF(AND(N(AD673)&gt;0,N(AD673)&gt;N(AF673)),"Absorción alta. ","")))</f>
        <v/>
      </c>
      <c r="AH673" s="22" t="str">
        <f aca="false">IF(AND(N(M673)&gt;0,OR(CONTROL!$C$4="TODAS",C673=CONTROL!$C$4),D673=CONTROL!$C$5),MAX($AH$4:AH672)+1,"")</f>
        <v/>
      </c>
      <c r="AI673" s="22" t="str">
        <f aca="false">IF(AH673="","",P673^2)</f>
        <v/>
      </c>
    </row>
    <row r="674" customFormat="false" ht="15" hidden="false" customHeight="false" outlineLevel="0" collapsed="false">
      <c r="A674" s="11" t="str">
        <f aca="false">IF(B674="","",ROW()-4)</f>
        <v/>
      </c>
      <c r="B674" s="12"/>
      <c r="C674" s="13"/>
      <c r="D674" s="13"/>
      <c r="E674" s="13"/>
      <c r="F674" s="14" t="str">
        <f aca="false">IF(OR(B674="",C674="",D674=""),"",IFERROR(INDEX(CONFIG!$E$5:$E$14,MATCH(D674,CONFIG!$D$5:$D$14,0)),"?")&amp;RIGHT("0"&amp;DAY(B674),2)&amp;RIGHT("0"&amp;MONTH(B674),2)&amp;RIGHT(YEAR(B674),2)&amp;C674&amp;IF(E674="","","-"&amp;E674))</f>
        <v/>
      </c>
      <c r="G674" s="13"/>
      <c r="H674" s="13"/>
      <c r="I674" s="13"/>
      <c r="J674" s="13"/>
      <c r="K674" s="13"/>
      <c r="L674" s="13"/>
      <c r="M674" s="11" t="str">
        <f aca="false">IF(F674="","",COUNTIFS(ENSAYOS!$C$5:$C$3004,F674,ENSAYOS!$Q$5:$Q$3004,"&gt;0"))</f>
        <v/>
      </c>
      <c r="N674" s="15" t="str">
        <f aca="false">IF(N(M674)=0,"",_xlfn.MINIFS(ENSAYOS!$G$5:$G$3004,ENSAYOS!$C$5:$C$3004,F674,ENSAYOS!$Q$5:$Q$3004,"&gt;0"))</f>
        <v/>
      </c>
      <c r="O674" s="15" t="str">
        <f aca="false">IF(N(M674)=0,"",_xlfn.MAXIFS(ENSAYOS!$G$5:$G$3004,ENSAYOS!$C$5:$C$3004,F674,ENSAYOS!$Q$5:$Q$3004,"&gt;0"))</f>
        <v/>
      </c>
      <c r="P674" s="16" t="str">
        <f aca="false">IF(N(M674)=0,"",AVERAGEIFS(ENSAYOS!$Q$5:$Q$3004,ENSAYOS!$C$5:$C$3004,F674,ENSAYOS!$Q$5:$Q$3004,"&gt;0"))</f>
        <v/>
      </c>
      <c r="Q674" s="16" t="str">
        <f aca="false">IF(N(M674)=0,"",_xlfn.MINIFS(ENSAYOS!$Q$5:$Q$3004,ENSAYOS!$C$5:$C$3004,F674,ENSAYOS!$Q$5:$Q$3004,"&gt;0"))</f>
        <v/>
      </c>
      <c r="R674" s="16" t="str">
        <f aca="false">IF(N(M674)=0,"",_xlfn.MAXIFS(ENSAYOS!$Q$5:$Q$3004,ENSAYOS!$C$5:$C$3004,F674,ENSAYOS!$Q$5:$Q$3004,"&gt;0"))</f>
        <v/>
      </c>
      <c r="S674" s="16" t="str">
        <f aca="false">IF(N(M674)&lt;2,"",SQRT(MAX(0,(SUMIFS(ENSAYOS!$X$5:$X$3004,ENSAYOS!$C$5:$C$3004,F674,ENSAYOS!$Q$5:$Q$3004,"&gt;0")-M674*P674^2)/(M674-1))))</f>
        <v/>
      </c>
      <c r="T674" s="17" t="str">
        <f aca="false">IF(S674="","",S674/P674)</f>
        <v/>
      </c>
      <c r="U674" s="16" t="str">
        <f aca="false">IF(N(M674)=0,"",IF(N674&gt;=CONFIG!$B$27,"",AVERAGEIFS(ENSAYOS!$Q$5:$Q$3004,ENSAYOS!$C$5:$C$3004,F674,ENSAYOS!$Q$5:$Q$3004,"&gt;0",ENSAYOS!$G$5:$G$3004,N674)))</f>
        <v/>
      </c>
      <c r="V674" s="16" t="str">
        <f aca="false">IF(N(M674)=0,"",IF(COUNTIFS(ENSAYOS!$C$5:$C$3004,F674,ENSAYOS!$Q$5:$Q$3004,"&gt;0",ENSAYOS!$G$5:$G$3004,"&gt;="&amp;CONFIG!$B$27)=0,"",AVERAGEIFS(ENSAYOS!$Q$5:$Q$3004,ENSAYOS!$C$5:$C$3004,F674,ENSAYOS!$Q$5:$Q$3004,"&gt;0",ENSAYOS!$G$5:$G$3004,"&gt;="&amp;CONFIG!$B$27)))</f>
        <v/>
      </c>
      <c r="W674" s="18" t="str">
        <f aca="false">IF(AND(U674&lt;&gt;"",V674&lt;&gt;""),U674/V674,"")</f>
        <v/>
      </c>
      <c r="X674" s="18" t="str">
        <f aca="false">IF(U674="","",INDEX('CURVA EDAD'!$E$5:$E$32,MIN(28,MAX(1,N674))))</f>
        <v/>
      </c>
      <c r="Y674" s="16" t="str">
        <f aca="false">IF(V674&lt;&gt;"",V674,IF(U674="","",U674/X674))</f>
        <v/>
      </c>
      <c r="Z674" s="16" t="str">
        <f aca="false">IF(V674&lt;&gt;"",_xlfn.MINIFS(ENSAYOS!$Q$5:$Q$3004,ENSAYOS!$C$5:$C$3004,F674,ENSAYOS!$Q$5:$Q$3004,"&gt;0",ENSAYOS!$G$5:$G$3004,"&gt;="&amp;CONFIG!$B$27),IF(U674="","",_xlfn.MINIFS(ENSAYOS!$Q$5:$Q$3004,ENSAYOS!$C$5:$C$3004,F674,ENSAYOS!$Q$5:$Q$3004,"&gt;0",ENSAYOS!$G$5:$G$3004,N674)/X674))</f>
        <v/>
      </c>
      <c r="AA674" s="16" t="str">
        <f aca="false">IF(D674="","",IFERROR(1/(1/INDEX(CONFIG!$J$5:$J$14,MATCH(D674,CONFIG!$D$5:$D$14,0))),""))</f>
        <v/>
      </c>
      <c r="AB674" s="16" t="str">
        <f aca="false">IF(D674="","",IFERROR(1/(1/INDEX(CONFIG!$K$5:$K$14,MATCH(D674,CONFIG!$D$5:$D$14,0))),""))</f>
        <v/>
      </c>
      <c r="AC674" s="19" t="str">
        <f aca="false">IF(N(M674)=0,"",IF(AA674="","Sin spec",IF(AND(Y674&gt;=AA674,OR(AB674="",Z674&gt;=AB674)),"CUMPLE","NO CUMPLE")&amp;IF(V674=""," (est.)","")))</f>
        <v/>
      </c>
      <c r="AD674" s="20" t="str">
        <f aca="false">IF(F674="","",IF(COUNTIFS(ABSORCION!$C$5:$C$1004,F674,ABSORCION!$I$5:$I$1004,"&gt;0")=0,"",AVERAGEIFS(ABSORCION!$I$5:$I$1004,ABSORCION!$C$5:$C$1004,F674,ABSORCION!$I$5:$I$1004,"&gt;0")))</f>
        <v/>
      </c>
      <c r="AE674" s="20" t="str">
        <f aca="false">IF(F674="","",IF(COUNTIFS(ABSORCION!$C$5:$C$1004,F674,ABSORCION!$I$5:$I$1004,"&gt;0")=0,"",AVERAGEIFS(ABSORCION!$K$5:$K$1004,ABSORCION!$C$5:$C$1004,F674,ABSORCION!$I$5:$I$1004,"&gt;0")))</f>
        <v/>
      </c>
      <c r="AF674" s="20" t="str">
        <f aca="false">IF(AE674="","",IF(AE674&gt;=CONFIG!$E$21,CONFIG!$F$21,IF(AE674&gt;=CONFIG!$E$20,CONFIG!$F$20,CONFIG!$F$19)))</f>
        <v/>
      </c>
      <c r="AG674" s="21" t="str">
        <f aca="false">IF(F674="","",TRIM(IF(N(M674)=0,"Sin ensayos. ","")&amp;IF(AND(N(M674)&gt;0,N(M674)&lt;CONFIG!$B$26),"Menos de "&amp;CONFIG!$B$26&amp;" probetas. ","")&amp;IF(N(T674)&gt;CONFIG!$B$25,"CV alto. ","")&amp;IF(AND(N(AD674)&gt;0,N(AD674)&gt;N(AF674)),"Absorción alta. ","")))</f>
        <v/>
      </c>
      <c r="AH674" s="22" t="str">
        <f aca="false">IF(AND(N(M674)&gt;0,OR(CONTROL!$C$4="TODAS",C674=CONTROL!$C$4),D674=CONTROL!$C$5),MAX($AH$4:AH673)+1,"")</f>
        <v/>
      </c>
      <c r="AI674" s="22" t="str">
        <f aca="false">IF(AH674="","",P674^2)</f>
        <v/>
      </c>
    </row>
    <row r="675" customFormat="false" ht="15" hidden="false" customHeight="false" outlineLevel="0" collapsed="false">
      <c r="A675" s="11" t="str">
        <f aca="false">IF(B675="","",ROW()-4)</f>
        <v/>
      </c>
      <c r="B675" s="12"/>
      <c r="C675" s="13"/>
      <c r="D675" s="13"/>
      <c r="E675" s="13"/>
      <c r="F675" s="14" t="str">
        <f aca="false">IF(OR(B675="",C675="",D675=""),"",IFERROR(INDEX(CONFIG!$E$5:$E$14,MATCH(D675,CONFIG!$D$5:$D$14,0)),"?")&amp;RIGHT("0"&amp;DAY(B675),2)&amp;RIGHT("0"&amp;MONTH(B675),2)&amp;RIGHT(YEAR(B675),2)&amp;C675&amp;IF(E675="","","-"&amp;E675))</f>
        <v/>
      </c>
      <c r="G675" s="13"/>
      <c r="H675" s="13"/>
      <c r="I675" s="13"/>
      <c r="J675" s="13"/>
      <c r="K675" s="13"/>
      <c r="L675" s="13"/>
      <c r="M675" s="11" t="str">
        <f aca="false">IF(F675="","",COUNTIFS(ENSAYOS!$C$5:$C$3004,F675,ENSAYOS!$Q$5:$Q$3004,"&gt;0"))</f>
        <v/>
      </c>
      <c r="N675" s="15" t="str">
        <f aca="false">IF(N(M675)=0,"",_xlfn.MINIFS(ENSAYOS!$G$5:$G$3004,ENSAYOS!$C$5:$C$3004,F675,ENSAYOS!$Q$5:$Q$3004,"&gt;0"))</f>
        <v/>
      </c>
      <c r="O675" s="15" t="str">
        <f aca="false">IF(N(M675)=0,"",_xlfn.MAXIFS(ENSAYOS!$G$5:$G$3004,ENSAYOS!$C$5:$C$3004,F675,ENSAYOS!$Q$5:$Q$3004,"&gt;0"))</f>
        <v/>
      </c>
      <c r="P675" s="16" t="str">
        <f aca="false">IF(N(M675)=0,"",AVERAGEIFS(ENSAYOS!$Q$5:$Q$3004,ENSAYOS!$C$5:$C$3004,F675,ENSAYOS!$Q$5:$Q$3004,"&gt;0"))</f>
        <v/>
      </c>
      <c r="Q675" s="16" t="str">
        <f aca="false">IF(N(M675)=0,"",_xlfn.MINIFS(ENSAYOS!$Q$5:$Q$3004,ENSAYOS!$C$5:$C$3004,F675,ENSAYOS!$Q$5:$Q$3004,"&gt;0"))</f>
        <v/>
      </c>
      <c r="R675" s="16" t="str">
        <f aca="false">IF(N(M675)=0,"",_xlfn.MAXIFS(ENSAYOS!$Q$5:$Q$3004,ENSAYOS!$C$5:$C$3004,F675,ENSAYOS!$Q$5:$Q$3004,"&gt;0"))</f>
        <v/>
      </c>
      <c r="S675" s="16" t="str">
        <f aca="false">IF(N(M675)&lt;2,"",SQRT(MAX(0,(SUMIFS(ENSAYOS!$X$5:$X$3004,ENSAYOS!$C$5:$C$3004,F675,ENSAYOS!$Q$5:$Q$3004,"&gt;0")-M675*P675^2)/(M675-1))))</f>
        <v/>
      </c>
      <c r="T675" s="17" t="str">
        <f aca="false">IF(S675="","",S675/P675)</f>
        <v/>
      </c>
      <c r="U675" s="16" t="str">
        <f aca="false">IF(N(M675)=0,"",IF(N675&gt;=CONFIG!$B$27,"",AVERAGEIFS(ENSAYOS!$Q$5:$Q$3004,ENSAYOS!$C$5:$C$3004,F675,ENSAYOS!$Q$5:$Q$3004,"&gt;0",ENSAYOS!$G$5:$G$3004,N675)))</f>
        <v/>
      </c>
      <c r="V675" s="16" t="str">
        <f aca="false">IF(N(M675)=0,"",IF(COUNTIFS(ENSAYOS!$C$5:$C$3004,F675,ENSAYOS!$Q$5:$Q$3004,"&gt;0",ENSAYOS!$G$5:$G$3004,"&gt;="&amp;CONFIG!$B$27)=0,"",AVERAGEIFS(ENSAYOS!$Q$5:$Q$3004,ENSAYOS!$C$5:$C$3004,F675,ENSAYOS!$Q$5:$Q$3004,"&gt;0",ENSAYOS!$G$5:$G$3004,"&gt;="&amp;CONFIG!$B$27)))</f>
        <v/>
      </c>
      <c r="W675" s="18" t="str">
        <f aca="false">IF(AND(U675&lt;&gt;"",V675&lt;&gt;""),U675/V675,"")</f>
        <v/>
      </c>
      <c r="X675" s="18" t="str">
        <f aca="false">IF(U675="","",INDEX('CURVA EDAD'!$E$5:$E$32,MIN(28,MAX(1,N675))))</f>
        <v/>
      </c>
      <c r="Y675" s="16" t="str">
        <f aca="false">IF(V675&lt;&gt;"",V675,IF(U675="","",U675/X675))</f>
        <v/>
      </c>
      <c r="Z675" s="16" t="str">
        <f aca="false">IF(V675&lt;&gt;"",_xlfn.MINIFS(ENSAYOS!$Q$5:$Q$3004,ENSAYOS!$C$5:$C$3004,F675,ENSAYOS!$Q$5:$Q$3004,"&gt;0",ENSAYOS!$G$5:$G$3004,"&gt;="&amp;CONFIG!$B$27),IF(U675="","",_xlfn.MINIFS(ENSAYOS!$Q$5:$Q$3004,ENSAYOS!$C$5:$C$3004,F675,ENSAYOS!$Q$5:$Q$3004,"&gt;0",ENSAYOS!$G$5:$G$3004,N675)/X675))</f>
        <v/>
      </c>
      <c r="AA675" s="16" t="str">
        <f aca="false">IF(D675="","",IFERROR(1/(1/INDEX(CONFIG!$J$5:$J$14,MATCH(D675,CONFIG!$D$5:$D$14,0))),""))</f>
        <v/>
      </c>
      <c r="AB675" s="16" t="str">
        <f aca="false">IF(D675="","",IFERROR(1/(1/INDEX(CONFIG!$K$5:$K$14,MATCH(D675,CONFIG!$D$5:$D$14,0))),""))</f>
        <v/>
      </c>
      <c r="AC675" s="19" t="str">
        <f aca="false">IF(N(M675)=0,"",IF(AA675="","Sin spec",IF(AND(Y675&gt;=AA675,OR(AB675="",Z675&gt;=AB675)),"CUMPLE","NO CUMPLE")&amp;IF(V675=""," (est.)","")))</f>
        <v/>
      </c>
      <c r="AD675" s="20" t="str">
        <f aca="false">IF(F675="","",IF(COUNTIFS(ABSORCION!$C$5:$C$1004,F675,ABSORCION!$I$5:$I$1004,"&gt;0")=0,"",AVERAGEIFS(ABSORCION!$I$5:$I$1004,ABSORCION!$C$5:$C$1004,F675,ABSORCION!$I$5:$I$1004,"&gt;0")))</f>
        <v/>
      </c>
      <c r="AE675" s="20" t="str">
        <f aca="false">IF(F675="","",IF(COUNTIFS(ABSORCION!$C$5:$C$1004,F675,ABSORCION!$I$5:$I$1004,"&gt;0")=0,"",AVERAGEIFS(ABSORCION!$K$5:$K$1004,ABSORCION!$C$5:$C$1004,F675,ABSORCION!$I$5:$I$1004,"&gt;0")))</f>
        <v/>
      </c>
      <c r="AF675" s="20" t="str">
        <f aca="false">IF(AE675="","",IF(AE675&gt;=CONFIG!$E$21,CONFIG!$F$21,IF(AE675&gt;=CONFIG!$E$20,CONFIG!$F$20,CONFIG!$F$19)))</f>
        <v/>
      </c>
      <c r="AG675" s="21" t="str">
        <f aca="false">IF(F675="","",TRIM(IF(N(M675)=0,"Sin ensayos. ","")&amp;IF(AND(N(M675)&gt;0,N(M675)&lt;CONFIG!$B$26),"Menos de "&amp;CONFIG!$B$26&amp;" probetas. ","")&amp;IF(N(T675)&gt;CONFIG!$B$25,"CV alto. ","")&amp;IF(AND(N(AD675)&gt;0,N(AD675)&gt;N(AF675)),"Absorción alta. ","")))</f>
        <v/>
      </c>
      <c r="AH675" s="22" t="str">
        <f aca="false">IF(AND(N(M675)&gt;0,OR(CONTROL!$C$4="TODAS",C675=CONTROL!$C$4),D675=CONTROL!$C$5),MAX($AH$4:AH674)+1,"")</f>
        <v/>
      </c>
      <c r="AI675" s="22" t="str">
        <f aca="false">IF(AH675="","",P675^2)</f>
        <v/>
      </c>
    </row>
    <row r="676" customFormat="false" ht="15" hidden="false" customHeight="false" outlineLevel="0" collapsed="false">
      <c r="A676" s="11" t="str">
        <f aca="false">IF(B676="","",ROW()-4)</f>
        <v/>
      </c>
      <c r="B676" s="12"/>
      <c r="C676" s="13"/>
      <c r="D676" s="13"/>
      <c r="E676" s="13"/>
      <c r="F676" s="14" t="str">
        <f aca="false">IF(OR(B676="",C676="",D676=""),"",IFERROR(INDEX(CONFIG!$E$5:$E$14,MATCH(D676,CONFIG!$D$5:$D$14,0)),"?")&amp;RIGHT("0"&amp;DAY(B676),2)&amp;RIGHT("0"&amp;MONTH(B676),2)&amp;RIGHT(YEAR(B676),2)&amp;C676&amp;IF(E676="","","-"&amp;E676))</f>
        <v/>
      </c>
      <c r="G676" s="13"/>
      <c r="H676" s="13"/>
      <c r="I676" s="13"/>
      <c r="J676" s="13"/>
      <c r="K676" s="13"/>
      <c r="L676" s="13"/>
      <c r="M676" s="11" t="str">
        <f aca="false">IF(F676="","",COUNTIFS(ENSAYOS!$C$5:$C$3004,F676,ENSAYOS!$Q$5:$Q$3004,"&gt;0"))</f>
        <v/>
      </c>
      <c r="N676" s="15" t="str">
        <f aca="false">IF(N(M676)=0,"",_xlfn.MINIFS(ENSAYOS!$G$5:$G$3004,ENSAYOS!$C$5:$C$3004,F676,ENSAYOS!$Q$5:$Q$3004,"&gt;0"))</f>
        <v/>
      </c>
      <c r="O676" s="15" t="str">
        <f aca="false">IF(N(M676)=0,"",_xlfn.MAXIFS(ENSAYOS!$G$5:$G$3004,ENSAYOS!$C$5:$C$3004,F676,ENSAYOS!$Q$5:$Q$3004,"&gt;0"))</f>
        <v/>
      </c>
      <c r="P676" s="16" t="str">
        <f aca="false">IF(N(M676)=0,"",AVERAGEIFS(ENSAYOS!$Q$5:$Q$3004,ENSAYOS!$C$5:$C$3004,F676,ENSAYOS!$Q$5:$Q$3004,"&gt;0"))</f>
        <v/>
      </c>
      <c r="Q676" s="16" t="str">
        <f aca="false">IF(N(M676)=0,"",_xlfn.MINIFS(ENSAYOS!$Q$5:$Q$3004,ENSAYOS!$C$5:$C$3004,F676,ENSAYOS!$Q$5:$Q$3004,"&gt;0"))</f>
        <v/>
      </c>
      <c r="R676" s="16" t="str">
        <f aca="false">IF(N(M676)=0,"",_xlfn.MAXIFS(ENSAYOS!$Q$5:$Q$3004,ENSAYOS!$C$5:$C$3004,F676,ENSAYOS!$Q$5:$Q$3004,"&gt;0"))</f>
        <v/>
      </c>
      <c r="S676" s="16" t="str">
        <f aca="false">IF(N(M676)&lt;2,"",SQRT(MAX(0,(SUMIFS(ENSAYOS!$X$5:$X$3004,ENSAYOS!$C$5:$C$3004,F676,ENSAYOS!$Q$5:$Q$3004,"&gt;0")-M676*P676^2)/(M676-1))))</f>
        <v/>
      </c>
      <c r="T676" s="17" t="str">
        <f aca="false">IF(S676="","",S676/P676)</f>
        <v/>
      </c>
      <c r="U676" s="16" t="str">
        <f aca="false">IF(N(M676)=0,"",IF(N676&gt;=CONFIG!$B$27,"",AVERAGEIFS(ENSAYOS!$Q$5:$Q$3004,ENSAYOS!$C$5:$C$3004,F676,ENSAYOS!$Q$5:$Q$3004,"&gt;0",ENSAYOS!$G$5:$G$3004,N676)))</f>
        <v/>
      </c>
      <c r="V676" s="16" t="str">
        <f aca="false">IF(N(M676)=0,"",IF(COUNTIFS(ENSAYOS!$C$5:$C$3004,F676,ENSAYOS!$Q$5:$Q$3004,"&gt;0",ENSAYOS!$G$5:$G$3004,"&gt;="&amp;CONFIG!$B$27)=0,"",AVERAGEIFS(ENSAYOS!$Q$5:$Q$3004,ENSAYOS!$C$5:$C$3004,F676,ENSAYOS!$Q$5:$Q$3004,"&gt;0",ENSAYOS!$G$5:$G$3004,"&gt;="&amp;CONFIG!$B$27)))</f>
        <v/>
      </c>
      <c r="W676" s="18" t="str">
        <f aca="false">IF(AND(U676&lt;&gt;"",V676&lt;&gt;""),U676/V676,"")</f>
        <v/>
      </c>
      <c r="X676" s="18" t="str">
        <f aca="false">IF(U676="","",INDEX('CURVA EDAD'!$E$5:$E$32,MIN(28,MAX(1,N676))))</f>
        <v/>
      </c>
      <c r="Y676" s="16" t="str">
        <f aca="false">IF(V676&lt;&gt;"",V676,IF(U676="","",U676/X676))</f>
        <v/>
      </c>
      <c r="Z676" s="16" t="str">
        <f aca="false">IF(V676&lt;&gt;"",_xlfn.MINIFS(ENSAYOS!$Q$5:$Q$3004,ENSAYOS!$C$5:$C$3004,F676,ENSAYOS!$Q$5:$Q$3004,"&gt;0",ENSAYOS!$G$5:$G$3004,"&gt;="&amp;CONFIG!$B$27),IF(U676="","",_xlfn.MINIFS(ENSAYOS!$Q$5:$Q$3004,ENSAYOS!$C$5:$C$3004,F676,ENSAYOS!$Q$5:$Q$3004,"&gt;0",ENSAYOS!$G$5:$G$3004,N676)/X676))</f>
        <v/>
      </c>
      <c r="AA676" s="16" t="str">
        <f aca="false">IF(D676="","",IFERROR(1/(1/INDEX(CONFIG!$J$5:$J$14,MATCH(D676,CONFIG!$D$5:$D$14,0))),""))</f>
        <v/>
      </c>
      <c r="AB676" s="16" t="str">
        <f aca="false">IF(D676="","",IFERROR(1/(1/INDEX(CONFIG!$K$5:$K$14,MATCH(D676,CONFIG!$D$5:$D$14,0))),""))</f>
        <v/>
      </c>
      <c r="AC676" s="19" t="str">
        <f aca="false">IF(N(M676)=0,"",IF(AA676="","Sin spec",IF(AND(Y676&gt;=AA676,OR(AB676="",Z676&gt;=AB676)),"CUMPLE","NO CUMPLE")&amp;IF(V676=""," (est.)","")))</f>
        <v/>
      </c>
      <c r="AD676" s="20" t="str">
        <f aca="false">IF(F676="","",IF(COUNTIFS(ABSORCION!$C$5:$C$1004,F676,ABSORCION!$I$5:$I$1004,"&gt;0")=0,"",AVERAGEIFS(ABSORCION!$I$5:$I$1004,ABSORCION!$C$5:$C$1004,F676,ABSORCION!$I$5:$I$1004,"&gt;0")))</f>
        <v/>
      </c>
      <c r="AE676" s="20" t="str">
        <f aca="false">IF(F676="","",IF(COUNTIFS(ABSORCION!$C$5:$C$1004,F676,ABSORCION!$I$5:$I$1004,"&gt;0")=0,"",AVERAGEIFS(ABSORCION!$K$5:$K$1004,ABSORCION!$C$5:$C$1004,F676,ABSORCION!$I$5:$I$1004,"&gt;0")))</f>
        <v/>
      </c>
      <c r="AF676" s="20" t="str">
        <f aca="false">IF(AE676="","",IF(AE676&gt;=CONFIG!$E$21,CONFIG!$F$21,IF(AE676&gt;=CONFIG!$E$20,CONFIG!$F$20,CONFIG!$F$19)))</f>
        <v/>
      </c>
      <c r="AG676" s="21" t="str">
        <f aca="false">IF(F676="","",TRIM(IF(N(M676)=0,"Sin ensayos. ","")&amp;IF(AND(N(M676)&gt;0,N(M676)&lt;CONFIG!$B$26),"Menos de "&amp;CONFIG!$B$26&amp;" probetas. ","")&amp;IF(N(T676)&gt;CONFIG!$B$25,"CV alto. ","")&amp;IF(AND(N(AD676)&gt;0,N(AD676)&gt;N(AF676)),"Absorción alta. ","")))</f>
        <v/>
      </c>
      <c r="AH676" s="22" t="str">
        <f aca="false">IF(AND(N(M676)&gt;0,OR(CONTROL!$C$4="TODAS",C676=CONTROL!$C$4),D676=CONTROL!$C$5),MAX($AH$4:AH675)+1,"")</f>
        <v/>
      </c>
      <c r="AI676" s="22" t="str">
        <f aca="false">IF(AH676="","",P676^2)</f>
        <v/>
      </c>
    </row>
    <row r="677" customFormat="false" ht="15" hidden="false" customHeight="false" outlineLevel="0" collapsed="false">
      <c r="A677" s="11" t="str">
        <f aca="false">IF(B677="","",ROW()-4)</f>
        <v/>
      </c>
      <c r="B677" s="12"/>
      <c r="C677" s="13"/>
      <c r="D677" s="13"/>
      <c r="E677" s="13"/>
      <c r="F677" s="14" t="str">
        <f aca="false">IF(OR(B677="",C677="",D677=""),"",IFERROR(INDEX(CONFIG!$E$5:$E$14,MATCH(D677,CONFIG!$D$5:$D$14,0)),"?")&amp;RIGHT("0"&amp;DAY(B677),2)&amp;RIGHT("0"&amp;MONTH(B677),2)&amp;RIGHT(YEAR(B677),2)&amp;C677&amp;IF(E677="","","-"&amp;E677))</f>
        <v/>
      </c>
      <c r="G677" s="13"/>
      <c r="H677" s="13"/>
      <c r="I677" s="13"/>
      <c r="J677" s="13"/>
      <c r="K677" s="13"/>
      <c r="L677" s="13"/>
      <c r="M677" s="11" t="str">
        <f aca="false">IF(F677="","",COUNTIFS(ENSAYOS!$C$5:$C$3004,F677,ENSAYOS!$Q$5:$Q$3004,"&gt;0"))</f>
        <v/>
      </c>
      <c r="N677" s="15" t="str">
        <f aca="false">IF(N(M677)=0,"",_xlfn.MINIFS(ENSAYOS!$G$5:$G$3004,ENSAYOS!$C$5:$C$3004,F677,ENSAYOS!$Q$5:$Q$3004,"&gt;0"))</f>
        <v/>
      </c>
      <c r="O677" s="15" t="str">
        <f aca="false">IF(N(M677)=0,"",_xlfn.MAXIFS(ENSAYOS!$G$5:$G$3004,ENSAYOS!$C$5:$C$3004,F677,ENSAYOS!$Q$5:$Q$3004,"&gt;0"))</f>
        <v/>
      </c>
      <c r="P677" s="16" t="str">
        <f aca="false">IF(N(M677)=0,"",AVERAGEIFS(ENSAYOS!$Q$5:$Q$3004,ENSAYOS!$C$5:$C$3004,F677,ENSAYOS!$Q$5:$Q$3004,"&gt;0"))</f>
        <v/>
      </c>
      <c r="Q677" s="16" t="str">
        <f aca="false">IF(N(M677)=0,"",_xlfn.MINIFS(ENSAYOS!$Q$5:$Q$3004,ENSAYOS!$C$5:$C$3004,F677,ENSAYOS!$Q$5:$Q$3004,"&gt;0"))</f>
        <v/>
      </c>
      <c r="R677" s="16" t="str">
        <f aca="false">IF(N(M677)=0,"",_xlfn.MAXIFS(ENSAYOS!$Q$5:$Q$3004,ENSAYOS!$C$5:$C$3004,F677,ENSAYOS!$Q$5:$Q$3004,"&gt;0"))</f>
        <v/>
      </c>
      <c r="S677" s="16" t="str">
        <f aca="false">IF(N(M677)&lt;2,"",SQRT(MAX(0,(SUMIFS(ENSAYOS!$X$5:$X$3004,ENSAYOS!$C$5:$C$3004,F677,ENSAYOS!$Q$5:$Q$3004,"&gt;0")-M677*P677^2)/(M677-1))))</f>
        <v/>
      </c>
      <c r="T677" s="17" t="str">
        <f aca="false">IF(S677="","",S677/P677)</f>
        <v/>
      </c>
      <c r="U677" s="16" t="str">
        <f aca="false">IF(N(M677)=0,"",IF(N677&gt;=CONFIG!$B$27,"",AVERAGEIFS(ENSAYOS!$Q$5:$Q$3004,ENSAYOS!$C$5:$C$3004,F677,ENSAYOS!$Q$5:$Q$3004,"&gt;0",ENSAYOS!$G$5:$G$3004,N677)))</f>
        <v/>
      </c>
      <c r="V677" s="16" t="str">
        <f aca="false">IF(N(M677)=0,"",IF(COUNTIFS(ENSAYOS!$C$5:$C$3004,F677,ENSAYOS!$Q$5:$Q$3004,"&gt;0",ENSAYOS!$G$5:$G$3004,"&gt;="&amp;CONFIG!$B$27)=0,"",AVERAGEIFS(ENSAYOS!$Q$5:$Q$3004,ENSAYOS!$C$5:$C$3004,F677,ENSAYOS!$Q$5:$Q$3004,"&gt;0",ENSAYOS!$G$5:$G$3004,"&gt;="&amp;CONFIG!$B$27)))</f>
        <v/>
      </c>
      <c r="W677" s="18" t="str">
        <f aca="false">IF(AND(U677&lt;&gt;"",V677&lt;&gt;""),U677/V677,"")</f>
        <v/>
      </c>
      <c r="X677" s="18" t="str">
        <f aca="false">IF(U677="","",INDEX('CURVA EDAD'!$E$5:$E$32,MIN(28,MAX(1,N677))))</f>
        <v/>
      </c>
      <c r="Y677" s="16" t="str">
        <f aca="false">IF(V677&lt;&gt;"",V677,IF(U677="","",U677/X677))</f>
        <v/>
      </c>
      <c r="Z677" s="16" t="str">
        <f aca="false">IF(V677&lt;&gt;"",_xlfn.MINIFS(ENSAYOS!$Q$5:$Q$3004,ENSAYOS!$C$5:$C$3004,F677,ENSAYOS!$Q$5:$Q$3004,"&gt;0",ENSAYOS!$G$5:$G$3004,"&gt;="&amp;CONFIG!$B$27),IF(U677="","",_xlfn.MINIFS(ENSAYOS!$Q$5:$Q$3004,ENSAYOS!$C$5:$C$3004,F677,ENSAYOS!$Q$5:$Q$3004,"&gt;0",ENSAYOS!$G$5:$G$3004,N677)/X677))</f>
        <v/>
      </c>
      <c r="AA677" s="16" t="str">
        <f aca="false">IF(D677="","",IFERROR(1/(1/INDEX(CONFIG!$J$5:$J$14,MATCH(D677,CONFIG!$D$5:$D$14,0))),""))</f>
        <v/>
      </c>
      <c r="AB677" s="16" t="str">
        <f aca="false">IF(D677="","",IFERROR(1/(1/INDEX(CONFIG!$K$5:$K$14,MATCH(D677,CONFIG!$D$5:$D$14,0))),""))</f>
        <v/>
      </c>
      <c r="AC677" s="19" t="str">
        <f aca="false">IF(N(M677)=0,"",IF(AA677="","Sin spec",IF(AND(Y677&gt;=AA677,OR(AB677="",Z677&gt;=AB677)),"CUMPLE","NO CUMPLE")&amp;IF(V677=""," (est.)","")))</f>
        <v/>
      </c>
      <c r="AD677" s="20" t="str">
        <f aca="false">IF(F677="","",IF(COUNTIFS(ABSORCION!$C$5:$C$1004,F677,ABSORCION!$I$5:$I$1004,"&gt;0")=0,"",AVERAGEIFS(ABSORCION!$I$5:$I$1004,ABSORCION!$C$5:$C$1004,F677,ABSORCION!$I$5:$I$1004,"&gt;0")))</f>
        <v/>
      </c>
      <c r="AE677" s="20" t="str">
        <f aca="false">IF(F677="","",IF(COUNTIFS(ABSORCION!$C$5:$C$1004,F677,ABSORCION!$I$5:$I$1004,"&gt;0")=0,"",AVERAGEIFS(ABSORCION!$K$5:$K$1004,ABSORCION!$C$5:$C$1004,F677,ABSORCION!$I$5:$I$1004,"&gt;0")))</f>
        <v/>
      </c>
      <c r="AF677" s="20" t="str">
        <f aca="false">IF(AE677="","",IF(AE677&gt;=CONFIG!$E$21,CONFIG!$F$21,IF(AE677&gt;=CONFIG!$E$20,CONFIG!$F$20,CONFIG!$F$19)))</f>
        <v/>
      </c>
      <c r="AG677" s="21" t="str">
        <f aca="false">IF(F677="","",TRIM(IF(N(M677)=0,"Sin ensayos. ","")&amp;IF(AND(N(M677)&gt;0,N(M677)&lt;CONFIG!$B$26),"Menos de "&amp;CONFIG!$B$26&amp;" probetas. ","")&amp;IF(N(T677)&gt;CONFIG!$B$25,"CV alto. ","")&amp;IF(AND(N(AD677)&gt;0,N(AD677)&gt;N(AF677)),"Absorción alta. ","")))</f>
        <v/>
      </c>
      <c r="AH677" s="22" t="str">
        <f aca="false">IF(AND(N(M677)&gt;0,OR(CONTROL!$C$4="TODAS",C677=CONTROL!$C$4),D677=CONTROL!$C$5),MAX($AH$4:AH676)+1,"")</f>
        <v/>
      </c>
      <c r="AI677" s="22" t="str">
        <f aca="false">IF(AH677="","",P677^2)</f>
        <v/>
      </c>
    </row>
    <row r="678" customFormat="false" ht="15" hidden="false" customHeight="false" outlineLevel="0" collapsed="false">
      <c r="A678" s="11" t="str">
        <f aca="false">IF(B678="","",ROW()-4)</f>
        <v/>
      </c>
      <c r="B678" s="12"/>
      <c r="C678" s="13"/>
      <c r="D678" s="13"/>
      <c r="E678" s="13"/>
      <c r="F678" s="14" t="str">
        <f aca="false">IF(OR(B678="",C678="",D678=""),"",IFERROR(INDEX(CONFIG!$E$5:$E$14,MATCH(D678,CONFIG!$D$5:$D$14,0)),"?")&amp;RIGHT("0"&amp;DAY(B678),2)&amp;RIGHT("0"&amp;MONTH(B678),2)&amp;RIGHT(YEAR(B678),2)&amp;C678&amp;IF(E678="","","-"&amp;E678))</f>
        <v/>
      </c>
      <c r="G678" s="13"/>
      <c r="H678" s="13"/>
      <c r="I678" s="13"/>
      <c r="J678" s="13"/>
      <c r="K678" s="13"/>
      <c r="L678" s="13"/>
      <c r="M678" s="11" t="str">
        <f aca="false">IF(F678="","",COUNTIFS(ENSAYOS!$C$5:$C$3004,F678,ENSAYOS!$Q$5:$Q$3004,"&gt;0"))</f>
        <v/>
      </c>
      <c r="N678" s="15" t="str">
        <f aca="false">IF(N(M678)=0,"",_xlfn.MINIFS(ENSAYOS!$G$5:$G$3004,ENSAYOS!$C$5:$C$3004,F678,ENSAYOS!$Q$5:$Q$3004,"&gt;0"))</f>
        <v/>
      </c>
      <c r="O678" s="15" t="str">
        <f aca="false">IF(N(M678)=0,"",_xlfn.MAXIFS(ENSAYOS!$G$5:$G$3004,ENSAYOS!$C$5:$C$3004,F678,ENSAYOS!$Q$5:$Q$3004,"&gt;0"))</f>
        <v/>
      </c>
      <c r="P678" s="16" t="str">
        <f aca="false">IF(N(M678)=0,"",AVERAGEIFS(ENSAYOS!$Q$5:$Q$3004,ENSAYOS!$C$5:$C$3004,F678,ENSAYOS!$Q$5:$Q$3004,"&gt;0"))</f>
        <v/>
      </c>
      <c r="Q678" s="16" t="str">
        <f aca="false">IF(N(M678)=0,"",_xlfn.MINIFS(ENSAYOS!$Q$5:$Q$3004,ENSAYOS!$C$5:$C$3004,F678,ENSAYOS!$Q$5:$Q$3004,"&gt;0"))</f>
        <v/>
      </c>
      <c r="R678" s="16" t="str">
        <f aca="false">IF(N(M678)=0,"",_xlfn.MAXIFS(ENSAYOS!$Q$5:$Q$3004,ENSAYOS!$C$5:$C$3004,F678,ENSAYOS!$Q$5:$Q$3004,"&gt;0"))</f>
        <v/>
      </c>
      <c r="S678" s="16" t="str">
        <f aca="false">IF(N(M678)&lt;2,"",SQRT(MAX(0,(SUMIFS(ENSAYOS!$X$5:$X$3004,ENSAYOS!$C$5:$C$3004,F678,ENSAYOS!$Q$5:$Q$3004,"&gt;0")-M678*P678^2)/(M678-1))))</f>
        <v/>
      </c>
      <c r="T678" s="17" t="str">
        <f aca="false">IF(S678="","",S678/P678)</f>
        <v/>
      </c>
      <c r="U678" s="16" t="str">
        <f aca="false">IF(N(M678)=0,"",IF(N678&gt;=CONFIG!$B$27,"",AVERAGEIFS(ENSAYOS!$Q$5:$Q$3004,ENSAYOS!$C$5:$C$3004,F678,ENSAYOS!$Q$5:$Q$3004,"&gt;0",ENSAYOS!$G$5:$G$3004,N678)))</f>
        <v/>
      </c>
      <c r="V678" s="16" t="str">
        <f aca="false">IF(N(M678)=0,"",IF(COUNTIFS(ENSAYOS!$C$5:$C$3004,F678,ENSAYOS!$Q$5:$Q$3004,"&gt;0",ENSAYOS!$G$5:$G$3004,"&gt;="&amp;CONFIG!$B$27)=0,"",AVERAGEIFS(ENSAYOS!$Q$5:$Q$3004,ENSAYOS!$C$5:$C$3004,F678,ENSAYOS!$Q$5:$Q$3004,"&gt;0",ENSAYOS!$G$5:$G$3004,"&gt;="&amp;CONFIG!$B$27)))</f>
        <v/>
      </c>
      <c r="W678" s="18" t="str">
        <f aca="false">IF(AND(U678&lt;&gt;"",V678&lt;&gt;""),U678/V678,"")</f>
        <v/>
      </c>
      <c r="X678" s="18" t="str">
        <f aca="false">IF(U678="","",INDEX('CURVA EDAD'!$E$5:$E$32,MIN(28,MAX(1,N678))))</f>
        <v/>
      </c>
      <c r="Y678" s="16" t="str">
        <f aca="false">IF(V678&lt;&gt;"",V678,IF(U678="","",U678/X678))</f>
        <v/>
      </c>
      <c r="Z678" s="16" t="str">
        <f aca="false">IF(V678&lt;&gt;"",_xlfn.MINIFS(ENSAYOS!$Q$5:$Q$3004,ENSAYOS!$C$5:$C$3004,F678,ENSAYOS!$Q$5:$Q$3004,"&gt;0",ENSAYOS!$G$5:$G$3004,"&gt;="&amp;CONFIG!$B$27),IF(U678="","",_xlfn.MINIFS(ENSAYOS!$Q$5:$Q$3004,ENSAYOS!$C$5:$C$3004,F678,ENSAYOS!$Q$5:$Q$3004,"&gt;0",ENSAYOS!$G$5:$G$3004,N678)/X678))</f>
        <v/>
      </c>
      <c r="AA678" s="16" t="str">
        <f aca="false">IF(D678="","",IFERROR(1/(1/INDEX(CONFIG!$J$5:$J$14,MATCH(D678,CONFIG!$D$5:$D$14,0))),""))</f>
        <v/>
      </c>
      <c r="AB678" s="16" t="str">
        <f aca="false">IF(D678="","",IFERROR(1/(1/INDEX(CONFIG!$K$5:$K$14,MATCH(D678,CONFIG!$D$5:$D$14,0))),""))</f>
        <v/>
      </c>
      <c r="AC678" s="19" t="str">
        <f aca="false">IF(N(M678)=0,"",IF(AA678="","Sin spec",IF(AND(Y678&gt;=AA678,OR(AB678="",Z678&gt;=AB678)),"CUMPLE","NO CUMPLE")&amp;IF(V678=""," (est.)","")))</f>
        <v/>
      </c>
      <c r="AD678" s="20" t="str">
        <f aca="false">IF(F678="","",IF(COUNTIFS(ABSORCION!$C$5:$C$1004,F678,ABSORCION!$I$5:$I$1004,"&gt;0")=0,"",AVERAGEIFS(ABSORCION!$I$5:$I$1004,ABSORCION!$C$5:$C$1004,F678,ABSORCION!$I$5:$I$1004,"&gt;0")))</f>
        <v/>
      </c>
      <c r="AE678" s="20" t="str">
        <f aca="false">IF(F678="","",IF(COUNTIFS(ABSORCION!$C$5:$C$1004,F678,ABSORCION!$I$5:$I$1004,"&gt;0")=0,"",AVERAGEIFS(ABSORCION!$K$5:$K$1004,ABSORCION!$C$5:$C$1004,F678,ABSORCION!$I$5:$I$1004,"&gt;0")))</f>
        <v/>
      </c>
      <c r="AF678" s="20" t="str">
        <f aca="false">IF(AE678="","",IF(AE678&gt;=CONFIG!$E$21,CONFIG!$F$21,IF(AE678&gt;=CONFIG!$E$20,CONFIG!$F$20,CONFIG!$F$19)))</f>
        <v/>
      </c>
      <c r="AG678" s="21" t="str">
        <f aca="false">IF(F678="","",TRIM(IF(N(M678)=0,"Sin ensayos. ","")&amp;IF(AND(N(M678)&gt;0,N(M678)&lt;CONFIG!$B$26),"Menos de "&amp;CONFIG!$B$26&amp;" probetas. ","")&amp;IF(N(T678)&gt;CONFIG!$B$25,"CV alto. ","")&amp;IF(AND(N(AD678)&gt;0,N(AD678)&gt;N(AF678)),"Absorción alta. ","")))</f>
        <v/>
      </c>
      <c r="AH678" s="22" t="str">
        <f aca="false">IF(AND(N(M678)&gt;0,OR(CONTROL!$C$4="TODAS",C678=CONTROL!$C$4),D678=CONTROL!$C$5),MAX($AH$4:AH677)+1,"")</f>
        <v/>
      </c>
      <c r="AI678" s="22" t="str">
        <f aca="false">IF(AH678="","",P678^2)</f>
        <v/>
      </c>
    </row>
    <row r="679" customFormat="false" ht="15" hidden="false" customHeight="false" outlineLevel="0" collapsed="false">
      <c r="A679" s="11" t="str">
        <f aca="false">IF(B679="","",ROW()-4)</f>
        <v/>
      </c>
      <c r="B679" s="12"/>
      <c r="C679" s="13"/>
      <c r="D679" s="13"/>
      <c r="E679" s="13"/>
      <c r="F679" s="14" t="str">
        <f aca="false">IF(OR(B679="",C679="",D679=""),"",IFERROR(INDEX(CONFIG!$E$5:$E$14,MATCH(D679,CONFIG!$D$5:$D$14,0)),"?")&amp;RIGHT("0"&amp;DAY(B679),2)&amp;RIGHT("0"&amp;MONTH(B679),2)&amp;RIGHT(YEAR(B679),2)&amp;C679&amp;IF(E679="","","-"&amp;E679))</f>
        <v/>
      </c>
      <c r="G679" s="13"/>
      <c r="H679" s="13"/>
      <c r="I679" s="13"/>
      <c r="J679" s="13"/>
      <c r="K679" s="13"/>
      <c r="L679" s="13"/>
      <c r="M679" s="11" t="str">
        <f aca="false">IF(F679="","",COUNTIFS(ENSAYOS!$C$5:$C$3004,F679,ENSAYOS!$Q$5:$Q$3004,"&gt;0"))</f>
        <v/>
      </c>
      <c r="N679" s="15" t="str">
        <f aca="false">IF(N(M679)=0,"",_xlfn.MINIFS(ENSAYOS!$G$5:$G$3004,ENSAYOS!$C$5:$C$3004,F679,ENSAYOS!$Q$5:$Q$3004,"&gt;0"))</f>
        <v/>
      </c>
      <c r="O679" s="15" t="str">
        <f aca="false">IF(N(M679)=0,"",_xlfn.MAXIFS(ENSAYOS!$G$5:$G$3004,ENSAYOS!$C$5:$C$3004,F679,ENSAYOS!$Q$5:$Q$3004,"&gt;0"))</f>
        <v/>
      </c>
      <c r="P679" s="16" t="str">
        <f aca="false">IF(N(M679)=0,"",AVERAGEIFS(ENSAYOS!$Q$5:$Q$3004,ENSAYOS!$C$5:$C$3004,F679,ENSAYOS!$Q$5:$Q$3004,"&gt;0"))</f>
        <v/>
      </c>
      <c r="Q679" s="16" t="str">
        <f aca="false">IF(N(M679)=0,"",_xlfn.MINIFS(ENSAYOS!$Q$5:$Q$3004,ENSAYOS!$C$5:$C$3004,F679,ENSAYOS!$Q$5:$Q$3004,"&gt;0"))</f>
        <v/>
      </c>
      <c r="R679" s="16" t="str">
        <f aca="false">IF(N(M679)=0,"",_xlfn.MAXIFS(ENSAYOS!$Q$5:$Q$3004,ENSAYOS!$C$5:$C$3004,F679,ENSAYOS!$Q$5:$Q$3004,"&gt;0"))</f>
        <v/>
      </c>
      <c r="S679" s="16" t="str">
        <f aca="false">IF(N(M679)&lt;2,"",SQRT(MAX(0,(SUMIFS(ENSAYOS!$X$5:$X$3004,ENSAYOS!$C$5:$C$3004,F679,ENSAYOS!$Q$5:$Q$3004,"&gt;0")-M679*P679^2)/(M679-1))))</f>
        <v/>
      </c>
      <c r="T679" s="17" t="str">
        <f aca="false">IF(S679="","",S679/P679)</f>
        <v/>
      </c>
      <c r="U679" s="16" t="str">
        <f aca="false">IF(N(M679)=0,"",IF(N679&gt;=CONFIG!$B$27,"",AVERAGEIFS(ENSAYOS!$Q$5:$Q$3004,ENSAYOS!$C$5:$C$3004,F679,ENSAYOS!$Q$5:$Q$3004,"&gt;0",ENSAYOS!$G$5:$G$3004,N679)))</f>
        <v/>
      </c>
      <c r="V679" s="16" t="str">
        <f aca="false">IF(N(M679)=0,"",IF(COUNTIFS(ENSAYOS!$C$5:$C$3004,F679,ENSAYOS!$Q$5:$Q$3004,"&gt;0",ENSAYOS!$G$5:$G$3004,"&gt;="&amp;CONFIG!$B$27)=0,"",AVERAGEIFS(ENSAYOS!$Q$5:$Q$3004,ENSAYOS!$C$5:$C$3004,F679,ENSAYOS!$Q$5:$Q$3004,"&gt;0",ENSAYOS!$G$5:$G$3004,"&gt;="&amp;CONFIG!$B$27)))</f>
        <v/>
      </c>
      <c r="W679" s="18" t="str">
        <f aca="false">IF(AND(U679&lt;&gt;"",V679&lt;&gt;""),U679/V679,"")</f>
        <v/>
      </c>
      <c r="X679" s="18" t="str">
        <f aca="false">IF(U679="","",INDEX('CURVA EDAD'!$E$5:$E$32,MIN(28,MAX(1,N679))))</f>
        <v/>
      </c>
      <c r="Y679" s="16" t="str">
        <f aca="false">IF(V679&lt;&gt;"",V679,IF(U679="","",U679/X679))</f>
        <v/>
      </c>
      <c r="Z679" s="16" t="str">
        <f aca="false">IF(V679&lt;&gt;"",_xlfn.MINIFS(ENSAYOS!$Q$5:$Q$3004,ENSAYOS!$C$5:$C$3004,F679,ENSAYOS!$Q$5:$Q$3004,"&gt;0",ENSAYOS!$G$5:$G$3004,"&gt;="&amp;CONFIG!$B$27),IF(U679="","",_xlfn.MINIFS(ENSAYOS!$Q$5:$Q$3004,ENSAYOS!$C$5:$C$3004,F679,ENSAYOS!$Q$5:$Q$3004,"&gt;0",ENSAYOS!$G$5:$G$3004,N679)/X679))</f>
        <v/>
      </c>
      <c r="AA679" s="16" t="str">
        <f aca="false">IF(D679="","",IFERROR(1/(1/INDEX(CONFIG!$J$5:$J$14,MATCH(D679,CONFIG!$D$5:$D$14,0))),""))</f>
        <v/>
      </c>
      <c r="AB679" s="16" t="str">
        <f aca="false">IF(D679="","",IFERROR(1/(1/INDEX(CONFIG!$K$5:$K$14,MATCH(D679,CONFIG!$D$5:$D$14,0))),""))</f>
        <v/>
      </c>
      <c r="AC679" s="19" t="str">
        <f aca="false">IF(N(M679)=0,"",IF(AA679="","Sin spec",IF(AND(Y679&gt;=AA679,OR(AB679="",Z679&gt;=AB679)),"CUMPLE","NO CUMPLE")&amp;IF(V679=""," (est.)","")))</f>
        <v/>
      </c>
      <c r="AD679" s="20" t="str">
        <f aca="false">IF(F679="","",IF(COUNTIFS(ABSORCION!$C$5:$C$1004,F679,ABSORCION!$I$5:$I$1004,"&gt;0")=0,"",AVERAGEIFS(ABSORCION!$I$5:$I$1004,ABSORCION!$C$5:$C$1004,F679,ABSORCION!$I$5:$I$1004,"&gt;0")))</f>
        <v/>
      </c>
      <c r="AE679" s="20" t="str">
        <f aca="false">IF(F679="","",IF(COUNTIFS(ABSORCION!$C$5:$C$1004,F679,ABSORCION!$I$5:$I$1004,"&gt;0")=0,"",AVERAGEIFS(ABSORCION!$K$5:$K$1004,ABSORCION!$C$5:$C$1004,F679,ABSORCION!$I$5:$I$1004,"&gt;0")))</f>
        <v/>
      </c>
      <c r="AF679" s="20" t="str">
        <f aca="false">IF(AE679="","",IF(AE679&gt;=CONFIG!$E$21,CONFIG!$F$21,IF(AE679&gt;=CONFIG!$E$20,CONFIG!$F$20,CONFIG!$F$19)))</f>
        <v/>
      </c>
      <c r="AG679" s="21" t="str">
        <f aca="false">IF(F679="","",TRIM(IF(N(M679)=0,"Sin ensayos. ","")&amp;IF(AND(N(M679)&gt;0,N(M679)&lt;CONFIG!$B$26),"Menos de "&amp;CONFIG!$B$26&amp;" probetas. ","")&amp;IF(N(T679)&gt;CONFIG!$B$25,"CV alto. ","")&amp;IF(AND(N(AD679)&gt;0,N(AD679)&gt;N(AF679)),"Absorción alta. ","")))</f>
        <v/>
      </c>
      <c r="AH679" s="22" t="str">
        <f aca="false">IF(AND(N(M679)&gt;0,OR(CONTROL!$C$4="TODAS",C679=CONTROL!$C$4),D679=CONTROL!$C$5),MAX($AH$4:AH678)+1,"")</f>
        <v/>
      </c>
      <c r="AI679" s="22" t="str">
        <f aca="false">IF(AH679="","",P679^2)</f>
        <v/>
      </c>
    </row>
    <row r="680" customFormat="false" ht="15" hidden="false" customHeight="false" outlineLevel="0" collapsed="false">
      <c r="A680" s="11" t="str">
        <f aca="false">IF(B680="","",ROW()-4)</f>
        <v/>
      </c>
      <c r="B680" s="12"/>
      <c r="C680" s="13"/>
      <c r="D680" s="13"/>
      <c r="E680" s="13"/>
      <c r="F680" s="14" t="str">
        <f aca="false">IF(OR(B680="",C680="",D680=""),"",IFERROR(INDEX(CONFIG!$E$5:$E$14,MATCH(D680,CONFIG!$D$5:$D$14,0)),"?")&amp;RIGHT("0"&amp;DAY(B680),2)&amp;RIGHT("0"&amp;MONTH(B680),2)&amp;RIGHT(YEAR(B680),2)&amp;C680&amp;IF(E680="","","-"&amp;E680))</f>
        <v/>
      </c>
      <c r="G680" s="13"/>
      <c r="H680" s="13"/>
      <c r="I680" s="13"/>
      <c r="J680" s="13"/>
      <c r="K680" s="13"/>
      <c r="L680" s="13"/>
      <c r="M680" s="11" t="str">
        <f aca="false">IF(F680="","",COUNTIFS(ENSAYOS!$C$5:$C$3004,F680,ENSAYOS!$Q$5:$Q$3004,"&gt;0"))</f>
        <v/>
      </c>
      <c r="N680" s="15" t="str">
        <f aca="false">IF(N(M680)=0,"",_xlfn.MINIFS(ENSAYOS!$G$5:$G$3004,ENSAYOS!$C$5:$C$3004,F680,ENSAYOS!$Q$5:$Q$3004,"&gt;0"))</f>
        <v/>
      </c>
      <c r="O680" s="15" t="str">
        <f aca="false">IF(N(M680)=0,"",_xlfn.MAXIFS(ENSAYOS!$G$5:$G$3004,ENSAYOS!$C$5:$C$3004,F680,ENSAYOS!$Q$5:$Q$3004,"&gt;0"))</f>
        <v/>
      </c>
      <c r="P680" s="16" t="str">
        <f aca="false">IF(N(M680)=0,"",AVERAGEIFS(ENSAYOS!$Q$5:$Q$3004,ENSAYOS!$C$5:$C$3004,F680,ENSAYOS!$Q$5:$Q$3004,"&gt;0"))</f>
        <v/>
      </c>
      <c r="Q680" s="16" t="str">
        <f aca="false">IF(N(M680)=0,"",_xlfn.MINIFS(ENSAYOS!$Q$5:$Q$3004,ENSAYOS!$C$5:$C$3004,F680,ENSAYOS!$Q$5:$Q$3004,"&gt;0"))</f>
        <v/>
      </c>
      <c r="R680" s="16" t="str">
        <f aca="false">IF(N(M680)=0,"",_xlfn.MAXIFS(ENSAYOS!$Q$5:$Q$3004,ENSAYOS!$C$5:$C$3004,F680,ENSAYOS!$Q$5:$Q$3004,"&gt;0"))</f>
        <v/>
      </c>
      <c r="S680" s="16" t="str">
        <f aca="false">IF(N(M680)&lt;2,"",SQRT(MAX(0,(SUMIFS(ENSAYOS!$X$5:$X$3004,ENSAYOS!$C$5:$C$3004,F680,ENSAYOS!$Q$5:$Q$3004,"&gt;0")-M680*P680^2)/(M680-1))))</f>
        <v/>
      </c>
      <c r="T680" s="17" t="str">
        <f aca="false">IF(S680="","",S680/P680)</f>
        <v/>
      </c>
      <c r="U680" s="16" t="str">
        <f aca="false">IF(N(M680)=0,"",IF(N680&gt;=CONFIG!$B$27,"",AVERAGEIFS(ENSAYOS!$Q$5:$Q$3004,ENSAYOS!$C$5:$C$3004,F680,ENSAYOS!$Q$5:$Q$3004,"&gt;0",ENSAYOS!$G$5:$G$3004,N680)))</f>
        <v/>
      </c>
      <c r="V680" s="16" t="str">
        <f aca="false">IF(N(M680)=0,"",IF(COUNTIFS(ENSAYOS!$C$5:$C$3004,F680,ENSAYOS!$Q$5:$Q$3004,"&gt;0",ENSAYOS!$G$5:$G$3004,"&gt;="&amp;CONFIG!$B$27)=0,"",AVERAGEIFS(ENSAYOS!$Q$5:$Q$3004,ENSAYOS!$C$5:$C$3004,F680,ENSAYOS!$Q$5:$Q$3004,"&gt;0",ENSAYOS!$G$5:$G$3004,"&gt;="&amp;CONFIG!$B$27)))</f>
        <v/>
      </c>
      <c r="W680" s="18" t="str">
        <f aca="false">IF(AND(U680&lt;&gt;"",V680&lt;&gt;""),U680/V680,"")</f>
        <v/>
      </c>
      <c r="X680" s="18" t="str">
        <f aca="false">IF(U680="","",INDEX('CURVA EDAD'!$E$5:$E$32,MIN(28,MAX(1,N680))))</f>
        <v/>
      </c>
      <c r="Y680" s="16" t="str">
        <f aca="false">IF(V680&lt;&gt;"",V680,IF(U680="","",U680/X680))</f>
        <v/>
      </c>
      <c r="Z680" s="16" t="str">
        <f aca="false">IF(V680&lt;&gt;"",_xlfn.MINIFS(ENSAYOS!$Q$5:$Q$3004,ENSAYOS!$C$5:$C$3004,F680,ENSAYOS!$Q$5:$Q$3004,"&gt;0",ENSAYOS!$G$5:$G$3004,"&gt;="&amp;CONFIG!$B$27),IF(U680="","",_xlfn.MINIFS(ENSAYOS!$Q$5:$Q$3004,ENSAYOS!$C$5:$C$3004,F680,ENSAYOS!$Q$5:$Q$3004,"&gt;0",ENSAYOS!$G$5:$G$3004,N680)/X680))</f>
        <v/>
      </c>
      <c r="AA680" s="16" t="str">
        <f aca="false">IF(D680="","",IFERROR(1/(1/INDEX(CONFIG!$J$5:$J$14,MATCH(D680,CONFIG!$D$5:$D$14,0))),""))</f>
        <v/>
      </c>
      <c r="AB680" s="16" t="str">
        <f aca="false">IF(D680="","",IFERROR(1/(1/INDEX(CONFIG!$K$5:$K$14,MATCH(D680,CONFIG!$D$5:$D$14,0))),""))</f>
        <v/>
      </c>
      <c r="AC680" s="19" t="str">
        <f aca="false">IF(N(M680)=0,"",IF(AA680="","Sin spec",IF(AND(Y680&gt;=AA680,OR(AB680="",Z680&gt;=AB680)),"CUMPLE","NO CUMPLE")&amp;IF(V680=""," (est.)","")))</f>
        <v/>
      </c>
      <c r="AD680" s="20" t="str">
        <f aca="false">IF(F680="","",IF(COUNTIFS(ABSORCION!$C$5:$C$1004,F680,ABSORCION!$I$5:$I$1004,"&gt;0")=0,"",AVERAGEIFS(ABSORCION!$I$5:$I$1004,ABSORCION!$C$5:$C$1004,F680,ABSORCION!$I$5:$I$1004,"&gt;0")))</f>
        <v/>
      </c>
      <c r="AE680" s="20" t="str">
        <f aca="false">IF(F680="","",IF(COUNTIFS(ABSORCION!$C$5:$C$1004,F680,ABSORCION!$I$5:$I$1004,"&gt;0")=0,"",AVERAGEIFS(ABSORCION!$K$5:$K$1004,ABSORCION!$C$5:$C$1004,F680,ABSORCION!$I$5:$I$1004,"&gt;0")))</f>
        <v/>
      </c>
      <c r="AF680" s="20" t="str">
        <f aca="false">IF(AE680="","",IF(AE680&gt;=CONFIG!$E$21,CONFIG!$F$21,IF(AE680&gt;=CONFIG!$E$20,CONFIG!$F$20,CONFIG!$F$19)))</f>
        <v/>
      </c>
      <c r="AG680" s="21" t="str">
        <f aca="false">IF(F680="","",TRIM(IF(N(M680)=0,"Sin ensayos. ","")&amp;IF(AND(N(M680)&gt;0,N(M680)&lt;CONFIG!$B$26),"Menos de "&amp;CONFIG!$B$26&amp;" probetas. ","")&amp;IF(N(T680)&gt;CONFIG!$B$25,"CV alto. ","")&amp;IF(AND(N(AD680)&gt;0,N(AD680)&gt;N(AF680)),"Absorción alta. ","")))</f>
        <v/>
      </c>
      <c r="AH680" s="22" t="str">
        <f aca="false">IF(AND(N(M680)&gt;0,OR(CONTROL!$C$4="TODAS",C680=CONTROL!$C$4),D680=CONTROL!$C$5),MAX($AH$4:AH679)+1,"")</f>
        <v/>
      </c>
      <c r="AI680" s="22" t="str">
        <f aca="false">IF(AH680="","",P680^2)</f>
        <v/>
      </c>
    </row>
    <row r="681" customFormat="false" ht="15" hidden="false" customHeight="false" outlineLevel="0" collapsed="false">
      <c r="A681" s="11" t="str">
        <f aca="false">IF(B681="","",ROW()-4)</f>
        <v/>
      </c>
      <c r="B681" s="12"/>
      <c r="C681" s="13"/>
      <c r="D681" s="13"/>
      <c r="E681" s="13"/>
      <c r="F681" s="14" t="str">
        <f aca="false">IF(OR(B681="",C681="",D681=""),"",IFERROR(INDEX(CONFIG!$E$5:$E$14,MATCH(D681,CONFIG!$D$5:$D$14,0)),"?")&amp;RIGHT("0"&amp;DAY(B681),2)&amp;RIGHT("0"&amp;MONTH(B681),2)&amp;RIGHT(YEAR(B681),2)&amp;C681&amp;IF(E681="","","-"&amp;E681))</f>
        <v/>
      </c>
      <c r="G681" s="13"/>
      <c r="H681" s="13"/>
      <c r="I681" s="13"/>
      <c r="J681" s="13"/>
      <c r="K681" s="13"/>
      <c r="L681" s="13"/>
      <c r="M681" s="11" t="str">
        <f aca="false">IF(F681="","",COUNTIFS(ENSAYOS!$C$5:$C$3004,F681,ENSAYOS!$Q$5:$Q$3004,"&gt;0"))</f>
        <v/>
      </c>
      <c r="N681" s="15" t="str">
        <f aca="false">IF(N(M681)=0,"",_xlfn.MINIFS(ENSAYOS!$G$5:$G$3004,ENSAYOS!$C$5:$C$3004,F681,ENSAYOS!$Q$5:$Q$3004,"&gt;0"))</f>
        <v/>
      </c>
      <c r="O681" s="15" t="str">
        <f aca="false">IF(N(M681)=0,"",_xlfn.MAXIFS(ENSAYOS!$G$5:$G$3004,ENSAYOS!$C$5:$C$3004,F681,ENSAYOS!$Q$5:$Q$3004,"&gt;0"))</f>
        <v/>
      </c>
      <c r="P681" s="16" t="str">
        <f aca="false">IF(N(M681)=0,"",AVERAGEIFS(ENSAYOS!$Q$5:$Q$3004,ENSAYOS!$C$5:$C$3004,F681,ENSAYOS!$Q$5:$Q$3004,"&gt;0"))</f>
        <v/>
      </c>
      <c r="Q681" s="16" t="str">
        <f aca="false">IF(N(M681)=0,"",_xlfn.MINIFS(ENSAYOS!$Q$5:$Q$3004,ENSAYOS!$C$5:$C$3004,F681,ENSAYOS!$Q$5:$Q$3004,"&gt;0"))</f>
        <v/>
      </c>
      <c r="R681" s="16" t="str">
        <f aca="false">IF(N(M681)=0,"",_xlfn.MAXIFS(ENSAYOS!$Q$5:$Q$3004,ENSAYOS!$C$5:$C$3004,F681,ENSAYOS!$Q$5:$Q$3004,"&gt;0"))</f>
        <v/>
      </c>
      <c r="S681" s="16" t="str">
        <f aca="false">IF(N(M681)&lt;2,"",SQRT(MAX(0,(SUMIFS(ENSAYOS!$X$5:$X$3004,ENSAYOS!$C$5:$C$3004,F681,ENSAYOS!$Q$5:$Q$3004,"&gt;0")-M681*P681^2)/(M681-1))))</f>
        <v/>
      </c>
      <c r="T681" s="17" t="str">
        <f aca="false">IF(S681="","",S681/P681)</f>
        <v/>
      </c>
      <c r="U681" s="16" t="str">
        <f aca="false">IF(N(M681)=0,"",IF(N681&gt;=CONFIG!$B$27,"",AVERAGEIFS(ENSAYOS!$Q$5:$Q$3004,ENSAYOS!$C$5:$C$3004,F681,ENSAYOS!$Q$5:$Q$3004,"&gt;0",ENSAYOS!$G$5:$G$3004,N681)))</f>
        <v/>
      </c>
      <c r="V681" s="16" t="str">
        <f aca="false">IF(N(M681)=0,"",IF(COUNTIFS(ENSAYOS!$C$5:$C$3004,F681,ENSAYOS!$Q$5:$Q$3004,"&gt;0",ENSAYOS!$G$5:$G$3004,"&gt;="&amp;CONFIG!$B$27)=0,"",AVERAGEIFS(ENSAYOS!$Q$5:$Q$3004,ENSAYOS!$C$5:$C$3004,F681,ENSAYOS!$Q$5:$Q$3004,"&gt;0",ENSAYOS!$G$5:$G$3004,"&gt;="&amp;CONFIG!$B$27)))</f>
        <v/>
      </c>
      <c r="W681" s="18" t="str">
        <f aca="false">IF(AND(U681&lt;&gt;"",V681&lt;&gt;""),U681/V681,"")</f>
        <v/>
      </c>
      <c r="X681" s="18" t="str">
        <f aca="false">IF(U681="","",INDEX('CURVA EDAD'!$E$5:$E$32,MIN(28,MAX(1,N681))))</f>
        <v/>
      </c>
      <c r="Y681" s="16" t="str">
        <f aca="false">IF(V681&lt;&gt;"",V681,IF(U681="","",U681/X681))</f>
        <v/>
      </c>
      <c r="Z681" s="16" t="str">
        <f aca="false">IF(V681&lt;&gt;"",_xlfn.MINIFS(ENSAYOS!$Q$5:$Q$3004,ENSAYOS!$C$5:$C$3004,F681,ENSAYOS!$Q$5:$Q$3004,"&gt;0",ENSAYOS!$G$5:$G$3004,"&gt;="&amp;CONFIG!$B$27),IF(U681="","",_xlfn.MINIFS(ENSAYOS!$Q$5:$Q$3004,ENSAYOS!$C$5:$C$3004,F681,ENSAYOS!$Q$5:$Q$3004,"&gt;0",ENSAYOS!$G$5:$G$3004,N681)/X681))</f>
        <v/>
      </c>
      <c r="AA681" s="16" t="str">
        <f aca="false">IF(D681="","",IFERROR(1/(1/INDEX(CONFIG!$J$5:$J$14,MATCH(D681,CONFIG!$D$5:$D$14,0))),""))</f>
        <v/>
      </c>
      <c r="AB681" s="16" t="str">
        <f aca="false">IF(D681="","",IFERROR(1/(1/INDEX(CONFIG!$K$5:$K$14,MATCH(D681,CONFIG!$D$5:$D$14,0))),""))</f>
        <v/>
      </c>
      <c r="AC681" s="19" t="str">
        <f aca="false">IF(N(M681)=0,"",IF(AA681="","Sin spec",IF(AND(Y681&gt;=AA681,OR(AB681="",Z681&gt;=AB681)),"CUMPLE","NO CUMPLE")&amp;IF(V681=""," (est.)","")))</f>
        <v/>
      </c>
      <c r="AD681" s="20" t="str">
        <f aca="false">IF(F681="","",IF(COUNTIFS(ABSORCION!$C$5:$C$1004,F681,ABSORCION!$I$5:$I$1004,"&gt;0")=0,"",AVERAGEIFS(ABSORCION!$I$5:$I$1004,ABSORCION!$C$5:$C$1004,F681,ABSORCION!$I$5:$I$1004,"&gt;0")))</f>
        <v/>
      </c>
      <c r="AE681" s="20" t="str">
        <f aca="false">IF(F681="","",IF(COUNTIFS(ABSORCION!$C$5:$C$1004,F681,ABSORCION!$I$5:$I$1004,"&gt;0")=0,"",AVERAGEIFS(ABSORCION!$K$5:$K$1004,ABSORCION!$C$5:$C$1004,F681,ABSORCION!$I$5:$I$1004,"&gt;0")))</f>
        <v/>
      </c>
      <c r="AF681" s="20" t="str">
        <f aca="false">IF(AE681="","",IF(AE681&gt;=CONFIG!$E$21,CONFIG!$F$21,IF(AE681&gt;=CONFIG!$E$20,CONFIG!$F$20,CONFIG!$F$19)))</f>
        <v/>
      </c>
      <c r="AG681" s="21" t="str">
        <f aca="false">IF(F681="","",TRIM(IF(N(M681)=0,"Sin ensayos. ","")&amp;IF(AND(N(M681)&gt;0,N(M681)&lt;CONFIG!$B$26),"Menos de "&amp;CONFIG!$B$26&amp;" probetas. ","")&amp;IF(N(T681)&gt;CONFIG!$B$25,"CV alto. ","")&amp;IF(AND(N(AD681)&gt;0,N(AD681)&gt;N(AF681)),"Absorción alta. ","")))</f>
        <v/>
      </c>
      <c r="AH681" s="22" t="str">
        <f aca="false">IF(AND(N(M681)&gt;0,OR(CONTROL!$C$4="TODAS",C681=CONTROL!$C$4),D681=CONTROL!$C$5),MAX($AH$4:AH680)+1,"")</f>
        <v/>
      </c>
      <c r="AI681" s="22" t="str">
        <f aca="false">IF(AH681="","",P681^2)</f>
        <v/>
      </c>
    </row>
    <row r="682" customFormat="false" ht="15" hidden="false" customHeight="false" outlineLevel="0" collapsed="false">
      <c r="A682" s="11" t="str">
        <f aca="false">IF(B682="","",ROW()-4)</f>
        <v/>
      </c>
      <c r="B682" s="12"/>
      <c r="C682" s="13"/>
      <c r="D682" s="13"/>
      <c r="E682" s="13"/>
      <c r="F682" s="14" t="str">
        <f aca="false">IF(OR(B682="",C682="",D682=""),"",IFERROR(INDEX(CONFIG!$E$5:$E$14,MATCH(D682,CONFIG!$D$5:$D$14,0)),"?")&amp;RIGHT("0"&amp;DAY(B682),2)&amp;RIGHT("0"&amp;MONTH(B682),2)&amp;RIGHT(YEAR(B682),2)&amp;C682&amp;IF(E682="","","-"&amp;E682))</f>
        <v/>
      </c>
      <c r="G682" s="13"/>
      <c r="H682" s="13"/>
      <c r="I682" s="13"/>
      <c r="J682" s="13"/>
      <c r="K682" s="13"/>
      <c r="L682" s="13"/>
      <c r="M682" s="11" t="str">
        <f aca="false">IF(F682="","",COUNTIFS(ENSAYOS!$C$5:$C$3004,F682,ENSAYOS!$Q$5:$Q$3004,"&gt;0"))</f>
        <v/>
      </c>
      <c r="N682" s="15" t="str">
        <f aca="false">IF(N(M682)=0,"",_xlfn.MINIFS(ENSAYOS!$G$5:$G$3004,ENSAYOS!$C$5:$C$3004,F682,ENSAYOS!$Q$5:$Q$3004,"&gt;0"))</f>
        <v/>
      </c>
      <c r="O682" s="15" t="str">
        <f aca="false">IF(N(M682)=0,"",_xlfn.MAXIFS(ENSAYOS!$G$5:$G$3004,ENSAYOS!$C$5:$C$3004,F682,ENSAYOS!$Q$5:$Q$3004,"&gt;0"))</f>
        <v/>
      </c>
      <c r="P682" s="16" t="str">
        <f aca="false">IF(N(M682)=0,"",AVERAGEIFS(ENSAYOS!$Q$5:$Q$3004,ENSAYOS!$C$5:$C$3004,F682,ENSAYOS!$Q$5:$Q$3004,"&gt;0"))</f>
        <v/>
      </c>
      <c r="Q682" s="16" t="str">
        <f aca="false">IF(N(M682)=0,"",_xlfn.MINIFS(ENSAYOS!$Q$5:$Q$3004,ENSAYOS!$C$5:$C$3004,F682,ENSAYOS!$Q$5:$Q$3004,"&gt;0"))</f>
        <v/>
      </c>
      <c r="R682" s="16" t="str">
        <f aca="false">IF(N(M682)=0,"",_xlfn.MAXIFS(ENSAYOS!$Q$5:$Q$3004,ENSAYOS!$C$5:$C$3004,F682,ENSAYOS!$Q$5:$Q$3004,"&gt;0"))</f>
        <v/>
      </c>
      <c r="S682" s="16" t="str">
        <f aca="false">IF(N(M682)&lt;2,"",SQRT(MAX(0,(SUMIFS(ENSAYOS!$X$5:$X$3004,ENSAYOS!$C$5:$C$3004,F682,ENSAYOS!$Q$5:$Q$3004,"&gt;0")-M682*P682^2)/(M682-1))))</f>
        <v/>
      </c>
      <c r="T682" s="17" t="str">
        <f aca="false">IF(S682="","",S682/P682)</f>
        <v/>
      </c>
      <c r="U682" s="16" t="str">
        <f aca="false">IF(N(M682)=0,"",IF(N682&gt;=CONFIG!$B$27,"",AVERAGEIFS(ENSAYOS!$Q$5:$Q$3004,ENSAYOS!$C$5:$C$3004,F682,ENSAYOS!$Q$5:$Q$3004,"&gt;0",ENSAYOS!$G$5:$G$3004,N682)))</f>
        <v/>
      </c>
      <c r="V682" s="16" t="str">
        <f aca="false">IF(N(M682)=0,"",IF(COUNTIFS(ENSAYOS!$C$5:$C$3004,F682,ENSAYOS!$Q$5:$Q$3004,"&gt;0",ENSAYOS!$G$5:$G$3004,"&gt;="&amp;CONFIG!$B$27)=0,"",AVERAGEIFS(ENSAYOS!$Q$5:$Q$3004,ENSAYOS!$C$5:$C$3004,F682,ENSAYOS!$Q$5:$Q$3004,"&gt;0",ENSAYOS!$G$5:$G$3004,"&gt;="&amp;CONFIG!$B$27)))</f>
        <v/>
      </c>
      <c r="W682" s="18" t="str">
        <f aca="false">IF(AND(U682&lt;&gt;"",V682&lt;&gt;""),U682/V682,"")</f>
        <v/>
      </c>
      <c r="X682" s="18" t="str">
        <f aca="false">IF(U682="","",INDEX('CURVA EDAD'!$E$5:$E$32,MIN(28,MAX(1,N682))))</f>
        <v/>
      </c>
      <c r="Y682" s="16" t="str">
        <f aca="false">IF(V682&lt;&gt;"",V682,IF(U682="","",U682/X682))</f>
        <v/>
      </c>
      <c r="Z682" s="16" t="str">
        <f aca="false">IF(V682&lt;&gt;"",_xlfn.MINIFS(ENSAYOS!$Q$5:$Q$3004,ENSAYOS!$C$5:$C$3004,F682,ENSAYOS!$Q$5:$Q$3004,"&gt;0",ENSAYOS!$G$5:$G$3004,"&gt;="&amp;CONFIG!$B$27),IF(U682="","",_xlfn.MINIFS(ENSAYOS!$Q$5:$Q$3004,ENSAYOS!$C$5:$C$3004,F682,ENSAYOS!$Q$5:$Q$3004,"&gt;0",ENSAYOS!$G$5:$G$3004,N682)/X682))</f>
        <v/>
      </c>
      <c r="AA682" s="16" t="str">
        <f aca="false">IF(D682="","",IFERROR(1/(1/INDEX(CONFIG!$J$5:$J$14,MATCH(D682,CONFIG!$D$5:$D$14,0))),""))</f>
        <v/>
      </c>
      <c r="AB682" s="16" t="str">
        <f aca="false">IF(D682="","",IFERROR(1/(1/INDEX(CONFIG!$K$5:$K$14,MATCH(D682,CONFIG!$D$5:$D$14,0))),""))</f>
        <v/>
      </c>
      <c r="AC682" s="19" t="str">
        <f aca="false">IF(N(M682)=0,"",IF(AA682="","Sin spec",IF(AND(Y682&gt;=AA682,OR(AB682="",Z682&gt;=AB682)),"CUMPLE","NO CUMPLE")&amp;IF(V682=""," (est.)","")))</f>
        <v/>
      </c>
      <c r="AD682" s="20" t="str">
        <f aca="false">IF(F682="","",IF(COUNTIFS(ABSORCION!$C$5:$C$1004,F682,ABSORCION!$I$5:$I$1004,"&gt;0")=0,"",AVERAGEIFS(ABSORCION!$I$5:$I$1004,ABSORCION!$C$5:$C$1004,F682,ABSORCION!$I$5:$I$1004,"&gt;0")))</f>
        <v/>
      </c>
      <c r="AE682" s="20" t="str">
        <f aca="false">IF(F682="","",IF(COUNTIFS(ABSORCION!$C$5:$C$1004,F682,ABSORCION!$I$5:$I$1004,"&gt;0")=0,"",AVERAGEIFS(ABSORCION!$K$5:$K$1004,ABSORCION!$C$5:$C$1004,F682,ABSORCION!$I$5:$I$1004,"&gt;0")))</f>
        <v/>
      </c>
      <c r="AF682" s="20" t="str">
        <f aca="false">IF(AE682="","",IF(AE682&gt;=CONFIG!$E$21,CONFIG!$F$21,IF(AE682&gt;=CONFIG!$E$20,CONFIG!$F$20,CONFIG!$F$19)))</f>
        <v/>
      </c>
      <c r="AG682" s="21" t="str">
        <f aca="false">IF(F682="","",TRIM(IF(N(M682)=0,"Sin ensayos. ","")&amp;IF(AND(N(M682)&gt;0,N(M682)&lt;CONFIG!$B$26),"Menos de "&amp;CONFIG!$B$26&amp;" probetas. ","")&amp;IF(N(T682)&gt;CONFIG!$B$25,"CV alto. ","")&amp;IF(AND(N(AD682)&gt;0,N(AD682)&gt;N(AF682)),"Absorción alta. ","")))</f>
        <v/>
      </c>
      <c r="AH682" s="22" t="str">
        <f aca="false">IF(AND(N(M682)&gt;0,OR(CONTROL!$C$4="TODAS",C682=CONTROL!$C$4),D682=CONTROL!$C$5),MAX($AH$4:AH681)+1,"")</f>
        <v/>
      </c>
      <c r="AI682" s="22" t="str">
        <f aca="false">IF(AH682="","",P682^2)</f>
        <v/>
      </c>
    </row>
    <row r="683" customFormat="false" ht="15" hidden="false" customHeight="false" outlineLevel="0" collapsed="false">
      <c r="A683" s="11" t="str">
        <f aca="false">IF(B683="","",ROW()-4)</f>
        <v/>
      </c>
      <c r="B683" s="12"/>
      <c r="C683" s="13"/>
      <c r="D683" s="13"/>
      <c r="E683" s="13"/>
      <c r="F683" s="14" t="str">
        <f aca="false">IF(OR(B683="",C683="",D683=""),"",IFERROR(INDEX(CONFIG!$E$5:$E$14,MATCH(D683,CONFIG!$D$5:$D$14,0)),"?")&amp;RIGHT("0"&amp;DAY(B683),2)&amp;RIGHT("0"&amp;MONTH(B683),2)&amp;RIGHT(YEAR(B683),2)&amp;C683&amp;IF(E683="","","-"&amp;E683))</f>
        <v/>
      </c>
      <c r="G683" s="13"/>
      <c r="H683" s="13"/>
      <c r="I683" s="13"/>
      <c r="J683" s="13"/>
      <c r="K683" s="13"/>
      <c r="L683" s="13"/>
      <c r="M683" s="11" t="str">
        <f aca="false">IF(F683="","",COUNTIFS(ENSAYOS!$C$5:$C$3004,F683,ENSAYOS!$Q$5:$Q$3004,"&gt;0"))</f>
        <v/>
      </c>
      <c r="N683" s="15" t="str">
        <f aca="false">IF(N(M683)=0,"",_xlfn.MINIFS(ENSAYOS!$G$5:$G$3004,ENSAYOS!$C$5:$C$3004,F683,ENSAYOS!$Q$5:$Q$3004,"&gt;0"))</f>
        <v/>
      </c>
      <c r="O683" s="15" t="str">
        <f aca="false">IF(N(M683)=0,"",_xlfn.MAXIFS(ENSAYOS!$G$5:$G$3004,ENSAYOS!$C$5:$C$3004,F683,ENSAYOS!$Q$5:$Q$3004,"&gt;0"))</f>
        <v/>
      </c>
      <c r="P683" s="16" t="str">
        <f aca="false">IF(N(M683)=0,"",AVERAGEIFS(ENSAYOS!$Q$5:$Q$3004,ENSAYOS!$C$5:$C$3004,F683,ENSAYOS!$Q$5:$Q$3004,"&gt;0"))</f>
        <v/>
      </c>
      <c r="Q683" s="16" t="str">
        <f aca="false">IF(N(M683)=0,"",_xlfn.MINIFS(ENSAYOS!$Q$5:$Q$3004,ENSAYOS!$C$5:$C$3004,F683,ENSAYOS!$Q$5:$Q$3004,"&gt;0"))</f>
        <v/>
      </c>
      <c r="R683" s="16" t="str">
        <f aca="false">IF(N(M683)=0,"",_xlfn.MAXIFS(ENSAYOS!$Q$5:$Q$3004,ENSAYOS!$C$5:$C$3004,F683,ENSAYOS!$Q$5:$Q$3004,"&gt;0"))</f>
        <v/>
      </c>
      <c r="S683" s="16" t="str">
        <f aca="false">IF(N(M683)&lt;2,"",SQRT(MAX(0,(SUMIFS(ENSAYOS!$X$5:$X$3004,ENSAYOS!$C$5:$C$3004,F683,ENSAYOS!$Q$5:$Q$3004,"&gt;0")-M683*P683^2)/(M683-1))))</f>
        <v/>
      </c>
      <c r="T683" s="17" t="str">
        <f aca="false">IF(S683="","",S683/P683)</f>
        <v/>
      </c>
      <c r="U683" s="16" t="str">
        <f aca="false">IF(N(M683)=0,"",IF(N683&gt;=CONFIG!$B$27,"",AVERAGEIFS(ENSAYOS!$Q$5:$Q$3004,ENSAYOS!$C$5:$C$3004,F683,ENSAYOS!$Q$5:$Q$3004,"&gt;0",ENSAYOS!$G$5:$G$3004,N683)))</f>
        <v/>
      </c>
      <c r="V683" s="16" t="str">
        <f aca="false">IF(N(M683)=0,"",IF(COUNTIFS(ENSAYOS!$C$5:$C$3004,F683,ENSAYOS!$Q$5:$Q$3004,"&gt;0",ENSAYOS!$G$5:$G$3004,"&gt;="&amp;CONFIG!$B$27)=0,"",AVERAGEIFS(ENSAYOS!$Q$5:$Q$3004,ENSAYOS!$C$5:$C$3004,F683,ENSAYOS!$Q$5:$Q$3004,"&gt;0",ENSAYOS!$G$5:$G$3004,"&gt;="&amp;CONFIG!$B$27)))</f>
        <v/>
      </c>
      <c r="W683" s="18" t="str">
        <f aca="false">IF(AND(U683&lt;&gt;"",V683&lt;&gt;""),U683/V683,"")</f>
        <v/>
      </c>
      <c r="X683" s="18" t="str">
        <f aca="false">IF(U683="","",INDEX('CURVA EDAD'!$E$5:$E$32,MIN(28,MAX(1,N683))))</f>
        <v/>
      </c>
      <c r="Y683" s="16" t="str">
        <f aca="false">IF(V683&lt;&gt;"",V683,IF(U683="","",U683/X683))</f>
        <v/>
      </c>
      <c r="Z683" s="16" t="str">
        <f aca="false">IF(V683&lt;&gt;"",_xlfn.MINIFS(ENSAYOS!$Q$5:$Q$3004,ENSAYOS!$C$5:$C$3004,F683,ENSAYOS!$Q$5:$Q$3004,"&gt;0",ENSAYOS!$G$5:$G$3004,"&gt;="&amp;CONFIG!$B$27),IF(U683="","",_xlfn.MINIFS(ENSAYOS!$Q$5:$Q$3004,ENSAYOS!$C$5:$C$3004,F683,ENSAYOS!$Q$5:$Q$3004,"&gt;0",ENSAYOS!$G$5:$G$3004,N683)/X683))</f>
        <v/>
      </c>
      <c r="AA683" s="16" t="str">
        <f aca="false">IF(D683="","",IFERROR(1/(1/INDEX(CONFIG!$J$5:$J$14,MATCH(D683,CONFIG!$D$5:$D$14,0))),""))</f>
        <v/>
      </c>
      <c r="AB683" s="16" t="str">
        <f aca="false">IF(D683="","",IFERROR(1/(1/INDEX(CONFIG!$K$5:$K$14,MATCH(D683,CONFIG!$D$5:$D$14,0))),""))</f>
        <v/>
      </c>
      <c r="AC683" s="19" t="str">
        <f aca="false">IF(N(M683)=0,"",IF(AA683="","Sin spec",IF(AND(Y683&gt;=AA683,OR(AB683="",Z683&gt;=AB683)),"CUMPLE","NO CUMPLE")&amp;IF(V683=""," (est.)","")))</f>
        <v/>
      </c>
      <c r="AD683" s="20" t="str">
        <f aca="false">IF(F683="","",IF(COUNTIFS(ABSORCION!$C$5:$C$1004,F683,ABSORCION!$I$5:$I$1004,"&gt;0")=0,"",AVERAGEIFS(ABSORCION!$I$5:$I$1004,ABSORCION!$C$5:$C$1004,F683,ABSORCION!$I$5:$I$1004,"&gt;0")))</f>
        <v/>
      </c>
      <c r="AE683" s="20" t="str">
        <f aca="false">IF(F683="","",IF(COUNTIFS(ABSORCION!$C$5:$C$1004,F683,ABSORCION!$I$5:$I$1004,"&gt;0")=0,"",AVERAGEIFS(ABSORCION!$K$5:$K$1004,ABSORCION!$C$5:$C$1004,F683,ABSORCION!$I$5:$I$1004,"&gt;0")))</f>
        <v/>
      </c>
      <c r="AF683" s="20" t="str">
        <f aca="false">IF(AE683="","",IF(AE683&gt;=CONFIG!$E$21,CONFIG!$F$21,IF(AE683&gt;=CONFIG!$E$20,CONFIG!$F$20,CONFIG!$F$19)))</f>
        <v/>
      </c>
      <c r="AG683" s="21" t="str">
        <f aca="false">IF(F683="","",TRIM(IF(N(M683)=0,"Sin ensayos. ","")&amp;IF(AND(N(M683)&gt;0,N(M683)&lt;CONFIG!$B$26),"Menos de "&amp;CONFIG!$B$26&amp;" probetas. ","")&amp;IF(N(T683)&gt;CONFIG!$B$25,"CV alto. ","")&amp;IF(AND(N(AD683)&gt;0,N(AD683)&gt;N(AF683)),"Absorción alta. ","")))</f>
        <v/>
      </c>
      <c r="AH683" s="22" t="str">
        <f aca="false">IF(AND(N(M683)&gt;0,OR(CONTROL!$C$4="TODAS",C683=CONTROL!$C$4),D683=CONTROL!$C$5),MAX($AH$4:AH682)+1,"")</f>
        <v/>
      </c>
      <c r="AI683" s="22" t="str">
        <f aca="false">IF(AH683="","",P683^2)</f>
        <v/>
      </c>
    </row>
    <row r="684" customFormat="false" ht="15" hidden="false" customHeight="false" outlineLevel="0" collapsed="false">
      <c r="A684" s="11" t="str">
        <f aca="false">IF(B684="","",ROW()-4)</f>
        <v/>
      </c>
      <c r="B684" s="12"/>
      <c r="C684" s="13"/>
      <c r="D684" s="13"/>
      <c r="E684" s="13"/>
      <c r="F684" s="14" t="str">
        <f aca="false">IF(OR(B684="",C684="",D684=""),"",IFERROR(INDEX(CONFIG!$E$5:$E$14,MATCH(D684,CONFIG!$D$5:$D$14,0)),"?")&amp;RIGHT("0"&amp;DAY(B684),2)&amp;RIGHT("0"&amp;MONTH(B684),2)&amp;RIGHT(YEAR(B684),2)&amp;C684&amp;IF(E684="","","-"&amp;E684))</f>
        <v/>
      </c>
      <c r="G684" s="13"/>
      <c r="H684" s="13"/>
      <c r="I684" s="13"/>
      <c r="J684" s="13"/>
      <c r="K684" s="13"/>
      <c r="L684" s="13"/>
      <c r="M684" s="11" t="str">
        <f aca="false">IF(F684="","",COUNTIFS(ENSAYOS!$C$5:$C$3004,F684,ENSAYOS!$Q$5:$Q$3004,"&gt;0"))</f>
        <v/>
      </c>
      <c r="N684" s="15" t="str">
        <f aca="false">IF(N(M684)=0,"",_xlfn.MINIFS(ENSAYOS!$G$5:$G$3004,ENSAYOS!$C$5:$C$3004,F684,ENSAYOS!$Q$5:$Q$3004,"&gt;0"))</f>
        <v/>
      </c>
      <c r="O684" s="15" t="str">
        <f aca="false">IF(N(M684)=0,"",_xlfn.MAXIFS(ENSAYOS!$G$5:$G$3004,ENSAYOS!$C$5:$C$3004,F684,ENSAYOS!$Q$5:$Q$3004,"&gt;0"))</f>
        <v/>
      </c>
      <c r="P684" s="16" t="str">
        <f aca="false">IF(N(M684)=0,"",AVERAGEIFS(ENSAYOS!$Q$5:$Q$3004,ENSAYOS!$C$5:$C$3004,F684,ENSAYOS!$Q$5:$Q$3004,"&gt;0"))</f>
        <v/>
      </c>
      <c r="Q684" s="16" t="str">
        <f aca="false">IF(N(M684)=0,"",_xlfn.MINIFS(ENSAYOS!$Q$5:$Q$3004,ENSAYOS!$C$5:$C$3004,F684,ENSAYOS!$Q$5:$Q$3004,"&gt;0"))</f>
        <v/>
      </c>
      <c r="R684" s="16" t="str">
        <f aca="false">IF(N(M684)=0,"",_xlfn.MAXIFS(ENSAYOS!$Q$5:$Q$3004,ENSAYOS!$C$5:$C$3004,F684,ENSAYOS!$Q$5:$Q$3004,"&gt;0"))</f>
        <v/>
      </c>
      <c r="S684" s="16" t="str">
        <f aca="false">IF(N(M684)&lt;2,"",SQRT(MAX(0,(SUMIFS(ENSAYOS!$X$5:$X$3004,ENSAYOS!$C$5:$C$3004,F684,ENSAYOS!$Q$5:$Q$3004,"&gt;0")-M684*P684^2)/(M684-1))))</f>
        <v/>
      </c>
      <c r="T684" s="17" t="str">
        <f aca="false">IF(S684="","",S684/P684)</f>
        <v/>
      </c>
      <c r="U684" s="16" t="str">
        <f aca="false">IF(N(M684)=0,"",IF(N684&gt;=CONFIG!$B$27,"",AVERAGEIFS(ENSAYOS!$Q$5:$Q$3004,ENSAYOS!$C$5:$C$3004,F684,ENSAYOS!$Q$5:$Q$3004,"&gt;0",ENSAYOS!$G$5:$G$3004,N684)))</f>
        <v/>
      </c>
      <c r="V684" s="16" t="str">
        <f aca="false">IF(N(M684)=0,"",IF(COUNTIFS(ENSAYOS!$C$5:$C$3004,F684,ENSAYOS!$Q$5:$Q$3004,"&gt;0",ENSAYOS!$G$5:$G$3004,"&gt;="&amp;CONFIG!$B$27)=0,"",AVERAGEIFS(ENSAYOS!$Q$5:$Q$3004,ENSAYOS!$C$5:$C$3004,F684,ENSAYOS!$Q$5:$Q$3004,"&gt;0",ENSAYOS!$G$5:$G$3004,"&gt;="&amp;CONFIG!$B$27)))</f>
        <v/>
      </c>
      <c r="W684" s="18" t="str">
        <f aca="false">IF(AND(U684&lt;&gt;"",V684&lt;&gt;""),U684/V684,"")</f>
        <v/>
      </c>
      <c r="X684" s="18" t="str">
        <f aca="false">IF(U684="","",INDEX('CURVA EDAD'!$E$5:$E$32,MIN(28,MAX(1,N684))))</f>
        <v/>
      </c>
      <c r="Y684" s="16" t="str">
        <f aca="false">IF(V684&lt;&gt;"",V684,IF(U684="","",U684/X684))</f>
        <v/>
      </c>
      <c r="Z684" s="16" t="str">
        <f aca="false">IF(V684&lt;&gt;"",_xlfn.MINIFS(ENSAYOS!$Q$5:$Q$3004,ENSAYOS!$C$5:$C$3004,F684,ENSAYOS!$Q$5:$Q$3004,"&gt;0",ENSAYOS!$G$5:$G$3004,"&gt;="&amp;CONFIG!$B$27),IF(U684="","",_xlfn.MINIFS(ENSAYOS!$Q$5:$Q$3004,ENSAYOS!$C$5:$C$3004,F684,ENSAYOS!$Q$5:$Q$3004,"&gt;0",ENSAYOS!$G$5:$G$3004,N684)/X684))</f>
        <v/>
      </c>
      <c r="AA684" s="16" t="str">
        <f aca="false">IF(D684="","",IFERROR(1/(1/INDEX(CONFIG!$J$5:$J$14,MATCH(D684,CONFIG!$D$5:$D$14,0))),""))</f>
        <v/>
      </c>
      <c r="AB684" s="16" t="str">
        <f aca="false">IF(D684="","",IFERROR(1/(1/INDEX(CONFIG!$K$5:$K$14,MATCH(D684,CONFIG!$D$5:$D$14,0))),""))</f>
        <v/>
      </c>
      <c r="AC684" s="19" t="str">
        <f aca="false">IF(N(M684)=0,"",IF(AA684="","Sin spec",IF(AND(Y684&gt;=AA684,OR(AB684="",Z684&gt;=AB684)),"CUMPLE","NO CUMPLE")&amp;IF(V684=""," (est.)","")))</f>
        <v/>
      </c>
      <c r="AD684" s="20" t="str">
        <f aca="false">IF(F684="","",IF(COUNTIFS(ABSORCION!$C$5:$C$1004,F684,ABSORCION!$I$5:$I$1004,"&gt;0")=0,"",AVERAGEIFS(ABSORCION!$I$5:$I$1004,ABSORCION!$C$5:$C$1004,F684,ABSORCION!$I$5:$I$1004,"&gt;0")))</f>
        <v/>
      </c>
      <c r="AE684" s="20" t="str">
        <f aca="false">IF(F684="","",IF(COUNTIFS(ABSORCION!$C$5:$C$1004,F684,ABSORCION!$I$5:$I$1004,"&gt;0")=0,"",AVERAGEIFS(ABSORCION!$K$5:$K$1004,ABSORCION!$C$5:$C$1004,F684,ABSORCION!$I$5:$I$1004,"&gt;0")))</f>
        <v/>
      </c>
      <c r="AF684" s="20" t="str">
        <f aca="false">IF(AE684="","",IF(AE684&gt;=CONFIG!$E$21,CONFIG!$F$21,IF(AE684&gt;=CONFIG!$E$20,CONFIG!$F$20,CONFIG!$F$19)))</f>
        <v/>
      </c>
      <c r="AG684" s="21" t="str">
        <f aca="false">IF(F684="","",TRIM(IF(N(M684)=0,"Sin ensayos. ","")&amp;IF(AND(N(M684)&gt;0,N(M684)&lt;CONFIG!$B$26),"Menos de "&amp;CONFIG!$B$26&amp;" probetas. ","")&amp;IF(N(T684)&gt;CONFIG!$B$25,"CV alto. ","")&amp;IF(AND(N(AD684)&gt;0,N(AD684)&gt;N(AF684)),"Absorción alta. ","")))</f>
        <v/>
      </c>
      <c r="AH684" s="22" t="str">
        <f aca="false">IF(AND(N(M684)&gt;0,OR(CONTROL!$C$4="TODAS",C684=CONTROL!$C$4),D684=CONTROL!$C$5),MAX($AH$4:AH683)+1,"")</f>
        <v/>
      </c>
      <c r="AI684" s="22" t="str">
        <f aca="false">IF(AH684="","",P684^2)</f>
        <v/>
      </c>
    </row>
    <row r="685" customFormat="false" ht="15" hidden="false" customHeight="false" outlineLevel="0" collapsed="false">
      <c r="A685" s="11" t="str">
        <f aca="false">IF(B685="","",ROW()-4)</f>
        <v/>
      </c>
      <c r="B685" s="12"/>
      <c r="C685" s="13"/>
      <c r="D685" s="13"/>
      <c r="E685" s="13"/>
      <c r="F685" s="14" t="str">
        <f aca="false">IF(OR(B685="",C685="",D685=""),"",IFERROR(INDEX(CONFIG!$E$5:$E$14,MATCH(D685,CONFIG!$D$5:$D$14,0)),"?")&amp;RIGHT("0"&amp;DAY(B685),2)&amp;RIGHT("0"&amp;MONTH(B685),2)&amp;RIGHT(YEAR(B685),2)&amp;C685&amp;IF(E685="","","-"&amp;E685))</f>
        <v/>
      </c>
      <c r="G685" s="13"/>
      <c r="H685" s="13"/>
      <c r="I685" s="13"/>
      <c r="J685" s="13"/>
      <c r="K685" s="13"/>
      <c r="L685" s="13"/>
      <c r="M685" s="11" t="str">
        <f aca="false">IF(F685="","",COUNTIFS(ENSAYOS!$C$5:$C$3004,F685,ENSAYOS!$Q$5:$Q$3004,"&gt;0"))</f>
        <v/>
      </c>
      <c r="N685" s="15" t="str">
        <f aca="false">IF(N(M685)=0,"",_xlfn.MINIFS(ENSAYOS!$G$5:$G$3004,ENSAYOS!$C$5:$C$3004,F685,ENSAYOS!$Q$5:$Q$3004,"&gt;0"))</f>
        <v/>
      </c>
      <c r="O685" s="15" t="str">
        <f aca="false">IF(N(M685)=0,"",_xlfn.MAXIFS(ENSAYOS!$G$5:$G$3004,ENSAYOS!$C$5:$C$3004,F685,ENSAYOS!$Q$5:$Q$3004,"&gt;0"))</f>
        <v/>
      </c>
      <c r="P685" s="16" t="str">
        <f aca="false">IF(N(M685)=0,"",AVERAGEIFS(ENSAYOS!$Q$5:$Q$3004,ENSAYOS!$C$5:$C$3004,F685,ENSAYOS!$Q$5:$Q$3004,"&gt;0"))</f>
        <v/>
      </c>
      <c r="Q685" s="16" t="str">
        <f aca="false">IF(N(M685)=0,"",_xlfn.MINIFS(ENSAYOS!$Q$5:$Q$3004,ENSAYOS!$C$5:$C$3004,F685,ENSAYOS!$Q$5:$Q$3004,"&gt;0"))</f>
        <v/>
      </c>
      <c r="R685" s="16" t="str">
        <f aca="false">IF(N(M685)=0,"",_xlfn.MAXIFS(ENSAYOS!$Q$5:$Q$3004,ENSAYOS!$C$5:$C$3004,F685,ENSAYOS!$Q$5:$Q$3004,"&gt;0"))</f>
        <v/>
      </c>
      <c r="S685" s="16" t="str">
        <f aca="false">IF(N(M685)&lt;2,"",SQRT(MAX(0,(SUMIFS(ENSAYOS!$X$5:$X$3004,ENSAYOS!$C$5:$C$3004,F685,ENSAYOS!$Q$5:$Q$3004,"&gt;0")-M685*P685^2)/(M685-1))))</f>
        <v/>
      </c>
      <c r="T685" s="17" t="str">
        <f aca="false">IF(S685="","",S685/P685)</f>
        <v/>
      </c>
      <c r="U685" s="16" t="str">
        <f aca="false">IF(N(M685)=0,"",IF(N685&gt;=CONFIG!$B$27,"",AVERAGEIFS(ENSAYOS!$Q$5:$Q$3004,ENSAYOS!$C$5:$C$3004,F685,ENSAYOS!$Q$5:$Q$3004,"&gt;0",ENSAYOS!$G$5:$G$3004,N685)))</f>
        <v/>
      </c>
      <c r="V685" s="16" t="str">
        <f aca="false">IF(N(M685)=0,"",IF(COUNTIFS(ENSAYOS!$C$5:$C$3004,F685,ENSAYOS!$Q$5:$Q$3004,"&gt;0",ENSAYOS!$G$5:$G$3004,"&gt;="&amp;CONFIG!$B$27)=0,"",AVERAGEIFS(ENSAYOS!$Q$5:$Q$3004,ENSAYOS!$C$5:$C$3004,F685,ENSAYOS!$Q$5:$Q$3004,"&gt;0",ENSAYOS!$G$5:$G$3004,"&gt;="&amp;CONFIG!$B$27)))</f>
        <v/>
      </c>
      <c r="W685" s="18" t="str">
        <f aca="false">IF(AND(U685&lt;&gt;"",V685&lt;&gt;""),U685/V685,"")</f>
        <v/>
      </c>
      <c r="X685" s="18" t="str">
        <f aca="false">IF(U685="","",INDEX('CURVA EDAD'!$E$5:$E$32,MIN(28,MAX(1,N685))))</f>
        <v/>
      </c>
      <c r="Y685" s="16" t="str">
        <f aca="false">IF(V685&lt;&gt;"",V685,IF(U685="","",U685/X685))</f>
        <v/>
      </c>
      <c r="Z685" s="16" t="str">
        <f aca="false">IF(V685&lt;&gt;"",_xlfn.MINIFS(ENSAYOS!$Q$5:$Q$3004,ENSAYOS!$C$5:$C$3004,F685,ENSAYOS!$Q$5:$Q$3004,"&gt;0",ENSAYOS!$G$5:$G$3004,"&gt;="&amp;CONFIG!$B$27),IF(U685="","",_xlfn.MINIFS(ENSAYOS!$Q$5:$Q$3004,ENSAYOS!$C$5:$C$3004,F685,ENSAYOS!$Q$5:$Q$3004,"&gt;0",ENSAYOS!$G$5:$G$3004,N685)/X685))</f>
        <v/>
      </c>
      <c r="AA685" s="16" t="str">
        <f aca="false">IF(D685="","",IFERROR(1/(1/INDEX(CONFIG!$J$5:$J$14,MATCH(D685,CONFIG!$D$5:$D$14,0))),""))</f>
        <v/>
      </c>
      <c r="AB685" s="16" t="str">
        <f aca="false">IF(D685="","",IFERROR(1/(1/INDEX(CONFIG!$K$5:$K$14,MATCH(D685,CONFIG!$D$5:$D$14,0))),""))</f>
        <v/>
      </c>
      <c r="AC685" s="19" t="str">
        <f aca="false">IF(N(M685)=0,"",IF(AA685="","Sin spec",IF(AND(Y685&gt;=AA685,OR(AB685="",Z685&gt;=AB685)),"CUMPLE","NO CUMPLE")&amp;IF(V685=""," (est.)","")))</f>
        <v/>
      </c>
      <c r="AD685" s="20" t="str">
        <f aca="false">IF(F685="","",IF(COUNTIFS(ABSORCION!$C$5:$C$1004,F685,ABSORCION!$I$5:$I$1004,"&gt;0")=0,"",AVERAGEIFS(ABSORCION!$I$5:$I$1004,ABSORCION!$C$5:$C$1004,F685,ABSORCION!$I$5:$I$1004,"&gt;0")))</f>
        <v/>
      </c>
      <c r="AE685" s="20" t="str">
        <f aca="false">IF(F685="","",IF(COUNTIFS(ABSORCION!$C$5:$C$1004,F685,ABSORCION!$I$5:$I$1004,"&gt;0")=0,"",AVERAGEIFS(ABSORCION!$K$5:$K$1004,ABSORCION!$C$5:$C$1004,F685,ABSORCION!$I$5:$I$1004,"&gt;0")))</f>
        <v/>
      </c>
      <c r="AF685" s="20" t="str">
        <f aca="false">IF(AE685="","",IF(AE685&gt;=CONFIG!$E$21,CONFIG!$F$21,IF(AE685&gt;=CONFIG!$E$20,CONFIG!$F$20,CONFIG!$F$19)))</f>
        <v/>
      </c>
      <c r="AG685" s="21" t="str">
        <f aca="false">IF(F685="","",TRIM(IF(N(M685)=0,"Sin ensayos. ","")&amp;IF(AND(N(M685)&gt;0,N(M685)&lt;CONFIG!$B$26),"Menos de "&amp;CONFIG!$B$26&amp;" probetas. ","")&amp;IF(N(T685)&gt;CONFIG!$B$25,"CV alto. ","")&amp;IF(AND(N(AD685)&gt;0,N(AD685)&gt;N(AF685)),"Absorción alta. ","")))</f>
        <v/>
      </c>
      <c r="AH685" s="22" t="str">
        <f aca="false">IF(AND(N(M685)&gt;0,OR(CONTROL!$C$4="TODAS",C685=CONTROL!$C$4),D685=CONTROL!$C$5),MAX($AH$4:AH684)+1,"")</f>
        <v/>
      </c>
      <c r="AI685" s="22" t="str">
        <f aca="false">IF(AH685="","",P685^2)</f>
        <v/>
      </c>
    </row>
    <row r="686" customFormat="false" ht="15" hidden="false" customHeight="false" outlineLevel="0" collapsed="false">
      <c r="A686" s="11" t="str">
        <f aca="false">IF(B686="","",ROW()-4)</f>
        <v/>
      </c>
      <c r="B686" s="12"/>
      <c r="C686" s="13"/>
      <c r="D686" s="13"/>
      <c r="E686" s="13"/>
      <c r="F686" s="14" t="str">
        <f aca="false">IF(OR(B686="",C686="",D686=""),"",IFERROR(INDEX(CONFIG!$E$5:$E$14,MATCH(D686,CONFIG!$D$5:$D$14,0)),"?")&amp;RIGHT("0"&amp;DAY(B686),2)&amp;RIGHT("0"&amp;MONTH(B686),2)&amp;RIGHT(YEAR(B686),2)&amp;C686&amp;IF(E686="","","-"&amp;E686))</f>
        <v/>
      </c>
      <c r="G686" s="13"/>
      <c r="H686" s="13"/>
      <c r="I686" s="13"/>
      <c r="J686" s="13"/>
      <c r="K686" s="13"/>
      <c r="L686" s="13"/>
      <c r="M686" s="11" t="str">
        <f aca="false">IF(F686="","",COUNTIFS(ENSAYOS!$C$5:$C$3004,F686,ENSAYOS!$Q$5:$Q$3004,"&gt;0"))</f>
        <v/>
      </c>
      <c r="N686" s="15" t="str">
        <f aca="false">IF(N(M686)=0,"",_xlfn.MINIFS(ENSAYOS!$G$5:$G$3004,ENSAYOS!$C$5:$C$3004,F686,ENSAYOS!$Q$5:$Q$3004,"&gt;0"))</f>
        <v/>
      </c>
      <c r="O686" s="15" t="str">
        <f aca="false">IF(N(M686)=0,"",_xlfn.MAXIFS(ENSAYOS!$G$5:$G$3004,ENSAYOS!$C$5:$C$3004,F686,ENSAYOS!$Q$5:$Q$3004,"&gt;0"))</f>
        <v/>
      </c>
      <c r="P686" s="16" t="str">
        <f aca="false">IF(N(M686)=0,"",AVERAGEIFS(ENSAYOS!$Q$5:$Q$3004,ENSAYOS!$C$5:$C$3004,F686,ENSAYOS!$Q$5:$Q$3004,"&gt;0"))</f>
        <v/>
      </c>
      <c r="Q686" s="16" t="str">
        <f aca="false">IF(N(M686)=0,"",_xlfn.MINIFS(ENSAYOS!$Q$5:$Q$3004,ENSAYOS!$C$5:$C$3004,F686,ENSAYOS!$Q$5:$Q$3004,"&gt;0"))</f>
        <v/>
      </c>
      <c r="R686" s="16" t="str">
        <f aca="false">IF(N(M686)=0,"",_xlfn.MAXIFS(ENSAYOS!$Q$5:$Q$3004,ENSAYOS!$C$5:$C$3004,F686,ENSAYOS!$Q$5:$Q$3004,"&gt;0"))</f>
        <v/>
      </c>
      <c r="S686" s="16" t="str">
        <f aca="false">IF(N(M686)&lt;2,"",SQRT(MAX(0,(SUMIFS(ENSAYOS!$X$5:$X$3004,ENSAYOS!$C$5:$C$3004,F686,ENSAYOS!$Q$5:$Q$3004,"&gt;0")-M686*P686^2)/(M686-1))))</f>
        <v/>
      </c>
      <c r="T686" s="17" t="str">
        <f aca="false">IF(S686="","",S686/P686)</f>
        <v/>
      </c>
      <c r="U686" s="16" t="str">
        <f aca="false">IF(N(M686)=0,"",IF(N686&gt;=CONFIG!$B$27,"",AVERAGEIFS(ENSAYOS!$Q$5:$Q$3004,ENSAYOS!$C$5:$C$3004,F686,ENSAYOS!$Q$5:$Q$3004,"&gt;0",ENSAYOS!$G$5:$G$3004,N686)))</f>
        <v/>
      </c>
      <c r="V686" s="16" t="str">
        <f aca="false">IF(N(M686)=0,"",IF(COUNTIFS(ENSAYOS!$C$5:$C$3004,F686,ENSAYOS!$Q$5:$Q$3004,"&gt;0",ENSAYOS!$G$5:$G$3004,"&gt;="&amp;CONFIG!$B$27)=0,"",AVERAGEIFS(ENSAYOS!$Q$5:$Q$3004,ENSAYOS!$C$5:$C$3004,F686,ENSAYOS!$Q$5:$Q$3004,"&gt;0",ENSAYOS!$G$5:$G$3004,"&gt;="&amp;CONFIG!$B$27)))</f>
        <v/>
      </c>
      <c r="W686" s="18" t="str">
        <f aca="false">IF(AND(U686&lt;&gt;"",V686&lt;&gt;""),U686/V686,"")</f>
        <v/>
      </c>
      <c r="X686" s="18" t="str">
        <f aca="false">IF(U686="","",INDEX('CURVA EDAD'!$E$5:$E$32,MIN(28,MAX(1,N686))))</f>
        <v/>
      </c>
      <c r="Y686" s="16" t="str">
        <f aca="false">IF(V686&lt;&gt;"",V686,IF(U686="","",U686/X686))</f>
        <v/>
      </c>
      <c r="Z686" s="16" t="str">
        <f aca="false">IF(V686&lt;&gt;"",_xlfn.MINIFS(ENSAYOS!$Q$5:$Q$3004,ENSAYOS!$C$5:$C$3004,F686,ENSAYOS!$Q$5:$Q$3004,"&gt;0",ENSAYOS!$G$5:$G$3004,"&gt;="&amp;CONFIG!$B$27),IF(U686="","",_xlfn.MINIFS(ENSAYOS!$Q$5:$Q$3004,ENSAYOS!$C$5:$C$3004,F686,ENSAYOS!$Q$5:$Q$3004,"&gt;0",ENSAYOS!$G$5:$G$3004,N686)/X686))</f>
        <v/>
      </c>
      <c r="AA686" s="16" t="str">
        <f aca="false">IF(D686="","",IFERROR(1/(1/INDEX(CONFIG!$J$5:$J$14,MATCH(D686,CONFIG!$D$5:$D$14,0))),""))</f>
        <v/>
      </c>
      <c r="AB686" s="16" t="str">
        <f aca="false">IF(D686="","",IFERROR(1/(1/INDEX(CONFIG!$K$5:$K$14,MATCH(D686,CONFIG!$D$5:$D$14,0))),""))</f>
        <v/>
      </c>
      <c r="AC686" s="19" t="str">
        <f aca="false">IF(N(M686)=0,"",IF(AA686="","Sin spec",IF(AND(Y686&gt;=AA686,OR(AB686="",Z686&gt;=AB686)),"CUMPLE","NO CUMPLE")&amp;IF(V686=""," (est.)","")))</f>
        <v/>
      </c>
      <c r="AD686" s="20" t="str">
        <f aca="false">IF(F686="","",IF(COUNTIFS(ABSORCION!$C$5:$C$1004,F686,ABSORCION!$I$5:$I$1004,"&gt;0")=0,"",AVERAGEIFS(ABSORCION!$I$5:$I$1004,ABSORCION!$C$5:$C$1004,F686,ABSORCION!$I$5:$I$1004,"&gt;0")))</f>
        <v/>
      </c>
      <c r="AE686" s="20" t="str">
        <f aca="false">IF(F686="","",IF(COUNTIFS(ABSORCION!$C$5:$C$1004,F686,ABSORCION!$I$5:$I$1004,"&gt;0")=0,"",AVERAGEIFS(ABSORCION!$K$5:$K$1004,ABSORCION!$C$5:$C$1004,F686,ABSORCION!$I$5:$I$1004,"&gt;0")))</f>
        <v/>
      </c>
      <c r="AF686" s="20" t="str">
        <f aca="false">IF(AE686="","",IF(AE686&gt;=CONFIG!$E$21,CONFIG!$F$21,IF(AE686&gt;=CONFIG!$E$20,CONFIG!$F$20,CONFIG!$F$19)))</f>
        <v/>
      </c>
      <c r="AG686" s="21" t="str">
        <f aca="false">IF(F686="","",TRIM(IF(N(M686)=0,"Sin ensayos. ","")&amp;IF(AND(N(M686)&gt;0,N(M686)&lt;CONFIG!$B$26),"Menos de "&amp;CONFIG!$B$26&amp;" probetas. ","")&amp;IF(N(T686)&gt;CONFIG!$B$25,"CV alto. ","")&amp;IF(AND(N(AD686)&gt;0,N(AD686)&gt;N(AF686)),"Absorción alta. ","")))</f>
        <v/>
      </c>
      <c r="AH686" s="22" t="str">
        <f aca="false">IF(AND(N(M686)&gt;0,OR(CONTROL!$C$4="TODAS",C686=CONTROL!$C$4),D686=CONTROL!$C$5),MAX($AH$4:AH685)+1,"")</f>
        <v/>
      </c>
      <c r="AI686" s="22" t="str">
        <f aca="false">IF(AH686="","",P686^2)</f>
        <v/>
      </c>
    </row>
    <row r="687" customFormat="false" ht="15" hidden="false" customHeight="false" outlineLevel="0" collapsed="false">
      <c r="A687" s="11" t="str">
        <f aca="false">IF(B687="","",ROW()-4)</f>
        <v/>
      </c>
      <c r="B687" s="12"/>
      <c r="C687" s="13"/>
      <c r="D687" s="13"/>
      <c r="E687" s="13"/>
      <c r="F687" s="14" t="str">
        <f aca="false">IF(OR(B687="",C687="",D687=""),"",IFERROR(INDEX(CONFIG!$E$5:$E$14,MATCH(D687,CONFIG!$D$5:$D$14,0)),"?")&amp;RIGHT("0"&amp;DAY(B687),2)&amp;RIGHT("0"&amp;MONTH(B687),2)&amp;RIGHT(YEAR(B687),2)&amp;C687&amp;IF(E687="","","-"&amp;E687))</f>
        <v/>
      </c>
      <c r="G687" s="13"/>
      <c r="H687" s="13"/>
      <c r="I687" s="13"/>
      <c r="J687" s="13"/>
      <c r="K687" s="13"/>
      <c r="L687" s="13"/>
      <c r="M687" s="11" t="str">
        <f aca="false">IF(F687="","",COUNTIFS(ENSAYOS!$C$5:$C$3004,F687,ENSAYOS!$Q$5:$Q$3004,"&gt;0"))</f>
        <v/>
      </c>
      <c r="N687" s="15" t="str">
        <f aca="false">IF(N(M687)=0,"",_xlfn.MINIFS(ENSAYOS!$G$5:$G$3004,ENSAYOS!$C$5:$C$3004,F687,ENSAYOS!$Q$5:$Q$3004,"&gt;0"))</f>
        <v/>
      </c>
      <c r="O687" s="15" t="str">
        <f aca="false">IF(N(M687)=0,"",_xlfn.MAXIFS(ENSAYOS!$G$5:$G$3004,ENSAYOS!$C$5:$C$3004,F687,ENSAYOS!$Q$5:$Q$3004,"&gt;0"))</f>
        <v/>
      </c>
      <c r="P687" s="16" t="str">
        <f aca="false">IF(N(M687)=0,"",AVERAGEIFS(ENSAYOS!$Q$5:$Q$3004,ENSAYOS!$C$5:$C$3004,F687,ENSAYOS!$Q$5:$Q$3004,"&gt;0"))</f>
        <v/>
      </c>
      <c r="Q687" s="16" t="str">
        <f aca="false">IF(N(M687)=0,"",_xlfn.MINIFS(ENSAYOS!$Q$5:$Q$3004,ENSAYOS!$C$5:$C$3004,F687,ENSAYOS!$Q$5:$Q$3004,"&gt;0"))</f>
        <v/>
      </c>
      <c r="R687" s="16" t="str">
        <f aca="false">IF(N(M687)=0,"",_xlfn.MAXIFS(ENSAYOS!$Q$5:$Q$3004,ENSAYOS!$C$5:$C$3004,F687,ENSAYOS!$Q$5:$Q$3004,"&gt;0"))</f>
        <v/>
      </c>
      <c r="S687" s="16" t="str">
        <f aca="false">IF(N(M687)&lt;2,"",SQRT(MAX(0,(SUMIFS(ENSAYOS!$X$5:$X$3004,ENSAYOS!$C$5:$C$3004,F687,ENSAYOS!$Q$5:$Q$3004,"&gt;0")-M687*P687^2)/(M687-1))))</f>
        <v/>
      </c>
      <c r="T687" s="17" t="str">
        <f aca="false">IF(S687="","",S687/P687)</f>
        <v/>
      </c>
      <c r="U687" s="16" t="str">
        <f aca="false">IF(N(M687)=0,"",IF(N687&gt;=CONFIG!$B$27,"",AVERAGEIFS(ENSAYOS!$Q$5:$Q$3004,ENSAYOS!$C$5:$C$3004,F687,ENSAYOS!$Q$5:$Q$3004,"&gt;0",ENSAYOS!$G$5:$G$3004,N687)))</f>
        <v/>
      </c>
      <c r="V687" s="16" t="str">
        <f aca="false">IF(N(M687)=0,"",IF(COUNTIFS(ENSAYOS!$C$5:$C$3004,F687,ENSAYOS!$Q$5:$Q$3004,"&gt;0",ENSAYOS!$G$5:$G$3004,"&gt;="&amp;CONFIG!$B$27)=0,"",AVERAGEIFS(ENSAYOS!$Q$5:$Q$3004,ENSAYOS!$C$5:$C$3004,F687,ENSAYOS!$Q$5:$Q$3004,"&gt;0",ENSAYOS!$G$5:$G$3004,"&gt;="&amp;CONFIG!$B$27)))</f>
        <v/>
      </c>
      <c r="W687" s="18" t="str">
        <f aca="false">IF(AND(U687&lt;&gt;"",V687&lt;&gt;""),U687/V687,"")</f>
        <v/>
      </c>
      <c r="X687" s="18" t="str">
        <f aca="false">IF(U687="","",INDEX('CURVA EDAD'!$E$5:$E$32,MIN(28,MAX(1,N687))))</f>
        <v/>
      </c>
      <c r="Y687" s="16" t="str">
        <f aca="false">IF(V687&lt;&gt;"",V687,IF(U687="","",U687/X687))</f>
        <v/>
      </c>
      <c r="Z687" s="16" t="str">
        <f aca="false">IF(V687&lt;&gt;"",_xlfn.MINIFS(ENSAYOS!$Q$5:$Q$3004,ENSAYOS!$C$5:$C$3004,F687,ENSAYOS!$Q$5:$Q$3004,"&gt;0",ENSAYOS!$G$5:$G$3004,"&gt;="&amp;CONFIG!$B$27),IF(U687="","",_xlfn.MINIFS(ENSAYOS!$Q$5:$Q$3004,ENSAYOS!$C$5:$C$3004,F687,ENSAYOS!$Q$5:$Q$3004,"&gt;0",ENSAYOS!$G$5:$G$3004,N687)/X687))</f>
        <v/>
      </c>
      <c r="AA687" s="16" t="str">
        <f aca="false">IF(D687="","",IFERROR(1/(1/INDEX(CONFIG!$J$5:$J$14,MATCH(D687,CONFIG!$D$5:$D$14,0))),""))</f>
        <v/>
      </c>
      <c r="AB687" s="16" t="str">
        <f aca="false">IF(D687="","",IFERROR(1/(1/INDEX(CONFIG!$K$5:$K$14,MATCH(D687,CONFIG!$D$5:$D$14,0))),""))</f>
        <v/>
      </c>
      <c r="AC687" s="19" t="str">
        <f aca="false">IF(N(M687)=0,"",IF(AA687="","Sin spec",IF(AND(Y687&gt;=AA687,OR(AB687="",Z687&gt;=AB687)),"CUMPLE","NO CUMPLE")&amp;IF(V687=""," (est.)","")))</f>
        <v/>
      </c>
      <c r="AD687" s="20" t="str">
        <f aca="false">IF(F687="","",IF(COUNTIFS(ABSORCION!$C$5:$C$1004,F687,ABSORCION!$I$5:$I$1004,"&gt;0")=0,"",AVERAGEIFS(ABSORCION!$I$5:$I$1004,ABSORCION!$C$5:$C$1004,F687,ABSORCION!$I$5:$I$1004,"&gt;0")))</f>
        <v/>
      </c>
      <c r="AE687" s="20" t="str">
        <f aca="false">IF(F687="","",IF(COUNTIFS(ABSORCION!$C$5:$C$1004,F687,ABSORCION!$I$5:$I$1004,"&gt;0")=0,"",AVERAGEIFS(ABSORCION!$K$5:$K$1004,ABSORCION!$C$5:$C$1004,F687,ABSORCION!$I$5:$I$1004,"&gt;0")))</f>
        <v/>
      </c>
      <c r="AF687" s="20" t="str">
        <f aca="false">IF(AE687="","",IF(AE687&gt;=CONFIG!$E$21,CONFIG!$F$21,IF(AE687&gt;=CONFIG!$E$20,CONFIG!$F$20,CONFIG!$F$19)))</f>
        <v/>
      </c>
      <c r="AG687" s="21" t="str">
        <f aca="false">IF(F687="","",TRIM(IF(N(M687)=0,"Sin ensayos. ","")&amp;IF(AND(N(M687)&gt;0,N(M687)&lt;CONFIG!$B$26),"Menos de "&amp;CONFIG!$B$26&amp;" probetas. ","")&amp;IF(N(T687)&gt;CONFIG!$B$25,"CV alto. ","")&amp;IF(AND(N(AD687)&gt;0,N(AD687)&gt;N(AF687)),"Absorción alta. ","")))</f>
        <v/>
      </c>
      <c r="AH687" s="22" t="str">
        <f aca="false">IF(AND(N(M687)&gt;0,OR(CONTROL!$C$4="TODAS",C687=CONTROL!$C$4),D687=CONTROL!$C$5),MAX($AH$4:AH686)+1,"")</f>
        <v/>
      </c>
      <c r="AI687" s="22" t="str">
        <f aca="false">IF(AH687="","",P687^2)</f>
        <v/>
      </c>
    </row>
    <row r="688" customFormat="false" ht="15" hidden="false" customHeight="false" outlineLevel="0" collapsed="false">
      <c r="A688" s="11" t="str">
        <f aca="false">IF(B688="","",ROW()-4)</f>
        <v/>
      </c>
      <c r="B688" s="12"/>
      <c r="C688" s="13"/>
      <c r="D688" s="13"/>
      <c r="E688" s="13"/>
      <c r="F688" s="14" t="str">
        <f aca="false">IF(OR(B688="",C688="",D688=""),"",IFERROR(INDEX(CONFIG!$E$5:$E$14,MATCH(D688,CONFIG!$D$5:$D$14,0)),"?")&amp;RIGHT("0"&amp;DAY(B688),2)&amp;RIGHT("0"&amp;MONTH(B688),2)&amp;RIGHT(YEAR(B688),2)&amp;C688&amp;IF(E688="","","-"&amp;E688))</f>
        <v/>
      </c>
      <c r="G688" s="13"/>
      <c r="H688" s="13"/>
      <c r="I688" s="13"/>
      <c r="J688" s="13"/>
      <c r="K688" s="13"/>
      <c r="L688" s="13"/>
      <c r="M688" s="11" t="str">
        <f aca="false">IF(F688="","",COUNTIFS(ENSAYOS!$C$5:$C$3004,F688,ENSAYOS!$Q$5:$Q$3004,"&gt;0"))</f>
        <v/>
      </c>
      <c r="N688" s="15" t="str">
        <f aca="false">IF(N(M688)=0,"",_xlfn.MINIFS(ENSAYOS!$G$5:$G$3004,ENSAYOS!$C$5:$C$3004,F688,ENSAYOS!$Q$5:$Q$3004,"&gt;0"))</f>
        <v/>
      </c>
      <c r="O688" s="15" t="str">
        <f aca="false">IF(N(M688)=0,"",_xlfn.MAXIFS(ENSAYOS!$G$5:$G$3004,ENSAYOS!$C$5:$C$3004,F688,ENSAYOS!$Q$5:$Q$3004,"&gt;0"))</f>
        <v/>
      </c>
      <c r="P688" s="16" t="str">
        <f aca="false">IF(N(M688)=0,"",AVERAGEIFS(ENSAYOS!$Q$5:$Q$3004,ENSAYOS!$C$5:$C$3004,F688,ENSAYOS!$Q$5:$Q$3004,"&gt;0"))</f>
        <v/>
      </c>
      <c r="Q688" s="16" t="str">
        <f aca="false">IF(N(M688)=0,"",_xlfn.MINIFS(ENSAYOS!$Q$5:$Q$3004,ENSAYOS!$C$5:$C$3004,F688,ENSAYOS!$Q$5:$Q$3004,"&gt;0"))</f>
        <v/>
      </c>
      <c r="R688" s="16" t="str">
        <f aca="false">IF(N(M688)=0,"",_xlfn.MAXIFS(ENSAYOS!$Q$5:$Q$3004,ENSAYOS!$C$5:$C$3004,F688,ENSAYOS!$Q$5:$Q$3004,"&gt;0"))</f>
        <v/>
      </c>
      <c r="S688" s="16" t="str">
        <f aca="false">IF(N(M688)&lt;2,"",SQRT(MAX(0,(SUMIFS(ENSAYOS!$X$5:$X$3004,ENSAYOS!$C$5:$C$3004,F688,ENSAYOS!$Q$5:$Q$3004,"&gt;0")-M688*P688^2)/(M688-1))))</f>
        <v/>
      </c>
      <c r="T688" s="17" t="str">
        <f aca="false">IF(S688="","",S688/P688)</f>
        <v/>
      </c>
      <c r="U688" s="16" t="str">
        <f aca="false">IF(N(M688)=0,"",IF(N688&gt;=CONFIG!$B$27,"",AVERAGEIFS(ENSAYOS!$Q$5:$Q$3004,ENSAYOS!$C$5:$C$3004,F688,ENSAYOS!$Q$5:$Q$3004,"&gt;0",ENSAYOS!$G$5:$G$3004,N688)))</f>
        <v/>
      </c>
      <c r="V688" s="16" t="str">
        <f aca="false">IF(N(M688)=0,"",IF(COUNTIFS(ENSAYOS!$C$5:$C$3004,F688,ENSAYOS!$Q$5:$Q$3004,"&gt;0",ENSAYOS!$G$5:$G$3004,"&gt;="&amp;CONFIG!$B$27)=0,"",AVERAGEIFS(ENSAYOS!$Q$5:$Q$3004,ENSAYOS!$C$5:$C$3004,F688,ENSAYOS!$Q$5:$Q$3004,"&gt;0",ENSAYOS!$G$5:$G$3004,"&gt;="&amp;CONFIG!$B$27)))</f>
        <v/>
      </c>
      <c r="W688" s="18" t="str">
        <f aca="false">IF(AND(U688&lt;&gt;"",V688&lt;&gt;""),U688/V688,"")</f>
        <v/>
      </c>
      <c r="X688" s="18" t="str">
        <f aca="false">IF(U688="","",INDEX('CURVA EDAD'!$E$5:$E$32,MIN(28,MAX(1,N688))))</f>
        <v/>
      </c>
      <c r="Y688" s="16" t="str">
        <f aca="false">IF(V688&lt;&gt;"",V688,IF(U688="","",U688/X688))</f>
        <v/>
      </c>
      <c r="Z688" s="16" t="str">
        <f aca="false">IF(V688&lt;&gt;"",_xlfn.MINIFS(ENSAYOS!$Q$5:$Q$3004,ENSAYOS!$C$5:$C$3004,F688,ENSAYOS!$Q$5:$Q$3004,"&gt;0",ENSAYOS!$G$5:$G$3004,"&gt;="&amp;CONFIG!$B$27),IF(U688="","",_xlfn.MINIFS(ENSAYOS!$Q$5:$Q$3004,ENSAYOS!$C$5:$C$3004,F688,ENSAYOS!$Q$5:$Q$3004,"&gt;0",ENSAYOS!$G$5:$G$3004,N688)/X688))</f>
        <v/>
      </c>
      <c r="AA688" s="16" t="str">
        <f aca="false">IF(D688="","",IFERROR(1/(1/INDEX(CONFIG!$J$5:$J$14,MATCH(D688,CONFIG!$D$5:$D$14,0))),""))</f>
        <v/>
      </c>
      <c r="AB688" s="16" t="str">
        <f aca="false">IF(D688="","",IFERROR(1/(1/INDEX(CONFIG!$K$5:$K$14,MATCH(D688,CONFIG!$D$5:$D$14,0))),""))</f>
        <v/>
      </c>
      <c r="AC688" s="19" t="str">
        <f aca="false">IF(N(M688)=0,"",IF(AA688="","Sin spec",IF(AND(Y688&gt;=AA688,OR(AB688="",Z688&gt;=AB688)),"CUMPLE","NO CUMPLE")&amp;IF(V688=""," (est.)","")))</f>
        <v/>
      </c>
      <c r="AD688" s="20" t="str">
        <f aca="false">IF(F688="","",IF(COUNTIFS(ABSORCION!$C$5:$C$1004,F688,ABSORCION!$I$5:$I$1004,"&gt;0")=0,"",AVERAGEIFS(ABSORCION!$I$5:$I$1004,ABSORCION!$C$5:$C$1004,F688,ABSORCION!$I$5:$I$1004,"&gt;0")))</f>
        <v/>
      </c>
      <c r="AE688" s="20" t="str">
        <f aca="false">IF(F688="","",IF(COUNTIFS(ABSORCION!$C$5:$C$1004,F688,ABSORCION!$I$5:$I$1004,"&gt;0")=0,"",AVERAGEIFS(ABSORCION!$K$5:$K$1004,ABSORCION!$C$5:$C$1004,F688,ABSORCION!$I$5:$I$1004,"&gt;0")))</f>
        <v/>
      </c>
      <c r="AF688" s="20" t="str">
        <f aca="false">IF(AE688="","",IF(AE688&gt;=CONFIG!$E$21,CONFIG!$F$21,IF(AE688&gt;=CONFIG!$E$20,CONFIG!$F$20,CONFIG!$F$19)))</f>
        <v/>
      </c>
      <c r="AG688" s="21" t="str">
        <f aca="false">IF(F688="","",TRIM(IF(N(M688)=0,"Sin ensayos. ","")&amp;IF(AND(N(M688)&gt;0,N(M688)&lt;CONFIG!$B$26),"Menos de "&amp;CONFIG!$B$26&amp;" probetas. ","")&amp;IF(N(T688)&gt;CONFIG!$B$25,"CV alto. ","")&amp;IF(AND(N(AD688)&gt;0,N(AD688)&gt;N(AF688)),"Absorción alta. ","")))</f>
        <v/>
      </c>
      <c r="AH688" s="22" t="str">
        <f aca="false">IF(AND(N(M688)&gt;0,OR(CONTROL!$C$4="TODAS",C688=CONTROL!$C$4),D688=CONTROL!$C$5),MAX($AH$4:AH687)+1,"")</f>
        <v/>
      </c>
      <c r="AI688" s="22" t="str">
        <f aca="false">IF(AH688="","",P688^2)</f>
        <v/>
      </c>
    </row>
    <row r="689" customFormat="false" ht="15" hidden="false" customHeight="false" outlineLevel="0" collapsed="false">
      <c r="A689" s="11" t="str">
        <f aca="false">IF(B689="","",ROW()-4)</f>
        <v/>
      </c>
      <c r="B689" s="12"/>
      <c r="C689" s="13"/>
      <c r="D689" s="13"/>
      <c r="E689" s="13"/>
      <c r="F689" s="14" t="str">
        <f aca="false">IF(OR(B689="",C689="",D689=""),"",IFERROR(INDEX(CONFIG!$E$5:$E$14,MATCH(D689,CONFIG!$D$5:$D$14,0)),"?")&amp;RIGHT("0"&amp;DAY(B689),2)&amp;RIGHT("0"&amp;MONTH(B689),2)&amp;RIGHT(YEAR(B689),2)&amp;C689&amp;IF(E689="","","-"&amp;E689))</f>
        <v/>
      </c>
      <c r="G689" s="13"/>
      <c r="H689" s="13"/>
      <c r="I689" s="13"/>
      <c r="J689" s="13"/>
      <c r="K689" s="13"/>
      <c r="L689" s="13"/>
      <c r="M689" s="11" t="str">
        <f aca="false">IF(F689="","",COUNTIFS(ENSAYOS!$C$5:$C$3004,F689,ENSAYOS!$Q$5:$Q$3004,"&gt;0"))</f>
        <v/>
      </c>
      <c r="N689" s="15" t="str">
        <f aca="false">IF(N(M689)=0,"",_xlfn.MINIFS(ENSAYOS!$G$5:$G$3004,ENSAYOS!$C$5:$C$3004,F689,ENSAYOS!$Q$5:$Q$3004,"&gt;0"))</f>
        <v/>
      </c>
      <c r="O689" s="15" t="str">
        <f aca="false">IF(N(M689)=0,"",_xlfn.MAXIFS(ENSAYOS!$G$5:$G$3004,ENSAYOS!$C$5:$C$3004,F689,ENSAYOS!$Q$5:$Q$3004,"&gt;0"))</f>
        <v/>
      </c>
      <c r="P689" s="16" t="str">
        <f aca="false">IF(N(M689)=0,"",AVERAGEIFS(ENSAYOS!$Q$5:$Q$3004,ENSAYOS!$C$5:$C$3004,F689,ENSAYOS!$Q$5:$Q$3004,"&gt;0"))</f>
        <v/>
      </c>
      <c r="Q689" s="16" t="str">
        <f aca="false">IF(N(M689)=0,"",_xlfn.MINIFS(ENSAYOS!$Q$5:$Q$3004,ENSAYOS!$C$5:$C$3004,F689,ENSAYOS!$Q$5:$Q$3004,"&gt;0"))</f>
        <v/>
      </c>
      <c r="R689" s="16" t="str">
        <f aca="false">IF(N(M689)=0,"",_xlfn.MAXIFS(ENSAYOS!$Q$5:$Q$3004,ENSAYOS!$C$5:$C$3004,F689,ENSAYOS!$Q$5:$Q$3004,"&gt;0"))</f>
        <v/>
      </c>
      <c r="S689" s="16" t="str">
        <f aca="false">IF(N(M689)&lt;2,"",SQRT(MAX(0,(SUMIFS(ENSAYOS!$X$5:$X$3004,ENSAYOS!$C$5:$C$3004,F689,ENSAYOS!$Q$5:$Q$3004,"&gt;0")-M689*P689^2)/(M689-1))))</f>
        <v/>
      </c>
      <c r="T689" s="17" t="str">
        <f aca="false">IF(S689="","",S689/P689)</f>
        <v/>
      </c>
      <c r="U689" s="16" t="str">
        <f aca="false">IF(N(M689)=0,"",IF(N689&gt;=CONFIG!$B$27,"",AVERAGEIFS(ENSAYOS!$Q$5:$Q$3004,ENSAYOS!$C$5:$C$3004,F689,ENSAYOS!$Q$5:$Q$3004,"&gt;0",ENSAYOS!$G$5:$G$3004,N689)))</f>
        <v/>
      </c>
      <c r="V689" s="16" t="str">
        <f aca="false">IF(N(M689)=0,"",IF(COUNTIFS(ENSAYOS!$C$5:$C$3004,F689,ENSAYOS!$Q$5:$Q$3004,"&gt;0",ENSAYOS!$G$5:$G$3004,"&gt;="&amp;CONFIG!$B$27)=0,"",AVERAGEIFS(ENSAYOS!$Q$5:$Q$3004,ENSAYOS!$C$5:$C$3004,F689,ENSAYOS!$Q$5:$Q$3004,"&gt;0",ENSAYOS!$G$5:$G$3004,"&gt;="&amp;CONFIG!$B$27)))</f>
        <v/>
      </c>
      <c r="W689" s="18" t="str">
        <f aca="false">IF(AND(U689&lt;&gt;"",V689&lt;&gt;""),U689/V689,"")</f>
        <v/>
      </c>
      <c r="X689" s="18" t="str">
        <f aca="false">IF(U689="","",INDEX('CURVA EDAD'!$E$5:$E$32,MIN(28,MAX(1,N689))))</f>
        <v/>
      </c>
      <c r="Y689" s="16" t="str">
        <f aca="false">IF(V689&lt;&gt;"",V689,IF(U689="","",U689/X689))</f>
        <v/>
      </c>
      <c r="Z689" s="16" t="str">
        <f aca="false">IF(V689&lt;&gt;"",_xlfn.MINIFS(ENSAYOS!$Q$5:$Q$3004,ENSAYOS!$C$5:$C$3004,F689,ENSAYOS!$Q$5:$Q$3004,"&gt;0",ENSAYOS!$G$5:$G$3004,"&gt;="&amp;CONFIG!$B$27),IF(U689="","",_xlfn.MINIFS(ENSAYOS!$Q$5:$Q$3004,ENSAYOS!$C$5:$C$3004,F689,ENSAYOS!$Q$5:$Q$3004,"&gt;0",ENSAYOS!$G$5:$G$3004,N689)/X689))</f>
        <v/>
      </c>
      <c r="AA689" s="16" t="str">
        <f aca="false">IF(D689="","",IFERROR(1/(1/INDEX(CONFIG!$J$5:$J$14,MATCH(D689,CONFIG!$D$5:$D$14,0))),""))</f>
        <v/>
      </c>
      <c r="AB689" s="16" t="str">
        <f aca="false">IF(D689="","",IFERROR(1/(1/INDEX(CONFIG!$K$5:$K$14,MATCH(D689,CONFIG!$D$5:$D$14,0))),""))</f>
        <v/>
      </c>
      <c r="AC689" s="19" t="str">
        <f aca="false">IF(N(M689)=0,"",IF(AA689="","Sin spec",IF(AND(Y689&gt;=AA689,OR(AB689="",Z689&gt;=AB689)),"CUMPLE","NO CUMPLE")&amp;IF(V689=""," (est.)","")))</f>
        <v/>
      </c>
      <c r="AD689" s="20" t="str">
        <f aca="false">IF(F689="","",IF(COUNTIFS(ABSORCION!$C$5:$C$1004,F689,ABSORCION!$I$5:$I$1004,"&gt;0")=0,"",AVERAGEIFS(ABSORCION!$I$5:$I$1004,ABSORCION!$C$5:$C$1004,F689,ABSORCION!$I$5:$I$1004,"&gt;0")))</f>
        <v/>
      </c>
      <c r="AE689" s="20" t="str">
        <f aca="false">IF(F689="","",IF(COUNTIFS(ABSORCION!$C$5:$C$1004,F689,ABSORCION!$I$5:$I$1004,"&gt;0")=0,"",AVERAGEIFS(ABSORCION!$K$5:$K$1004,ABSORCION!$C$5:$C$1004,F689,ABSORCION!$I$5:$I$1004,"&gt;0")))</f>
        <v/>
      </c>
      <c r="AF689" s="20" t="str">
        <f aca="false">IF(AE689="","",IF(AE689&gt;=CONFIG!$E$21,CONFIG!$F$21,IF(AE689&gt;=CONFIG!$E$20,CONFIG!$F$20,CONFIG!$F$19)))</f>
        <v/>
      </c>
      <c r="AG689" s="21" t="str">
        <f aca="false">IF(F689="","",TRIM(IF(N(M689)=0,"Sin ensayos. ","")&amp;IF(AND(N(M689)&gt;0,N(M689)&lt;CONFIG!$B$26),"Menos de "&amp;CONFIG!$B$26&amp;" probetas. ","")&amp;IF(N(T689)&gt;CONFIG!$B$25,"CV alto. ","")&amp;IF(AND(N(AD689)&gt;0,N(AD689)&gt;N(AF689)),"Absorción alta. ","")))</f>
        <v/>
      </c>
      <c r="AH689" s="22" t="str">
        <f aca="false">IF(AND(N(M689)&gt;0,OR(CONTROL!$C$4="TODAS",C689=CONTROL!$C$4),D689=CONTROL!$C$5),MAX($AH$4:AH688)+1,"")</f>
        <v/>
      </c>
      <c r="AI689" s="22" t="str">
        <f aca="false">IF(AH689="","",P689^2)</f>
        <v/>
      </c>
    </row>
    <row r="690" customFormat="false" ht="15" hidden="false" customHeight="false" outlineLevel="0" collapsed="false">
      <c r="A690" s="11" t="str">
        <f aca="false">IF(B690="","",ROW()-4)</f>
        <v/>
      </c>
      <c r="B690" s="12"/>
      <c r="C690" s="13"/>
      <c r="D690" s="13"/>
      <c r="E690" s="13"/>
      <c r="F690" s="14" t="str">
        <f aca="false">IF(OR(B690="",C690="",D690=""),"",IFERROR(INDEX(CONFIG!$E$5:$E$14,MATCH(D690,CONFIG!$D$5:$D$14,0)),"?")&amp;RIGHT("0"&amp;DAY(B690),2)&amp;RIGHT("0"&amp;MONTH(B690),2)&amp;RIGHT(YEAR(B690),2)&amp;C690&amp;IF(E690="","","-"&amp;E690))</f>
        <v/>
      </c>
      <c r="G690" s="13"/>
      <c r="H690" s="13"/>
      <c r="I690" s="13"/>
      <c r="J690" s="13"/>
      <c r="K690" s="13"/>
      <c r="L690" s="13"/>
      <c r="M690" s="11" t="str">
        <f aca="false">IF(F690="","",COUNTIFS(ENSAYOS!$C$5:$C$3004,F690,ENSAYOS!$Q$5:$Q$3004,"&gt;0"))</f>
        <v/>
      </c>
      <c r="N690" s="15" t="str">
        <f aca="false">IF(N(M690)=0,"",_xlfn.MINIFS(ENSAYOS!$G$5:$G$3004,ENSAYOS!$C$5:$C$3004,F690,ENSAYOS!$Q$5:$Q$3004,"&gt;0"))</f>
        <v/>
      </c>
      <c r="O690" s="15" t="str">
        <f aca="false">IF(N(M690)=0,"",_xlfn.MAXIFS(ENSAYOS!$G$5:$G$3004,ENSAYOS!$C$5:$C$3004,F690,ENSAYOS!$Q$5:$Q$3004,"&gt;0"))</f>
        <v/>
      </c>
      <c r="P690" s="16" t="str">
        <f aca="false">IF(N(M690)=0,"",AVERAGEIFS(ENSAYOS!$Q$5:$Q$3004,ENSAYOS!$C$5:$C$3004,F690,ENSAYOS!$Q$5:$Q$3004,"&gt;0"))</f>
        <v/>
      </c>
      <c r="Q690" s="16" t="str">
        <f aca="false">IF(N(M690)=0,"",_xlfn.MINIFS(ENSAYOS!$Q$5:$Q$3004,ENSAYOS!$C$5:$C$3004,F690,ENSAYOS!$Q$5:$Q$3004,"&gt;0"))</f>
        <v/>
      </c>
      <c r="R690" s="16" t="str">
        <f aca="false">IF(N(M690)=0,"",_xlfn.MAXIFS(ENSAYOS!$Q$5:$Q$3004,ENSAYOS!$C$5:$C$3004,F690,ENSAYOS!$Q$5:$Q$3004,"&gt;0"))</f>
        <v/>
      </c>
      <c r="S690" s="16" t="str">
        <f aca="false">IF(N(M690)&lt;2,"",SQRT(MAX(0,(SUMIFS(ENSAYOS!$X$5:$X$3004,ENSAYOS!$C$5:$C$3004,F690,ENSAYOS!$Q$5:$Q$3004,"&gt;0")-M690*P690^2)/(M690-1))))</f>
        <v/>
      </c>
      <c r="T690" s="17" t="str">
        <f aca="false">IF(S690="","",S690/P690)</f>
        <v/>
      </c>
      <c r="U690" s="16" t="str">
        <f aca="false">IF(N(M690)=0,"",IF(N690&gt;=CONFIG!$B$27,"",AVERAGEIFS(ENSAYOS!$Q$5:$Q$3004,ENSAYOS!$C$5:$C$3004,F690,ENSAYOS!$Q$5:$Q$3004,"&gt;0",ENSAYOS!$G$5:$G$3004,N690)))</f>
        <v/>
      </c>
      <c r="V690" s="16" t="str">
        <f aca="false">IF(N(M690)=0,"",IF(COUNTIFS(ENSAYOS!$C$5:$C$3004,F690,ENSAYOS!$Q$5:$Q$3004,"&gt;0",ENSAYOS!$G$5:$G$3004,"&gt;="&amp;CONFIG!$B$27)=0,"",AVERAGEIFS(ENSAYOS!$Q$5:$Q$3004,ENSAYOS!$C$5:$C$3004,F690,ENSAYOS!$Q$5:$Q$3004,"&gt;0",ENSAYOS!$G$5:$G$3004,"&gt;="&amp;CONFIG!$B$27)))</f>
        <v/>
      </c>
      <c r="W690" s="18" t="str">
        <f aca="false">IF(AND(U690&lt;&gt;"",V690&lt;&gt;""),U690/V690,"")</f>
        <v/>
      </c>
      <c r="X690" s="18" t="str">
        <f aca="false">IF(U690="","",INDEX('CURVA EDAD'!$E$5:$E$32,MIN(28,MAX(1,N690))))</f>
        <v/>
      </c>
      <c r="Y690" s="16" t="str">
        <f aca="false">IF(V690&lt;&gt;"",V690,IF(U690="","",U690/X690))</f>
        <v/>
      </c>
      <c r="Z690" s="16" t="str">
        <f aca="false">IF(V690&lt;&gt;"",_xlfn.MINIFS(ENSAYOS!$Q$5:$Q$3004,ENSAYOS!$C$5:$C$3004,F690,ENSAYOS!$Q$5:$Q$3004,"&gt;0",ENSAYOS!$G$5:$G$3004,"&gt;="&amp;CONFIG!$B$27),IF(U690="","",_xlfn.MINIFS(ENSAYOS!$Q$5:$Q$3004,ENSAYOS!$C$5:$C$3004,F690,ENSAYOS!$Q$5:$Q$3004,"&gt;0",ENSAYOS!$G$5:$G$3004,N690)/X690))</f>
        <v/>
      </c>
      <c r="AA690" s="16" t="str">
        <f aca="false">IF(D690="","",IFERROR(1/(1/INDEX(CONFIG!$J$5:$J$14,MATCH(D690,CONFIG!$D$5:$D$14,0))),""))</f>
        <v/>
      </c>
      <c r="AB690" s="16" t="str">
        <f aca="false">IF(D690="","",IFERROR(1/(1/INDEX(CONFIG!$K$5:$K$14,MATCH(D690,CONFIG!$D$5:$D$14,0))),""))</f>
        <v/>
      </c>
      <c r="AC690" s="19" t="str">
        <f aca="false">IF(N(M690)=0,"",IF(AA690="","Sin spec",IF(AND(Y690&gt;=AA690,OR(AB690="",Z690&gt;=AB690)),"CUMPLE","NO CUMPLE")&amp;IF(V690=""," (est.)","")))</f>
        <v/>
      </c>
      <c r="AD690" s="20" t="str">
        <f aca="false">IF(F690="","",IF(COUNTIFS(ABSORCION!$C$5:$C$1004,F690,ABSORCION!$I$5:$I$1004,"&gt;0")=0,"",AVERAGEIFS(ABSORCION!$I$5:$I$1004,ABSORCION!$C$5:$C$1004,F690,ABSORCION!$I$5:$I$1004,"&gt;0")))</f>
        <v/>
      </c>
      <c r="AE690" s="20" t="str">
        <f aca="false">IF(F690="","",IF(COUNTIFS(ABSORCION!$C$5:$C$1004,F690,ABSORCION!$I$5:$I$1004,"&gt;0")=0,"",AVERAGEIFS(ABSORCION!$K$5:$K$1004,ABSORCION!$C$5:$C$1004,F690,ABSORCION!$I$5:$I$1004,"&gt;0")))</f>
        <v/>
      </c>
      <c r="AF690" s="20" t="str">
        <f aca="false">IF(AE690="","",IF(AE690&gt;=CONFIG!$E$21,CONFIG!$F$21,IF(AE690&gt;=CONFIG!$E$20,CONFIG!$F$20,CONFIG!$F$19)))</f>
        <v/>
      </c>
      <c r="AG690" s="21" t="str">
        <f aca="false">IF(F690="","",TRIM(IF(N(M690)=0,"Sin ensayos. ","")&amp;IF(AND(N(M690)&gt;0,N(M690)&lt;CONFIG!$B$26),"Menos de "&amp;CONFIG!$B$26&amp;" probetas. ","")&amp;IF(N(T690)&gt;CONFIG!$B$25,"CV alto. ","")&amp;IF(AND(N(AD690)&gt;0,N(AD690)&gt;N(AF690)),"Absorción alta. ","")))</f>
        <v/>
      </c>
      <c r="AH690" s="22" t="str">
        <f aca="false">IF(AND(N(M690)&gt;0,OR(CONTROL!$C$4="TODAS",C690=CONTROL!$C$4),D690=CONTROL!$C$5),MAX($AH$4:AH689)+1,"")</f>
        <v/>
      </c>
      <c r="AI690" s="22" t="str">
        <f aca="false">IF(AH690="","",P690^2)</f>
        <v/>
      </c>
    </row>
    <row r="691" customFormat="false" ht="15" hidden="false" customHeight="false" outlineLevel="0" collapsed="false">
      <c r="A691" s="11" t="str">
        <f aca="false">IF(B691="","",ROW()-4)</f>
        <v/>
      </c>
      <c r="B691" s="12"/>
      <c r="C691" s="13"/>
      <c r="D691" s="13"/>
      <c r="E691" s="13"/>
      <c r="F691" s="14" t="str">
        <f aca="false">IF(OR(B691="",C691="",D691=""),"",IFERROR(INDEX(CONFIG!$E$5:$E$14,MATCH(D691,CONFIG!$D$5:$D$14,0)),"?")&amp;RIGHT("0"&amp;DAY(B691),2)&amp;RIGHT("0"&amp;MONTH(B691),2)&amp;RIGHT(YEAR(B691),2)&amp;C691&amp;IF(E691="","","-"&amp;E691))</f>
        <v/>
      </c>
      <c r="G691" s="13"/>
      <c r="H691" s="13"/>
      <c r="I691" s="13"/>
      <c r="J691" s="13"/>
      <c r="K691" s="13"/>
      <c r="L691" s="13"/>
      <c r="M691" s="11" t="str">
        <f aca="false">IF(F691="","",COUNTIFS(ENSAYOS!$C$5:$C$3004,F691,ENSAYOS!$Q$5:$Q$3004,"&gt;0"))</f>
        <v/>
      </c>
      <c r="N691" s="15" t="str">
        <f aca="false">IF(N(M691)=0,"",_xlfn.MINIFS(ENSAYOS!$G$5:$G$3004,ENSAYOS!$C$5:$C$3004,F691,ENSAYOS!$Q$5:$Q$3004,"&gt;0"))</f>
        <v/>
      </c>
      <c r="O691" s="15" t="str">
        <f aca="false">IF(N(M691)=0,"",_xlfn.MAXIFS(ENSAYOS!$G$5:$G$3004,ENSAYOS!$C$5:$C$3004,F691,ENSAYOS!$Q$5:$Q$3004,"&gt;0"))</f>
        <v/>
      </c>
      <c r="P691" s="16" t="str">
        <f aca="false">IF(N(M691)=0,"",AVERAGEIFS(ENSAYOS!$Q$5:$Q$3004,ENSAYOS!$C$5:$C$3004,F691,ENSAYOS!$Q$5:$Q$3004,"&gt;0"))</f>
        <v/>
      </c>
      <c r="Q691" s="16" t="str">
        <f aca="false">IF(N(M691)=0,"",_xlfn.MINIFS(ENSAYOS!$Q$5:$Q$3004,ENSAYOS!$C$5:$C$3004,F691,ENSAYOS!$Q$5:$Q$3004,"&gt;0"))</f>
        <v/>
      </c>
      <c r="R691" s="16" t="str">
        <f aca="false">IF(N(M691)=0,"",_xlfn.MAXIFS(ENSAYOS!$Q$5:$Q$3004,ENSAYOS!$C$5:$C$3004,F691,ENSAYOS!$Q$5:$Q$3004,"&gt;0"))</f>
        <v/>
      </c>
      <c r="S691" s="16" t="str">
        <f aca="false">IF(N(M691)&lt;2,"",SQRT(MAX(0,(SUMIFS(ENSAYOS!$X$5:$X$3004,ENSAYOS!$C$5:$C$3004,F691,ENSAYOS!$Q$5:$Q$3004,"&gt;0")-M691*P691^2)/(M691-1))))</f>
        <v/>
      </c>
      <c r="T691" s="17" t="str">
        <f aca="false">IF(S691="","",S691/P691)</f>
        <v/>
      </c>
      <c r="U691" s="16" t="str">
        <f aca="false">IF(N(M691)=0,"",IF(N691&gt;=CONFIG!$B$27,"",AVERAGEIFS(ENSAYOS!$Q$5:$Q$3004,ENSAYOS!$C$5:$C$3004,F691,ENSAYOS!$Q$5:$Q$3004,"&gt;0",ENSAYOS!$G$5:$G$3004,N691)))</f>
        <v/>
      </c>
      <c r="V691" s="16" t="str">
        <f aca="false">IF(N(M691)=0,"",IF(COUNTIFS(ENSAYOS!$C$5:$C$3004,F691,ENSAYOS!$Q$5:$Q$3004,"&gt;0",ENSAYOS!$G$5:$G$3004,"&gt;="&amp;CONFIG!$B$27)=0,"",AVERAGEIFS(ENSAYOS!$Q$5:$Q$3004,ENSAYOS!$C$5:$C$3004,F691,ENSAYOS!$Q$5:$Q$3004,"&gt;0",ENSAYOS!$G$5:$G$3004,"&gt;="&amp;CONFIG!$B$27)))</f>
        <v/>
      </c>
      <c r="W691" s="18" t="str">
        <f aca="false">IF(AND(U691&lt;&gt;"",V691&lt;&gt;""),U691/V691,"")</f>
        <v/>
      </c>
      <c r="X691" s="18" t="str">
        <f aca="false">IF(U691="","",INDEX('CURVA EDAD'!$E$5:$E$32,MIN(28,MAX(1,N691))))</f>
        <v/>
      </c>
      <c r="Y691" s="16" t="str">
        <f aca="false">IF(V691&lt;&gt;"",V691,IF(U691="","",U691/X691))</f>
        <v/>
      </c>
      <c r="Z691" s="16" t="str">
        <f aca="false">IF(V691&lt;&gt;"",_xlfn.MINIFS(ENSAYOS!$Q$5:$Q$3004,ENSAYOS!$C$5:$C$3004,F691,ENSAYOS!$Q$5:$Q$3004,"&gt;0",ENSAYOS!$G$5:$G$3004,"&gt;="&amp;CONFIG!$B$27),IF(U691="","",_xlfn.MINIFS(ENSAYOS!$Q$5:$Q$3004,ENSAYOS!$C$5:$C$3004,F691,ENSAYOS!$Q$5:$Q$3004,"&gt;0",ENSAYOS!$G$5:$G$3004,N691)/X691))</f>
        <v/>
      </c>
      <c r="AA691" s="16" t="str">
        <f aca="false">IF(D691="","",IFERROR(1/(1/INDEX(CONFIG!$J$5:$J$14,MATCH(D691,CONFIG!$D$5:$D$14,0))),""))</f>
        <v/>
      </c>
      <c r="AB691" s="16" t="str">
        <f aca="false">IF(D691="","",IFERROR(1/(1/INDEX(CONFIG!$K$5:$K$14,MATCH(D691,CONFIG!$D$5:$D$14,0))),""))</f>
        <v/>
      </c>
      <c r="AC691" s="19" t="str">
        <f aca="false">IF(N(M691)=0,"",IF(AA691="","Sin spec",IF(AND(Y691&gt;=AA691,OR(AB691="",Z691&gt;=AB691)),"CUMPLE","NO CUMPLE")&amp;IF(V691=""," (est.)","")))</f>
        <v/>
      </c>
      <c r="AD691" s="20" t="str">
        <f aca="false">IF(F691="","",IF(COUNTIFS(ABSORCION!$C$5:$C$1004,F691,ABSORCION!$I$5:$I$1004,"&gt;0")=0,"",AVERAGEIFS(ABSORCION!$I$5:$I$1004,ABSORCION!$C$5:$C$1004,F691,ABSORCION!$I$5:$I$1004,"&gt;0")))</f>
        <v/>
      </c>
      <c r="AE691" s="20" t="str">
        <f aca="false">IF(F691="","",IF(COUNTIFS(ABSORCION!$C$5:$C$1004,F691,ABSORCION!$I$5:$I$1004,"&gt;0")=0,"",AVERAGEIFS(ABSORCION!$K$5:$K$1004,ABSORCION!$C$5:$C$1004,F691,ABSORCION!$I$5:$I$1004,"&gt;0")))</f>
        <v/>
      </c>
      <c r="AF691" s="20" t="str">
        <f aca="false">IF(AE691="","",IF(AE691&gt;=CONFIG!$E$21,CONFIG!$F$21,IF(AE691&gt;=CONFIG!$E$20,CONFIG!$F$20,CONFIG!$F$19)))</f>
        <v/>
      </c>
      <c r="AG691" s="21" t="str">
        <f aca="false">IF(F691="","",TRIM(IF(N(M691)=0,"Sin ensayos. ","")&amp;IF(AND(N(M691)&gt;0,N(M691)&lt;CONFIG!$B$26),"Menos de "&amp;CONFIG!$B$26&amp;" probetas. ","")&amp;IF(N(T691)&gt;CONFIG!$B$25,"CV alto. ","")&amp;IF(AND(N(AD691)&gt;0,N(AD691)&gt;N(AF691)),"Absorción alta. ","")))</f>
        <v/>
      </c>
      <c r="AH691" s="22" t="str">
        <f aca="false">IF(AND(N(M691)&gt;0,OR(CONTROL!$C$4="TODAS",C691=CONTROL!$C$4),D691=CONTROL!$C$5),MAX($AH$4:AH690)+1,"")</f>
        <v/>
      </c>
      <c r="AI691" s="22" t="str">
        <f aca="false">IF(AH691="","",P691^2)</f>
        <v/>
      </c>
    </row>
    <row r="692" customFormat="false" ht="15" hidden="false" customHeight="false" outlineLevel="0" collapsed="false">
      <c r="A692" s="11" t="str">
        <f aca="false">IF(B692="","",ROW()-4)</f>
        <v/>
      </c>
      <c r="B692" s="12"/>
      <c r="C692" s="13"/>
      <c r="D692" s="13"/>
      <c r="E692" s="13"/>
      <c r="F692" s="14" t="str">
        <f aca="false">IF(OR(B692="",C692="",D692=""),"",IFERROR(INDEX(CONFIG!$E$5:$E$14,MATCH(D692,CONFIG!$D$5:$D$14,0)),"?")&amp;RIGHT("0"&amp;DAY(B692),2)&amp;RIGHT("0"&amp;MONTH(B692),2)&amp;RIGHT(YEAR(B692),2)&amp;C692&amp;IF(E692="","","-"&amp;E692))</f>
        <v/>
      </c>
      <c r="G692" s="13"/>
      <c r="H692" s="13"/>
      <c r="I692" s="13"/>
      <c r="J692" s="13"/>
      <c r="K692" s="13"/>
      <c r="L692" s="13"/>
      <c r="M692" s="11" t="str">
        <f aca="false">IF(F692="","",COUNTIFS(ENSAYOS!$C$5:$C$3004,F692,ENSAYOS!$Q$5:$Q$3004,"&gt;0"))</f>
        <v/>
      </c>
      <c r="N692" s="15" t="str">
        <f aca="false">IF(N(M692)=0,"",_xlfn.MINIFS(ENSAYOS!$G$5:$G$3004,ENSAYOS!$C$5:$C$3004,F692,ENSAYOS!$Q$5:$Q$3004,"&gt;0"))</f>
        <v/>
      </c>
      <c r="O692" s="15" t="str">
        <f aca="false">IF(N(M692)=0,"",_xlfn.MAXIFS(ENSAYOS!$G$5:$G$3004,ENSAYOS!$C$5:$C$3004,F692,ENSAYOS!$Q$5:$Q$3004,"&gt;0"))</f>
        <v/>
      </c>
      <c r="P692" s="16" t="str">
        <f aca="false">IF(N(M692)=0,"",AVERAGEIFS(ENSAYOS!$Q$5:$Q$3004,ENSAYOS!$C$5:$C$3004,F692,ENSAYOS!$Q$5:$Q$3004,"&gt;0"))</f>
        <v/>
      </c>
      <c r="Q692" s="16" t="str">
        <f aca="false">IF(N(M692)=0,"",_xlfn.MINIFS(ENSAYOS!$Q$5:$Q$3004,ENSAYOS!$C$5:$C$3004,F692,ENSAYOS!$Q$5:$Q$3004,"&gt;0"))</f>
        <v/>
      </c>
      <c r="R692" s="16" t="str">
        <f aca="false">IF(N(M692)=0,"",_xlfn.MAXIFS(ENSAYOS!$Q$5:$Q$3004,ENSAYOS!$C$5:$C$3004,F692,ENSAYOS!$Q$5:$Q$3004,"&gt;0"))</f>
        <v/>
      </c>
      <c r="S692" s="16" t="str">
        <f aca="false">IF(N(M692)&lt;2,"",SQRT(MAX(0,(SUMIFS(ENSAYOS!$X$5:$X$3004,ENSAYOS!$C$5:$C$3004,F692,ENSAYOS!$Q$5:$Q$3004,"&gt;0")-M692*P692^2)/(M692-1))))</f>
        <v/>
      </c>
      <c r="T692" s="17" t="str">
        <f aca="false">IF(S692="","",S692/P692)</f>
        <v/>
      </c>
      <c r="U692" s="16" t="str">
        <f aca="false">IF(N(M692)=0,"",IF(N692&gt;=CONFIG!$B$27,"",AVERAGEIFS(ENSAYOS!$Q$5:$Q$3004,ENSAYOS!$C$5:$C$3004,F692,ENSAYOS!$Q$5:$Q$3004,"&gt;0",ENSAYOS!$G$5:$G$3004,N692)))</f>
        <v/>
      </c>
      <c r="V692" s="16" t="str">
        <f aca="false">IF(N(M692)=0,"",IF(COUNTIFS(ENSAYOS!$C$5:$C$3004,F692,ENSAYOS!$Q$5:$Q$3004,"&gt;0",ENSAYOS!$G$5:$G$3004,"&gt;="&amp;CONFIG!$B$27)=0,"",AVERAGEIFS(ENSAYOS!$Q$5:$Q$3004,ENSAYOS!$C$5:$C$3004,F692,ENSAYOS!$Q$5:$Q$3004,"&gt;0",ENSAYOS!$G$5:$G$3004,"&gt;="&amp;CONFIG!$B$27)))</f>
        <v/>
      </c>
      <c r="W692" s="18" t="str">
        <f aca="false">IF(AND(U692&lt;&gt;"",V692&lt;&gt;""),U692/V692,"")</f>
        <v/>
      </c>
      <c r="X692" s="18" t="str">
        <f aca="false">IF(U692="","",INDEX('CURVA EDAD'!$E$5:$E$32,MIN(28,MAX(1,N692))))</f>
        <v/>
      </c>
      <c r="Y692" s="16" t="str">
        <f aca="false">IF(V692&lt;&gt;"",V692,IF(U692="","",U692/X692))</f>
        <v/>
      </c>
      <c r="Z692" s="16" t="str">
        <f aca="false">IF(V692&lt;&gt;"",_xlfn.MINIFS(ENSAYOS!$Q$5:$Q$3004,ENSAYOS!$C$5:$C$3004,F692,ENSAYOS!$Q$5:$Q$3004,"&gt;0",ENSAYOS!$G$5:$G$3004,"&gt;="&amp;CONFIG!$B$27),IF(U692="","",_xlfn.MINIFS(ENSAYOS!$Q$5:$Q$3004,ENSAYOS!$C$5:$C$3004,F692,ENSAYOS!$Q$5:$Q$3004,"&gt;0",ENSAYOS!$G$5:$G$3004,N692)/X692))</f>
        <v/>
      </c>
      <c r="AA692" s="16" t="str">
        <f aca="false">IF(D692="","",IFERROR(1/(1/INDEX(CONFIG!$J$5:$J$14,MATCH(D692,CONFIG!$D$5:$D$14,0))),""))</f>
        <v/>
      </c>
      <c r="AB692" s="16" t="str">
        <f aca="false">IF(D692="","",IFERROR(1/(1/INDEX(CONFIG!$K$5:$K$14,MATCH(D692,CONFIG!$D$5:$D$14,0))),""))</f>
        <v/>
      </c>
      <c r="AC692" s="19" t="str">
        <f aca="false">IF(N(M692)=0,"",IF(AA692="","Sin spec",IF(AND(Y692&gt;=AA692,OR(AB692="",Z692&gt;=AB692)),"CUMPLE","NO CUMPLE")&amp;IF(V692=""," (est.)","")))</f>
        <v/>
      </c>
      <c r="AD692" s="20" t="str">
        <f aca="false">IF(F692="","",IF(COUNTIFS(ABSORCION!$C$5:$C$1004,F692,ABSORCION!$I$5:$I$1004,"&gt;0")=0,"",AVERAGEIFS(ABSORCION!$I$5:$I$1004,ABSORCION!$C$5:$C$1004,F692,ABSORCION!$I$5:$I$1004,"&gt;0")))</f>
        <v/>
      </c>
      <c r="AE692" s="20" t="str">
        <f aca="false">IF(F692="","",IF(COUNTIFS(ABSORCION!$C$5:$C$1004,F692,ABSORCION!$I$5:$I$1004,"&gt;0")=0,"",AVERAGEIFS(ABSORCION!$K$5:$K$1004,ABSORCION!$C$5:$C$1004,F692,ABSORCION!$I$5:$I$1004,"&gt;0")))</f>
        <v/>
      </c>
      <c r="AF692" s="20" t="str">
        <f aca="false">IF(AE692="","",IF(AE692&gt;=CONFIG!$E$21,CONFIG!$F$21,IF(AE692&gt;=CONFIG!$E$20,CONFIG!$F$20,CONFIG!$F$19)))</f>
        <v/>
      </c>
      <c r="AG692" s="21" t="str">
        <f aca="false">IF(F692="","",TRIM(IF(N(M692)=0,"Sin ensayos. ","")&amp;IF(AND(N(M692)&gt;0,N(M692)&lt;CONFIG!$B$26),"Menos de "&amp;CONFIG!$B$26&amp;" probetas. ","")&amp;IF(N(T692)&gt;CONFIG!$B$25,"CV alto. ","")&amp;IF(AND(N(AD692)&gt;0,N(AD692)&gt;N(AF692)),"Absorción alta. ","")))</f>
        <v/>
      </c>
      <c r="AH692" s="22" t="str">
        <f aca="false">IF(AND(N(M692)&gt;0,OR(CONTROL!$C$4="TODAS",C692=CONTROL!$C$4),D692=CONTROL!$C$5),MAX($AH$4:AH691)+1,"")</f>
        <v/>
      </c>
      <c r="AI692" s="22" t="str">
        <f aca="false">IF(AH692="","",P692^2)</f>
        <v/>
      </c>
    </row>
    <row r="693" customFormat="false" ht="15" hidden="false" customHeight="false" outlineLevel="0" collapsed="false">
      <c r="A693" s="11" t="str">
        <f aca="false">IF(B693="","",ROW()-4)</f>
        <v/>
      </c>
      <c r="B693" s="12"/>
      <c r="C693" s="13"/>
      <c r="D693" s="13"/>
      <c r="E693" s="13"/>
      <c r="F693" s="14" t="str">
        <f aca="false">IF(OR(B693="",C693="",D693=""),"",IFERROR(INDEX(CONFIG!$E$5:$E$14,MATCH(D693,CONFIG!$D$5:$D$14,0)),"?")&amp;RIGHT("0"&amp;DAY(B693),2)&amp;RIGHT("0"&amp;MONTH(B693),2)&amp;RIGHT(YEAR(B693),2)&amp;C693&amp;IF(E693="","","-"&amp;E693))</f>
        <v/>
      </c>
      <c r="G693" s="13"/>
      <c r="H693" s="13"/>
      <c r="I693" s="13"/>
      <c r="J693" s="13"/>
      <c r="K693" s="13"/>
      <c r="L693" s="13"/>
      <c r="M693" s="11" t="str">
        <f aca="false">IF(F693="","",COUNTIFS(ENSAYOS!$C$5:$C$3004,F693,ENSAYOS!$Q$5:$Q$3004,"&gt;0"))</f>
        <v/>
      </c>
      <c r="N693" s="15" t="str">
        <f aca="false">IF(N(M693)=0,"",_xlfn.MINIFS(ENSAYOS!$G$5:$G$3004,ENSAYOS!$C$5:$C$3004,F693,ENSAYOS!$Q$5:$Q$3004,"&gt;0"))</f>
        <v/>
      </c>
      <c r="O693" s="15" t="str">
        <f aca="false">IF(N(M693)=0,"",_xlfn.MAXIFS(ENSAYOS!$G$5:$G$3004,ENSAYOS!$C$5:$C$3004,F693,ENSAYOS!$Q$5:$Q$3004,"&gt;0"))</f>
        <v/>
      </c>
      <c r="P693" s="16" t="str">
        <f aca="false">IF(N(M693)=0,"",AVERAGEIFS(ENSAYOS!$Q$5:$Q$3004,ENSAYOS!$C$5:$C$3004,F693,ENSAYOS!$Q$5:$Q$3004,"&gt;0"))</f>
        <v/>
      </c>
      <c r="Q693" s="16" t="str">
        <f aca="false">IF(N(M693)=0,"",_xlfn.MINIFS(ENSAYOS!$Q$5:$Q$3004,ENSAYOS!$C$5:$C$3004,F693,ENSAYOS!$Q$5:$Q$3004,"&gt;0"))</f>
        <v/>
      </c>
      <c r="R693" s="16" t="str">
        <f aca="false">IF(N(M693)=0,"",_xlfn.MAXIFS(ENSAYOS!$Q$5:$Q$3004,ENSAYOS!$C$5:$C$3004,F693,ENSAYOS!$Q$5:$Q$3004,"&gt;0"))</f>
        <v/>
      </c>
      <c r="S693" s="16" t="str">
        <f aca="false">IF(N(M693)&lt;2,"",SQRT(MAX(0,(SUMIFS(ENSAYOS!$X$5:$X$3004,ENSAYOS!$C$5:$C$3004,F693,ENSAYOS!$Q$5:$Q$3004,"&gt;0")-M693*P693^2)/(M693-1))))</f>
        <v/>
      </c>
      <c r="T693" s="17" t="str">
        <f aca="false">IF(S693="","",S693/P693)</f>
        <v/>
      </c>
      <c r="U693" s="16" t="str">
        <f aca="false">IF(N(M693)=0,"",IF(N693&gt;=CONFIG!$B$27,"",AVERAGEIFS(ENSAYOS!$Q$5:$Q$3004,ENSAYOS!$C$5:$C$3004,F693,ENSAYOS!$Q$5:$Q$3004,"&gt;0",ENSAYOS!$G$5:$G$3004,N693)))</f>
        <v/>
      </c>
      <c r="V693" s="16" t="str">
        <f aca="false">IF(N(M693)=0,"",IF(COUNTIFS(ENSAYOS!$C$5:$C$3004,F693,ENSAYOS!$Q$5:$Q$3004,"&gt;0",ENSAYOS!$G$5:$G$3004,"&gt;="&amp;CONFIG!$B$27)=0,"",AVERAGEIFS(ENSAYOS!$Q$5:$Q$3004,ENSAYOS!$C$5:$C$3004,F693,ENSAYOS!$Q$5:$Q$3004,"&gt;0",ENSAYOS!$G$5:$G$3004,"&gt;="&amp;CONFIG!$B$27)))</f>
        <v/>
      </c>
      <c r="W693" s="18" t="str">
        <f aca="false">IF(AND(U693&lt;&gt;"",V693&lt;&gt;""),U693/V693,"")</f>
        <v/>
      </c>
      <c r="X693" s="18" t="str">
        <f aca="false">IF(U693="","",INDEX('CURVA EDAD'!$E$5:$E$32,MIN(28,MAX(1,N693))))</f>
        <v/>
      </c>
      <c r="Y693" s="16" t="str">
        <f aca="false">IF(V693&lt;&gt;"",V693,IF(U693="","",U693/X693))</f>
        <v/>
      </c>
      <c r="Z693" s="16" t="str">
        <f aca="false">IF(V693&lt;&gt;"",_xlfn.MINIFS(ENSAYOS!$Q$5:$Q$3004,ENSAYOS!$C$5:$C$3004,F693,ENSAYOS!$Q$5:$Q$3004,"&gt;0",ENSAYOS!$G$5:$G$3004,"&gt;="&amp;CONFIG!$B$27),IF(U693="","",_xlfn.MINIFS(ENSAYOS!$Q$5:$Q$3004,ENSAYOS!$C$5:$C$3004,F693,ENSAYOS!$Q$5:$Q$3004,"&gt;0",ENSAYOS!$G$5:$G$3004,N693)/X693))</f>
        <v/>
      </c>
      <c r="AA693" s="16" t="str">
        <f aca="false">IF(D693="","",IFERROR(1/(1/INDEX(CONFIG!$J$5:$J$14,MATCH(D693,CONFIG!$D$5:$D$14,0))),""))</f>
        <v/>
      </c>
      <c r="AB693" s="16" t="str">
        <f aca="false">IF(D693="","",IFERROR(1/(1/INDEX(CONFIG!$K$5:$K$14,MATCH(D693,CONFIG!$D$5:$D$14,0))),""))</f>
        <v/>
      </c>
      <c r="AC693" s="19" t="str">
        <f aca="false">IF(N(M693)=0,"",IF(AA693="","Sin spec",IF(AND(Y693&gt;=AA693,OR(AB693="",Z693&gt;=AB693)),"CUMPLE","NO CUMPLE")&amp;IF(V693=""," (est.)","")))</f>
        <v/>
      </c>
      <c r="AD693" s="20" t="str">
        <f aca="false">IF(F693="","",IF(COUNTIFS(ABSORCION!$C$5:$C$1004,F693,ABSORCION!$I$5:$I$1004,"&gt;0")=0,"",AVERAGEIFS(ABSORCION!$I$5:$I$1004,ABSORCION!$C$5:$C$1004,F693,ABSORCION!$I$5:$I$1004,"&gt;0")))</f>
        <v/>
      </c>
      <c r="AE693" s="20" t="str">
        <f aca="false">IF(F693="","",IF(COUNTIFS(ABSORCION!$C$5:$C$1004,F693,ABSORCION!$I$5:$I$1004,"&gt;0")=0,"",AVERAGEIFS(ABSORCION!$K$5:$K$1004,ABSORCION!$C$5:$C$1004,F693,ABSORCION!$I$5:$I$1004,"&gt;0")))</f>
        <v/>
      </c>
      <c r="AF693" s="20" t="str">
        <f aca="false">IF(AE693="","",IF(AE693&gt;=CONFIG!$E$21,CONFIG!$F$21,IF(AE693&gt;=CONFIG!$E$20,CONFIG!$F$20,CONFIG!$F$19)))</f>
        <v/>
      </c>
      <c r="AG693" s="21" t="str">
        <f aca="false">IF(F693="","",TRIM(IF(N(M693)=0,"Sin ensayos. ","")&amp;IF(AND(N(M693)&gt;0,N(M693)&lt;CONFIG!$B$26),"Menos de "&amp;CONFIG!$B$26&amp;" probetas. ","")&amp;IF(N(T693)&gt;CONFIG!$B$25,"CV alto. ","")&amp;IF(AND(N(AD693)&gt;0,N(AD693)&gt;N(AF693)),"Absorción alta. ","")))</f>
        <v/>
      </c>
      <c r="AH693" s="22" t="str">
        <f aca="false">IF(AND(N(M693)&gt;0,OR(CONTROL!$C$4="TODAS",C693=CONTROL!$C$4),D693=CONTROL!$C$5),MAX($AH$4:AH692)+1,"")</f>
        <v/>
      </c>
      <c r="AI693" s="22" t="str">
        <f aca="false">IF(AH693="","",P693^2)</f>
        <v/>
      </c>
    </row>
    <row r="694" customFormat="false" ht="15" hidden="false" customHeight="false" outlineLevel="0" collapsed="false">
      <c r="A694" s="11" t="str">
        <f aca="false">IF(B694="","",ROW()-4)</f>
        <v/>
      </c>
      <c r="B694" s="12"/>
      <c r="C694" s="13"/>
      <c r="D694" s="13"/>
      <c r="E694" s="13"/>
      <c r="F694" s="14" t="str">
        <f aca="false">IF(OR(B694="",C694="",D694=""),"",IFERROR(INDEX(CONFIG!$E$5:$E$14,MATCH(D694,CONFIG!$D$5:$D$14,0)),"?")&amp;RIGHT("0"&amp;DAY(B694),2)&amp;RIGHT("0"&amp;MONTH(B694),2)&amp;RIGHT(YEAR(B694),2)&amp;C694&amp;IF(E694="","","-"&amp;E694))</f>
        <v/>
      </c>
      <c r="G694" s="13"/>
      <c r="H694" s="13"/>
      <c r="I694" s="13"/>
      <c r="J694" s="13"/>
      <c r="K694" s="13"/>
      <c r="L694" s="13"/>
      <c r="M694" s="11" t="str">
        <f aca="false">IF(F694="","",COUNTIFS(ENSAYOS!$C$5:$C$3004,F694,ENSAYOS!$Q$5:$Q$3004,"&gt;0"))</f>
        <v/>
      </c>
      <c r="N694" s="15" t="str">
        <f aca="false">IF(N(M694)=0,"",_xlfn.MINIFS(ENSAYOS!$G$5:$G$3004,ENSAYOS!$C$5:$C$3004,F694,ENSAYOS!$Q$5:$Q$3004,"&gt;0"))</f>
        <v/>
      </c>
      <c r="O694" s="15" t="str">
        <f aca="false">IF(N(M694)=0,"",_xlfn.MAXIFS(ENSAYOS!$G$5:$G$3004,ENSAYOS!$C$5:$C$3004,F694,ENSAYOS!$Q$5:$Q$3004,"&gt;0"))</f>
        <v/>
      </c>
      <c r="P694" s="16" t="str">
        <f aca="false">IF(N(M694)=0,"",AVERAGEIFS(ENSAYOS!$Q$5:$Q$3004,ENSAYOS!$C$5:$C$3004,F694,ENSAYOS!$Q$5:$Q$3004,"&gt;0"))</f>
        <v/>
      </c>
      <c r="Q694" s="16" t="str">
        <f aca="false">IF(N(M694)=0,"",_xlfn.MINIFS(ENSAYOS!$Q$5:$Q$3004,ENSAYOS!$C$5:$C$3004,F694,ENSAYOS!$Q$5:$Q$3004,"&gt;0"))</f>
        <v/>
      </c>
      <c r="R694" s="16" t="str">
        <f aca="false">IF(N(M694)=0,"",_xlfn.MAXIFS(ENSAYOS!$Q$5:$Q$3004,ENSAYOS!$C$5:$C$3004,F694,ENSAYOS!$Q$5:$Q$3004,"&gt;0"))</f>
        <v/>
      </c>
      <c r="S694" s="16" t="str">
        <f aca="false">IF(N(M694)&lt;2,"",SQRT(MAX(0,(SUMIFS(ENSAYOS!$X$5:$X$3004,ENSAYOS!$C$5:$C$3004,F694,ENSAYOS!$Q$5:$Q$3004,"&gt;0")-M694*P694^2)/(M694-1))))</f>
        <v/>
      </c>
      <c r="T694" s="17" t="str">
        <f aca="false">IF(S694="","",S694/P694)</f>
        <v/>
      </c>
      <c r="U694" s="16" t="str">
        <f aca="false">IF(N(M694)=0,"",IF(N694&gt;=CONFIG!$B$27,"",AVERAGEIFS(ENSAYOS!$Q$5:$Q$3004,ENSAYOS!$C$5:$C$3004,F694,ENSAYOS!$Q$5:$Q$3004,"&gt;0",ENSAYOS!$G$5:$G$3004,N694)))</f>
        <v/>
      </c>
      <c r="V694" s="16" t="str">
        <f aca="false">IF(N(M694)=0,"",IF(COUNTIFS(ENSAYOS!$C$5:$C$3004,F694,ENSAYOS!$Q$5:$Q$3004,"&gt;0",ENSAYOS!$G$5:$G$3004,"&gt;="&amp;CONFIG!$B$27)=0,"",AVERAGEIFS(ENSAYOS!$Q$5:$Q$3004,ENSAYOS!$C$5:$C$3004,F694,ENSAYOS!$Q$5:$Q$3004,"&gt;0",ENSAYOS!$G$5:$G$3004,"&gt;="&amp;CONFIG!$B$27)))</f>
        <v/>
      </c>
      <c r="W694" s="18" t="str">
        <f aca="false">IF(AND(U694&lt;&gt;"",V694&lt;&gt;""),U694/V694,"")</f>
        <v/>
      </c>
      <c r="X694" s="18" t="str">
        <f aca="false">IF(U694="","",INDEX('CURVA EDAD'!$E$5:$E$32,MIN(28,MAX(1,N694))))</f>
        <v/>
      </c>
      <c r="Y694" s="16" t="str">
        <f aca="false">IF(V694&lt;&gt;"",V694,IF(U694="","",U694/X694))</f>
        <v/>
      </c>
      <c r="Z694" s="16" t="str">
        <f aca="false">IF(V694&lt;&gt;"",_xlfn.MINIFS(ENSAYOS!$Q$5:$Q$3004,ENSAYOS!$C$5:$C$3004,F694,ENSAYOS!$Q$5:$Q$3004,"&gt;0",ENSAYOS!$G$5:$G$3004,"&gt;="&amp;CONFIG!$B$27),IF(U694="","",_xlfn.MINIFS(ENSAYOS!$Q$5:$Q$3004,ENSAYOS!$C$5:$C$3004,F694,ENSAYOS!$Q$5:$Q$3004,"&gt;0",ENSAYOS!$G$5:$G$3004,N694)/X694))</f>
        <v/>
      </c>
      <c r="AA694" s="16" t="str">
        <f aca="false">IF(D694="","",IFERROR(1/(1/INDEX(CONFIG!$J$5:$J$14,MATCH(D694,CONFIG!$D$5:$D$14,0))),""))</f>
        <v/>
      </c>
      <c r="AB694" s="16" t="str">
        <f aca="false">IF(D694="","",IFERROR(1/(1/INDEX(CONFIG!$K$5:$K$14,MATCH(D694,CONFIG!$D$5:$D$14,0))),""))</f>
        <v/>
      </c>
      <c r="AC694" s="19" t="str">
        <f aca="false">IF(N(M694)=0,"",IF(AA694="","Sin spec",IF(AND(Y694&gt;=AA694,OR(AB694="",Z694&gt;=AB694)),"CUMPLE","NO CUMPLE")&amp;IF(V694=""," (est.)","")))</f>
        <v/>
      </c>
      <c r="AD694" s="20" t="str">
        <f aca="false">IF(F694="","",IF(COUNTIFS(ABSORCION!$C$5:$C$1004,F694,ABSORCION!$I$5:$I$1004,"&gt;0")=0,"",AVERAGEIFS(ABSORCION!$I$5:$I$1004,ABSORCION!$C$5:$C$1004,F694,ABSORCION!$I$5:$I$1004,"&gt;0")))</f>
        <v/>
      </c>
      <c r="AE694" s="20" t="str">
        <f aca="false">IF(F694="","",IF(COUNTIFS(ABSORCION!$C$5:$C$1004,F694,ABSORCION!$I$5:$I$1004,"&gt;0")=0,"",AVERAGEIFS(ABSORCION!$K$5:$K$1004,ABSORCION!$C$5:$C$1004,F694,ABSORCION!$I$5:$I$1004,"&gt;0")))</f>
        <v/>
      </c>
      <c r="AF694" s="20" t="str">
        <f aca="false">IF(AE694="","",IF(AE694&gt;=CONFIG!$E$21,CONFIG!$F$21,IF(AE694&gt;=CONFIG!$E$20,CONFIG!$F$20,CONFIG!$F$19)))</f>
        <v/>
      </c>
      <c r="AG694" s="21" t="str">
        <f aca="false">IF(F694="","",TRIM(IF(N(M694)=0,"Sin ensayos. ","")&amp;IF(AND(N(M694)&gt;0,N(M694)&lt;CONFIG!$B$26),"Menos de "&amp;CONFIG!$B$26&amp;" probetas. ","")&amp;IF(N(T694)&gt;CONFIG!$B$25,"CV alto. ","")&amp;IF(AND(N(AD694)&gt;0,N(AD694)&gt;N(AF694)),"Absorción alta. ","")))</f>
        <v/>
      </c>
      <c r="AH694" s="22" t="str">
        <f aca="false">IF(AND(N(M694)&gt;0,OR(CONTROL!$C$4="TODAS",C694=CONTROL!$C$4),D694=CONTROL!$C$5),MAX($AH$4:AH693)+1,"")</f>
        <v/>
      </c>
      <c r="AI694" s="22" t="str">
        <f aca="false">IF(AH694="","",P694^2)</f>
        <v/>
      </c>
    </row>
    <row r="695" customFormat="false" ht="15" hidden="false" customHeight="false" outlineLevel="0" collapsed="false">
      <c r="A695" s="11" t="str">
        <f aca="false">IF(B695="","",ROW()-4)</f>
        <v/>
      </c>
      <c r="B695" s="12"/>
      <c r="C695" s="13"/>
      <c r="D695" s="13"/>
      <c r="E695" s="13"/>
      <c r="F695" s="14" t="str">
        <f aca="false">IF(OR(B695="",C695="",D695=""),"",IFERROR(INDEX(CONFIG!$E$5:$E$14,MATCH(D695,CONFIG!$D$5:$D$14,0)),"?")&amp;RIGHT("0"&amp;DAY(B695),2)&amp;RIGHT("0"&amp;MONTH(B695),2)&amp;RIGHT(YEAR(B695),2)&amp;C695&amp;IF(E695="","","-"&amp;E695))</f>
        <v/>
      </c>
      <c r="G695" s="13"/>
      <c r="H695" s="13"/>
      <c r="I695" s="13"/>
      <c r="J695" s="13"/>
      <c r="K695" s="13"/>
      <c r="L695" s="13"/>
      <c r="M695" s="11" t="str">
        <f aca="false">IF(F695="","",COUNTIFS(ENSAYOS!$C$5:$C$3004,F695,ENSAYOS!$Q$5:$Q$3004,"&gt;0"))</f>
        <v/>
      </c>
      <c r="N695" s="15" t="str">
        <f aca="false">IF(N(M695)=0,"",_xlfn.MINIFS(ENSAYOS!$G$5:$G$3004,ENSAYOS!$C$5:$C$3004,F695,ENSAYOS!$Q$5:$Q$3004,"&gt;0"))</f>
        <v/>
      </c>
      <c r="O695" s="15" t="str">
        <f aca="false">IF(N(M695)=0,"",_xlfn.MAXIFS(ENSAYOS!$G$5:$G$3004,ENSAYOS!$C$5:$C$3004,F695,ENSAYOS!$Q$5:$Q$3004,"&gt;0"))</f>
        <v/>
      </c>
      <c r="P695" s="16" t="str">
        <f aca="false">IF(N(M695)=0,"",AVERAGEIFS(ENSAYOS!$Q$5:$Q$3004,ENSAYOS!$C$5:$C$3004,F695,ENSAYOS!$Q$5:$Q$3004,"&gt;0"))</f>
        <v/>
      </c>
      <c r="Q695" s="16" t="str">
        <f aca="false">IF(N(M695)=0,"",_xlfn.MINIFS(ENSAYOS!$Q$5:$Q$3004,ENSAYOS!$C$5:$C$3004,F695,ENSAYOS!$Q$5:$Q$3004,"&gt;0"))</f>
        <v/>
      </c>
      <c r="R695" s="16" t="str">
        <f aca="false">IF(N(M695)=0,"",_xlfn.MAXIFS(ENSAYOS!$Q$5:$Q$3004,ENSAYOS!$C$5:$C$3004,F695,ENSAYOS!$Q$5:$Q$3004,"&gt;0"))</f>
        <v/>
      </c>
      <c r="S695" s="16" t="str">
        <f aca="false">IF(N(M695)&lt;2,"",SQRT(MAX(0,(SUMIFS(ENSAYOS!$X$5:$X$3004,ENSAYOS!$C$5:$C$3004,F695,ENSAYOS!$Q$5:$Q$3004,"&gt;0")-M695*P695^2)/(M695-1))))</f>
        <v/>
      </c>
      <c r="T695" s="17" t="str">
        <f aca="false">IF(S695="","",S695/P695)</f>
        <v/>
      </c>
      <c r="U695" s="16" t="str">
        <f aca="false">IF(N(M695)=0,"",IF(N695&gt;=CONFIG!$B$27,"",AVERAGEIFS(ENSAYOS!$Q$5:$Q$3004,ENSAYOS!$C$5:$C$3004,F695,ENSAYOS!$Q$5:$Q$3004,"&gt;0",ENSAYOS!$G$5:$G$3004,N695)))</f>
        <v/>
      </c>
      <c r="V695" s="16" t="str">
        <f aca="false">IF(N(M695)=0,"",IF(COUNTIFS(ENSAYOS!$C$5:$C$3004,F695,ENSAYOS!$Q$5:$Q$3004,"&gt;0",ENSAYOS!$G$5:$G$3004,"&gt;="&amp;CONFIG!$B$27)=0,"",AVERAGEIFS(ENSAYOS!$Q$5:$Q$3004,ENSAYOS!$C$5:$C$3004,F695,ENSAYOS!$Q$5:$Q$3004,"&gt;0",ENSAYOS!$G$5:$G$3004,"&gt;="&amp;CONFIG!$B$27)))</f>
        <v/>
      </c>
      <c r="W695" s="18" t="str">
        <f aca="false">IF(AND(U695&lt;&gt;"",V695&lt;&gt;""),U695/V695,"")</f>
        <v/>
      </c>
      <c r="X695" s="18" t="str">
        <f aca="false">IF(U695="","",INDEX('CURVA EDAD'!$E$5:$E$32,MIN(28,MAX(1,N695))))</f>
        <v/>
      </c>
      <c r="Y695" s="16" t="str">
        <f aca="false">IF(V695&lt;&gt;"",V695,IF(U695="","",U695/X695))</f>
        <v/>
      </c>
      <c r="Z695" s="16" t="str">
        <f aca="false">IF(V695&lt;&gt;"",_xlfn.MINIFS(ENSAYOS!$Q$5:$Q$3004,ENSAYOS!$C$5:$C$3004,F695,ENSAYOS!$Q$5:$Q$3004,"&gt;0",ENSAYOS!$G$5:$G$3004,"&gt;="&amp;CONFIG!$B$27),IF(U695="","",_xlfn.MINIFS(ENSAYOS!$Q$5:$Q$3004,ENSAYOS!$C$5:$C$3004,F695,ENSAYOS!$Q$5:$Q$3004,"&gt;0",ENSAYOS!$G$5:$G$3004,N695)/X695))</f>
        <v/>
      </c>
      <c r="AA695" s="16" t="str">
        <f aca="false">IF(D695="","",IFERROR(1/(1/INDEX(CONFIG!$J$5:$J$14,MATCH(D695,CONFIG!$D$5:$D$14,0))),""))</f>
        <v/>
      </c>
      <c r="AB695" s="16" t="str">
        <f aca="false">IF(D695="","",IFERROR(1/(1/INDEX(CONFIG!$K$5:$K$14,MATCH(D695,CONFIG!$D$5:$D$14,0))),""))</f>
        <v/>
      </c>
      <c r="AC695" s="19" t="str">
        <f aca="false">IF(N(M695)=0,"",IF(AA695="","Sin spec",IF(AND(Y695&gt;=AA695,OR(AB695="",Z695&gt;=AB695)),"CUMPLE","NO CUMPLE")&amp;IF(V695=""," (est.)","")))</f>
        <v/>
      </c>
      <c r="AD695" s="20" t="str">
        <f aca="false">IF(F695="","",IF(COUNTIFS(ABSORCION!$C$5:$C$1004,F695,ABSORCION!$I$5:$I$1004,"&gt;0")=0,"",AVERAGEIFS(ABSORCION!$I$5:$I$1004,ABSORCION!$C$5:$C$1004,F695,ABSORCION!$I$5:$I$1004,"&gt;0")))</f>
        <v/>
      </c>
      <c r="AE695" s="20" t="str">
        <f aca="false">IF(F695="","",IF(COUNTIFS(ABSORCION!$C$5:$C$1004,F695,ABSORCION!$I$5:$I$1004,"&gt;0")=0,"",AVERAGEIFS(ABSORCION!$K$5:$K$1004,ABSORCION!$C$5:$C$1004,F695,ABSORCION!$I$5:$I$1004,"&gt;0")))</f>
        <v/>
      </c>
      <c r="AF695" s="20" t="str">
        <f aca="false">IF(AE695="","",IF(AE695&gt;=CONFIG!$E$21,CONFIG!$F$21,IF(AE695&gt;=CONFIG!$E$20,CONFIG!$F$20,CONFIG!$F$19)))</f>
        <v/>
      </c>
      <c r="AG695" s="21" t="str">
        <f aca="false">IF(F695="","",TRIM(IF(N(M695)=0,"Sin ensayos. ","")&amp;IF(AND(N(M695)&gt;0,N(M695)&lt;CONFIG!$B$26),"Menos de "&amp;CONFIG!$B$26&amp;" probetas. ","")&amp;IF(N(T695)&gt;CONFIG!$B$25,"CV alto. ","")&amp;IF(AND(N(AD695)&gt;0,N(AD695)&gt;N(AF695)),"Absorción alta. ","")))</f>
        <v/>
      </c>
      <c r="AH695" s="22" t="str">
        <f aca="false">IF(AND(N(M695)&gt;0,OR(CONTROL!$C$4="TODAS",C695=CONTROL!$C$4),D695=CONTROL!$C$5),MAX($AH$4:AH694)+1,"")</f>
        <v/>
      </c>
      <c r="AI695" s="22" t="str">
        <f aca="false">IF(AH695="","",P695^2)</f>
        <v/>
      </c>
    </row>
    <row r="696" customFormat="false" ht="15" hidden="false" customHeight="false" outlineLevel="0" collapsed="false">
      <c r="A696" s="11" t="str">
        <f aca="false">IF(B696="","",ROW()-4)</f>
        <v/>
      </c>
      <c r="B696" s="12"/>
      <c r="C696" s="13"/>
      <c r="D696" s="13"/>
      <c r="E696" s="13"/>
      <c r="F696" s="14" t="str">
        <f aca="false">IF(OR(B696="",C696="",D696=""),"",IFERROR(INDEX(CONFIG!$E$5:$E$14,MATCH(D696,CONFIG!$D$5:$D$14,0)),"?")&amp;RIGHT("0"&amp;DAY(B696),2)&amp;RIGHT("0"&amp;MONTH(B696),2)&amp;RIGHT(YEAR(B696),2)&amp;C696&amp;IF(E696="","","-"&amp;E696))</f>
        <v/>
      </c>
      <c r="G696" s="13"/>
      <c r="H696" s="13"/>
      <c r="I696" s="13"/>
      <c r="J696" s="13"/>
      <c r="K696" s="13"/>
      <c r="L696" s="13"/>
      <c r="M696" s="11" t="str">
        <f aca="false">IF(F696="","",COUNTIFS(ENSAYOS!$C$5:$C$3004,F696,ENSAYOS!$Q$5:$Q$3004,"&gt;0"))</f>
        <v/>
      </c>
      <c r="N696" s="15" t="str">
        <f aca="false">IF(N(M696)=0,"",_xlfn.MINIFS(ENSAYOS!$G$5:$G$3004,ENSAYOS!$C$5:$C$3004,F696,ENSAYOS!$Q$5:$Q$3004,"&gt;0"))</f>
        <v/>
      </c>
      <c r="O696" s="15" t="str">
        <f aca="false">IF(N(M696)=0,"",_xlfn.MAXIFS(ENSAYOS!$G$5:$G$3004,ENSAYOS!$C$5:$C$3004,F696,ENSAYOS!$Q$5:$Q$3004,"&gt;0"))</f>
        <v/>
      </c>
      <c r="P696" s="16" t="str">
        <f aca="false">IF(N(M696)=0,"",AVERAGEIFS(ENSAYOS!$Q$5:$Q$3004,ENSAYOS!$C$5:$C$3004,F696,ENSAYOS!$Q$5:$Q$3004,"&gt;0"))</f>
        <v/>
      </c>
      <c r="Q696" s="16" t="str">
        <f aca="false">IF(N(M696)=0,"",_xlfn.MINIFS(ENSAYOS!$Q$5:$Q$3004,ENSAYOS!$C$5:$C$3004,F696,ENSAYOS!$Q$5:$Q$3004,"&gt;0"))</f>
        <v/>
      </c>
      <c r="R696" s="16" t="str">
        <f aca="false">IF(N(M696)=0,"",_xlfn.MAXIFS(ENSAYOS!$Q$5:$Q$3004,ENSAYOS!$C$5:$C$3004,F696,ENSAYOS!$Q$5:$Q$3004,"&gt;0"))</f>
        <v/>
      </c>
      <c r="S696" s="16" t="str">
        <f aca="false">IF(N(M696)&lt;2,"",SQRT(MAX(0,(SUMIFS(ENSAYOS!$X$5:$X$3004,ENSAYOS!$C$5:$C$3004,F696,ENSAYOS!$Q$5:$Q$3004,"&gt;0")-M696*P696^2)/(M696-1))))</f>
        <v/>
      </c>
      <c r="T696" s="17" t="str">
        <f aca="false">IF(S696="","",S696/P696)</f>
        <v/>
      </c>
      <c r="U696" s="16" t="str">
        <f aca="false">IF(N(M696)=0,"",IF(N696&gt;=CONFIG!$B$27,"",AVERAGEIFS(ENSAYOS!$Q$5:$Q$3004,ENSAYOS!$C$5:$C$3004,F696,ENSAYOS!$Q$5:$Q$3004,"&gt;0",ENSAYOS!$G$5:$G$3004,N696)))</f>
        <v/>
      </c>
      <c r="V696" s="16" t="str">
        <f aca="false">IF(N(M696)=0,"",IF(COUNTIFS(ENSAYOS!$C$5:$C$3004,F696,ENSAYOS!$Q$5:$Q$3004,"&gt;0",ENSAYOS!$G$5:$G$3004,"&gt;="&amp;CONFIG!$B$27)=0,"",AVERAGEIFS(ENSAYOS!$Q$5:$Q$3004,ENSAYOS!$C$5:$C$3004,F696,ENSAYOS!$Q$5:$Q$3004,"&gt;0",ENSAYOS!$G$5:$G$3004,"&gt;="&amp;CONFIG!$B$27)))</f>
        <v/>
      </c>
      <c r="W696" s="18" t="str">
        <f aca="false">IF(AND(U696&lt;&gt;"",V696&lt;&gt;""),U696/V696,"")</f>
        <v/>
      </c>
      <c r="X696" s="18" t="str">
        <f aca="false">IF(U696="","",INDEX('CURVA EDAD'!$E$5:$E$32,MIN(28,MAX(1,N696))))</f>
        <v/>
      </c>
      <c r="Y696" s="16" t="str">
        <f aca="false">IF(V696&lt;&gt;"",V696,IF(U696="","",U696/X696))</f>
        <v/>
      </c>
      <c r="Z696" s="16" t="str">
        <f aca="false">IF(V696&lt;&gt;"",_xlfn.MINIFS(ENSAYOS!$Q$5:$Q$3004,ENSAYOS!$C$5:$C$3004,F696,ENSAYOS!$Q$5:$Q$3004,"&gt;0",ENSAYOS!$G$5:$G$3004,"&gt;="&amp;CONFIG!$B$27),IF(U696="","",_xlfn.MINIFS(ENSAYOS!$Q$5:$Q$3004,ENSAYOS!$C$5:$C$3004,F696,ENSAYOS!$Q$5:$Q$3004,"&gt;0",ENSAYOS!$G$5:$G$3004,N696)/X696))</f>
        <v/>
      </c>
      <c r="AA696" s="16" t="str">
        <f aca="false">IF(D696="","",IFERROR(1/(1/INDEX(CONFIG!$J$5:$J$14,MATCH(D696,CONFIG!$D$5:$D$14,0))),""))</f>
        <v/>
      </c>
      <c r="AB696" s="16" t="str">
        <f aca="false">IF(D696="","",IFERROR(1/(1/INDEX(CONFIG!$K$5:$K$14,MATCH(D696,CONFIG!$D$5:$D$14,0))),""))</f>
        <v/>
      </c>
      <c r="AC696" s="19" t="str">
        <f aca="false">IF(N(M696)=0,"",IF(AA696="","Sin spec",IF(AND(Y696&gt;=AA696,OR(AB696="",Z696&gt;=AB696)),"CUMPLE","NO CUMPLE")&amp;IF(V696=""," (est.)","")))</f>
        <v/>
      </c>
      <c r="AD696" s="20" t="str">
        <f aca="false">IF(F696="","",IF(COUNTIFS(ABSORCION!$C$5:$C$1004,F696,ABSORCION!$I$5:$I$1004,"&gt;0")=0,"",AVERAGEIFS(ABSORCION!$I$5:$I$1004,ABSORCION!$C$5:$C$1004,F696,ABSORCION!$I$5:$I$1004,"&gt;0")))</f>
        <v/>
      </c>
      <c r="AE696" s="20" t="str">
        <f aca="false">IF(F696="","",IF(COUNTIFS(ABSORCION!$C$5:$C$1004,F696,ABSORCION!$I$5:$I$1004,"&gt;0")=0,"",AVERAGEIFS(ABSORCION!$K$5:$K$1004,ABSORCION!$C$5:$C$1004,F696,ABSORCION!$I$5:$I$1004,"&gt;0")))</f>
        <v/>
      </c>
      <c r="AF696" s="20" t="str">
        <f aca="false">IF(AE696="","",IF(AE696&gt;=CONFIG!$E$21,CONFIG!$F$21,IF(AE696&gt;=CONFIG!$E$20,CONFIG!$F$20,CONFIG!$F$19)))</f>
        <v/>
      </c>
      <c r="AG696" s="21" t="str">
        <f aca="false">IF(F696="","",TRIM(IF(N(M696)=0,"Sin ensayos. ","")&amp;IF(AND(N(M696)&gt;0,N(M696)&lt;CONFIG!$B$26),"Menos de "&amp;CONFIG!$B$26&amp;" probetas. ","")&amp;IF(N(T696)&gt;CONFIG!$B$25,"CV alto. ","")&amp;IF(AND(N(AD696)&gt;0,N(AD696)&gt;N(AF696)),"Absorción alta. ","")))</f>
        <v/>
      </c>
      <c r="AH696" s="22" t="str">
        <f aca="false">IF(AND(N(M696)&gt;0,OR(CONTROL!$C$4="TODAS",C696=CONTROL!$C$4),D696=CONTROL!$C$5),MAX($AH$4:AH695)+1,"")</f>
        <v/>
      </c>
      <c r="AI696" s="22" t="str">
        <f aca="false">IF(AH696="","",P696^2)</f>
        <v/>
      </c>
    </row>
    <row r="697" customFormat="false" ht="15" hidden="false" customHeight="false" outlineLevel="0" collapsed="false">
      <c r="A697" s="11" t="str">
        <f aca="false">IF(B697="","",ROW()-4)</f>
        <v/>
      </c>
      <c r="B697" s="12"/>
      <c r="C697" s="13"/>
      <c r="D697" s="13"/>
      <c r="E697" s="13"/>
      <c r="F697" s="14" t="str">
        <f aca="false">IF(OR(B697="",C697="",D697=""),"",IFERROR(INDEX(CONFIG!$E$5:$E$14,MATCH(D697,CONFIG!$D$5:$D$14,0)),"?")&amp;RIGHT("0"&amp;DAY(B697),2)&amp;RIGHT("0"&amp;MONTH(B697),2)&amp;RIGHT(YEAR(B697),2)&amp;C697&amp;IF(E697="","","-"&amp;E697))</f>
        <v/>
      </c>
      <c r="G697" s="13"/>
      <c r="H697" s="13"/>
      <c r="I697" s="13"/>
      <c r="J697" s="13"/>
      <c r="K697" s="13"/>
      <c r="L697" s="13"/>
      <c r="M697" s="11" t="str">
        <f aca="false">IF(F697="","",COUNTIFS(ENSAYOS!$C$5:$C$3004,F697,ENSAYOS!$Q$5:$Q$3004,"&gt;0"))</f>
        <v/>
      </c>
      <c r="N697" s="15" t="str">
        <f aca="false">IF(N(M697)=0,"",_xlfn.MINIFS(ENSAYOS!$G$5:$G$3004,ENSAYOS!$C$5:$C$3004,F697,ENSAYOS!$Q$5:$Q$3004,"&gt;0"))</f>
        <v/>
      </c>
      <c r="O697" s="15" t="str">
        <f aca="false">IF(N(M697)=0,"",_xlfn.MAXIFS(ENSAYOS!$G$5:$G$3004,ENSAYOS!$C$5:$C$3004,F697,ENSAYOS!$Q$5:$Q$3004,"&gt;0"))</f>
        <v/>
      </c>
      <c r="P697" s="16" t="str">
        <f aca="false">IF(N(M697)=0,"",AVERAGEIFS(ENSAYOS!$Q$5:$Q$3004,ENSAYOS!$C$5:$C$3004,F697,ENSAYOS!$Q$5:$Q$3004,"&gt;0"))</f>
        <v/>
      </c>
      <c r="Q697" s="16" t="str">
        <f aca="false">IF(N(M697)=0,"",_xlfn.MINIFS(ENSAYOS!$Q$5:$Q$3004,ENSAYOS!$C$5:$C$3004,F697,ENSAYOS!$Q$5:$Q$3004,"&gt;0"))</f>
        <v/>
      </c>
      <c r="R697" s="16" t="str">
        <f aca="false">IF(N(M697)=0,"",_xlfn.MAXIFS(ENSAYOS!$Q$5:$Q$3004,ENSAYOS!$C$5:$C$3004,F697,ENSAYOS!$Q$5:$Q$3004,"&gt;0"))</f>
        <v/>
      </c>
      <c r="S697" s="16" t="str">
        <f aca="false">IF(N(M697)&lt;2,"",SQRT(MAX(0,(SUMIFS(ENSAYOS!$X$5:$X$3004,ENSAYOS!$C$5:$C$3004,F697,ENSAYOS!$Q$5:$Q$3004,"&gt;0")-M697*P697^2)/(M697-1))))</f>
        <v/>
      </c>
      <c r="T697" s="17" t="str">
        <f aca="false">IF(S697="","",S697/P697)</f>
        <v/>
      </c>
      <c r="U697" s="16" t="str">
        <f aca="false">IF(N(M697)=0,"",IF(N697&gt;=CONFIG!$B$27,"",AVERAGEIFS(ENSAYOS!$Q$5:$Q$3004,ENSAYOS!$C$5:$C$3004,F697,ENSAYOS!$Q$5:$Q$3004,"&gt;0",ENSAYOS!$G$5:$G$3004,N697)))</f>
        <v/>
      </c>
      <c r="V697" s="16" t="str">
        <f aca="false">IF(N(M697)=0,"",IF(COUNTIFS(ENSAYOS!$C$5:$C$3004,F697,ENSAYOS!$Q$5:$Q$3004,"&gt;0",ENSAYOS!$G$5:$G$3004,"&gt;="&amp;CONFIG!$B$27)=0,"",AVERAGEIFS(ENSAYOS!$Q$5:$Q$3004,ENSAYOS!$C$5:$C$3004,F697,ENSAYOS!$Q$5:$Q$3004,"&gt;0",ENSAYOS!$G$5:$G$3004,"&gt;="&amp;CONFIG!$B$27)))</f>
        <v/>
      </c>
      <c r="W697" s="18" t="str">
        <f aca="false">IF(AND(U697&lt;&gt;"",V697&lt;&gt;""),U697/V697,"")</f>
        <v/>
      </c>
      <c r="X697" s="18" t="str">
        <f aca="false">IF(U697="","",INDEX('CURVA EDAD'!$E$5:$E$32,MIN(28,MAX(1,N697))))</f>
        <v/>
      </c>
      <c r="Y697" s="16" t="str">
        <f aca="false">IF(V697&lt;&gt;"",V697,IF(U697="","",U697/X697))</f>
        <v/>
      </c>
      <c r="Z697" s="16" t="str">
        <f aca="false">IF(V697&lt;&gt;"",_xlfn.MINIFS(ENSAYOS!$Q$5:$Q$3004,ENSAYOS!$C$5:$C$3004,F697,ENSAYOS!$Q$5:$Q$3004,"&gt;0",ENSAYOS!$G$5:$G$3004,"&gt;="&amp;CONFIG!$B$27),IF(U697="","",_xlfn.MINIFS(ENSAYOS!$Q$5:$Q$3004,ENSAYOS!$C$5:$C$3004,F697,ENSAYOS!$Q$5:$Q$3004,"&gt;0",ENSAYOS!$G$5:$G$3004,N697)/X697))</f>
        <v/>
      </c>
      <c r="AA697" s="16" t="str">
        <f aca="false">IF(D697="","",IFERROR(1/(1/INDEX(CONFIG!$J$5:$J$14,MATCH(D697,CONFIG!$D$5:$D$14,0))),""))</f>
        <v/>
      </c>
      <c r="AB697" s="16" t="str">
        <f aca="false">IF(D697="","",IFERROR(1/(1/INDEX(CONFIG!$K$5:$K$14,MATCH(D697,CONFIG!$D$5:$D$14,0))),""))</f>
        <v/>
      </c>
      <c r="AC697" s="19" t="str">
        <f aca="false">IF(N(M697)=0,"",IF(AA697="","Sin spec",IF(AND(Y697&gt;=AA697,OR(AB697="",Z697&gt;=AB697)),"CUMPLE","NO CUMPLE")&amp;IF(V697=""," (est.)","")))</f>
        <v/>
      </c>
      <c r="AD697" s="20" t="str">
        <f aca="false">IF(F697="","",IF(COUNTIFS(ABSORCION!$C$5:$C$1004,F697,ABSORCION!$I$5:$I$1004,"&gt;0")=0,"",AVERAGEIFS(ABSORCION!$I$5:$I$1004,ABSORCION!$C$5:$C$1004,F697,ABSORCION!$I$5:$I$1004,"&gt;0")))</f>
        <v/>
      </c>
      <c r="AE697" s="20" t="str">
        <f aca="false">IF(F697="","",IF(COUNTIFS(ABSORCION!$C$5:$C$1004,F697,ABSORCION!$I$5:$I$1004,"&gt;0")=0,"",AVERAGEIFS(ABSORCION!$K$5:$K$1004,ABSORCION!$C$5:$C$1004,F697,ABSORCION!$I$5:$I$1004,"&gt;0")))</f>
        <v/>
      </c>
      <c r="AF697" s="20" t="str">
        <f aca="false">IF(AE697="","",IF(AE697&gt;=CONFIG!$E$21,CONFIG!$F$21,IF(AE697&gt;=CONFIG!$E$20,CONFIG!$F$20,CONFIG!$F$19)))</f>
        <v/>
      </c>
      <c r="AG697" s="21" t="str">
        <f aca="false">IF(F697="","",TRIM(IF(N(M697)=0,"Sin ensayos. ","")&amp;IF(AND(N(M697)&gt;0,N(M697)&lt;CONFIG!$B$26),"Menos de "&amp;CONFIG!$B$26&amp;" probetas. ","")&amp;IF(N(T697)&gt;CONFIG!$B$25,"CV alto. ","")&amp;IF(AND(N(AD697)&gt;0,N(AD697)&gt;N(AF697)),"Absorción alta. ","")))</f>
        <v/>
      </c>
      <c r="AH697" s="22" t="str">
        <f aca="false">IF(AND(N(M697)&gt;0,OR(CONTROL!$C$4="TODAS",C697=CONTROL!$C$4),D697=CONTROL!$C$5),MAX($AH$4:AH696)+1,"")</f>
        <v/>
      </c>
      <c r="AI697" s="22" t="str">
        <f aca="false">IF(AH697="","",P697^2)</f>
        <v/>
      </c>
    </row>
    <row r="698" customFormat="false" ht="15" hidden="false" customHeight="false" outlineLevel="0" collapsed="false">
      <c r="A698" s="11" t="str">
        <f aca="false">IF(B698="","",ROW()-4)</f>
        <v/>
      </c>
      <c r="B698" s="12"/>
      <c r="C698" s="13"/>
      <c r="D698" s="13"/>
      <c r="E698" s="13"/>
      <c r="F698" s="14" t="str">
        <f aca="false">IF(OR(B698="",C698="",D698=""),"",IFERROR(INDEX(CONFIG!$E$5:$E$14,MATCH(D698,CONFIG!$D$5:$D$14,0)),"?")&amp;RIGHT("0"&amp;DAY(B698),2)&amp;RIGHT("0"&amp;MONTH(B698),2)&amp;RIGHT(YEAR(B698),2)&amp;C698&amp;IF(E698="","","-"&amp;E698))</f>
        <v/>
      </c>
      <c r="G698" s="13"/>
      <c r="H698" s="13"/>
      <c r="I698" s="13"/>
      <c r="J698" s="13"/>
      <c r="K698" s="13"/>
      <c r="L698" s="13"/>
      <c r="M698" s="11" t="str">
        <f aca="false">IF(F698="","",COUNTIFS(ENSAYOS!$C$5:$C$3004,F698,ENSAYOS!$Q$5:$Q$3004,"&gt;0"))</f>
        <v/>
      </c>
      <c r="N698" s="15" t="str">
        <f aca="false">IF(N(M698)=0,"",_xlfn.MINIFS(ENSAYOS!$G$5:$G$3004,ENSAYOS!$C$5:$C$3004,F698,ENSAYOS!$Q$5:$Q$3004,"&gt;0"))</f>
        <v/>
      </c>
      <c r="O698" s="15" t="str">
        <f aca="false">IF(N(M698)=0,"",_xlfn.MAXIFS(ENSAYOS!$G$5:$G$3004,ENSAYOS!$C$5:$C$3004,F698,ENSAYOS!$Q$5:$Q$3004,"&gt;0"))</f>
        <v/>
      </c>
      <c r="P698" s="16" t="str">
        <f aca="false">IF(N(M698)=0,"",AVERAGEIFS(ENSAYOS!$Q$5:$Q$3004,ENSAYOS!$C$5:$C$3004,F698,ENSAYOS!$Q$5:$Q$3004,"&gt;0"))</f>
        <v/>
      </c>
      <c r="Q698" s="16" t="str">
        <f aca="false">IF(N(M698)=0,"",_xlfn.MINIFS(ENSAYOS!$Q$5:$Q$3004,ENSAYOS!$C$5:$C$3004,F698,ENSAYOS!$Q$5:$Q$3004,"&gt;0"))</f>
        <v/>
      </c>
      <c r="R698" s="16" t="str">
        <f aca="false">IF(N(M698)=0,"",_xlfn.MAXIFS(ENSAYOS!$Q$5:$Q$3004,ENSAYOS!$C$5:$C$3004,F698,ENSAYOS!$Q$5:$Q$3004,"&gt;0"))</f>
        <v/>
      </c>
      <c r="S698" s="16" t="str">
        <f aca="false">IF(N(M698)&lt;2,"",SQRT(MAX(0,(SUMIFS(ENSAYOS!$X$5:$X$3004,ENSAYOS!$C$5:$C$3004,F698,ENSAYOS!$Q$5:$Q$3004,"&gt;0")-M698*P698^2)/(M698-1))))</f>
        <v/>
      </c>
      <c r="T698" s="17" t="str">
        <f aca="false">IF(S698="","",S698/P698)</f>
        <v/>
      </c>
      <c r="U698" s="16" t="str">
        <f aca="false">IF(N(M698)=0,"",IF(N698&gt;=CONFIG!$B$27,"",AVERAGEIFS(ENSAYOS!$Q$5:$Q$3004,ENSAYOS!$C$5:$C$3004,F698,ENSAYOS!$Q$5:$Q$3004,"&gt;0",ENSAYOS!$G$5:$G$3004,N698)))</f>
        <v/>
      </c>
      <c r="V698" s="16" t="str">
        <f aca="false">IF(N(M698)=0,"",IF(COUNTIFS(ENSAYOS!$C$5:$C$3004,F698,ENSAYOS!$Q$5:$Q$3004,"&gt;0",ENSAYOS!$G$5:$G$3004,"&gt;="&amp;CONFIG!$B$27)=0,"",AVERAGEIFS(ENSAYOS!$Q$5:$Q$3004,ENSAYOS!$C$5:$C$3004,F698,ENSAYOS!$Q$5:$Q$3004,"&gt;0",ENSAYOS!$G$5:$G$3004,"&gt;="&amp;CONFIG!$B$27)))</f>
        <v/>
      </c>
      <c r="W698" s="18" t="str">
        <f aca="false">IF(AND(U698&lt;&gt;"",V698&lt;&gt;""),U698/V698,"")</f>
        <v/>
      </c>
      <c r="X698" s="18" t="str">
        <f aca="false">IF(U698="","",INDEX('CURVA EDAD'!$E$5:$E$32,MIN(28,MAX(1,N698))))</f>
        <v/>
      </c>
      <c r="Y698" s="16" t="str">
        <f aca="false">IF(V698&lt;&gt;"",V698,IF(U698="","",U698/X698))</f>
        <v/>
      </c>
      <c r="Z698" s="16" t="str">
        <f aca="false">IF(V698&lt;&gt;"",_xlfn.MINIFS(ENSAYOS!$Q$5:$Q$3004,ENSAYOS!$C$5:$C$3004,F698,ENSAYOS!$Q$5:$Q$3004,"&gt;0",ENSAYOS!$G$5:$G$3004,"&gt;="&amp;CONFIG!$B$27),IF(U698="","",_xlfn.MINIFS(ENSAYOS!$Q$5:$Q$3004,ENSAYOS!$C$5:$C$3004,F698,ENSAYOS!$Q$5:$Q$3004,"&gt;0",ENSAYOS!$G$5:$G$3004,N698)/X698))</f>
        <v/>
      </c>
      <c r="AA698" s="16" t="str">
        <f aca="false">IF(D698="","",IFERROR(1/(1/INDEX(CONFIG!$J$5:$J$14,MATCH(D698,CONFIG!$D$5:$D$14,0))),""))</f>
        <v/>
      </c>
      <c r="AB698" s="16" t="str">
        <f aca="false">IF(D698="","",IFERROR(1/(1/INDEX(CONFIG!$K$5:$K$14,MATCH(D698,CONFIG!$D$5:$D$14,0))),""))</f>
        <v/>
      </c>
      <c r="AC698" s="19" t="str">
        <f aca="false">IF(N(M698)=0,"",IF(AA698="","Sin spec",IF(AND(Y698&gt;=AA698,OR(AB698="",Z698&gt;=AB698)),"CUMPLE","NO CUMPLE")&amp;IF(V698=""," (est.)","")))</f>
        <v/>
      </c>
      <c r="AD698" s="20" t="str">
        <f aca="false">IF(F698="","",IF(COUNTIFS(ABSORCION!$C$5:$C$1004,F698,ABSORCION!$I$5:$I$1004,"&gt;0")=0,"",AVERAGEIFS(ABSORCION!$I$5:$I$1004,ABSORCION!$C$5:$C$1004,F698,ABSORCION!$I$5:$I$1004,"&gt;0")))</f>
        <v/>
      </c>
      <c r="AE698" s="20" t="str">
        <f aca="false">IF(F698="","",IF(COUNTIFS(ABSORCION!$C$5:$C$1004,F698,ABSORCION!$I$5:$I$1004,"&gt;0")=0,"",AVERAGEIFS(ABSORCION!$K$5:$K$1004,ABSORCION!$C$5:$C$1004,F698,ABSORCION!$I$5:$I$1004,"&gt;0")))</f>
        <v/>
      </c>
      <c r="AF698" s="20" t="str">
        <f aca="false">IF(AE698="","",IF(AE698&gt;=CONFIG!$E$21,CONFIG!$F$21,IF(AE698&gt;=CONFIG!$E$20,CONFIG!$F$20,CONFIG!$F$19)))</f>
        <v/>
      </c>
      <c r="AG698" s="21" t="str">
        <f aca="false">IF(F698="","",TRIM(IF(N(M698)=0,"Sin ensayos. ","")&amp;IF(AND(N(M698)&gt;0,N(M698)&lt;CONFIG!$B$26),"Menos de "&amp;CONFIG!$B$26&amp;" probetas. ","")&amp;IF(N(T698)&gt;CONFIG!$B$25,"CV alto. ","")&amp;IF(AND(N(AD698)&gt;0,N(AD698)&gt;N(AF698)),"Absorción alta. ","")))</f>
        <v/>
      </c>
      <c r="AH698" s="22" t="str">
        <f aca="false">IF(AND(N(M698)&gt;0,OR(CONTROL!$C$4="TODAS",C698=CONTROL!$C$4),D698=CONTROL!$C$5),MAX($AH$4:AH697)+1,"")</f>
        <v/>
      </c>
      <c r="AI698" s="22" t="str">
        <f aca="false">IF(AH698="","",P698^2)</f>
        <v/>
      </c>
    </row>
    <row r="699" customFormat="false" ht="15" hidden="false" customHeight="false" outlineLevel="0" collapsed="false">
      <c r="A699" s="11" t="str">
        <f aca="false">IF(B699="","",ROW()-4)</f>
        <v/>
      </c>
      <c r="B699" s="12"/>
      <c r="C699" s="13"/>
      <c r="D699" s="13"/>
      <c r="E699" s="13"/>
      <c r="F699" s="14" t="str">
        <f aca="false">IF(OR(B699="",C699="",D699=""),"",IFERROR(INDEX(CONFIG!$E$5:$E$14,MATCH(D699,CONFIG!$D$5:$D$14,0)),"?")&amp;RIGHT("0"&amp;DAY(B699),2)&amp;RIGHT("0"&amp;MONTH(B699),2)&amp;RIGHT(YEAR(B699),2)&amp;C699&amp;IF(E699="","","-"&amp;E699))</f>
        <v/>
      </c>
      <c r="G699" s="13"/>
      <c r="H699" s="13"/>
      <c r="I699" s="13"/>
      <c r="J699" s="13"/>
      <c r="K699" s="13"/>
      <c r="L699" s="13"/>
      <c r="M699" s="11" t="str">
        <f aca="false">IF(F699="","",COUNTIFS(ENSAYOS!$C$5:$C$3004,F699,ENSAYOS!$Q$5:$Q$3004,"&gt;0"))</f>
        <v/>
      </c>
      <c r="N699" s="15" t="str">
        <f aca="false">IF(N(M699)=0,"",_xlfn.MINIFS(ENSAYOS!$G$5:$G$3004,ENSAYOS!$C$5:$C$3004,F699,ENSAYOS!$Q$5:$Q$3004,"&gt;0"))</f>
        <v/>
      </c>
      <c r="O699" s="15" t="str">
        <f aca="false">IF(N(M699)=0,"",_xlfn.MAXIFS(ENSAYOS!$G$5:$G$3004,ENSAYOS!$C$5:$C$3004,F699,ENSAYOS!$Q$5:$Q$3004,"&gt;0"))</f>
        <v/>
      </c>
      <c r="P699" s="16" t="str">
        <f aca="false">IF(N(M699)=0,"",AVERAGEIFS(ENSAYOS!$Q$5:$Q$3004,ENSAYOS!$C$5:$C$3004,F699,ENSAYOS!$Q$5:$Q$3004,"&gt;0"))</f>
        <v/>
      </c>
      <c r="Q699" s="16" t="str">
        <f aca="false">IF(N(M699)=0,"",_xlfn.MINIFS(ENSAYOS!$Q$5:$Q$3004,ENSAYOS!$C$5:$C$3004,F699,ENSAYOS!$Q$5:$Q$3004,"&gt;0"))</f>
        <v/>
      </c>
      <c r="R699" s="16" t="str">
        <f aca="false">IF(N(M699)=0,"",_xlfn.MAXIFS(ENSAYOS!$Q$5:$Q$3004,ENSAYOS!$C$5:$C$3004,F699,ENSAYOS!$Q$5:$Q$3004,"&gt;0"))</f>
        <v/>
      </c>
      <c r="S699" s="16" t="str">
        <f aca="false">IF(N(M699)&lt;2,"",SQRT(MAX(0,(SUMIFS(ENSAYOS!$X$5:$X$3004,ENSAYOS!$C$5:$C$3004,F699,ENSAYOS!$Q$5:$Q$3004,"&gt;0")-M699*P699^2)/(M699-1))))</f>
        <v/>
      </c>
      <c r="T699" s="17" t="str">
        <f aca="false">IF(S699="","",S699/P699)</f>
        <v/>
      </c>
      <c r="U699" s="16" t="str">
        <f aca="false">IF(N(M699)=0,"",IF(N699&gt;=CONFIG!$B$27,"",AVERAGEIFS(ENSAYOS!$Q$5:$Q$3004,ENSAYOS!$C$5:$C$3004,F699,ENSAYOS!$Q$5:$Q$3004,"&gt;0",ENSAYOS!$G$5:$G$3004,N699)))</f>
        <v/>
      </c>
      <c r="V699" s="16" t="str">
        <f aca="false">IF(N(M699)=0,"",IF(COUNTIFS(ENSAYOS!$C$5:$C$3004,F699,ENSAYOS!$Q$5:$Q$3004,"&gt;0",ENSAYOS!$G$5:$G$3004,"&gt;="&amp;CONFIG!$B$27)=0,"",AVERAGEIFS(ENSAYOS!$Q$5:$Q$3004,ENSAYOS!$C$5:$C$3004,F699,ENSAYOS!$Q$5:$Q$3004,"&gt;0",ENSAYOS!$G$5:$G$3004,"&gt;="&amp;CONFIG!$B$27)))</f>
        <v/>
      </c>
      <c r="W699" s="18" t="str">
        <f aca="false">IF(AND(U699&lt;&gt;"",V699&lt;&gt;""),U699/V699,"")</f>
        <v/>
      </c>
      <c r="X699" s="18" t="str">
        <f aca="false">IF(U699="","",INDEX('CURVA EDAD'!$E$5:$E$32,MIN(28,MAX(1,N699))))</f>
        <v/>
      </c>
      <c r="Y699" s="16" t="str">
        <f aca="false">IF(V699&lt;&gt;"",V699,IF(U699="","",U699/X699))</f>
        <v/>
      </c>
      <c r="Z699" s="16" t="str">
        <f aca="false">IF(V699&lt;&gt;"",_xlfn.MINIFS(ENSAYOS!$Q$5:$Q$3004,ENSAYOS!$C$5:$C$3004,F699,ENSAYOS!$Q$5:$Q$3004,"&gt;0",ENSAYOS!$G$5:$G$3004,"&gt;="&amp;CONFIG!$B$27),IF(U699="","",_xlfn.MINIFS(ENSAYOS!$Q$5:$Q$3004,ENSAYOS!$C$5:$C$3004,F699,ENSAYOS!$Q$5:$Q$3004,"&gt;0",ENSAYOS!$G$5:$G$3004,N699)/X699))</f>
        <v/>
      </c>
      <c r="AA699" s="16" t="str">
        <f aca="false">IF(D699="","",IFERROR(1/(1/INDEX(CONFIG!$J$5:$J$14,MATCH(D699,CONFIG!$D$5:$D$14,0))),""))</f>
        <v/>
      </c>
      <c r="AB699" s="16" t="str">
        <f aca="false">IF(D699="","",IFERROR(1/(1/INDEX(CONFIG!$K$5:$K$14,MATCH(D699,CONFIG!$D$5:$D$14,0))),""))</f>
        <v/>
      </c>
      <c r="AC699" s="19" t="str">
        <f aca="false">IF(N(M699)=0,"",IF(AA699="","Sin spec",IF(AND(Y699&gt;=AA699,OR(AB699="",Z699&gt;=AB699)),"CUMPLE","NO CUMPLE")&amp;IF(V699=""," (est.)","")))</f>
        <v/>
      </c>
      <c r="AD699" s="20" t="str">
        <f aca="false">IF(F699="","",IF(COUNTIFS(ABSORCION!$C$5:$C$1004,F699,ABSORCION!$I$5:$I$1004,"&gt;0")=0,"",AVERAGEIFS(ABSORCION!$I$5:$I$1004,ABSORCION!$C$5:$C$1004,F699,ABSORCION!$I$5:$I$1004,"&gt;0")))</f>
        <v/>
      </c>
      <c r="AE699" s="20" t="str">
        <f aca="false">IF(F699="","",IF(COUNTIFS(ABSORCION!$C$5:$C$1004,F699,ABSORCION!$I$5:$I$1004,"&gt;0")=0,"",AVERAGEIFS(ABSORCION!$K$5:$K$1004,ABSORCION!$C$5:$C$1004,F699,ABSORCION!$I$5:$I$1004,"&gt;0")))</f>
        <v/>
      </c>
      <c r="AF699" s="20" t="str">
        <f aca="false">IF(AE699="","",IF(AE699&gt;=CONFIG!$E$21,CONFIG!$F$21,IF(AE699&gt;=CONFIG!$E$20,CONFIG!$F$20,CONFIG!$F$19)))</f>
        <v/>
      </c>
      <c r="AG699" s="21" t="str">
        <f aca="false">IF(F699="","",TRIM(IF(N(M699)=0,"Sin ensayos. ","")&amp;IF(AND(N(M699)&gt;0,N(M699)&lt;CONFIG!$B$26),"Menos de "&amp;CONFIG!$B$26&amp;" probetas. ","")&amp;IF(N(T699)&gt;CONFIG!$B$25,"CV alto. ","")&amp;IF(AND(N(AD699)&gt;0,N(AD699)&gt;N(AF699)),"Absorción alta. ","")))</f>
        <v/>
      </c>
      <c r="AH699" s="22" t="str">
        <f aca="false">IF(AND(N(M699)&gt;0,OR(CONTROL!$C$4="TODAS",C699=CONTROL!$C$4),D699=CONTROL!$C$5),MAX($AH$4:AH698)+1,"")</f>
        <v/>
      </c>
      <c r="AI699" s="22" t="str">
        <f aca="false">IF(AH699="","",P699^2)</f>
        <v/>
      </c>
    </row>
    <row r="700" customFormat="false" ht="15" hidden="false" customHeight="false" outlineLevel="0" collapsed="false">
      <c r="A700" s="11" t="str">
        <f aca="false">IF(B700="","",ROW()-4)</f>
        <v/>
      </c>
      <c r="B700" s="12"/>
      <c r="C700" s="13"/>
      <c r="D700" s="13"/>
      <c r="E700" s="13"/>
      <c r="F700" s="14" t="str">
        <f aca="false">IF(OR(B700="",C700="",D700=""),"",IFERROR(INDEX(CONFIG!$E$5:$E$14,MATCH(D700,CONFIG!$D$5:$D$14,0)),"?")&amp;RIGHT("0"&amp;DAY(B700),2)&amp;RIGHT("0"&amp;MONTH(B700),2)&amp;RIGHT(YEAR(B700),2)&amp;C700&amp;IF(E700="","","-"&amp;E700))</f>
        <v/>
      </c>
      <c r="G700" s="13"/>
      <c r="H700" s="13"/>
      <c r="I700" s="13"/>
      <c r="J700" s="13"/>
      <c r="K700" s="13"/>
      <c r="L700" s="13"/>
      <c r="M700" s="11" t="str">
        <f aca="false">IF(F700="","",COUNTIFS(ENSAYOS!$C$5:$C$3004,F700,ENSAYOS!$Q$5:$Q$3004,"&gt;0"))</f>
        <v/>
      </c>
      <c r="N700" s="15" t="str">
        <f aca="false">IF(N(M700)=0,"",_xlfn.MINIFS(ENSAYOS!$G$5:$G$3004,ENSAYOS!$C$5:$C$3004,F700,ENSAYOS!$Q$5:$Q$3004,"&gt;0"))</f>
        <v/>
      </c>
      <c r="O700" s="15" t="str">
        <f aca="false">IF(N(M700)=0,"",_xlfn.MAXIFS(ENSAYOS!$G$5:$G$3004,ENSAYOS!$C$5:$C$3004,F700,ENSAYOS!$Q$5:$Q$3004,"&gt;0"))</f>
        <v/>
      </c>
      <c r="P700" s="16" t="str">
        <f aca="false">IF(N(M700)=0,"",AVERAGEIFS(ENSAYOS!$Q$5:$Q$3004,ENSAYOS!$C$5:$C$3004,F700,ENSAYOS!$Q$5:$Q$3004,"&gt;0"))</f>
        <v/>
      </c>
      <c r="Q700" s="16" t="str">
        <f aca="false">IF(N(M700)=0,"",_xlfn.MINIFS(ENSAYOS!$Q$5:$Q$3004,ENSAYOS!$C$5:$C$3004,F700,ENSAYOS!$Q$5:$Q$3004,"&gt;0"))</f>
        <v/>
      </c>
      <c r="R700" s="16" t="str">
        <f aca="false">IF(N(M700)=0,"",_xlfn.MAXIFS(ENSAYOS!$Q$5:$Q$3004,ENSAYOS!$C$5:$C$3004,F700,ENSAYOS!$Q$5:$Q$3004,"&gt;0"))</f>
        <v/>
      </c>
      <c r="S700" s="16" t="str">
        <f aca="false">IF(N(M700)&lt;2,"",SQRT(MAX(0,(SUMIFS(ENSAYOS!$X$5:$X$3004,ENSAYOS!$C$5:$C$3004,F700,ENSAYOS!$Q$5:$Q$3004,"&gt;0")-M700*P700^2)/(M700-1))))</f>
        <v/>
      </c>
      <c r="T700" s="17" t="str">
        <f aca="false">IF(S700="","",S700/P700)</f>
        <v/>
      </c>
      <c r="U700" s="16" t="str">
        <f aca="false">IF(N(M700)=0,"",IF(N700&gt;=CONFIG!$B$27,"",AVERAGEIFS(ENSAYOS!$Q$5:$Q$3004,ENSAYOS!$C$5:$C$3004,F700,ENSAYOS!$Q$5:$Q$3004,"&gt;0",ENSAYOS!$G$5:$G$3004,N700)))</f>
        <v/>
      </c>
      <c r="V700" s="16" t="str">
        <f aca="false">IF(N(M700)=0,"",IF(COUNTIFS(ENSAYOS!$C$5:$C$3004,F700,ENSAYOS!$Q$5:$Q$3004,"&gt;0",ENSAYOS!$G$5:$G$3004,"&gt;="&amp;CONFIG!$B$27)=0,"",AVERAGEIFS(ENSAYOS!$Q$5:$Q$3004,ENSAYOS!$C$5:$C$3004,F700,ENSAYOS!$Q$5:$Q$3004,"&gt;0",ENSAYOS!$G$5:$G$3004,"&gt;="&amp;CONFIG!$B$27)))</f>
        <v/>
      </c>
      <c r="W700" s="18" t="str">
        <f aca="false">IF(AND(U700&lt;&gt;"",V700&lt;&gt;""),U700/V700,"")</f>
        <v/>
      </c>
      <c r="X700" s="18" t="str">
        <f aca="false">IF(U700="","",INDEX('CURVA EDAD'!$E$5:$E$32,MIN(28,MAX(1,N700))))</f>
        <v/>
      </c>
      <c r="Y700" s="16" t="str">
        <f aca="false">IF(V700&lt;&gt;"",V700,IF(U700="","",U700/X700))</f>
        <v/>
      </c>
      <c r="Z700" s="16" t="str">
        <f aca="false">IF(V700&lt;&gt;"",_xlfn.MINIFS(ENSAYOS!$Q$5:$Q$3004,ENSAYOS!$C$5:$C$3004,F700,ENSAYOS!$Q$5:$Q$3004,"&gt;0",ENSAYOS!$G$5:$G$3004,"&gt;="&amp;CONFIG!$B$27),IF(U700="","",_xlfn.MINIFS(ENSAYOS!$Q$5:$Q$3004,ENSAYOS!$C$5:$C$3004,F700,ENSAYOS!$Q$5:$Q$3004,"&gt;0",ENSAYOS!$G$5:$G$3004,N700)/X700))</f>
        <v/>
      </c>
      <c r="AA700" s="16" t="str">
        <f aca="false">IF(D700="","",IFERROR(1/(1/INDEX(CONFIG!$J$5:$J$14,MATCH(D700,CONFIG!$D$5:$D$14,0))),""))</f>
        <v/>
      </c>
      <c r="AB700" s="16" t="str">
        <f aca="false">IF(D700="","",IFERROR(1/(1/INDEX(CONFIG!$K$5:$K$14,MATCH(D700,CONFIG!$D$5:$D$14,0))),""))</f>
        <v/>
      </c>
      <c r="AC700" s="19" t="str">
        <f aca="false">IF(N(M700)=0,"",IF(AA700="","Sin spec",IF(AND(Y700&gt;=AA700,OR(AB700="",Z700&gt;=AB700)),"CUMPLE","NO CUMPLE")&amp;IF(V700=""," (est.)","")))</f>
        <v/>
      </c>
      <c r="AD700" s="20" t="str">
        <f aca="false">IF(F700="","",IF(COUNTIFS(ABSORCION!$C$5:$C$1004,F700,ABSORCION!$I$5:$I$1004,"&gt;0")=0,"",AVERAGEIFS(ABSORCION!$I$5:$I$1004,ABSORCION!$C$5:$C$1004,F700,ABSORCION!$I$5:$I$1004,"&gt;0")))</f>
        <v/>
      </c>
      <c r="AE700" s="20" t="str">
        <f aca="false">IF(F700="","",IF(COUNTIFS(ABSORCION!$C$5:$C$1004,F700,ABSORCION!$I$5:$I$1004,"&gt;0")=0,"",AVERAGEIFS(ABSORCION!$K$5:$K$1004,ABSORCION!$C$5:$C$1004,F700,ABSORCION!$I$5:$I$1004,"&gt;0")))</f>
        <v/>
      </c>
      <c r="AF700" s="20" t="str">
        <f aca="false">IF(AE700="","",IF(AE700&gt;=CONFIG!$E$21,CONFIG!$F$21,IF(AE700&gt;=CONFIG!$E$20,CONFIG!$F$20,CONFIG!$F$19)))</f>
        <v/>
      </c>
      <c r="AG700" s="21" t="str">
        <f aca="false">IF(F700="","",TRIM(IF(N(M700)=0,"Sin ensayos. ","")&amp;IF(AND(N(M700)&gt;0,N(M700)&lt;CONFIG!$B$26),"Menos de "&amp;CONFIG!$B$26&amp;" probetas. ","")&amp;IF(N(T700)&gt;CONFIG!$B$25,"CV alto. ","")&amp;IF(AND(N(AD700)&gt;0,N(AD700)&gt;N(AF700)),"Absorción alta. ","")))</f>
        <v/>
      </c>
      <c r="AH700" s="22" t="str">
        <f aca="false">IF(AND(N(M700)&gt;0,OR(CONTROL!$C$4="TODAS",C700=CONTROL!$C$4),D700=CONTROL!$C$5),MAX($AH$4:AH699)+1,"")</f>
        <v/>
      </c>
      <c r="AI700" s="22" t="str">
        <f aca="false">IF(AH700="","",P700^2)</f>
        <v/>
      </c>
    </row>
    <row r="701" customFormat="false" ht="15" hidden="false" customHeight="false" outlineLevel="0" collapsed="false">
      <c r="A701" s="11" t="str">
        <f aca="false">IF(B701="","",ROW()-4)</f>
        <v/>
      </c>
      <c r="B701" s="12"/>
      <c r="C701" s="13"/>
      <c r="D701" s="13"/>
      <c r="E701" s="13"/>
      <c r="F701" s="14" t="str">
        <f aca="false">IF(OR(B701="",C701="",D701=""),"",IFERROR(INDEX(CONFIG!$E$5:$E$14,MATCH(D701,CONFIG!$D$5:$D$14,0)),"?")&amp;RIGHT("0"&amp;DAY(B701),2)&amp;RIGHT("0"&amp;MONTH(B701),2)&amp;RIGHT(YEAR(B701),2)&amp;C701&amp;IF(E701="","","-"&amp;E701))</f>
        <v/>
      </c>
      <c r="G701" s="13"/>
      <c r="H701" s="13"/>
      <c r="I701" s="13"/>
      <c r="J701" s="13"/>
      <c r="K701" s="13"/>
      <c r="L701" s="13"/>
      <c r="M701" s="11" t="str">
        <f aca="false">IF(F701="","",COUNTIFS(ENSAYOS!$C$5:$C$3004,F701,ENSAYOS!$Q$5:$Q$3004,"&gt;0"))</f>
        <v/>
      </c>
      <c r="N701" s="15" t="str">
        <f aca="false">IF(N(M701)=0,"",_xlfn.MINIFS(ENSAYOS!$G$5:$G$3004,ENSAYOS!$C$5:$C$3004,F701,ENSAYOS!$Q$5:$Q$3004,"&gt;0"))</f>
        <v/>
      </c>
      <c r="O701" s="15" t="str">
        <f aca="false">IF(N(M701)=0,"",_xlfn.MAXIFS(ENSAYOS!$G$5:$G$3004,ENSAYOS!$C$5:$C$3004,F701,ENSAYOS!$Q$5:$Q$3004,"&gt;0"))</f>
        <v/>
      </c>
      <c r="P701" s="16" t="str">
        <f aca="false">IF(N(M701)=0,"",AVERAGEIFS(ENSAYOS!$Q$5:$Q$3004,ENSAYOS!$C$5:$C$3004,F701,ENSAYOS!$Q$5:$Q$3004,"&gt;0"))</f>
        <v/>
      </c>
      <c r="Q701" s="16" t="str">
        <f aca="false">IF(N(M701)=0,"",_xlfn.MINIFS(ENSAYOS!$Q$5:$Q$3004,ENSAYOS!$C$5:$C$3004,F701,ENSAYOS!$Q$5:$Q$3004,"&gt;0"))</f>
        <v/>
      </c>
      <c r="R701" s="16" t="str">
        <f aca="false">IF(N(M701)=0,"",_xlfn.MAXIFS(ENSAYOS!$Q$5:$Q$3004,ENSAYOS!$C$5:$C$3004,F701,ENSAYOS!$Q$5:$Q$3004,"&gt;0"))</f>
        <v/>
      </c>
      <c r="S701" s="16" t="str">
        <f aca="false">IF(N(M701)&lt;2,"",SQRT(MAX(0,(SUMIFS(ENSAYOS!$X$5:$X$3004,ENSAYOS!$C$5:$C$3004,F701,ENSAYOS!$Q$5:$Q$3004,"&gt;0")-M701*P701^2)/(M701-1))))</f>
        <v/>
      </c>
      <c r="T701" s="17" t="str">
        <f aca="false">IF(S701="","",S701/P701)</f>
        <v/>
      </c>
      <c r="U701" s="16" t="str">
        <f aca="false">IF(N(M701)=0,"",IF(N701&gt;=CONFIG!$B$27,"",AVERAGEIFS(ENSAYOS!$Q$5:$Q$3004,ENSAYOS!$C$5:$C$3004,F701,ENSAYOS!$Q$5:$Q$3004,"&gt;0",ENSAYOS!$G$5:$G$3004,N701)))</f>
        <v/>
      </c>
      <c r="V701" s="16" t="str">
        <f aca="false">IF(N(M701)=0,"",IF(COUNTIFS(ENSAYOS!$C$5:$C$3004,F701,ENSAYOS!$Q$5:$Q$3004,"&gt;0",ENSAYOS!$G$5:$G$3004,"&gt;="&amp;CONFIG!$B$27)=0,"",AVERAGEIFS(ENSAYOS!$Q$5:$Q$3004,ENSAYOS!$C$5:$C$3004,F701,ENSAYOS!$Q$5:$Q$3004,"&gt;0",ENSAYOS!$G$5:$G$3004,"&gt;="&amp;CONFIG!$B$27)))</f>
        <v/>
      </c>
      <c r="W701" s="18" t="str">
        <f aca="false">IF(AND(U701&lt;&gt;"",V701&lt;&gt;""),U701/V701,"")</f>
        <v/>
      </c>
      <c r="X701" s="18" t="str">
        <f aca="false">IF(U701="","",INDEX('CURVA EDAD'!$E$5:$E$32,MIN(28,MAX(1,N701))))</f>
        <v/>
      </c>
      <c r="Y701" s="16" t="str">
        <f aca="false">IF(V701&lt;&gt;"",V701,IF(U701="","",U701/X701))</f>
        <v/>
      </c>
      <c r="Z701" s="16" t="str">
        <f aca="false">IF(V701&lt;&gt;"",_xlfn.MINIFS(ENSAYOS!$Q$5:$Q$3004,ENSAYOS!$C$5:$C$3004,F701,ENSAYOS!$Q$5:$Q$3004,"&gt;0",ENSAYOS!$G$5:$G$3004,"&gt;="&amp;CONFIG!$B$27),IF(U701="","",_xlfn.MINIFS(ENSAYOS!$Q$5:$Q$3004,ENSAYOS!$C$5:$C$3004,F701,ENSAYOS!$Q$5:$Q$3004,"&gt;0",ENSAYOS!$G$5:$G$3004,N701)/X701))</f>
        <v/>
      </c>
      <c r="AA701" s="16" t="str">
        <f aca="false">IF(D701="","",IFERROR(1/(1/INDEX(CONFIG!$J$5:$J$14,MATCH(D701,CONFIG!$D$5:$D$14,0))),""))</f>
        <v/>
      </c>
      <c r="AB701" s="16" t="str">
        <f aca="false">IF(D701="","",IFERROR(1/(1/INDEX(CONFIG!$K$5:$K$14,MATCH(D701,CONFIG!$D$5:$D$14,0))),""))</f>
        <v/>
      </c>
      <c r="AC701" s="19" t="str">
        <f aca="false">IF(N(M701)=0,"",IF(AA701="","Sin spec",IF(AND(Y701&gt;=AA701,OR(AB701="",Z701&gt;=AB701)),"CUMPLE","NO CUMPLE")&amp;IF(V701=""," (est.)","")))</f>
        <v/>
      </c>
      <c r="AD701" s="20" t="str">
        <f aca="false">IF(F701="","",IF(COUNTIFS(ABSORCION!$C$5:$C$1004,F701,ABSORCION!$I$5:$I$1004,"&gt;0")=0,"",AVERAGEIFS(ABSORCION!$I$5:$I$1004,ABSORCION!$C$5:$C$1004,F701,ABSORCION!$I$5:$I$1004,"&gt;0")))</f>
        <v/>
      </c>
      <c r="AE701" s="20" t="str">
        <f aca="false">IF(F701="","",IF(COUNTIFS(ABSORCION!$C$5:$C$1004,F701,ABSORCION!$I$5:$I$1004,"&gt;0")=0,"",AVERAGEIFS(ABSORCION!$K$5:$K$1004,ABSORCION!$C$5:$C$1004,F701,ABSORCION!$I$5:$I$1004,"&gt;0")))</f>
        <v/>
      </c>
      <c r="AF701" s="20" t="str">
        <f aca="false">IF(AE701="","",IF(AE701&gt;=CONFIG!$E$21,CONFIG!$F$21,IF(AE701&gt;=CONFIG!$E$20,CONFIG!$F$20,CONFIG!$F$19)))</f>
        <v/>
      </c>
      <c r="AG701" s="21" t="str">
        <f aca="false">IF(F701="","",TRIM(IF(N(M701)=0,"Sin ensayos. ","")&amp;IF(AND(N(M701)&gt;0,N(M701)&lt;CONFIG!$B$26),"Menos de "&amp;CONFIG!$B$26&amp;" probetas. ","")&amp;IF(N(T701)&gt;CONFIG!$B$25,"CV alto. ","")&amp;IF(AND(N(AD701)&gt;0,N(AD701)&gt;N(AF701)),"Absorción alta. ","")))</f>
        <v/>
      </c>
      <c r="AH701" s="22" t="str">
        <f aca="false">IF(AND(N(M701)&gt;0,OR(CONTROL!$C$4="TODAS",C701=CONTROL!$C$4),D701=CONTROL!$C$5),MAX($AH$4:AH700)+1,"")</f>
        <v/>
      </c>
      <c r="AI701" s="22" t="str">
        <f aca="false">IF(AH701="","",P701^2)</f>
        <v/>
      </c>
    </row>
    <row r="702" customFormat="false" ht="15" hidden="false" customHeight="false" outlineLevel="0" collapsed="false">
      <c r="A702" s="11" t="str">
        <f aca="false">IF(B702="","",ROW()-4)</f>
        <v/>
      </c>
      <c r="B702" s="12"/>
      <c r="C702" s="13"/>
      <c r="D702" s="13"/>
      <c r="E702" s="13"/>
      <c r="F702" s="14" t="str">
        <f aca="false">IF(OR(B702="",C702="",D702=""),"",IFERROR(INDEX(CONFIG!$E$5:$E$14,MATCH(D702,CONFIG!$D$5:$D$14,0)),"?")&amp;RIGHT("0"&amp;DAY(B702),2)&amp;RIGHT("0"&amp;MONTH(B702),2)&amp;RIGHT(YEAR(B702),2)&amp;C702&amp;IF(E702="","","-"&amp;E702))</f>
        <v/>
      </c>
      <c r="G702" s="13"/>
      <c r="H702" s="13"/>
      <c r="I702" s="13"/>
      <c r="J702" s="13"/>
      <c r="K702" s="13"/>
      <c r="L702" s="13"/>
      <c r="M702" s="11" t="str">
        <f aca="false">IF(F702="","",COUNTIFS(ENSAYOS!$C$5:$C$3004,F702,ENSAYOS!$Q$5:$Q$3004,"&gt;0"))</f>
        <v/>
      </c>
      <c r="N702" s="15" t="str">
        <f aca="false">IF(N(M702)=0,"",_xlfn.MINIFS(ENSAYOS!$G$5:$G$3004,ENSAYOS!$C$5:$C$3004,F702,ENSAYOS!$Q$5:$Q$3004,"&gt;0"))</f>
        <v/>
      </c>
      <c r="O702" s="15" t="str">
        <f aca="false">IF(N(M702)=0,"",_xlfn.MAXIFS(ENSAYOS!$G$5:$G$3004,ENSAYOS!$C$5:$C$3004,F702,ENSAYOS!$Q$5:$Q$3004,"&gt;0"))</f>
        <v/>
      </c>
      <c r="P702" s="16" t="str">
        <f aca="false">IF(N(M702)=0,"",AVERAGEIFS(ENSAYOS!$Q$5:$Q$3004,ENSAYOS!$C$5:$C$3004,F702,ENSAYOS!$Q$5:$Q$3004,"&gt;0"))</f>
        <v/>
      </c>
      <c r="Q702" s="16" t="str">
        <f aca="false">IF(N(M702)=0,"",_xlfn.MINIFS(ENSAYOS!$Q$5:$Q$3004,ENSAYOS!$C$5:$C$3004,F702,ENSAYOS!$Q$5:$Q$3004,"&gt;0"))</f>
        <v/>
      </c>
      <c r="R702" s="16" t="str">
        <f aca="false">IF(N(M702)=0,"",_xlfn.MAXIFS(ENSAYOS!$Q$5:$Q$3004,ENSAYOS!$C$5:$C$3004,F702,ENSAYOS!$Q$5:$Q$3004,"&gt;0"))</f>
        <v/>
      </c>
      <c r="S702" s="16" t="str">
        <f aca="false">IF(N(M702)&lt;2,"",SQRT(MAX(0,(SUMIFS(ENSAYOS!$X$5:$X$3004,ENSAYOS!$C$5:$C$3004,F702,ENSAYOS!$Q$5:$Q$3004,"&gt;0")-M702*P702^2)/(M702-1))))</f>
        <v/>
      </c>
      <c r="T702" s="17" t="str">
        <f aca="false">IF(S702="","",S702/P702)</f>
        <v/>
      </c>
      <c r="U702" s="16" t="str">
        <f aca="false">IF(N(M702)=0,"",IF(N702&gt;=CONFIG!$B$27,"",AVERAGEIFS(ENSAYOS!$Q$5:$Q$3004,ENSAYOS!$C$5:$C$3004,F702,ENSAYOS!$Q$5:$Q$3004,"&gt;0",ENSAYOS!$G$5:$G$3004,N702)))</f>
        <v/>
      </c>
      <c r="V702" s="16" t="str">
        <f aca="false">IF(N(M702)=0,"",IF(COUNTIFS(ENSAYOS!$C$5:$C$3004,F702,ENSAYOS!$Q$5:$Q$3004,"&gt;0",ENSAYOS!$G$5:$G$3004,"&gt;="&amp;CONFIG!$B$27)=0,"",AVERAGEIFS(ENSAYOS!$Q$5:$Q$3004,ENSAYOS!$C$5:$C$3004,F702,ENSAYOS!$Q$5:$Q$3004,"&gt;0",ENSAYOS!$G$5:$G$3004,"&gt;="&amp;CONFIG!$B$27)))</f>
        <v/>
      </c>
      <c r="W702" s="18" t="str">
        <f aca="false">IF(AND(U702&lt;&gt;"",V702&lt;&gt;""),U702/V702,"")</f>
        <v/>
      </c>
      <c r="X702" s="18" t="str">
        <f aca="false">IF(U702="","",INDEX('CURVA EDAD'!$E$5:$E$32,MIN(28,MAX(1,N702))))</f>
        <v/>
      </c>
      <c r="Y702" s="16" t="str">
        <f aca="false">IF(V702&lt;&gt;"",V702,IF(U702="","",U702/X702))</f>
        <v/>
      </c>
      <c r="Z702" s="16" t="str">
        <f aca="false">IF(V702&lt;&gt;"",_xlfn.MINIFS(ENSAYOS!$Q$5:$Q$3004,ENSAYOS!$C$5:$C$3004,F702,ENSAYOS!$Q$5:$Q$3004,"&gt;0",ENSAYOS!$G$5:$G$3004,"&gt;="&amp;CONFIG!$B$27),IF(U702="","",_xlfn.MINIFS(ENSAYOS!$Q$5:$Q$3004,ENSAYOS!$C$5:$C$3004,F702,ENSAYOS!$Q$5:$Q$3004,"&gt;0",ENSAYOS!$G$5:$G$3004,N702)/X702))</f>
        <v/>
      </c>
      <c r="AA702" s="16" t="str">
        <f aca="false">IF(D702="","",IFERROR(1/(1/INDEX(CONFIG!$J$5:$J$14,MATCH(D702,CONFIG!$D$5:$D$14,0))),""))</f>
        <v/>
      </c>
      <c r="AB702" s="16" t="str">
        <f aca="false">IF(D702="","",IFERROR(1/(1/INDEX(CONFIG!$K$5:$K$14,MATCH(D702,CONFIG!$D$5:$D$14,0))),""))</f>
        <v/>
      </c>
      <c r="AC702" s="19" t="str">
        <f aca="false">IF(N(M702)=0,"",IF(AA702="","Sin spec",IF(AND(Y702&gt;=AA702,OR(AB702="",Z702&gt;=AB702)),"CUMPLE","NO CUMPLE")&amp;IF(V702=""," (est.)","")))</f>
        <v/>
      </c>
      <c r="AD702" s="20" t="str">
        <f aca="false">IF(F702="","",IF(COUNTIFS(ABSORCION!$C$5:$C$1004,F702,ABSORCION!$I$5:$I$1004,"&gt;0")=0,"",AVERAGEIFS(ABSORCION!$I$5:$I$1004,ABSORCION!$C$5:$C$1004,F702,ABSORCION!$I$5:$I$1004,"&gt;0")))</f>
        <v/>
      </c>
      <c r="AE702" s="20" t="str">
        <f aca="false">IF(F702="","",IF(COUNTIFS(ABSORCION!$C$5:$C$1004,F702,ABSORCION!$I$5:$I$1004,"&gt;0")=0,"",AVERAGEIFS(ABSORCION!$K$5:$K$1004,ABSORCION!$C$5:$C$1004,F702,ABSORCION!$I$5:$I$1004,"&gt;0")))</f>
        <v/>
      </c>
      <c r="AF702" s="20" t="str">
        <f aca="false">IF(AE702="","",IF(AE702&gt;=CONFIG!$E$21,CONFIG!$F$21,IF(AE702&gt;=CONFIG!$E$20,CONFIG!$F$20,CONFIG!$F$19)))</f>
        <v/>
      </c>
      <c r="AG702" s="21" t="str">
        <f aca="false">IF(F702="","",TRIM(IF(N(M702)=0,"Sin ensayos. ","")&amp;IF(AND(N(M702)&gt;0,N(M702)&lt;CONFIG!$B$26),"Menos de "&amp;CONFIG!$B$26&amp;" probetas. ","")&amp;IF(N(T702)&gt;CONFIG!$B$25,"CV alto. ","")&amp;IF(AND(N(AD702)&gt;0,N(AD702)&gt;N(AF702)),"Absorción alta. ","")))</f>
        <v/>
      </c>
      <c r="AH702" s="22" t="str">
        <f aca="false">IF(AND(N(M702)&gt;0,OR(CONTROL!$C$4="TODAS",C702=CONTROL!$C$4),D702=CONTROL!$C$5),MAX($AH$4:AH701)+1,"")</f>
        <v/>
      </c>
      <c r="AI702" s="22" t="str">
        <f aca="false">IF(AH702="","",P702^2)</f>
        <v/>
      </c>
    </row>
    <row r="703" customFormat="false" ht="15" hidden="false" customHeight="false" outlineLevel="0" collapsed="false">
      <c r="A703" s="11" t="str">
        <f aca="false">IF(B703="","",ROW()-4)</f>
        <v/>
      </c>
      <c r="B703" s="12"/>
      <c r="C703" s="13"/>
      <c r="D703" s="13"/>
      <c r="E703" s="13"/>
      <c r="F703" s="14" t="str">
        <f aca="false">IF(OR(B703="",C703="",D703=""),"",IFERROR(INDEX(CONFIG!$E$5:$E$14,MATCH(D703,CONFIG!$D$5:$D$14,0)),"?")&amp;RIGHT("0"&amp;DAY(B703),2)&amp;RIGHT("0"&amp;MONTH(B703),2)&amp;RIGHT(YEAR(B703),2)&amp;C703&amp;IF(E703="","","-"&amp;E703))</f>
        <v/>
      </c>
      <c r="G703" s="13"/>
      <c r="H703" s="13"/>
      <c r="I703" s="13"/>
      <c r="J703" s="13"/>
      <c r="K703" s="13"/>
      <c r="L703" s="13"/>
      <c r="M703" s="11" t="str">
        <f aca="false">IF(F703="","",COUNTIFS(ENSAYOS!$C$5:$C$3004,F703,ENSAYOS!$Q$5:$Q$3004,"&gt;0"))</f>
        <v/>
      </c>
      <c r="N703" s="15" t="str">
        <f aca="false">IF(N(M703)=0,"",_xlfn.MINIFS(ENSAYOS!$G$5:$G$3004,ENSAYOS!$C$5:$C$3004,F703,ENSAYOS!$Q$5:$Q$3004,"&gt;0"))</f>
        <v/>
      </c>
      <c r="O703" s="15" t="str">
        <f aca="false">IF(N(M703)=0,"",_xlfn.MAXIFS(ENSAYOS!$G$5:$G$3004,ENSAYOS!$C$5:$C$3004,F703,ENSAYOS!$Q$5:$Q$3004,"&gt;0"))</f>
        <v/>
      </c>
      <c r="P703" s="16" t="str">
        <f aca="false">IF(N(M703)=0,"",AVERAGEIFS(ENSAYOS!$Q$5:$Q$3004,ENSAYOS!$C$5:$C$3004,F703,ENSAYOS!$Q$5:$Q$3004,"&gt;0"))</f>
        <v/>
      </c>
      <c r="Q703" s="16" t="str">
        <f aca="false">IF(N(M703)=0,"",_xlfn.MINIFS(ENSAYOS!$Q$5:$Q$3004,ENSAYOS!$C$5:$C$3004,F703,ENSAYOS!$Q$5:$Q$3004,"&gt;0"))</f>
        <v/>
      </c>
      <c r="R703" s="16" t="str">
        <f aca="false">IF(N(M703)=0,"",_xlfn.MAXIFS(ENSAYOS!$Q$5:$Q$3004,ENSAYOS!$C$5:$C$3004,F703,ENSAYOS!$Q$5:$Q$3004,"&gt;0"))</f>
        <v/>
      </c>
      <c r="S703" s="16" t="str">
        <f aca="false">IF(N(M703)&lt;2,"",SQRT(MAX(0,(SUMIFS(ENSAYOS!$X$5:$X$3004,ENSAYOS!$C$5:$C$3004,F703,ENSAYOS!$Q$5:$Q$3004,"&gt;0")-M703*P703^2)/(M703-1))))</f>
        <v/>
      </c>
      <c r="T703" s="17" t="str">
        <f aca="false">IF(S703="","",S703/P703)</f>
        <v/>
      </c>
      <c r="U703" s="16" t="str">
        <f aca="false">IF(N(M703)=0,"",IF(N703&gt;=CONFIG!$B$27,"",AVERAGEIFS(ENSAYOS!$Q$5:$Q$3004,ENSAYOS!$C$5:$C$3004,F703,ENSAYOS!$Q$5:$Q$3004,"&gt;0",ENSAYOS!$G$5:$G$3004,N703)))</f>
        <v/>
      </c>
      <c r="V703" s="16" t="str">
        <f aca="false">IF(N(M703)=0,"",IF(COUNTIFS(ENSAYOS!$C$5:$C$3004,F703,ENSAYOS!$Q$5:$Q$3004,"&gt;0",ENSAYOS!$G$5:$G$3004,"&gt;="&amp;CONFIG!$B$27)=0,"",AVERAGEIFS(ENSAYOS!$Q$5:$Q$3004,ENSAYOS!$C$5:$C$3004,F703,ENSAYOS!$Q$5:$Q$3004,"&gt;0",ENSAYOS!$G$5:$G$3004,"&gt;="&amp;CONFIG!$B$27)))</f>
        <v/>
      </c>
      <c r="W703" s="18" t="str">
        <f aca="false">IF(AND(U703&lt;&gt;"",V703&lt;&gt;""),U703/V703,"")</f>
        <v/>
      </c>
      <c r="X703" s="18" t="str">
        <f aca="false">IF(U703="","",INDEX('CURVA EDAD'!$E$5:$E$32,MIN(28,MAX(1,N703))))</f>
        <v/>
      </c>
      <c r="Y703" s="16" t="str">
        <f aca="false">IF(V703&lt;&gt;"",V703,IF(U703="","",U703/X703))</f>
        <v/>
      </c>
      <c r="Z703" s="16" t="str">
        <f aca="false">IF(V703&lt;&gt;"",_xlfn.MINIFS(ENSAYOS!$Q$5:$Q$3004,ENSAYOS!$C$5:$C$3004,F703,ENSAYOS!$Q$5:$Q$3004,"&gt;0",ENSAYOS!$G$5:$G$3004,"&gt;="&amp;CONFIG!$B$27),IF(U703="","",_xlfn.MINIFS(ENSAYOS!$Q$5:$Q$3004,ENSAYOS!$C$5:$C$3004,F703,ENSAYOS!$Q$5:$Q$3004,"&gt;0",ENSAYOS!$G$5:$G$3004,N703)/X703))</f>
        <v/>
      </c>
      <c r="AA703" s="16" t="str">
        <f aca="false">IF(D703="","",IFERROR(1/(1/INDEX(CONFIG!$J$5:$J$14,MATCH(D703,CONFIG!$D$5:$D$14,0))),""))</f>
        <v/>
      </c>
      <c r="AB703" s="16" t="str">
        <f aca="false">IF(D703="","",IFERROR(1/(1/INDEX(CONFIG!$K$5:$K$14,MATCH(D703,CONFIG!$D$5:$D$14,0))),""))</f>
        <v/>
      </c>
      <c r="AC703" s="19" t="str">
        <f aca="false">IF(N(M703)=0,"",IF(AA703="","Sin spec",IF(AND(Y703&gt;=AA703,OR(AB703="",Z703&gt;=AB703)),"CUMPLE","NO CUMPLE")&amp;IF(V703=""," (est.)","")))</f>
        <v/>
      </c>
      <c r="AD703" s="20" t="str">
        <f aca="false">IF(F703="","",IF(COUNTIFS(ABSORCION!$C$5:$C$1004,F703,ABSORCION!$I$5:$I$1004,"&gt;0")=0,"",AVERAGEIFS(ABSORCION!$I$5:$I$1004,ABSORCION!$C$5:$C$1004,F703,ABSORCION!$I$5:$I$1004,"&gt;0")))</f>
        <v/>
      </c>
      <c r="AE703" s="20" t="str">
        <f aca="false">IF(F703="","",IF(COUNTIFS(ABSORCION!$C$5:$C$1004,F703,ABSORCION!$I$5:$I$1004,"&gt;0")=0,"",AVERAGEIFS(ABSORCION!$K$5:$K$1004,ABSORCION!$C$5:$C$1004,F703,ABSORCION!$I$5:$I$1004,"&gt;0")))</f>
        <v/>
      </c>
      <c r="AF703" s="20" t="str">
        <f aca="false">IF(AE703="","",IF(AE703&gt;=CONFIG!$E$21,CONFIG!$F$21,IF(AE703&gt;=CONFIG!$E$20,CONFIG!$F$20,CONFIG!$F$19)))</f>
        <v/>
      </c>
      <c r="AG703" s="21" t="str">
        <f aca="false">IF(F703="","",TRIM(IF(N(M703)=0,"Sin ensayos. ","")&amp;IF(AND(N(M703)&gt;0,N(M703)&lt;CONFIG!$B$26),"Menos de "&amp;CONFIG!$B$26&amp;" probetas. ","")&amp;IF(N(T703)&gt;CONFIG!$B$25,"CV alto. ","")&amp;IF(AND(N(AD703)&gt;0,N(AD703)&gt;N(AF703)),"Absorción alta. ","")))</f>
        <v/>
      </c>
      <c r="AH703" s="22" t="str">
        <f aca="false">IF(AND(N(M703)&gt;0,OR(CONTROL!$C$4="TODAS",C703=CONTROL!$C$4),D703=CONTROL!$C$5),MAX($AH$4:AH702)+1,"")</f>
        <v/>
      </c>
      <c r="AI703" s="22" t="str">
        <f aca="false">IF(AH703="","",P703^2)</f>
        <v/>
      </c>
    </row>
    <row r="704" customFormat="false" ht="15" hidden="false" customHeight="false" outlineLevel="0" collapsed="false">
      <c r="A704" s="11" t="str">
        <f aca="false">IF(B704="","",ROW()-4)</f>
        <v/>
      </c>
      <c r="B704" s="12"/>
      <c r="C704" s="13"/>
      <c r="D704" s="13"/>
      <c r="E704" s="13"/>
      <c r="F704" s="14" t="str">
        <f aca="false">IF(OR(B704="",C704="",D704=""),"",IFERROR(INDEX(CONFIG!$E$5:$E$14,MATCH(D704,CONFIG!$D$5:$D$14,0)),"?")&amp;RIGHT("0"&amp;DAY(B704),2)&amp;RIGHT("0"&amp;MONTH(B704),2)&amp;RIGHT(YEAR(B704),2)&amp;C704&amp;IF(E704="","","-"&amp;E704))</f>
        <v/>
      </c>
      <c r="G704" s="13"/>
      <c r="H704" s="13"/>
      <c r="I704" s="13"/>
      <c r="J704" s="13"/>
      <c r="K704" s="13"/>
      <c r="L704" s="13"/>
      <c r="M704" s="11" t="str">
        <f aca="false">IF(F704="","",COUNTIFS(ENSAYOS!$C$5:$C$3004,F704,ENSAYOS!$Q$5:$Q$3004,"&gt;0"))</f>
        <v/>
      </c>
      <c r="N704" s="15" t="str">
        <f aca="false">IF(N(M704)=0,"",_xlfn.MINIFS(ENSAYOS!$G$5:$G$3004,ENSAYOS!$C$5:$C$3004,F704,ENSAYOS!$Q$5:$Q$3004,"&gt;0"))</f>
        <v/>
      </c>
      <c r="O704" s="15" t="str">
        <f aca="false">IF(N(M704)=0,"",_xlfn.MAXIFS(ENSAYOS!$G$5:$G$3004,ENSAYOS!$C$5:$C$3004,F704,ENSAYOS!$Q$5:$Q$3004,"&gt;0"))</f>
        <v/>
      </c>
      <c r="P704" s="16" t="str">
        <f aca="false">IF(N(M704)=0,"",AVERAGEIFS(ENSAYOS!$Q$5:$Q$3004,ENSAYOS!$C$5:$C$3004,F704,ENSAYOS!$Q$5:$Q$3004,"&gt;0"))</f>
        <v/>
      </c>
      <c r="Q704" s="16" t="str">
        <f aca="false">IF(N(M704)=0,"",_xlfn.MINIFS(ENSAYOS!$Q$5:$Q$3004,ENSAYOS!$C$5:$C$3004,F704,ENSAYOS!$Q$5:$Q$3004,"&gt;0"))</f>
        <v/>
      </c>
      <c r="R704" s="16" t="str">
        <f aca="false">IF(N(M704)=0,"",_xlfn.MAXIFS(ENSAYOS!$Q$5:$Q$3004,ENSAYOS!$C$5:$C$3004,F704,ENSAYOS!$Q$5:$Q$3004,"&gt;0"))</f>
        <v/>
      </c>
      <c r="S704" s="16" t="str">
        <f aca="false">IF(N(M704)&lt;2,"",SQRT(MAX(0,(SUMIFS(ENSAYOS!$X$5:$X$3004,ENSAYOS!$C$5:$C$3004,F704,ENSAYOS!$Q$5:$Q$3004,"&gt;0")-M704*P704^2)/(M704-1))))</f>
        <v/>
      </c>
      <c r="T704" s="17" t="str">
        <f aca="false">IF(S704="","",S704/P704)</f>
        <v/>
      </c>
      <c r="U704" s="16" t="str">
        <f aca="false">IF(N(M704)=0,"",IF(N704&gt;=CONFIG!$B$27,"",AVERAGEIFS(ENSAYOS!$Q$5:$Q$3004,ENSAYOS!$C$5:$C$3004,F704,ENSAYOS!$Q$5:$Q$3004,"&gt;0",ENSAYOS!$G$5:$G$3004,N704)))</f>
        <v/>
      </c>
      <c r="V704" s="16" t="str">
        <f aca="false">IF(N(M704)=0,"",IF(COUNTIFS(ENSAYOS!$C$5:$C$3004,F704,ENSAYOS!$Q$5:$Q$3004,"&gt;0",ENSAYOS!$G$5:$G$3004,"&gt;="&amp;CONFIG!$B$27)=0,"",AVERAGEIFS(ENSAYOS!$Q$5:$Q$3004,ENSAYOS!$C$5:$C$3004,F704,ENSAYOS!$Q$5:$Q$3004,"&gt;0",ENSAYOS!$G$5:$G$3004,"&gt;="&amp;CONFIG!$B$27)))</f>
        <v/>
      </c>
      <c r="W704" s="18" t="str">
        <f aca="false">IF(AND(U704&lt;&gt;"",V704&lt;&gt;""),U704/V704,"")</f>
        <v/>
      </c>
      <c r="X704" s="18" t="str">
        <f aca="false">IF(U704="","",INDEX('CURVA EDAD'!$E$5:$E$32,MIN(28,MAX(1,N704))))</f>
        <v/>
      </c>
      <c r="Y704" s="16" t="str">
        <f aca="false">IF(V704&lt;&gt;"",V704,IF(U704="","",U704/X704))</f>
        <v/>
      </c>
      <c r="Z704" s="16" t="str">
        <f aca="false">IF(V704&lt;&gt;"",_xlfn.MINIFS(ENSAYOS!$Q$5:$Q$3004,ENSAYOS!$C$5:$C$3004,F704,ENSAYOS!$Q$5:$Q$3004,"&gt;0",ENSAYOS!$G$5:$G$3004,"&gt;="&amp;CONFIG!$B$27),IF(U704="","",_xlfn.MINIFS(ENSAYOS!$Q$5:$Q$3004,ENSAYOS!$C$5:$C$3004,F704,ENSAYOS!$Q$5:$Q$3004,"&gt;0",ENSAYOS!$G$5:$G$3004,N704)/X704))</f>
        <v/>
      </c>
      <c r="AA704" s="16" t="str">
        <f aca="false">IF(D704="","",IFERROR(1/(1/INDEX(CONFIG!$J$5:$J$14,MATCH(D704,CONFIG!$D$5:$D$14,0))),""))</f>
        <v/>
      </c>
      <c r="AB704" s="16" t="str">
        <f aca="false">IF(D704="","",IFERROR(1/(1/INDEX(CONFIG!$K$5:$K$14,MATCH(D704,CONFIG!$D$5:$D$14,0))),""))</f>
        <v/>
      </c>
      <c r="AC704" s="19" t="str">
        <f aca="false">IF(N(M704)=0,"",IF(AA704="","Sin spec",IF(AND(Y704&gt;=AA704,OR(AB704="",Z704&gt;=AB704)),"CUMPLE","NO CUMPLE")&amp;IF(V704=""," (est.)","")))</f>
        <v/>
      </c>
      <c r="AD704" s="20" t="str">
        <f aca="false">IF(F704="","",IF(COUNTIFS(ABSORCION!$C$5:$C$1004,F704,ABSORCION!$I$5:$I$1004,"&gt;0")=0,"",AVERAGEIFS(ABSORCION!$I$5:$I$1004,ABSORCION!$C$5:$C$1004,F704,ABSORCION!$I$5:$I$1004,"&gt;0")))</f>
        <v/>
      </c>
      <c r="AE704" s="20" t="str">
        <f aca="false">IF(F704="","",IF(COUNTIFS(ABSORCION!$C$5:$C$1004,F704,ABSORCION!$I$5:$I$1004,"&gt;0")=0,"",AVERAGEIFS(ABSORCION!$K$5:$K$1004,ABSORCION!$C$5:$C$1004,F704,ABSORCION!$I$5:$I$1004,"&gt;0")))</f>
        <v/>
      </c>
      <c r="AF704" s="20" t="str">
        <f aca="false">IF(AE704="","",IF(AE704&gt;=CONFIG!$E$21,CONFIG!$F$21,IF(AE704&gt;=CONFIG!$E$20,CONFIG!$F$20,CONFIG!$F$19)))</f>
        <v/>
      </c>
      <c r="AG704" s="21" t="str">
        <f aca="false">IF(F704="","",TRIM(IF(N(M704)=0,"Sin ensayos. ","")&amp;IF(AND(N(M704)&gt;0,N(M704)&lt;CONFIG!$B$26),"Menos de "&amp;CONFIG!$B$26&amp;" probetas. ","")&amp;IF(N(T704)&gt;CONFIG!$B$25,"CV alto. ","")&amp;IF(AND(N(AD704)&gt;0,N(AD704)&gt;N(AF704)),"Absorción alta. ","")))</f>
        <v/>
      </c>
      <c r="AH704" s="22" t="str">
        <f aca="false">IF(AND(N(M704)&gt;0,OR(CONTROL!$C$4="TODAS",C704=CONTROL!$C$4),D704=CONTROL!$C$5),MAX($AH$4:AH703)+1,"")</f>
        <v/>
      </c>
      <c r="AI704" s="22" t="str">
        <f aca="false">IF(AH704="","",P704^2)</f>
        <v/>
      </c>
    </row>
    <row r="705" customFormat="false" ht="15" hidden="false" customHeight="false" outlineLevel="0" collapsed="false">
      <c r="A705" s="11" t="str">
        <f aca="false">IF(B705="","",ROW()-4)</f>
        <v/>
      </c>
      <c r="B705" s="12"/>
      <c r="C705" s="13"/>
      <c r="D705" s="13"/>
      <c r="E705" s="13"/>
      <c r="F705" s="14" t="str">
        <f aca="false">IF(OR(B705="",C705="",D705=""),"",IFERROR(INDEX(CONFIG!$E$5:$E$14,MATCH(D705,CONFIG!$D$5:$D$14,0)),"?")&amp;RIGHT("0"&amp;DAY(B705),2)&amp;RIGHT("0"&amp;MONTH(B705),2)&amp;RIGHT(YEAR(B705),2)&amp;C705&amp;IF(E705="","","-"&amp;E705))</f>
        <v/>
      </c>
      <c r="G705" s="13"/>
      <c r="H705" s="13"/>
      <c r="I705" s="13"/>
      <c r="J705" s="13"/>
      <c r="K705" s="13"/>
      <c r="L705" s="13"/>
      <c r="M705" s="11" t="str">
        <f aca="false">IF(F705="","",COUNTIFS(ENSAYOS!$C$5:$C$3004,F705,ENSAYOS!$Q$5:$Q$3004,"&gt;0"))</f>
        <v/>
      </c>
      <c r="N705" s="15" t="str">
        <f aca="false">IF(N(M705)=0,"",_xlfn.MINIFS(ENSAYOS!$G$5:$G$3004,ENSAYOS!$C$5:$C$3004,F705,ENSAYOS!$Q$5:$Q$3004,"&gt;0"))</f>
        <v/>
      </c>
      <c r="O705" s="15" t="str">
        <f aca="false">IF(N(M705)=0,"",_xlfn.MAXIFS(ENSAYOS!$G$5:$G$3004,ENSAYOS!$C$5:$C$3004,F705,ENSAYOS!$Q$5:$Q$3004,"&gt;0"))</f>
        <v/>
      </c>
      <c r="P705" s="16" t="str">
        <f aca="false">IF(N(M705)=0,"",AVERAGEIFS(ENSAYOS!$Q$5:$Q$3004,ENSAYOS!$C$5:$C$3004,F705,ENSAYOS!$Q$5:$Q$3004,"&gt;0"))</f>
        <v/>
      </c>
      <c r="Q705" s="16" t="str">
        <f aca="false">IF(N(M705)=0,"",_xlfn.MINIFS(ENSAYOS!$Q$5:$Q$3004,ENSAYOS!$C$5:$C$3004,F705,ENSAYOS!$Q$5:$Q$3004,"&gt;0"))</f>
        <v/>
      </c>
      <c r="R705" s="16" t="str">
        <f aca="false">IF(N(M705)=0,"",_xlfn.MAXIFS(ENSAYOS!$Q$5:$Q$3004,ENSAYOS!$C$5:$C$3004,F705,ENSAYOS!$Q$5:$Q$3004,"&gt;0"))</f>
        <v/>
      </c>
      <c r="S705" s="16" t="str">
        <f aca="false">IF(N(M705)&lt;2,"",SQRT(MAX(0,(SUMIFS(ENSAYOS!$X$5:$X$3004,ENSAYOS!$C$5:$C$3004,F705,ENSAYOS!$Q$5:$Q$3004,"&gt;0")-M705*P705^2)/(M705-1))))</f>
        <v/>
      </c>
      <c r="T705" s="17" t="str">
        <f aca="false">IF(S705="","",S705/P705)</f>
        <v/>
      </c>
      <c r="U705" s="16" t="str">
        <f aca="false">IF(N(M705)=0,"",IF(N705&gt;=CONFIG!$B$27,"",AVERAGEIFS(ENSAYOS!$Q$5:$Q$3004,ENSAYOS!$C$5:$C$3004,F705,ENSAYOS!$Q$5:$Q$3004,"&gt;0",ENSAYOS!$G$5:$G$3004,N705)))</f>
        <v/>
      </c>
      <c r="V705" s="16" t="str">
        <f aca="false">IF(N(M705)=0,"",IF(COUNTIFS(ENSAYOS!$C$5:$C$3004,F705,ENSAYOS!$Q$5:$Q$3004,"&gt;0",ENSAYOS!$G$5:$G$3004,"&gt;="&amp;CONFIG!$B$27)=0,"",AVERAGEIFS(ENSAYOS!$Q$5:$Q$3004,ENSAYOS!$C$5:$C$3004,F705,ENSAYOS!$Q$5:$Q$3004,"&gt;0",ENSAYOS!$G$5:$G$3004,"&gt;="&amp;CONFIG!$B$27)))</f>
        <v/>
      </c>
      <c r="W705" s="18" t="str">
        <f aca="false">IF(AND(U705&lt;&gt;"",V705&lt;&gt;""),U705/V705,"")</f>
        <v/>
      </c>
      <c r="X705" s="18" t="str">
        <f aca="false">IF(U705="","",INDEX('CURVA EDAD'!$E$5:$E$32,MIN(28,MAX(1,N705))))</f>
        <v/>
      </c>
      <c r="Y705" s="16" t="str">
        <f aca="false">IF(V705&lt;&gt;"",V705,IF(U705="","",U705/X705))</f>
        <v/>
      </c>
      <c r="Z705" s="16" t="str">
        <f aca="false">IF(V705&lt;&gt;"",_xlfn.MINIFS(ENSAYOS!$Q$5:$Q$3004,ENSAYOS!$C$5:$C$3004,F705,ENSAYOS!$Q$5:$Q$3004,"&gt;0",ENSAYOS!$G$5:$G$3004,"&gt;="&amp;CONFIG!$B$27),IF(U705="","",_xlfn.MINIFS(ENSAYOS!$Q$5:$Q$3004,ENSAYOS!$C$5:$C$3004,F705,ENSAYOS!$Q$5:$Q$3004,"&gt;0",ENSAYOS!$G$5:$G$3004,N705)/X705))</f>
        <v/>
      </c>
      <c r="AA705" s="16" t="str">
        <f aca="false">IF(D705="","",IFERROR(1/(1/INDEX(CONFIG!$J$5:$J$14,MATCH(D705,CONFIG!$D$5:$D$14,0))),""))</f>
        <v/>
      </c>
      <c r="AB705" s="16" t="str">
        <f aca="false">IF(D705="","",IFERROR(1/(1/INDEX(CONFIG!$K$5:$K$14,MATCH(D705,CONFIG!$D$5:$D$14,0))),""))</f>
        <v/>
      </c>
      <c r="AC705" s="19" t="str">
        <f aca="false">IF(N(M705)=0,"",IF(AA705="","Sin spec",IF(AND(Y705&gt;=AA705,OR(AB705="",Z705&gt;=AB705)),"CUMPLE","NO CUMPLE")&amp;IF(V705=""," (est.)","")))</f>
        <v/>
      </c>
      <c r="AD705" s="20" t="str">
        <f aca="false">IF(F705="","",IF(COUNTIFS(ABSORCION!$C$5:$C$1004,F705,ABSORCION!$I$5:$I$1004,"&gt;0")=0,"",AVERAGEIFS(ABSORCION!$I$5:$I$1004,ABSORCION!$C$5:$C$1004,F705,ABSORCION!$I$5:$I$1004,"&gt;0")))</f>
        <v/>
      </c>
      <c r="AE705" s="20" t="str">
        <f aca="false">IF(F705="","",IF(COUNTIFS(ABSORCION!$C$5:$C$1004,F705,ABSORCION!$I$5:$I$1004,"&gt;0")=0,"",AVERAGEIFS(ABSORCION!$K$5:$K$1004,ABSORCION!$C$5:$C$1004,F705,ABSORCION!$I$5:$I$1004,"&gt;0")))</f>
        <v/>
      </c>
      <c r="AF705" s="20" t="str">
        <f aca="false">IF(AE705="","",IF(AE705&gt;=CONFIG!$E$21,CONFIG!$F$21,IF(AE705&gt;=CONFIG!$E$20,CONFIG!$F$20,CONFIG!$F$19)))</f>
        <v/>
      </c>
      <c r="AG705" s="21" t="str">
        <f aca="false">IF(F705="","",TRIM(IF(N(M705)=0,"Sin ensayos. ","")&amp;IF(AND(N(M705)&gt;0,N(M705)&lt;CONFIG!$B$26),"Menos de "&amp;CONFIG!$B$26&amp;" probetas. ","")&amp;IF(N(T705)&gt;CONFIG!$B$25,"CV alto. ","")&amp;IF(AND(N(AD705)&gt;0,N(AD705)&gt;N(AF705)),"Absorción alta. ","")))</f>
        <v/>
      </c>
      <c r="AH705" s="22" t="str">
        <f aca="false">IF(AND(N(M705)&gt;0,OR(CONTROL!$C$4="TODAS",C705=CONTROL!$C$4),D705=CONTROL!$C$5),MAX($AH$4:AH704)+1,"")</f>
        <v/>
      </c>
      <c r="AI705" s="22" t="str">
        <f aca="false">IF(AH705="","",P705^2)</f>
        <v/>
      </c>
    </row>
    <row r="706" customFormat="false" ht="15" hidden="false" customHeight="false" outlineLevel="0" collapsed="false">
      <c r="A706" s="11" t="str">
        <f aca="false">IF(B706="","",ROW()-4)</f>
        <v/>
      </c>
      <c r="B706" s="12"/>
      <c r="C706" s="13"/>
      <c r="D706" s="13"/>
      <c r="E706" s="13"/>
      <c r="F706" s="14" t="str">
        <f aca="false">IF(OR(B706="",C706="",D706=""),"",IFERROR(INDEX(CONFIG!$E$5:$E$14,MATCH(D706,CONFIG!$D$5:$D$14,0)),"?")&amp;RIGHT("0"&amp;DAY(B706),2)&amp;RIGHT("0"&amp;MONTH(B706),2)&amp;RIGHT(YEAR(B706),2)&amp;C706&amp;IF(E706="","","-"&amp;E706))</f>
        <v/>
      </c>
      <c r="G706" s="13"/>
      <c r="H706" s="13"/>
      <c r="I706" s="13"/>
      <c r="J706" s="13"/>
      <c r="K706" s="13"/>
      <c r="L706" s="13"/>
      <c r="M706" s="11" t="str">
        <f aca="false">IF(F706="","",COUNTIFS(ENSAYOS!$C$5:$C$3004,F706,ENSAYOS!$Q$5:$Q$3004,"&gt;0"))</f>
        <v/>
      </c>
      <c r="N706" s="15" t="str">
        <f aca="false">IF(N(M706)=0,"",_xlfn.MINIFS(ENSAYOS!$G$5:$G$3004,ENSAYOS!$C$5:$C$3004,F706,ENSAYOS!$Q$5:$Q$3004,"&gt;0"))</f>
        <v/>
      </c>
      <c r="O706" s="15" t="str">
        <f aca="false">IF(N(M706)=0,"",_xlfn.MAXIFS(ENSAYOS!$G$5:$G$3004,ENSAYOS!$C$5:$C$3004,F706,ENSAYOS!$Q$5:$Q$3004,"&gt;0"))</f>
        <v/>
      </c>
      <c r="P706" s="16" t="str">
        <f aca="false">IF(N(M706)=0,"",AVERAGEIFS(ENSAYOS!$Q$5:$Q$3004,ENSAYOS!$C$5:$C$3004,F706,ENSAYOS!$Q$5:$Q$3004,"&gt;0"))</f>
        <v/>
      </c>
      <c r="Q706" s="16" t="str">
        <f aca="false">IF(N(M706)=0,"",_xlfn.MINIFS(ENSAYOS!$Q$5:$Q$3004,ENSAYOS!$C$5:$C$3004,F706,ENSAYOS!$Q$5:$Q$3004,"&gt;0"))</f>
        <v/>
      </c>
      <c r="R706" s="16" t="str">
        <f aca="false">IF(N(M706)=0,"",_xlfn.MAXIFS(ENSAYOS!$Q$5:$Q$3004,ENSAYOS!$C$5:$C$3004,F706,ENSAYOS!$Q$5:$Q$3004,"&gt;0"))</f>
        <v/>
      </c>
      <c r="S706" s="16" t="str">
        <f aca="false">IF(N(M706)&lt;2,"",SQRT(MAX(0,(SUMIFS(ENSAYOS!$X$5:$X$3004,ENSAYOS!$C$5:$C$3004,F706,ENSAYOS!$Q$5:$Q$3004,"&gt;0")-M706*P706^2)/(M706-1))))</f>
        <v/>
      </c>
      <c r="T706" s="17" t="str">
        <f aca="false">IF(S706="","",S706/P706)</f>
        <v/>
      </c>
      <c r="U706" s="16" t="str">
        <f aca="false">IF(N(M706)=0,"",IF(N706&gt;=CONFIG!$B$27,"",AVERAGEIFS(ENSAYOS!$Q$5:$Q$3004,ENSAYOS!$C$5:$C$3004,F706,ENSAYOS!$Q$5:$Q$3004,"&gt;0",ENSAYOS!$G$5:$G$3004,N706)))</f>
        <v/>
      </c>
      <c r="V706" s="16" t="str">
        <f aca="false">IF(N(M706)=0,"",IF(COUNTIFS(ENSAYOS!$C$5:$C$3004,F706,ENSAYOS!$Q$5:$Q$3004,"&gt;0",ENSAYOS!$G$5:$G$3004,"&gt;="&amp;CONFIG!$B$27)=0,"",AVERAGEIFS(ENSAYOS!$Q$5:$Q$3004,ENSAYOS!$C$5:$C$3004,F706,ENSAYOS!$Q$5:$Q$3004,"&gt;0",ENSAYOS!$G$5:$G$3004,"&gt;="&amp;CONFIG!$B$27)))</f>
        <v/>
      </c>
      <c r="W706" s="18" t="str">
        <f aca="false">IF(AND(U706&lt;&gt;"",V706&lt;&gt;""),U706/V706,"")</f>
        <v/>
      </c>
      <c r="X706" s="18" t="str">
        <f aca="false">IF(U706="","",INDEX('CURVA EDAD'!$E$5:$E$32,MIN(28,MAX(1,N706))))</f>
        <v/>
      </c>
      <c r="Y706" s="16" t="str">
        <f aca="false">IF(V706&lt;&gt;"",V706,IF(U706="","",U706/X706))</f>
        <v/>
      </c>
      <c r="Z706" s="16" t="str">
        <f aca="false">IF(V706&lt;&gt;"",_xlfn.MINIFS(ENSAYOS!$Q$5:$Q$3004,ENSAYOS!$C$5:$C$3004,F706,ENSAYOS!$Q$5:$Q$3004,"&gt;0",ENSAYOS!$G$5:$G$3004,"&gt;="&amp;CONFIG!$B$27),IF(U706="","",_xlfn.MINIFS(ENSAYOS!$Q$5:$Q$3004,ENSAYOS!$C$5:$C$3004,F706,ENSAYOS!$Q$5:$Q$3004,"&gt;0",ENSAYOS!$G$5:$G$3004,N706)/X706))</f>
        <v/>
      </c>
      <c r="AA706" s="16" t="str">
        <f aca="false">IF(D706="","",IFERROR(1/(1/INDEX(CONFIG!$J$5:$J$14,MATCH(D706,CONFIG!$D$5:$D$14,0))),""))</f>
        <v/>
      </c>
      <c r="AB706" s="16" t="str">
        <f aca="false">IF(D706="","",IFERROR(1/(1/INDEX(CONFIG!$K$5:$K$14,MATCH(D706,CONFIG!$D$5:$D$14,0))),""))</f>
        <v/>
      </c>
      <c r="AC706" s="19" t="str">
        <f aca="false">IF(N(M706)=0,"",IF(AA706="","Sin spec",IF(AND(Y706&gt;=AA706,OR(AB706="",Z706&gt;=AB706)),"CUMPLE","NO CUMPLE")&amp;IF(V706=""," (est.)","")))</f>
        <v/>
      </c>
      <c r="AD706" s="20" t="str">
        <f aca="false">IF(F706="","",IF(COUNTIFS(ABSORCION!$C$5:$C$1004,F706,ABSORCION!$I$5:$I$1004,"&gt;0")=0,"",AVERAGEIFS(ABSORCION!$I$5:$I$1004,ABSORCION!$C$5:$C$1004,F706,ABSORCION!$I$5:$I$1004,"&gt;0")))</f>
        <v/>
      </c>
      <c r="AE706" s="20" t="str">
        <f aca="false">IF(F706="","",IF(COUNTIFS(ABSORCION!$C$5:$C$1004,F706,ABSORCION!$I$5:$I$1004,"&gt;0")=0,"",AVERAGEIFS(ABSORCION!$K$5:$K$1004,ABSORCION!$C$5:$C$1004,F706,ABSORCION!$I$5:$I$1004,"&gt;0")))</f>
        <v/>
      </c>
      <c r="AF706" s="20" t="str">
        <f aca="false">IF(AE706="","",IF(AE706&gt;=CONFIG!$E$21,CONFIG!$F$21,IF(AE706&gt;=CONFIG!$E$20,CONFIG!$F$20,CONFIG!$F$19)))</f>
        <v/>
      </c>
      <c r="AG706" s="21" t="str">
        <f aca="false">IF(F706="","",TRIM(IF(N(M706)=0,"Sin ensayos. ","")&amp;IF(AND(N(M706)&gt;0,N(M706)&lt;CONFIG!$B$26),"Menos de "&amp;CONFIG!$B$26&amp;" probetas. ","")&amp;IF(N(T706)&gt;CONFIG!$B$25,"CV alto. ","")&amp;IF(AND(N(AD706)&gt;0,N(AD706)&gt;N(AF706)),"Absorción alta. ","")))</f>
        <v/>
      </c>
      <c r="AH706" s="22" t="str">
        <f aca="false">IF(AND(N(M706)&gt;0,OR(CONTROL!$C$4="TODAS",C706=CONTROL!$C$4),D706=CONTROL!$C$5),MAX($AH$4:AH705)+1,"")</f>
        <v/>
      </c>
      <c r="AI706" s="22" t="str">
        <f aca="false">IF(AH706="","",P706^2)</f>
        <v/>
      </c>
    </row>
    <row r="707" customFormat="false" ht="15" hidden="false" customHeight="false" outlineLevel="0" collapsed="false">
      <c r="A707" s="11" t="str">
        <f aca="false">IF(B707="","",ROW()-4)</f>
        <v/>
      </c>
      <c r="B707" s="12"/>
      <c r="C707" s="13"/>
      <c r="D707" s="13"/>
      <c r="E707" s="13"/>
      <c r="F707" s="14" t="str">
        <f aca="false">IF(OR(B707="",C707="",D707=""),"",IFERROR(INDEX(CONFIG!$E$5:$E$14,MATCH(D707,CONFIG!$D$5:$D$14,0)),"?")&amp;RIGHT("0"&amp;DAY(B707),2)&amp;RIGHT("0"&amp;MONTH(B707),2)&amp;RIGHT(YEAR(B707),2)&amp;C707&amp;IF(E707="","","-"&amp;E707))</f>
        <v/>
      </c>
      <c r="G707" s="13"/>
      <c r="H707" s="13"/>
      <c r="I707" s="13"/>
      <c r="J707" s="13"/>
      <c r="K707" s="13"/>
      <c r="L707" s="13"/>
      <c r="M707" s="11" t="str">
        <f aca="false">IF(F707="","",COUNTIFS(ENSAYOS!$C$5:$C$3004,F707,ENSAYOS!$Q$5:$Q$3004,"&gt;0"))</f>
        <v/>
      </c>
      <c r="N707" s="15" t="str">
        <f aca="false">IF(N(M707)=0,"",_xlfn.MINIFS(ENSAYOS!$G$5:$G$3004,ENSAYOS!$C$5:$C$3004,F707,ENSAYOS!$Q$5:$Q$3004,"&gt;0"))</f>
        <v/>
      </c>
      <c r="O707" s="15" t="str">
        <f aca="false">IF(N(M707)=0,"",_xlfn.MAXIFS(ENSAYOS!$G$5:$G$3004,ENSAYOS!$C$5:$C$3004,F707,ENSAYOS!$Q$5:$Q$3004,"&gt;0"))</f>
        <v/>
      </c>
      <c r="P707" s="16" t="str">
        <f aca="false">IF(N(M707)=0,"",AVERAGEIFS(ENSAYOS!$Q$5:$Q$3004,ENSAYOS!$C$5:$C$3004,F707,ENSAYOS!$Q$5:$Q$3004,"&gt;0"))</f>
        <v/>
      </c>
      <c r="Q707" s="16" t="str">
        <f aca="false">IF(N(M707)=0,"",_xlfn.MINIFS(ENSAYOS!$Q$5:$Q$3004,ENSAYOS!$C$5:$C$3004,F707,ENSAYOS!$Q$5:$Q$3004,"&gt;0"))</f>
        <v/>
      </c>
      <c r="R707" s="16" t="str">
        <f aca="false">IF(N(M707)=0,"",_xlfn.MAXIFS(ENSAYOS!$Q$5:$Q$3004,ENSAYOS!$C$5:$C$3004,F707,ENSAYOS!$Q$5:$Q$3004,"&gt;0"))</f>
        <v/>
      </c>
      <c r="S707" s="16" t="str">
        <f aca="false">IF(N(M707)&lt;2,"",SQRT(MAX(0,(SUMIFS(ENSAYOS!$X$5:$X$3004,ENSAYOS!$C$5:$C$3004,F707,ENSAYOS!$Q$5:$Q$3004,"&gt;0")-M707*P707^2)/(M707-1))))</f>
        <v/>
      </c>
      <c r="T707" s="17" t="str">
        <f aca="false">IF(S707="","",S707/P707)</f>
        <v/>
      </c>
      <c r="U707" s="16" t="str">
        <f aca="false">IF(N(M707)=0,"",IF(N707&gt;=CONFIG!$B$27,"",AVERAGEIFS(ENSAYOS!$Q$5:$Q$3004,ENSAYOS!$C$5:$C$3004,F707,ENSAYOS!$Q$5:$Q$3004,"&gt;0",ENSAYOS!$G$5:$G$3004,N707)))</f>
        <v/>
      </c>
      <c r="V707" s="16" t="str">
        <f aca="false">IF(N(M707)=0,"",IF(COUNTIFS(ENSAYOS!$C$5:$C$3004,F707,ENSAYOS!$Q$5:$Q$3004,"&gt;0",ENSAYOS!$G$5:$G$3004,"&gt;="&amp;CONFIG!$B$27)=0,"",AVERAGEIFS(ENSAYOS!$Q$5:$Q$3004,ENSAYOS!$C$5:$C$3004,F707,ENSAYOS!$Q$5:$Q$3004,"&gt;0",ENSAYOS!$G$5:$G$3004,"&gt;="&amp;CONFIG!$B$27)))</f>
        <v/>
      </c>
      <c r="W707" s="18" t="str">
        <f aca="false">IF(AND(U707&lt;&gt;"",V707&lt;&gt;""),U707/V707,"")</f>
        <v/>
      </c>
      <c r="X707" s="18" t="str">
        <f aca="false">IF(U707="","",INDEX('CURVA EDAD'!$E$5:$E$32,MIN(28,MAX(1,N707))))</f>
        <v/>
      </c>
      <c r="Y707" s="16" t="str">
        <f aca="false">IF(V707&lt;&gt;"",V707,IF(U707="","",U707/X707))</f>
        <v/>
      </c>
      <c r="Z707" s="16" t="str">
        <f aca="false">IF(V707&lt;&gt;"",_xlfn.MINIFS(ENSAYOS!$Q$5:$Q$3004,ENSAYOS!$C$5:$C$3004,F707,ENSAYOS!$Q$5:$Q$3004,"&gt;0",ENSAYOS!$G$5:$G$3004,"&gt;="&amp;CONFIG!$B$27),IF(U707="","",_xlfn.MINIFS(ENSAYOS!$Q$5:$Q$3004,ENSAYOS!$C$5:$C$3004,F707,ENSAYOS!$Q$5:$Q$3004,"&gt;0",ENSAYOS!$G$5:$G$3004,N707)/X707))</f>
        <v/>
      </c>
      <c r="AA707" s="16" t="str">
        <f aca="false">IF(D707="","",IFERROR(1/(1/INDEX(CONFIG!$J$5:$J$14,MATCH(D707,CONFIG!$D$5:$D$14,0))),""))</f>
        <v/>
      </c>
      <c r="AB707" s="16" t="str">
        <f aca="false">IF(D707="","",IFERROR(1/(1/INDEX(CONFIG!$K$5:$K$14,MATCH(D707,CONFIG!$D$5:$D$14,0))),""))</f>
        <v/>
      </c>
      <c r="AC707" s="19" t="str">
        <f aca="false">IF(N(M707)=0,"",IF(AA707="","Sin spec",IF(AND(Y707&gt;=AA707,OR(AB707="",Z707&gt;=AB707)),"CUMPLE","NO CUMPLE")&amp;IF(V707=""," (est.)","")))</f>
        <v/>
      </c>
      <c r="AD707" s="20" t="str">
        <f aca="false">IF(F707="","",IF(COUNTIFS(ABSORCION!$C$5:$C$1004,F707,ABSORCION!$I$5:$I$1004,"&gt;0")=0,"",AVERAGEIFS(ABSORCION!$I$5:$I$1004,ABSORCION!$C$5:$C$1004,F707,ABSORCION!$I$5:$I$1004,"&gt;0")))</f>
        <v/>
      </c>
      <c r="AE707" s="20" t="str">
        <f aca="false">IF(F707="","",IF(COUNTIFS(ABSORCION!$C$5:$C$1004,F707,ABSORCION!$I$5:$I$1004,"&gt;0")=0,"",AVERAGEIFS(ABSORCION!$K$5:$K$1004,ABSORCION!$C$5:$C$1004,F707,ABSORCION!$I$5:$I$1004,"&gt;0")))</f>
        <v/>
      </c>
      <c r="AF707" s="20" t="str">
        <f aca="false">IF(AE707="","",IF(AE707&gt;=CONFIG!$E$21,CONFIG!$F$21,IF(AE707&gt;=CONFIG!$E$20,CONFIG!$F$20,CONFIG!$F$19)))</f>
        <v/>
      </c>
      <c r="AG707" s="21" t="str">
        <f aca="false">IF(F707="","",TRIM(IF(N(M707)=0,"Sin ensayos. ","")&amp;IF(AND(N(M707)&gt;0,N(M707)&lt;CONFIG!$B$26),"Menos de "&amp;CONFIG!$B$26&amp;" probetas. ","")&amp;IF(N(T707)&gt;CONFIG!$B$25,"CV alto. ","")&amp;IF(AND(N(AD707)&gt;0,N(AD707)&gt;N(AF707)),"Absorción alta. ","")))</f>
        <v/>
      </c>
      <c r="AH707" s="22" t="str">
        <f aca="false">IF(AND(N(M707)&gt;0,OR(CONTROL!$C$4="TODAS",C707=CONTROL!$C$4),D707=CONTROL!$C$5),MAX($AH$4:AH706)+1,"")</f>
        <v/>
      </c>
      <c r="AI707" s="22" t="str">
        <f aca="false">IF(AH707="","",P707^2)</f>
        <v/>
      </c>
    </row>
    <row r="708" customFormat="false" ht="15" hidden="false" customHeight="false" outlineLevel="0" collapsed="false">
      <c r="A708" s="11" t="str">
        <f aca="false">IF(B708="","",ROW()-4)</f>
        <v/>
      </c>
      <c r="B708" s="12"/>
      <c r="C708" s="13"/>
      <c r="D708" s="13"/>
      <c r="E708" s="13"/>
      <c r="F708" s="14" t="str">
        <f aca="false">IF(OR(B708="",C708="",D708=""),"",IFERROR(INDEX(CONFIG!$E$5:$E$14,MATCH(D708,CONFIG!$D$5:$D$14,0)),"?")&amp;RIGHT("0"&amp;DAY(B708),2)&amp;RIGHT("0"&amp;MONTH(B708),2)&amp;RIGHT(YEAR(B708),2)&amp;C708&amp;IF(E708="","","-"&amp;E708))</f>
        <v/>
      </c>
      <c r="G708" s="13"/>
      <c r="H708" s="13"/>
      <c r="I708" s="13"/>
      <c r="J708" s="13"/>
      <c r="K708" s="13"/>
      <c r="L708" s="13"/>
      <c r="M708" s="11" t="str">
        <f aca="false">IF(F708="","",COUNTIFS(ENSAYOS!$C$5:$C$3004,F708,ENSAYOS!$Q$5:$Q$3004,"&gt;0"))</f>
        <v/>
      </c>
      <c r="N708" s="15" t="str">
        <f aca="false">IF(N(M708)=0,"",_xlfn.MINIFS(ENSAYOS!$G$5:$G$3004,ENSAYOS!$C$5:$C$3004,F708,ENSAYOS!$Q$5:$Q$3004,"&gt;0"))</f>
        <v/>
      </c>
      <c r="O708" s="15" t="str">
        <f aca="false">IF(N(M708)=0,"",_xlfn.MAXIFS(ENSAYOS!$G$5:$G$3004,ENSAYOS!$C$5:$C$3004,F708,ENSAYOS!$Q$5:$Q$3004,"&gt;0"))</f>
        <v/>
      </c>
      <c r="P708" s="16" t="str">
        <f aca="false">IF(N(M708)=0,"",AVERAGEIFS(ENSAYOS!$Q$5:$Q$3004,ENSAYOS!$C$5:$C$3004,F708,ENSAYOS!$Q$5:$Q$3004,"&gt;0"))</f>
        <v/>
      </c>
      <c r="Q708" s="16" t="str">
        <f aca="false">IF(N(M708)=0,"",_xlfn.MINIFS(ENSAYOS!$Q$5:$Q$3004,ENSAYOS!$C$5:$C$3004,F708,ENSAYOS!$Q$5:$Q$3004,"&gt;0"))</f>
        <v/>
      </c>
      <c r="R708" s="16" t="str">
        <f aca="false">IF(N(M708)=0,"",_xlfn.MAXIFS(ENSAYOS!$Q$5:$Q$3004,ENSAYOS!$C$5:$C$3004,F708,ENSAYOS!$Q$5:$Q$3004,"&gt;0"))</f>
        <v/>
      </c>
      <c r="S708" s="16" t="str">
        <f aca="false">IF(N(M708)&lt;2,"",SQRT(MAX(0,(SUMIFS(ENSAYOS!$X$5:$X$3004,ENSAYOS!$C$5:$C$3004,F708,ENSAYOS!$Q$5:$Q$3004,"&gt;0")-M708*P708^2)/(M708-1))))</f>
        <v/>
      </c>
      <c r="T708" s="17" t="str">
        <f aca="false">IF(S708="","",S708/P708)</f>
        <v/>
      </c>
      <c r="U708" s="16" t="str">
        <f aca="false">IF(N(M708)=0,"",IF(N708&gt;=CONFIG!$B$27,"",AVERAGEIFS(ENSAYOS!$Q$5:$Q$3004,ENSAYOS!$C$5:$C$3004,F708,ENSAYOS!$Q$5:$Q$3004,"&gt;0",ENSAYOS!$G$5:$G$3004,N708)))</f>
        <v/>
      </c>
      <c r="V708" s="16" t="str">
        <f aca="false">IF(N(M708)=0,"",IF(COUNTIFS(ENSAYOS!$C$5:$C$3004,F708,ENSAYOS!$Q$5:$Q$3004,"&gt;0",ENSAYOS!$G$5:$G$3004,"&gt;="&amp;CONFIG!$B$27)=0,"",AVERAGEIFS(ENSAYOS!$Q$5:$Q$3004,ENSAYOS!$C$5:$C$3004,F708,ENSAYOS!$Q$5:$Q$3004,"&gt;0",ENSAYOS!$G$5:$G$3004,"&gt;="&amp;CONFIG!$B$27)))</f>
        <v/>
      </c>
      <c r="W708" s="18" t="str">
        <f aca="false">IF(AND(U708&lt;&gt;"",V708&lt;&gt;""),U708/V708,"")</f>
        <v/>
      </c>
      <c r="X708" s="18" t="str">
        <f aca="false">IF(U708="","",INDEX('CURVA EDAD'!$E$5:$E$32,MIN(28,MAX(1,N708))))</f>
        <v/>
      </c>
      <c r="Y708" s="16" t="str">
        <f aca="false">IF(V708&lt;&gt;"",V708,IF(U708="","",U708/X708))</f>
        <v/>
      </c>
      <c r="Z708" s="16" t="str">
        <f aca="false">IF(V708&lt;&gt;"",_xlfn.MINIFS(ENSAYOS!$Q$5:$Q$3004,ENSAYOS!$C$5:$C$3004,F708,ENSAYOS!$Q$5:$Q$3004,"&gt;0",ENSAYOS!$G$5:$G$3004,"&gt;="&amp;CONFIG!$B$27),IF(U708="","",_xlfn.MINIFS(ENSAYOS!$Q$5:$Q$3004,ENSAYOS!$C$5:$C$3004,F708,ENSAYOS!$Q$5:$Q$3004,"&gt;0",ENSAYOS!$G$5:$G$3004,N708)/X708))</f>
        <v/>
      </c>
      <c r="AA708" s="16" t="str">
        <f aca="false">IF(D708="","",IFERROR(1/(1/INDEX(CONFIG!$J$5:$J$14,MATCH(D708,CONFIG!$D$5:$D$14,0))),""))</f>
        <v/>
      </c>
      <c r="AB708" s="16" t="str">
        <f aca="false">IF(D708="","",IFERROR(1/(1/INDEX(CONFIG!$K$5:$K$14,MATCH(D708,CONFIG!$D$5:$D$14,0))),""))</f>
        <v/>
      </c>
      <c r="AC708" s="19" t="str">
        <f aca="false">IF(N(M708)=0,"",IF(AA708="","Sin spec",IF(AND(Y708&gt;=AA708,OR(AB708="",Z708&gt;=AB708)),"CUMPLE","NO CUMPLE")&amp;IF(V708=""," (est.)","")))</f>
        <v/>
      </c>
      <c r="AD708" s="20" t="str">
        <f aca="false">IF(F708="","",IF(COUNTIFS(ABSORCION!$C$5:$C$1004,F708,ABSORCION!$I$5:$I$1004,"&gt;0")=0,"",AVERAGEIFS(ABSORCION!$I$5:$I$1004,ABSORCION!$C$5:$C$1004,F708,ABSORCION!$I$5:$I$1004,"&gt;0")))</f>
        <v/>
      </c>
      <c r="AE708" s="20" t="str">
        <f aca="false">IF(F708="","",IF(COUNTIFS(ABSORCION!$C$5:$C$1004,F708,ABSORCION!$I$5:$I$1004,"&gt;0")=0,"",AVERAGEIFS(ABSORCION!$K$5:$K$1004,ABSORCION!$C$5:$C$1004,F708,ABSORCION!$I$5:$I$1004,"&gt;0")))</f>
        <v/>
      </c>
      <c r="AF708" s="20" t="str">
        <f aca="false">IF(AE708="","",IF(AE708&gt;=CONFIG!$E$21,CONFIG!$F$21,IF(AE708&gt;=CONFIG!$E$20,CONFIG!$F$20,CONFIG!$F$19)))</f>
        <v/>
      </c>
      <c r="AG708" s="21" t="str">
        <f aca="false">IF(F708="","",TRIM(IF(N(M708)=0,"Sin ensayos. ","")&amp;IF(AND(N(M708)&gt;0,N(M708)&lt;CONFIG!$B$26),"Menos de "&amp;CONFIG!$B$26&amp;" probetas. ","")&amp;IF(N(T708)&gt;CONFIG!$B$25,"CV alto. ","")&amp;IF(AND(N(AD708)&gt;0,N(AD708)&gt;N(AF708)),"Absorción alta. ","")))</f>
        <v/>
      </c>
      <c r="AH708" s="22" t="str">
        <f aca="false">IF(AND(N(M708)&gt;0,OR(CONTROL!$C$4="TODAS",C708=CONTROL!$C$4),D708=CONTROL!$C$5),MAX($AH$4:AH707)+1,"")</f>
        <v/>
      </c>
      <c r="AI708" s="22" t="str">
        <f aca="false">IF(AH708="","",P708^2)</f>
        <v/>
      </c>
    </row>
    <row r="709" customFormat="false" ht="15" hidden="false" customHeight="false" outlineLevel="0" collapsed="false">
      <c r="A709" s="11" t="str">
        <f aca="false">IF(B709="","",ROW()-4)</f>
        <v/>
      </c>
      <c r="B709" s="12"/>
      <c r="C709" s="13"/>
      <c r="D709" s="13"/>
      <c r="E709" s="13"/>
      <c r="F709" s="14" t="str">
        <f aca="false">IF(OR(B709="",C709="",D709=""),"",IFERROR(INDEX(CONFIG!$E$5:$E$14,MATCH(D709,CONFIG!$D$5:$D$14,0)),"?")&amp;RIGHT("0"&amp;DAY(B709),2)&amp;RIGHT("0"&amp;MONTH(B709),2)&amp;RIGHT(YEAR(B709),2)&amp;C709&amp;IF(E709="","","-"&amp;E709))</f>
        <v/>
      </c>
      <c r="G709" s="13"/>
      <c r="H709" s="13"/>
      <c r="I709" s="13"/>
      <c r="J709" s="13"/>
      <c r="K709" s="13"/>
      <c r="L709" s="13"/>
      <c r="M709" s="11" t="str">
        <f aca="false">IF(F709="","",COUNTIFS(ENSAYOS!$C$5:$C$3004,F709,ENSAYOS!$Q$5:$Q$3004,"&gt;0"))</f>
        <v/>
      </c>
      <c r="N709" s="15" t="str">
        <f aca="false">IF(N(M709)=0,"",_xlfn.MINIFS(ENSAYOS!$G$5:$G$3004,ENSAYOS!$C$5:$C$3004,F709,ENSAYOS!$Q$5:$Q$3004,"&gt;0"))</f>
        <v/>
      </c>
      <c r="O709" s="15" t="str">
        <f aca="false">IF(N(M709)=0,"",_xlfn.MAXIFS(ENSAYOS!$G$5:$G$3004,ENSAYOS!$C$5:$C$3004,F709,ENSAYOS!$Q$5:$Q$3004,"&gt;0"))</f>
        <v/>
      </c>
      <c r="P709" s="16" t="str">
        <f aca="false">IF(N(M709)=0,"",AVERAGEIFS(ENSAYOS!$Q$5:$Q$3004,ENSAYOS!$C$5:$C$3004,F709,ENSAYOS!$Q$5:$Q$3004,"&gt;0"))</f>
        <v/>
      </c>
      <c r="Q709" s="16" t="str">
        <f aca="false">IF(N(M709)=0,"",_xlfn.MINIFS(ENSAYOS!$Q$5:$Q$3004,ENSAYOS!$C$5:$C$3004,F709,ENSAYOS!$Q$5:$Q$3004,"&gt;0"))</f>
        <v/>
      </c>
      <c r="R709" s="16" t="str">
        <f aca="false">IF(N(M709)=0,"",_xlfn.MAXIFS(ENSAYOS!$Q$5:$Q$3004,ENSAYOS!$C$5:$C$3004,F709,ENSAYOS!$Q$5:$Q$3004,"&gt;0"))</f>
        <v/>
      </c>
      <c r="S709" s="16" t="str">
        <f aca="false">IF(N(M709)&lt;2,"",SQRT(MAX(0,(SUMIFS(ENSAYOS!$X$5:$X$3004,ENSAYOS!$C$5:$C$3004,F709,ENSAYOS!$Q$5:$Q$3004,"&gt;0")-M709*P709^2)/(M709-1))))</f>
        <v/>
      </c>
      <c r="T709" s="17" t="str">
        <f aca="false">IF(S709="","",S709/P709)</f>
        <v/>
      </c>
      <c r="U709" s="16" t="str">
        <f aca="false">IF(N(M709)=0,"",IF(N709&gt;=CONFIG!$B$27,"",AVERAGEIFS(ENSAYOS!$Q$5:$Q$3004,ENSAYOS!$C$5:$C$3004,F709,ENSAYOS!$Q$5:$Q$3004,"&gt;0",ENSAYOS!$G$5:$G$3004,N709)))</f>
        <v/>
      </c>
      <c r="V709" s="16" t="str">
        <f aca="false">IF(N(M709)=0,"",IF(COUNTIFS(ENSAYOS!$C$5:$C$3004,F709,ENSAYOS!$Q$5:$Q$3004,"&gt;0",ENSAYOS!$G$5:$G$3004,"&gt;="&amp;CONFIG!$B$27)=0,"",AVERAGEIFS(ENSAYOS!$Q$5:$Q$3004,ENSAYOS!$C$5:$C$3004,F709,ENSAYOS!$Q$5:$Q$3004,"&gt;0",ENSAYOS!$G$5:$G$3004,"&gt;="&amp;CONFIG!$B$27)))</f>
        <v/>
      </c>
      <c r="W709" s="18" t="str">
        <f aca="false">IF(AND(U709&lt;&gt;"",V709&lt;&gt;""),U709/V709,"")</f>
        <v/>
      </c>
      <c r="X709" s="18" t="str">
        <f aca="false">IF(U709="","",INDEX('CURVA EDAD'!$E$5:$E$32,MIN(28,MAX(1,N709))))</f>
        <v/>
      </c>
      <c r="Y709" s="16" t="str">
        <f aca="false">IF(V709&lt;&gt;"",V709,IF(U709="","",U709/X709))</f>
        <v/>
      </c>
      <c r="Z709" s="16" t="str">
        <f aca="false">IF(V709&lt;&gt;"",_xlfn.MINIFS(ENSAYOS!$Q$5:$Q$3004,ENSAYOS!$C$5:$C$3004,F709,ENSAYOS!$Q$5:$Q$3004,"&gt;0",ENSAYOS!$G$5:$G$3004,"&gt;="&amp;CONFIG!$B$27),IF(U709="","",_xlfn.MINIFS(ENSAYOS!$Q$5:$Q$3004,ENSAYOS!$C$5:$C$3004,F709,ENSAYOS!$Q$5:$Q$3004,"&gt;0",ENSAYOS!$G$5:$G$3004,N709)/X709))</f>
        <v/>
      </c>
      <c r="AA709" s="16" t="str">
        <f aca="false">IF(D709="","",IFERROR(1/(1/INDEX(CONFIG!$J$5:$J$14,MATCH(D709,CONFIG!$D$5:$D$14,0))),""))</f>
        <v/>
      </c>
      <c r="AB709" s="16" t="str">
        <f aca="false">IF(D709="","",IFERROR(1/(1/INDEX(CONFIG!$K$5:$K$14,MATCH(D709,CONFIG!$D$5:$D$14,0))),""))</f>
        <v/>
      </c>
      <c r="AC709" s="19" t="str">
        <f aca="false">IF(N(M709)=0,"",IF(AA709="","Sin spec",IF(AND(Y709&gt;=AA709,OR(AB709="",Z709&gt;=AB709)),"CUMPLE","NO CUMPLE")&amp;IF(V709=""," (est.)","")))</f>
        <v/>
      </c>
      <c r="AD709" s="20" t="str">
        <f aca="false">IF(F709="","",IF(COUNTIFS(ABSORCION!$C$5:$C$1004,F709,ABSORCION!$I$5:$I$1004,"&gt;0")=0,"",AVERAGEIFS(ABSORCION!$I$5:$I$1004,ABSORCION!$C$5:$C$1004,F709,ABSORCION!$I$5:$I$1004,"&gt;0")))</f>
        <v/>
      </c>
      <c r="AE709" s="20" t="str">
        <f aca="false">IF(F709="","",IF(COUNTIFS(ABSORCION!$C$5:$C$1004,F709,ABSORCION!$I$5:$I$1004,"&gt;0")=0,"",AVERAGEIFS(ABSORCION!$K$5:$K$1004,ABSORCION!$C$5:$C$1004,F709,ABSORCION!$I$5:$I$1004,"&gt;0")))</f>
        <v/>
      </c>
      <c r="AF709" s="20" t="str">
        <f aca="false">IF(AE709="","",IF(AE709&gt;=CONFIG!$E$21,CONFIG!$F$21,IF(AE709&gt;=CONFIG!$E$20,CONFIG!$F$20,CONFIG!$F$19)))</f>
        <v/>
      </c>
      <c r="AG709" s="21" t="str">
        <f aca="false">IF(F709="","",TRIM(IF(N(M709)=0,"Sin ensayos. ","")&amp;IF(AND(N(M709)&gt;0,N(M709)&lt;CONFIG!$B$26),"Menos de "&amp;CONFIG!$B$26&amp;" probetas. ","")&amp;IF(N(T709)&gt;CONFIG!$B$25,"CV alto. ","")&amp;IF(AND(N(AD709)&gt;0,N(AD709)&gt;N(AF709)),"Absorción alta. ","")))</f>
        <v/>
      </c>
      <c r="AH709" s="22" t="str">
        <f aca="false">IF(AND(N(M709)&gt;0,OR(CONTROL!$C$4="TODAS",C709=CONTROL!$C$4),D709=CONTROL!$C$5),MAX($AH$4:AH708)+1,"")</f>
        <v/>
      </c>
      <c r="AI709" s="22" t="str">
        <f aca="false">IF(AH709="","",P709^2)</f>
        <v/>
      </c>
    </row>
    <row r="710" customFormat="false" ht="15" hidden="false" customHeight="false" outlineLevel="0" collapsed="false">
      <c r="A710" s="11" t="str">
        <f aca="false">IF(B710="","",ROW()-4)</f>
        <v/>
      </c>
      <c r="B710" s="12"/>
      <c r="C710" s="13"/>
      <c r="D710" s="13"/>
      <c r="E710" s="13"/>
      <c r="F710" s="14" t="str">
        <f aca="false">IF(OR(B710="",C710="",D710=""),"",IFERROR(INDEX(CONFIG!$E$5:$E$14,MATCH(D710,CONFIG!$D$5:$D$14,0)),"?")&amp;RIGHT("0"&amp;DAY(B710),2)&amp;RIGHT("0"&amp;MONTH(B710),2)&amp;RIGHT(YEAR(B710),2)&amp;C710&amp;IF(E710="","","-"&amp;E710))</f>
        <v/>
      </c>
      <c r="G710" s="13"/>
      <c r="H710" s="13"/>
      <c r="I710" s="13"/>
      <c r="J710" s="13"/>
      <c r="K710" s="13"/>
      <c r="L710" s="13"/>
      <c r="M710" s="11" t="str">
        <f aca="false">IF(F710="","",COUNTIFS(ENSAYOS!$C$5:$C$3004,F710,ENSAYOS!$Q$5:$Q$3004,"&gt;0"))</f>
        <v/>
      </c>
      <c r="N710" s="15" t="str">
        <f aca="false">IF(N(M710)=0,"",_xlfn.MINIFS(ENSAYOS!$G$5:$G$3004,ENSAYOS!$C$5:$C$3004,F710,ENSAYOS!$Q$5:$Q$3004,"&gt;0"))</f>
        <v/>
      </c>
      <c r="O710" s="15" t="str">
        <f aca="false">IF(N(M710)=0,"",_xlfn.MAXIFS(ENSAYOS!$G$5:$G$3004,ENSAYOS!$C$5:$C$3004,F710,ENSAYOS!$Q$5:$Q$3004,"&gt;0"))</f>
        <v/>
      </c>
      <c r="P710" s="16" t="str">
        <f aca="false">IF(N(M710)=0,"",AVERAGEIFS(ENSAYOS!$Q$5:$Q$3004,ENSAYOS!$C$5:$C$3004,F710,ENSAYOS!$Q$5:$Q$3004,"&gt;0"))</f>
        <v/>
      </c>
      <c r="Q710" s="16" t="str">
        <f aca="false">IF(N(M710)=0,"",_xlfn.MINIFS(ENSAYOS!$Q$5:$Q$3004,ENSAYOS!$C$5:$C$3004,F710,ENSAYOS!$Q$5:$Q$3004,"&gt;0"))</f>
        <v/>
      </c>
      <c r="R710" s="16" t="str">
        <f aca="false">IF(N(M710)=0,"",_xlfn.MAXIFS(ENSAYOS!$Q$5:$Q$3004,ENSAYOS!$C$5:$C$3004,F710,ENSAYOS!$Q$5:$Q$3004,"&gt;0"))</f>
        <v/>
      </c>
      <c r="S710" s="16" t="str">
        <f aca="false">IF(N(M710)&lt;2,"",SQRT(MAX(0,(SUMIFS(ENSAYOS!$X$5:$X$3004,ENSAYOS!$C$5:$C$3004,F710,ENSAYOS!$Q$5:$Q$3004,"&gt;0")-M710*P710^2)/(M710-1))))</f>
        <v/>
      </c>
      <c r="T710" s="17" t="str">
        <f aca="false">IF(S710="","",S710/P710)</f>
        <v/>
      </c>
      <c r="U710" s="16" t="str">
        <f aca="false">IF(N(M710)=0,"",IF(N710&gt;=CONFIG!$B$27,"",AVERAGEIFS(ENSAYOS!$Q$5:$Q$3004,ENSAYOS!$C$5:$C$3004,F710,ENSAYOS!$Q$5:$Q$3004,"&gt;0",ENSAYOS!$G$5:$G$3004,N710)))</f>
        <v/>
      </c>
      <c r="V710" s="16" t="str">
        <f aca="false">IF(N(M710)=0,"",IF(COUNTIFS(ENSAYOS!$C$5:$C$3004,F710,ENSAYOS!$Q$5:$Q$3004,"&gt;0",ENSAYOS!$G$5:$G$3004,"&gt;="&amp;CONFIG!$B$27)=0,"",AVERAGEIFS(ENSAYOS!$Q$5:$Q$3004,ENSAYOS!$C$5:$C$3004,F710,ENSAYOS!$Q$5:$Q$3004,"&gt;0",ENSAYOS!$G$5:$G$3004,"&gt;="&amp;CONFIG!$B$27)))</f>
        <v/>
      </c>
      <c r="W710" s="18" t="str">
        <f aca="false">IF(AND(U710&lt;&gt;"",V710&lt;&gt;""),U710/V710,"")</f>
        <v/>
      </c>
      <c r="X710" s="18" t="str">
        <f aca="false">IF(U710="","",INDEX('CURVA EDAD'!$E$5:$E$32,MIN(28,MAX(1,N710))))</f>
        <v/>
      </c>
      <c r="Y710" s="16" t="str">
        <f aca="false">IF(V710&lt;&gt;"",V710,IF(U710="","",U710/X710))</f>
        <v/>
      </c>
      <c r="Z710" s="16" t="str">
        <f aca="false">IF(V710&lt;&gt;"",_xlfn.MINIFS(ENSAYOS!$Q$5:$Q$3004,ENSAYOS!$C$5:$C$3004,F710,ENSAYOS!$Q$5:$Q$3004,"&gt;0",ENSAYOS!$G$5:$G$3004,"&gt;="&amp;CONFIG!$B$27),IF(U710="","",_xlfn.MINIFS(ENSAYOS!$Q$5:$Q$3004,ENSAYOS!$C$5:$C$3004,F710,ENSAYOS!$Q$5:$Q$3004,"&gt;0",ENSAYOS!$G$5:$G$3004,N710)/X710))</f>
        <v/>
      </c>
      <c r="AA710" s="16" t="str">
        <f aca="false">IF(D710="","",IFERROR(1/(1/INDEX(CONFIG!$J$5:$J$14,MATCH(D710,CONFIG!$D$5:$D$14,0))),""))</f>
        <v/>
      </c>
      <c r="AB710" s="16" t="str">
        <f aca="false">IF(D710="","",IFERROR(1/(1/INDEX(CONFIG!$K$5:$K$14,MATCH(D710,CONFIG!$D$5:$D$14,0))),""))</f>
        <v/>
      </c>
      <c r="AC710" s="19" t="str">
        <f aca="false">IF(N(M710)=0,"",IF(AA710="","Sin spec",IF(AND(Y710&gt;=AA710,OR(AB710="",Z710&gt;=AB710)),"CUMPLE","NO CUMPLE")&amp;IF(V710=""," (est.)","")))</f>
        <v/>
      </c>
      <c r="AD710" s="20" t="str">
        <f aca="false">IF(F710="","",IF(COUNTIFS(ABSORCION!$C$5:$C$1004,F710,ABSORCION!$I$5:$I$1004,"&gt;0")=0,"",AVERAGEIFS(ABSORCION!$I$5:$I$1004,ABSORCION!$C$5:$C$1004,F710,ABSORCION!$I$5:$I$1004,"&gt;0")))</f>
        <v/>
      </c>
      <c r="AE710" s="20" t="str">
        <f aca="false">IF(F710="","",IF(COUNTIFS(ABSORCION!$C$5:$C$1004,F710,ABSORCION!$I$5:$I$1004,"&gt;0")=0,"",AVERAGEIFS(ABSORCION!$K$5:$K$1004,ABSORCION!$C$5:$C$1004,F710,ABSORCION!$I$5:$I$1004,"&gt;0")))</f>
        <v/>
      </c>
      <c r="AF710" s="20" t="str">
        <f aca="false">IF(AE710="","",IF(AE710&gt;=CONFIG!$E$21,CONFIG!$F$21,IF(AE710&gt;=CONFIG!$E$20,CONFIG!$F$20,CONFIG!$F$19)))</f>
        <v/>
      </c>
      <c r="AG710" s="21" t="str">
        <f aca="false">IF(F710="","",TRIM(IF(N(M710)=0,"Sin ensayos. ","")&amp;IF(AND(N(M710)&gt;0,N(M710)&lt;CONFIG!$B$26),"Menos de "&amp;CONFIG!$B$26&amp;" probetas. ","")&amp;IF(N(T710)&gt;CONFIG!$B$25,"CV alto. ","")&amp;IF(AND(N(AD710)&gt;0,N(AD710)&gt;N(AF710)),"Absorción alta. ","")))</f>
        <v/>
      </c>
      <c r="AH710" s="22" t="str">
        <f aca="false">IF(AND(N(M710)&gt;0,OR(CONTROL!$C$4="TODAS",C710=CONTROL!$C$4),D710=CONTROL!$C$5),MAX($AH$4:AH709)+1,"")</f>
        <v/>
      </c>
      <c r="AI710" s="22" t="str">
        <f aca="false">IF(AH710="","",P710^2)</f>
        <v/>
      </c>
    </row>
    <row r="711" customFormat="false" ht="15" hidden="false" customHeight="false" outlineLevel="0" collapsed="false">
      <c r="A711" s="11" t="str">
        <f aca="false">IF(B711="","",ROW()-4)</f>
        <v/>
      </c>
      <c r="B711" s="12"/>
      <c r="C711" s="13"/>
      <c r="D711" s="13"/>
      <c r="E711" s="13"/>
      <c r="F711" s="14" t="str">
        <f aca="false">IF(OR(B711="",C711="",D711=""),"",IFERROR(INDEX(CONFIG!$E$5:$E$14,MATCH(D711,CONFIG!$D$5:$D$14,0)),"?")&amp;RIGHT("0"&amp;DAY(B711),2)&amp;RIGHT("0"&amp;MONTH(B711),2)&amp;RIGHT(YEAR(B711),2)&amp;C711&amp;IF(E711="","","-"&amp;E711))</f>
        <v/>
      </c>
      <c r="G711" s="13"/>
      <c r="H711" s="13"/>
      <c r="I711" s="13"/>
      <c r="J711" s="13"/>
      <c r="K711" s="13"/>
      <c r="L711" s="13"/>
      <c r="M711" s="11" t="str">
        <f aca="false">IF(F711="","",COUNTIFS(ENSAYOS!$C$5:$C$3004,F711,ENSAYOS!$Q$5:$Q$3004,"&gt;0"))</f>
        <v/>
      </c>
      <c r="N711" s="15" t="str">
        <f aca="false">IF(N(M711)=0,"",_xlfn.MINIFS(ENSAYOS!$G$5:$G$3004,ENSAYOS!$C$5:$C$3004,F711,ENSAYOS!$Q$5:$Q$3004,"&gt;0"))</f>
        <v/>
      </c>
      <c r="O711" s="15" t="str">
        <f aca="false">IF(N(M711)=0,"",_xlfn.MAXIFS(ENSAYOS!$G$5:$G$3004,ENSAYOS!$C$5:$C$3004,F711,ENSAYOS!$Q$5:$Q$3004,"&gt;0"))</f>
        <v/>
      </c>
      <c r="P711" s="16" t="str">
        <f aca="false">IF(N(M711)=0,"",AVERAGEIFS(ENSAYOS!$Q$5:$Q$3004,ENSAYOS!$C$5:$C$3004,F711,ENSAYOS!$Q$5:$Q$3004,"&gt;0"))</f>
        <v/>
      </c>
      <c r="Q711" s="16" t="str">
        <f aca="false">IF(N(M711)=0,"",_xlfn.MINIFS(ENSAYOS!$Q$5:$Q$3004,ENSAYOS!$C$5:$C$3004,F711,ENSAYOS!$Q$5:$Q$3004,"&gt;0"))</f>
        <v/>
      </c>
      <c r="R711" s="16" t="str">
        <f aca="false">IF(N(M711)=0,"",_xlfn.MAXIFS(ENSAYOS!$Q$5:$Q$3004,ENSAYOS!$C$5:$C$3004,F711,ENSAYOS!$Q$5:$Q$3004,"&gt;0"))</f>
        <v/>
      </c>
      <c r="S711" s="16" t="str">
        <f aca="false">IF(N(M711)&lt;2,"",SQRT(MAX(0,(SUMIFS(ENSAYOS!$X$5:$X$3004,ENSAYOS!$C$5:$C$3004,F711,ENSAYOS!$Q$5:$Q$3004,"&gt;0")-M711*P711^2)/(M711-1))))</f>
        <v/>
      </c>
      <c r="T711" s="17" t="str">
        <f aca="false">IF(S711="","",S711/P711)</f>
        <v/>
      </c>
      <c r="U711" s="16" t="str">
        <f aca="false">IF(N(M711)=0,"",IF(N711&gt;=CONFIG!$B$27,"",AVERAGEIFS(ENSAYOS!$Q$5:$Q$3004,ENSAYOS!$C$5:$C$3004,F711,ENSAYOS!$Q$5:$Q$3004,"&gt;0",ENSAYOS!$G$5:$G$3004,N711)))</f>
        <v/>
      </c>
      <c r="V711" s="16" t="str">
        <f aca="false">IF(N(M711)=0,"",IF(COUNTIFS(ENSAYOS!$C$5:$C$3004,F711,ENSAYOS!$Q$5:$Q$3004,"&gt;0",ENSAYOS!$G$5:$G$3004,"&gt;="&amp;CONFIG!$B$27)=0,"",AVERAGEIFS(ENSAYOS!$Q$5:$Q$3004,ENSAYOS!$C$5:$C$3004,F711,ENSAYOS!$Q$5:$Q$3004,"&gt;0",ENSAYOS!$G$5:$G$3004,"&gt;="&amp;CONFIG!$B$27)))</f>
        <v/>
      </c>
      <c r="W711" s="18" t="str">
        <f aca="false">IF(AND(U711&lt;&gt;"",V711&lt;&gt;""),U711/V711,"")</f>
        <v/>
      </c>
      <c r="X711" s="18" t="str">
        <f aca="false">IF(U711="","",INDEX('CURVA EDAD'!$E$5:$E$32,MIN(28,MAX(1,N711))))</f>
        <v/>
      </c>
      <c r="Y711" s="16" t="str">
        <f aca="false">IF(V711&lt;&gt;"",V711,IF(U711="","",U711/X711))</f>
        <v/>
      </c>
      <c r="Z711" s="16" t="str">
        <f aca="false">IF(V711&lt;&gt;"",_xlfn.MINIFS(ENSAYOS!$Q$5:$Q$3004,ENSAYOS!$C$5:$C$3004,F711,ENSAYOS!$Q$5:$Q$3004,"&gt;0",ENSAYOS!$G$5:$G$3004,"&gt;="&amp;CONFIG!$B$27),IF(U711="","",_xlfn.MINIFS(ENSAYOS!$Q$5:$Q$3004,ENSAYOS!$C$5:$C$3004,F711,ENSAYOS!$Q$5:$Q$3004,"&gt;0",ENSAYOS!$G$5:$G$3004,N711)/X711))</f>
        <v/>
      </c>
      <c r="AA711" s="16" t="str">
        <f aca="false">IF(D711="","",IFERROR(1/(1/INDEX(CONFIG!$J$5:$J$14,MATCH(D711,CONFIG!$D$5:$D$14,0))),""))</f>
        <v/>
      </c>
      <c r="AB711" s="16" t="str">
        <f aca="false">IF(D711="","",IFERROR(1/(1/INDEX(CONFIG!$K$5:$K$14,MATCH(D711,CONFIG!$D$5:$D$14,0))),""))</f>
        <v/>
      </c>
      <c r="AC711" s="19" t="str">
        <f aca="false">IF(N(M711)=0,"",IF(AA711="","Sin spec",IF(AND(Y711&gt;=AA711,OR(AB711="",Z711&gt;=AB711)),"CUMPLE","NO CUMPLE")&amp;IF(V711=""," (est.)","")))</f>
        <v/>
      </c>
      <c r="AD711" s="20" t="str">
        <f aca="false">IF(F711="","",IF(COUNTIFS(ABSORCION!$C$5:$C$1004,F711,ABSORCION!$I$5:$I$1004,"&gt;0")=0,"",AVERAGEIFS(ABSORCION!$I$5:$I$1004,ABSORCION!$C$5:$C$1004,F711,ABSORCION!$I$5:$I$1004,"&gt;0")))</f>
        <v/>
      </c>
      <c r="AE711" s="20" t="str">
        <f aca="false">IF(F711="","",IF(COUNTIFS(ABSORCION!$C$5:$C$1004,F711,ABSORCION!$I$5:$I$1004,"&gt;0")=0,"",AVERAGEIFS(ABSORCION!$K$5:$K$1004,ABSORCION!$C$5:$C$1004,F711,ABSORCION!$I$5:$I$1004,"&gt;0")))</f>
        <v/>
      </c>
      <c r="AF711" s="20" t="str">
        <f aca="false">IF(AE711="","",IF(AE711&gt;=CONFIG!$E$21,CONFIG!$F$21,IF(AE711&gt;=CONFIG!$E$20,CONFIG!$F$20,CONFIG!$F$19)))</f>
        <v/>
      </c>
      <c r="AG711" s="21" t="str">
        <f aca="false">IF(F711="","",TRIM(IF(N(M711)=0,"Sin ensayos. ","")&amp;IF(AND(N(M711)&gt;0,N(M711)&lt;CONFIG!$B$26),"Menos de "&amp;CONFIG!$B$26&amp;" probetas. ","")&amp;IF(N(T711)&gt;CONFIG!$B$25,"CV alto. ","")&amp;IF(AND(N(AD711)&gt;0,N(AD711)&gt;N(AF711)),"Absorción alta. ","")))</f>
        <v/>
      </c>
      <c r="AH711" s="22" t="str">
        <f aca="false">IF(AND(N(M711)&gt;0,OR(CONTROL!$C$4="TODAS",C711=CONTROL!$C$4),D711=CONTROL!$C$5),MAX($AH$4:AH710)+1,"")</f>
        <v/>
      </c>
      <c r="AI711" s="22" t="str">
        <f aca="false">IF(AH711="","",P711^2)</f>
        <v/>
      </c>
    </row>
    <row r="712" customFormat="false" ht="15" hidden="false" customHeight="false" outlineLevel="0" collapsed="false">
      <c r="A712" s="11" t="str">
        <f aca="false">IF(B712="","",ROW()-4)</f>
        <v/>
      </c>
      <c r="B712" s="12"/>
      <c r="C712" s="13"/>
      <c r="D712" s="13"/>
      <c r="E712" s="13"/>
      <c r="F712" s="14" t="str">
        <f aca="false">IF(OR(B712="",C712="",D712=""),"",IFERROR(INDEX(CONFIG!$E$5:$E$14,MATCH(D712,CONFIG!$D$5:$D$14,0)),"?")&amp;RIGHT("0"&amp;DAY(B712),2)&amp;RIGHT("0"&amp;MONTH(B712),2)&amp;RIGHT(YEAR(B712),2)&amp;C712&amp;IF(E712="","","-"&amp;E712))</f>
        <v/>
      </c>
      <c r="G712" s="13"/>
      <c r="H712" s="13"/>
      <c r="I712" s="13"/>
      <c r="J712" s="13"/>
      <c r="K712" s="13"/>
      <c r="L712" s="13"/>
      <c r="M712" s="11" t="str">
        <f aca="false">IF(F712="","",COUNTIFS(ENSAYOS!$C$5:$C$3004,F712,ENSAYOS!$Q$5:$Q$3004,"&gt;0"))</f>
        <v/>
      </c>
      <c r="N712" s="15" t="str">
        <f aca="false">IF(N(M712)=0,"",_xlfn.MINIFS(ENSAYOS!$G$5:$G$3004,ENSAYOS!$C$5:$C$3004,F712,ENSAYOS!$Q$5:$Q$3004,"&gt;0"))</f>
        <v/>
      </c>
      <c r="O712" s="15" t="str">
        <f aca="false">IF(N(M712)=0,"",_xlfn.MAXIFS(ENSAYOS!$G$5:$G$3004,ENSAYOS!$C$5:$C$3004,F712,ENSAYOS!$Q$5:$Q$3004,"&gt;0"))</f>
        <v/>
      </c>
      <c r="P712" s="16" t="str">
        <f aca="false">IF(N(M712)=0,"",AVERAGEIFS(ENSAYOS!$Q$5:$Q$3004,ENSAYOS!$C$5:$C$3004,F712,ENSAYOS!$Q$5:$Q$3004,"&gt;0"))</f>
        <v/>
      </c>
      <c r="Q712" s="16" t="str">
        <f aca="false">IF(N(M712)=0,"",_xlfn.MINIFS(ENSAYOS!$Q$5:$Q$3004,ENSAYOS!$C$5:$C$3004,F712,ENSAYOS!$Q$5:$Q$3004,"&gt;0"))</f>
        <v/>
      </c>
      <c r="R712" s="16" t="str">
        <f aca="false">IF(N(M712)=0,"",_xlfn.MAXIFS(ENSAYOS!$Q$5:$Q$3004,ENSAYOS!$C$5:$C$3004,F712,ENSAYOS!$Q$5:$Q$3004,"&gt;0"))</f>
        <v/>
      </c>
      <c r="S712" s="16" t="str">
        <f aca="false">IF(N(M712)&lt;2,"",SQRT(MAX(0,(SUMIFS(ENSAYOS!$X$5:$X$3004,ENSAYOS!$C$5:$C$3004,F712,ENSAYOS!$Q$5:$Q$3004,"&gt;0")-M712*P712^2)/(M712-1))))</f>
        <v/>
      </c>
      <c r="T712" s="17" t="str">
        <f aca="false">IF(S712="","",S712/P712)</f>
        <v/>
      </c>
      <c r="U712" s="16" t="str">
        <f aca="false">IF(N(M712)=0,"",IF(N712&gt;=CONFIG!$B$27,"",AVERAGEIFS(ENSAYOS!$Q$5:$Q$3004,ENSAYOS!$C$5:$C$3004,F712,ENSAYOS!$Q$5:$Q$3004,"&gt;0",ENSAYOS!$G$5:$G$3004,N712)))</f>
        <v/>
      </c>
      <c r="V712" s="16" t="str">
        <f aca="false">IF(N(M712)=0,"",IF(COUNTIFS(ENSAYOS!$C$5:$C$3004,F712,ENSAYOS!$Q$5:$Q$3004,"&gt;0",ENSAYOS!$G$5:$G$3004,"&gt;="&amp;CONFIG!$B$27)=0,"",AVERAGEIFS(ENSAYOS!$Q$5:$Q$3004,ENSAYOS!$C$5:$C$3004,F712,ENSAYOS!$Q$5:$Q$3004,"&gt;0",ENSAYOS!$G$5:$G$3004,"&gt;="&amp;CONFIG!$B$27)))</f>
        <v/>
      </c>
      <c r="W712" s="18" t="str">
        <f aca="false">IF(AND(U712&lt;&gt;"",V712&lt;&gt;""),U712/V712,"")</f>
        <v/>
      </c>
      <c r="X712" s="18" t="str">
        <f aca="false">IF(U712="","",INDEX('CURVA EDAD'!$E$5:$E$32,MIN(28,MAX(1,N712))))</f>
        <v/>
      </c>
      <c r="Y712" s="16" t="str">
        <f aca="false">IF(V712&lt;&gt;"",V712,IF(U712="","",U712/X712))</f>
        <v/>
      </c>
      <c r="Z712" s="16" t="str">
        <f aca="false">IF(V712&lt;&gt;"",_xlfn.MINIFS(ENSAYOS!$Q$5:$Q$3004,ENSAYOS!$C$5:$C$3004,F712,ENSAYOS!$Q$5:$Q$3004,"&gt;0",ENSAYOS!$G$5:$G$3004,"&gt;="&amp;CONFIG!$B$27),IF(U712="","",_xlfn.MINIFS(ENSAYOS!$Q$5:$Q$3004,ENSAYOS!$C$5:$C$3004,F712,ENSAYOS!$Q$5:$Q$3004,"&gt;0",ENSAYOS!$G$5:$G$3004,N712)/X712))</f>
        <v/>
      </c>
      <c r="AA712" s="16" t="str">
        <f aca="false">IF(D712="","",IFERROR(1/(1/INDEX(CONFIG!$J$5:$J$14,MATCH(D712,CONFIG!$D$5:$D$14,0))),""))</f>
        <v/>
      </c>
      <c r="AB712" s="16" t="str">
        <f aca="false">IF(D712="","",IFERROR(1/(1/INDEX(CONFIG!$K$5:$K$14,MATCH(D712,CONFIG!$D$5:$D$14,0))),""))</f>
        <v/>
      </c>
      <c r="AC712" s="19" t="str">
        <f aca="false">IF(N(M712)=0,"",IF(AA712="","Sin spec",IF(AND(Y712&gt;=AA712,OR(AB712="",Z712&gt;=AB712)),"CUMPLE","NO CUMPLE")&amp;IF(V712=""," (est.)","")))</f>
        <v/>
      </c>
      <c r="AD712" s="20" t="str">
        <f aca="false">IF(F712="","",IF(COUNTIFS(ABSORCION!$C$5:$C$1004,F712,ABSORCION!$I$5:$I$1004,"&gt;0")=0,"",AVERAGEIFS(ABSORCION!$I$5:$I$1004,ABSORCION!$C$5:$C$1004,F712,ABSORCION!$I$5:$I$1004,"&gt;0")))</f>
        <v/>
      </c>
      <c r="AE712" s="20" t="str">
        <f aca="false">IF(F712="","",IF(COUNTIFS(ABSORCION!$C$5:$C$1004,F712,ABSORCION!$I$5:$I$1004,"&gt;0")=0,"",AVERAGEIFS(ABSORCION!$K$5:$K$1004,ABSORCION!$C$5:$C$1004,F712,ABSORCION!$I$5:$I$1004,"&gt;0")))</f>
        <v/>
      </c>
      <c r="AF712" s="20" t="str">
        <f aca="false">IF(AE712="","",IF(AE712&gt;=CONFIG!$E$21,CONFIG!$F$21,IF(AE712&gt;=CONFIG!$E$20,CONFIG!$F$20,CONFIG!$F$19)))</f>
        <v/>
      </c>
      <c r="AG712" s="21" t="str">
        <f aca="false">IF(F712="","",TRIM(IF(N(M712)=0,"Sin ensayos. ","")&amp;IF(AND(N(M712)&gt;0,N(M712)&lt;CONFIG!$B$26),"Menos de "&amp;CONFIG!$B$26&amp;" probetas. ","")&amp;IF(N(T712)&gt;CONFIG!$B$25,"CV alto. ","")&amp;IF(AND(N(AD712)&gt;0,N(AD712)&gt;N(AF712)),"Absorción alta. ","")))</f>
        <v/>
      </c>
      <c r="AH712" s="22" t="str">
        <f aca="false">IF(AND(N(M712)&gt;0,OR(CONTROL!$C$4="TODAS",C712=CONTROL!$C$4),D712=CONTROL!$C$5),MAX($AH$4:AH711)+1,"")</f>
        <v/>
      </c>
      <c r="AI712" s="22" t="str">
        <f aca="false">IF(AH712="","",P712^2)</f>
        <v/>
      </c>
    </row>
    <row r="713" customFormat="false" ht="15" hidden="false" customHeight="false" outlineLevel="0" collapsed="false">
      <c r="A713" s="11" t="str">
        <f aca="false">IF(B713="","",ROW()-4)</f>
        <v/>
      </c>
      <c r="B713" s="12"/>
      <c r="C713" s="13"/>
      <c r="D713" s="13"/>
      <c r="E713" s="13"/>
      <c r="F713" s="14" t="str">
        <f aca="false">IF(OR(B713="",C713="",D713=""),"",IFERROR(INDEX(CONFIG!$E$5:$E$14,MATCH(D713,CONFIG!$D$5:$D$14,0)),"?")&amp;RIGHT("0"&amp;DAY(B713),2)&amp;RIGHT("0"&amp;MONTH(B713),2)&amp;RIGHT(YEAR(B713),2)&amp;C713&amp;IF(E713="","","-"&amp;E713))</f>
        <v/>
      </c>
      <c r="G713" s="13"/>
      <c r="H713" s="13"/>
      <c r="I713" s="13"/>
      <c r="J713" s="13"/>
      <c r="K713" s="13"/>
      <c r="L713" s="13"/>
      <c r="M713" s="11" t="str">
        <f aca="false">IF(F713="","",COUNTIFS(ENSAYOS!$C$5:$C$3004,F713,ENSAYOS!$Q$5:$Q$3004,"&gt;0"))</f>
        <v/>
      </c>
      <c r="N713" s="15" t="str">
        <f aca="false">IF(N(M713)=0,"",_xlfn.MINIFS(ENSAYOS!$G$5:$G$3004,ENSAYOS!$C$5:$C$3004,F713,ENSAYOS!$Q$5:$Q$3004,"&gt;0"))</f>
        <v/>
      </c>
      <c r="O713" s="15" t="str">
        <f aca="false">IF(N(M713)=0,"",_xlfn.MAXIFS(ENSAYOS!$G$5:$G$3004,ENSAYOS!$C$5:$C$3004,F713,ENSAYOS!$Q$5:$Q$3004,"&gt;0"))</f>
        <v/>
      </c>
      <c r="P713" s="16" t="str">
        <f aca="false">IF(N(M713)=0,"",AVERAGEIFS(ENSAYOS!$Q$5:$Q$3004,ENSAYOS!$C$5:$C$3004,F713,ENSAYOS!$Q$5:$Q$3004,"&gt;0"))</f>
        <v/>
      </c>
      <c r="Q713" s="16" t="str">
        <f aca="false">IF(N(M713)=0,"",_xlfn.MINIFS(ENSAYOS!$Q$5:$Q$3004,ENSAYOS!$C$5:$C$3004,F713,ENSAYOS!$Q$5:$Q$3004,"&gt;0"))</f>
        <v/>
      </c>
      <c r="R713" s="16" t="str">
        <f aca="false">IF(N(M713)=0,"",_xlfn.MAXIFS(ENSAYOS!$Q$5:$Q$3004,ENSAYOS!$C$5:$C$3004,F713,ENSAYOS!$Q$5:$Q$3004,"&gt;0"))</f>
        <v/>
      </c>
      <c r="S713" s="16" t="str">
        <f aca="false">IF(N(M713)&lt;2,"",SQRT(MAX(0,(SUMIFS(ENSAYOS!$X$5:$X$3004,ENSAYOS!$C$5:$C$3004,F713,ENSAYOS!$Q$5:$Q$3004,"&gt;0")-M713*P713^2)/(M713-1))))</f>
        <v/>
      </c>
      <c r="T713" s="17" t="str">
        <f aca="false">IF(S713="","",S713/P713)</f>
        <v/>
      </c>
      <c r="U713" s="16" t="str">
        <f aca="false">IF(N(M713)=0,"",IF(N713&gt;=CONFIG!$B$27,"",AVERAGEIFS(ENSAYOS!$Q$5:$Q$3004,ENSAYOS!$C$5:$C$3004,F713,ENSAYOS!$Q$5:$Q$3004,"&gt;0",ENSAYOS!$G$5:$G$3004,N713)))</f>
        <v/>
      </c>
      <c r="V713" s="16" t="str">
        <f aca="false">IF(N(M713)=0,"",IF(COUNTIFS(ENSAYOS!$C$5:$C$3004,F713,ENSAYOS!$Q$5:$Q$3004,"&gt;0",ENSAYOS!$G$5:$G$3004,"&gt;="&amp;CONFIG!$B$27)=0,"",AVERAGEIFS(ENSAYOS!$Q$5:$Q$3004,ENSAYOS!$C$5:$C$3004,F713,ENSAYOS!$Q$5:$Q$3004,"&gt;0",ENSAYOS!$G$5:$G$3004,"&gt;="&amp;CONFIG!$B$27)))</f>
        <v/>
      </c>
      <c r="W713" s="18" t="str">
        <f aca="false">IF(AND(U713&lt;&gt;"",V713&lt;&gt;""),U713/V713,"")</f>
        <v/>
      </c>
      <c r="X713" s="18" t="str">
        <f aca="false">IF(U713="","",INDEX('CURVA EDAD'!$E$5:$E$32,MIN(28,MAX(1,N713))))</f>
        <v/>
      </c>
      <c r="Y713" s="16" t="str">
        <f aca="false">IF(V713&lt;&gt;"",V713,IF(U713="","",U713/X713))</f>
        <v/>
      </c>
      <c r="Z713" s="16" t="str">
        <f aca="false">IF(V713&lt;&gt;"",_xlfn.MINIFS(ENSAYOS!$Q$5:$Q$3004,ENSAYOS!$C$5:$C$3004,F713,ENSAYOS!$Q$5:$Q$3004,"&gt;0",ENSAYOS!$G$5:$G$3004,"&gt;="&amp;CONFIG!$B$27),IF(U713="","",_xlfn.MINIFS(ENSAYOS!$Q$5:$Q$3004,ENSAYOS!$C$5:$C$3004,F713,ENSAYOS!$Q$5:$Q$3004,"&gt;0",ENSAYOS!$G$5:$G$3004,N713)/X713))</f>
        <v/>
      </c>
      <c r="AA713" s="16" t="str">
        <f aca="false">IF(D713="","",IFERROR(1/(1/INDEX(CONFIG!$J$5:$J$14,MATCH(D713,CONFIG!$D$5:$D$14,0))),""))</f>
        <v/>
      </c>
      <c r="AB713" s="16" t="str">
        <f aca="false">IF(D713="","",IFERROR(1/(1/INDEX(CONFIG!$K$5:$K$14,MATCH(D713,CONFIG!$D$5:$D$14,0))),""))</f>
        <v/>
      </c>
      <c r="AC713" s="19" t="str">
        <f aca="false">IF(N(M713)=0,"",IF(AA713="","Sin spec",IF(AND(Y713&gt;=AA713,OR(AB713="",Z713&gt;=AB713)),"CUMPLE","NO CUMPLE")&amp;IF(V713=""," (est.)","")))</f>
        <v/>
      </c>
      <c r="AD713" s="20" t="str">
        <f aca="false">IF(F713="","",IF(COUNTIFS(ABSORCION!$C$5:$C$1004,F713,ABSORCION!$I$5:$I$1004,"&gt;0")=0,"",AVERAGEIFS(ABSORCION!$I$5:$I$1004,ABSORCION!$C$5:$C$1004,F713,ABSORCION!$I$5:$I$1004,"&gt;0")))</f>
        <v/>
      </c>
      <c r="AE713" s="20" t="str">
        <f aca="false">IF(F713="","",IF(COUNTIFS(ABSORCION!$C$5:$C$1004,F713,ABSORCION!$I$5:$I$1004,"&gt;0")=0,"",AVERAGEIFS(ABSORCION!$K$5:$K$1004,ABSORCION!$C$5:$C$1004,F713,ABSORCION!$I$5:$I$1004,"&gt;0")))</f>
        <v/>
      </c>
      <c r="AF713" s="20" t="str">
        <f aca="false">IF(AE713="","",IF(AE713&gt;=CONFIG!$E$21,CONFIG!$F$21,IF(AE713&gt;=CONFIG!$E$20,CONFIG!$F$20,CONFIG!$F$19)))</f>
        <v/>
      </c>
      <c r="AG713" s="21" t="str">
        <f aca="false">IF(F713="","",TRIM(IF(N(M713)=0,"Sin ensayos. ","")&amp;IF(AND(N(M713)&gt;0,N(M713)&lt;CONFIG!$B$26),"Menos de "&amp;CONFIG!$B$26&amp;" probetas. ","")&amp;IF(N(T713)&gt;CONFIG!$B$25,"CV alto. ","")&amp;IF(AND(N(AD713)&gt;0,N(AD713)&gt;N(AF713)),"Absorción alta. ","")))</f>
        <v/>
      </c>
      <c r="AH713" s="22" t="str">
        <f aca="false">IF(AND(N(M713)&gt;0,OR(CONTROL!$C$4="TODAS",C713=CONTROL!$C$4),D713=CONTROL!$C$5),MAX($AH$4:AH712)+1,"")</f>
        <v/>
      </c>
      <c r="AI713" s="22" t="str">
        <f aca="false">IF(AH713="","",P713^2)</f>
        <v/>
      </c>
    </row>
    <row r="714" customFormat="false" ht="15" hidden="false" customHeight="false" outlineLevel="0" collapsed="false">
      <c r="A714" s="11" t="str">
        <f aca="false">IF(B714="","",ROW()-4)</f>
        <v/>
      </c>
      <c r="B714" s="12"/>
      <c r="C714" s="13"/>
      <c r="D714" s="13"/>
      <c r="E714" s="13"/>
      <c r="F714" s="14" t="str">
        <f aca="false">IF(OR(B714="",C714="",D714=""),"",IFERROR(INDEX(CONFIG!$E$5:$E$14,MATCH(D714,CONFIG!$D$5:$D$14,0)),"?")&amp;RIGHT("0"&amp;DAY(B714),2)&amp;RIGHT("0"&amp;MONTH(B714),2)&amp;RIGHT(YEAR(B714),2)&amp;C714&amp;IF(E714="","","-"&amp;E714))</f>
        <v/>
      </c>
      <c r="G714" s="13"/>
      <c r="H714" s="13"/>
      <c r="I714" s="13"/>
      <c r="J714" s="13"/>
      <c r="K714" s="13"/>
      <c r="L714" s="13"/>
      <c r="M714" s="11" t="str">
        <f aca="false">IF(F714="","",COUNTIFS(ENSAYOS!$C$5:$C$3004,F714,ENSAYOS!$Q$5:$Q$3004,"&gt;0"))</f>
        <v/>
      </c>
      <c r="N714" s="15" t="str">
        <f aca="false">IF(N(M714)=0,"",_xlfn.MINIFS(ENSAYOS!$G$5:$G$3004,ENSAYOS!$C$5:$C$3004,F714,ENSAYOS!$Q$5:$Q$3004,"&gt;0"))</f>
        <v/>
      </c>
      <c r="O714" s="15" t="str">
        <f aca="false">IF(N(M714)=0,"",_xlfn.MAXIFS(ENSAYOS!$G$5:$G$3004,ENSAYOS!$C$5:$C$3004,F714,ENSAYOS!$Q$5:$Q$3004,"&gt;0"))</f>
        <v/>
      </c>
      <c r="P714" s="16" t="str">
        <f aca="false">IF(N(M714)=0,"",AVERAGEIFS(ENSAYOS!$Q$5:$Q$3004,ENSAYOS!$C$5:$C$3004,F714,ENSAYOS!$Q$5:$Q$3004,"&gt;0"))</f>
        <v/>
      </c>
      <c r="Q714" s="16" t="str">
        <f aca="false">IF(N(M714)=0,"",_xlfn.MINIFS(ENSAYOS!$Q$5:$Q$3004,ENSAYOS!$C$5:$C$3004,F714,ENSAYOS!$Q$5:$Q$3004,"&gt;0"))</f>
        <v/>
      </c>
      <c r="R714" s="16" t="str">
        <f aca="false">IF(N(M714)=0,"",_xlfn.MAXIFS(ENSAYOS!$Q$5:$Q$3004,ENSAYOS!$C$5:$C$3004,F714,ENSAYOS!$Q$5:$Q$3004,"&gt;0"))</f>
        <v/>
      </c>
      <c r="S714" s="16" t="str">
        <f aca="false">IF(N(M714)&lt;2,"",SQRT(MAX(0,(SUMIFS(ENSAYOS!$X$5:$X$3004,ENSAYOS!$C$5:$C$3004,F714,ENSAYOS!$Q$5:$Q$3004,"&gt;0")-M714*P714^2)/(M714-1))))</f>
        <v/>
      </c>
      <c r="T714" s="17" t="str">
        <f aca="false">IF(S714="","",S714/P714)</f>
        <v/>
      </c>
      <c r="U714" s="16" t="str">
        <f aca="false">IF(N(M714)=0,"",IF(N714&gt;=CONFIG!$B$27,"",AVERAGEIFS(ENSAYOS!$Q$5:$Q$3004,ENSAYOS!$C$5:$C$3004,F714,ENSAYOS!$Q$5:$Q$3004,"&gt;0",ENSAYOS!$G$5:$G$3004,N714)))</f>
        <v/>
      </c>
      <c r="V714" s="16" t="str">
        <f aca="false">IF(N(M714)=0,"",IF(COUNTIFS(ENSAYOS!$C$5:$C$3004,F714,ENSAYOS!$Q$5:$Q$3004,"&gt;0",ENSAYOS!$G$5:$G$3004,"&gt;="&amp;CONFIG!$B$27)=0,"",AVERAGEIFS(ENSAYOS!$Q$5:$Q$3004,ENSAYOS!$C$5:$C$3004,F714,ENSAYOS!$Q$5:$Q$3004,"&gt;0",ENSAYOS!$G$5:$G$3004,"&gt;="&amp;CONFIG!$B$27)))</f>
        <v/>
      </c>
      <c r="W714" s="18" t="str">
        <f aca="false">IF(AND(U714&lt;&gt;"",V714&lt;&gt;""),U714/V714,"")</f>
        <v/>
      </c>
      <c r="X714" s="18" t="str">
        <f aca="false">IF(U714="","",INDEX('CURVA EDAD'!$E$5:$E$32,MIN(28,MAX(1,N714))))</f>
        <v/>
      </c>
      <c r="Y714" s="16" t="str">
        <f aca="false">IF(V714&lt;&gt;"",V714,IF(U714="","",U714/X714))</f>
        <v/>
      </c>
      <c r="Z714" s="16" t="str">
        <f aca="false">IF(V714&lt;&gt;"",_xlfn.MINIFS(ENSAYOS!$Q$5:$Q$3004,ENSAYOS!$C$5:$C$3004,F714,ENSAYOS!$Q$5:$Q$3004,"&gt;0",ENSAYOS!$G$5:$G$3004,"&gt;="&amp;CONFIG!$B$27),IF(U714="","",_xlfn.MINIFS(ENSAYOS!$Q$5:$Q$3004,ENSAYOS!$C$5:$C$3004,F714,ENSAYOS!$Q$5:$Q$3004,"&gt;0",ENSAYOS!$G$5:$G$3004,N714)/X714))</f>
        <v/>
      </c>
      <c r="AA714" s="16" t="str">
        <f aca="false">IF(D714="","",IFERROR(1/(1/INDEX(CONFIG!$J$5:$J$14,MATCH(D714,CONFIG!$D$5:$D$14,0))),""))</f>
        <v/>
      </c>
      <c r="AB714" s="16" t="str">
        <f aca="false">IF(D714="","",IFERROR(1/(1/INDEX(CONFIG!$K$5:$K$14,MATCH(D714,CONFIG!$D$5:$D$14,0))),""))</f>
        <v/>
      </c>
      <c r="AC714" s="19" t="str">
        <f aca="false">IF(N(M714)=0,"",IF(AA714="","Sin spec",IF(AND(Y714&gt;=AA714,OR(AB714="",Z714&gt;=AB714)),"CUMPLE","NO CUMPLE")&amp;IF(V714=""," (est.)","")))</f>
        <v/>
      </c>
      <c r="AD714" s="20" t="str">
        <f aca="false">IF(F714="","",IF(COUNTIFS(ABSORCION!$C$5:$C$1004,F714,ABSORCION!$I$5:$I$1004,"&gt;0")=0,"",AVERAGEIFS(ABSORCION!$I$5:$I$1004,ABSORCION!$C$5:$C$1004,F714,ABSORCION!$I$5:$I$1004,"&gt;0")))</f>
        <v/>
      </c>
      <c r="AE714" s="20" t="str">
        <f aca="false">IF(F714="","",IF(COUNTIFS(ABSORCION!$C$5:$C$1004,F714,ABSORCION!$I$5:$I$1004,"&gt;0")=0,"",AVERAGEIFS(ABSORCION!$K$5:$K$1004,ABSORCION!$C$5:$C$1004,F714,ABSORCION!$I$5:$I$1004,"&gt;0")))</f>
        <v/>
      </c>
      <c r="AF714" s="20" t="str">
        <f aca="false">IF(AE714="","",IF(AE714&gt;=CONFIG!$E$21,CONFIG!$F$21,IF(AE714&gt;=CONFIG!$E$20,CONFIG!$F$20,CONFIG!$F$19)))</f>
        <v/>
      </c>
      <c r="AG714" s="21" t="str">
        <f aca="false">IF(F714="","",TRIM(IF(N(M714)=0,"Sin ensayos. ","")&amp;IF(AND(N(M714)&gt;0,N(M714)&lt;CONFIG!$B$26),"Menos de "&amp;CONFIG!$B$26&amp;" probetas. ","")&amp;IF(N(T714)&gt;CONFIG!$B$25,"CV alto. ","")&amp;IF(AND(N(AD714)&gt;0,N(AD714)&gt;N(AF714)),"Absorción alta. ","")))</f>
        <v/>
      </c>
      <c r="AH714" s="22" t="str">
        <f aca="false">IF(AND(N(M714)&gt;0,OR(CONTROL!$C$4="TODAS",C714=CONTROL!$C$4),D714=CONTROL!$C$5),MAX($AH$4:AH713)+1,"")</f>
        <v/>
      </c>
      <c r="AI714" s="22" t="str">
        <f aca="false">IF(AH714="","",P714^2)</f>
        <v/>
      </c>
    </row>
    <row r="715" customFormat="false" ht="15" hidden="false" customHeight="false" outlineLevel="0" collapsed="false">
      <c r="A715" s="11" t="str">
        <f aca="false">IF(B715="","",ROW()-4)</f>
        <v/>
      </c>
      <c r="B715" s="12"/>
      <c r="C715" s="13"/>
      <c r="D715" s="13"/>
      <c r="E715" s="13"/>
      <c r="F715" s="14" t="str">
        <f aca="false">IF(OR(B715="",C715="",D715=""),"",IFERROR(INDEX(CONFIG!$E$5:$E$14,MATCH(D715,CONFIG!$D$5:$D$14,0)),"?")&amp;RIGHT("0"&amp;DAY(B715),2)&amp;RIGHT("0"&amp;MONTH(B715),2)&amp;RIGHT(YEAR(B715),2)&amp;C715&amp;IF(E715="","","-"&amp;E715))</f>
        <v/>
      </c>
      <c r="G715" s="13"/>
      <c r="H715" s="13"/>
      <c r="I715" s="13"/>
      <c r="J715" s="13"/>
      <c r="K715" s="13"/>
      <c r="L715" s="13"/>
      <c r="M715" s="11" t="str">
        <f aca="false">IF(F715="","",COUNTIFS(ENSAYOS!$C$5:$C$3004,F715,ENSAYOS!$Q$5:$Q$3004,"&gt;0"))</f>
        <v/>
      </c>
      <c r="N715" s="15" t="str">
        <f aca="false">IF(N(M715)=0,"",_xlfn.MINIFS(ENSAYOS!$G$5:$G$3004,ENSAYOS!$C$5:$C$3004,F715,ENSAYOS!$Q$5:$Q$3004,"&gt;0"))</f>
        <v/>
      </c>
      <c r="O715" s="15" t="str">
        <f aca="false">IF(N(M715)=0,"",_xlfn.MAXIFS(ENSAYOS!$G$5:$G$3004,ENSAYOS!$C$5:$C$3004,F715,ENSAYOS!$Q$5:$Q$3004,"&gt;0"))</f>
        <v/>
      </c>
      <c r="P715" s="16" t="str">
        <f aca="false">IF(N(M715)=0,"",AVERAGEIFS(ENSAYOS!$Q$5:$Q$3004,ENSAYOS!$C$5:$C$3004,F715,ENSAYOS!$Q$5:$Q$3004,"&gt;0"))</f>
        <v/>
      </c>
      <c r="Q715" s="16" t="str">
        <f aca="false">IF(N(M715)=0,"",_xlfn.MINIFS(ENSAYOS!$Q$5:$Q$3004,ENSAYOS!$C$5:$C$3004,F715,ENSAYOS!$Q$5:$Q$3004,"&gt;0"))</f>
        <v/>
      </c>
      <c r="R715" s="16" t="str">
        <f aca="false">IF(N(M715)=0,"",_xlfn.MAXIFS(ENSAYOS!$Q$5:$Q$3004,ENSAYOS!$C$5:$C$3004,F715,ENSAYOS!$Q$5:$Q$3004,"&gt;0"))</f>
        <v/>
      </c>
      <c r="S715" s="16" t="str">
        <f aca="false">IF(N(M715)&lt;2,"",SQRT(MAX(0,(SUMIFS(ENSAYOS!$X$5:$X$3004,ENSAYOS!$C$5:$C$3004,F715,ENSAYOS!$Q$5:$Q$3004,"&gt;0")-M715*P715^2)/(M715-1))))</f>
        <v/>
      </c>
      <c r="T715" s="17" t="str">
        <f aca="false">IF(S715="","",S715/P715)</f>
        <v/>
      </c>
      <c r="U715" s="16" t="str">
        <f aca="false">IF(N(M715)=0,"",IF(N715&gt;=CONFIG!$B$27,"",AVERAGEIFS(ENSAYOS!$Q$5:$Q$3004,ENSAYOS!$C$5:$C$3004,F715,ENSAYOS!$Q$5:$Q$3004,"&gt;0",ENSAYOS!$G$5:$G$3004,N715)))</f>
        <v/>
      </c>
      <c r="V715" s="16" t="str">
        <f aca="false">IF(N(M715)=0,"",IF(COUNTIFS(ENSAYOS!$C$5:$C$3004,F715,ENSAYOS!$Q$5:$Q$3004,"&gt;0",ENSAYOS!$G$5:$G$3004,"&gt;="&amp;CONFIG!$B$27)=0,"",AVERAGEIFS(ENSAYOS!$Q$5:$Q$3004,ENSAYOS!$C$5:$C$3004,F715,ENSAYOS!$Q$5:$Q$3004,"&gt;0",ENSAYOS!$G$5:$G$3004,"&gt;="&amp;CONFIG!$B$27)))</f>
        <v/>
      </c>
      <c r="W715" s="18" t="str">
        <f aca="false">IF(AND(U715&lt;&gt;"",V715&lt;&gt;""),U715/V715,"")</f>
        <v/>
      </c>
      <c r="X715" s="18" t="str">
        <f aca="false">IF(U715="","",INDEX('CURVA EDAD'!$E$5:$E$32,MIN(28,MAX(1,N715))))</f>
        <v/>
      </c>
      <c r="Y715" s="16" t="str">
        <f aca="false">IF(V715&lt;&gt;"",V715,IF(U715="","",U715/X715))</f>
        <v/>
      </c>
      <c r="Z715" s="16" t="str">
        <f aca="false">IF(V715&lt;&gt;"",_xlfn.MINIFS(ENSAYOS!$Q$5:$Q$3004,ENSAYOS!$C$5:$C$3004,F715,ENSAYOS!$Q$5:$Q$3004,"&gt;0",ENSAYOS!$G$5:$G$3004,"&gt;="&amp;CONFIG!$B$27),IF(U715="","",_xlfn.MINIFS(ENSAYOS!$Q$5:$Q$3004,ENSAYOS!$C$5:$C$3004,F715,ENSAYOS!$Q$5:$Q$3004,"&gt;0",ENSAYOS!$G$5:$G$3004,N715)/X715))</f>
        <v/>
      </c>
      <c r="AA715" s="16" t="str">
        <f aca="false">IF(D715="","",IFERROR(1/(1/INDEX(CONFIG!$J$5:$J$14,MATCH(D715,CONFIG!$D$5:$D$14,0))),""))</f>
        <v/>
      </c>
      <c r="AB715" s="16" t="str">
        <f aca="false">IF(D715="","",IFERROR(1/(1/INDEX(CONFIG!$K$5:$K$14,MATCH(D715,CONFIG!$D$5:$D$14,0))),""))</f>
        <v/>
      </c>
      <c r="AC715" s="19" t="str">
        <f aca="false">IF(N(M715)=0,"",IF(AA715="","Sin spec",IF(AND(Y715&gt;=AA715,OR(AB715="",Z715&gt;=AB715)),"CUMPLE","NO CUMPLE")&amp;IF(V715=""," (est.)","")))</f>
        <v/>
      </c>
      <c r="AD715" s="20" t="str">
        <f aca="false">IF(F715="","",IF(COUNTIFS(ABSORCION!$C$5:$C$1004,F715,ABSORCION!$I$5:$I$1004,"&gt;0")=0,"",AVERAGEIFS(ABSORCION!$I$5:$I$1004,ABSORCION!$C$5:$C$1004,F715,ABSORCION!$I$5:$I$1004,"&gt;0")))</f>
        <v/>
      </c>
      <c r="AE715" s="20" t="str">
        <f aca="false">IF(F715="","",IF(COUNTIFS(ABSORCION!$C$5:$C$1004,F715,ABSORCION!$I$5:$I$1004,"&gt;0")=0,"",AVERAGEIFS(ABSORCION!$K$5:$K$1004,ABSORCION!$C$5:$C$1004,F715,ABSORCION!$I$5:$I$1004,"&gt;0")))</f>
        <v/>
      </c>
      <c r="AF715" s="20" t="str">
        <f aca="false">IF(AE715="","",IF(AE715&gt;=CONFIG!$E$21,CONFIG!$F$21,IF(AE715&gt;=CONFIG!$E$20,CONFIG!$F$20,CONFIG!$F$19)))</f>
        <v/>
      </c>
      <c r="AG715" s="21" t="str">
        <f aca="false">IF(F715="","",TRIM(IF(N(M715)=0,"Sin ensayos. ","")&amp;IF(AND(N(M715)&gt;0,N(M715)&lt;CONFIG!$B$26),"Menos de "&amp;CONFIG!$B$26&amp;" probetas. ","")&amp;IF(N(T715)&gt;CONFIG!$B$25,"CV alto. ","")&amp;IF(AND(N(AD715)&gt;0,N(AD715)&gt;N(AF715)),"Absorción alta. ","")))</f>
        <v/>
      </c>
      <c r="AH715" s="22" t="str">
        <f aca="false">IF(AND(N(M715)&gt;0,OR(CONTROL!$C$4="TODAS",C715=CONTROL!$C$4),D715=CONTROL!$C$5),MAX($AH$4:AH714)+1,"")</f>
        <v/>
      </c>
      <c r="AI715" s="22" t="str">
        <f aca="false">IF(AH715="","",P715^2)</f>
        <v/>
      </c>
    </row>
    <row r="716" customFormat="false" ht="15" hidden="false" customHeight="false" outlineLevel="0" collapsed="false">
      <c r="A716" s="11" t="str">
        <f aca="false">IF(B716="","",ROW()-4)</f>
        <v/>
      </c>
      <c r="B716" s="12"/>
      <c r="C716" s="13"/>
      <c r="D716" s="13"/>
      <c r="E716" s="13"/>
      <c r="F716" s="14" t="str">
        <f aca="false">IF(OR(B716="",C716="",D716=""),"",IFERROR(INDEX(CONFIG!$E$5:$E$14,MATCH(D716,CONFIG!$D$5:$D$14,0)),"?")&amp;RIGHT("0"&amp;DAY(B716),2)&amp;RIGHT("0"&amp;MONTH(B716),2)&amp;RIGHT(YEAR(B716),2)&amp;C716&amp;IF(E716="","","-"&amp;E716))</f>
        <v/>
      </c>
      <c r="G716" s="13"/>
      <c r="H716" s="13"/>
      <c r="I716" s="13"/>
      <c r="J716" s="13"/>
      <c r="K716" s="13"/>
      <c r="L716" s="13"/>
      <c r="M716" s="11" t="str">
        <f aca="false">IF(F716="","",COUNTIFS(ENSAYOS!$C$5:$C$3004,F716,ENSAYOS!$Q$5:$Q$3004,"&gt;0"))</f>
        <v/>
      </c>
      <c r="N716" s="15" t="str">
        <f aca="false">IF(N(M716)=0,"",_xlfn.MINIFS(ENSAYOS!$G$5:$G$3004,ENSAYOS!$C$5:$C$3004,F716,ENSAYOS!$Q$5:$Q$3004,"&gt;0"))</f>
        <v/>
      </c>
      <c r="O716" s="15" t="str">
        <f aca="false">IF(N(M716)=0,"",_xlfn.MAXIFS(ENSAYOS!$G$5:$G$3004,ENSAYOS!$C$5:$C$3004,F716,ENSAYOS!$Q$5:$Q$3004,"&gt;0"))</f>
        <v/>
      </c>
      <c r="P716" s="16" t="str">
        <f aca="false">IF(N(M716)=0,"",AVERAGEIFS(ENSAYOS!$Q$5:$Q$3004,ENSAYOS!$C$5:$C$3004,F716,ENSAYOS!$Q$5:$Q$3004,"&gt;0"))</f>
        <v/>
      </c>
      <c r="Q716" s="16" t="str">
        <f aca="false">IF(N(M716)=0,"",_xlfn.MINIFS(ENSAYOS!$Q$5:$Q$3004,ENSAYOS!$C$5:$C$3004,F716,ENSAYOS!$Q$5:$Q$3004,"&gt;0"))</f>
        <v/>
      </c>
      <c r="R716" s="16" t="str">
        <f aca="false">IF(N(M716)=0,"",_xlfn.MAXIFS(ENSAYOS!$Q$5:$Q$3004,ENSAYOS!$C$5:$C$3004,F716,ENSAYOS!$Q$5:$Q$3004,"&gt;0"))</f>
        <v/>
      </c>
      <c r="S716" s="16" t="str">
        <f aca="false">IF(N(M716)&lt;2,"",SQRT(MAX(0,(SUMIFS(ENSAYOS!$X$5:$X$3004,ENSAYOS!$C$5:$C$3004,F716,ENSAYOS!$Q$5:$Q$3004,"&gt;0")-M716*P716^2)/(M716-1))))</f>
        <v/>
      </c>
      <c r="T716" s="17" t="str">
        <f aca="false">IF(S716="","",S716/P716)</f>
        <v/>
      </c>
      <c r="U716" s="16" t="str">
        <f aca="false">IF(N(M716)=0,"",IF(N716&gt;=CONFIG!$B$27,"",AVERAGEIFS(ENSAYOS!$Q$5:$Q$3004,ENSAYOS!$C$5:$C$3004,F716,ENSAYOS!$Q$5:$Q$3004,"&gt;0",ENSAYOS!$G$5:$G$3004,N716)))</f>
        <v/>
      </c>
      <c r="V716" s="16" t="str">
        <f aca="false">IF(N(M716)=0,"",IF(COUNTIFS(ENSAYOS!$C$5:$C$3004,F716,ENSAYOS!$Q$5:$Q$3004,"&gt;0",ENSAYOS!$G$5:$G$3004,"&gt;="&amp;CONFIG!$B$27)=0,"",AVERAGEIFS(ENSAYOS!$Q$5:$Q$3004,ENSAYOS!$C$5:$C$3004,F716,ENSAYOS!$Q$5:$Q$3004,"&gt;0",ENSAYOS!$G$5:$G$3004,"&gt;="&amp;CONFIG!$B$27)))</f>
        <v/>
      </c>
      <c r="W716" s="18" t="str">
        <f aca="false">IF(AND(U716&lt;&gt;"",V716&lt;&gt;""),U716/V716,"")</f>
        <v/>
      </c>
      <c r="X716" s="18" t="str">
        <f aca="false">IF(U716="","",INDEX('CURVA EDAD'!$E$5:$E$32,MIN(28,MAX(1,N716))))</f>
        <v/>
      </c>
      <c r="Y716" s="16" t="str">
        <f aca="false">IF(V716&lt;&gt;"",V716,IF(U716="","",U716/X716))</f>
        <v/>
      </c>
      <c r="Z716" s="16" t="str">
        <f aca="false">IF(V716&lt;&gt;"",_xlfn.MINIFS(ENSAYOS!$Q$5:$Q$3004,ENSAYOS!$C$5:$C$3004,F716,ENSAYOS!$Q$5:$Q$3004,"&gt;0",ENSAYOS!$G$5:$G$3004,"&gt;="&amp;CONFIG!$B$27),IF(U716="","",_xlfn.MINIFS(ENSAYOS!$Q$5:$Q$3004,ENSAYOS!$C$5:$C$3004,F716,ENSAYOS!$Q$5:$Q$3004,"&gt;0",ENSAYOS!$G$5:$G$3004,N716)/X716))</f>
        <v/>
      </c>
      <c r="AA716" s="16" t="str">
        <f aca="false">IF(D716="","",IFERROR(1/(1/INDEX(CONFIG!$J$5:$J$14,MATCH(D716,CONFIG!$D$5:$D$14,0))),""))</f>
        <v/>
      </c>
      <c r="AB716" s="16" t="str">
        <f aca="false">IF(D716="","",IFERROR(1/(1/INDEX(CONFIG!$K$5:$K$14,MATCH(D716,CONFIG!$D$5:$D$14,0))),""))</f>
        <v/>
      </c>
      <c r="AC716" s="19" t="str">
        <f aca="false">IF(N(M716)=0,"",IF(AA716="","Sin spec",IF(AND(Y716&gt;=AA716,OR(AB716="",Z716&gt;=AB716)),"CUMPLE","NO CUMPLE")&amp;IF(V716=""," (est.)","")))</f>
        <v/>
      </c>
      <c r="AD716" s="20" t="str">
        <f aca="false">IF(F716="","",IF(COUNTIFS(ABSORCION!$C$5:$C$1004,F716,ABSORCION!$I$5:$I$1004,"&gt;0")=0,"",AVERAGEIFS(ABSORCION!$I$5:$I$1004,ABSORCION!$C$5:$C$1004,F716,ABSORCION!$I$5:$I$1004,"&gt;0")))</f>
        <v/>
      </c>
      <c r="AE716" s="20" t="str">
        <f aca="false">IF(F716="","",IF(COUNTIFS(ABSORCION!$C$5:$C$1004,F716,ABSORCION!$I$5:$I$1004,"&gt;0")=0,"",AVERAGEIFS(ABSORCION!$K$5:$K$1004,ABSORCION!$C$5:$C$1004,F716,ABSORCION!$I$5:$I$1004,"&gt;0")))</f>
        <v/>
      </c>
      <c r="AF716" s="20" t="str">
        <f aca="false">IF(AE716="","",IF(AE716&gt;=CONFIG!$E$21,CONFIG!$F$21,IF(AE716&gt;=CONFIG!$E$20,CONFIG!$F$20,CONFIG!$F$19)))</f>
        <v/>
      </c>
      <c r="AG716" s="21" t="str">
        <f aca="false">IF(F716="","",TRIM(IF(N(M716)=0,"Sin ensayos. ","")&amp;IF(AND(N(M716)&gt;0,N(M716)&lt;CONFIG!$B$26),"Menos de "&amp;CONFIG!$B$26&amp;" probetas. ","")&amp;IF(N(T716)&gt;CONFIG!$B$25,"CV alto. ","")&amp;IF(AND(N(AD716)&gt;0,N(AD716)&gt;N(AF716)),"Absorción alta. ","")))</f>
        <v/>
      </c>
      <c r="AH716" s="22" t="str">
        <f aca="false">IF(AND(N(M716)&gt;0,OR(CONTROL!$C$4="TODAS",C716=CONTROL!$C$4),D716=CONTROL!$C$5),MAX($AH$4:AH715)+1,"")</f>
        <v/>
      </c>
      <c r="AI716" s="22" t="str">
        <f aca="false">IF(AH716="","",P716^2)</f>
        <v/>
      </c>
    </row>
    <row r="717" customFormat="false" ht="15" hidden="false" customHeight="false" outlineLevel="0" collapsed="false">
      <c r="A717" s="11" t="str">
        <f aca="false">IF(B717="","",ROW()-4)</f>
        <v/>
      </c>
      <c r="B717" s="12"/>
      <c r="C717" s="13"/>
      <c r="D717" s="13"/>
      <c r="E717" s="13"/>
      <c r="F717" s="14" t="str">
        <f aca="false">IF(OR(B717="",C717="",D717=""),"",IFERROR(INDEX(CONFIG!$E$5:$E$14,MATCH(D717,CONFIG!$D$5:$D$14,0)),"?")&amp;RIGHT("0"&amp;DAY(B717),2)&amp;RIGHT("0"&amp;MONTH(B717),2)&amp;RIGHT(YEAR(B717),2)&amp;C717&amp;IF(E717="","","-"&amp;E717))</f>
        <v/>
      </c>
      <c r="G717" s="13"/>
      <c r="H717" s="13"/>
      <c r="I717" s="13"/>
      <c r="J717" s="13"/>
      <c r="K717" s="13"/>
      <c r="L717" s="13"/>
      <c r="M717" s="11" t="str">
        <f aca="false">IF(F717="","",COUNTIFS(ENSAYOS!$C$5:$C$3004,F717,ENSAYOS!$Q$5:$Q$3004,"&gt;0"))</f>
        <v/>
      </c>
      <c r="N717" s="15" t="str">
        <f aca="false">IF(N(M717)=0,"",_xlfn.MINIFS(ENSAYOS!$G$5:$G$3004,ENSAYOS!$C$5:$C$3004,F717,ENSAYOS!$Q$5:$Q$3004,"&gt;0"))</f>
        <v/>
      </c>
      <c r="O717" s="15" t="str">
        <f aca="false">IF(N(M717)=0,"",_xlfn.MAXIFS(ENSAYOS!$G$5:$G$3004,ENSAYOS!$C$5:$C$3004,F717,ENSAYOS!$Q$5:$Q$3004,"&gt;0"))</f>
        <v/>
      </c>
      <c r="P717" s="16" t="str">
        <f aca="false">IF(N(M717)=0,"",AVERAGEIFS(ENSAYOS!$Q$5:$Q$3004,ENSAYOS!$C$5:$C$3004,F717,ENSAYOS!$Q$5:$Q$3004,"&gt;0"))</f>
        <v/>
      </c>
      <c r="Q717" s="16" t="str">
        <f aca="false">IF(N(M717)=0,"",_xlfn.MINIFS(ENSAYOS!$Q$5:$Q$3004,ENSAYOS!$C$5:$C$3004,F717,ENSAYOS!$Q$5:$Q$3004,"&gt;0"))</f>
        <v/>
      </c>
      <c r="R717" s="16" t="str">
        <f aca="false">IF(N(M717)=0,"",_xlfn.MAXIFS(ENSAYOS!$Q$5:$Q$3004,ENSAYOS!$C$5:$C$3004,F717,ENSAYOS!$Q$5:$Q$3004,"&gt;0"))</f>
        <v/>
      </c>
      <c r="S717" s="16" t="str">
        <f aca="false">IF(N(M717)&lt;2,"",SQRT(MAX(0,(SUMIFS(ENSAYOS!$X$5:$X$3004,ENSAYOS!$C$5:$C$3004,F717,ENSAYOS!$Q$5:$Q$3004,"&gt;0")-M717*P717^2)/(M717-1))))</f>
        <v/>
      </c>
      <c r="T717" s="17" t="str">
        <f aca="false">IF(S717="","",S717/P717)</f>
        <v/>
      </c>
      <c r="U717" s="16" t="str">
        <f aca="false">IF(N(M717)=0,"",IF(N717&gt;=CONFIG!$B$27,"",AVERAGEIFS(ENSAYOS!$Q$5:$Q$3004,ENSAYOS!$C$5:$C$3004,F717,ENSAYOS!$Q$5:$Q$3004,"&gt;0",ENSAYOS!$G$5:$G$3004,N717)))</f>
        <v/>
      </c>
      <c r="V717" s="16" t="str">
        <f aca="false">IF(N(M717)=0,"",IF(COUNTIFS(ENSAYOS!$C$5:$C$3004,F717,ENSAYOS!$Q$5:$Q$3004,"&gt;0",ENSAYOS!$G$5:$G$3004,"&gt;="&amp;CONFIG!$B$27)=0,"",AVERAGEIFS(ENSAYOS!$Q$5:$Q$3004,ENSAYOS!$C$5:$C$3004,F717,ENSAYOS!$Q$5:$Q$3004,"&gt;0",ENSAYOS!$G$5:$G$3004,"&gt;="&amp;CONFIG!$B$27)))</f>
        <v/>
      </c>
      <c r="W717" s="18" t="str">
        <f aca="false">IF(AND(U717&lt;&gt;"",V717&lt;&gt;""),U717/V717,"")</f>
        <v/>
      </c>
      <c r="X717" s="18" t="str">
        <f aca="false">IF(U717="","",INDEX('CURVA EDAD'!$E$5:$E$32,MIN(28,MAX(1,N717))))</f>
        <v/>
      </c>
      <c r="Y717" s="16" t="str">
        <f aca="false">IF(V717&lt;&gt;"",V717,IF(U717="","",U717/X717))</f>
        <v/>
      </c>
      <c r="Z717" s="16" t="str">
        <f aca="false">IF(V717&lt;&gt;"",_xlfn.MINIFS(ENSAYOS!$Q$5:$Q$3004,ENSAYOS!$C$5:$C$3004,F717,ENSAYOS!$Q$5:$Q$3004,"&gt;0",ENSAYOS!$G$5:$G$3004,"&gt;="&amp;CONFIG!$B$27),IF(U717="","",_xlfn.MINIFS(ENSAYOS!$Q$5:$Q$3004,ENSAYOS!$C$5:$C$3004,F717,ENSAYOS!$Q$5:$Q$3004,"&gt;0",ENSAYOS!$G$5:$G$3004,N717)/X717))</f>
        <v/>
      </c>
      <c r="AA717" s="16" t="str">
        <f aca="false">IF(D717="","",IFERROR(1/(1/INDEX(CONFIG!$J$5:$J$14,MATCH(D717,CONFIG!$D$5:$D$14,0))),""))</f>
        <v/>
      </c>
      <c r="AB717" s="16" t="str">
        <f aca="false">IF(D717="","",IFERROR(1/(1/INDEX(CONFIG!$K$5:$K$14,MATCH(D717,CONFIG!$D$5:$D$14,0))),""))</f>
        <v/>
      </c>
      <c r="AC717" s="19" t="str">
        <f aca="false">IF(N(M717)=0,"",IF(AA717="","Sin spec",IF(AND(Y717&gt;=AA717,OR(AB717="",Z717&gt;=AB717)),"CUMPLE","NO CUMPLE")&amp;IF(V717=""," (est.)","")))</f>
        <v/>
      </c>
      <c r="AD717" s="20" t="str">
        <f aca="false">IF(F717="","",IF(COUNTIFS(ABSORCION!$C$5:$C$1004,F717,ABSORCION!$I$5:$I$1004,"&gt;0")=0,"",AVERAGEIFS(ABSORCION!$I$5:$I$1004,ABSORCION!$C$5:$C$1004,F717,ABSORCION!$I$5:$I$1004,"&gt;0")))</f>
        <v/>
      </c>
      <c r="AE717" s="20" t="str">
        <f aca="false">IF(F717="","",IF(COUNTIFS(ABSORCION!$C$5:$C$1004,F717,ABSORCION!$I$5:$I$1004,"&gt;0")=0,"",AVERAGEIFS(ABSORCION!$K$5:$K$1004,ABSORCION!$C$5:$C$1004,F717,ABSORCION!$I$5:$I$1004,"&gt;0")))</f>
        <v/>
      </c>
      <c r="AF717" s="20" t="str">
        <f aca="false">IF(AE717="","",IF(AE717&gt;=CONFIG!$E$21,CONFIG!$F$21,IF(AE717&gt;=CONFIG!$E$20,CONFIG!$F$20,CONFIG!$F$19)))</f>
        <v/>
      </c>
      <c r="AG717" s="21" t="str">
        <f aca="false">IF(F717="","",TRIM(IF(N(M717)=0,"Sin ensayos. ","")&amp;IF(AND(N(M717)&gt;0,N(M717)&lt;CONFIG!$B$26),"Menos de "&amp;CONFIG!$B$26&amp;" probetas. ","")&amp;IF(N(T717)&gt;CONFIG!$B$25,"CV alto. ","")&amp;IF(AND(N(AD717)&gt;0,N(AD717)&gt;N(AF717)),"Absorción alta. ","")))</f>
        <v/>
      </c>
      <c r="AH717" s="22" t="str">
        <f aca="false">IF(AND(N(M717)&gt;0,OR(CONTROL!$C$4="TODAS",C717=CONTROL!$C$4),D717=CONTROL!$C$5),MAX($AH$4:AH716)+1,"")</f>
        <v/>
      </c>
      <c r="AI717" s="22" t="str">
        <f aca="false">IF(AH717="","",P717^2)</f>
        <v/>
      </c>
    </row>
    <row r="718" customFormat="false" ht="15" hidden="false" customHeight="false" outlineLevel="0" collapsed="false">
      <c r="A718" s="11" t="str">
        <f aca="false">IF(B718="","",ROW()-4)</f>
        <v/>
      </c>
      <c r="B718" s="12"/>
      <c r="C718" s="13"/>
      <c r="D718" s="13"/>
      <c r="E718" s="13"/>
      <c r="F718" s="14" t="str">
        <f aca="false">IF(OR(B718="",C718="",D718=""),"",IFERROR(INDEX(CONFIG!$E$5:$E$14,MATCH(D718,CONFIG!$D$5:$D$14,0)),"?")&amp;RIGHT("0"&amp;DAY(B718),2)&amp;RIGHT("0"&amp;MONTH(B718),2)&amp;RIGHT(YEAR(B718),2)&amp;C718&amp;IF(E718="","","-"&amp;E718))</f>
        <v/>
      </c>
      <c r="G718" s="13"/>
      <c r="H718" s="13"/>
      <c r="I718" s="13"/>
      <c r="J718" s="13"/>
      <c r="K718" s="13"/>
      <c r="L718" s="13"/>
      <c r="M718" s="11" t="str">
        <f aca="false">IF(F718="","",COUNTIFS(ENSAYOS!$C$5:$C$3004,F718,ENSAYOS!$Q$5:$Q$3004,"&gt;0"))</f>
        <v/>
      </c>
      <c r="N718" s="15" t="str">
        <f aca="false">IF(N(M718)=0,"",_xlfn.MINIFS(ENSAYOS!$G$5:$G$3004,ENSAYOS!$C$5:$C$3004,F718,ENSAYOS!$Q$5:$Q$3004,"&gt;0"))</f>
        <v/>
      </c>
      <c r="O718" s="15" t="str">
        <f aca="false">IF(N(M718)=0,"",_xlfn.MAXIFS(ENSAYOS!$G$5:$G$3004,ENSAYOS!$C$5:$C$3004,F718,ENSAYOS!$Q$5:$Q$3004,"&gt;0"))</f>
        <v/>
      </c>
      <c r="P718" s="16" t="str">
        <f aca="false">IF(N(M718)=0,"",AVERAGEIFS(ENSAYOS!$Q$5:$Q$3004,ENSAYOS!$C$5:$C$3004,F718,ENSAYOS!$Q$5:$Q$3004,"&gt;0"))</f>
        <v/>
      </c>
      <c r="Q718" s="16" t="str">
        <f aca="false">IF(N(M718)=0,"",_xlfn.MINIFS(ENSAYOS!$Q$5:$Q$3004,ENSAYOS!$C$5:$C$3004,F718,ENSAYOS!$Q$5:$Q$3004,"&gt;0"))</f>
        <v/>
      </c>
      <c r="R718" s="16" t="str">
        <f aca="false">IF(N(M718)=0,"",_xlfn.MAXIFS(ENSAYOS!$Q$5:$Q$3004,ENSAYOS!$C$5:$C$3004,F718,ENSAYOS!$Q$5:$Q$3004,"&gt;0"))</f>
        <v/>
      </c>
      <c r="S718" s="16" t="str">
        <f aca="false">IF(N(M718)&lt;2,"",SQRT(MAX(0,(SUMIFS(ENSAYOS!$X$5:$X$3004,ENSAYOS!$C$5:$C$3004,F718,ENSAYOS!$Q$5:$Q$3004,"&gt;0")-M718*P718^2)/(M718-1))))</f>
        <v/>
      </c>
      <c r="T718" s="17" t="str">
        <f aca="false">IF(S718="","",S718/P718)</f>
        <v/>
      </c>
      <c r="U718" s="16" t="str">
        <f aca="false">IF(N(M718)=0,"",IF(N718&gt;=CONFIG!$B$27,"",AVERAGEIFS(ENSAYOS!$Q$5:$Q$3004,ENSAYOS!$C$5:$C$3004,F718,ENSAYOS!$Q$5:$Q$3004,"&gt;0",ENSAYOS!$G$5:$G$3004,N718)))</f>
        <v/>
      </c>
      <c r="V718" s="16" t="str">
        <f aca="false">IF(N(M718)=0,"",IF(COUNTIFS(ENSAYOS!$C$5:$C$3004,F718,ENSAYOS!$Q$5:$Q$3004,"&gt;0",ENSAYOS!$G$5:$G$3004,"&gt;="&amp;CONFIG!$B$27)=0,"",AVERAGEIFS(ENSAYOS!$Q$5:$Q$3004,ENSAYOS!$C$5:$C$3004,F718,ENSAYOS!$Q$5:$Q$3004,"&gt;0",ENSAYOS!$G$5:$G$3004,"&gt;="&amp;CONFIG!$B$27)))</f>
        <v/>
      </c>
      <c r="W718" s="18" t="str">
        <f aca="false">IF(AND(U718&lt;&gt;"",V718&lt;&gt;""),U718/V718,"")</f>
        <v/>
      </c>
      <c r="X718" s="18" t="str">
        <f aca="false">IF(U718="","",INDEX('CURVA EDAD'!$E$5:$E$32,MIN(28,MAX(1,N718))))</f>
        <v/>
      </c>
      <c r="Y718" s="16" t="str">
        <f aca="false">IF(V718&lt;&gt;"",V718,IF(U718="","",U718/X718))</f>
        <v/>
      </c>
      <c r="Z718" s="16" t="str">
        <f aca="false">IF(V718&lt;&gt;"",_xlfn.MINIFS(ENSAYOS!$Q$5:$Q$3004,ENSAYOS!$C$5:$C$3004,F718,ENSAYOS!$Q$5:$Q$3004,"&gt;0",ENSAYOS!$G$5:$G$3004,"&gt;="&amp;CONFIG!$B$27),IF(U718="","",_xlfn.MINIFS(ENSAYOS!$Q$5:$Q$3004,ENSAYOS!$C$5:$C$3004,F718,ENSAYOS!$Q$5:$Q$3004,"&gt;0",ENSAYOS!$G$5:$G$3004,N718)/X718))</f>
        <v/>
      </c>
      <c r="AA718" s="16" t="str">
        <f aca="false">IF(D718="","",IFERROR(1/(1/INDEX(CONFIG!$J$5:$J$14,MATCH(D718,CONFIG!$D$5:$D$14,0))),""))</f>
        <v/>
      </c>
      <c r="AB718" s="16" t="str">
        <f aca="false">IF(D718="","",IFERROR(1/(1/INDEX(CONFIG!$K$5:$K$14,MATCH(D718,CONFIG!$D$5:$D$14,0))),""))</f>
        <v/>
      </c>
      <c r="AC718" s="19" t="str">
        <f aca="false">IF(N(M718)=0,"",IF(AA718="","Sin spec",IF(AND(Y718&gt;=AA718,OR(AB718="",Z718&gt;=AB718)),"CUMPLE","NO CUMPLE")&amp;IF(V718=""," (est.)","")))</f>
        <v/>
      </c>
      <c r="AD718" s="20" t="str">
        <f aca="false">IF(F718="","",IF(COUNTIFS(ABSORCION!$C$5:$C$1004,F718,ABSORCION!$I$5:$I$1004,"&gt;0")=0,"",AVERAGEIFS(ABSORCION!$I$5:$I$1004,ABSORCION!$C$5:$C$1004,F718,ABSORCION!$I$5:$I$1004,"&gt;0")))</f>
        <v/>
      </c>
      <c r="AE718" s="20" t="str">
        <f aca="false">IF(F718="","",IF(COUNTIFS(ABSORCION!$C$5:$C$1004,F718,ABSORCION!$I$5:$I$1004,"&gt;0")=0,"",AVERAGEIFS(ABSORCION!$K$5:$K$1004,ABSORCION!$C$5:$C$1004,F718,ABSORCION!$I$5:$I$1004,"&gt;0")))</f>
        <v/>
      </c>
      <c r="AF718" s="20" t="str">
        <f aca="false">IF(AE718="","",IF(AE718&gt;=CONFIG!$E$21,CONFIG!$F$21,IF(AE718&gt;=CONFIG!$E$20,CONFIG!$F$20,CONFIG!$F$19)))</f>
        <v/>
      </c>
      <c r="AG718" s="21" t="str">
        <f aca="false">IF(F718="","",TRIM(IF(N(M718)=0,"Sin ensayos. ","")&amp;IF(AND(N(M718)&gt;0,N(M718)&lt;CONFIG!$B$26),"Menos de "&amp;CONFIG!$B$26&amp;" probetas. ","")&amp;IF(N(T718)&gt;CONFIG!$B$25,"CV alto. ","")&amp;IF(AND(N(AD718)&gt;0,N(AD718)&gt;N(AF718)),"Absorción alta. ","")))</f>
        <v/>
      </c>
      <c r="AH718" s="22" t="str">
        <f aca="false">IF(AND(N(M718)&gt;0,OR(CONTROL!$C$4="TODAS",C718=CONTROL!$C$4),D718=CONTROL!$C$5),MAX($AH$4:AH717)+1,"")</f>
        <v/>
      </c>
      <c r="AI718" s="22" t="str">
        <f aca="false">IF(AH718="","",P718^2)</f>
        <v/>
      </c>
    </row>
    <row r="719" customFormat="false" ht="15" hidden="false" customHeight="false" outlineLevel="0" collapsed="false">
      <c r="A719" s="11" t="str">
        <f aca="false">IF(B719="","",ROW()-4)</f>
        <v/>
      </c>
      <c r="B719" s="12"/>
      <c r="C719" s="13"/>
      <c r="D719" s="13"/>
      <c r="E719" s="13"/>
      <c r="F719" s="14" t="str">
        <f aca="false">IF(OR(B719="",C719="",D719=""),"",IFERROR(INDEX(CONFIG!$E$5:$E$14,MATCH(D719,CONFIG!$D$5:$D$14,0)),"?")&amp;RIGHT("0"&amp;DAY(B719),2)&amp;RIGHT("0"&amp;MONTH(B719),2)&amp;RIGHT(YEAR(B719),2)&amp;C719&amp;IF(E719="","","-"&amp;E719))</f>
        <v/>
      </c>
      <c r="G719" s="13"/>
      <c r="H719" s="13"/>
      <c r="I719" s="13"/>
      <c r="J719" s="13"/>
      <c r="K719" s="13"/>
      <c r="L719" s="13"/>
      <c r="M719" s="11" t="str">
        <f aca="false">IF(F719="","",COUNTIFS(ENSAYOS!$C$5:$C$3004,F719,ENSAYOS!$Q$5:$Q$3004,"&gt;0"))</f>
        <v/>
      </c>
      <c r="N719" s="15" t="str">
        <f aca="false">IF(N(M719)=0,"",_xlfn.MINIFS(ENSAYOS!$G$5:$G$3004,ENSAYOS!$C$5:$C$3004,F719,ENSAYOS!$Q$5:$Q$3004,"&gt;0"))</f>
        <v/>
      </c>
      <c r="O719" s="15" t="str">
        <f aca="false">IF(N(M719)=0,"",_xlfn.MAXIFS(ENSAYOS!$G$5:$G$3004,ENSAYOS!$C$5:$C$3004,F719,ENSAYOS!$Q$5:$Q$3004,"&gt;0"))</f>
        <v/>
      </c>
      <c r="P719" s="16" t="str">
        <f aca="false">IF(N(M719)=0,"",AVERAGEIFS(ENSAYOS!$Q$5:$Q$3004,ENSAYOS!$C$5:$C$3004,F719,ENSAYOS!$Q$5:$Q$3004,"&gt;0"))</f>
        <v/>
      </c>
      <c r="Q719" s="16" t="str">
        <f aca="false">IF(N(M719)=0,"",_xlfn.MINIFS(ENSAYOS!$Q$5:$Q$3004,ENSAYOS!$C$5:$C$3004,F719,ENSAYOS!$Q$5:$Q$3004,"&gt;0"))</f>
        <v/>
      </c>
      <c r="R719" s="16" t="str">
        <f aca="false">IF(N(M719)=0,"",_xlfn.MAXIFS(ENSAYOS!$Q$5:$Q$3004,ENSAYOS!$C$5:$C$3004,F719,ENSAYOS!$Q$5:$Q$3004,"&gt;0"))</f>
        <v/>
      </c>
      <c r="S719" s="16" t="str">
        <f aca="false">IF(N(M719)&lt;2,"",SQRT(MAX(0,(SUMIFS(ENSAYOS!$X$5:$X$3004,ENSAYOS!$C$5:$C$3004,F719,ENSAYOS!$Q$5:$Q$3004,"&gt;0")-M719*P719^2)/(M719-1))))</f>
        <v/>
      </c>
      <c r="T719" s="17" t="str">
        <f aca="false">IF(S719="","",S719/P719)</f>
        <v/>
      </c>
      <c r="U719" s="16" t="str">
        <f aca="false">IF(N(M719)=0,"",IF(N719&gt;=CONFIG!$B$27,"",AVERAGEIFS(ENSAYOS!$Q$5:$Q$3004,ENSAYOS!$C$5:$C$3004,F719,ENSAYOS!$Q$5:$Q$3004,"&gt;0",ENSAYOS!$G$5:$G$3004,N719)))</f>
        <v/>
      </c>
      <c r="V719" s="16" t="str">
        <f aca="false">IF(N(M719)=0,"",IF(COUNTIFS(ENSAYOS!$C$5:$C$3004,F719,ENSAYOS!$Q$5:$Q$3004,"&gt;0",ENSAYOS!$G$5:$G$3004,"&gt;="&amp;CONFIG!$B$27)=0,"",AVERAGEIFS(ENSAYOS!$Q$5:$Q$3004,ENSAYOS!$C$5:$C$3004,F719,ENSAYOS!$Q$5:$Q$3004,"&gt;0",ENSAYOS!$G$5:$G$3004,"&gt;="&amp;CONFIG!$B$27)))</f>
        <v/>
      </c>
      <c r="W719" s="18" t="str">
        <f aca="false">IF(AND(U719&lt;&gt;"",V719&lt;&gt;""),U719/V719,"")</f>
        <v/>
      </c>
      <c r="X719" s="18" t="str">
        <f aca="false">IF(U719="","",INDEX('CURVA EDAD'!$E$5:$E$32,MIN(28,MAX(1,N719))))</f>
        <v/>
      </c>
      <c r="Y719" s="16" t="str">
        <f aca="false">IF(V719&lt;&gt;"",V719,IF(U719="","",U719/X719))</f>
        <v/>
      </c>
      <c r="Z719" s="16" t="str">
        <f aca="false">IF(V719&lt;&gt;"",_xlfn.MINIFS(ENSAYOS!$Q$5:$Q$3004,ENSAYOS!$C$5:$C$3004,F719,ENSAYOS!$Q$5:$Q$3004,"&gt;0",ENSAYOS!$G$5:$G$3004,"&gt;="&amp;CONFIG!$B$27),IF(U719="","",_xlfn.MINIFS(ENSAYOS!$Q$5:$Q$3004,ENSAYOS!$C$5:$C$3004,F719,ENSAYOS!$Q$5:$Q$3004,"&gt;0",ENSAYOS!$G$5:$G$3004,N719)/X719))</f>
        <v/>
      </c>
      <c r="AA719" s="16" t="str">
        <f aca="false">IF(D719="","",IFERROR(1/(1/INDEX(CONFIG!$J$5:$J$14,MATCH(D719,CONFIG!$D$5:$D$14,0))),""))</f>
        <v/>
      </c>
      <c r="AB719" s="16" t="str">
        <f aca="false">IF(D719="","",IFERROR(1/(1/INDEX(CONFIG!$K$5:$K$14,MATCH(D719,CONFIG!$D$5:$D$14,0))),""))</f>
        <v/>
      </c>
      <c r="AC719" s="19" t="str">
        <f aca="false">IF(N(M719)=0,"",IF(AA719="","Sin spec",IF(AND(Y719&gt;=AA719,OR(AB719="",Z719&gt;=AB719)),"CUMPLE","NO CUMPLE")&amp;IF(V719=""," (est.)","")))</f>
        <v/>
      </c>
      <c r="AD719" s="20" t="str">
        <f aca="false">IF(F719="","",IF(COUNTIFS(ABSORCION!$C$5:$C$1004,F719,ABSORCION!$I$5:$I$1004,"&gt;0")=0,"",AVERAGEIFS(ABSORCION!$I$5:$I$1004,ABSORCION!$C$5:$C$1004,F719,ABSORCION!$I$5:$I$1004,"&gt;0")))</f>
        <v/>
      </c>
      <c r="AE719" s="20" t="str">
        <f aca="false">IF(F719="","",IF(COUNTIFS(ABSORCION!$C$5:$C$1004,F719,ABSORCION!$I$5:$I$1004,"&gt;0")=0,"",AVERAGEIFS(ABSORCION!$K$5:$K$1004,ABSORCION!$C$5:$C$1004,F719,ABSORCION!$I$5:$I$1004,"&gt;0")))</f>
        <v/>
      </c>
      <c r="AF719" s="20" t="str">
        <f aca="false">IF(AE719="","",IF(AE719&gt;=CONFIG!$E$21,CONFIG!$F$21,IF(AE719&gt;=CONFIG!$E$20,CONFIG!$F$20,CONFIG!$F$19)))</f>
        <v/>
      </c>
      <c r="AG719" s="21" t="str">
        <f aca="false">IF(F719="","",TRIM(IF(N(M719)=0,"Sin ensayos. ","")&amp;IF(AND(N(M719)&gt;0,N(M719)&lt;CONFIG!$B$26),"Menos de "&amp;CONFIG!$B$26&amp;" probetas. ","")&amp;IF(N(T719)&gt;CONFIG!$B$25,"CV alto. ","")&amp;IF(AND(N(AD719)&gt;0,N(AD719)&gt;N(AF719)),"Absorción alta. ","")))</f>
        <v/>
      </c>
      <c r="AH719" s="22" t="str">
        <f aca="false">IF(AND(N(M719)&gt;0,OR(CONTROL!$C$4="TODAS",C719=CONTROL!$C$4),D719=CONTROL!$C$5),MAX($AH$4:AH718)+1,"")</f>
        <v/>
      </c>
      <c r="AI719" s="22" t="str">
        <f aca="false">IF(AH719="","",P719^2)</f>
        <v/>
      </c>
    </row>
    <row r="720" customFormat="false" ht="15" hidden="false" customHeight="false" outlineLevel="0" collapsed="false">
      <c r="A720" s="11" t="str">
        <f aca="false">IF(B720="","",ROW()-4)</f>
        <v/>
      </c>
      <c r="B720" s="12"/>
      <c r="C720" s="13"/>
      <c r="D720" s="13"/>
      <c r="E720" s="13"/>
      <c r="F720" s="14" t="str">
        <f aca="false">IF(OR(B720="",C720="",D720=""),"",IFERROR(INDEX(CONFIG!$E$5:$E$14,MATCH(D720,CONFIG!$D$5:$D$14,0)),"?")&amp;RIGHT("0"&amp;DAY(B720),2)&amp;RIGHT("0"&amp;MONTH(B720),2)&amp;RIGHT(YEAR(B720),2)&amp;C720&amp;IF(E720="","","-"&amp;E720))</f>
        <v/>
      </c>
      <c r="G720" s="13"/>
      <c r="H720" s="13"/>
      <c r="I720" s="13"/>
      <c r="J720" s="13"/>
      <c r="K720" s="13"/>
      <c r="L720" s="13"/>
      <c r="M720" s="11" t="str">
        <f aca="false">IF(F720="","",COUNTIFS(ENSAYOS!$C$5:$C$3004,F720,ENSAYOS!$Q$5:$Q$3004,"&gt;0"))</f>
        <v/>
      </c>
      <c r="N720" s="15" t="str">
        <f aca="false">IF(N(M720)=0,"",_xlfn.MINIFS(ENSAYOS!$G$5:$G$3004,ENSAYOS!$C$5:$C$3004,F720,ENSAYOS!$Q$5:$Q$3004,"&gt;0"))</f>
        <v/>
      </c>
      <c r="O720" s="15" t="str">
        <f aca="false">IF(N(M720)=0,"",_xlfn.MAXIFS(ENSAYOS!$G$5:$G$3004,ENSAYOS!$C$5:$C$3004,F720,ENSAYOS!$Q$5:$Q$3004,"&gt;0"))</f>
        <v/>
      </c>
      <c r="P720" s="16" t="str">
        <f aca="false">IF(N(M720)=0,"",AVERAGEIFS(ENSAYOS!$Q$5:$Q$3004,ENSAYOS!$C$5:$C$3004,F720,ENSAYOS!$Q$5:$Q$3004,"&gt;0"))</f>
        <v/>
      </c>
      <c r="Q720" s="16" t="str">
        <f aca="false">IF(N(M720)=0,"",_xlfn.MINIFS(ENSAYOS!$Q$5:$Q$3004,ENSAYOS!$C$5:$C$3004,F720,ENSAYOS!$Q$5:$Q$3004,"&gt;0"))</f>
        <v/>
      </c>
      <c r="R720" s="16" t="str">
        <f aca="false">IF(N(M720)=0,"",_xlfn.MAXIFS(ENSAYOS!$Q$5:$Q$3004,ENSAYOS!$C$5:$C$3004,F720,ENSAYOS!$Q$5:$Q$3004,"&gt;0"))</f>
        <v/>
      </c>
      <c r="S720" s="16" t="str">
        <f aca="false">IF(N(M720)&lt;2,"",SQRT(MAX(0,(SUMIFS(ENSAYOS!$X$5:$X$3004,ENSAYOS!$C$5:$C$3004,F720,ENSAYOS!$Q$5:$Q$3004,"&gt;0")-M720*P720^2)/(M720-1))))</f>
        <v/>
      </c>
      <c r="T720" s="17" t="str">
        <f aca="false">IF(S720="","",S720/P720)</f>
        <v/>
      </c>
      <c r="U720" s="16" t="str">
        <f aca="false">IF(N(M720)=0,"",IF(N720&gt;=CONFIG!$B$27,"",AVERAGEIFS(ENSAYOS!$Q$5:$Q$3004,ENSAYOS!$C$5:$C$3004,F720,ENSAYOS!$Q$5:$Q$3004,"&gt;0",ENSAYOS!$G$5:$G$3004,N720)))</f>
        <v/>
      </c>
      <c r="V720" s="16" t="str">
        <f aca="false">IF(N(M720)=0,"",IF(COUNTIFS(ENSAYOS!$C$5:$C$3004,F720,ENSAYOS!$Q$5:$Q$3004,"&gt;0",ENSAYOS!$G$5:$G$3004,"&gt;="&amp;CONFIG!$B$27)=0,"",AVERAGEIFS(ENSAYOS!$Q$5:$Q$3004,ENSAYOS!$C$5:$C$3004,F720,ENSAYOS!$Q$5:$Q$3004,"&gt;0",ENSAYOS!$G$5:$G$3004,"&gt;="&amp;CONFIG!$B$27)))</f>
        <v/>
      </c>
      <c r="W720" s="18" t="str">
        <f aca="false">IF(AND(U720&lt;&gt;"",V720&lt;&gt;""),U720/V720,"")</f>
        <v/>
      </c>
      <c r="X720" s="18" t="str">
        <f aca="false">IF(U720="","",INDEX('CURVA EDAD'!$E$5:$E$32,MIN(28,MAX(1,N720))))</f>
        <v/>
      </c>
      <c r="Y720" s="16" t="str">
        <f aca="false">IF(V720&lt;&gt;"",V720,IF(U720="","",U720/X720))</f>
        <v/>
      </c>
      <c r="Z720" s="16" t="str">
        <f aca="false">IF(V720&lt;&gt;"",_xlfn.MINIFS(ENSAYOS!$Q$5:$Q$3004,ENSAYOS!$C$5:$C$3004,F720,ENSAYOS!$Q$5:$Q$3004,"&gt;0",ENSAYOS!$G$5:$G$3004,"&gt;="&amp;CONFIG!$B$27),IF(U720="","",_xlfn.MINIFS(ENSAYOS!$Q$5:$Q$3004,ENSAYOS!$C$5:$C$3004,F720,ENSAYOS!$Q$5:$Q$3004,"&gt;0",ENSAYOS!$G$5:$G$3004,N720)/X720))</f>
        <v/>
      </c>
      <c r="AA720" s="16" t="str">
        <f aca="false">IF(D720="","",IFERROR(1/(1/INDEX(CONFIG!$J$5:$J$14,MATCH(D720,CONFIG!$D$5:$D$14,0))),""))</f>
        <v/>
      </c>
      <c r="AB720" s="16" t="str">
        <f aca="false">IF(D720="","",IFERROR(1/(1/INDEX(CONFIG!$K$5:$K$14,MATCH(D720,CONFIG!$D$5:$D$14,0))),""))</f>
        <v/>
      </c>
      <c r="AC720" s="19" t="str">
        <f aca="false">IF(N(M720)=0,"",IF(AA720="","Sin spec",IF(AND(Y720&gt;=AA720,OR(AB720="",Z720&gt;=AB720)),"CUMPLE","NO CUMPLE")&amp;IF(V720=""," (est.)","")))</f>
        <v/>
      </c>
      <c r="AD720" s="20" t="str">
        <f aca="false">IF(F720="","",IF(COUNTIFS(ABSORCION!$C$5:$C$1004,F720,ABSORCION!$I$5:$I$1004,"&gt;0")=0,"",AVERAGEIFS(ABSORCION!$I$5:$I$1004,ABSORCION!$C$5:$C$1004,F720,ABSORCION!$I$5:$I$1004,"&gt;0")))</f>
        <v/>
      </c>
      <c r="AE720" s="20" t="str">
        <f aca="false">IF(F720="","",IF(COUNTIFS(ABSORCION!$C$5:$C$1004,F720,ABSORCION!$I$5:$I$1004,"&gt;0")=0,"",AVERAGEIFS(ABSORCION!$K$5:$K$1004,ABSORCION!$C$5:$C$1004,F720,ABSORCION!$I$5:$I$1004,"&gt;0")))</f>
        <v/>
      </c>
      <c r="AF720" s="20" t="str">
        <f aca="false">IF(AE720="","",IF(AE720&gt;=CONFIG!$E$21,CONFIG!$F$21,IF(AE720&gt;=CONFIG!$E$20,CONFIG!$F$20,CONFIG!$F$19)))</f>
        <v/>
      </c>
      <c r="AG720" s="21" t="str">
        <f aca="false">IF(F720="","",TRIM(IF(N(M720)=0,"Sin ensayos. ","")&amp;IF(AND(N(M720)&gt;0,N(M720)&lt;CONFIG!$B$26),"Menos de "&amp;CONFIG!$B$26&amp;" probetas. ","")&amp;IF(N(T720)&gt;CONFIG!$B$25,"CV alto. ","")&amp;IF(AND(N(AD720)&gt;0,N(AD720)&gt;N(AF720)),"Absorción alta. ","")))</f>
        <v/>
      </c>
      <c r="AH720" s="22" t="str">
        <f aca="false">IF(AND(N(M720)&gt;0,OR(CONTROL!$C$4="TODAS",C720=CONTROL!$C$4),D720=CONTROL!$C$5),MAX($AH$4:AH719)+1,"")</f>
        <v/>
      </c>
      <c r="AI720" s="22" t="str">
        <f aca="false">IF(AH720="","",P720^2)</f>
        <v/>
      </c>
    </row>
    <row r="721" customFormat="false" ht="15" hidden="false" customHeight="false" outlineLevel="0" collapsed="false">
      <c r="A721" s="11" t="str">
        <f aca="false">IF(B721="","",ROW()-4)</f>
        <v/>
      </c>
      <c r="B721" s="12"/>
      <c r="C721" s="13"/>
      <c r="D721" s="13"/>
      <c r="E721" s="13"/>
      <c r="F721" s="14" t="str">
        <f aca="false">IF(OR(B721="",C721="",D721=""),"",IFERROR(INDEX(CONFIG!$E$5:$E$14,MATCH(D721,CONFIG!$D$5:$D$14,0)),"?")&amp;RIGHT("0"&amp;DAY(B721),2)&amp;RIGHT("0"&amp;MONTH(B721),2)&amp;RIGHT(YEAR(B721),2)&amp;C721&amp;IF(E721="","","-"&amp;E721))</f>
        <v/>
      </c>
      <c r="G721" s="13"/>
      <c r="H721" s="13"/>
      <c r="I721" s="13"/>
      <c r="J721" s="13"/>
      <c r="K721" s="13"/>
      <c r="L721" s="13"/>
      <c r="M721" s="11" t="str">
        <f aca="false">IF(F721="","",COUNTIFS(ENSAYOS!$C$5:$C$3004,F721,ENSAYOS!$Q$5:$Q$3004,"&gt;0"))</f>
        <v/>
      </c>
      <c r="N721" s="15" t="str">
        <f aca="false">IF(N(M721)=0,"",_xlfn.MINIFS(ENSAYOS!$G$5:$G$3004,ENSAYOS!$C$5:$C$3004,F721,ENSAYOS!$Q$5:$Q$3004,"&gt;0"))</f>
        <v/>
      </c>
      <c r="O721" s="15" t="str">
        <f aca="false">IF(N(M721)=0,"",_xlfn.MAXIFS(ENSAYOS!$G$5:$G$3004,ENSAYOS!$C$5:$C$3004,F721,ENSAYOS!$Q$5:$Q$3004,"&gt;0"))</f>
        <v/>
      </c>
      <c r="P721" s="16" t="str">
        <f aca="false">IF(N(M721)=0,"",AVERAGEIFS(ENSAYOS!$Q$5:$Q$3004,ENSAYOS!$C$5:$C$3004,F721,ENSAYOS!$Q$5:$Q$3004,"&gt;0"))</f>
        <v/>
      </c>
      <c r="Q721" s="16" t="str">
        <f aca="false">IF(N(M721)=0,"",_xlfn.MINIFS(ENSAYOS!$Q$5:$Q$3004,ENSAYOS!$C$5:$C$3004,F721,ENSAYOS!$Q$5:$Q$3004,"&gt;0"))</f>
        <v/>
      </c>
      <c r="R721" s="16" t="str">
        <f aca="false">IF(N(M721)=0,"",_xlfn.MAXIFS(ENSAYOS!$Q$5:$Q$3004,ENSAYOS!$C$5:$C$3004,F721,ENSAYOS!$Q$5:$Q$3004,"&gt;0"))</f>
        <v/>
      </c>
      <c r="S721" s="16" t="str">
        <f aca="false">IF(N(M721)&lt;2,"",SQRT(MAX(0,(SUMIFS(ENSAYOS!$X$5:$X$3004,ENSAYOS!$C$5:$C$3004,F721,ENSAYOS!$Q$5:$Q$3004,"&gt;0")-M721*P721^2)/(M721-1))))</f>
        <v/>
      </c>
      <c r="T721" s="17" t="str">
        <f aca="false">IF(S721="","",S721/P721)</f>
        <v/>
      </c>
      <c r="U721" s="16" t="str">
        <f aca="false">IF(N(M721)=0,"",IF(N721&gt;=CONFIG!$B$27,"",AVERAGEIFS(ENSAYOS!$Q$5:$Q$3004,ENSAYOS!$C$5:$C$3004,F721,ENSAYOS!$Q$5:$Q$3004,"&gt;0",ENSAYOS!$G$5:$G$3004,N721)))</f>
        <v/>
      </c>
      <c r="V721" s="16" t="str">
        <f aca="false">IF(N(M721)=0,"",IF(COUNTIFS(ENSAYOS!$C$5:$C$3004,F721,ENSAYOS!$Q$5:$Q$3004,"&gt;0",ENSAYOS!$G$5:$G$3004,"&gt;="&amp;CONFIG!$B$27)=0,"",AVERAGEIFS(ENSAYOS!$Q$5:$Q$3004,ENSAYOS!$C$5:$C$3004,F721,ENSAYOS!$Q$5:$Q$3004,"&gt;0",ENSAYOS!$G$5:$G$3004,"&gt;="&amp;CONFIG!$B$27)))</f>
        <v/>
      </c>
      <c r="W721" s="18" t="str">
        <f aca="false">IF(AND(U721&lt;&gt;"",V721&lt;&gt;""),U721/V721,"")</f>
        <v/>
      </c>
      <c r="X721" s="18" t="str">
        <f aca="false">IF(U721="","",INDEX('CURVA EDAD'!$E$5:$E$32,MIN(28,MAX(1,N721))))</f>
        <v/>
      </c>
      <c r="Y721" s="16" t="str">
        <f aca="false">IF(V721&lt;&gt;"",V721,IF(U721="","",U721/X721))</f>
        <v/>
      </c>
      <c r="Z721" s="16" t="str">
        <f aca="false">IF(V721&lt;&gt;"",_xlfn.MINIFS(ENSAYOS!$Q$5:$Q$3004,ENSAYOS!$C$5:$C$3004,F721,ENSAYOS!$Q$5:$Q$3004,"&gt;0",ENSAYOS!$G$5:$G$3004,"&gt;="&amp;CONFIG!$B$27),IF(U721="","",_xlfn.MINIFS(ENSAYOS!$Q$5:$Q$3004,ENSAYOS!$C$5:$C$3004,F721,ENSAYOS!$Q$5:$Q$3004,"&gt;0",ENSAYOS!$G$5:$G$3004,N721)/X721))</f>
        <v/>
      </c>
      <c r="AA721" s="16" t="str">
        <f aca="false">IF(D721="","",IFERROR(1/(1/INDEX(CONFIG!$J$5:$J$14,MATCH(D721,CONFIG!$D$5:$D$14,0))),""))</f>
        <v/>
      </c>
      <c r="AB721" s="16" t="str">
        <f aca="false">IF(D721="","",IFERROR(1/(1/INDEX(CONFIG!$K$5:$K$14,MATCH(D721,CONFIG!$D$5:$D$14,0))),""))</f>
        <v/>
      </c>
      <c r="AC721" s="19" t="str">
        <f aca="false">IF(N(M721)=0,"",IF(AA721="","Sin spec",IF(AND(Y721&gt;=AA721,OR(AB721="",Z721&gt;=AB721)),"CUMPLE","NO CUMPLE")&amp;IF(V721=""," (est.)","")))</f>
        <v/>
      </c>
      <c r="AD721" s="20" t="str">
        <f aca="false">IF(F721="","",IF(COUNTIFS(ABSORCION!$C$5:$C$1004,F721,ABSORCION!$I$5:$I$1004,"&gt;0")=0,"",AVERAGEIFS(ABSORCION!$I$5:$I$1004,ABSORCION!$C$5:$C$1004,F721,ABSORCION!$I$5:$I$1004,"&gt;0")))</f>
        <v/>
      </c>
      <c r="AE721" s="20" t="str">
        <f aca="false">IF(F721="","",IF(COUNTIFS(ABSORCION!$C$5:$C$1004,F721,ABSORCION!$I$5:$I$1004,"&gt;0")=0,"",AVERAGEIFS(ABSORCION!$K$5:$K$1004,ABSORCION!$C$5:$C$1004,F721,ABSORCION!$I$5:$I$1004,"&gt;0")))</f>
        <v/>
      </c>
      <c r="AF721" s="20" t="str">
        <f aca="false">IF(AE721="","",IF(AE721&gt;=CONFIG!$E$21,CONFIG!$F$21,IF(AE721&gt;=CONFIG!$E$20,CONFIG!$F$20,CONFIG!$F$19)))</f>
        <v/>
      </c>
      <c r="AG721" s="21" t="str">
        <f aca="false">IF(F721="","",TRIM(IF(N(M721)=0,"Sin ensayos. ","")&amp;IF(AND(N(M721)&gt;0,N(M721)&lt;CONFIG!$B$26),"Menos de "&amp;CONFIG!$B$26&amp;" probetas. ","")&amp;IF(N(T721)&gt;CONFIG!$B$25,"CV alto. ","")&amp;IF(AND(N(AD721)&gt;0,N(AD721)&gt;N(AF721)),"Absorción alta. ","")))</f>
        <v/>
      </c>
      <c r="AH721" s="22" t="str">
        <f aca="false">IF(AND(N(M721)&gt;0,OR(CONTROL!$C$4="TODAS",C721=CONTROL!$C$4),D721=CONTROL!$C$5),MAX($AH$4:AH720)+1,"")</f>
        <v/>
      </c>
      <c r="AI721" s="22" t="str">
        <f aca="false">IF(AH721="","",P721^2)</f>
        <v/>
      </c>
    </row>
    <row r="722" customFormat="false" ht="15" hidden="false" customHeight="false" outlineLevel="0" collapsed="false">
      <c r="A722" s="11" t="str">
        <f aca="false">IF(B722="","",ROW()-4)</f>
        <v/>
      </c>
      <c r="B722" s="12"/>
      <c r="C722" s="13"/>
      <c r="D722" s="13"/>
      <c r="E722" s="13"/>
      <c r="F722" s="14" t="str">
        <f aca="false">IF(OR(B722="",C722="",D722=""),"",IFERROR(INDEX(CONFIG!$E$5:$E$14,MATCH(D722,CONFIG!$D$5:$D$14,0)),"?")&amp;RIGHT("0"&amp;DAY(B722),2)&amp;RIGHT("0"&amp;MONTH(B722),2)&amp;RIGHT(YEAR(B722),2)&amp;C722&amp;IF(E722="","","-"&amp;E722))</f>
        <v/>
      </c>
      <c r="G722" s="13"/>
      <c r="H722" s="13"/>
      <c r="I722" s="13"/>
      <c r="J722" s="13"/>
      <c r="K722" s="13"/>
      <c r="L722" s="13"/>
      <c r="M722" s="11" t="str">
        <f aca="false">IF(F722="","",COUNTIFS(ENSAYOS!$C$5:$C$3004,F722,ENSAYOS!$Q$5:$Q$3004,"&gt;0"))</f>
        <v/>
      </c>
      <c r="N722" s="15" t="str">
        <f aca="false">IF(N(M722)=0,"",_xlfn.MINIFS(ENSAYOS!$G$5:$G$3004,ENSAYOS!$C$5:$C$3004,F722,ENSAYOS!$Q$5:$Q$3004,"&gt;0"))</f>
        <v/>
      </c>
      <c r="O722" s="15" t="str">
        <f aca="false">IF(N(M722)=0,"",_xlfn.MAXIFS(ENSAYOS!$G$5:$G$3004,ENSAYOS!$C$5:$C$3004,F722,ENSAYOS!$Q$5:$Q$3004,"&gt;0"))</f>
        <v/>
      </c>
      <c r="P722" s="16" t="str">
        <f aca="false">IF(N(M722)=0,"",AVERAGEIFS(ENSAYOS!$Q$5:$Q$3004,ENSAYOS!$C$5:$C$3004,F722,ENSAYOS!$Q$5:$Q$3004,"&gt;0"))</f>
        <v/>
      </c>
      <c r="Q722" s="16" t="str">
        <f aca="false">IF(N(M722)=0,"",_xlfn.MINIFS(ENSAYOS!$Q$5:$Q$3004,ENSAYOS!$C$5:$C$3004,F722,ENSAYOS!$Q$5:$Q$3004,"&gt;0"))</f>
        <v/>
      </c>
      <c r="R722" s="16" t="str">
        <f aca="false">IF(N(M722)=0,"",_xlfn.MAXIFS(ENSAYOS!$Q$5:$Q$3004,ENSAYOS!$C$5:$C$3004,F722,ENSAYOS!$Q$5:$Q$3004,"&gt;0"))</f>
        <v/>
      </c>
      <c r="S722" s="16" t="str">
        <f aca="false">IF(N(M722)&lt;2,"",SQRT(MAX(0,(SUMIFS(ENSAYOS!$X$5:$X$3004,ENSAYOS!$C$5:$C$3004,F722,ENSAYOS!$Q$5:$Q$3004,"&gt;0")-M722*P722^2)/(M722-1))))</f>
        <v/>
      </c>
      <c r="T722" s="17" t="str">
        <f aca="false">IF(S722="","",S722/P722)</f>
        <v/>
      </c>
      <c r="U722" s="16" t="str">
        <f aca="false">IF(N(M722)=0,"",IF(N722&gt;=CONFIG!$B$27,"",AVERAGEIFS(ENSAYOS!$Q$5:$Q$3004,ENSAYOS!$C$5:$C$3004,F722,ENSAYOS!$Q$5:$Q$3004,"&gt;0",ENSAYOS!$G$5:$G$3004,N722)))</f>
        <v/>
      </c>
      <c r="V722" s="16" t="str">
        <f aca="false">IF(N(M722)=0,"",IF(COUNTIFS(ENSAYOS!$C$5:$C$3004,F722,ENSAYOS!$Q$5:$Q$3004,"&gt;0",ENSAYOS!$G$5:$G$3004,"&gt;="&amp;CONFIG!$B$27)=0,"",AVERAGEIFS(ENSAYOS!$Q$5:$Q$3004,ENSAYOS!$C$5:$C$3004,F722,ENSAYOS!$Q$5:$Q$3004,"&gt;0",ENSAYOS!$G$5:$G$3004,"&gt;="&amp;CONFIG!$B$27)))</f>
        <v/>
      </c>
      <c r="W722" s="18" t="str">
        <f aca="false">IF(AND(U722&lt;&gt;"",V722&lt;&gt;""),U722/V722,"")</f>
        <v/>
      </c>
      <c r="X722" s="18" t="str">
        <f aca="false">IF(U722="","",INDEX('CURVA EDAD'!$E$5:$E$32,MIN(28,MAX(1,N722))))</f>
        <v/>
      </c>
      <c r="Y722" s="16" t="str">
        <f aca="false">IF(V722&lt;&gt;"",V722,IF(U722="","",U722/X722))</f>
        <v/>
      </c>
      <c r="Z722" s="16" t="str">
        <f aca="false">IF(V722&lt;&gt;"",_xlfn.MINIFS(ENSAYOS!$Q$5:$Q$3004,ENSAYOS!$C$5:$C$3004,F722,ENSAYOS!$Q$5:$Q$3004,"&gt;0",ENSAYOS!$G$5:$G$3004,"&gt;="&amp;CONFIG!$B$27),IF(U722="","",_xlfn.MINIFS(ENSAYOS!$Q$5:$Q$3004,ENSAYOS!$C$5:$C$3004,F722,ENSAYOS!$Q$5:$Q$3004,"&gt;0",ENSAYOS!$G$5:$G$3004,N722)/X722))</f>
        <v/>
      </c>
      <c r="AA722" s="16" t="str">
        <f aca="false">IF(D722="","",IFERROR(1/(1/INDEX(CONFIG!$J$5:$J$14,MATCH(D722,CONFIG!$D$5:$D$14,0))),""))</f>
        <v/>
      </c>
      <c r="AB722" s="16" t="str">
        <f aca="false">IF(D722="","",IFERROR(1/(1/INDEX(CONFIG!$K$5:$K$14,MATCH(D722,CONFIG!$D$5:$D$14,0))),""))</f>
        <v/>
      </c>
      <c r="AC722" s="19" t="str">
        <f aca="false">IF(N(M722)=0,"",IF(AA722="","Sin spec",IF(AND(Y722&gt;=AA722,OR(AB722="",Z722&gt;=AB722)),"CUMPLE","NO CUMPLE")&amp;IF(V722=""," (est.)","")))</f>
        <v/>
      </c>
      <c r="AD722" s="20" t="str">
        <f aca="false">IF(F722="","",IF(COUNTIFS(ABSORCION!$C$5:$C$1004,F722,ABSORCION!$I$5:$I$1004,"&gt;0")=0,"",AVERAGEIFS(ABSORCION!$I$5:$I$1004,ABSORCION!$C$5:$C$1004,F722,ABSORCION!$I$5:$I$1004,"&gt;0")))</f>
        <v/>
      </c>
      <c r="AE722" s="20" t="str">
        <f aca="false">IF(F722="","",IF(COUNTIFS(ABSORCION!$C$5:$C$1004,F722,ABSORCION!$I$5:$I$1004,"&gt;0")=0,"",AVERAGEIFS(ABSORCION!$K$5:$K$1004,ABSORCION!$C$5:$C$1004,F722,ABSORCION!$I$5:$I$1004,"&gt;0")))</f>
        <v/>
      </c>
      <c r="AF722" s="20" t="str">
        <f aca="false">IF(AE722="","",IF(AE722&gt;=CONFIG!$E$21,CONFIG!$F$21,IF(AE722&gt;=CONFIG!$E$20,CONFIG!$F$20,CONFIG!$F$19)))</f>
        <v/>
      </c>
      <c r="AG722" s="21" t="str">
        <f aca="false">IF(F722="","",TRIM(IF(N(M722)=0,"Sin ensayos. ","")&amp;IF(AND(N(M722)&gt;0,N(M722)&lt;CONFIG!$B$26),"Menos de "&amp;CONFIG!$B$26&amp;" probetas. ","")&amp;IF(N(T722)&gt;CONFIG!$B$25,"CV alto. ","")&amp;IF(AND(N(AD722)&gt;0,N(AD722)&gt;N(AF722)),"Absorción alta. ","")))</f>
        <v/>
      </c>
      <c r="AH722" s="22" t="str">
        <f aca="false">IF(AND(N(M722)&gt;0,OR(CONTROL!$C$4="TODAS",C722=CONTROL!$C$4),D722=CONTROL!$C$5),MAX($AH$4:AH721)+1,"")</f>
        <v/>
      </c>
      <c r="AI722" s="22" t="str">
        <f aca="false">IF(AH722="","",P722^2)</f>
        <v/>
      </c>
    </row>
    <row r="723" customFormat="false" ht="15" hidden="false" customHeight="false" outlineLevel="0" collapsed="false">
      <c r="A723" s="11" t="str">
        <f aca="false">IF(B723="","",ROW()-4)</f>
        <v/>
      </c>
      <c r="B723" s="12"/>
      <c r="C723" s="13"/>
      <c r="D723" s="13"/>
      <c r="E723" s="13"/>
      <c r="F723" s="14" t="str">
        <f aca="false">IF(OR(B723="",C723="",D723=""),"",IFERROR(INDEX(CONFIG!$E$5:$E$14,MATCH(D723,CONFIG!$D$5:$D$14,0)),"?")&amp;RIGHT("0"&amp;DAY(B723),2)&amp;RIGHT("0"&amp;MONTH(B723),2)&amp;RIGHT(YEAR(B723),2)&amp;C723&amp;IF(E723="","","-"&amp;E723))</f>
        <v/>
      </c>
      <c r="G723" s="13"/>
      <c r="H723" s="13"/>
      <c r="I723" s="13"/>
      <c r="J723" s="13"/>
      <c r="K723" s="13"/>
      <c r="L723" s="13"/>
      <c r="M723" s="11" t="str">
        <f aca="false">IF(F723="","",COUNTIFS(ENSAYOS!$C$5:$C$3004,F723,ENSAYOS!$Q$5:$Q$3004,"&gt;0"))</f>
        <v/>
      </c>
      <c r="N723" s="15" t="str">
        <f aca="false">IF(N(M723)=0,"",_xlfn.MINIFS(ENSAYOS!$G$5:$G$3004,ENSAYOS!$C$5:$C$3004,F723,ENSAYOS!$Q$5:$Q$3004,"&gt;0"))</f>
        <v/>
      </c>
      <c r="O723" s="15" t="str">
        <f aca="false">IF(N(M723)=0,"",_xlfn.MAXIFS(ENSAYOS!$G$5:$G$3004,ENSAYOS!$C$5:$C$3004,F723,ENSAYOS!$Q$5:$Q$3004,"&gt;0"))</f>
        <v/>
      </c>
      <c r="P723" s="16" t="str">
        <f aca="false">IF(N(M723)=0,"",AVERAGEIFS(ENSAYOS!$Q$5:$Q$3004,ENSAYOS!$C$5:$C$3004,F723,ENSAYOS!$Q$5:$Q$3004,"&gt;0"))</f>
        <v/>
      </c>
      <c r="Q723" s="16" t="str">
        <f aca="false">IF(N(M723)=0,"",_xlfn.MINIFS(ENSAYOS!$Q$5:$Q$3004,ENSAYOS!$C$5:$C$3004,F723,ENSAYOS!$Q$5:$Q$3004,"&gt;0"))</f>
        <v/>
      </c>
      <c r="R723" s="16" t="str">
        <f aca="false">IF(N(M723)=0,"",_xlfn.MAXIFS(ENSAYOS!$Q$5:$Q$3004,ENSAYOS!$C$5:$C$3004,F723,ENSAYOS!$Q$5:$Q$3004,"&gt;0"))</f>
        <v/>
      </c>
      <c r="S723" s="16" t="str">
        <f aca="false">IF(N(M723)&lt;2,"",SQRT(MAX(0,(SUMIFS(ENSAYOS!$X$5:$X$3004,ENSAYOS!$C$5:$C$3004,F723,ENSAYOS!$Q$5:$Q$3004,"&gt;0")-M723*P723^2)/(M723-1))))</f>
        <v/>
      </c>
      <c r="T723" s="17" t="str">
        <f aca="false">IF(S723="","",S723/P723)</f>
        <v/>
      </c>
      <c r="U723" s="16" t="str">
        <f aca="false">IF(N(M723)=0,"",IF(N723&gt;=CONFIG!$B$27,"",AVERAGEIFS(ENSAYOS!$Q$5:$Q$3004,ENSAYOS!$C$5:$C$3004,F723,ENSAYOS!$Q$5:$Q$3004,"&gt;0",ENSAYOS!$G$5:$G$3004,N723)))</f>
        <v/>
      </c>
      <c r="V723" s="16" t="str">
        <f aca="false">IF(N(M723)=0,"",IF(COUNTIFS(ENSAYOS!$C$5:$C$3004,F723,ENSAYOS!$Q$5:$Q$3004,"&gt;0",ENSAYOS!$G$5:$G$3004,"&gt;="&amp;CONFIG!$B$27)=0,"",AVERAGEIFS(ENSAYOS!$Q$5:$Q$3004,ENSAYOS!$C$5:$C$3004,F723,ENSAYOS!$Q$5:$Q$3004,"&gt;0",ENSAYOS!$G$5:$G$3004,"&gt;="&amp;CONFIG!$B$27)))</f>
        <v/>
      </c>
      <c r="W723" s="18" t="str">
        <f aca="false">IF(AND(U723&lt;&gt;"",V723&lt;&gt;""),U723/V723,"")</f>
        <v/>
      </c>
      <c r="X723" s="18" t="str">
        <f aca="false">IF(U723="","",INDEX('CURVA EDAD'!$E$5:$E$32,MIN(28,MAX(1,N723))))</f>
        <v/>
      </c>
      <c r="Y723" s="16" t="str">
        <f aca="false">IF(V723&lt;&gt;"",V723,IF(U723="","",U723/X723))</f>
        <v/>
      </c>
      <c r="Z723" s="16" t="str">
        <f aca="false">IF(V723&lt;&gt;"",_xlfn.MINIFS(ENSAYOS!$Q$5:$Q$3004,ENSAYOS!$C$5:$C$3004,F723,ENSAYOS!$Q$5:$Q$3004,"&gt;0",ENSAYOS!$G$5:$G$3004,"&gt;="&amp;CONFIG!$B$27),IF(U723="","",_xlfn.MINIFS(ENSAYOS!$Q$5:$Q$3004,ENSAYOS!$C$5:$C$3004,F723,ENSAYOS!$Q$5:$Q$3004,"&gt;0",ENSAYOS!$G$5:$G$3004,N723)/X723))</f>
        <v/>
      </c>
      <c r="AA723" s="16" t="str">
        <f aca="false">IF(D723="","",IFERROR(1/(1/INDEX(CONFIG!$J$5:$J$14,MATCH(D723,CONFIG!$D$5:$D$14,0))),""))</f>
        <v/>
      </c>
      <c r="AB723" s="16" t="str">
        <f aca="false">IF(D723="","",IFERROR(1/(1/INDEX(CONFIG!$K$5:$K$14,MATCH(D723,CONFIG!$D$5:$D$14,0))),""))</f>
        <v/>
      </c>
      <c r="AC723" s="19" t="str">
        <f aca="false">IF(N(M723)=0,"",IF(AA723="","Sin spec",IF(AND(Y723&gt;=AA723,OR(AB723="",Z723&gt;=AB723)),"CUMPLE","NO CUMPLE")&amp;IF(V723=""," (est.)","")))</f>
        <v/>
      </c>
      <c r="AD723" s="20" t="str">
        <f aca="false">IF(F723="","",IF(COUNTIFS(ABSORCION!$C$5:$C$1004,F723,ABSORCION!$I$5:$I$1004,"&gt;0")=0,"",AVERAGEIFS(ABSORCION!$I$5:$I$1004,ABSORCION!$C$5:$C$1004,F723,ABSORCION!$I$5:$I$1004,"&gt;0")))</f>
        <v/>
      </c>
      <c r="AE723" s="20" t="str">
        <f aca="false">IF(F723="","",IF(COUNTIFS(ABSORCION!$C$5:$C$1004,F723,ABSORCION!$I$5:$I$1004,"&gt;0")=0,"",AVERAGEIFS(ABSORCION!$K$5:$K$1004,ABSORCION!$C$5:$C$1004,F723,ABSORCION!$I$5:$I$1004,"&gt;0")))</f>
        <v/>
      </c>
      <c r="AF723" s="20" t="str">
        <f aca="false">IF(AE723="","",IF(AE723&gt;=CONFIG!$E$21,CONFIG!$F$21,IF(AE723&gt;=CONFIG!$E$20,CONFIG!$F$20,CONFIG!$F$19)))</f>
        <v/>
      </c>
      <c r="AG723" s="21" t="str">
        <f aca="false">IF(F723="","",TRIM(IF(N(M723)=0,"Sin ensayos. ","")&amp;IF(AND(N(M723)&gt;0,N(M723)&lt;CONFIG!$B$26),"Menos de "&amp;CONFIG!$B$26&amp;" probetas. ","")&amp;IF(N(T723)&gt;CONFIG!$B$25,"CV alto. ","")&amp;IF(AND(N(AD723)&gt;0,N(AD723)&gt;N(AF723)),"Absorción alta. ","")))</f>
        <v/>
      </c>
      <c r="AH723" s="22" t="str">
        <f aca="false">IF(AND(N(M723)&gt;0,OR(CONTROL!$C$4="TODAS",C723=CONTROL!$C$4),D723=CONTROL!$C$5),MAX($AH$4:AH722)+1,"")</f>
        <v/>
      </c>
      <c r="AI723" s="22" t="str">
        <f aca="false">IF(AH723="","",P723^2)</f>
        <v/>
      </c>
    </row>
    <row r="724" customFormat="false" ht="15" hidden="false" customHeight="false" outlineLevel="0" collapsed="false">
      <c r="A724" s="11" t="str">
        <f aca="false">IF(B724="","",ROW()-4)</f>
        <v/>
      </c>
      <c r="B724" s="12"/>
      <c r="C724" s="13"/>
      <c r="D724" s="13"/>
      <c r="E724" s="13"/>
      <c r="F724" s="14" t="str">
        <f aca="false">IF(OR(B724="",C724="",D724=""),"",IFERROR(INDEX(CONFIG!$E$5:$E$14,MATCH(D724,CONFIG!$D$5:$D$14,0)),"?")&amp;RIGHT("0"&amp;DAY(B724),2)&amp;RIGHT("0"&amp;MONTH(B724),2)&amp;RIGHT(YEAR(B724),2)&amp;C724&amp;IF(E724="","","-"&amp;E724))</f>
        <v/>
      </c>
      <c r="G724" s="13"/>
      <c r="H724" s="13"/>
      <c r="I724" s="13"/>
      <c r="J724" s="13"/>
      <c r="K724" s="13"/>
      <c r="L724" s="13"/>
      <c r="M724" s="11" t="str">
        <f aca="false">IF(F724="","",COUNTIFS(ENSAYOS!$C$5:$C$3004,F724,ENSAYOS!$Q$5:$Q$3004,"&gt;0"))</f>
        <v/>
      </c>
      <c r="N724" s="15" t="str">
        <f aca="false">IF(N(M724)=0,"",_xlfn.MINIFS(ENSAYOS!$G$5:$G$3004,ENSAYOS!$C$5:$C$3004,F724,ENSAYOS!$Q$5:$Q$3004,"&gt;0"))</f>
        <v/>
      </c>
      <c r="O724" s="15" t="str">
        <f aca="false">IF(N(M724)=0,"",_xlfn.MAXIFS(ENSAYOS!$G$5:$G$3004,ENSAYOS!$C$5:$C$3004,F724,ENSAYOS!$Q$5:$Q$3004,"&gt;0"))</f>
        <v/>
      </c>
      <c r="P724" s="16" t="str">
        <f aca="false">IF(N(M724)=0,"",AVERAGEIFS(ENSAYOS!$Q$5:$Q$3004,ENSAYOS!$C$5:$C$3004,F724,ENSAYOS!$Q$5:$Q$3004,"&gt;0"))</f>
        <v/>
      </c>
      <c r="Q724" s="16" t="str">
        <f aca="false">IF(N(M724)=0,"",_xlfn.MINIFS(ENSAYOS!$Q$5:$Q$3004,ENSAYOS!$C$5:$C$3004,F724,ENSAYOS!$Q$5:$Q$3004,"&gt;0"))</f>
        <v/>
      </c>
      <c r="R724" s="16" t="str">
        <f aca="false">IF(N(M724)=0,"",_xlfn.MAXIFS(ENSAYOS!$Q$5:$Q$3004,ENSAYOS!$C$5:$C$3004,F724,ENSAYOS!$Q$5:$Q$3004,"&gt;0"))</f>
        <v/>
      </c>
      <c r="S724" s="16" t="str">
        <f aca="false">IF(N(M724)&lt;2,"",SQRT(MAX(0,(SUMIFS(ENSAYOS!$X$5:$X$3004,ENSAYOS!$C$5:$C$3004,F724,ENSAYOS!$Q$5:$Q$3004,"&gt;0")-M724*P724^2)/(M724-1))))</f>
        <v/>
      </c>
      <c r="T724" s="17" t="str">
        <f aca="false">IF(S724="","",S724/P724)</f>
        <v/>
      </c>
      <c r="U724" s="16" t="str">
        <f aca="false">IF(N(M724)=0,"",IF(N724&gt;=CONFIG!$B$27,"",AVERAGEIFS(ENSAYOS!$Q$5:$Q$3004,ENSAYOS!$C$5:$C$3004,F724,ENSAYOS!$Q$5:$Q$3004,"&gt;0",ENSAYOS!$G$5:$G$3004,N724)))</f>
        <v/>
      </c>
      <c r="V724" s="16" t="str">
        <f aca="false">IF(N(M724)=0,"",IF(COUNTIFS(ENSAYOS!$C$5:$C$3004,F724,ENSAYOS!$Q$5:$Q$3004,"&gt;0",ENSAYOS!$G$5:$G$3004,"&gt;="&amp;CONFIG!$B$27)=0,"",AVERAGEIFS(ENSAYOS!$Q$5:$Q$3004,ENSAYOS!$C$5:$C$3004,F724,ENSAYOS!$Q$5:$Q$3004,"&gt;0",ENSAYOS!$G$5:$G$3004,"&gt;="&amp;CONFIG!$B$27)))</f>
        <v/>
      </c>
      <c r="W724" s="18" t="str">
        <f aca="false">IF(AND(U724&lt;&gt;"",V724&lt;&gt;""),U724/V724,"")</f>
        <v/>
      </c>
      <c r="X724" s="18" t="str">
        <f aca="false">IF(U724="","",INDEX('CURVA EDAD'!$E$5:$E$32,MIN(28,MAX(1,N724))))</f>
        <v/>
      </c>
      <c r="Y724" s="16" t="str">
        <f aca="false">IF(V724&lt;&gt;"",V724,IF(U724="","",U724/X724))</f>
        <v/>
      </c>
      <c r="Z724" s="16" t="str">
        <f aca="false">IF(V724&lt;&gt;"",_xlfn.MINIFS(ENSAYOS!$Q$5:$Q$3004,ENSAYOS!$C$5:$C$3004,F724,ENSAYOS!$Q$5:$Q$3004,"&gt;0",ENSAYOS!$G$5:$G$3004,"&gt;="&amp;CONFIG!$B$27),IF(U724="","",_xlfn.MINIFS(ENSAYOS!$Q$5:$Q$3004,ENSAYOS!$C$5:$C$3004,F724,ENSAYOS!$Q$5:$Q$3004,"&gt;0",ENSAYOS!$G$5:$G$3004,N724)/X724))</f>
        <v/>
      </c>
      <c r="AA724" s="16" t="str">
        <f aca="false">IF(D724="","",IFERROR(1/(1/INDEX(CONFIG!$J$5:$J$14,MATCH(D724,CONFIG!$D$5:$D$14,0))),""))</f>
        <v/>
      </c>
      <c r="AB724" s="16" t="str">
        <f aca="false">IF(D724="","",IFERROR(1/(1/INDEX(CONFIG!$K$5:$K$14,MATCH(D724,CONFIG!$D$5:$D$14,0))),""))</f>
        <v/>
      </c>
      <c r="AC724" s="19" t="str">
        <f aca="false">IF(N(M724)=0,"",IF(AA724="","Sin spec",IF(AND(Y724&gt;=AA724,OR(AB724="",Z724&gt;=AB724)),"CUMPLE","NO CUMPLE")&amp;IF(V724=""," (est.)","")))</f>
        <v/>
      </c>
      <c r="AD724" s="20" t="str">
        <f aca="false">IF(F724="","",IF(COUNTIFS(ABSORCION!$C$5:$C$1004,F724,ABSORCION!$I$5:$I$1004,"&gt;0")=0,"",AVERAGEIFS(ABSORCION!$I$5:$I$1004,ABSORCION!$C$5:$C$1004,F724,ABSORCION!$I$5:$I$1004,"&gt;0")))</f>
        <v/>
      </c>
      <c r="AE724" s="20" t="str">
        <f aca="false">IF(F724="","",IF(COUNTIFS(ABSORCION!$C$5:$C$1004,F724,ABSORCION!$I$5:$I$1004,"&gt;0")=0,"",AVERAGEIFS(ABSORCION!$K$5:$K$1004,ABSORCION!$C$5:$C$1004,F724,ABSORCION!$I$5:$I$1004,"&gt;0")))</f>
        <v/>
      </c>
      <c r="AF724" s="20" t="str">
        <f aca="false">IF(AE724="","",IF(AE724&gt;=CONFIG!$E$21,CONFIG!$F$21,IF(AE724&gt;=CONFIG!$E$20,CONFIG!$F$20,CONFIG!$F$19)))</f>
        <v/>
      </c>
      <c r="AG724" s="21" t="str">
        <f aca="false">IF(F724="","",TRIM(IF(N(M724)=0,"Sin ensayos. ","")&amp;IF(AND(N(M724)&gt;0,N(M724)&lt;CONFIG!$B$26),"Menos de "&amp;CONFIG!$B$26&amp;" probetas. ","")&amp;IF(N(T724)&gt;CONFIG!$B$25,"CV alto. ","")&amp;IF(AND(N(AD724)&gt;0,N(AD724)&gt;N(AF724)),"Absorción alta. ","")))</f>
        <v/>
      </c>
      <c r="AH724" s="22" t="str">
        <f aca="false">IF(AND(N(M724)&gt;0,OR(CONTROL!$C$4="TODAS",C724=CONTROL!$C$4),D724=CONTROL!$C$5),MAX($AH$4:AH723)+1,"")</f>
        <v/>
      </c>
      <c r="AI724" s="22" t="str">
        <f aca="false">IF(AH724="","",P724^2)</f>
        <v/>
      </c>
    </row>
    <row r="725" customFormat="false" ht="15" hidden="false" customHeight="false" outlineLevel="0" collapsed="false">
      <c r="A725" s="11" t="str">
        <f aca="false">IF(B725="","",ROW()-4)</f>
        <v/>
      </c>
      <c r="B725" s="12"/>
      <c r="C725" s="13"/>
      <c r="D725" s="13"/>
      <c r="E725" s="13"/>
      <c r="F725" s="14" t="str">
        <f aca="false">IF(OR(B725="",C725="",D725=""),"",IFERROR(INDEX(CONFIG!$E$5:$E$14,MATCH(D725,CONFIG!$D$5:$D$14,0)),"?")&amp;RIGHT("0"&amp;DAY(B725),2)&amp;RIGHT("0"&amp;MONTH(B725),2)&amp;RIGHT(YEAR(B725),2)&amp;C725&amp;IF(E725="","","-"&amp;E725))</f>
        <v/>
      </c>
      <c r="G725" s="13"/>
      <c r="H725" s="13"/>
      <c r="I725" s="13"/>
      <c r="J725" s="13"/>
      <c r="K725" s="13"/>
      <c r="L725" s="13"/>
      <c r="M725" s="11" t="str">
        <f aca="false">IF(F725="","",COUNTIFS(ENSAYOS!$C$5:$C$3004,F725,ENSAYOS!$Q$5:$Q$3004,"&gt;0"))</f>
        <v/>
      </c>
      <c r="N725" s="15" t="str">
        <f aca="false">IF(N(M725)=0,"",_xlfn.MINIFS(ENSAYOS!$G$5:$G$3004,ENSAYOS!$C$5:$C$3004,F725,ENSAYOS!$Q$5:$Q$3004,"&gt;0"))</f>
        <v/>
      </c>
      <c r="O725" s="15" t="str">
        <f aca="false">IF(N(M725)=0,"",_xlfn.MAXIFS(ENSAYOS!$G$5:$G$3004,ENSAYOS!$C$5:$C$3004,F725,ENSAYOS!$Q$5:$Q$3004,"&gt;0"))</f>
        <v/>
      </c>
      <c r="P725" s="16" t="str">
        <f aca="false">IF(N(M725)=0,"",AVERAGEIFS(ENSAYOS!$Q$5:$Q$3004,ENSAYOS!$C$5:$C$3004,F725,ENSAYOS!$Q$5:$Q$3004,"&gt;0"))</f>
        <v/>
      </c>
      <c r="Q725" s="16" t="str">
        <f aca="false">IF(N(M725)=0,"",_xlfn.MINIFS(ENSAYOS!$Q$5:$Q$3004,ENSAYOS!$C$5:$C$3004,F725,ENSAYOS!$Q$5:$Q$3004,"&gt;0"))</f>
        <v/>
      </c>
      <c r="R725" s="16" t="str">
        <f aca="false">IF(N(M725)=0,"",_xlfn.MAXIFS(ENSAYOS!$Q$5:$Q$3004,ENSAYOS!$C$5:$C$3004,F725,ENSAYOS!$Q$5:$Q$3004,"&gt;0"))</f>
        <v/>
      </c>
      <c r="S725" s="16" t="str">
        <f aca="false">IF(N(M725)&lt;2,"",SQRT(MAX(0,(SUMIFS(ENSAYOS!$X$5:$X$3004,ENSAYOS!$C$5:$C$3004,F725,ENSAYOS!$Q$5:$Q$3004,"&gt;0")-M725*P725^2)/(M725-1))))</f>
        <v/>
      </c>
      <c r="T725" s="17" t="str">
        <f aca="false">IF(S725="","",S725/P725)</f>
        <v/>
      </c>
      <c r="U725" s="16" t="str">
        <f aca="false">IF(N(M725)=0,"",IF(N725&gt;=CONFIG!$B$27,"",AVERAGEIFS(ENSAYOS!$Q$5:$Q$3004,ENSAYOS!$C$5:$C$3004,F725,ENSAYOS!$Q$5:$Q$3004,"&gt;0",ENSAYOS!$G$5:$G$3004,N725)))</f>
        <v/>
      </c>
      <c r="V725" s="16" t="str">
        <f aca="false">IF(N(M725)=0,"",IF(COUNTIFS(ENSAYOS!$C$5:$C$3004,F725,ENSAYOS!$Q$5:$Q$3004,"&gt;0",ENSAYOS!$G$5:$G$3004,"&gt;="&amp;CONFIG!$B$27)=0,"",AVERAGEIFS(ENSAYOS!$Q$5:$Q$3004,ENSAYOS!$C$5:$C$3004,F725,ENSAYOS!$Q$5:$Q$3004,"&gt;0",ENSAYOS!$G$5:$G$3004,"&gt;="&amp;CONFIG!$B$27)))</f>
        <v/>
      </c>
      <c r="W725" s="18" t="str">
        <f aca="false">IF(AND(U725&lt;&gt;"",V725&lt;&gt;""),U725/V725,"")</f>
        <v/>
      </c>
      <c r="X725" s="18" t="str">
        <f aca="false">IF(U725="","",INDEX('CURVA EDAD'!$E$5:$E$32,MIN(28,MAX(1,N725))))</f>
        <v/>
      </c>
      <c r="Y725" s="16" t="str">
        <f aca="false">IF(V725&lt;&gt;"",V725,IF(U725="","",U725/X725))</f>
        <v/>
      </c>
      <c r="Z725" s="16" t="str">
        <f aca="false">IF(V725&lt;&gt;"",_xlfn.MINIFS(ENSAYOS!$Q$5:$Q$3004,ENSAYOS!$C$5:$C$3004,F725,ENSAYOS!$Q$5:$Q$3004,"&gt;0",ENSAYOS!$G$5:$G$3004,"&gt;="&amp;CONFIG!$B$27),IF(U725="","",_xlfn.MINIFS(ENSAYOS!$Q$5:$Q$3004,ENSAYOS!$C$5:$C$3004,F725,ENSAYOS!$Q$5:$Q$3004,"&gt;0",ENSAYOS!$G$5:$G$3004,N725)/X725))</f>
        <v/>
      </c>
      <c r="AA725" s="16" t="str">
        <f aca="false">IF(D725="","",IFERROR(1/(1/INDEX(CONFIG!$J$5:$J$14,MATCH(D725,CONFIG!$D$5:$D$14,0))),""))</f>
        <v/>
      </c>
      <c r="AB725" s="16" t="str">
        <f aca="false">IF(D725="","",IFERROR(1/(1/INDEX(CONFIG!$K$5:$K$14,MATCH(D725,CONFIG!$D$5:$D$14,0))),""))</f>
        <v/>
      </c>
      <c r="AC725" s="19" t="str">
        <f aca="false">IF(N(M725)=0,"",IF(AA725="","Sin spec",IF(AND(Y725&gt;=AA725,OR(AB725="",Z725&gt;=AB725)),"CUMPLE","NO CUMPLE")&amp;IF(V725=""," (est.)","")))</f>
        <v/>
      </c>
      <c r="AD725" s="20" t="str">
        <f aca="false">IF(F725="","",IF(COUNTIFS(ABSORCION!$C$5:$C$1004,F725,ABSORCION!$I$5:$I$1004,"&gt;0")=0,"",AVERAGEIFS(ABSORCION!$I$5:$I$1004,ABSORCION!$C$5:$C$1004,F725,ABSORCION!$I$5:$I$1004,"&gt;0")))</f>
        <v/>
      </c>
      <c r="AE725" s="20" t="str">
        <f aca="false">IF(F725="","",IF(COUNTIFS(ABSORCION!$C$5:$C$1004,F725,ABSORCION!$I$5:$I$1004,"&gt;0")=0,"",AVERAGEIFS(ABSORCION!$K$5:$K$1004,ABSORCION!$C$5:$C$1004,F725,ABSORCION!$I$5:$I$1004,"&gt;0")))</f>
        <v/>
      </c>
      <c r="AF725" s="20" t="str">
        <f aca="false">IF(AE725="","",IF(AE725&gt;=CONFIG!$E$21,CONFIG!$F$21,IF(AE725&gt;=CONFIG!$E$20,CONFIG!$F$20,CONFIG!$F$19)))</f>
        <v/>
      </c>
      <c r="AG725" s="21" t="str">
        <f aca="false">IF(F725="","",TRIM(IF(N(M725)=0,"Sin ensayos. ","")&amp;IF(AND(N(M725)&gt;0,N(M725)&lt;CONFIG!$B$26),"Menos de "&amp;CONFIG!$B$26&amp;" probetas. ","")&amp;IF(N(T725)&gt;CONFIG!$B$25,"CV alto. ","")&amp;IF(AND(N(AD725)&gt;0,N(AD725)&gt;N(AF725)),"Absorción alta. ","")))</f>
        <v/>
      </c>
      <c r="AH725" s="22" t="str">
        <f aca="false">IF(AND(N(M725)&gt;0,OR(CONTROL!$C$4="TODAS",C725=CONTROL!$C$4),D725=CONTROL!$C$5),MAX($AH$4:AH724)+1,"")</f>
        <v/>
      </c>
      <c r="AI725" s="22" t="str">
        <f aca="false">IF(AH725="","",P725^2)</f>
        <v/>
      </c>
    </row>
    <row r="726" customFormat="false" ht="15" hidden="false" customHeight="false" outlineLevel="0" collapsed="false">
      <c r="A726" s="11" t="str">
        <f aca="false">IF(B726="","",ROW()-4)</f>
        <v/>
      </c>
      <c r="B726" s="12"/>
      <c r="C726" s="13"/>
      <c r="D726" s="13"/>
      <c r="E726" s="13"/>
      <c r="F726" s="14" t="str">
        <f aca="false">IF(OR(B726="",C726="",D726=""),"",IFERROR(INDEX(CONFIG!$E$5:$E$14,MATCH(D726,CONFIG!$D$5:$D$14,0)),"?")&amp;RIGHT("0"&amp;DAY(B726),2)&amp;RIGHT("0"&amp;MONTH(B726),2)&amp;RIGHT(YEAR(B726),2)&amp;C726&amp;IF(E726="","","-"&amp;E726))</f>
        <v/>
      </c>
      <c r="G726" s="13"/>
      <c r="H726" s="13"/>
      <c r="I726" s="13"/>
      <c r="J726" s="13"/>
      <c r="K726" s="13"/>
      <c r="L726" s="13"/>
      <c r="M726" s="11" t="str">
        <f aca="false">IF(F726="","",COUNTIFS(ENSAYOS!$C$5:$C$3004,F726,ENSAYOS!$Q$5:$Q$3004,"&gt;0"))</f>
        <v/>
      </c>
      <c r="N726" s="15" t="str">
        <f aca="false">IF(N(M726)=0,"",_xlfn.MINIFS(ENSAYOS!$G$5:$G$3004,ENSAYOS!$C$5:$C$3004,F726,ENSAYOS!$Q$5:$Q$3004,"&gt;0"))</f>
        <v/>
      </c>
      <c r="O726" s="15" t="str">
        <f aca="false">IF(N(M726)=0,"",_xlfn.MAXIFS(ENSAYOS!$G$5:$G$3004,ENSAYOS!$C$5:$C$3004,F726,ENSAYOS!$Q$5:$Q$3004,"&gt;0"))</f>
        <v/>
      </c>
      <c r="P726" s="16" t="str">
        <f aca="false">IF(N(M726)=0,"",AVERAGEIFS(ENSAYOS!$Q$5:$Q$3004,ENSAYOS!$C$5:$C$3004,F726,ENSAYOS!$Q$5:$Q$3004,"&gt;0"))</f>
        <v/>
      </c>
      <c r="Q726" s="16" t="str">
        <f aca="false">IF(N(M726)=0,"",_xlfn.MINIFS(ENSAYOS!$Q$5:$Q$3004,ENSAYOS!$C$5:$C$3004,F726,ENSAYOS!$Q$5:$Q$3004,"&gt;0"))</f>
        <v/>
      </c>
      <c r="R726" s="16" t="str">
        <f aca="false">IF(N(M726)=0,"",_xlfn.MAXIFS(ENSAYOS!$Q$5:$Q$3004,ENSAYOS!$C$5:$C$3004,F726,ENSAYOS!$Q$5:$Q$3004,"&gt;0"))</f>
        <v/>
      </c>
      <c r="S726" s="16" t="str">
        <f aca="false">IF(N(M726)&lt;2,"",SQRT(MAX(0,(SUMIFS(ENSAYOS!$X$5:$X$3004,ENSAYOS!$C$5:$C$3004,F726,ENSAYOS!$Q$5:$Q$3004,"&gt;0")-M726*P726^2)/(M726-1))))</f>
        <v/>
      </c>
      <c r="T726" s="17" t="str">
        <f aca="false">IF(S726="","",S726/P726)</f>
        <v/>
      </c>
      <c r="U726" s="16" t="str">
        <f aca="false">IF(N(M726)=0,"",IF(N726&gt;=CONFIG!$B$27,"",AVERAGEIFS(ENSAYOS!$Q$5:$Q$3004,ENSAYOS!$C$5:$C$3004,F726,ENSAYOS!$Q$5:$Q$3004,"&gt;0",ENSAYOS!$G$5:$G$3004,N726)))</f>
        <v/>
      </c>
      <c r="V726" s="16" t="str">
        <f aca="false">IF(N(M726)=0,"",IF(COUNTIFS(ENSAYOS!$C$5:$C$3004,F726,ENSAYOS!$Q$5:$Q$3004,"&gt;0",ENSAYOS!$G$5:$G$3004,"&gt;="&amp;CONFIG!$B$27)=0,"",AVERAGEIFS(ENSAYOS!$Q$5:$Q$3004,ENSAYOS!$C$5:$C$3004,F726,ENSAYOS!$Q$5:$Q$3004,"&gt;0",ENSAYOS!$G$5:$G$3004,"&gt;="&amp;CONFIG!$B$27)))</f>
        <v/>
      </c>
      <c r="W726" s="18" t="str">
        <f aca="false">IF(AND(U726&lt;&gt;"",V726&lt;&gt;""),U726/V726,"")</f>
        <v/>
      </c>
      <c r="X726" s="18" t="str">
        <f aca="false">IF(U726="","",INDEX('CURVA EDAD'!$E$5:$E$32,MIN(28,MAX(1,N726))))</f>
        <v/>
      </c>
      <c r="Y726" s="16" t="str">
        <f aca="false">IF(V726&lt;&gt;"",V726,IF(U726="","",U726/X726))</f>
        <v/>
      </c>
      <c r="Z726" s="16" t="str">
        <f aca="false">IF(V726&lt;&gt;"",_xlfn.MINIFS(ENSAYOS!$Q$5:$Q$3004,ENSAYOS!$C$5:$C$3004,F726,ENSAYOS!$Q$5:$Q$3004,"&gt;0",ENSAYOS!$G$5:$G$3004,"&gt;="&amp;CONFIG!$B$27),IF(U726="","",_xlfn.MINIFS(ENSAYOS!$Q$5:$Q$3004,ENSAYOS!$C$5:$C$3004,F726,ENSAYOS!$Q$5:$Q$3004,"&gt;0",ENSAYOS!$G$5:$G$3004,N726)/X726))</f>
        <v/>
      </c>
      <c r="AA726" s="16" t="str">
        <f aca="false">IF(D726="","",IFERROR(1/(1/INDEX(CONFIG!$J$5:$J$14,MATCH(D726,CONFIG!$D$5:$D$14,0))),""))</f>
        <v/>
      </c>
      <c r="AB726" s="16" t="str">
        <f aca="false">IF(D726="","",IFERROR(1/(1/INDEX(CONFIG!$K$5:$K$14,MATCH(D726,CONFIG!$D$5:$D$14,0))),""))</f>
        <v/>
      </c>
      <c r="AC726" s="19" t="str">
        <f aca="false">IF(N(M726)=0,"",IF(AA726="","Sin spec",IF(AND(Y726&gt;=AA726,OR(AB726="",Z726&gt;=AB726)),"CUMPLE","NO CUMPLE")&amp;IF(V726=""," (est.)","")))</f>
        <v/>
      </c>
      <c r="AD726" s="20" t="str">
        <f aca="false">IF(F726="","",IF(COUNTIFS(ABSORCION!$C$5:$C$1004,F726,ABSORCION!$I$5:$I$1004,"&gt;0")=0,"",AVERAGEIFS(ABSORCION!$I$5:$I$1004,ABSORCION!$C$5:$C$1004,F726,ABSORCION!$I$5:$I$1004,"&gt;0")))</f>
        <v/>
      </c>
      <c r="AE726" s="20" t="str">
        <f aca="false">IF(F726="","",IF(COUNTIFS(ABSORCION!$C$5:$C$1004,F726,ABSORCION!$I$5:$I$1004,"&gt;0")=0,"",AVERAGEIFS(ABSORCION!$K$5:$K$1004,ABSORCION!$C$5:$C$1004,F726,ABSORCION!$I$5:$I$1004,"&gt;0")))</f>
        <v/>
      </c>
      <c r="AF726" s="20" t="str">
        <f aca="false">IF(AE726="","",IF(AE726&gt;=CONFIG!$E$21,CONFIG!$F$21,IF(AE726&gt;=CONFIG!$E$20,CONFIG!$F$20,CONFIG!$F$19)))</f>
        <v/>
      </c>
      <c r="AG726" s="21" t="str">
        <f aca="false">IF(F726="","",TRIM(IF(N(M726)=0,"Sin ensayos. ","")&amp;IF(AND(N(M726)&gt;0,N(M726)&lt;CONFIG!$B$26),"Menos de "&amp;CONFIG!$B$26&amp;" probetas. ","")&amp;IF(N(T726)&gt;CONFIG!$B$25,"CV alto. ","")&amp;IF(AND(N(AD726)&gt;0,N(AD726)&gt;N(AF726)),"Absorción alta. ","")))</f>
        <v/>
      </c>
      <c r="AH726" s="22" t="str">
        <f aca="false">IF(AND(N(M726)&gt;0,OR(CONTROL!$C$4="TODAS",C726=CONTROL!$C$4),D726=CONTROL!$C$5),MAX($AH$4:AH725)+1,"")</f>
        <v/>
      </c>
      <c r="AI726" s="22" t="str">
        <f aca="false">IF(AH726="","",P726^2)</f>
        <v/>
      </c>
    </row>
    <row r="727" customFormat="false" ht="15" hidden="false" customHeight="false" outlineLevel="0" collapsed="false">
      <c r="A727" s="11" t="str">
        <f aca="false">IF(B727="","",ROW()-4)</f>
        <v/>
      </c>
      <c r="B727" s="12"/>
      <c r="C727" s="13"/>
      <c r="D727" s="13"/>
      <c r="E727" s="13"/>
      <c r="F727" s="14" t="str">
        <f aca="false">IF(OR(B727="",C727="",D727=""),"",IFERROR(INDEX(CONFIG!$E$5:$E$14,MATCH(D727,CONFIG!$D$5:$D$14,0)),"?")&amp;RIGHT("0"&amp;DAY(B727),2)&amp;RIGHT("0"&amp;MONTH(B727),2)&amp;RIGHT(YEAR(B727),2)&amp;C727&amp;IF(E727="","","-"&amp;E727))</f>
        <v/>
      </c>
      <c r="G727" s="13"/>
      <c r="H727" s="13"/>
      <c r="I727" s="13"/>
      <c r="J727" s="13"/>
      <c r="K727" s="13"/>
      <c r="L727" s="13"/>
      <c r="M727" s="11" t="str">
        <f aca="false">IF(F727="","",COUNTIFS(ENSAYOS!$C$5:$C$3004,F727,ENSAYOS!$Q$5:$Q$3004,"&gt;0"))</f>
        <v/>
      </c>
      <c r="N727" s="15" t="str">
        <f aca="false">IF(N(M727)=0,"",_xlfn.MINIFS(ENSAYOS!$G$5:$G$3004,ENSAYOS!$C$5:$C$3004,F727,ENSAYOS!$Q$5:$Q$3004,"&gt;0"))</f>
        <v/>
      </c>
      <c r="O727" s="15" t="str">
        <f aca="false">IF(N(M727)=0,"",_xlfn.MAXIFS(ENSAYOS!$G$5:$G$3004,ENSAYOS!$C$5:$C$3004,F727,ENSAYOS!$Q$5:$Q$3004,"&gt;0"))</f>
        <v/>
      </c>
      <c r="P727" s="16" t="str">
        <f aca="false">IF(N(M727)=0,"",AVERAGEIFS(ENSAYOS!$Q$5:$Q$3004,ENSAYOS!$C$5:$C$3004,F727,ENSAYOS!$Q$5:$Q$3004,"&gt;0"))</f>
        <v/>
      </c>
      <c r="Q727" s="16" t="str">
        <f aca="false">IF(N(M727)=0,"",_xlfn.MINIFS(ENSAYOS!$Q$5:$Q$3004,ENSAYOS!$C$5:$C$3004,F727,ENSAYOS!$Q$5:$Q$3004,"&gt;0"))</f>
        <v/>
      </c>
      <c r="R727" s="16" t="str">
        <f aca="false">IF(N(M727)=0,"",_xlfn.MAXIFS(ENSAYOS!$Q$5:$Q$3004,ENSAYOS!$C$5:$C$3004,F727,ENSAYOS!$Q$5:$Q$3004,"&gt;0"))</f>
        <v/>
      </c>
      <c r="S727" s="16" t="str">
        <f aca="false">IF(N(M727)&lt;2,"",SQRT(MAX(0,(SUMIFS(ENSAYOS!$X$5:$X$3004,ENSAYOS!$C$5:$C$3004,F727,ENSAYOS!$Q$5:$Q$3004,"&gt;0")-M727*P727^2)/(M727-1))))</f>
        <v/>
      </c>
      <c r="T727" s="17" t="str">
        <f aca="false">IF(S727="","",S727/P727)</f>
        <v/>
      </c>
      <c r="U727" s="16" t="str">
        <f aca="false">IF(N(M727)=0,"",IF(N727&gt;=CONFIG!$B$27,"",AVERAGEIFS(ENSAYOS!$Q$5:$Q$3004,ENSAYOS!$C$5:$C$3004,F727,ENSAYOS!$Q$5:$Q$3004,"&gt;0",ENSAYOS!$G$5:$G$3004,N727)))</f>
        <v/>
      </c>
      <c r="V727" s="16" t="str">
        <f aca="false">IF(N(M727)=0,"",IF(COUNTIFS(ENSAYOS!$C$5:$C$3004,F727,ENSAYOS!$Q$5:$Q$3004,"&gt;0",ENSAYOS!$G$5:$G$3004,"&gt;="&amp;CONFIG!$B$27)=0,"",AVERAGEIFS(ENSAYOS!$Q$5:$Q$3004,ENSAYOS!$C$5:$C$3004,F727,ENSAYOS!$Q$5:$Q$3004,"&gt;0",ENSAYOS!$G$5:$G$3004,"&gt;="&amp;CONFIG!$B$27)))</f>
        <v/>
      </c>
      <c r="W727" s="18" t="str">
        <f aca="false">IF(AND(U727&lt;&gt;"",V727&lt;&gt;""),U727/V727,"")</f>
        <v/>
      </c>
      <c r="X727" s="18" t="str">
        <f aca="false">IF(U727="","",INDEX('CURVA EDAD'!$E$5:$E$32,MIN(28,MAX(1,N727))))</f>
        <v/>
      </c>
      <c r="Y727" s="16" t="str">
        <f aca="false">IF(V727&lt;&gt;"",V727,IF(U727="","",U727/X727))</f>
        <v/>
      </c>
      <c r="Z727" s="16" t="str">
        <f aca="false">IF(V727&lt;&gt;"",_xlfn.MINIFS(ENSAYOS!$Q$5:$Q$3004,ENSAYOS!$C$5:$C$3004,F727,ENSAYOS!$Q$5:$Q$3004,"&gt;0",ENSAYOS!$G$5:$G$3004,"&gt;="&amp;CONFIG!$B$27),IF(U727="","",_xlfn.MINIFS(ENSAYOS!$Q$5:$Q$3004,ENSAYOS!$C$5:$C$3004,F727,ENSAYOS!$Q$5:$Q$3004,"&gt;0",ENSAYOS!$G$5:$G$3004,N727)/X727))</f>
        <v/>
      </c>
      <c r="AA727" s="16" t="str">
        <f aca="false">IF(D727="","",IFERROR(1/(1/INDEX(CONFIG!$J$5:$J$14,MATCH(D727,CONFIG!$D$5:$D$14,0))),""))</f>
        <v/>
      </c>
      <c r="AB727" s="16" t="str">
        <f aca="false">IF(D727="","",IFERROR(1/(1/INDEX(CONFIG!$K$5:$K$14,MATCH(D727,CONFIG!$D$5:$D$14,0))),""))</f>
        <v/>
      </c>
      <c r="AC727" s="19" t="str">
        <f aca="false">IF(N(M727)=0,"",IF(AA727="","Sin spec",IF(AND(Y727&gt;=AA727,OR(AB727="",Z727&gt;=AB727)),"CUMPLE","NO CUMPLE")&amp;IF(V727=""," (est.)","")))</f>
        <v/>
      </c>
      <c r="AD727" s="20" t="str">
        <f aca="false">IF(F727="","",IF(COUNTIFS(ABSORCION!$C$5:$C$1004,F727,ABSORCION!$I$5:$I$1004,"&gt;0")=0,"",AVERAGEIFS(ABSORCION!$I$5:$I$1004,ABSORCION!$C$5:$C$1004,F727,ABSORCION!$I$5:$I$1004,"&gt;0")))</f>
        <v/>
      </c>
      <c r="AE727" s="20" t="str">
        <f aca="false">IF(F727="","",IF(COUNTIFS(ABSORCION!$C$5:$C$1004,F727,ABSORCION!$I$5:$I$1004,"&gt;0")=0,"",AVERAGEIFS(ABSORCION!$K$5:$K$1004,ABSORCION!$C$5:$C$1004,F727,ABSORCION!$I$5:$I$1004,"&gt;0")))</f>
        <v/>
      </c>
      <c r="AF727" s="20" t="str">
        <f aca="false">IF(AE727="","",IF(AE727&gt;=CONFIG!$E$21,CONFIG!$F$21,IF(AE727&gt;=CONFIG!$E$20,CONFIG!$F$20,CONFIG!$F$19)))</f>
        <v/>
      </c>
      <c r="AG727" s="21" t="str">
        <f aca="false">IF(F727="","",TRIM(IF(N(M727)=0,"Sin ensayos. ","")&amp;IF(AND(N(M727)&gt;0,N(M727)&lt;CONFIG!$B$26),"Menos de "&amp;CONFIG!$B$26&amp;" probetas. ","")&amp;IF(N(T727)&gt;CONFIG!$B$25,"CV alto. ","")&amp;IF(AND(N(AD727)&gt;0,N(AD727)&gt;N(AF727)),"Absorción alta. ","")))</f>
        <v/>
      </c>
      <c r="AH727" s="22" t="str">
        <f aca="false">IF(AND(N(M727)&gt;0,OR(CONTROL!$C$4="TODAS",C727=CONTROL!$C$4),D727=CONTROL!$C$5),MAX($AH$4:AH726)+1,"")</f>
        <v/>
      </c>
      <c r="AI727" s="22" t="str">
        <f aca="false">IF(AH727="","",P727^2)</f>
        <v/>
      </c>
    </row>
    <row r="728" customFormat="false" ht="15" hidden="false" customHeight="false" outlineLevel="0" collapsed="false">
      <c r="A728" s="11" t="str">
        <f aca="false">IF(B728="","",ROW()-4)</f>
        <v/>
      </c>
      <c r="B728" s="12"/>
      <c r="C728" s="13"/>
      <c r="D728" s="13"/>
      <c r="E728" s="13"/>
      <c r="F728" s="14" t="str">
        <f aca="false">IF(OR(B728="",C728="",D728=""),"",IFERROR(INDEX(CONFIG!$E$5:$E$14,MATCH(D728,CONFIG!$D$5:$D$14,0)),"?")&amp;RIGHT("0"&amp;DAY(B728),2)&amp;RIGHT("0"&amp;MONTH(B728),2)&amp;RIGHT(YEAR(B728),2)&amp;C728&amp;IF(E728="","","-"&amp;E728))</f>
        <v/>
      </c>
      <c r="G728" s="13"/>
      <c r="H728" s="13"/>
      <c r="I728" s="13"/>
      <c r="J728" s="13"/>
      <c r="K728" s="13"/>
      <c r="L728" s="13"/>
      <c r="M728" s="11" t="str">
        <f aca="false">IF(F728="","",COUNTIFS(ENSAYOS!$C$5:$C$3004,F728,ENSAYOS!$Q$5:$Q$3004,"&gt;0"))</f>
        <v/>
      </c>
      <c r="N728" s="15" t="str">
        <f aca="false">IF(N(M728)=0,"",_xlfn.MINIFS(ENSAYOS!$G$5:$G$3004,ENSAYOS!$C$5:$C$3004,F728,ENSAYOS!$Q$5:$Q$3004,"&gt;0"))</f>
        <v/>
      </c>
      <c r="O728" s="15" t="str">
        <f aca="false">IF(N(M728)=0,"",_xlfn.MAXIFS(ENSAYOS!$G$5:$G$3004,ENSAYOS!$C$5:$C$3004,F728,ENSAYOS!$Q$5:$Q$3004,"&gt;0"))</f>
        <v/>
      </c>
      <c r="P728" s="16" t="str">
        <f aca="false">IF(N(M728)=0,"",AVERAGEIFS(ENSAYOS!$Q$5:$Q$3004,ENSAYOS!$C$5:$C$3004,F728,ENSAYOS!$Q$5:$Q$3004,"&gt;0"))</f>
        <v/>
      </c>
      <c r="Q728" s="16" t="str">
        <f aca="false">IF(N(M728)=0,"",_xlfn.MINIFS(ENSAYOS!$Q$5:$Q$3004,ENSAYOS!$C$5:$C$3004,F728,ENSAYOS!$Q$5:$Q$3004,"&gt;0"))</f>
        <v/>
      </c>
      <c r="R728" s="16" t="str">
        <f aca="false">IF(N(M728)=0,"",_xlfn.MAXIFS(ENSAYOS!$Q$5:$Q$3004,ENSAYOS!$C$5:$C$3004,F728,ENSAYOS!$Q$5:$Q$3004,"&gt;0"))</f>
        <v/>
      </c>
      <c r="S728" s="16" t="str">
        <f aca="false">IF(N(M728)&lt;2,"",SQRT(MAX(0,(SUMIFS(ENSAYOS!$X$5:$X$3004,ENSAYOS!$C$5:$C$3004,F728,ENSAYOS!$Q$5:$Q$3004,"&gt;0")-M728*P728^2)/(M728-1))))</f>
        <v/>
      </c>
      <c r="T728" s="17" t="str">
        <f aca="false">IF(S728="","",S728/P728)</f>
        <v/>
      </c>
      <c r="U728" s="16" t="str">
        <f aca="false">IF(N(M728)=0,"",IF(N728&gt;=CONFIG!$B$27,"",AVERAGEIFS(ENSAYOS!$Q$5:$Q$3004,ENSAYOS!$C$5:$C$3004,F728,ENSAYOS!$Q$5:$Q$3004,"&gt;0",ENSAYOS!$G$5:$G$3004,N728)))</f>
        <v/>
      </c>
      <c r="V728" s="16" t="str">
        <f aca="false">IF(N(M728)=0,"",IF(COUNTIFS(ENSAYOS!$C$5:$C$3004,F728,ENSAYOS!$Q$5:$Q$3004,"&gt;0",ENSAYOS!$G$5:$G$3004,"&gt;="&amp;CONFIG!$B$27)=0,"",AVERAGEIFS(ENSAYOS!$Q$5:$Q$3004,ENSAYOS!$C$5:$C$3004,F728,ENSAYOS!$Q$5:$Q$3004,"&gt;0",ENSAYOS!$G$5:$G$3004,"&gt;="&amp;CONFIG!$B$27)))</f>
        <v/>
      </c>
      <c r="W728" s="18" t="str">
        <f aca="false">IF(AND(U728&lt;&gt;"",V728&lt;&gt;""),U728/V728,"")</f>
        <v/>
      </c>
      <c r="X728" s="18" t="str">
        <f aca="false">IF(U728="","",INDEX('CURVA EDAD'!$E$5:$E$32,MIN(28,MAX(1,N728))))</f>
        <v/>
      </c>
      <c r="Y728" s="16" t="str">
        <f aca="false">IF(V728&lt;&gt;"",V728,IF(U728="","",U728/X728))</f>
        <v/>
      </c>
      <c r="Z728" s="16" t="str">
        <f aca="false">IF(V728&lt;&gt;"",_xlfn.MINIFS(ENSAYOS!$Q$5:$Q$3004,ENSAYOS!$C$5:$C$3004,F728,ENSAYOS!$Q$5:$Q$3004,"&gt;0",ENSAYOS!$G$5:$G$3004,"&gt;="&amp;CONFIG!$B$27),IF(U728="","",_xlfn.MINIFS(ENSAYOS!$Q$5:$Q$3004,ENSAYOS!$C$5:$C$3004,F728,ENSAYOS!$Q$5:$Q$3004,"&gt;0",ENSAYOS!$G$5:$G$3004,N728)/X728))</f>
        <v/>
      </c>
      <c r="AA728" s="16" t="str">
        <f aca="false">IF(D728="","",IFERROR(1/(1/INDEX(CONFIG!$J$5:$J$14,MATCH(D728,CONFIG!$D$5:$D$14,0))),""))</f>
        <v/>
      </c>
      <c r="AB728" s="16" t="str">
        <f aca="false">IF(D728="","",IFERROR(1/(1/INDEX(CONFIG!$K$5:$K$14,MATCH(D728,CONFIG!$D$5:$D$14,0))),""))</f>
        <v/>
      </c>
      <c r="AC728" s="19" t="str">
        <f aca="false">IF(N(M728)=0,"",IF(AA728="","Sin spec",IF(AND(Y728&gt;=AA728,OR(AB728="",Z728&gt;=AB728)),"CUMPLE","NO CUMPLE")&amp;IF(V728=""," (est.)","")))</f>
        <v/>
      </c>
      <c r="AD728" s="20" t="str">
        <f aca="false">IF(F728="","",IF(COUNTIFS(ABSORCION!$C$5:$C$1004,F728,ABSORCION!$I$5:$I$1004,"&gt;0")=0,"",AVERAGEIFS(ABSORCION!$I$5:$I$1004,ABSORCION!$C$5:$C$1004,F728,ABSORCION!$I$5:$I$1004,"&gt;0")))</f>
        <v/>
      </c>
      <c r="AE728" s="20" t="str">
        <f aca="false">IF(F728="","",IF(COUNTIFS(ABSORCION!$C$5:$C$1004,F728,ABSORCION!$I$5:$I$1004,"&gt;0")=0,"",AVERAGEIFS(ABSORCION!$K$5:$K$1004,ABSORCION!$C$5:$C$1004,F728,ABSORCION!$I$5:$I$1004,"&gt;0")))</f>
        <v/>
      </c>
      <c r="AF728" s="20" t="str">
        <f aca="false">IF(AE728="","",IF(AE728&gt;=CONFIG!$E$21,CONFIG!$F$21,IF(AE728&gt;=CONFIG!$E$20,CONFIG!$F$20,CONFIG!$F$19)))</f>
        <v/>
      </c>
      <c r="AG728" s="21" t="str">
        <f aca="false">IF(F728="","",TRIM(IF(N(M728)=0,"Sin ensayos. ","")&amp;IF(AND(N(M728)&gt;0,N(M728)&lt;CONFIG!$B$26),"Menos de "&amp;CONFIG!$B$26&amp;" probetas. ","")&amp;IF(N(T728)&gt;CONFIG!$B$25,"CV alto. ","")&amp;IF(AND(N(AD728)&gt;0,N(AD728)&gt;N(AF728)),"Absorción alta. ","")))</f>
        <v/>
      </c>
      <c r="AH728" s="22" t="str">
        <f aca="false">IF(AND(N(M728)&gt;0,OR(CONTROL!$C$4="TODAS",C728=CONTROL!$C$4),D728=CONTROL!$C$5),MAX($AH$4:AH727)+1,"")</f>
        <v/>
      </c>
      <c r="AI728" s="22" t="str">
        <f aca="false">IF(AH728="","",P728^2)</f>
        <v/>
      </c>
    </row>
    <row r="729" customFormat="false" ht="15" hidden="false" customHeight="false" outlineLevel="0" collapsed="false">
      <c r="A729" s="11" t="str">
        <f aca="false">IF(B729="","",ROW()-4)</f>
        <v/>
      </c>
      <c r="B729" s="12"/>
      <c r="C729" s="13"/>
      <c r="D729" s="13"/>
      <c r="E729" s="13"/>
      <c r="F729" s="14" t="str">
        <f aca="false">IF(OR(B729="",C729="",D729=""),"",IFERROR(INDEX(CONFIG!$E$5:$E$14,MATCH(D729,CONFIG!$D$5:$D$14,0)),"?")&amp;RIGHT("0"&amp;DAY(B729),2)&amp;RIGHT("0"&amp;MONTH(B729),2)&amp;RIGHT(YEAR(B729),2)&amp;C729&amp;IF(E729="","","-"&amp;E729))</f>
        <v/>
      </c>
      <c r="G729" s="13"/>
      <c r="H729" s="13"/>
      <c r="I729" s="13"/>
      <c r="J729" s="13"/>
      <c r="K729" s="13"/>
      <c r="L729" s="13"/>
      <c r="M729" s="11" t="str">
        <f aca="false">IF(F729="","",COUNTIFS(ENSAYOS!$C$5:$C$3004,F729,ENSAYOS!$Q$5:$Q$3004,"&gt;0"))</f>
        <v/>
      </c>
      <c r="N729" s="15" t="str">
        <f aca="false">IF(N(M729)=0,"",_xlfn.MINIFS(ENSAYOS!$G$5:$G$3004,ENSAYOS!$C$5:$C$3004,F729,ENSAYOS!$Q$5:$Q$3004,"&gt;0"))</f>
        <v/>
      </c>
      <c r="O729" s="15" t="str">
        <f aca="false">IF(N(M729)=0,"",_xlfn.MAXIFS(ENSAYOS!$G$5:$G$3004,ENSAYOS!$C$5:$C$3004,F729,ENSAYOS!$Q$5:$Q$3004,"&gt;0"))</f>
        <v/>
      </c>
      <c r="P729" s="16" t="str">
        <f aca="false">IF(N(M729)=0,"",AVERAGEIFS(ENSAYOS!$Q$5:$Q$3004,ENSAYOS!$C$5:$C$3004,F729,ENSAYOS!$Q$5:$Q$3004,"&gt;0"))</f>
        <v/>
      </c>
      <c r="Q729" s="16" t="str">
        <f aca="false">IF(N(M729)=0,"",_xlfn.MINIFS(ENSAYOS!$Q$5:$Q$3004,ENSAYOS!$C$5:$C$3004,F729,ENSAYOS!$Q$5:$Q$3004,"&gt;0"))</f>
        <v/>
      </c>
      <c r="R729" s="16" t="str">
        <f aca="false">IF(N(M729)=0,"",_xlfn.MAXIFS(ENSAYOS!$Q$5:$Q$3004,ENSAYOS!$C$5:$C$3004,F729,ENSAYOS!$Q$5:$Q$3004,"&gt;0"))</f>
        <v/>
      </c>
      <c r="S729" s="16" t="str">
        <f aca="false">IF(N(M729)&lt;2,"",SQRT(MAX(0,(SUMIFS(ENSAYOS!$X$5:$X$3004,ENSAYOS!$C$5:$C$3004,F729,ENSAYOS!$Q$5:$Q$3004,"&gt;0")-M729*P729^2)/(M729-1))))</f>
        <v/>
      </c>
      <c r="T729" s="17" t="str">
        <f aca="false">IF(S729="","",S729/P729)</f>
        <v/>
      </c>
      <c r="U729" s="16" t="str">
        <f aca="false">IF(N(M729)=0,"",IF(N729&gt;=CONFIG!$B$27,"",AVERAGEIFS(ENSAYOS!$Q$5:$Q$3004,ENSAYOS!$C$5:$C$3004,F729,ENSAYOS!$Q$5:$Q$3004,"&gt;0",ENSAYOS!$G$5:$G$3004,N729)))</f>
        <v/>
      </c>
      <c r="V729" s="16" t="str">
        <f aca="false">IF(N(M729)=0,"",IF(COUNTIFS(ENSAYOS!$C$5:$C$3004,F729,ENSAYOS!$Q$5:$Q$3004,"&gt;0",ENSAYOS!$G$5:$G$3004,"&gt;="&amp;CONFIG!$B$27)=0,"",AVERAGEIFS(ENSAYOS!$Q$5:$Q$3004,ENSAYOS!$C$5:$C$3004,F729,ENSAYOS!$Q$5:$Q$3004,"&gt;0",ENSAYOS!$G$5:$G$3004,"&gt;="&amp;CONFIG!$B$27)))</f>
        <v/>
      </c>
      <c r="W729" s="18" t="str">
        <f aca="false">IF(AND(U729&lt;&gt;"",V729&lt;&gt;""),U729/V729,"")</f>
        <v/>
      </c>
      <c r="X729" s="18" t="str">
        <f aca="false">IF(U729="","",INDEX('CURVA EDAD'!$E$5:$E$32,MIN(28,MAX(1,N729))))</f>
        <v/>
      </c>
      <c r="Y729" s="16" t="str">
        <f aca="false">IF(V729&lt;&gt;"",V729,IF(U729="","",U729/X729))</f>
        <v/>
      </c>
      <c r="Z729" s="16" t="str">
        <f aca="false">IF(V729&lt;&gt;"",_xlfn.MINIFS(ENSAYOS!$Q$5:$Q$3004,ENSAYOS!$C$5:$C$3004,F729,ENSAYOS!$Q$5:$Q$3004,"&gt;0",ENSAYOS!$G$5:$G$3004,"&gt;="&amp;CONFIG!$B$27),IF(U729="","",_xlfn.MINIFS(ENSAYOS!$Q$5:$Q$3004,ENSAYOS!$C$5:$C$3004,F729,ENSAYOS!$Q$5:$Q$3004,"&gt;0",ENSAYOS!$G$5:$G$3004,N729)/X729))</f>
        <v/>
      </c>
      <c r="AA729" s="16" t="str">
        <f aca="false">IF(D729="","",IFERROR(1/(1/INDEX(CONFIG!$J$5:$J$14,MATCH(D729,CONFIG!$D$5:$D$14,0))),""))</f>
        <v/>
      </c>
      <c r="AB729" s="16" t="str">
        <f aca="false">IF(D729="","",IFERROR(1/(1/INDEX(CONFIG!$K$5:$K$14,MATCH(D729,CONFIG!$D$5:$D$14,0))),""))</f>
        <v/>
      </c>
      <c r="AC729" s="19" t="str">
        <f aca="false">IF(N(M729)=0,"",IF(AA729="","Sin spec",IF(AND(Y729&gt;=AA729,OR(AB729="",Z729&gt;=AB729)),"CUMPLE","NO CUMPLE")&amp;IF(V729=""," (est.)","")))</f>
        <v/>
      </c>
      <c r="AD729" s="20" t="str">
        <f aca="false">IF(F729="","",IF(COUNTIFS(ABSORCION!$C$5:$C$1004,F729,ABSORCION!$I$5:$I$1004,"&gt;0")=0,"",AVERAGEIFS(ABSORCION!$I$5:$I$1004,ABSORCION!$C$5:$C$1004,F729,ABSORCION!$I$5:$I$1004,"&gt;0")))</f>
        <v/>
      </c>
      <c r="AE729" s="20" t="str">
        <f aca="false">IF(F729="","",IF(COUNTIFS(ABSORCION!$C$5:$C$1004,F729,ABSORCION!$I$5:$I$1004,"&gt;0")=0,"",AVERAGEIFS(ABSORCION!$K$5:$K$1004,ABSORCION!$C$5:$C$1004,F729,ABSORCION!$I$5:$I$1004,"&gt;0")))</f>
        <v/>
      </c>
      <c r="AF729" s="20" t="str">
        <f aca="false">IF(AE729="","",IF(AE729&gt;=CONFIG!$E$21,CONFIG!$F$21,IF(AE729&gt;=CONFIG!$E$20,CONFIG!$F$20,CONFIG!$F$19)))</f>
        <v/>
      </c>
      <c r="AG729" s="21" t="str">
        <f aca="false">IF(F729="","",TRIM(IF(N(M729)=0,"Sin ensayos. ","")&amp;IF(AND(N(M729)&gt;0,N(M729)&lt;CONFIG!$B$26),"Menos de "&amp;CONFIG!$B$26&amp;" probetas. ","")&amp;IF(N(T729)&gt;CONFIG!$B$25,"CV alto. ","")&amp;IF(AND(N(AD729)&gt;0,N(AD729)&gt;N(AF729)),"Absorción alta. ","")))</f>
        <v/>
      </c>
      <c r="AH729" s="22" t="str">
        <f aca="false">IF(AND(N(M729)&gt;0,OR(CONTROL!$C$4="TODAS",C729=CONTROL!$C$4),D729=CONTROL!$C$5),MAX($AH$4:AH728)+1,"")</f>
        <v/>
      </c>
      <c r="AI729" s="22" t="str">
        <f aca="false">IF(AH729="","",P729^2)</f>
        <v/>
      </c>
    </row>
    <row r="730" customFormat="false" ht="15" hidden="false" customHeight="false" outlineLevel="0" collapsed="false">
      <c r="A730" s="11" t="str">
        <f aca="false">IF(B730="","",ROW()-4)</f>
        <v/>
      </c>
      <c r="B730" s="12"/>
      <c r="C730" s="13"/>
      <c r="D730" s="13"/>
      <c r="E730" s="13"/>
      <c r="F730" s="14" t="str">
        <f aca="false">IF(OR(B730="",C730="",D730=""),"",IFERROR(INDEX(CONFIG!$E$5:$E$14,MATCH(D730,CONFIG!$D$5:$D$14,0)),"?")&amp;RIGHT("0"&amp;DAY(B730),2)&amp;RIGHT("0"&amp;MONTH(B730),2)&amp;RIGHT(YEAR(B730),2)&amp;C730&amp;IF(E730="","","-"&amp;E730))</f>
        <v/>
      </c>
      <c r="G730" s="13"/>
      <c r="H730" s="13"/>
      <c r="I730" s="13"/>
      <c r="J730" s="13"/>
      <c r="K730" s="13"/>
      <c r="L730" s="13"/>
      <c r="M730" s="11" t="str">
        <f aca="false">IF(F730="","",COUNTIFS(ENSAYOS!$C$5:$C$3004,F730,ENSAYOS!$Q$5:$Q$3004,"&gt;0"))</f>
        <v/>
      </c>
      <c r="N730" s="15" t="str">
        <f aca="false">IF(N(M730)=0,"",_xlfn.MINIFS(ENSAYOS!$G$5:$G$3004,ENSAYOS!$C$5:$C$3004,F730,ENSAYOS!$Q$5:$Q$3004,"&gt;0"))</f>
        <v/>
      </c>
      <c r="O730" s="15" t="str">
        <f aca="false">IF(N(M730)=0,"",_xlfn.MAXIFS(ENSAYOS!$G$5:$G$3004,ENSAYOS!$C$5:$C$3004,F730,ENSAYOS!$Q$5:$Q$3004,"&gt;0"))</f>
        <v/>
      </c>
      <c r="P730" s="16" t="str">
        <f aca="false">IF(N(M730)=0,"",AVERAGEIFS(ENSAYOS!$Q$5:$Q$3004,ENSAYOS!$C$5:$C$3004,F730,ENSAYOS!$Q$5:$Q$3004,"&gt;0"))</f>
        <v/>
      </c>
      <c r="Q730" s="16" t="str">
        <f aca="false">IF(N(M730)=0,"",_xlfn.MINIFS(ENSAYOS!$Q$5:$Q$3004,ENSAYOS!$C$5:$C$3004,F730,ENSAYOS!$Q$5:$Q$3004,"&gt;0"))</f>
        <v/>
      </c>
      <c r="R730" s="16" t="str">
        <f aca="false">IF(N(M730)=0,"",_xlfn.MAXIFS(ENSAYOS!$Q$5:$Q$3004,ENSAYOS!$C$5:$C$3004,F730,ENSAYOS!$Q$5:$Q$3004,"&gt;0"))</f>
        <v/>
      </c>
      <c r="S730" s="16" t="str">
        <f aca="false">IF(N(M730)&lt;2,"",SQRT(MAX(0,(SUMIFS(ENSAYOS!$X$5:$X$3004,ENSAYOS!$C$5:$C$3004,F730,ENSAYOS!$Q$5:$Q$3004,"&gt;0")-M730*P730^2)/(M730-1))))</f>
        <v/>
      </c>
      <c r="T730" s="17" t="str">
        <f aca="false">IF(S730="","",S730/P730)</f>
        <v/>
      </c>
      <c r="U730" s="16" t="str">
        <f aca="false">IF(N(M730)=0,"",IF(N730&gt;=CONFIG!$B$27,"",AVERAGEIFS(ENSAYOS!$Q$5:$Q$3004,ENSAYOS!$C$5:$C$3004,F730,ENSAYOS!$Q$5:$Q$3004,"&gt;0",ENSAYOS!$G$5:$G$3004,N730)))</f>
        <v/>
      </c>
      <c r="V730" s="16" t="str">
        <f aca="false">IF(N(M730)=0,"",IF(COUNTIFS(ENSAYOS!$C$5:$C$3004,F730,ENSAYOS!$Q$5:$Q$3004,"&gt;0",ENSAYOS!$G$5:$G$3004,"&gt;="&amp;CONFIG!$B$27)=0,"",AVERAGEIFS(ENSAYOS!$Q$5:$Q$3004,ENSAYOS!$C$5:$C$3004,F730,ENSAYOS!$Q$5:$Q$3004,"&gt;0",ENSAYOS!$G$5:$G$3004,"&gt;="&amp;CONFIG!$B$27)))</f>
        <v/>
      </c>
      <c r="W730" s="18" t="str">
        <f aca="false">IF(AND(U730&lt;&gt;"",V730&lt;&gt;""),U730/V730,"")</f>
        <v/>
      </c>
      <c r="X730" s="18" t="str">
        <f aca="false">IF(U730="","",INDEX('CURVA EDAD'!$E$5:$E$32,MIN(28,MAX(1,N730))))</f>
        <v/>
      </c>
      <c r="Y730" s="16" t="str">
        <f aca="false">IF(V730&lt;&gt;"",V730,IF(U730="","",U730/X730))</f>
        <v/>
      </c>
      <c r="Z730" s="16" t="str">
        <f aca="false">IF(V730&lt;&gt;"",_xlfn.MINIFS(ENSAYOS!$Q$5:$Q$3004,ENSAYOS!$C$5:$C$3004,F730,ENSAYOS!$Q$5:$Q$3004,"&gt;0",ENSAYOS!$G$5:$G$3004,"&gt;="&amp;CONFIG!$B$27),IF(U730="","",_xlfn.MINIFS(ENSAYOS!$Q$5:$Q$3004,ENSAYOS!$C$5:$C$3004,F730,ENSAYOS!$Q$5:$Q$3004,"&gt;0",ENSAYOS!$G$5:$G$3004,N730)/X730))</f>
        <v/>
      </c>
      <c r="AA730" s="16" t="str">
        <f aca="false">IF(D730="","",IFERROR(1/(1/INDEX(CONFIG!$J$5:$J$14,MATCH(D730,CONFIG!$D$5:$D$14,0))),""))</f>
        <v/>
      </c>
      <c r="AB730" s="16" t="str">
        <f aca="false">IF(D730="","",IFERROR(1/(1/INDEX(CONFIG!$K$5:$K$14,MATCH(D730,CONFIG!$D$5:$D$14,0))),""))</f>
        <v/>
      </c>
      <c r="AC730" s="19" t="str">
        <f aca="false">IF(N(M730)=0,"",IF(AA730="","Sin spec",IF(AND(Y730&gt;=AA730,OR(AB730="",Z730&gt;=AB730)),"CUMPLE","NO CUMPLE")&amp;IF(V730=""," (est.)","")))</f>
        <v/>
      </c>
      <c r="AD730" s="20" t="str">
        <f aca="false">IF(F730="","",IF(COUNTIFS(ABSORCION!$C$5:$C$1004,F730,ABSORCION!$I$5:$I$1004,"&gt;0")=0,"",AVERAGEIFS(ABSORCION!$I$5:$I$1004,ABSORCION!$C$5:$C$1004,F730,ABSORCION!$I$5:$I$1004,"&gt;0")))</f>
        <v/>
      </c>
      <c r="AE730" s="20" t="str">
        <f aca="false">IF(F730="","",IF(COUNTIFS(ABSORCION!$C$5:$C$1004,F730,ABSORCION!$I$5:$I$1004,"&gt;0")=0,"",AVERAGEIFS(ABSORCION!$K$5:$K$1004,ABSORCION!$C$5:$C$1004,F730,ABSORCION!$I$5:$I$1004,"&gt;0")))</f>
        <v/>
      </c>
      <c r="AF730" s="20" t="str">
        <f aca="false">IF(AE730="","",IF(AE730&gt;=CONFIG!$E$21,CONFIG!$F$21,IF(AE730&gt;=CONFIG!$E$20,CONFIG!$F$20,CONFIG!$F$19)))</f>
        <v/>
      </c>
      <c r="AG730" s="21" t="str">
        <f aca="false">IF(F730="","",TRIM(IF(N(M730)=0,"Sin ensayos. ","")&amp;IF(AND(N(M730)&gt;0,N(M730)&lt;CONFIG!$B$26),"Menos de "&amp;CONFIG!$B$26&amp;" probetas. ","")&amp;IF(N(T730)&gt;CONFIG!$B$25,"CV alto. ","")&amp;IF(AND(N(AD730)&gt;0,N(AD730)&gt;N(AF730)),"Absorción alta. ","")))</f>
        <v/>
      </c>
      <c r="AH730" s="22" t="str">
        <f aca="false">IF(AND(N(M730)&gt;0,OR(CONTROL!$C$4="TODAS",C730=CONTROL!$C$4),D730=CONTROL!$C$5),MAX($AH$4:AH729)+1,"")</f>
        <v/>
      </c>
      <c r="AI730" s="22" t="str">
        <f aca="false">IF(AH730="","",P730^2)</f>
        <v/>
      </c>
    </row>
    <row r="731" customFormat="false" ht="15" hidden="false" customHeight="false" outlineLevel="0" collapsed="false">
      <c r="A731" s="11" t="str">
        <f aca="false">IF(B731="","",ROW()-4)</f>
        <v/>
      </c>
      <c r="B731" s="12"/>
      <c r="C731" s="13"/>
      <c r="D731" s="13"/>
      <c r="E731" s="13"/>
      <c r="F731" s="14" t="str">
        <f aca="false">IF(OR(B731="",C731="",D731=""),"",IFERROR(INDEX(CONFIG!$E$5:$E$14,MATCH(D731,CONFIG!$D$5:$D$14,0)),"?")&amp;RIGHT("0"&amp;DAY(B731),2)&amp;RIGHT("0"&amp;MONTH(B731),2)&amp;RIGHT(YEAR(B731),2)&amp;C731&amp;IF(E731="","","-"&amp;E731))</f>
        <v/>
      </c>
      <c r="G731" s="13"/>
      <c r="H731" s="13"/>
      <c r="I731" s="13"/>
      <c r="J731" s="13"/>
      <c r="K731" s="13"/>
      <c r="L731" s="13"/>
      <c r="M731" s="11" t="str">
        <f aca="false">IF(F731="","",COUNTIFS(ENSAYOS!$C$5:$C$3004,F731,ENSAYOS!$Q$5:$Q$3004,"&gt;0"))</f>
        <v/>
      </c>
      <c r="N731" s="15" t="str">
        <f aca="false">IF(N(M731)=0,"",_xlfn.MINIFS(ENSAYOS!$G$5:$G$3004,ENSAYOS!$C$5:$C$3004,F731,ENSAYOS!$Q$5:$Q$3004,"&gt;0"))</f>
        <v/>
      </c>
      <c r="O731" s="15" t="str">
        <f aca="false">IF(N(M731)=0,"",_xlfn.MAXIFS(ENSAYOS!$G$5:$G$3004,ENSAYOS!$C$5:$C$3004,F731,ENSAYOS!$Q$5:$Q$3004,"&gt;0"))</f>
        <v/>
      </c>
      <c r="P731" s="16" t="str">
        <f aca="false">IF(N(M731)=0,"",AVERAGEIFS(ENSAYOS!$Q$5:$Q$3004,ENSAYOS!$C$5:$C$3004,F731,ENSAYOS!$Q$5:$Q$3004,"&gt;0"))</f>
        <v/>
      </c>
      <c r="Q731" s="16" t="str">
        <f aca="false">IF(N(M731)=0,"",_xlfn.MINIFS(ENSAYOS!$Q$5:$Q$3004,ENSAYOS!$C$5:$C$3004,F731,ENSAYOS!$Q$5:$Q$3004,"&gt;0"))</f>
        <v/>
      </c>
      <c r="R731" s="16" t="str">
        <f aca="false">IF(N(M731)=0,"",_xlfn.MAXIFS(ENSAYOS!$Q$5:$Q$3004,ENSAYOS!$C$5:$C$3004,F731,ENSAYOS!$Q$5:$Q$3004,"&gt;0"))</f>
        <v/>
      </c>
      <c r="S731" s="16" t="str">
        <f aca="false">IF(N(M731)&lt;2,"",SQRT(MAX(0,(SUMIFS(ENSAYOS!$X$5:$X$3004,ENSAYOS!$C$5:$C$3004,F731,ENSAYOS!$Q$5:$Q$3004,"&gt;0")-M731*P731^2)/(M731-1))))</f>
        <v/>
      </c>
      <c r="T731" s="17" t="str">
        <f aca="false">IF(S731="","",S731/P731)</f>
        <v/>
      </c>
      <c r="U731" s="16" t="str">
        <f aca="false">IF(N(M731)=0,"",IF(N731&gt;=CONFIG!$B$27,"",AVERAGEIFS(ENSAYOS!$Q$5:$Q$3004,ENSAYOS!$C$5:$C$3004,F731,ENSAYOS!$Q$5:$Q$3004,"&gt;0",ENSAYOS!$G$5:$G$3004,N731)))</f>
        <v/>
      </c>
      <c r="V731" s="16" t="str">
        <f aca="false">IF(N(M731)=0,"",IF(COUNTIFS(ENSAYOS!$C$5:$C$3004,F731,ENSAYOS!$Q$5:$Q$3004,"&gt;0",ENSAYOS!$G$5:$G$3004,"&gt;="&amp;CONFIG!$B$27)=0,"",AVERAGEIFS(ENSAYOS!$Q$5:$Q$3004,ENSAYOS!$C$5:$C$3004,F731,ENSAYOS!$Q$5:$Q$3004,"&gt;0",ENSAYOS!$G$5:$G$3004,"&gt;="&amp;CONFIG!$B$27)))</f>
        <v/>
      </c>
      <c r="W731" s="18" t="str">
        <f aca="false">IF(AND(U731&lt;&gt;"",V731&lt;&gt;""),U731/V731,"")</f>
        <v/>
      </c>
      <c r="X731" s="18" t="str">
        <f aca="false">IF(U731="","",INDEX('CURVA EDAD'!$E$5:$E$32,MIN(28,MAX(1,N731))))</f>
        <v/>
      </c>
      <c r="Y731" s="16" t="str">
        <f aca="false">IF(V731&lt;&gt;"",V731,IF(U731="","",U731/X731))</f>
        <v/>
      </c>
      <c r="Z731" s="16" t="str">
        <f aca="false">IF(V731&lt;&gt;"",_xlfn.MINIFS(ENSAYOS!$Q$5:$Q$3004,ENSAYOS!$C$5:$C$3004,F731,ENSAYOS!$Q$5:$Q$3004,"&gt;0",ENSAYOS!$G$5:$G$3004,"&gt;="&amp;CONFIG!$B$27),IF(U731="","",_xlfn.MINIFS(ENSAYOS!$Q$5:$Q$3004,ENSAYOS!$C$5:$C$3004,F731,ENSAYOS!$Q$5:$Q$3004,"&gt;0",ENSAYOS!$G$5:$G$3004,N731)/X731))</f>
        <v/>
      </c>
      <c r="AA731" s="16" t="str">
        <f aca="false">IF(D731="","",IFERROR(1/(1/INDEX(CONFIG!$J$5:$J$14,MATCH(D731,CONFIG!$D$5:$D$14,0))),""))</f>
        <v/>
      </c>
      <c r="AB731" s="16" t="str">
        <f aca="false">IF(D731="","",IFERROR(1/(1/INDEX(CONFIG!$K$5:$K$14,MATCH(D731,CONFIG!$D$5:$D$14,0))),""))</f>
        <v/>
      </c>
      <c r="AC731" s="19" t="str">
        <f aca="false">IF(N(M731)=0,"",IF(AA731="","Sin spec",IF(AND(Y731&gt;=AA731,OR(AB731="",Z731&gt;=AB731)),"CUMPLE","NO CUMPLE")&amp;IF(V731=""," (est.)","")))</f>
        <v/>
      </c>
      <c r="AD731" s="20" t="str">
        <f aca="false">IF(F731="","",IF(COUNTIFS(ABSORCION!$C$5:$C$1004,F731,ABSORCION!$I$5:$I$1004,"&gt;0")=0,"",AVERAGEIFS(ABSORCION!$I$5:$I$1004,ABSORCION!$C$5:$C$1004,F731,ABSORCION!$I$5:$I$1004,"&gt;0")))</f>
        <v/>
      </c>
      <c r="AE731" s="20" t="str">
        <f aca="false">IF(F731="","",IF(COUNTIFS(ABSORCION!$C$5:$C$1004,F731,ABSORCION!$I$5:$I$1004,"&gt;0")=0,"",AVERAGEIFS(ABSORCION!$K$5:$K$1004,ABSORCION!$C$5:$C$1004,F731,ABSORCION!$I$5:$I$1004,"&gt;0")))</f>
        <v/>
      </c>
      <c r="AF731" s="20" t="str">
        <f aca="false">IF(AE731="","",IF(AE731&gt;=CONFIG!$E$21,CONFIG!$F$21,IF(AE731&gt;=CONFIG!$E$20,CONFIG!$F$20,CONFIG!$F$19)))</f>
        <v/>
      </c>
      <c r="AG731" s="21" t="str">
        <f aca="false">IF(F731="","",TRIM(IF(N(M731)=0,"Sin ensayos. ","")&amp;IF(AND(N(M731)&gt;0,N(M731)&lt;CONFIG!$B$26),"Menos de "&amp;CONFIG!$B$26&amp;" probetas. ","")&amp;IF(N(T731)&gt;CONFIG!$B$25,"CV alto. ","")&amp;IF(AND(N(AD731)&gt;0,N(AD731)&gt;N(AF731)),"Absorción alta. ","")))</f>
        <v/>
      </c>
      <c r="AH731" s="22" t="str">
        <f aca="false">IF(AND(N(M731)&gt;0,OR(CONTROL!$C$4="TODAS",C731=CONTROL!$C$4),D731=CONTROL!$C$5),MAX($AH$4:AH730)+1,"")</f>
        <v/>
      </c>
      <c r="AI731" s="22" t="str">
        <f aca="false">IF(AH731="","",P731^2)</f>
        <v/>
      </c>
    </row>
    <row r="732" customFormat="false" ht="15" hidden="false" customHeight="false" outlineLevel="0" collapsed="false">
      <c r="A732" s="11" t="str">
        <f aca="false">IF(B732="","",ROW()-4)</f>
        <v/>
      </c>
      <c r="B732" s="12"/>
      <c r="C732" s="13"/>
      <c r="D732" s="13"/>
      <c r="E732" s="13"/>
      <c r="F732" s="14" t="str">
        <f aca="false">IF(OR(B732="",C732="",D732=""),"",IFERROR(INDEX(CONFIG!$E$5:$E$14,MATCH(D732,CONFIG!$D$5:$D$14,0)),"?")&amp;RIGHT("0"&amp;DAY(B732),2)&amp;RIGHT("0"&amp;MONTH(B732),2)&amp;RIGHT(YEAR(B732),2)&amp;C732&amp;IF(E732="","","-"&amp;E732))</f>
        <v/>
      </c>
      <c r="G732" s="13"/>
      <c r="H732" s="13"/>
      <c r="I732" s="13"/>
      <c r="J732" s="13"/>
      <c r="K732" s="13"/>
      <c r="L732" s="13"/>
      <c r="M732" s="11" t="str">
        <f aca="false">IF(F732="","",COUNTIFS(ENSAYOS!$C$5:$C$3004,F732,ENSAYOS!$Q$5:$Q$3004,"&gt;0"))</f>
        <v/>
      </c>
      <c r="N732" s="15" t="str">
        <f aca="false">IF(N(M732)=0,"",_xlfn.MINIFS(ENSAYOS!$G$5:$G$3004,ENSAYOS!$C$5:$C$3004,F732,ENSAYOS!$Q$5:$Q$3004,"&gt;0"))</f>
        <v/>
      </c>
      <c r="O732" s="15" t="str">
        <f aca="false">IF(N(M732)=0,"",_xlfn.MAXIFS(ENSAYOS!$G$5:$G$3004,ENSAYOS!$C$5:$C$3004,F732,ENSAYOS!$Q$5:$Q$3004,"&gt;0"))</f>
        <v/>
      </c>
      <c r="P732" s="16" t="str">
        <f aca="false">IF(N(M732)=0,"",AVERAGEIFS(ENSAYOS!$Q$5:$Q$3004,ENSAYOS!$C$5:$C$3004,F732,ENSAYOS!$Q$5:$Q$3004,"&gt;0"))</f>
        <v/>
      </c>
      <c r="Q732" s="16" t="str">
        <f aca="false">IF(N(M732)=0,"",_xlfn.MINIFS(ENSAYOS!$Q$5:$Q$3004,ENSAYOS!$C$5:$C$3004,F732,ENSAYOS!$Q$5:$Q$3004,"&gt;0"))</f>
        <v/>
      </c>
      <c r="R732" s="16" t="str">
        <f aca="false">IF(N(M732)=0,"",_xlfn.MAXIFS(ENSAYOS!$Q$5:$Q$3004,ENSAYOS!$C$5:$C$3004,F732,ENSAYOS!$Q$5:$Q$3004,"&gt;0"))</f>
        <v/>
      </c>
      <c r="S732" s="16" t="str">
        <f aca="false">IF(N(M732)&lt;2,"",SQRT(MAX(0,(SUMIFS(ENSAYOS!$X$5:$X$3004,ENSAYOS!$C$5:$C$3004,F732,ENSAYOS!$Q$5:$Q$3004,"&gt;0")-M732*P732^2)/(M732-1))))</f>
        <v/>
      </c>
      <c r="T732" s="17" t="str">
        <f aca="false">IF(S732="","",S732/P732)</f>
        <v/>
      </c>
      <c r="U732" s="16" t="str">
        <f aca="false">IF(N(M732)=0,"",IF(N732&gt;=CONFIG!$B$27,"",AVERAGEIFS(ENSAYOS!$Q$5:$Q$3004,ENSAYOS!$C$5:$C$3004,F732,ENSAYOS!$Q$5:$Q$3004,"&gt;0",ENSAYOS!$G$5:$G$3004,N732)))</f>
        <v/>
      </c>
      <c r="V732" s="16" t="str">
        <f aca="false">IF(N(M732)=0,"",IF(COUNTIFS(ENSAYOS!$C$5:$C$3004,F732,ENSAYOS!$Q$5:$Q$3004,"&gt;0",ENSAYOS!$G$5:$G$3004,"&gt;="&amp;CONFIG!$B$27)=0,"",AVERAGEIFS(ENSAYOS!$Q$5:$Q$3004,ENSAYOS!$C$5:$C$3004,F732,ENSAYOS!$Q$5:$Q$3004,"&gt;0",ENSAYOS!$G$5:$G$3004,"&gt;="&amp;CONFIG!$B$27)))</f>
        <v/>
      </c>
      <c r="W732" s="18" t="str">
        <f aca="false">IF(AND(U732&lt;&gt;"",V732&lt;&gt;""),U732/V732,"")</f>
        <v/>
      </c>
      <c r="X732" s="18" t="str">
        <f aca="false">IF(U732="","",INDEX('CURVA EDAD'!$E$5:$E$32,MIN(28,MAX(1,N732))))</f>
        <v/>
      </c>
      <c r="Y732" s="16" t="str">
        <f aca="false">IF(V732&lt;&gt;"",V732,IF(U732="","",U732/X732))</f>
        <v/>
      </c>
      <c r="Z732" s="16" t="str">
        <f aca="false">IF(V732&lt;&gt;"",_xlfn.MINIFS(ENSAYOS!$Q$5:$Q$3004,ENSAYOS!$C$5:$C$3004,F732,ENSAYOS!$Q$5:$Q$3004,"&gt;0",ENSAYOS!$G$5:$G$3004,"&gt;="&amp;CONFIG!$B$27),IF(U732="","",_xlfn.MINIFS(ENSAYOS!$Q$5:$Q$3004,ENSAYOS!$C$5:$C$3004,F732,ENSAYOS!$Q$5:$Q$3004,"&gt;0",ENSAYOS!$G$5:$G$3004,N732)/X732))</f>
        <v/>
      </c>
      <c r="AA732" s="16" t="str">
        <f aca="false">IF(D732="","",IFERROR(1/(1/INDEX(CONFIG!$J$5:$J$14,MATCH(D732,CONFIG!$D$5:$D$14,0))),""))</f>
        <v/>
      </c>
      <c r="AB732" s="16" t="str">
        <f aca="false">IF(D732="","",IFERROR(1/(1/INDEX(CONFIG!$K$5:$K$14,MATCH(D732,CONFIG!$D$5:$D$14,0))),""))</f>
        <v/>
      </c>
      <c r="AC732" s="19" t="str">
        <f aca="false">IF(N(M732)=0,"",IF(AA732="","Sin spec",IF(AND(Y732&gt;=AA732,OR(AB732="",Z732&gt;=AB732)),"CUMPLE","NO CUMPLE")&amp;IF(V732=""," (est.)","")))</f>
        <v/>
      </c>
      <c r="AD732" s="20" t="str">
        <f aca="false">IF(F732="","",IF(COUNTIFS(ABSORCION!$C$5:$C$1004,F732,ABSORCION!$I$5:$I$1004,"&gt;0")=0,"",AVERAGEIFS(ABSORCION!$I$5:$I$1004,ABSORCION!$C$5:$C$1004,F732,ABSORCION!$I$5:$I$1004,"&gt;0")))</f>
        <v/>
      </c>
      <c r="AE732" s="20" t="str">
        <f aca="false">IF(F732="","",IF(COUNTIFS(ABSORCION!$C$5:$C$1004,F732,ABSORCION!$I$5:$I$1004,"&gt;0")=0,"",AVERAGEIFS(ABSORCION!$K$5:$K$1004,ABSORCION!$C$5:$C$1004,F732,ABSORCION!$I$5:$I$1004,"&gt;0")))</f>
        <v/>
      </c>
      <c r="AF732" s="20" t="str">
        <f aca="false">IF(AE732="","",IF(AE732&gt;=CONFIG!$E$21,CONFIG!$F$21,IF(AE732&gt;=CONFIG!$E$20,CONFIG!$F$20,CONFIG!$F$19)))</f>
        <v/>
      </c>
      <c r="AG732" s="21" t="str">
        <f aca="false">IF(F732="","",TRIM(IF(N(M732)=0,"Sin ensayos. ","")&amp;IF(AND(N(M732)&gt;0,N(M732)&lt;CONFIG!$B$26),"Menos de "&amp;CONFIG!$B$26&amp;" probetas. ","")&amp;IF(N(T732)&gt;CONFIG!$B$25,"CV alto. ","")&amp;IF(AND(N(AD732)&gt;0,N(AD732)&gt;N(AF732)),"Absorción alta. ","")))</f>
        <v/>
      </c>
      <c r="AH732" s="22" t="str">
        <f aca="false">IF(AND(N(M732)&gt;0,OR(CONTROL!$C$4="TODAS",C732=CONTROL!$C$4),D732=CONTROL!$C$5),MAX($AH$4:AH731)+1,"")</f>
        <v/>
      </c>
      <c r="AI732" s="22" t="str">
        <f aca="false">IF(AH732="","",P732^2)</f>
        <v/>
      </c>
    </row>
    <row r="733" customFormat="false" ht="15" hidden="false" customHeight="false" outlineLevel="0" collapsed="false">
      <c r="A733" s="11" t="str">
        <f aca="false">IF(B733="","",ROW()-4)</f>
        <v/>
      </c>
      <c r="B733" s="12"/>
      <c r="C733" s="13"/>
      <c r="D733" s="13"/>
      <c r="E733" s="13"/>
      <c r="F733" s="14" t="str">
        <f aca="false">IF(OR(B733="",C733="",D733=""),"",IFERROR(INDEX(CONFIG!$E$5:$E$14,MATCH(D733,CONFIG!$D$5:$D$14,0)),"?")&amp;RIGHT("0"&amp;DAY(B733),2)&amp;RIGHT("0"&amp;MONTH(B733),2)&amp;RIGHT(YEAR(B733),2)&amp;C733&amp;IF(E733="","","-"&amp;E733))</f>
        <v/>
      </c>
      <c r="G733" s="13"/>
      <c r="H733" s="13"/>
      <c r="I733" s="13"/>
      <c r="J733" s="13"/>
      <c r="K733" s="13"/>
      <c r="L733" s="13"/>
      <c r="M733" s="11" t="str">
        <f aca="false">IF(F733="","",COUNTIFS(ENSAYOS!$C$5:$C$3004,F733,ENSAYOS!$Q$5:$Q$3004,"&gt;0"))</f>
        <v/>
      </c>
      <c r="N733" s="15" t="str">
        <f aca="false">IF(N(M733)=0,"",_xlfn.MINIFS(ENSAYOS!$G$5:$G$3004,ENSAYOS!$C$5:$C$3004,F733,ENSAYOS!$Q$5:$Q$3004,"&gt;0"))</f>
        <v/>
      </c>
      <c r="O733" s="15" t="str">
        <f aca="false">IF(N(M733)=0,"",_xlfn.MAXIFS(ENSAYOS!$G$5:$G$3004,ENSAYOS!$C$5:$C$3004,F733,ENSAYOS!$Q$5:$Q$3004,"&gt;0"))</f>
        <v/>
      </c>
      <c r="P733" s="16" t="str">
        <f aca="false">IF(N(M733)=0,"",AVERAGEIFS(ENSAYOS!$Q$5:$Q$3004,ENSAYOS!$C$5:$C$3004,F733,ENSAYOS!$Q$5:$Q$3004,"&gt;0"))</f>
        <v/>
      </c>
      <c r="Q733" s="16" t="str">
        <f aca="false">IF(N(M733)=0,"",_xlfn.MINIFS(ENSAYOS!$Q$5:$Q$3004,ENSAYOS!$C$5:$C$3004,F733,ENSAYOS!$Q$5:$Q$3004,"&gt;0"))</f>
        <v/>
      </c>
      <c r="R733" s="16" t="str">
        <f aca="false">IF(N(M733)=0,"",_xlfn.MAXIFS(ENSAYOS!$Q$5:$Q$3004,ENSAYOS!$C$5:$C$3004,F733,ENSAYOS!$Q$5:$Q$3004,"&gt;0"))</f>
        <v/>
      </c>
      <c r="S733" s="16" t="str">
        <f aca="false">IF(N(M733)&lt;2,"",SQRT(MAX(0,(SUMIFS(ENSAYOS!$X$5:$X$3004,ENSAYOS!$C$5:$C$3004,F733,ENSAYOS!$Q$5:$Q$3004,"&gt;0")-M733*P733^2)/(M733-1))))</f>
        <v/>
      </c>
      <c r="T733" s="17" t="str">
        <f aca="false">IF(S733="","",S733/P733)</f>
        <v/>
      </c>
      <c r="U733" s="16" t="str">
        <f aca="false">IF(N(M733)=0,"",IF(N733&gt;=CONFIG!$B$27,"",AVERAGEIFS(ENSAYOS!$Q$5:$Q$3004,ENSAYOS!$C$5:$C$3004,F733,ENSAYOS!$Q$5:$Q$3004,"&gt;0",ENSAYOS!$G$5:$G$3004,N733)))</f>
        <v/>
      </c>
      <c r="V733" s="16" t="str">
        <f aca="false">IF(N(M733)=0,"",IF(COUNTIFS(ENSAYOS!$C$5:$C$3004,F733,ENSAYOS!$Q$5:$Q$3004,"&gt;0",ENSAYOS!$G$5:$G$3004,"&gt;="&amp;CONFIG!$B$27)=0,"",AVERAGEIFS(ENSAYOS!$Q$5:$Q$3004,ENSAYOS!$C$5:$C$3004,F733,ENSAYOS!$Q$5:$Q$3004,"&gt;0",ENSAYOS!$G$5:$G$3004,"&gt;="&amp;CONFIG!$B$27)))</f>
        <v/>
      </c>
      <c r="W733" s="18" t="str">
        <f aca="false">IF(AND(U733&lt;&gt;"",V733&lt;&gt;""),U733/V733,"")</f>
        <v/>
      </c>
      <c r="X733" s="18" t="str">
        <f aca="false">IF(U733="","",INDEX('CURVA EDAD'!$E$5:$E$32,MIN(28,MAX(1,N733))))</f>
        <v/>
      </c>
      <c r="Y733" s="16" t="str">
        <f aca="false">IF(V733&lt;&gt;"",V733,IF(U733="","",U733/X733))</f>
        <v/>
      </c>
      <c r="Z733" s="16" t="str">
        <f aca="false">IF(V733&lt;&gt;"",_xlfn.MINIFS(ENSAYOS!$Q$5:$Q$3004,ENSAYOS!$C$5:$C$3004,F733,ENSAYOS!$Q$5:$Q$3004,"&gt;0",ENSAYOS!$G$5:$G$3004,"&gt;="&amp;CONFIG!$B$27),IF(U733="","",_xlfn.MINIFS(ENSAYOS!$Q$5:$Q$3004,ENSAYOS!$C$5:$C$3004,F733,ENSAYOS!$Q$5:$Q$3004,"&gt;0",ENSAYOS!$G$5:$G$3004,N733)/X733))</f>
        <v/>
      </c>
      <c r="AA733" s="16" t="str">
        <f aca="false">IF(D733="","",IFERROR(1/(1/INDEX(CONFIG!$J$5:$J$14,MATCH(D733,CONFIG!$D$5:$D$14,0))),""))</f>
        <v/>
      </c>
      <c r="AB733" s="16" t="str">
        <f aca="false">IF(D733="","",IFERROR(1/(1/INDEX(CONFIG!$K$5:$K$14,MATCH(D733,CONFIG!$D$5:$D$14,0))),""))</f>
        <v/>
      </c>
      <c r="AC733" s="19" t="str">
        <f aca="false">IF(N(M733)=0,"",IF(AA733="","Sin spec",IF(AND(Y733&gt;=AA733,OR(AB733="",Z733&gt;=AB733)),"CUMPLE","NO CUMPLE")&amp;IF(V733=""," (est.)","")))</f>
        <v/>
      </c>
      <c r="AD733" s="20" t="str">
        <f aca="false">IF(F733="","",IF(COUNTIFS(ABSORCION!$C$5:$C$1004,F733,ABSORCION!$I$5:$I$1004,"&gt;0")=0,"",AVERAGEIFS(ABSORCION!$I$5:$I$1004,ABSORCION!$C$5:$C$1004,F733,ABSORCION!$I$5:$I$1004,"&gt;0")))</f>
        <v/>
      </c>
      <c r="AE733" s="20" t="str">
        <f aca="false">IF(F733="","",IF(COUNTIFS(ABSORCION!$C$5:$C$1004,F733,ABSORCION!$I$5:$I$1004,"&gt;0")=0,"",AVERAGEIFS(ABSORCION!$K$5:$K$1004,ABSORCION!$C$5:$C$1004,F733,ABSORCION!$I$5:$I$1004,"&gt;0")))</f>
        <v/>
      </c>
      <c r="AF733" s="20" t="str">
        <f aca="false">IF(AE733="","",IF(AE733&gt;=CONFIG!$E$21,CONFIG!$F$21,IF(AE733&gt;=CONFIG!$E$20,CONFIG!$F$20,CONFIG!$F$19)))</f>
        <v/>
      </c>
      <c r="AG733" s="21" t="str">
        <f aca="false">IF(F733="","",TRIM(IF(N(M733)=0,"Sin ensayos. ","")&amp;IF(AND(N(M733)&gt;0,N(M733)&lt;CONFIG!$B$26),"Menos de "&amp;CONFIG!$B$26&amp;" probetas. ","")&amp;IF(N(T733)&gt;CONFIG!$B$25,"CV alto. ","")&amp;IF(AND(N(AD733)&gt;0,N(AD733)&gt;N(AF733)),"Absorción alta. ","")))</f>
        <v/>
      </c>
      <c r="AH733" s="22" t="str">
        <f aca="false">IF(AND(N(M733)&gt;0,OR(CONTROL!$C$4="TODAS",C733=CONTROL!$C$4),D733=CONTROL!$C$5),MAX($AH$4:AH732)+1,"")</f>
        <v/>
      </c>
      <c r="AI733" s="22" t="str">
        <f aca="false">IF(AH733="","",P733^2)</f>
        <v/>
      </c>
    </row>
    <row r="734" customFormat="false" ht="15" hidden="false" customHeight="false" outlineLevel="0" collapsed="false">
      <c r="A734" s="11" t="str">
        <f aca="false">IF(B734="","",ROW()-4)</f>
        <v/>
      </c>
      <c r="B734" s="12"/>
      <c r="C734" s="13"/>
      <c r="D734" s="13"/>
      <c r="E734" s="13"/>
      <c r="F734" s="14" t="str">
        <f aca="false">IF(OR(B734="",C734="",D734=""),"",IFERROR(INDEX(CONFIG!$E$5:$E$14,MATCH(D734,CONFIG!$D$5:$D$14,0)),"?")&amp;RIGHT("0"&amp;DAY(B734),2)&amp;RIGHT("0"&amp;MONTH(B734),2)&amp;RIGHT(YEAR(B734),2)&amp;C734&amp;IF(E734="","","-"&amp;E734))</f>
        <v/>
      </c>
      <c r="G734" s="13"/>
      <c r="H734" s="13"/>
      <c r="I734" s="13"/>
      <c r="J734" s="13"/>
      <c r="K734" s="13"/>
      <c r="L734" s="13"/>
      <c r="M734" s="11" t="str">
        <f aca="false">IF(F734="","",COUNTIFS(ENSAYOS!$C$5:$C$3004,F734,ENSAYOS!$Q$5:$Q$3004,"&gt;0"))</f>
        <v/>
      </c>
      <c r="N734" s="15" t="str">
        <f aca="false">IF(N(M734)=0,"",_xlfn.MINIFS(ENSAYOS!$G$5:$G$3004,ENSAYOS!$C$5:$C$3004,F734,ENSAYOS!$Q$5:$Q$3004,"&gt;0"))</f>
        <v/>
      </c>
      <c r="O734" s="15" t="str">
        <f aca="false">IF(N(M734)=0,"",_xlfn.MAXIFS(ENSAYOS!$G$5:$G$3004,ENSAYOS!$C$5:$C$3004,F734,ENSAYOS!$Q$5:$Q$3004,"&gt;0"))</f>
        <v/>
      </c>
      <c r="P734" s="16" t="str">
        <f aca="false">IF(N(M734)=0,"",AVERAGEIFS(ENSAYOS!$Q$5:$Q$3004,ENSAYOS!$C$5:$C$3004,F734,ENSAYOS!$Q$5:$Q$3004,"&gt;0"))</f>
        <v/>
      </c>
      <c r="Q734" s="16" t="str">
        <f aca="false">IF(N(M734)=0,"",_xlfn.MINIFS(ENSAYOS!$Q$5:$Q$3004,ENSAYOS!$C$5:$C$3004,F734,ENSAYOS!$Q$5:$Q$3004,"&gt;0"))</f>
        <v/>
      </c>
      <c r="R734" s="16" t="str">
        <f aca="false">IF(N(M734)=0,"",_xlfn.MAXIFS(ENSAYOS!$Q$5:$Q$3004,ENSAYOS!$C$5:$C$3004,F734,ENSAYOS!$Q$5:$Q$3004,"&gt;0"))</f>
        <v/>
      </c>
      <c r="S734" s="16" t="str">
        <f aca="false">IF(N(M734)&lt;2,"",SQRT(MAX(0,(SUMIFS(ENSAYOS!$X$5:$X$3004,ENSAYOS!$C$5:$C$3004,F734,ENSAYOS!$Q$5:$Q$3004,"&gt;0")-M734*P734^2)/(M734-1))))</f>
        <v/>
      </c>
      <c r="T734" s="17" t="str">
        <f aca="false">IF(S734="","",S734/P734)</f>
        <v/>
      </c>
      <c r="U734" s="16" t="str">
        <f aca="false">IF(N(M734)=0,"",IF(N734&gt;=CONFIG!$B$27,"",AVERAGEIFS(ENSAYOS!$Q$5:$Q$3004,ENSAYOS!$C$5:$C$3004,F734,ENSAYOS!$Q$5:$Q$3004,"&gt;0",ENSAYOS!$G$5:$G$3004,N734)))</f>
        <v/>
      </c>
      <c r="V734" s="16" t="str">
        <f aca="false">IF(N(M734)=0,"",IF(COUNTIFS(ENSAYOS!$C$5:$C$3004,F734,ENSAYOS!$Q$5:$Q$3004,"&gt;0",ENSAYOS!$G$5:$G$3004,"&gt;="&amp;CONFIG!$B$27)=0,"",AVERAGEIFS(ENSAYOS!$Q$5:$Q$3004,ENSAYOS!$C$5:$C$3004,F734,ENSAYOS!$Q$5:$Q$3004,"&gt;0",ENSAYOS!$G$5:$G$3004,"&gt;="&amp;CONFIG!$B$27)))</f>
        <v/>
      </c>
      <c r="W734" s="18" t="str">
        <f aca="false">IF(AND(U734&lt;&gt;"",V734&lt;&gt;""),U734/V734,"")</f>
        <v/>
      </c>
      <c r="X734" s="18" t="str">
        <f aca="false">IF(U734="","",INDEX('CURVA EDAD'!$E$5:$E$32,MIN(28,MAX(1,N734))))</f>
        <v/>
      </c>
      <c r="Y734" s="16" t="str">
        <f aca="false">IF(V734&lt;&gt;"",V734,IF(U734="","",U734/X734))</f>
        <v/>
      </c>
      <c r="Z734" s="16" t="str">
        <f aca="false">IF(V734&lt;&gt;"",_xlfn.MINIFS(ENSAYOS!$Q$5:$Q$3004,ENSAYOS!$C$5:$C$3004,F734,ENSAYOS!$Q$5:$Q$3004,"&gt;0",ENSAYOS!$G$5:$G$3004,"&gt;="&amp;CONFIG!$B$27),IF(U734="","",_xlfn.MINIFS(ENSAYOS!$Q$5:$Q$3004,ENSAYOS!$C$5:$C$3004,F734,ENSAYOS!$Q$5:$Q$3004,"&gt;0",ENSAYOS!$G$5:$G$3004,N734)/X734))</f>
        <v/>
      </c>
      <c r="AA734" s="16" t="str">
        <f aca="false">IF(D734="","",IFERROR(1/(1/INDEX(CONFIG!$J$5:$J$14,MATCH(D734,CONFIG!$D$5:$D$14,0))),""))</f>
        <v/>
      </c>
      <c r="AB734" s="16" t="str">
        <f aca="false">IF(D734="","",IFERROR(1/(1/INDEX(CONFIG!$K$5:$K$14,MATCH(D734,CONFIG!$D$5:$D$14,0))),""))</f>
        <v/>
      </c>
      <c r="AC734" s="19" t="str">
        <f aca="false">IF(N(M734)=0,"",IF(AA734="","Sin spec",IF(AND(Y734&gt;=AA734,OR(AB734="",Z734&gt;=AB734)),"CUMPLE","NO CUMPLE")&amp;IF(V734=""," (est.)","")))</f>
        <v/>
      </c>
      <c r="AD734" s="20" t="str">
        <f aca="false">IF(F734="","",IF(COUNTIFS(ABSORCION!$C$5:$C$1004,F734,ABSORCION!$I$5:$I$1004,"&gt;0")=0,"",AVERAGEIFS(ABSORCION!$I$5:$I$1004,ABSORCION!$C$5:$C$1004,F734,ABSORCION!$I$5:$I$1004,"&gt;0")))</f>
        <v/>
      </c>
      <c r="AE734" s="20" t="str">
        <f aca="false">IF(F734="","",IF(COUNTIFS(ABSORCION!$C$5:$C$1004,F734,ABSORCION!$I$5:$I$1004,"&gt;0")=0,"",AVERAGEIFS(ABSORCION!$K$5:$K$1004,ABSORCION!$C$5:$C$1004,F734,ABSORCION!$I$5:$I$1004,"&gt;0")))</f>
        <v/>
      </c>
      <c r="AF734" s="20" t="str">
        <f aca="false">IF(AE734="","",IF(AE734&gt;=CONFIG!$E$21,CONFIG!$F$21,IF(AE734&gt;=CONFIG!$E$20,CONFIG!$F$20,CONFIG!$F$19)))</f>
        <v/>
      </c>
      <c r="AG734" s="21" t="str">
        <f aca="false">IF(F734="","",TRIM(IF(N(M734)=0,"Sin ensayos. ","")&amp;IF(AND(N(M734)&gt;0,N(M734)&lt;CONFIG!$B$26),"Menos de "&amp;CONFIG!$B$26&amp;" probetas. ","")&amp;IF(N(T734)&gt;CONFIG!$B$25,"CV alto. ","")&amp;IF(AND(N(AD734)&gt;0,N(AD734)&gt;N(AF734)),"Absorción alta. ","")))</f>
        <v/>
      </c>
      <c r="AH734" s="22" t="str">
        <f aca="false">IF(AND(N(M734)&gt;0,OR(CONTROL!$C$4="TODAS",C734=CONTROL!$C$4),D734=CONTROL!$C$5),MAX($AH$4:AH733)+1,"")</f>
        <v/>
      </c>
      <c r="AI734" s="22" t="str">
        <f aca="false">IF(AH734="","",P734^2)</f>
        <v/>
      </c>
    </row>
    <row r="735" customFormat="false" ht="15" hidden="false" customHeight="false" outlineLevel="0" collapsed="false">
      <c r="A735" s="11" t="str">
        <f aca="false">IF(B735="","",ROW()-4)</f>
        <v/>
      </c>
      <c r="B735" s="12"/>
      <c r="C735" s="13"/>
      <c r="D735" s="13"/>
      <c r="E735" s="13"/>
      <c r="F735" s="14" t="str">
        <f aca="false">IF(OR(B735="",C735="",D735=""),"",IFERROR(INDEX(CONFIG!$E$5:$E$14,MATCH(D735,CONFIG!$D$5:$D$14,0)),"?")&amp;RIGHT("0"&amp;DAY(B735),2)&amp;RIGHT("0"&amp;MONTH(B735),2)&amp;RIGHT(YEAR(B735),2)&amp;C735&amp;IF(E735="","","-"&amp;E735))</f>
        <v/>
      </c>
      <c r="G735" s="13"/>
      <c r="H735" s="13"/>
      <c r="I735" s="13"/>
      <c r="J735" s="13"/>
      <c r="K735" s="13"/>
      <c r="L735" s="13"/>
      <c r="M735" s="11" t="str">
        <f aca="false">IF(F735="","",COUNTIFS(ENSAYOS!$C$5:$C$3004,F735,ENSAYOS!$Q$5:$Q$3004,"&gt;0"))</f>
        <v/>
      </c>
      <c r="N735" s="15" t="str">
        <f aca="false">IF(N(M735)=0,"",_xlfn.MINIFS(ENSAYOS!$G$5:$G$3004,ENSAYOS!$C$5:$C$3004,F735,ENSAYOS!$Q$5:$Q$3004,"&gt;0"))</f>
        <v/>
      </c>
      <c r="O735" s="15" t="str">
        <f aca="false">IF(N(M735)=0,"",_xlfn.MAXIFS(ENSAYOS!$G$5:$G$3004,ENSAYOS!$C$5:$C$3004,F735,ENSAYOS!$Q$5:$Q$3004,"&gt;0"))</f>
        <v/>
      </c>
      <c r="P735" s="16" t="str">
        <f aca="false">IF(N(M735)=0,"",AVERAGEIFS(ENSAYOS!$Q$5:$Q$3004,ENSAYOS!$C$5:$C$3004,F735,ENSAYOS!$Q$5:$Q$3004,"&gt;0"))</f>
        <v/>
      </c>
      <c r="Q735" s="16" t="str">
        <f aca="false">IF(N(M735)=0,"",_xlfn.MINIFS(ENSAYOS!$Q$5:$Q$3004,ENSAYOS!$C$5:$C$3004,F735,ENSAYOS!$Q$5:$Q$3004,"&gt;0"))</f>
        <v/>
      </c>
      <c r="R735" s="16" t="str">
        <f aca="false">IF(N(M735)=0,"",_xlfn.MAXIFS(ENSAYOS!$Q$5:$Q$3004,ENSAYOS!$C$5:$C$3004,F735,ENSAYOS!$Q$5:$Q$3004,"&gt;0"))</f>
        <v/>
      </c>
      <c r="S735" s="16" t="str">
        <f aca="false">IF(N(M735)&lt;2,"",SQRT(MAX(0,(SUMIFS(ENSAYOS!$X$5:$X$3004,ENSAYOS!$C$5:$C$3004,F735,ENSAYOS!$Q$5:$Q$3004,"&gt;0")-M735*P735^2)/(M735-1))))</f>
        <v/>
      </c>
      <c r="T735" s="17" t="str">
        <f aca="false">IF(S735="","",S735/P735)</f>
        <v/>
      </c>
      <c r="U735" s="16" t="str">
        <f aca="false">IF(N(M735)=0,"",IF(N735&gt;=CONFIG!$B$27,"",AVERAGEIFS(ENSAYOS!$Q$5:$Q$3004,ENSAYOS!$C$5:$C$3004,F735,ENSAYOS!$Q$5:$Q$3004,"&gt;0",ENSAYOS!$G$5:$G$3004,N735)))</f>
        <v/>
      </c>
      <c r="V735" s="16" t="str">
        <f aca="false">IF(N(M735)=0,"",IF(COUNTIFS(ENSAYOS!$C$5:$C$3004,F735,ENSAYOS!$Q$5:$Q$3004,"&gt;0",ENSAYOS!$G$5:$G$3004,"&gt;="&amp;CONFIG!$B$27)=0,"",AVERAGEIFS(ENSAYOS!$Q$5:$Q$3004,ENSAYOS!$C$5:$C$3004,F735,ENSAYOS!$Q$5:$Q$3004,"&gt;0",ENSAYOS!$G$5:$G$3004,"&gt;="&amp;CONFIG!$B$27)))</f>
        <v/>
      </c>
      <c r="W735" s="18" t="str">
        <f aca="false">IF(AND(U735&lt;&gt;"",V735&lt;&gt;""),U735/V735,"")</f>
        <v/>
      </c>
      <c r="X735" s="18" t="str">
        <f aca="false">IF(U735="","",INDEX('CURVA EDAD'!$E$5:$E$32,MIN(28,MAX(1,N735))))</f>
        <v/>
      </c>
      <c r="Y735" s="16" t="str">
        <f aca="false">IF(V735&lt;&gt;"",V735,IF(U735="","",U735/X735))</f>
        <v/>
      </c>
      <c r="Z735" s="16" t="str">
        <f aca="false">IF(V735&lt;&gt;"",_xlfn.MINIFS(ENSAYOS!$Q$5:$Q$3004,ENSAYOS!$C$5:$C$3004,F735,ENSAYOS!$Q$5:$Q$3004,"&gt;0",ENSAYOS!$G$5:$G$3004,"&gt;="&amp;CONFIG!$B$27),IF(U735="","",_xlfn.MINIFS(ENSAYOS!$Q$5:$Q$3004,ENSAYOS!$C$5:$C$3004,F735,ENSAYOS!$Q$5:$Q$3004,"&gt;0",ENSAYOS!$G$5:$G$3004,N735)/X735))</f>
        <v/>
      </c>
      <c r="AA735" s="16" t="str">
        <f aca="false">IF(D735="","",IFERROR(1/(1/INDEX(CONFIG!$J$5:$J$14,MATCH(D735,CONFIG!$D$5:$D$14,0))),""))</f>
        <v/>
      </c>
      <c r="AB735" s="16" t="str">
        <f aca="false">IF(D735="","",IFERROR(1/(1/INDEX(CONFIG!$K$5:$K$14,MATCH(D735,CONFIG!$D$5:$D$14,0))),""))</f>
        <v/>
      </c>
      <c r="AC735" s="19" t="str">
        <f aca="false">IF(N(M735)=0,"",IF(AA735="","Sin spec",IF(AND(Y735&gt;=AA735,OR(AB735="",Z735&gt;=AB735)),"CUMPLE","NO CUMPLE")&amp;IF(V735=""," (est.)","")))</f>
        <v/>
      </c>
      <c r="AD735" s="20" t="str">
        <f aca="false">IF(F735="","",IF(COUNTIFS(ABSORCION!$C$5:$C$1004,F735,ABSORCION!$I$5:$I$1004,"&gt;0")=0,"",AVERAGEIFS(ABSORCION!$I$5:$I$1004,ABSORCION!$C$5:$C$1004,F735,ABSORCION!$I$5:$I$1004,"&gt;0")))</f>
        <v/>
      </c>
      <c r="AE735" s="20" t="str">
        <f aca="false">IF(F735="","",IF(COUNTIFS(ABSORCION!$C$5:$C$1004,F735,ABSORCION!$I$5:$I$1004,"&gt;0")=0,"",AVERAGEIFS(ABSORCION!$K$5:$K$1004,ABSORCION!$C$5:$C$1004,F735,ABSORCION!$I$5:$I$1004,"&gt;0")))</f>
        <v/>
      </c>
      <c r="AF735" s="20" t="str">
        <f aca="false">IF(AE735="","",IF(AE735&gt;=CONFIG!$E$21,CONFIG!$F$21,IF(AE735&gt;=CONFIG!$E$20,CONFIG!$F$20,CONFIG!$F$19)))</f>
        <v/>
      </c>
      <c r="AG735" s="21" t="str">
        <f aca="false">IF(F735="","",TRIM(IF(N(M735)=0,"Sin ensayos. ","")&amp;IF(AND(N(M735)&gt;0,N(M735)&lt;CONFIG!$B$26),"Menos de "&amp;CONFIG!$B$26&amp;" probetas. ","")&amp;IF(N(T735)&gt;CONFIG!$B$25,"CV alto. ","")&amp;IF(AND(N(AD735)&gt;0,N(AD735)&gt;N(AF735)),"Absorción alta. ","")))</f>
        <v/>
      </c>
      <c r="AH735" s="22" t="str">
        <f aca="false">IF(AND(N(M735)&gt;0,OR(CONTROL!$C$4="TODAS",C735=CONTROL!$C$4),D735=CONTROL!$C$5),MAX($AH$4:AH734)+1,"")</f>
        <v/>
      </c>
      <c r="AI735" s="22" t="str">
        <f aca="false">IF(AH735="","",P735^2)</f>
        <v/>
      </c>
    </row>
    <row r="736" customFormat="false" ht="15" hidden="false" customHeight="false" outlineLevel="0" collapsed="false">
      <c r="A736" s="11" t="str">
        <f aca="false">IF(B736="","",ROW()-4)</f>
        <v/>
      </c>
      <c r="B736" s="12"/>
      <c r="C736" s="13"/>
      <c r="D736" s="13"/>
      <c r="E736" s="13"/>
      <c r="F736" s="14" t="str">
        <f aca="false">IF(OR(B736="",C736="",D736=""),"",IFERROR(INDEX(CONFIG!$E$5:$E$14,MATCH(D736,CONFIG!$D$5:$D$14,0)),"?")&amp;RIGHT("0"&amp;DAY(B736),2)&amp;RIGHT("0"&amp;MONTH(B736),2)&amp;RIGHT(YEAR(B736),2)&amp;C736&amp;IF(E736="","","-"&amp;E736))</f>
        <v/>
      </c>
      <c r="G736" s="13"/>
      <c r="H736" s="13"/>
      <c r="I736" s="13"/>
      <c r="J736" s="13"/>
      <c r="K736" s="13"/>
      <c r="L736" s="13"/>
      <c r="M736" s="11" t="str">
        <f aca="false">IF(F736="","",COUNTIFS(ENSAYOS!$C$5:$C$3004,F736,ENSAYOS!$Q$5:$Q$3004,"&gt;0"))</f>
        <v/>
      </c>
      <c r="N736" s="15" t="str">
        <f aca="false">IF(N(M736)=0,"",_xlfn.MINIFS(ENSAYOS!$G$5:$G$3004,ENSAYOS!$C$5:$C$3004,F736,ENSAYOS!$Q$5:$Q$3004,"&gt;0"))</f>
        <v/>
      </c>
      <c r="O736" s="15" t="str">
        <f aca="false">IF(N(M736)=0,"",_xlfn.MAXIFS(ENSAYOS!$G$5:$G$3004,ENSAYOS!$C$5:$C$3004,F736,ENSAYOS!$Q$5:$Q$3004,"&gt;0"))</f>
        <v/>
      </c>
      <c r="P736" s="16" t="str">
        <f aca="false">IF(N(M736)=0,"",AVERAGEIFS(ENSAYOS!$Q$5:$Q$3004,ENSAYOS!$C$5:$C$3004,F736,ENSAYOS!$Q$5:$Q$3004,"&gt;0"))</f>
        <v/>
      </c>
      <c r="Q736" s="16" t="str">
        <f aca="false">IF(N(M736)=0,"",_xlfn.MINIFS(ENSAYOS!$Q$5:$Q$3004,ENSAYOS!$C$5:$C$3004,F736,ENSAYOS!$Q$5:$Q$3004,"&gt;0"))</f>
        <v/>
      </c>
      <c r="R736" s="16" t="str">
        <f aca="false">IF(N(M736)=0,"",_xlfn.MAXIFS(ENSAYOS!$Q$5:$Q$3004,ENSAYOS!$C$5:$C$3004,F736,ENSAYOS!$Q$5:$Q$3004,"&gt;0"))</f>
        <v/>
      </c>
      <c r="S736" s="16" t="str">
        <f aca="false">IF(N(M736)&lt;2,"",SQRT(MAX(0,(SUMIFS(ENSAYOS!$X$5:$X$3004,ENSAYOS!$C$5:$C$3004,F736,ENSAYOS!$Q$5:$Q$3004,"&gt;0")-M736*P736^2)/(M736-1))))</f>
        <v/>
      </c>
      <c r="T736" s="17" t="str">
        <f aca="false">IF(S736="","",S736/P736)</f>
        <v/>
      </c>
      <c r="U736" s="16" t="str">
        <f aca="false">IF(N(M736)=0,"",IF(N736&gt;=CONFIG!$B$27,"",AVERAGEIFS(ENSAYOS!$Q$5:$Q$3004,ENSAYOS!$C$5:$C$3004,F736,ENSAYOS!$Q$5:$Q$3004,"&gt;0",ENSAYOS!$G$5:$G$3004,N736)))</f>
        <v/>
      </c>
      <c r="V736" s="16" t="str">
        <f aca="false">IF(N(M736)=0,"",IF(COUNTIFS(ENSAYOS!$C$5:$C$3004,F736,ENSAYOS!$Q$5:$Q$3004,"&gt;0",ENSAYOS!$G$5:$G$3004,"&gt;="&amp;CONFIG!$B$27)=0,"",AVERAGEIFS(ENSAYOS!$Q$5:$Q$3004,ENSAYOS!$C$5:$C$3004,F736,ENSAYOS!$Q$5:$Q$3004,"&gt;0",ENSAYOS!$G$5:$G$3004,"&gt;="&amp;CONFIG!$B$27)))</f>
        <v/>
      </c>
      <c r="W736" s="18" t="str">
        <f aca="false">IF(AND(U736&lt;&gt;"",V736&lt;&gt;""),U736/V736,"")</f>
        <v/>
      </c>
      <c r="X736" s="18" t="str">
        <f aca="false">IF(U736="","",INDEX('CURVA EDAD'!$E$5:$E$32,MIN(28,MAX(1,N736))))</f>
        <v/>
      </c>
      <c r="Y736" s="16" t="str">
        <f aca="false">IF(V736&lt;&gt;"",V736,IF(U736="","",U736/X736))</f>
        <v/>
      </c>
      <c r="Z736" s="16" t="str">
        <f aca="false">IF(V736&lt;&gt;"",_xlfn.MINIFS(ENSAYOS!$Q$5:$Q$3004,ENSAYOS!$C$5:$C$3004,F736,ENSAYOS!$Q$5:$Q$3004,"&gt;0",ENSAYOS!$G$5:$G$3004,"&gt;="&amp;CONFIG!$B$27),IF(U736="","",_xlfn.MINIFS(ENSAYOS!$Q$5:$Q$3004,ENSAYOS!$C$5:$C$3004,F736,ENSAYOS!$Q$5:$Q$3004,"&gt;0",ENSAYOS!$G$5:$G$3004,N736)/X736))</f>
        <v/>
      </c>
      <c r="AA736" s="16" t="str">
        <f aca="false">IF(D736="","",IFERROR(1/(1/INDEX(CONFIG!$J$5:$J$14,MATCH(D736,CONFIG!$D$5:$D$14,0))),""))</f>
        <v/>
      </c>
      <c r="AB736" s="16" t="str">
        <f aca="false">IF(D736="","",IFERROR(1/(1/INDEX(CONFIG!$K$5:$K$14,MATCH(D736,CONFIG!$D$5:$D$14,0))),""))</f>
        <v/>
      </c>
      <c r="AC736" s="19" t="str">
        <f aca="false">IF(N(M736)=0,"",IF(AA736="","Sin spec",IF(AND(Y736&gt;=AA736,OR(AB736="",Z736&gt;=AB736)),"CUMPLE","NO CUMPLE")&amp;IF(V736=""," (est.)","")))</f>
        <v/>
      </c>
      <c r="AD736" s="20" t="str">
        <f aca="false">IF(F736="","",IF(COUNTIFS(ABSORCION!$C$5:$C$1004,F736,ABSORCION!$I$5:$I$1004,"&gt;0")=0,"",AVERAGEIFS(ABSORCION!$I$5:$I$1004,ABSORCION!$C$5:$C$1004,F736,ABSORCION!$I$5:$I$1004,"&gt;0")))</f>
        <v/>
      </c>
      <c r="AE736" s="20" t="str">
        <f aca="false">IF(F736="","",IF(COUNTIFS(ABSORCION!$C$5:$C$1004,F736,ABSORCION!$I$5:$I$1004,"&gt;0")=0,"",AVERAGEIFS(ABSORCION!$K$5:$K$1004,ABSORCION!$C$5:$C$1004,F736,ABSORCION!$I$5:$I$1004,"&gt;0")))</f>
        <v/>
      </c>
      <c r="AF736" s="20" t="str">
        <f aca="false">IF(AE736="","",IF(AE736&gt;=CONFIG!$E$21,CONFIG!$F$21,IF(AE736&gt;=CONFIG!$E$20,CONFIG!$F$20,CONFIG!$F$19)))</f>
        <v/>
      </c>
      <c r="AG736" s="21" t="str">
        <f aca="false">IF(F736="","",TRIM(IF(N(M736)=0,"Sin ensayos. ","")&amp;IF(AND(N(M736)&gt;0,N(M736)&lt;CONFIG!$B$26),"Menos de "&amp;CONFIG!$B$26&amp;" probetas. ","")&amp;IF(N(T736)&gt;CONFIG!$B$25,"CV alto. ","")&amp;IF(AND(N(AD736)&gt;0,N(AD736)&gt;N(AF736)),"Absorción alta. ","")))</f>
        <v/>
      </c>
      <c r="AH736" s="22" t="str">
        <f aca="false">IF(AND(N(M736)&gt;0,OR(CONTROL!$C$4="TODAS",C736=CONTROL!$C$4),D736=CONTROL!$C$5),MAX($AH$4:AH735)+1,"")</f>
        <v/>
      </c>
      <c r="AI736" s="22" t="str">
        <f aca="false">IF(AH736="","",P736^2)</f>
        <v/>
      </c>
    </row>
    <row r="737" customFormat="false" ht="15" hidden="false" customHeight="false" outlineLevel="0" collapsed="false">
      <c r="A737" s="11" t="str">
        <f aca="false">IF(B737="","",ROW()-4)</f>
        <v/>
      </c>
      <c r="B737" s="12"/>
      <c r="C737" s="13"/>
      <c r="D737" s="13"/>
      <c r="E737" s="13"/>
      <c r="F737" s="14" t="str">
        <f aca="false">IF(OR(B737="",C737="",D737=""),"",IFERROR(INDEX(CONFIG!$E$5:$E$14,MATCH(D737,CONFIG!$D$5:$D$14,0)),"?")&amp;RIGHT("0"&amp;DAY(B737),2)&amp;RIGHT("0"&amp;MONTH(B737),2)&amp;RIGHT(YEAR(B737),2)&amp;C737&amp;IF(E737="","","-"&amp;E737))</f>
        <v/>
      </c>
      <c r="G737" s="13"/>
      <c r="H737" s="13"/>
      <c r="I737" s="13"/>
      <c r="J737" s="13"/>
      <c r="K737" s="13"/>
      <c r="L737" s="13"/>
      <c r="M737" s="11" t="str">
        <f aca="false">IF(F737="","",COUNTIFS(ENSAYOS!$C$5:$C$3004,F737,ENSAYOS!$Q$5:$Q$3004,"&gt;0"))</f>
        <v/>
      </c>
      <c r="N737" s="15" t="str">
        <f aca="false">IF(N(M737)=0,"",_xlfn.MINIFS(ENSAYOS!$G$5:$G$3004,ENSAYOS!$C$5:$C$3004,F737,ENSAYOS!$Q$5:$Q$3004,"&gt;0"))</f>
        <v/>
      </c>
      <c r="O737" s="15" t="str">
        <f aca="false">IF(N(M737)=0,"",_xlfn.MAXIFS(ENSAYOS!$G$5:$G$3004,ENSAYOS!$C$5:$C$3004,F737,ENSAYOS!$Q$5:$Q$3004,"&gt;0"))</f>
        <v/>
      </c>
      <c r="P737" s="16" t="str">
        <f aca="false">IF(N(M737)=0,"",AVERAGEIFS(ENSAYOS!$Q$5:$Q$3004,ENSAYOS!$C$5:$C$3004,F737,ENSAYOS!$Q$5:$Q$3004,"&gt;0"))</f>
        <v/>
      </c>
      <c r="Q737" s="16" t="str">
        <f aca="false">IF(N(M737)=0,"",_xlfn.MINIFS(ENSAYOS!$Q$5:$Q$3004,ENSAYOS!$C$5:$C$3004,F737,ENSAYOS!$Q$5:$Q$3004,"&gt;0"))</f>
        <v/>
      </c>
      <c r="R737" s="16" t="str">
        <f aca="false">IF(N(M737)=0,"",_xlfn.MAXIFS(ENSAYOS!$Q$5:$Q$3004,ENSAYOS!$C$5:$C$3004,F737,ENSAYOS!$Q$5:$Q$3004,"&gt;0"))</f>
        <v/>
      </c>
      <c r="S737" s="16" t="str">
        <f aca="false">IF(N(M737)&lt;2,"",SQRT(MAX(0,(SUMIFS(ENSAYOS!$X$5:$X$3004,ENSAYOS!$C$5:$C$3004,F737,ENSAYOS!$Q$5:$Q$3004,"&gt;0")-M737*P737^2)/(M737-1))))</f>
        <v/>
      </c>
      <c r="T737" s="17" t="str">
        <f aca="false">IF(S737="","",S737/P737)</f>
        <v/>
      </c>
      <c r="U737" s="16" t="str">
        <f aca="false">IF(N(M737)=0,"",IF(N737&gt;=CONFIG!$B$27,"",AVERAGEIFS(ENSAYOS!$Q$5:$Q$3004,ENSAYOS!$C$5:$C$3004,F737,ENSAYOS!$Q$5:$Q$3004,"&gt;0",ENSAYOS!$G$5:$G$3004,N737)))</f>
        <v/>
      </c>
      <c r="V737" s="16" t="str">
        <f aca="false">IF(N(M737)=0,"",IF(COUNTIFS(ENSAYOS!$C$5:$C$3004,F737,ENSAYOS!$Q$5:$Q$3004,"&gt;0",ENSAYOS!$G$5:$G$3004,"&gt;="&amp;CONFIG!$B$27)=0,"",AVERAGEIFS(ENSAYOS!$Q$5:$Q$3004,ENSAYOS!$C$5:$C$3004,F737,ENSAYOS!$Q$5:$Q$3004,"&gt;0",ENSAYOS!$G$5:$G$3004,"&gt;="&amp;CONFIG!$B$27)))</f>
        <v/>
      </c>
      <c r="W737" s="18" t="str">
        <f aca="false">IF(AND(U737&lt;&gt;"",V737&lt;&gt;""),U737/V737,"")</f>
        <v/>
      </c>
      <c r="X737" s="18" t="str">
        <f aca="false">IF(U737="","",INDEX('CURVA EDAD'!$E$5:$E$32,MIN(28,MAX(1,N737))))</f>
        <v/>
      </c>
      <c r="Y737" s="16" t="str">
        <f aca="false">IF(V737&lt;&gt;"",V737,IF(U737="","",U737/X737))</f>
        <v/>
      </c>
      <c r="Z737" s="16" t="str">
        <f aca="false">IF(V737&lt;&gt;"",_xlfn.MINIFS(ENSAYOS!$Q$5:$Q$3004,ENSAYOS!$C$5:$C$3004,F737,ENSAYOS!$Q$5:$Q$3004,"&gt;0",ENSAYOS!$G$5:$G$3004,"&gt;="&amp;CONFIG!$B$27),IF(U737="","",_xlfn.MINIFS(ENSAYOS!$Q$5:$Q$3004,ENSAYOS!$C$5:$C$3004,F737,ENSAYOS!$Q$5:$Q$3004,"&gt;0",ENSAYOS!$G$5:$G$3004,N737)/X737))</f>
        <v/>
      </c>
      <c r="AA737" s="16" t="str">
        <f aca="false">IF(D737="","",IFERROR(1/(1/INDEX(CONFIG!$J$5:$J$14,MATCH(D737,CONFIG!$D$5:$D$14,0))),""))</f>
        <v/>
      </c>
      <c r="AB737" s="16" t="str">
        <f aca="false">IF(D737="","",IFERROR(1/(1/INDEX(CONFIG!$K$5:$K$14,MATCH(D737,CONFIG!$D$5:$D$14,0))),""))</f>
        <v/>
      </c>
      <c r="AC737" s="19" t="str">
        <f aca="false">IF(N(M737)=0,"",IF(AA737="","Sin spec",IF(AND(Y737&gt;=AA737,OR(AB737="",Z737&gt;=AB737)),"CUMPLE","NO CUMPLE")&amp;IF(V737=""," (est.)","")))</f>
        <v/>
      </c>
      <c r="AD737" s="20" t="str">
        <f aca="false">IF(F737="","",IF(COUNTIFS(ABSORCION!$C$5:$C$1004,F737,ABSORCION!$I$5:$I$1004,"&gt;0")=0,"",AVERAGEIFS(ABSORCION!$I$5:$I$1004,ABSORCION!$C$5:$C$1004,F737,ABSORCION!$I$5:$I$1004,"&gt;0")))</f>
        <v/>
      </c>
      <c r="AE737" s="20" t="str">
        <f aca="false">IF(F737="","",IF(COUNTIFS(ABSORCION!$C$5:$C$1004,F737,ABSORCION!$I$5:$I$1004,"&gt;0")=0,"",AVERAGEIFS(ABSORCION!$K$5:$K$1004,ABSORCION!$C$5:$C$1004,F737,ABSORCION!$I$5:$I$1004,"&gt;0")))</f>
        <v/>
      </c>
      <c r="AF737" s="20" t="str">
        <f aca="false">IF(AE737="","",IF(AE737&gt;=CONFIG!$E$21,CONFIG!$F$21,IF(AE737&gt;=CONFIG!$E$20,CONFIG!$F$20,CONFIG!$F$19)))</f>
        <v/>
      </c>
      <c r="AG737" s="21" t="str">
        <f aca="false">IF(F737="","",TRIM(IF(N(M737)=0,"Sin ensayos. ","")&amp;IF(AND(N(M737)&gt;0,N(M737)&lt;CONFIG!$B$26),"Menos de "&amp;CONFIG!$B$26&amp;" probetas. ","")&amp;IF(N(T737)&gt;CONFIG!$B$25,"CV alto. ","")&amp;IF(AND(N(AD737)&gt;0,N(AD737)&gt;N(AF737)),"Absorción alta. ","")))</f>
        <v/>
      </c>
      <c r="AH737" s="22" t="str">
        <f aca="false">IF(AND(N(M737)&gt;0,OR(CONTROL!$C$4="TODAS",C737=CONTROL!$C$4),D737=CONTROL!$C$5),MAX($AH$4:AH736)+1,"")</f>
        <v/>
      </c>
      <c r="AI737" s="22" t="str">
        <f aca="false">IF(AH737="","",P737^2)</f>
        <v/>
      </c>
    </row>
    <row r="738" customFormat="false" ht="15" hidden="false" customHeight="false" outlineLevel="0" collapsed="false">
      <c r="A738" s="11" t="str">
        <f aca="false">IF(B738="","",ROW()-4)</f>
        <v/>
      </c>
      <c r="B738" s="12"/>
      <c r="C738" s="13"/>
      <c r="D738" s="13"/>
      <c r="E738" s="13"/>
      <c r="F738" s="14" t="str">
        <f aca="false">IF(OR(B738="",C738="",D738=""),"",IFERROR(INDEX(CONFIG!$E$5:$E$14,MATCH(D738,CONFIG!$D$5:$D$14,0)),"?")&amp;RIGHT("0"&amp;DAY(B738),2)&amp;RIGHT("0"&amp;MONTH(B738),2)&amp;RIGHT(YEAR(B738),2)&amp;C738&amp;IF(E738="","","-"&amp;E738))</f>
        <v/>
      </c>
      <c r="G738" s="13"/>
      <c r="H738" s="13"/>
      <c r="I738" s="13"/>
      <c r="J738" s="13"/>
      <c r="K738" s="13"/>
      <c r="L738" s="13"/>
      <c r="M738" s="11" t="str">
        <f aca="false">IF(F738="","",COUNTIFS(ENSAYOS!$C$5:$C$3004,F738,ENSAYOS!$Q$5:$Q$3004,"&gt;0"))</f>
        <v/>
      </c>
      <c r="N738" s="15" t="str">
        <f aca="false">IF(N(M738)=0,"",_xlfn.MINIFS(ENSAYOS!$G$5:$G$3004,ENSAYOS!$C$5:$C$3004,F738,ENSAYOS!$Q$5:$Q$3004,"&gt;0"))</f>
        <v/>
      </c>
      <c r="O738" s="15" t="str">
        <f aca="false">IF(N(M738)=0,"",_xlfn.MAXIFS(ENSAYOS!$G$5:$G$3004,ENSAYOS!$C$5:$C$3004,F738,ENSAYOS!$Q$5:$Q$3004,"&gt;0"))</f>
        <v/>
      </c>
      <c r="P738" s="16" t="str">
        <f aca="false">IF(N(M738)=0,"",AVERAGEIFS(ENSAYOS!$Q$5:$Q$3004,ENSAYOS!$C$5:$C$3004,F738,ENSAYOS!$Q$5:$Q$3004,"&gt;0"))</f>
        <v/>
      </c>
      <c r="Q738" s="16" t="str">
        <f aca="false">IF(N(M738)=0,"",_xlfn.MINIFS(ENSAYOS!$Q$5:$Q$3004,ENSAYOS!$C$5:$C$3004,F738,ENSAYOS!$Q$5:$Q$3004,"&gt;0"))</f>
        <v/>
      </c>
      <c r="R738" s="16" t="str">
        <f aca="false">IF(N(M738)=0,"",_xlfn.MAXIFS(ENSAYOS!$Q$5:$Q$3004,ENSAYOS!$C$5:$C$3004,F738,ENSAYOS!$Q$5:$Q$3004,"&gt;0"))</f>
        <v/>
      </c>
      <c r="S738" s="16" t="str">
        <f aca="false">IF(N(M738)&lt;2,"",SQRT(MAX(0,(SUMIFS(ENSAYOS!$X$5:$X$3004,ENSAYOS!$C$5:$C$3004,F738,ENSAYOS!$Q$5:$Q$3004,"&gt;0")-M738*P738^2)/(M738-1))))</f>
        <v/>
      </c>
      <c r="T738" s="17" t="str">
        <f aca="false">IF(S738="","",S738/P738)</f>
        <v/>
      </c>
      <c r="U738" s="16" t="str">
        <f aca="false">IF(N(M738)=0,"",IF(N738&gt;=CONFIG!$B$27,"",AVERAGEIFS(ENSAYOS!$Q$5:$Q$3004,ENSAYOS!$C$5:$C$3004,F738,ENSAYOS!$Q$5:$Q$3004,"&gt;0",ENSAYOS!$G$5:$G$3004,N738)))</f>
        <v/>
      </c>
      <c r="V738" s="16" t="str">
        <f aca="false">IF(N(M738)=0,"",IF(COUNTIFS(ENSAYOS!$C$5:$C$3004,F738,ENSAYOS!$Q$5:$Q$3004,"&gt;0",ENSAYOS!$G$5:$G$3004,"&gt;="&amp;CONFIG!$B$27)=0,"",AVERAGEIFS(ENSAYOS!$Q$5:$Q$3004,ENSAYOS!$C$5:$C$3004,F738,ENSAYOS!$Q$5:$Q$3004,"&gt;0",ENSAYOS!$G$5:$G$3004,"&gt;="&amp;CONFIG!$B$27)))</f>
        <v/>
      </c>
      <c r="W738" s="18" t="str">
        <f aca="false">IF(AND(U738&lt;&gt;"",V738&lt;&gt;""),U738/V738,"")</f>
        <v/>
      </c>
      <c r="X738" s="18" t="str">
        <f aca="false">IF(U738="","",INDEX('CURVA EDAD'!$E$5:$E$32,MIN(28,MAX(1,N738))))</f>
        <v/>
      </c>
      <c r="Y738" s="16" t="str">
        <f aca="false">IF(V738&lt;&gt;"",V738,IF(U738="","",U738/X738))</f>
        <v/>
      </c>
      <c r="Z738" s="16" t="str">
        <f aca="false">IF(V738&lt;&gt;"",_xlfn.MINIFS(ENSAYOS!$Q$5:$Q$3004,ENSAYOS!$C$5:$C$3004,F738,ENSAYOS!$Q$5:$Q$3004,"&gt;0",ENSAYOS!$G$5:$G$3004,"&gt;="&amp;CONFIG!$B$27),IF(U738="","",_xlfn.MINIFS(ENSAYOS!$Q$5:$Q$3004,ENSAYOS!$C$5:$C$3004,F738,ENSAYOS!$Q$5:$Q$3004,"&gt;0",ENSAYOS!$G$5:$G$3004,N738)/X738))</f>
        <v/>
      </c>
      <c r="AA738" s="16" t="str">
        <f aca="false">IF(D738="","",IFERROR(1/(1/INDEX(CONFIG!$J$5:$J$14,MATCH(D738,CONFIG!$D$5:$D$14,0))),""))</f>
        <v/>
      </c>
      <c r="AB738" s="16" t="str">
        <f aca="false">IF(D738="","",IFERROR(1/(1/INDEX(CONFIG!$K$5:$K$14,MATCH(D738,CONFIG!$D$5:$D$14,0))),""))</f>
        <v/>
      </c>
      <c r="AC738" s="19" t="str">
        <f aca="false">IF(N(M738)=0,"",IF(AA738="","Sin spec",IF(AND(Y738&gt;=AA738,OR(AB738="",Z738&gt;=AB738)),"CUMPLE","NO CUMPLE")&amp;IF(V738=""," (est.)","")))</f>
        <v/>
      </c>
      <c r="AD738" s="20" t="str">
        <f aca="false">IF(F738="","",IF(COUNTIFS(ABSORCION!$C$5:$C$1004,F738,ABSORCION!$I$5:$I$1004,"&gt;0")=0,"",AVERAGEIFS(ABSORCION!$I$5:$I$1004,ABSORCION!$C$5:$C$1004,F738,ABSORCION!$I$5:$I$1004,"&gt;0")))</f>
        <v/>
      </c>
      <c r="AE738" s="20" t="str">
        <f aca="false">IF(F738="","",IF(COUNTIFS(ABSORCION!$C$5:$C$1004,F738,ABSORCION!$I$5:$I$1004,"&gt;0")=0,"",AVERAGEIFS(ABSORCION!$K$5:$K$1004,ABSORCION!$C$5:$C$1004,F738,ABSORCION!$I$5:$I$1004,"&gt;0")))</f>
        <v/>
      </c>
      <c r="AF738" s="20" t="str">
        <f aca="false">IF(AE738="","",IF(AE738&gt;=CONFIG!$E$21,CONFIG!$F$21,IF(AE738&gt;=CONFIG!$E$20,CONFIG!$F$20,CONFIG!$F$19)))</f>
        <v/>
      </c>
      <c r="AG738" s="21" t="str">
        <f aca="false">IF(F738="","",TRIM(IF(N(M738)=0,"Sin ensayos. ","")&amp;IF(AND(N(M738)&gt;0,N(M738)&lt;CONFIG!$B$26),"Menos de "&amp;CONFIG!$B$26&amp;" probetas. ","")&amp;IF(N(T738)&gt;CONFIG!$B$25,"CV alto. ","")&amp;IF(AND(N(AD738)&gt;0,N(AD738)&gt;N(AF738)),"Absorción alta. ","")))</f>
        <v/>
      </c>
      <c r="AH738" s="22" t="str">
        <f aca="false">IF(AND(N(M738)&gt;0,OR(CONTROL!$C$4="TODAS",C738=CONTROL!$C$4),D738=CONTROL!$C$5),MAX($AH$4:AH737)+1,"")</f>
        <v/>
      </c>
      <c r="AI738" s="22" t="str">
        <f aca="false">IF(AH738="","",P738^2)</f>
        <v/>
      </c>
    </row>
    <row r="739" customFormat="false" ht="15" hidden="false" customHeight="false" outlineLevel="0" collapsed="false">
      <c r="A739" s="11" t="str">
        <f aca="false">IF(B739="","",ROW()-4)</f>
        <v/>
      </c>
      <c r="B739" s="12"/>
      <c r="C739" s="13"/>
      <c r="D739" s="13"/>
      <c r="E739" s="13"/>
      <c r="F739" s="14" t="str">
        <f aca="false">IF(OR(B739="",C739="",D739=""),"",IFERROR(INDEX(CONFIG!$E$5:$E$14,MATCH(D739,CONFIG!$D$5:$D$14,0)),"?")&amp;RIGHT("0"&amp;DAY(B739),2)&amp;RIGHT("0"&amp;MONTH(B739),2)&amp;RIGHT(YEAR(B739),2)&amp;C739&amp;IF(E739="","","-"&amp;E739))</f>
        <v/>
      </c>
      <c r="G739" s="13"/>
      <c r="H739" s="13"/>
      <c r="I739" s="13"/>
      <c r="J739" s="13"/>
      <c r="K739" s="13"/>
      <c r="L739" s="13"/>
      <c r="M739" s="11" t="str">
        <f aca="false">IF(F739="","",COUNTIFS(ENSAYOS!$C$5:$C$3004,F739,ENSAYOS!$Q$5:$Q$3004,"&gt;0"))</f>
        <v/>
      </c>
      <c r="N739" s="15" t="str">
        <f aca="false">IF(N(M739)=0,"",_xlfn.MINIFS(ENSAYOS!$G$5:$G$3004,ENSAYOS!$C$5:$C$3004,F739,ENSAYOS!$Q$5:$Q$3004,"&gt;0"))</f>
        <v/>
      </c>
      <c r="O739" s="15" t="str">
        <f aca="false">IF(N(M739)=0,"",_xlfn.MAXIFS(ENSAYOS!$G$5:$G$3004,ENSAYOS!$C$5:$C$3004,F739,ENSAYOS!$Q$5:$Q$3004,"&gt;0"))</f>
        <v/>
      </c>
      <c r="P739" s="16" t="str">
        <f aca="false">IF(N(M739)=0,"",AVERAGEIFS(ENSAYOS!$Q$5:$Q$3004,ENSAYOS!$C$5:$C$3004,F739,ENSAYOS!$Q$5:$Q$3004,"&gt;0"))</f>
        <v/>
      </c>
      <c r="Q739" s="16" t="str">
        <f aca="false">IF(N(M739)=0,"",_xlfn.MINIFS(ENSAYOS!$Q$5:$Q$3004,ENSAYOS!$C$5:$C$3004,F739,ENSAYOS!$Q$5:$Q$3004,"&gt;0"))</f>
        <v/>
      </c>
      <c r="R739" s="16" t="str">
        <f aca="false">IF(N(M739)=0,"",_xlfn.MAXIFS(ENSAYOS!$Q$5:$Q$3004,ENSAYOS!$C$5:$C$3004,F739,ENSAYOS!$Q$5:$Q$3004,"&gt;0"))</f>
        <v/>
      </c>
      <c r="S739" s="16" t="str">
        <f aca="false">IF(N(M739)&lt;2,"",SQRT(MAX(0,(SUMIFS(ENSAYOS!$X$5:$X$3004,ENSAYOS!$C$5:$C$3004,F739,ENSAYOS!$Q$5:$Q$3004,"&gt;0")-M739*P739^2)/(M739-1))))</f>
        <v/>
      </c>
      <c r="T739" s="17" t="str">
        <f aca="false">IF(S739="","",S739/P739)</f>
        <v/>
      </c>
      <c r="U739" s="16" t="str">
        <f aca="false">IF(N(M739)=0,"",IF(N739&gt;=CONFIG!$B$27,"",AVERAGEIFS(ENSAYOS!$Q$5:$Q$3004,ENSAYOS!$C$5:$C$3004,F739,ENSAYOS!$Q$5:$Q$3004,"&gt;0",ENSAYOS!$G$5:$G$3004,N739)))</f>
        <v/>
      </c>
      <c r="V739" s="16" t="str">
        <f aca="false">IF(N(M739)=0,"",IF(COUNTIFS(ENSAYOS!$C$5:$C$3004,F739,ENSAYOS!$Q$5:$Q$3004,"&gt;0",ENSAYOS!$G$5:$G$3004,"&gt;="&amp;CONFIG!$B$27)=0,"",AVERAGEIFS(ENSAYOS!$Q$5:$Q$3004,ENSAYOS!$C$5:$C$3004,F739,ENSAYOS!$Q$5:$Q$3004,"&gt;0",ENSAYOS!$G$5:$G$3004,"&gt;="&amp;CONFIG!$B$27)))</f>
        <v/>
      </c>
      <c r="W739" s="18" t="str">
        <f aca="false">IF(AND(U739&lt;&gt;"",V739&lt;&gt;""),U739/V739,"")</f>
        <v/>
      </c>
      <c r="X739" s="18" t="str">
        <f aca="false">IF(U739="","",INDEX('CURVA EDAD'!$E$5:$E$32,MIN(28,MAX(1,N739))))</f>
        <v/>
      </c>
      <c r="Y739" s="16" t="str">
        <f aca="false">IF(V739&lt;&gt;"",V739,IF(U739="","",U739/X739))</f>
        <v/>
      </c>
      <c r="Z739" s="16" t="str">
        <f aca="false">IF(V739&lt;&gt;"",_xlfn.MINIFS(ENSAYOS!$Q$5:$Q$3004,ENSAYOS!$C$5:$C$3004,F739,ENSAYOS!$Q$5:$Q$3004,"&gt;0",ENSAYOS!$G$5:$G$3004,"&gt;="&amp;CONFIG!$B$27),IF(U739="","",_xlfn.MINIFS(ENSAYOS!$Q$5:$Q$3004,ENSAYOS!$C$5:$C$3004,F739,ENSAYOS!$Q$5:$Q$3004,"&gt;0",ENSAYOS!$G$5:$G$3004,N739)/X739))</f>
        <v/>
      </c>
      <c r="AA739" s="16" t="str">
        <f aca="false">IF(D739="","",IFERROR(1/(1/INDEX(CONFIG!$J$5:$J$14,MATCH(D739,CONFIG!$D$5:$D$14,0))),""))</f>
        <v/>
      </c>
      <c r="AB739" s="16" t="str">
        <f aca="false">IF(D739="","",IFERROR(1/(1/INDEX(CONFIG!$K$5:$K$14,MATCH(D739,CONFIG!$D$5:$D$14,0))),""))</f>
        <v/>
      </c>
      <c r="AC739" s="19" t="str">
        <f aca="false">IF(N(M739)=0,"",IF(AA739="","Sin spec",IF(AND(Y739&gt;=AA739,OR(AB739="",Z739&gt;=AB739)),"CUMPLE","NO CUMPLE")&amp;IF(V739=""," (est.)","")))</f>
        <v/>
      </c>
      <c r="AD739" s="20" t="str">
        <f aca="false">IF(F739="","",IF(COUNTIFS(ABSORCION!$C$5:$C$1004,F739,ABSORCION!$I$5:$I$1004,"&gt;0")=0,"",AVERAGEIFS(ABSORCION!$I$5:$I$1004,ABSORCION!$C$5:$C$1004,F739,ABSORCION!$I$5:$I$1004,"&gt;0")))</f>
        <v/>
      </c>
      <c r="AE739" s="20" t="str">
        <f aca="false">IF(F739="","",IF(COUNTIFS(ABSORCION!$C$5:$C$1004,F739,ABSORCION!$I$5:$I$1004,"&gt;0")=0,"",AVERAGEIFS(ABSORCION!$K$5:$K$1004,ABSORCION!$C$5:$C$1004,F739,ABSORCION!$I$5:$I$1004,"&gt;0")))</f>
        <v/>
      </c>
      <c r="AF739" s="20" t="str">
        <f aca="false">IF(AE739="","",IF(AE739&gt;=CONFIG!$E$21,CONFIG!$F$21,IF(AE739&gt;=CONFIG!$E$20,CONFIG!$F$20,CONFIG!$F$19)))</f>
        <v/>
      </c>
      <c r="AG739" s="21" t="str">
        <f aca="false">IF(F739="","",TRIM(IF(N(M739)=0,"Sin ensayos. ","")&amp;IF(AND(N(M739)&gt;0,N(M739)&lt;CONFIG!$B$26),"Menos de "&amp;CONFIG!$B$26&amp;" probetas. ","")&amp;IF(N(T739)&gt;CONFIG!$B$25,"CV alto. ","")&amp;IF(AND(N(AD739)&gt;0,N(AD739)&gt;N(AF739)),"Absorción alta. ","")))</f>
        <v/>
      </c>
      <c r="AH739" s="22" t="str">
        <f aca="false">IF(AND(N(M739)&gt;0,OR(CONTROL!$C$4="TODAS",C739=CONTROL!$C$4),D739=CONTROL!$C$5),MAX($AH$4:AH738)+1,"")</f>
        <v/>
      </c>
      <c r="AI739" s="22" t="str">
        <f aca="false">IF(AH739="","",P739^2)</f>
        <v/>
      </c>
    </row>
    <row r="740" customFormat="false" ht="15" hidden="false" customHeight="false" outlineLevel="0" collapsed="false">
      <c r="A740" s="11" t="str">
        <f aca="false">IF(B740="","",ROW()-4)</f>
        <v/>
      </c>
      <c r="B740" s="12"/>
      <c r="C740" s="13"/>
      <c r="D740" s="13"/>
      <c r="E740" s="13"/>
      <c r="F740" s="14" t="str">
        <f aca="false">IF(OR(B740="",C740="",D740=""),"",IFERROR(INDEX(CONFIG!$E$5:$E$14,MATCH(D740,CONFIG!$D$5:$D$14,0)),"?")&amp;RIGHT("0"&amp;DAY(B740),2)&amp;RIGHT("0"&amp;MONTH(B740),2)&amp;RIGHT(YEAR(B740),2)&amp;C740&amp;IF(E740="","","-"&amp;E740))</f>
        <v/>
      </c>
      <c r="G740" s="13"/>
      <c r="H740" s="13"/>
      <c r="I740" s="13"/>
      <c r="J740" s="13"/>
      <c r="K740" s="13"/>
      <c r="L740" s="13"/>
      <c r="M740" s="11" t="str">
        <f aca="false">IF(F740="","",COUNTIFS(ENSAYOS!$C$5:$C$3004,F740,ENSAYOS!$Q$5:$Q$3004,"&gt;0"))</f>
        <v/>
      </c>
      <c r="N740" s="15" t="str">
        <f aca="false">IF(N(M740)=0,"",_xlfn.MINIFS(ENSAYOS!$G$5:$G$3004,ENSAYOS!$C$5:$C$3004,F740,ENSAYOS!$Q$5:$Q$3004,"&gt;0"))</f>
        <v/>
      </c>
      <c r="O740" s="15" t="str">
        <f aca="false">IF(N(M740)=0,"",_xlfn.MAXIFS(ENSAYOS!$G$5:$G$3004,ENSAYOS!$C$5:$C$3004,F740,ENSAYOS!$Q$5:$Q$3004,"&gt;0"))</f>
        <v/>
      </c>
      <c r="P740" s="16" t="str">
        <f aca="false">IF(N(M740)=0,"",AVERAGEIFS(ENSAYOS!$Q$5:$Q$3004,ENSAYOS!$C$5:$C$3004,F740,ENSAYOS!$Q$5:$Q$3004,"&gt;0"))</f>
        <v/>
      </c>
      <c r="Q740" s="16" t="str">
        <f aca="false">IF(N(M740)=0,"",_xlfn.MINIFS(ENSAYOS!$Q$5:$Q$3004,ENSAYOS!$C$5:$C$3004,F740,ENSAYOS!$Q$5:$Q$3004,"&gt;0"))</f>
        <v/>
      </c>
      <c r="R740" s="16" t="str">
        <f aca="false">IF(N(M740)=0,"",_xlfn.MAXIFS(ENSAYOS!$Q$5:$Q$3004,ENSAYOS!$C$5:$C$3004,F740,ENSAYOS!$Q$5:$Q$3004,"&gt;0"))</f>
        <v/>
      </c>
      <c r="S740" s="16" t="str">
        <f aca="false">IF(N(M740)&lt;2,"",SQRT(MAX(0,(SUMIFS(ENSAYOS!$X$5:$X$3004,ENSAYOS!$C$5:$C$3004,F740,ENSAYOS!$Q$5:$Q$3004,"&gt;0")-M740*P740^2)/(M740-1))))</f>
        <v/>
      </c>
      <c r="T740" s="17" t="str">
        <f aca="false">IF(S740="","",S740/P740)</f>
        <v/>
      </c>
      <c r="U740" s="16" t="str">
        <f aca="false">IF(N(M740)=0,"",IF(N740&gt;=CONFIG!$B$27,"",AVERAGEIFS(ENSAYOS!$Q$5:$Q$3004,ENSAYOS!$C$5:$C$3004,F740,ENSAYOS!$Q$5:$Q$3004,"&gt;0",ENSAYOS!$G$5:$G$3004,N740)))</f>
        <v/>
      </c>
      <c r="V740" s="16" t="str">
        <f aca="false">IF(N(M740)=0,"",IF(COUNTIFS(ENSAYOS!$C$5:$C$3004,F740,ENSAYOS!$Q$5:$Q$3004,"&gt;0",ENSAYOS!$G$5:$G$3004,"&gt;="&amp;CONFIG!$B$27)=0,"",AVERAGEIFS(ENSAYOS!$Q$5:$Q$3004,ENSAYOS!$C$5:$C$3004,F740,ENSAYOS!$Q$5:$Q$3004,"&gt;0",ENSAYOS!$G$5:$G$3004,"&gt;="&amp;CONFIG!$B$27)))</f>
        <v/>
      </c>
      <c r="W740" s="18" t="str">
        <f aca="false">IF(AND(U740&lt;&gt;"",V740&lt;&gt;""),U740/V740,"")</f>
        <v/>
      </c>
      <c r="X740" s="18" t="str">
        <f aca="false">IF(U740="","",INDEX('CURVA EDAD'!$E$5:$E$32,MIN(28,MAX(1,N740))))</f>
        <v/>
      </c>
      <c r="Y740" s="16" t="str">
        <f aca="false">IF(V740&lt;&gt;"",V740,IF(U740="","",U740/X740))</f>
        <v/>
      </c>
      <c r="Z740" s="16" t="str">
        <f aca="false">IF(V740&lt;&gt;"",_xlfn.MINIFS(ENSAYOS!$Q$5:$Q$3004,ENSAYOS!$C$5:$C$3004,F740,ENSAYOS!$Q$5:$Q$3004,"&gt;0",ENSAYOS!$G$5:$G$3004,"&gt;="&amp;CONFIG!$B$27),IF(U740="","",_xlfn.MINIFS(ENSAYOS!$Q$5:$Q$3004,ENSAYOS!$C$5:$C$3004,F740,ENSAYOS!$Q$5:$Q$3004,"&gt;0",ENSAYOS!$G$5:$G$3004,N740)/X740))</f>
        <v/>
      </c>
      <c r="AA740" s="16" t="str">
        <f aca="false">IF(D740="","",IFERROR(1/(1/INDEX(CONFIG!$J$5:$J$14,MATCH(D740,CONFIG!$D$5:$D$14,0))),""))</f>
        <v/>
      </c>
      <c r="AB740" s="16" t="str">
        <f aca="false">IF(D740="","",IFERROR(1/(1/INDEX(CONFIG!$K$5:$K$14,MATCH(D740,CONFIG!$D$5:$D$14,0))),""))</f>
        <v/>
      </c>
      <c r="AC740" s="19" t="str">
        <f aca="false">IF(N(M740)=0,"",IF(AA740="","Sin spec",IF(AND(Y740&gt;=AA740,OR(AB740="",Z740&gt;=AB740)),"CUMPLE","NO CUMPLE")&amp;IF(V740=""," (est.)","")))</f>
        <v/>
      </c>
      <c r="AD740" s="20" t="str">
        <f aca="false">IF(F740="","",IF(COUNTIFS(ABSORCION!$C$5:$C$1004,F740,ABSORCION!$I$5:$I$1004,"&gt;0")=0,"",AVERAGEIFS(ABSORCION!$I$5:$I$1004,ABSORCION!$C$5:$C$1004,F740,ABSORCION!$I$5:$I$1004,"&gt;0")))</f>
        <v/>
      </c>
      <c r="AE740" s="20" t="str">
        <f aca="false">IF(F740="","",IF(COUNTIFS(ABSORCION!$C$5:$C$1004,F740,ABSORCION!$I$5:$I$1004,"&gt;0")=0,"",AVERAGEIFS(ABSORCION!$K$5:$K$1004,ABSORCION!$C$5:$C$1004,F740,ABSORCION!$I$5:$I$1004,"&gt;0")))</f>
        <v/>
      </c>
      <c r="AF740" s="20" t="str">
        <f aca="false">IF(AE740="","",IF(AE740&gt;=CONFIG!$E$21,CONFIG!$F$21,IF(AE740&gt;=CONFIG!$E$20,CONFIG!$F$20,CONFIG!$F$19)))</f>
        <v/>
      </c>
      <c r="AG740" s="21" t="str">
        <f aca="false">IF(F740="","",TRIM(IF(N(M740)=0,"Sin ensayos. ","")&amp;IF(AND(N(M740)&gt;0,N(M740)&lt;CONFIG!$B$26),"Menos de "&amp;CONFIG!$B$26&amp;" probetas. ","")&amp;IF(N(T740)&gt;CONFIG!$B$25,"CV alto. ","")&amp;IF(AND(N(AD740)&gt;0,N(AD740)&gt;N(AF740)),"Absorción alta. ","")))</f>
        <v/>
      </c>
      <c r="AH740" s="22" t="str">
        <f aca="false">IF(AND(N(M740)&gt;0,OR(CONTROL!$C$4="TODAS",C740=CONTROL!$C$4),D740=CONTROL!$C$5),MAX($AH$4:AH739)+1,"")</f>
        <v/>
      </c>
      <c r="AI740" s="22" t="str">
        <f aca="false">IF(AH740="","",P740^2)</f>
        <v/>
      </c>
    </row>
    <row r="741" customFormat="false" ht="15" hidden="false" customHeight="false" outlineLevel="0" collapsed="false">
      <c r="A741" s="11" t="str">
        <f aca="false">IF(B741="","",ROW()-4)</f>
        <v/>
      </c>
      <c r="B741" s="12"/>
      <c r="C741" s="13"/>
      <c r="D741" s="13"/>
      <c r="E741" s="13"/>
      <c r="F741" s="14" t="str">
        <f aca="false">IF(OR(B741="",C741="",D741=""),"",IFERROR(INDEX(CONFIG!$E$5:$E$14,MATCH(D741,CONFIG!$D$5:$D$14,0)),"?")&amp;RIGHT("0"&amp;DAY(B741),2)&amp;RIGHT("0"&amp;MONTH(B741),2)&amp;RIGHT(YEAR(B741),2)&amp;C741&amp;IF(E741="","","-"&amp;E741))</f>
        <v/>
      </c>
      <c r="G741" s="13"/>
      <c r="H741" s="13"/>
      <c r="I741" s="13"/>
      <c r="J741" s="13"/>
      <c r="K741" s="13"/>
      <c r="L741" s="13"/>
      <c r="M741" s="11" t="str">
        <f aca="false">IF(F741="","",COUNTIFS(ENSAYOS!$C$5:$C$3004,F741,ENSAYOS!$Q$5:$Q$3004,"&gt;0"))</f>
        <v/>
      </c>
      <c r="N741" s="15" t="str">
        <f aca="false">IF(N(M741)=0,"",_xlfn.MINIFS(ENSAYOS!$G$5:$G$3004,ENSAYOS!$C$5:$C$3004,F741,ENSAYOS!$Q$5:$Q$3004,"&gt;0"))</f>
        <v/>
      </c>
      <c r="O741" s="15" t="str">
        <f aca="false">IF(N(M741)=0,"",_xlfn.MAXIFS(ENSAYOS!$G$5:$G$3004,ENSAYOS!$C$5:$C$3004,F741,ENSAYOS!$Q$5:$Q$3004,"&gt;0"))</f>
        <v/>
      </c>
      <c r="P741" s="16" t="str">
        <f aca="false">IF(N(M741)=0,"",AVERAGEIFS(ENSAYOS!$Q$5:$Q$3004,ENSAYOS!$C$5:$C$3004,F741,ENSAYOS!$Q$5:$Q$3004,"&gt;0"))</f>
        <v/>
      </c>
      <c r="Q741" s="16" t="str">
        <f aca="false">IF(N(M741)=0,"",_xlfn.MINIFS(ENSAYOS!$Q$5:$Q$3004,ENSAYOS!$C$5:$C$3004,F741,ENSAYOS!$Q$5:$Q$3004,"&gt;0"))</f>
        <v/>
      </c>
      <c r="R741" s="16" t="str">
        <f aca="false">IF(N(M741)=0,"",_xlfn.MAXIFS(ENSAYOS!$Q$5:$Q$3004,ENSAYOS!$C$5:$C$3004,F741,ENSAYOS!$Q$5:$Q$3004,"&gt;0"))</f>
        <v/>
      </c>
      <c r="S741" s="16" t="str">
        <f aca="false">IF(N(M741)&lt;2,"",SQRT(MAX(0,(SUMIFS(ENSAYOS!$X$5:$X$3004,ENSAYOS!$C$5:$C$3004,F741,ENSAYOS!$Q$5:$Q$3004,"&gt;0")-M741*P741^2)/(M741-1))))</f>
        <v/>
      </c>
      <c r="T741" s="17" t="str">
        <f aca="false">IF(S741="","",S741/P741)</f>
        <v/>
      </c>
      <c r="U741" s="16" t="str">
        <f aca="false">IF(N(M741)=0,"",IF(N741&gt;=CONFIG!$B$27,"",AVERAGEIFS(ENSAYOS!$Q$5:$Q$3004,ENSAYOS!$C$5:$C$3004,F741,ENSAYOS!$Q$5:$Q$3004,"&gt;0",ENSAYOS!$G$5:$G$3004,N741)))</f>
        <v/>
      </c>
      <c r="V741" s="16" t="str">
        <f aca="false">IF(N(M741)=0,"",IF(COUNTIFS(ENSAYOS!$C$5:$C$3004,F741,ENSAYOS!$Q$5:$Q$3004,"&gt;0",ENSAYOS!$G$5:$G$3004,"&gt;="&amp;CONFIG!$B$27)=0,"",AVERAGEIFS(ENSAYOS!$Q$5:$Q$3004,ENSAYOS!$C$5:$C$3004,F741,ENSAYOS!$Q$5:$Q$3004,"&gt;0",ENSAYOS!$G$5:$G$3004,"&gt;="&amp;CONFIG!$B$27)))</f>
        <v/>
      </c>
      <c r="W741" s="18" t="str">
        <f aca="false">IF(AND(U741&lt;&gt;"",V741&lt;&gt;""),U741/V741,"")</f>
        <v/>
      </c>
      <c r="X741" s="18" t="str">
        <f aca="false">IF(U741="","",INDEX('CURVA EDAD'!$E$5:$E$32,MIN(28,MAX(1,N741))))</f>
        <v/>
      </c>
      <c r="Y741" s="16" t="str">
        <f aca="false">IF(V741&lt;&gt;"",V741,IF(U741="","",U741/X741))</f>
        <v/>
      </c>
      <c r="Z741" s="16" t="str">
        <f aca="false">IF(V741&lt;&gt;"",_xlfn.MINIFS(ENSAYOS!$Q$5:$Q$3004,ENSAYOS!$C$5:$C$3004,F741,ENSAYOS!$Q$5:$Q$3004,"&gt;0",ENSAYOS!$G$5:$G$3004,"&gt;="&amp;CONFIG!$B$27),IF(U741="","",_xlfn.MINIFS(ENSAYOS!$Q$5:$Q$3004,ENSAYOS!$C$5:$C$3004,F741,ENSAYOS!$Q$5:$Q$3004,"&gt;0",ENSAYOS!$G$5:$G$3004,N741)/X741))</f>
        <v/>
      </c>
      <c r="AA741" s="16" t="str">
        <f aca="false">IF(D741="","",IFERROR(1/(1/INDEX(CONFIG!$J$5:$J$14,MATCH(D741,CONFIG!$D$5:$D$14,0))),""))</f>
        <v/>
      </c>
      <c r="AB741" s="16" t="str">
        <f aca="false">IF(D741="","",IFERROR(1/(1/INDEX(CONFIG!$K$5:$K$14,MATCH(D741,CONFIG!$D$5:$D$14,0))),""))</f>
        <v/>
      </c>
      <c r="AC741" s="19" t="str">
        <f aca="false">IF(N(M741)=0,"",IF(AA741="","Sin spec",IF(AND(Y741&gt;=AA741,OR(AB741="",Z741&gt;=AB741)),"CUMPLE","NO CUMPLE")&amp;IF(V741=""," (est.)","")))</f>
        <v/>
      </c>
      <c r="AD741" s="20" t="str">
        <f aca="false">IF(F741="","",IF(COUNTIFS(ABSORCION!$C$5:$C$1004,F741,ABSORCION!$I$5:$I$1004,"&gt;0")=0,"",AVERAGEIFS(ABSORCION!$I$5:$I$1004,ABSORCION!$C$5:$C$1004,F741,ABSORCION!$I$5:$I$1004,"&gt;0")))</f>
        <v/>
      </c>
      <c r="AE741" s="20" t="str">
        <f aca="false">IF(F741="","",IF(COUNTIFS(ABSORCION!$C$5:$C$1004,F741,ABSORCION!$I$5:$I$1004,"&gt;0")=0,"",AVERAGEIFS(ABSORCION!$K$5:$K$1004,ABSORCION!$C$5:$C$1004,F741,ABSORCION!$I$5:$I$1004,"&gt;0")))</f>
        <v/>
      </c>
      <c r="AF741" s="20" t="str">
        <f aca="false">IF(AE741="","",IF(AE741&gt;=CONFIG!$E$21,CONFIG!$F$21,IF(AE741&gt;=CONFIG!$E$20,CONFIG!$F$20,CONFIG!$F$19)))</f>
        <v/>
      </c>
      <c r="AG741" s="21" t="str">
        <f aca="false">IF(F741="","",TRIM(IF(N(M741)=0,"Sin ensayos. ","")&amp;IF(AND(N(M741)&gt;0,N(M741)&lt;CONFIG!$B$26),"Menos de "&amp;CONFIG!$B$26&amp;" probetas. ","")&amp;IF(N(T741)&gt;CONFIG!$B$25,"CV alto. ","")&amp;IF(AND(N(AD741)&gt;0,N(AD741)&gt;N(AF741)),"Absorción alta. ","")))</f>
        <v/>
      </c>
      <c r="AH741" s="22" t="str">
        <f aca="false">IF(AND(N(M741)&gt;0,OR(CONTROL!$C$4="TODAS",C741=CONTROL!$C$4),D741=CONTROL!$C$5),MAX($AH$4:AH740)+1,"")</f>
        <v/>
      </c>
      <c r="AI741" s="22" t="str">
        <f aca="false">IF(AH741="","",P741^2)</f>
        <v/>
      </c>
    </row>
    <row r="742" customFormat="false" ht="15" hidden="false" customHeight="false" outlineLevel="0" collapsed="false">
      <c r="A742" s="11" t="str">
        <f aca="false">IF(B742="","",ROW()-4)</f>
        <v/>
      </c>
      <c r="B742" s="12"/>
      <c r="C742" s="13"/>
      <c r="D742" s="13"/>
      <c r="E742" s="13"/>
      <c r="F742" s="14" t="str">
        <f aca="false">IF(OR(B742="",C742="",D742=""),"",IFERROR(INDEX(CONFIG!$E$5:$E$14,MATCH(D742,CONFIG!$D$5:$D$14,0)),"?")&amp;RIGHT("0"&amp;DAY(B742),2)&amp;RIGHT("0"&amp;MONTH(B742),2)&amp;RIGHT(YEAR(B742),2)&amp;C742&amp;IF(E742="","","-"&amp;E742))</f>
        <v/>
      </c>
      <c r="G742" s="13"/>
      <c r="H742" s="13"/>
      <c r="I742" s="13"/>
      <c r="J742" s="13"/>
      <c r="K742" s="13"/>
      <c r="L742" s="13"/>
      <c r="M742" s="11" t="str">
        <f aca="false">IF(F742="","",COUNTIFS(ENSAYOS!$C$5:$C$3004,F742,ENSAYOS!$Q$5:$Q$3004,"&gt;0"))</f>
        <v/>
      </c>
      <c r="N742" s="15" t="str">
        <f aca="false">IF(N(M742)=0,"",_xlfn.MINIFS(ENSAYOS!$G$5:$G$3004,ENSAYOS!$C$5:$C$3004,F742,ENSAYOS!$Q$5:$Q$3004,"&gt;0"))</f>
        <v/>
      </c>
      <c r="O742" s="15" t="str">
        <f aca="false">IF(N(M742)=0,"",_xlfn.MAXIFS(ENSAYOS!$G$5:$G$3004,ENSAYOS!$C$5:$C$3004,F742,ENSAYOS!$Q$5:$Q$3004,"&gt;0"))</f>
        <v/>
      </c>
      <c r="P742" s="16" t="str">
        <f aca="false">IF(N(M742)=0,"",AVERAGEIFS(ENSAYOS!$Q$5:$Q$3004,ENSAYOS!$C$5:$C$3004,F742,ENSAYOS!$Q$5:$Q$3004,"&gt;0"))</f>
        <v/>
      </c>
      <c r="Q742" s="16" t="str">
        <f aca="false">IF(N(M742)=0,"",_xlfn.MINIFS(ENSAYOS!$Q$5:$Q$3004,ENSAYOS!$C$5:$C$3004,F742,ENSAYOS!$Q$5:$Q$3004,"&gt;0"))</f>
        <v/>
      </c>
      <c r="R742" s="16" t="str">
        <f aca="false">IF(N(M742)=0,"",_xlfn.MAXIFS(ENSAYOS!$Q$5:$Q$3004,ENSAYOS!$C$5:$C$3004,F742,ENSAYOS!$Q$5:$Q$3004,"&gt;0"))</f>
        <v/>
      </c>
      <c r="S742" s="16" t="str">
        <f aca="false">IF(N(M742)&lt;2,"",SQRT(MAX(0,(SUMIFS(ENSAYOS!$X$5:$X$3004,ENSAYOS!$C$5:$C$3004,F742,ENSAYOS!$Q$5:$Q$3004,"&gt;0")-M742*P742^2)/(M742-1))))</f>
        <v/>
      </c>
      <c r="T742" s="17" t="str">
        <f aca="false">IF(S742="","",S742/P742)</f>
        <v/>
      </c>
      <c r="U742" s="16" t="str">
        <f aca="false">IF(N(M742)=0,"",IF(N742&gt;=CONFIG!$B$27,"",AVERAGEIFS(ENSAYOS!$Q$5:$Q$3004,ENSAYOS!$C$5:$C$3004,F742,ENSAYOS!$Q$5:$Q$3004,"&gt;0",ENSAYOS!$G$5:$G$3004,N742)))</f>
        <v/>
      </c>
      <c r="V742" s="16" t="str">
        <f aca="false">IF(N(M742)=0,"",IF(COUNTIFS(ENSAYOS!$C$5:$C$3004,F742,ENSAYOS!$Q$5:$Q$3004,"&gt;0",ENSAYOS!$G$5:$G$3004,"&gt;="&amp;CONFIG!$B$27)=0,"",AVERAGEIFS(ENSAYOS!$Q$5:$Q$3004,ENSAYOS!$C$5:$C$3004,F742,ENSAYOS!$Q$5:$Q$3004,"&gt;0",ENSAYOS!$G$5:$G$3004,"&gt;="&amp;CONFIG!$B$27)))</f>
        <v/>
      </c>
      <c r="W742" s="18" t="str">
        <f aca="false">IF(AND(U742&lt;&gt;"",V742&lt;&gt;""),U742/V742,"")</f>
        <v/>
      </c>
      <c r="X742" s="18" t="str">
        <f aca="false">IF(U742="","",INDEX('CURVA EDAD'!$E$5:$E$32,MIN(28,MAX(1,N742))))</f>
        <v/>
      </c>
      <c r="Y742" s="16" t="str">
        <f aca="false">IF(V742&lt;&gt;"",V742,IF(U742="","",U742/X742))</f>
        <v/>
      </c>
      <c r="Z742" s="16" t="str">
        <f aca="false">IF(V742&lt;&gt;"",_xlfn.MINIFS(ENSAYOS!$Q$5:$Q$3004,ENSAYOS!$C$5:$C$3004,F742,ENSAYOS!$Q$5:$Q$3004,"&gt;0",ENSAYOS!$G$5:$G$3004,"&gt;="&amp;CONFIG!$B$27),IF(U742="","",_xlfn.MINIFS(ENSAYOS!$Q$5:$Q$3004,ENSAYOS!$C$5:$C$3004,F742,ENSAYOS!$Q$5:$Q$3004,"&gt;0",ENSAYOS!$G$5:$G$3004,N742)/X742))</f>
        <v/>
      </c>
      <c r="AA742" s="16" t="str">
        <f aca="false">IF(D742="","",IFERROR(1/(1/INDEX(CONFIG!$J$5:$J$14,MATCH(D742,CONFIG!$D$5:$D$14,0))),""))</f>
        <v/>
      </c>
      <c r="AB742" s="16" t="str">
        <f aca="false">IF(D742="","",IFERROR(1/(1/INDEX(CONFIG!$K$5:$K$14,MATCH(D742,CONFIG!$D$5:$D$14,0))),""))</f>
        <v/>
      </c>
      <c r="AC742" s="19" t="str">
        <f aca="false">IF(N(M742)=0,"",IF(AA742="","Sin spec",IF(AND(Y742&gt;=AA742,OR(AB742="",Z742&gt;=AB742)),"CUMPLE","NO CUMPLE")&amp;IF(V742=""," (est.)","")))</f>
        <v/>
      </c>
      <c r="AD742" s="20" t="str">
        <f aca="false">IF(F742="","",IF(COUNTIFS(ABSORCION!$C$5:$C$1004,F742,ABSORCION!$I$5:$I$1004,"&gt;0")=0,"",AVERAGEIFS(ABSORCION!$I$5:$I$1004,ABSORCION!$C$5:$C$1004,F742,ABSORCION!$I$5:$I$1004,"&gt;0")))</f>
        <v/>
      </c>
      <c r="AE742" s="20" t="str">
        <f aca="false">IF(F742="","",IF(COUNTIFS(ABSORCION!$C$5:$C$1004,F742,ABSORCION!$I$5:$I$1004,"&gt;0")=0,"",AVERAGEIFS(ABSORCION!$K$5:$K$1004,ABSORCION!$C$5:$C$1004,F742,ABSORCION!$I$5:$I$1004,"&gt;0")))</f>
        <v/>
      </c>
      <c r="AF742" s="20" t="str">
        <f aca="false">IF(AE742="","",IF(AE742&gt;=CONFIG!$E$21,CONFIG!$F$21,IF(AE742&gt;=CONFIG!$E$20,CONFIG!$F$20,CONFIG!$F$19)))</f>
        <v/>
      </c>
      <c r="AG742" s="21" t="str">
        <f aca="false">IF(F742="","",TRIM(IF(N(M742)=0,"Sin ensayos. ","")&amp;IF(AND(N(M742)&gt;0,N(M742)&lt;CONFIG!$B$26),"Menos de "&amp;CONFIG!$B$26&amp;" probetas. ","")&amp;IF(N(T742)&gt;CONFIG!$B$25,"CV alto. ","")&amp;IF(AND(N(AD742)&gt;0,N(AD742)&gt;N(AF742)),"Absorción alta. ","")))</f>
        <v/>
      </c>
      <c r="AH742" s="22" t="str">
        <f aca="false">IF(AND(N(M742)&gt;0,OR(CONTROL!$C$4="TODAS",C742=CONTROL!$C$4),D742=CONTROL!$C$5),MAX($AH$4:AH741)+1,"")</f>
        <v/>
      </c>
      <c r="AI742" s="22" t="str">
        <f aca="false">IF(AH742="","",P742^2)</f>
        <v/>
      </c>
    </row>
    <row r="743" customFormat="false" ht="15" hidden="false" customHeight="false" outlineLevel="0" collapsed="false">
      <c r="A743" s="11" t="str">
        <f aca="false">IF(B743="","",ROW()-4)</f>
        <v/>
      </c>
      <c r="B743" s="12"/>
      <c r="C743" s="13"/>
      <c r="D743" s="13"/>
      <c r="E743" s="13"/>
      <c r="F743" s="14" t="str">
        <f aca="false">IF(OR(B743="",C743="",D743=""),"",IFERROR(INDEX(CONFIG!$E$5:$E$14,MATCH(D743,CONFIG!$D$5:$D$14,0)),"?")&amp;RIGHT("0"&amp;DAY(B743),2)&amp;RIGHT("0"&amp;MONTH(B743),2)&amp;RIGHT(YEAR(B743),2)&amp;C743&amp;IF(E743="","","-"&amp;E743))</f>
        <v/>
      </c>
      <c r="G743" s="13"/>
      <c r="H743" s="13"/>
      <c r="I743" s="13"/>
      <c r="J743" s="13"/>
      <c r="K743" s="13"/>
      <c r="L743" s="13"/>
      <c r="M743" s="11" t="str">
        <f aca="false">IF(F743="","",COUNTIFS(ENSAYOS!$C$5:$C$3004,F743,ENSAYOS!$Q$5:$Q$3004,"&gt;0"))</f>
        <v/>
      </c>
      <c r="N743" s="15" t="str">
        <f aca="false">IF(N(M743)=0,"",_xlfn.MINIFS(ENSAYOS!$G$5:$G$3004,ENSAYOS!$C$5:$C$3004,F743,ENSAYOS!$Q$5:$Q$3004,"&gt;0"))</f>
        <v/>
      </c>
      <c r="O743" s="15" t="str">
        <f aca="false">IF(N(M743)=0,"",_xlfn.MAXIFS(ENSAYOS!$G$5:$G$3004,ENSAYOS!$C$5:$C$3004,F743,ENSAYOS!$Q$5:$Q$3004,"&gt;0"))</f>
        <v/>
      </c>
      <c r="P743" s="16" t="str">
        <f aca="false">IF(N(M743)=0,"",AVERAGEIFS(ENSAYOS!$Q$5:$Q$3004,ENSAYOS!$C$5:$C$3004,F743,ENSAYOS!$Q$5:$Q$3004,"&gt;0"))</f>
        <v/>
      </c>
      <c r="Q743" s="16" t="str">
        <f aca="false">IF(N(M743)=0,"",_xlfn.MINIFS(ENSAYOS!$Q$5:$Q$3004,ENSAYOS!$C$5:$C$3004,F743,ENSAYOS!$Q$5:$Q$3004,"&gt;0"))</f>
        <v/>
      </c>
      <c r="R743" s="16" t="str">
        <f aca="false">IF(N(M743)=0,"",_xlfn.MAXIFS(ENSAYOS!$Q$5:$Q$3004,ENSAYOS!$C$5:$C$3004,F743,ENSAYOS!$Q$5:$Q$3004,"&gt;0"))</f>
        <v/>
      </c>
      <c r="S743" s="16" t="str">
        <f aca="false">IF(N(M743)&lt;2,"",SQRT(MAX(0,(SUMIFS(ENSAYOS!$X$5:$X$3004,ENSAYOS!$C$5:$C$3004,F743,ENSAYOS!$Q$5:$Q$3004,"&gt;0")-M743*P743^2)/(M743-1))))</f>
        <v/>
      </c>
      <c r="T743" s="17" t="str">
        <f aca="false">IF(S743="","",S743/P743)</f>
        <v/>
      </c>
      <c r="U743" s="16" t="str">
        <f aca="false">IF(N(M743)=0,"",IF(N743&gt;=CONFIG!$B$27,"",AVERAGEIFS(ENSAYOS!$Q$5:$Q$3004,ENSAYOS!$C$5:$C$3004,F743,ENSAYOS!$Q$5:$Q$3004,"&gt;0",ENSAYOS!$G$5:$G$3004,N743)))</f>
        <v/>
      </c>
      <c r="V743" s="16" t="str">
        <f aca="false">IF(N(M743)=0,"",IF(COUNTIFS(ENSAYOS!$C$5:$C$3004,F743,ENSAYOS!$Q$5:$Q$3004,"&gt;0",ENSAYOS!$G$5:$G$3004,"&gt;="&amp;CONFIG!$B$27)=0,"",AVERAGEIFS(ENSAYOS!$Q$5:$Q$3004,ENSAYOS!$C$5:$C$3004,F743,ENSAYOS!$Q$5:$Q$3004,"&gt;0",ENSAYOS!$G$5:$G$3004,"&gt;="&amp;CONFIG!$B$27)))</f>
        <v/>
      </c>
      <c r="W743" s="18" t="str">
        <f aca="false">IF(AND(U743&lt;&gt;"",V743&lt;&gt;""),U743/V743,"")</f>
        <v/>
      </c>
      <c r="X743" s="18" t="str">
        <f aca="false">IF(U743="","",INDEX('CURVA EDAD'!$E$5:$E$32,MIN(28,MAX(1,N743))))</f>
        <v/>
      </c>
      <c r="Y743" s="16" t="str">
        <f aca="false">IF(V743&lt;&gt;"",V743,IF(U743="","",U743/X743))</f>
        <v/>
      </c>
      <c r="Z743" s="16" t="str">
        <f aca="false">IF(V743&lt;&gt;"",_xlfn.MINIFS(ENSAYOS!$Q$5:$Q$3004,ENSAYOS!$C$5:$C$3004,F743,ENSAYOS!$Q$5:$Q$3004,"&gt;0",ENSAYOS!$G$5:$G$3004,"&gt;="&amp;CONFIG!$B$27),IF(U743="","",_xlfn.MINIFS(ENSAYOS!$Q$5:$Q$3004,ENSAYOS!$C$5:$C$3004,F743,ENSAYOS!$Q$5:$Q$3004,"&gt;0",ENSAYOS!$G$5:$G$3004,N743)/X743))</f>
        <v/>
      </c>
      <c r="AA743" s="16" t="str">
        <f aca="false">IF(D743="","",IFERROR(1/(1/INDEX(CONFIG!$J$5:$J$14,MATCH(D743,CONFIG!$D$5:$D$14,0))),""))</f>
        <v/>
      </c>
      <c r="AB743" s="16" t="str">
        <f aca="false">IF(D743="","",IFERROR(1/(1/INDEX(CONFIG!$K$5:$K$14,MATCH(D743,CONFIG!$D$5:$D$14,0))),""))</f>
        <v/>
      </c>
      <c r="AC743" s="19" t="str">
        <f aca="false">IF(N(M743)=0,"",IF(AA743="","Sin spec",IF(AND(Y743&gt;=AA743,OR(AB743="",Z743&gt;=AB743)),"CUMPLE","NO CUMPLE")&amp;IF(V743=""," (est.)","")))</f>
        <v/>
      </c>
      <c r="AD743" s="20" t="str">
        <f aca="false">IF(F743="","",IF(COUNTIFS(ABSORCION!$C$5:$C$1004,F743,ABSORCION!$I$5:$I$1004,"&gt;0")=0,"",AVERAGEIFS(ABSORCION!$I$5:$I$1004,ABSORCION!$C$5:$C$1004,F743,ABSORCION!$I$5:$I$1004,"&gt;0")))</f>
        <v/>
      </c>
      <c r="AE743" s="20" t="str">
        <f aca="false">IF(F743="","",IF(COUNTIFS(ABSORCION!$C$5:$C$1004,F743,ABSORCION!$I$5:$I$1004,"&gt;0")=0,"",AVERAGEIFS(ABSORCION!$K$5:$K$1004,ABSORCION!$C$5:$C$1004,F743,ABSORCION!$I$5:$I$1004,"&gt;0")))</f>
        <v/>
      </c>
      <c r="AF743" s="20" t="str">
        <f aca="false">IF(AE743="","",IF(AE743&gt;=CONFIG!$E$21,CONFIG!$F$21,IF(AE743&gt;=CONFIG!$E$20,CONFIG!$F$20,CONFIG!$F$19)))</f>
        <v/>
      </c>
      <c r="AG743" s="21" t="str">
        <f aca="false">IF(F743="","",TRIM(IF(N(M743)=0,"Sin ensayos. ","")&amp;IF(AND(N(M743)&gt;0,N(M743)&lt;CONFIG!$B$26),"Menos de "&amp;CONFIG!$B$26&amp;" probetas. ","")&amp;IF(N(T743)&gt;CONFIG!$B$25,"CV alto. ","")&amp;IF(AND(N(AD743)&gt;0,N(AD743)&gt;N(AF743)),"Absorción alta. ","")))</f>
        <v/>
      </c>
      <c r="AH743" s="22" t="str">
        <f aca="false">IF(AND(N(M743)&gt;0,OR(CONTROL!$C$4="TODAS",C743=CONTROL!$C$4),D743=CONTROL!$C$5),MAX($AH$4:AH742)+1,"")</f>
        <v/>
      </c>
      <c r="AI743" s="22" t="str">
        <f aca="false">IF(AH743="","",P743^2)</f>
        <v/>
      </c>
    </row>
    <row r="744" customFormat="false" ht="15" hidden="false" customHeight="false" outlineLevel="0" collapsed="false">
      <c r="A744" s="11" t="str">
        <f aca="false">IF(B744="","",ROW()-4)</f>
        <v/>
      </c>
      <c r="B744" s="12"/>
      <c r="C744" s="13"/>
      <c r="D744" s="13"/>
      <c r="E744" s="13"/>
      <c r="F744" s="14" t="str">
        <f aca="false">IF(OR(B744="",C744="",D744=""),"",IFERROR(INDEX(CONFIG!$E$5:$E$14,MATCH(D744,CONFIG!$D$5:$D$14,0)),"?")&amp;RIGHT("0"&amp;DAY(B744),2)&amp;RIGHT("0"&amp;MONTH(B744),2)&amp;RIGHT(YEAR(B744),2)&amp;C744&amp;IF(E744="","","-"&amp;E744))</f>
        <v/>
      </c>
      <c r="G744" s="13"/>
      <c r="H744" s="13"/>
      <c r="I744" s="13"/>
      <c r="J744" s="13"/>
      <c r="K744" s="13"/>
      <c r="L744" s="13"/>
      <c r="M744" s="11" t="str">
        <f aca="false">IF(F744="","",COUNTIFS(ENSAYOS!$C$5:$C$3004,F744,ENSAYOS!$Q$5:$Q$3004,"&gt;0"))</f>
        <v/>
      </c>
      <c r="N744" s="15" t="str">
        <f aca="false">IF(N(M744)=0,"",_xlfn.MINIFS(ENSAYOS!$G$5:$G$3004,ENSAYOS!$C$5:$C$3004,F744,ENSAYOS!$Q$5:$Q$3004,"&gt;0"))</f>
        <v/>
      </c>
      <c r="O744" s="15" t="str">
        <f aca="false">IF(N(M744)=0,"",_xlfn.MAXIFS(ENSAYOS!$G$5:$G$3004,ENSAYOS!$C$5:$C$3004,F744,ENSAYOS!$Q$5:$Q$3004,"&gt;0"))</f>
        <v/>
      </c>
      <c r="P744" s="16" t="str">
        <f aca="false">IF(N(M744)=0,"",AVERAGEIFS(ENSAYOS!$Q$5:$Q$3004,ENSAYOS!$C$5:$C$3004,F744,ENSAYOS!$Q$5:$Q$3004,"&gt;0"))</f>
        <v/>
      </c>
      <c r="Q744" s="16" t="str">
        <f aca="false">IF(N(M744)=0,"",_xlfn.MINIFS(ENSAYOS!$Q$5:$Q$3004,ENSAYOS!$C$5:$C$3004,F744,ENSAYOS!$Q$5:$Q$3004,"&gt;0"))</f>
        <v/>
      </c>
      <c r="R744" s="16" t="str">
        <f aca="false">IF(N(M744)=0,"",_xlfn.MAXIFS(ENSAYOS!$Q$5:$Q$3004,ENSAYOS!$C$5:$C$3004,F744,ENSAYOS!$Q$5:$Q$3004,"&gt;0"))</f>
        <v/>
      </c>
      <c r="S744" s="16" t="str">
        <f aca="false">IF(N(M744)&lt;2,"",SQRT(MAX(0,(SUMIFS(ENSAYOS!$X$5:$X$3004,ENSAYOS!$C$5:$C$3004,F744,ENSAYOS!$Q$5:$Q$3004,"&gt;0")-M744*P744^2)/(M744-1))))</f>
        <v/>
      </c>
      <c r="T744" s="17" t="str">
        <f aca="false">IF(S744="","",S744/P744)</f>
        <v/>
      </c>
      <c r="U744" s="16" t="str">
        <f aca="false">IF(N(M744)=0,"",IF(N744&gt;=CONFIG!$B$27,"",AVERAGEIFS(ENSAYOS!$Q$5:$Q$3004,ENSAYOS!$C$5:$C$3004,F744,ENSAYOS!$Q$5:$Q$3004,"&gt;0",ENSAYOS!$G$5:$G$3004,N744)))</f>
        <v/>
      </c>
      <c r="V744" s="16" t="str">
        <f aca="false">IF(N(M744)=0,"",IF(COUNTIFS(ENSAYOS!$C$5:$C$3004,F744,ENSAYOS!$Q$5:$Q$3004,"&gt;0",ENSAYOS!$G$5:$G$3004,"&gt;="&amp;CONFIG!$B$27)=0,"",AVERAGEIFS(ENSAYOS!$Q$5:$Q$3004,ENSAYOS!$C$5:$C$3004,F744,ENSAYOS!$Q$5:$Q$3004,"&gt;0",ENSAYOS!$G$5:$G$3004,"&gt;="&amp;CONFIG!$B$27)))</f>
        <v/>
      </c>
      <c r="W744" s="18" t="str">
        <f aca="false">IF(AND(U744&lt;&gt;"",V744&lt;&gt;""),U744/V744,"")</f>
        <v/>
      </c>
      <c r="X744" s="18" t="str">
        <f aca="false">IF(U744="","",INDEX('CURVA EDAD'!$E$5:$E$32,MIN(28,MAX(1,N744))))</f>
        <v/>
      </c>
      <c r="Y744" s="16" t="str">
        <f aca="false">IF(V744&lt;&gt;"",V744,IF(U744="","",U744/X744))</f>
        <v/>
      </c>
      <c r="Z744" s="16" t="str">
        <f aca="false">IF(V744&lt;&gt;"",_xlfn.MINIFS(ENSAYOS!$Q$5:$Q$3004,ENSAYOS!$C$5:$C$3004,F744,ENSAYOS!$Q$5:$Q$3004,"&gt;0",ENSAYOS!$G$5:$G$3004,"&gt;="&amp;CONFIG!$B$27),IF(U744="","",_xlfn.MINIFS(ENSAYOS!$Q$5:$Q$3004,ENSAYOS!$C$5:$C$3004,F744,ENSAYOS!$Q$5:$Q$3004,"&gt;0",ENSAYOS!$G$5:$G$3004,N744)/X744))</f>
        <v/>
      </c>
      <c r="AA744" s="16" t="str">
        <f aca="false">IF(D744="","",IFERROR(1/(1/INDEX(CONFIG!$J$5:$J$14,MATCH(D744,CONFIG!$D$5:$D$14,0))),""))</f>
        <v/>
      </c>
      <c r="AB744" s="16" t="str">
        <f aca="false">IF(D744="","",IFERROR(1/(1/INDEX(CONFIG!$K$5:$K$14,MATCH(D744,CONFIG!$D$5:$D$14,0))),""))</f>
        <v/>
      </c>
      <c r="AC744" s="19" t="str">
        <f aca="false">IF(N(M744)=0,"",IF(AA744="","Sin spec",IF(AND(Y744&gt;=AA744,OR(AB744="",Z744&gt;=AB744)),"CUMPLE","NO CUMPLE")&amp;IF(V744=""," (est.)","")))</f>
        <v/>
      </c>
      <c r="AD744" s="20" t="str">
        <f aca="false">IF(F744="","",IF(COUNTIFS(ABSORCION!$C$5:$C$1004,F744,ABSORCION!$I$5:$I$1004,"&gt;0")=0,"",AVERAGEIFS(ABSORCION!$I$5:$I$1004,ABSORCION!$C$5:$C$1004,F744,ABSORCION!$I$5:$I$1004,"&gt;0")))</f>
        <v/>
      </c>
      <c r="AE744" s="20" t="str">
        <f aca="false">IF(F744="","",IF(COUNTIFS(ABSORCION!$C$5:$C$1004,F744,ABSORCION!$I$5:$I$1004,"&gt;0")=0,"",AVERAGEIFS(ABSORCION!$K$5:$K$1004,ABSORCION!$C$5:$C$1004,F744,ABSORCION!$I$5:$I$1004,"&gt;0")))</f>
        <v/>
      </c>
      <c r="AF744" s="20" t="str">
        <f aca="false">IF(AE744="","",IF(AE744&gt;=CONFIG!$E$21,CONFIG!$F$21,IF(AE744&gt;=CONFIG!$E$20,CONFIG!$F$20,CONFIG!$F$19)))</f>
        <v/>
      </c>
      <c r="AG744" s="21" t="str">
        <f aca="false">IF(F744="","",TRIM(IF(N(M744)=0,"Sin ensayos. ","")&amp;IF(AND(N(M744)&gt;0,N(M744)&lt;CONFIG!$B$26),"Menos de "&amp;CONFIG!$B$26&amp;" probetas. ","")&amp;IF(N(T744)&gt;CONFIG!$B$25,"CV alto. ","")&amp;IF(AND(N(AD744)&gt;0,N(AD744)&gt;N(AF744)),"Absorción alta. ","")))</f>
        <v/>
      </c>
      <c r="AH744" s="22" t="str">
        <f aca="false">IF(AND(N(M744)&gt;0,OR(CONTROL!$C$4="TODAS",C744=CONTROL!$C$4),D744=CONTROL!$C$5),MAX($AH$4:AH743)+1,"")</f>
        <v/>
      </c>
      <c r="AI744" s="22" t="str">
        <f aca="false">IF(AH744="","",P744^2)</f>
        <v/>
      </c>
    </row>
    <row r="745" customFormat="false" ht="15" hidden="false" customHeight="false" outlineLevel="0" collapsed="false">
      <c r="A745" s="11" t="str">
        <f aca="false">IF(B745="","",ROW()-4)</f>
        <v/>
      </c>
      <c r="B745" s="12"/>
      <c r="C745" s="13"/>
      <c r="D745" s="13"/>
      <c r="E745" s="13"/>
      <c r="F745" s="14" t="str">
        <f aca="false">IF(OR(B745="",C745="",D745=""),"",IFERROR(INDEX(CONFIG!$E$5:$E$14,MATCH(D745,CONFIG!$D$5:$D$14,0)),"?")&amp;RIGHT("0"&amp;DAY(B745),2)&amp;RIGHT("0"&amp;MONTH(B745),2)&amp;RIGHT(YEAR(B745),2)&amp;C745&amp;IF(E745="","","-"&amp;E745))</f>
        <v/>
      </c>
      <c r="G745" s="13"/>
      <c r="H745" s="13"/>
      <c r="I745" s="13"/>
      <c r="J745" s="13"/>
      <c r="K745" s="13"/>
      <c r="L745" s="13"/>
      <c r="M745" s="11" t="str">
        <f aca="false">IF(F745="","",COUNTIFS(ENSAYOS!$C$5:$C$3004,F745,ENSAYOS!$Q$5:$Q$3004,"&gt;0"))</f>
        <v/>
      </c>
      <c r="N745" s="15" t="str">
        <f aca="false">IF(N(M745)=0,"",_xlfn.MINIFS(ENSAYOS!$G$5:$G$3004,ENSAYOS!$C$5:$C$3004,F745,ENSAYOS!$Q$5:$Q$3004,"&gt;0"))</f>
        <v/>
      </c>
      <c r="O745" s="15" t="str">
        <f aca="false">IF(N(M745)=0,"",_xlfn.MAXIFS(ENSAYOS!$G$5:$G$3004,ENSAYOS!$C$5:$C$3004,F745,ENSAYOS!$Q$5:$Q$3004,"&gt;0"))</f>
        <v/>
      </c>
      <c r="P745" s="16" t="str">
        <f aca="false">IF(N(M745)=0,"",AVERAGEIFS(ENSAYOS!$Q$5:$Q$3004,ENSAYOS!$C$5:$C$3004,F745,ENSAYOS!$Q$5:$Q$3004,"&gt;0"))</f>
        <v/>
      </c>
      <c r="Q745" s="16" t="str">
        <f aca="false">IF(N(M745)=0,"",_xlfn.MINIFS(ENSAYOS!$Q$5:$Q$3004,ENSAYOS!$C$5:$C$3004,F745,ENSAYOS!$Q$5:$Q$3004,"&gt;0"))</f>
        <v/>
      </c>
      <c r="R745" s="16" t="str">
        <f aca="false">IF(N(M745)=0,"",_xlfn.MAXIFS(ENSAYOS!$Q$5:$Q$3004,ENSAYOS!$C$5:$C$3004,F745,ENSAYOS!$Q$5:$Q$3004,"&gt;0"))</f>
        <v/>
      </c>
      <c r="S745" s="16" t="str">
        <f aca="false">IF(N(M745)&lt;2,"",SQRT(MAX(0,(SUMIFS(ENSAYOS!$X$5:$X$3004,ENSAYOS!$C$5:$C$3004,F745,ENSAYOS!$Q$5:$Q$3004,"&gt;0")-M745*P745^2)/(M745-1))))</f>
        <v/>
      </c>
      <c r="T745" s="17" t="str">
        <f aca="false">IF(S745="","",S745/P745)</f>
        <v/>
      </c>
      <c r="U745" s="16" t="str">
        <f aca="false">IF(N(M745)=0,"",IF(N745&gt;=CONFIG!$B$27,"",AVERAGEIFS(ENSAYOS!$Q$5:$Q$3004,ENSAYOS!$C$5:$C$3004,F745,ENSAYOS!$Q$5:$Q$3004,"&gt;0",ENSAYOS!$G$5:$G$3004,N745)))</f>
        <v/>
      </c>
      <c r="V745" s="16" t="str">
        <f aca="false">IF(N(M745)=0,"",IF(COUNTIFS(ENSAYOS!$C$5:$C$3004,F745,ENSAYOS!$Q$5:$Q$3004,"&gt;0",ENSAYOS!$G$5:$G$3004,"&gt;="&amp;CONFIG!$B$27)=0,"",AVERAGEIFS(ENSAYOS!$Q$5:$Q$3004,ENSAYOS!$C$5:$C$3004,F745,ENSAYOS!$Q$5:$Q$3004,"&gt;0",ENSAYOS!$G$5:$G$3004,"&gt;="&amp;CONFIG!$B$27)))</f>
        <v/>
      </c>
      <c r="W745" s="18" t="str">
        <f aca="false">IF(AND(U745&lt;&gt;"",V745&lt;&gt;""),U745/V745,"")</f>
        <v/>
      </c>
      <c r="X745" s="18" t="str">
        <f aca="false">IF(U745="","",INDEX('CURVA EDAD'!$E$5:$E$32,MIN(28,MAX(1,N745))))</f>
        <v/>
      </c>
      <c r="Y745" s="16" t="str">
        <f aca="false">IF(V745&lt;&gt;"",V745,IF(U745="","",U745/X745))</f>
        <v/>
      </c>
      <c r="Z745" s="16" t="str">
        <f aca="false">IF(V745&lt;&gt;"",_xlfn.MINIFS(ENSAYOS!$Q$5:$Q$3004,ENSAYOS!$C$5:$C$3004,F745,ENSAYOS!$Q$5:$Q$3004,"&gt;0",ENSAYOS!$G$5:$G$3004,"&gt;="&amp;CONFIG!$B$27),IF(U745="","",_xlfn.MINIFS(ENSAYOS!$Q$5:$Q$3004,ENSAYOS!$C$5:$C$3004,F745,ENSAYOS!$Q$5:$Q$3004,"&gt;0",ENSAYOS!$G$5:$G$3004,N745)/X745))</f>
        <v/>
      </c>
      <c r="AA745" s="16" t="str">
        <f aca="false">IF(D745="","",IFERROR(1/(1/INDEX(CONFIG!$J$5:$J$14,MATCH(D745,CONFIG!$D$5:$D$14,0))),""))</f>
        <v/>
      </c>
      <c r="AB745" s="16" t="str">
        <f aca="false">IF(D745="","",IFERROR(1/(1/INDEX(CONFIG!$K$5:$K$14,MATCH(D745,CONFIG!$D$5:$D$14,0))),""))</f>
        <v/>
      </c>
      <c r="AC745" s="19" t="str">
        <f aca="false">IF(N(M745)=0,"",IF(AA745="","Sin spec",IF(AND(Y745&gt;=AA745,OR(AB745="",Z745&gt;=AB745)),"CUMPLE","NO CUMPLE")&amp;IF(V745=""," (est.)","")))</f>
        <v/>
      </c>
      <c r="AD745" s="20" t="str">
        <f aca="false">IF(F745="","",IF(COUNTIFS(ABSORCION!$C$5:$C$1004,F745,ABSORCION!$I$5:$I$1004,"&gt;0")=0,"",AVERAGEIFS(ABSORCION!$I$5:$I$1004,ABSORCION!$C$5:$C$1004,F745,ABSORCION!$I$5:$I$1004,"&gt;0")))</f>
        <v/>
      </c>
      <c r="AE745" s="20" t="str">
        <f aca="false">IF(F745="","",IF(COUNTIFS(ABSORCION!$C$5:$C$1004,F745,ABSORCION!$I$5:$I$1004,"&gt;0")=0,"",AVERAGEIFS(ABSORCION!$K$5:$K$1004,ABSORCION!$C$5:$C$1004,F745,ABSORCION!$I$5:$I$1004,"&gt;0")))</f>
        <v/>
      </c>
      <c r="AF745" s="20" t="str">
        <f aca="false">IF(AE745="","",IF(AE745&gt;=CONFIG!$E$21,CONFIG!$F$21,IF(AE745&gt;=CONFIG!$E$20,CONFIG!$F$20,CONFIG!$F$19)))</f>
        <v/>
      </c>
      <c r="AG745" s="21" t="str">
        <f aca="false">IF(F745="","",TRIM(IF(N(M745)=0,"Sin ensayos. ","")&amp;IF(AND(N(M745)&gt;0,N(M745)&lt;CONFIG!$B$26),"Menos de "&amp;CONFIG!$B$26&amp;" probetas. ","")&amp;IF(N(T745)&gt;CONFIG!$B$25,"CV alto. ","")&amp;IF(AND(N(AD745)&gt;0,N(AD745)&gt;N(AF745)),"Absorción alta. ","")))</f>
        <v/>
      </c>
      <c r="AH745" s="22" t="str">
        <f aca="false">IF(AND(N(M745)&gt;0,OR(CONTROL!$C$4="TODAS",C745=CONTROL!$C$4),D745=CONTROL!$C$5),MAX($AH$4:AH744)+1,"")</f>
        <v/>
      </c>
      <c r="AI745" s="22" t="str">
        <f aca="false">IF(AH745="","",P745^2)</f>
        <v/>
      </c>
    </row>
    <row r="746" customFormat="false" ht="15" hidden="false" customHeight="false" outlineLevel="0" collapsed="false">
      <c r="A746" s="11" t="str">
        <f aca="false">IF(B746="","",ROW()-4)</f>
        <v/>
      </c>
      <c r="B746" s="12"/>
      <c r="C746" s="13"/>
      <c r="D746" s="13"/>
      <c r="E746" s="13"/>
      <c r="F746" s="14" t="str">
        <f aca="false">IF(OR(B746="",C746="",D746=""),"",IFERROR(INDEX(CONFIG!$E$5:$E$14,MATCH(D746,CONFIG!$D$5:$D$14,0)),"?")&amp;RIGHT("0"&amp;DAY(B746),2)&amp;RIGHT("0"&amp;MONTH(B746),2)&amp;RIGHT(YEAR(B746),2)&amp;C746&amp;IF(E746="","","-"&amp;E746))</f>
        <v/>
      </c>
      <c r="G746" s="13"/>
      <c r="H746" s="13"/>
      <c r="I746" s="13"/>
      <c r="J746" s="13"/>
      <c r="K746" s="13"/>
      <c r="L746" s="13"/>
      <c r="M746" s="11" t="str">
        <f aca="false">IF(F746="","",COUNTIFS(ENSAYOS!$C$5:$C$3004,F746,ENSAYOS!$Q$5:$Q$3004,"&gt;0"))</f>
        <v/>
      </c>
      <c r="N746" s="15" t="str">
        <f aca="false">IF(N(M746)=0,"",_xlfn.MINIFS(ENSAYOS!$G$5:$G$3004,ENSAYOS!$C$5:$C$3004,F746,ENSAYOS!$Q$5:$Q$3004,"&gt;0"))</f>
        <v/>
      </c>
      <c r="O746" s="15" t="str">
        <f aca="false">IF(N(M746)=0,"",_xlfn.MAXIFS(ENSAYOS!$G$5:$G$3004,ENSAYOS!$C$5:$C$3004,F746,ENSAYOS!$Q$5:$Q$3004,"&gt;0"))</f>
        <v/>
      </c>
      <c r="P746" s="16" t="str">
        <f aca="false">IF(N(M746)=0,"",AVERAGEIFS(ENSAYOS!$Q$5:$Q$3004,ENSAYOS!$C$5:$C$3004,F746,ENSAYOS!$Q$5:$Q$3004,"&gt;0"))</f>
        <v/>
      </c>
      <c r="Q746" s="16" t="str">
        <f aca="false">IF(N(M746)=0,"",_xlfn.MINIFS(ENSAYOS!$Q$5:$Q$3004,ENSAYOS!$C$5:$C$3004,F746,ENSAYOS!$Q$5:$Q$3004,"&gt;0"))</f>
        <v/>
      </c>
      <c r="R746" s="16" t="str">
        <f aca="false">IF(N(M746)=0,"",_xlfn.MAXIFS(ENSAYOS!$Q$5:$Q$3004,ENSAYOS!$C$5:$C$3004,F746,ENSAYOS!$Q$5:$Q$3004,"&gt;0"))</f>
        <v/>
      </c>
      <c r="S746" s="16" t="str">
        <f aca="false">IF(N(M746)&lt;2,"",SQRT(MAX(0,(SUMIFS(ENSAYOS!$X$5:$X$3004,ENSAYOS!$C$5:$C$3004,F746,ENSAYOS!$Q$5:$Q$3004,"&gt;0")-M746*P746^2)/(M746-1))))</f>
        <v/>
      </c>
      <c r="T746" s="17" t="str">
        <f aca="false">IF(S746="","",S746/P746)</f>
        <v/>
      </c>
      <c r="U746" s="16" t="str">
        <f aca="false">IF(N(M746)=0,"",IF(N746&gt;=CONFIG!$B$27,"",AVERAGEIFS(ENSAYOS!$Q$5:$Q$3004,ENSAYOS!$C$5:$C$3004,F746,ENSAYOS!$Q$5:$Q$3004,"&gt;0",ENSAYOS!$G$5:$G$3004,N746)))</f>
        <v/>
      </c>
      <c r="V746" s="16" t="str">
        <f aca="false">IF(N(M746)=0,"",IF(COUNTIFS(ENSAYOS!$C$5:$C$3004,F746,ENSAYOS!$Q$5:$Q$3004,"&gt;0",ENSAYOS!$G$5:$G$3004,"&gt;="&amp;CONFIG!$B$27)=0,"",AVERAGEIFS(ENSAYOS!$Q$5:$Q$3004,ENSAYOS!$C$5:$C$3004,F746,ENSAYOS!$Q$5:$Q$3004,"&gt;0",ENSAYOS!$G$5:$G$3004,"&gt;="&amp;CONFIG!$B$27)))</f>
        <v/>
      </c>
      <c r="W746" s="18" t="str">
        <f aca="false">IF(AND(U746&lt;&gt;"",V746&lt;&gt;""),U746/V746,"")</f>
        <v/>
      </c>
      <c r="X746" s="18" t="str">
        <f aca="false">IF(U746="","",INDEX('CURVA EDAD'!$E$5:$E$32,MIN(28,MAX(1,N746))))</f>
        <v/>
      </c>
      <c r="Y746" s="16" t="str">
        <f aca="false">IF(V746&lt;&gt;"",V746,IF(U746="","",U746/X746))</f>
        <v/>
      </c>
      <c r="Z746" s="16" t="str">
        <f aca="false">IF(V746&lt;&gt;"",_xlfn.MINIFS(ENSAYOS!$Q$5:$Q$3004,ENSAYOS!$C$5:$C$3004,F746,ENSAYOS!$Q$5:$Q$3004,"&gt;0",ENSAYOS!$G$5:$G$3004,"&gt;="&amp;CONFIG!$B$27),IF(U746="","",_xlfn.MINIFS(ENSAYOS!$Q$5:$Q$3004,ENSAYOS!$C$5:$C$3004,F746,ENSAYOS!$Q$5:$Q$3004,"&gt;0",ENSAYOS!$G$5:$G$3004,N746)/X746))</f>
        <v/>
      </c>
      <c r="AA746" s="16" t="str">
        <f aca="false">IF(D746="","",IFERROR(1/(1/INDEX(CONFIG!$J$5:$J$14,MATCH(D746,CONFIG!$D$5:$D$14,0))),""))</f>
        <v/>
      </c>
      <c r="AB746" s="16" t="str">
        <f aca="false">IF(D746="","",IFERROR(1/(1/INDEX(CONFIG!$K$5:$K$14,MATCH(D746,CONFIG!$D$5:$D$14,0))),""))</f>
        <v/>
      </c>
      <c r="AC746" s="19" t="str">
        <f aca="false">IF(N(M746)=0,"",IF(AA746="","Sin spec",IF(AND(Y746&gt;=AA746,OR(AB746="",Z746&gt;=AB746)),"CUMPLE","NO CUMPLE")&amp;IF(V746=""," (est.)","")))</f>
        <v/>
      </c>
      <c r="AD746" s="20" t="str">
        <f aca="false">IF(F746="","",IF(COUNTIFS(ABSORCION!$C$5:$C$1004,F746,ABSORCION!$I$5:$I$1004,"&gt;0")=0,"",AVERAGEIFS(ABSORCION!$I$5:$I$1004,ABSORCION!$C$5:$C$1004,F746,ABSORCION!$I$5:$I$1004,"&gt;0")))</f>
        <v/>
      </c>
      <c r="AE746" s="20" t="str">
        <f aca="false">IF(F746="","",IF(COUNTIFS(ABSORCION!$C$5:$C$1004,F746,ABSORCION!$I$5:$I$1004,"&gt;0")=0,"",AVERAGEIFS(ABSORCION!$K$5:$K$1004,ABSORCION!$C$5:$C$1004,F746,ABSORCION!$I$5:$I$1004,"&gt;0")))</f>
        <v/>
      </c>
      <c r="AF746" s="20" t="str">
        <f aca="false">IF(AE746="","",IF(AE746&gt;=CONFIG!$E$21,CONFIG!$F$21,IF(AE746&gt;=CONFIG!$E$20,CONFIG!$F$20,CONFIG!$F$19)))</f>
        <v/>
      </c>
      <c r="AG746" s="21" t="str">
        <f aca="false">IF(F746="","",TRIM(IF(N(M746)=0,"Sin ensayos. ","")&amp;IF(AND(N(M746)&gt;0,N(M746)&lt;CONFIG!$B$26),"Menos de "&amp;CONFIG!$B$26&amp;" probetas. ","")&amp;IF(N(T746)&gt;CONFIG!$B$25,"CV alto. ","")&amp;IF(AND(N(AD746)&gt;0,N(AD746)&gt;N(AF746)),"Absorción alta. ","")))</f>
        <v/>
      </c>
      <c r="AH746" s="22" t="str">
        <f aca="false">IF(AND(N(M746)&gt;0,OR(CONTROL!$C$4="TODAS",C746=CONTROL!$C$4),D746=CONTROL!$C$5),MAX($AH$4:AH745)+1,"")</f>
        <v/>
      </c>
      <c r="AI746" s="22" t="str">
        <f aca="false">IF(AH746="","",P746^2)</f>
        <v/>
      </c>
    </row>
    <row r="747" customFormat="false" ht="15" hidden="false" customHeight="false" outlineLevel="0" collapsed="false">
      <c r="A747" s="11" t="str">
        <f aca="false">IF(B747="","",ROW()-4)</f>
        <v/>
      </c>
      <c r="B747" s="12"/>
      <c r="C747" s="13"/>
      <c r="D747" s="13"/>
      <c r="E747" s="13"/>
      <c r="F747" s="14" t="str">
        <f aca="false">IF(OR(B747="",C747="",D747=""),"",IFERROR(INDEX(CONFIG!$E$5:$E$14,MATCH(D747,CONFIG!$D$5:$D$14,0)),"?")&amp;RIGHT("0"&amp;DAY(B747),2)&amp;RIGHT("0"&amp;MONTH(B747),2)&amp;RIGHT(YEAR(B747),2)&amp;C747&amp;IF(E747="","","-"&amp;E747))</f>
        <v/>
      </c>
      <c r="G747" s="13"/>
      <c r="H747" s="13"/>
      <c r="I747" s="13"/>
      <c r="J747" s="13"/>
      <c r="K747" s="13"/>
      <c r="L747" s="13"/>
      <c r="M747" s="11" t="str">
        <f aca="false">IF(F747="","",COUNTIFS(ENSAYOS!$C$5:$C$3004,F747,ENSAYOS!$Q$5:$Q$3004,"&gt;0"))</f>
        <v/>
      </c>
      <c r="N747" s="15" t="str">
        <f aca="false">IF(N(M747)=0,"",_xlfn.MINIFS(ENSAYOS!$G$5:$G$3004,ENSAYOS!$C$5:$C$3004,F747,ENSAYOS!$Q$5:$Q$3004,"&gt;0"))</f>
        <v/>
      </c>
      <c r="O747" s="15" t="str">
        <f aca="false">IF(N(M747)=0,"",_xlfn.MAXIFS(ENSAYOS!$G$5:$G$3004,ENSAYOS!$C$5:$C$3004,F747,ENSAYOS!$Q$5:$Q$3004,"&gt;0"))</f>
        <v/>
      </c>
      <c r="P747" s="16" t="str">
        <f aca="false">IF(N(M747)=0,"",AVERAGEIFS(ENSAYOS!$Q$5:$Q$3004,ENSAYOS!$C$5:$C$3004,F747,ENSAYOS!$Q$5:$Q$3004,"&gt;0"))</f>
        <v/>
      </c>
      <c r="Q747" s="16" t="str">
        <f aca="false">IF(N(M747)=0,"",_xlfn.MINIFS(ENSAYOS!$Q$5:$Q$3004,ENSAYOS!$C$5:$C$3004,F747,ENSAYOS!$Q$5:$Q$3004,"&gt;0"))</f>
        <v/>
      </c>
      <c r="R747" s="16" t="str">
        <f aca="false">IF(N(M747)=0,"",_xlfn.MAXIFS(ENSAYOS!$Q$5:$Q$3004,ENSAYOS!$C$5:$C$3004,F747,ENSAYOS!$Q$5:$Q$3004,"&gt;0"))</f>
        <v/>
      </c>
      <c r="S747" s="16" t="str">
        <f aca="false">IF(N(M747)&lt;2,"",SQRT(MAX(0,(SUMIFS(ENSAYOS!$X$5:$X$3004,ENSAYOS!$C$5:$C$3004,F747,ENSAYOS!$Q$5:$Q$3004,"&gt;0")-M747*P747^2)/(M747-1))))</f>
        <v/>
      </c>
      <c r="T747" s="17" t="str">
        <f aca="false">IF(S747="","",S747/P747)</f>
        <v/>
      </c>
      <c r="U747" s="16" t="str">
        <f aca="false">IF(N(M747)=0,"",IF(N747&gt;=CONFIG!$B$27,"",AVERAGEIFS(ENSAYOS!$Q$5:$Q$3004,ENSAYOS!$C$5:$C$3004,F747,ENSAYOS!$Q$5:$Q$3004,"&gt;0",ENSAYOS!$G$5:$G$3004,N747)))</f>
        <v/>
      </c>
      <c r="V747" s="16" t="str">
        <f aca="false">IF(N(M747)=0,"",IF(COUNTIFS(ENSAYOS!$C$5:$C$3004,F747,ENSAYOS!$Q$5:$Q$3004,"&gt;0",ENSAYOS!$G$5:$G$3004,"&gt;="&amp;CONFIG!$B$27)=0,"",AVERAGEIFS(ENSAYOS!$Q$5:$Q$3004,ENSAYOS!$C$5:$C$3004,F747,ENSAYOS!$Q$5:$Q$3004,"&gt;0",ENSAYOS!$G$5:$G$3004,"&gt;="&amp;CONFIG!$B$27)))</f>
        <v/>
      </c>
      <c r="W747" s="18" t="str">
        <f aca="false">IF(AND(U747&lt;&gt;"",V747&lt;&gt;""),U747/V747,"")</f>
        <v/>
      </c>
      <c r="X747" s="18" t="str">
        <f aca="false">IF(U747="","",INDEX('CURVA EDAD'!$E$5:$E$32,MIN(28,MAX(1,N747))))</f>
        <v/>
      </c>
      <c r="Y747" s="16" t="str">
        <f aca="false">IF(V747&lt;&gt;"",V747,IF(U747="","",U747/X747))</f>
        <v/>
      </c>
      <c r="Z747" s="16" t="str">
        <f aca="false">IF(V747&lt;&gt;"",_xlfn.MINIFS(ENSAYOS!$Q$5:$Q$3004,ENSAYOS!$C$5:$C$3004,F747,ENSAYOS!$Q$5:$Q$3004,"&gt;0",ENSAYOS!$G$5:$G$3004,"&gt;="&amp;CONFIG!$B$27),IF(U747="","",_xlfn.MINIFS(ENSAYOS!$Q$5:$Q$3004,ENSAYOS!$C$5:$C$3004,F747,ENSAYOS!$Q$5:$Q$3004,"&gt;0",ENSAYOS!$G$5:$G$3004,N747)/X747))</f>
        <v/>
      </c>
      <c r="AA747" s="16" t="str">
        <f aca="false">IF(D747="","",IFERROR(1/(1/INDEX(CONFIG!$J$5:$J$14,MATCH(D747,CONFIG!$D$5:$D$14,0))),""))</f>
        <v/>
      </c>
      <c r="AB747" s="16" t="str">
        <f aca="false">IF(D747="","",IFERROR(1/(1/INDEX(CONFIG!$K$5:$K$14,MATCH(D747,CONFIG!$D$5:$D$14,0))),""))</f>
        <v/>
      </c>
      <c r="AC747" s="19" t="str">
        <f aca="false">IF(N(M747)=0,"",IF(AA747="","Sin spec",IF(AND(Y747&gt;=AA747,OR(AB747="",Z747&gt;=AB747)),"CUMPLE","NO CUMPLE")&amp;IF(V747=""," (est.)","")))</f>
        <v/>
      </c>
      <c r="AD747" s="20" t="str">
        <f aca="false">IF(F747="","",IF(COUNTIFS(ABSORCION!$C$5:$C$1004,F747,ABSORCION!$I$5:$I$1004,"&gt;0")=0,"",AVERAGEIFS(ABSORCION!$I$5:$I$1004,ABSORCION!$C$5:$C$1004,F747,ABSORCION!$I$5:$I$1004,"&gt;0")))</f>
        <v/>
      </c>
      <c r="AE747" s="20" t="str">
        <f aca="false">IF(F747="","",IF(COUNTIFS(ABSORCION!$C$5:$C$1004,F747,ABSORCION!$I$5:$I$1004,"&gt;0")=0,"",AVERAGEIFS(ABSORCION!$K$5:$K$1004,ABSORCION!$C$5:$C$1004,F747,ABSORCION!$I$5:$I$1004,"&gt;0")))</f>
        <v/>
      </c>
      <c r="AF747" s="20" t="str">
        <f aca="false">IF(AE747="","",IF(AE747&gt;=CONFIG!$E$21,CONFIG!$F$21,IF(AE747&gt;=CONFIG!$E$20,CONFIG!$F$20,CONFIG!$F$19)))</f>
        <v/>
      </c>
      <c r="AG747" s="21" t="str">
        <f aca="false">IF(F747="","",TRIM(IF(N(M747)=0,"Sin ensayos. ","")&amp;IF(AND(N(M747)&gt;0,N(M747)&lt;CONFIG!$B$26),"Menos de "&amp;CONFIG!$B$26&amp;" probetas. ","")&amp;IF(N(T747)&gt;CONFIG!$B$25,"CV alto. ","")&amp;IF(AND(N(AD747)&gt;0,N(AD747)&gt;N(AF747)),"Absorción alta. ","")))</f>
        <v/>
      </c>
      <c r="AH747" s="22" t="str">
        <f aca="false">IF(AND(N(M747)&gt;0,OR(CONTROL!$C$4="TODAS",C747=CONTROL!$C$4),D747=CONTROL!$C$5),MAX($AH$4:AH746)+1,"")</f>
        <v/>
      </c>
      <c r="AI747" s="22" t="str">
        <f aca="false">IF(AH747="","",P747^2)</f>
        <v/>
      </c>
    </row>
    <row r="748" customFormat="false" ht="15" hidden="false" customHeight="false" outlineLevel="0" collapsed="false">
      <c r="A748" s="11" t="str">
        <f aca="false">IF(B748="","",ROW()-4)</f>
        <v/>
      </c>
      <c r="B748" s="12"/>
      <c r="C748" s="13"/>
      <c r="D748" s="13"/>
      <c r="E748" s="13"/>
      <c r="F748" s="14" t="str">
        <f aca="false">IF(OR(B748="",C748="",D748=""),"",IFERROR(INDEX(CONFIG!$E$5:$E$14,MATCH(D748,CONFIG!$D$5:$D$14,0)),"?")&amp;RIGHT("0"&amp;DAY(B748),2)&amp;RIGHT("0"&amp;MONTH(B748),2)&amp;RIGHT(YEAR(B748),2)&amp;C748&amp;IF(E748="","","-"&amp;E748))</f>
        <v/>
      </c>
      <c r="G748" s="13"/>
      <c r="H748" s="13"/>
      <c r="I748" s="13"/>
      <c r="J748" s="13"/>
      <c r="K748" s="13"/>
      <c r="L748" s="13"/>
      <c r="M748" s="11" t="str">
        <f aca="false">IF(F748="","",COUNTIFS(ENSAYOS!$C$5:$C$3004,F748,ENSAYOS!$Q$5:$Q$3004,"&gt;0"))</f>
        <v/>
      </c>
      <c r="N748" s="15" t="str">
        <f aca="false">IF(N(M748)=0,"",_xlfn.MINIFS(ENSAYOS!$G$5:$G$3004,ENSAYOS!$C$5:$C$3004,F748,ENSAYOS!$Q$5:$Q$3004,"&gt;0"))</f>
        <v/>
      </c>
      <c r="O748" s="15" t="str">
        <f aca="false">IF(N(M748)=0,"",_xlfn.MAXIFS(ENSAYOS!$G$5:$G$3004,ENSAYOS!$C$5:$C$3004,F748,ENSAYOS!$Q$5:$Q$3004,"&gt;0"))</f>
        <v/>
      </c>
      <c r="P748" s="16" t="str">
        <f aca="false">IF(N(M748)=0,"",AVERAGEIFS(ENSAYOS!$Q$5:$Q$3004,ENSAYOS!$C$5:$C$3004,F748,ENSAYOS!$Q$5:$Q$3004,"&gt;0"))</f>
        <v/>
      </c>
      <c r="Q748" s="16" t="str">
        <f aca="false">IF(N(M748)=0,"",_xlfn.MINIFS(ENSAYOS!$Q$5:$Q$3004,ENSAYOS!$C$5:$C$3004,F748,ENSAYOS!$Q$5:$Q$3004,"&gt;0"))</f>
        <v/>
      </c>
      <c r="R748" s="16" t="str">
        <f aca="false">IF(N(M748)=0,"",_xlfn.MAXIFS(ENSAYOS!$Q$5:$Q$3004,ENSAYOS!$C$5:$C$3004,F748,ENSAYOS!$Q$5:$Q$3004,"&gt;0"))</f>
        <v/>
      </c>
      <c r="S748" s="16" t="str">
        <f aca="false">IF(N(M748)&lt;2,"",SQRT(MAX(0,(SUMIFS(ENSAYOS!$X$5:$X$3004,ENSAYOS!$C$5:$C$3004,F748,ENSAYOS!$Q$5:$Q$3004,"&gt;0")-M748*P748^2)/(M748-1))))</f>
        <v/>
      </c>
      <c r="T748" s="17" t="str">
        <f aca="false">IF(S748="","",S748/P748)</f>
        <v/>
      </c>
      <c r="U748" s="16" t="str">
        <f aca="false">IF(N(M748)=0,"",IF(N748&gt;=CONFIG!$B$27,"",AVERAGEIFS(ENSAYOS!$Q$5:$Q$3004,ENSAYOS!$C$5:$C$3004,F748,ENSAYOS!$Q$5:$Q$3004,"&gt;0",ENSAYOS!$G$5:$G$3004,N748)))</f>
        <v/>
      </c>
      <c r="V748" s="16" t="str">
        <f aca="false">IF(N(M748)=0,"",IF(COUNTIFS(ENSAYOS!$C$5:$C$3004,F748,ENSAYOS!$Q$5:$Q$3004,"&gt;0",ENSAYOS!$G$5:$G$3004,"&gt;="&amp;CONFIG!$B$27)=0,"",AVERAGEIFS(ENSAYOS!$Q$5:$Q$3004,ENSAYOS!$C$5:$C$3004,F748,ENSAYOS!$Q$5:$Q$3004,"&gt;0",ENSAYOS!$G$5:$G$3004,"&gt;="&amp;CONFIG!$B$27)))</f>
        <v/>
      </c>
      <c r="W748" s="18" t="str">
        <f aca="false">IF(AND(U748&lt;&gt;"",V748&lt;&gt;""),U748/V748,"")</f>
        <v/>
      </c>
      <c r="X748" s="18" t="str">
        <f aca="false">IF(U748="","",INDEX('CURVA EDAD'!$E$5:$E$32,MIN(28,MAX(1,N748))))</f>
        <v/>
      </c>
      <c r="Y748" s="16" t="str">
        <f aca="false">IF(V748&lt;&gt;"",V748,IF(U748="","",U748/X748))</f>
        <v/>
      </c>
      <c r="Z748" s="16" t="str">
        <f aca="false">IF(V748&lt;&gt;"",_xlfn.MINIFS(ENSAYOS!$Q$5:$Q$3004,ENSAYOS!$C$5:$C$3004,F748,ENSAYOS!$Q$5:$Q$3004,"&gt;0",ENSAYOS!$G$5:$G$3004,"&gt;="&amp;CONFIG!$B$27),IF(U748="","",_xlfn.MINIFS(ENSAYOS!$Q$5:$Q$3004,ENSAYOS!$C$5:$C$3004,F748,ENSAYOS!$Q$5:$Q$3004,"&gt;0",ENSAYOS!$G$5:$G$3004,N748)/X748))</f>
        <v/>
      </c>
      <c r="AA748" s="16" t="str">
        <f aca="false">IF(D748="","",IFERROR(1/(1/INDEX(CONFIG!$J$5:$J$14,MATCH(D748,CONFIG!$D$5:$D$14,0))),""))</f>
        <v/>
      </c>
      <c r="AB748" s="16" t="str">
        <f aca="false">IF(D748="","",IFERROR(1/(1/INDEX(CONFIG!$K$5:$K$14,MATCH(D748,CONFIG!$D$5:$D$14,0))),""))</f>
        <v/>
      </c>
      <c r="AC748" s="19" t="str">
        <f aca="false">IF(N(M748)=0,"",IF(AA748="","Sin spec",IF(AND(Y748&gt;=AA748,OR(AB748="",Z748&gt;=AB748)),"CUMPLE","NO CUMPLE")&amp;IF(V748=""," (est.)","")))</f>
        <v/>
      </c>
      <c r="AD748" s="20" t="str">
        <f aca="false">IF(F748="","",IF(COUNTIFS(ABSORCION!$C$5:$C$1004,F748,ABSORCION!$I$5:$I$1004,"&gt;0")=0,"",AVERAGEIFS(ABSORCION!$I$5:$I$1004,ABSORCION!$C$5:$C$1004,F748,ABSORCION!$I$5:$I$1004,"&gt;0")))</f>
        <v/>
      </c>
      <c r="AE748" s="20" t="str">
        <f aca="false">IF(F748="","",IF(COUNTIFS(ABSORCION!$C$5:$C$1004,F748,ABSORCION!$I$5:$I$1004,"&gt;0")=0,"",AVERAGEIFS(ABSORCION!$K$5:$K$1004,ABSORCION!$C$5:$C$1004,F748,ABSORCION!$I$5:$I$1004,"&gt;0")))</f>
        <v/>
      </c>
      <c r="AF748" s="20" t="str">
        <f aca="false">IF(AE748="","",IF(AE748&gt;=CONFIG!$E$21,CONFIG!$F$21,IF(AE748&gt;=CONFIG!$E$20,CONFIG!$F$20,CONFIG!$F$19)))</f>
        <v/>
      </c>
      <c r="AG748" s="21" t="str">
        <f aca="false">IF(F748="","",TRIM(IF(N(M748)=0,"Sin ensayos. ","")&amp;IF(AND(N(M748)&gt;0,N(M748)&lt;CONFIG!$B$26),"Menos de "&amp;CONFIG!$B$26&amp;" probetas. ","")&amp;IF(N(T748)&gt;CONFIG!$B$25,"CV alto. ","")&amp;IF(AND(N(AD748)&gt;0,N(AD748)&gt;N(AF748)),"Absorción alta. ","")))</f>
        <v/>
      </c>
      <c r="AH748" s="22" t="str">
        <f aca="false">IF(AND(N(M748)&gt;0,OR(CONTROL!$C$4="TODAS",C748=CONTROL!$C$4),D748=CONTROL!$C$5),MAX($AH$4:AH747)+1,"")</f>
        <v/>
      </c>
      <c r="AI748" s="22" t="str">
        <f aca="false">IF(AH748="","",P748^2)</f>
        <v/>
      </c>
    </row>
    <row r="749" customFormat="false" ht="15" hidden="false" customHeight="false" outlineLevel="0" collapsed="false">
      <c r="A749" s="11" t="str">
        <f aca="false">IF(B749="","",ROW()-4)</f>
        <v/>
      </c>
      <c r="B749" s="12"/>
      <c r="C749" s="13"/>
      <c r="D749" s="13"/>
      <c r="E749" s="13"/>
      <c r="F749" s="14" t="str">
        <f aca="false">IF(OR(B749="",C749="",D749=""),"",IFERROR(INDEX(CONFIG!$E$5:$E$14,MATCH(D749,CONFIG!$D$5:$D$14,0)),"?")&amp;RIGHT("0"&amp;DAY(B749),2)&amp;RIGHT("0"&amp;MONTH(B749),2)&amp;RIGHT(YEAR(B749),2)&amp;C749&amp;IF(E749="","","-"&amp;E749))</f>
        <v/>
      </c>
      <c r="G749" s="13"/>
      <c r="H749" s="13"/>
      <c r="I749" s="13"/>
      <c r="J749" s="13"/>
      <c r="K749" s="13"/>
      <c r="L749" s="13"/>
      <c r="M749" s="11" t="str">
        <f aca="false">IF(F749="","",COUNTIFS(ENSAYOS!$C$5:$C$3004,F749,ENSAYOS!$Q$5:$Q$3004,"&gt;0"))</f>
        <v/>
      </c>
      <c r="N749" s="15" t="str">
        <f aca="false">IF(N(M749)=0,"",_xlfn.MINIFS(ENSAYOS!$G$5:$G$3004,ENSAYOS!$C$5:$C$3004,F749,ENSAYOS!$Q$5:$Q$3004,"&gt;0"))</f>
        <v/>
      </c>
      <c r="O749" s="15" t="str">
        <f aca="false">IF(N(M749)=0,"",_xlfn.MAXIFS(ENSAYOS!$G$5:$G$3004,ENSAYOS!$C$5:$C$3004,F749,ENSAYOS!$Q$5:$Q$3004,"&gt;0"))</f>
        <v/>
      </c>
      <c r="P749" s="16" t="str">
        <f aca="false">IF(N(M749)=0,"",AVERAGEIFS(ENSAYOS!$Q$5:$Q$3004,ENSAYOS!$C$5:$C$3004,F749,ENSAYOS!$Q$5:$Q$3004,"&gt;0"))</f>
        <v/>
      </c>
      <c r="Q749" s="16" t="str">
        <f aca="false">IF(N(M749)=0,"",_xlfn.MINIFS(ENSAYOS!$Q$5:$Q$3004,ENSAYOS!$C$5:$C$3004,F749,ENSAYOS!$Q$5:$Q$3004,"&gt;0"))</f>
        <v/>
      </c>
      <c r="R749" s="16" t="str">
        <f aca="false">IF(N(M749)=0,"",_xlfn.MAXIFS(ENSAYOS!$Q$5:$Q$3004,ENSAYOS!$C$5:$C$3004,F749,ENSAYOS!$Q$5:$Q$3004,"&gt;0"))</f>
        <v/>
      </c>
      <c r="S749" s="16" t="str">
        <f aca="false">IF(N(M749)&lt;2,"",SQRT(MAX(0,(SUMIFS(ENSAYOS!$X$5:$X$3004,ENSAYOS!$C$5:$C$3004,F749,ENSAYOS!$Q$5:$Q$3004,"&gt;0")-M749*P749^2)/(M749-1))))</f>
        <v/>
      </c>
      <c r="T749" s="17" t="str">
        <f aca="false">IF(S749="","",S749/P749)</f>
        <v/>
      </c>
      <c r="U749" s="16" t="str">
        <f aca="false">IF(N(M749)=0,"",IF(N749&gt;=CONFIG!$B$27,"",AVERAGEIFS(ENSAYOS!$Q$5:$Q$3004,ENSAYOS!$C$5:$C$3004,F749,ENSAYOS!$Q$5:$Q$3004,"&gt;0",ENSAYOS!$G$5:$G$3004,N749)))</f>
        <v/>
      </c>
      <c r="V749" s="16" t="str">
        <f aca="false">IF(N(M749)=0,"",IF(COUNTIFS(ENSAYOS!$C$5:$C$3004,F749,ENSAYOS!$Q$5:$Q$3004,"&gt;0",ENSAYOS!$G$5:$G$3004,"&gt;="&amp;CONFIG!$B$27)=0,"",AVERAGEIFS(ENSAYOS!$Q$5:$Q$3004,ENSAYOS!$C$5:$C$3004,F749,ENSAYOS!$Q$5:$Q$3004,"&gt;0",ENSAYOS!$G$5:$G$3004,"&gt;="&amp;CONFIG!$B$27)))</f>
        <v/>
      </c>
      <c r="W749" s="18" t="str">
        <f aca="false">IF(AND(U749&lt;&gt;"",V749&lt;&gt;""),U749/V749,"")</f>
        <v/>
      </c>
      <c r="X749" s="18" t="str">
        <f aca="false">IF(U749="","",INDEX('CURVA EDAD'!$E$5:$E$32,MIN(28,MAX(1,N749))))</f>
        <v/>
      </c>
      <c r="Y749" s="16" t="str">
        <f aca="false">IF(V749&lt;&gt;"",V749,IF(U749="","",U749/X749))</f>
        <v/>
      </c>
      <c r="Z749" s="16" t="str">
        <f aca="false">IF(V749&lt;&gt;"",_xlfn.MINIFS(ENSAYOS!$Q$5:$Q$3004,ENSAYOS!$C$5:$C$3004,F749,ENSAYOS!$Q$5:$Q$3004,"&gt;0",ENSAYOS!$G$5:$G$3004,"&gt;="&amp;CONFIG!$B$27),IF(U749="","",_xlfn.MINIFS(ENSAYOS!$Q$5:$Q$3004,ENSAYOS!$C$5:$C$3004,F749,ENSAYOS!$Q$5:$Q$3004,"&gt;0",ENSAYOS!$G$5:$G$3004,N749)/X749))</f>
        <v/>
      </c>
      <c r="AA749" s="16" t="str">
        <f aca="false">IF(D749="","",IFERROR(1/(1/INDEX(CONFIG!$J$5:$J$14,MATCH(D749,CONFIG!$D$5:$D$14,0))),""))</f>
        <v/>
      </c>
      <c r="AB749" s="16" t="str">
        <f aca="false">IF(D749="","",IFERROR(1/(1/INDEX(CONFIG!$K$5:$K$14,MATCH(D749,CONFIG!$D$5:$D$14,0))),""))</f>
        <v/>
      </c>
      <c r="AC749" s="19" t="str">
        <f aca="false">IF(N(M749)=0,"",IF(AA749="","Sin spec",IF(AND(Y749&gt;=AA749,OR(AB749="",Z749&gt;=AB749)),"CUMPLE","NO CUMPLE")&amp;IF(V749=""," (est.)","")))</f>
        <v/>
      </c>
      <c r="AD749" s="20" t="str">
        <f aca="false">IF(F749="","",IF(COUNTIFS(ABSORCION!$C$5:$C$1004,F749,ABSORCION!$I$5:$I$1004,"&gt;0")=0,"",AVERAGEIFS(ABSORCION!$I$5:$I$1004,ABSORCION!$C$5:$C$1004,F749,ABSORCION!$I$5:$I$1004,"&gt;0")))</f>
        <v/>
      </c>
      <c r="AE749" s="20" t="str">
        <f aca="false">IF(F749="","",IF(COUNTIFS(ABSORCION!$C$5:$C$1004,F749,ABSORCION!$I$5:$I$1004,"&gt;0")=0,"",AVERAGEIFS(ABSORCION!$K$5:$K$1004,ABSORCION!$C$5:$C$1004,F749,ABSORCION!$I$5:$I$1004,"&gt;0")))</f>
        <v/>
      </c>
      <c r="AF749" s="20" t="str">
        <f aca="false">IF(AE749="","",IF(AE749&gt;=CONFIG!$E$21,CONFIG!$F$21,IF(AE749&gt;=CONFIG!$E$20,CONFIG!$F$20,CONFIG!$F$19)))</f>
        <v/>
      </c>
      <c r="AG749" s="21" t="str">
        <f aca="false">IF(F749="","",TRIM(IF(N(M749)=0,"Sin ensayos. ","")&amp;IF(AND(N(M749)&gt;0,N(M749)&lt;CONFIG!$B$26),"Menos de "&amp;CONFIG!$B$26&amp;" probetas. ","")&amp;IF(N(T749)&gt;CONFIG!$B$25,"CV alto. ","")&amp;IF(AND(N(AD749)&gt;0,N(AD749)&gt;N(AF749)),"Absorción alta. ","")))</f>
        <v/>
      </c>
      <c r="AH749" s="22" t="str">
        <f aca="false">IF(AND(N(M749)&gt;0,OR(CONTROL!$C$4="TODAS",C749=CONTROL!$C$4),D749=CONTROL!$C$5),MAX($AH$4:AH748)+1,"")</f>
        <v/>
      </c>
      <c r="AI749" s="22" t="str">
        <f aca="false">IF(AH749="","",P749^2)</f>
        <v/>
      </c>
    </row>
    <row r="750" customFormat="false" ht="15" hidden="false" customHeight="false" outlineLevel="0" collapsed="false">
      <c r="A750" s="11" t="str">
        <f aca="false">IF(B750="","",ROW()-4)</f>
        <v/>
      </c>
      <c r="B750" s="12"/>
      <c r="C750" s="13"/>
      <c r="D750" s="13"/>
      <c r="E750" s="13"/>
      <c r="F750" s="14" t="str">
        <f aca="false">IF(OR(B750="",C750="",D750=""),"",IFERROR(INDEX(CONFIG!$E$5:$E$14,MATCH(D750,CONFIG!$D$5:$D$14,0)),"?")&amp;RIGHT("0"&amp;DAY(B750),2)&amp;RIGHT("0"&amp;MONTH(B750),2)&amp;RIGHT(YEAR(B750),2)&amp;C750&amp;IF(E750="","","-"&amp;E750))</f>
        <v/>
      </c>
      <c r="G750" s="13"/>
      <c r="H750" s="13"/>
      <c r="I750" s="13"/>
      <c r="J750" s="13"/>
      <c r="K750" s="13"/>
      <c r="L750" s="13"/>
      <c r="M750" s="11" t="str">
        <f aca="false">IF(F750="","",COUNTIFS(ENSAYOS!$C$5:$C$3004,F750,ENSAYOS!$Q$5:$Q$3004,"&gt;0"))</f>
        <v/>
      </c>
      <c r="N750" s="15" t="str">
        <f aca="false">IF(N(M750)=0,"",_xlfn.MINIFS(ENSAYOS!$G$5:$G$3004,ENSAYOS!$C$5:$C$3004,F750,ENSAYOS!$Q$5:$Q$3004,"&gt;0"))</f>
        <v/>
      </c>
      <c r="O750" s="15" t="str">
        <f aca="false">IF(N(M750)=0,"",_xlfn.MAXIFS(ENSAYOS!$G$5:$G$3004,ENSAYOS!$C$5:$C$3004,F750,ENSAYOS!$Q$5:$Q$3004,"&gt;0"))</f>
        <v/>
      </c>
      <c r="P750" s="16" t="str">
        <f aca="false">IF(N(M750)=0,"",AVERAGEIFS(ENSAYOS!$Q$5:$Q$3004,ENSAYOS!$C$5:$C$3004,F750,ENSAYOS!$Q$5:$Q$3004,"&gt;0"))</f>
        <v/>
      </c>
      <c r="Q750" s="16" t="str">
        <f aca="false">IF(N(M750)=0,"",_xlfn.MINIFS(ENSAYOS!$Q$5:$Q$3004,ENSAYOS!$C$5:$C$3004,F750,ENSAYOS!$Q$5:$Q$3004,"&gt;0"))</f>
        <v/>
      </c>
      <c r="R750" s="16" t="str">
        <f aca="false">IF(N(M750)=0,"",_xlfn.MAXIFS(ENSAYOS!$Q$5:$Q$3004,ENSAYOS!$C$5:$C$3004,F750,ENSAYOS!$Q$5:$Q$3004,"&gt;0"))</f>
        <v/>
      </c>
      <c r="S750" s="16" t="str">
        <f aca="false">IF(N(M750)&lt;2,"",SQRT(MAX(0,(SUMIFS(ENSAYOS!$X$5:$X$3004,ENSAYOS!$C$5:$C$3004,F750,ENSAYOS!$Q$5:$Q$3004,"&gt;0")-M750*P750^2)/(M750-1))))</f>
        <v/>
      </c>
      <c r="T750" s="17" t="str">
        <f aca="false">IF(S750="","",S750/P750)</f>
        <v/>
      </c>
      <c r="U750" s="16" t="str">
        <f aca="false">IF(N(M750)=0,"",IF(N750&gt;=CONFIG!$B$27,"",AVERAGEIFS(ENSAYOS!$Q$5:$Q$3004,ENSAYOS!$C$5:$C$3004,F750,ENSAYOS!$Q$5:$Q$3004,"&gt;0",ENSAYOS!$G$5:$G$3004,N750)))</f>
        <v/>
      </c>
      <c r="V750" s="16" t="str">
        <f aca="false">IF(N(M750)=0,"",IF(COUNTIFS(ENSAYOS!$C$5:$C$3004,F750,ENSAYOS!$Q$5:$Q$3004,"&gt;0",ENSAYOS!$G$5:$G$3004,"&gt;="&amp;CONFIG!$B$27)=0,"",AVERAGEIFS(ENSAYOS!$Q$5:$Q$3004,ENSAYOS!$C$5:$C$3004,F750,ENSAYOS!$Q$5:$Q$3004,"&gt;0",ENSAYOS!$G$5:$G$3004,"&gt;="&amp;CONFIG!$B$27)))</f>
        <v/>
      </c>
      <c r="W750" s="18" t="str">
        <f aca="false">IF(AND(U750&lt;&gt;"",V750&lt;&gt;""),U750/V750,"")</f>
        <v/>
      </c>
      <c r="X750" s="18" t="str">
        <f aca="false">IF(U750="","",INDEX('CURVA EDAD'!$E$5:$E$32,MIN(28,MAX(1,N750))))</f>
        <v/>
      </c>
      <c r="Y750" s="16" t="str">
        <f aca="false">IF(V750&lt;&gt;"",V750,IF(U750="","",U750/X750))</f>
        <v/>
      </c>
      <c r="Z750" s="16" t="str">
        <f aca="false">IF(V750&lt;&gt;"",_xlfn.MINIFS(ENSAYOS!$Q$5:$Q$3004,ENSAYOS!$C$5:$C$3004,F750,ENSAYOS!$Q$5:$Q$3004,"&gt;0",ENSAYOS!$G$5:$G$3004,"&gt;="&amp;CONFIG!$B$27),IF(U750="","",_xlfn.MINIFS(ENSAYOS!$Q$5:$Q$3004,ENSAYOS!$C$5:$C$3004,F750,ENSAYOS!$Q$5:$Q$3004,"&gt;0",ENSAYOS!$G$5:$G$3004,N750)/X750))</f>
        <v/>
      </c>
      <c r="AA750" s="16" t="str">
        <f aca="false">IF(D750="","",IFERROR(1/(1/INDEX(CONFIG!$J$5:$J$14,MATCH(D750,CONFIG!$D$5:$D$14,0))),""))</f>
        <v/>
      </c>
      <c r="AB750" s="16" t="str">
        <f aca="false">IF(D750="","",IFERROR(1/(1/INDEX(CONFIG!$K$5:$K$14,MATCH(D750,CONFIG!$D$5:$D$14,0))),""))</f>
        <v/>
      </c>
      <c r="AC750" s="19" t="str">
        <f aca="false">IF(N(M750)=0,"",IF(AA750="","Sin spec",IF(AND(Y750&gt;=AA750,OR(AB750="",Z750&gt;=AB750)),"CUMPLE","NO CUMPLE")&amp;IF(V750=""," (est.)","")))</f>
        <v/>
      </c>
      <c r="AD750" s="20" t="str">
        <f aca="false">IF(F750="","",IF(COUNTIFS(ABSORCION!$C$5:$C$1004,F750,ABSORCION!$I$5:$I$1004,"&gt;0")=0,"",AVERAGEIFS(ABSORCION!$I$5:$I$1004,ABSORCION!$C$5:$C$1004,F750,ABSORCION!$I$5:$I$1004,"&gt;0")))</f>
        <v/>
      </c>
      <c r="AE750" s="20" t="str">
        <f aca="false">IF(F750="","",IF(COUNTIFS(ABSORCION!$C$5:$C$1004,F750,ABSORCION!$I$5:$I$1004,"&gt;0")=0,"",AVERAGEIFS(ABSORCION!$K$5:$K$1004,ABSORCION!$C$5:$C$1004,F750,ABSORCION!$I$5:$I$1004,"&gt;0")))</f>
        <v/>
      </c>
      <c r="AF750" s="20" t="str">
        <f aca="false">IF(AE750="","",IF(AE750&gt;=CONFIG!$E$21,CONFIG!$F$21,IF(AE750&gt;=CONFIG!$E$20,CONFIG!$F$20,CONFIG!$F$19)))</f>
        <v/>
      </c>
      <c r="AG750" s="21" t="str">
        <f aca="false">IF(F750="","",TRIM(IF(N(M750)=0,"Sin ensayos. ","")&amp;IF(AND(N(M750)&gt;0,N(M750)&lt;CONFIG!$B$26),"Menos de "&amp;CONFIG!$B$26&amp;" probetas. ","")&amp;IF(N(T750)&gt;CONFIG!$B$25,"CV alto. ","")&amp;IF(AND(N(AD750)&gt;0,N(AD750)&gt;N(AF750)),"Absorción alta. ","")))</f>
        <v/>
      </c>
      <c r="AH750" s="22" t="str">
        <f aca="false">IF(AND(N(M750)&gt;0,OR(CONTROL!$C$4="TODAS",C750=CONTROL!$C$4),D750=CONTROL!$C$5),MAX($AH$4:AH749)+1,"")</f>
        <v/>
      </c>
      <c r="AI750" s="22" t="str">
        <f aca="false">IF(AH750="","",P750^2)</f>
        <v/>
      </c>
    </row>
    <row r="751" customFormat="false" ht="15" hidden="false" customHeight="false" outlineLevel="0" collapsed="false">
      <c r="A751" s="11" t="str">
        <f aca="false">IF(B751="","",ROW()-4)</f>
        <v/>
      </c>
      <c r="B751" s="12"/>
      <c r="C751" s="13"/>
      <c r="D751" s="13"/>
      <c r="E751" s="13"/>
      <c r="F751" s="14" t="str">
        <f aca="false">IF(OR(B751="",C751="",D751=""),"",IFERROR(INDEX(CONFIG!$E$5:$E$14,MATCH(D751,CONFIG!$D$5:$D$14,0)),"?")&amp;RIGHT("0"&amp;DAY(B751),2)&amp;RIGHT("0"&amp;MONTH(B751),2)&amp;RIGHT(YEAR(B751),2)&amp;C751&amp;IF(E751="","","-"&amp;E751))</f>
        <v/>
      </c>
      <c r="G751" s="13"/>
      <c r="H751" s="13"/>
      <c r="I751" s="13"/>
      <c r="J751" s="13"/>
      <c r="K751" s="13"/>
      <c r="L751" s="13"/>
      <c r="M751" s="11" t="str">
        <f aca="false">IF(F751="","",COUNTIFS(ENSAYOS!$C$5:$C$3004,F751,ENSAYOS!$Q$5:$Q$3004,"&gt;0"))</f>
        <v/>
      </c>
      <c r="N751" s="15" t="str">
        <f aca="false">IF(N(M751)=0,"",_xlfn.MINIFS(ENSAYOS!$G$5:$G$3004,ENSAYOS!$C$5:$C$3004,F751,ENSAYOS!$Q$5:$Q$3004,"&gt;0"))</f>
        <v/>
      </c>
      <c r="O751" s="15" t="str">
        <f aca="false">IF(N(M751)=0,"",_xlfn.MAXIFS(ENSAYOS!$G$5:$G$3004,ENSAYOS!$C$5:$C$3004,F751,ENSAYOS!$Q$5:$Q$3004,"&gt;0"))</f>
        <v/>
      </c>
      <c r="P751" s="16" t="str">
        <f aca="false">IF(N(M751)=0,"",AVERAGEIFS(ENSAYOS!$Q$5:$Q$3004,ENSAYOS!$C$5:$C$3004,F751,ENSAYOS!$Q$5:$Q$3004,"&gt;0"))</f>
        <v/>
      </c>
      <c r="Q751" s="16" t="str">
        <f aca="false">IF(N(M751)=0,"",_xlfn.MINIFS(ENSAYOS!$Q$5:$Q$3004,ENSAYOS!$C$5:$C$3004,F751,ENSAYOS!$Q$5:$Q$3004,"&gt;0"))</f>
        <v/>
      </c>
      <c r="R751" s="16" t="str">
        <f aca="false">IF(N(M751)=0,"",_xlfn.MAXIFS(ENSAYOS!$Q$5:$Q$3004,ENSAYOS!$C$5:$C$3004,F751,ENSAYOS!$Q$5:$Q$3004,"&gt;0"))</f>
        <v/>
      </c>
      <c r="S751" s="16" t="str">
        <f aca="false">IF(N(M751)&lt;2,"",SQRT(MAX(0,(SUMIFS(ENSAYOS!$X$5:$X$3004,ENSAYOS!$C$5:$C$3004,F751,ENSAYOS!$Q$5:$Q$3004,"&gt;0")-M751*P751^2)/(M751-1))))</f>
        <v/>
      </c>
      <c r="T751" s="17" t="str">
        <f aca="false">IF(S751="","",S751/P751)</f>
        <v/>
      </c>
      <c r="U751" s="16" t="str">
        <f aca="false">IF(N(M751)=0,"",IF(N751&gt;=CONFIG!$B$27,"",AVERAGEIFS(ENSAYOS!$Q$5:$Q$3004,ENSAYOS!$C$5:$C$3004,F751,ENSAYOS!$Q$5:$Q$3004,"&gt;0",ENSAYOS!$G$5:$G$3004,N751)))</f>
        <v/>
      </c>
      <c r="V751" s="16" t="str">
        <f aca="false">IF(N(M751)=0,"",IF(COUNTIFS(ENSAYOS!$C$5:$C$3004,F751,ENSAYOS!$Q$5:$Q$3004,"&gt;0",ENSAYOS!$G$5:$G$3004,"&gt;="&amp;CONFIG!$B$27)=0,"",AVERAGEIFS(ENSAYOS!$Q$5:$Q$3004,ENSAYOS!$C$5:$C$3004,F751,ENSAYOS!$Q$5:$Q$3004,"&gt;0",ENSAYOS!$G$5:$G$3004,"&gt;="&amp;CONFIG!$B$27)))</f>
        <v/>
      </c>
      <c r="W751" s="18" t="str">
        <f aca="false">IF(AND(U751&lt;&gt;"",V751&lt;&gt;""),U751/V751,"")</f>
        <v/>
      </c>
      <c r="X751" s="18" t="str">
        <f aca="false">IF(U751="","",INDEX('CURVA EDAD'!$E$5:$E$32,MIN(28,MAX(1,N751))))</f>
        <v/>
      </c>
      <c r="Y751" s="16" t="str">
        <f aca="false">IF(V751&lt;&gt;"",V751,IF(U751="","",U751/X751))</f>
        <v/>
      </c>
      <c r="Z751" s="16" t="str">
        <f aca="false">IF(V751&lt;&gt;"",_xlfn.MINIFS(ENSAYOS!$Q$5:$Q$3004,ENSAYOS!$C$5:$C$3004,F751,ENSAYOS!$Q$5:$Q$3004,"&gt;0",ENSAYOS!$G$5:$G$3004,"&gt;="&amp;CONFIG!$B$27),IF(U751="","",_xlfn.MINIFS(ENSAYOS!$Q$5:$Q$3004,ENSAYOS!$C$5:$C$3004,F751,ENSAYOS!$Q$5:$Q$3004,"&gt;0",ENSAYOS!$G$5:$G$3004,N751)/X751))</f>
        <v/>
      </c>
      <c r="AA751" s="16" t="str">
        <f aca="false">IF(D751="","",IFERROR(1/(1/INDEX(CONFIG!$J$5:$J$14,MATCH(D751,CONFIG!$D$5:$D$14,0))),""))</f>
        <v/>
      </c>
      <c r="AB751" s="16" t="str">
        <f aca="false">IF(D751="","",IFERROR(1/(1/INDEX(CONFIG!$K$5:$K$14,MATCH(D751,CONFIG!$D$5:$D$14,0))),""))</f>
        <v/>
      </c>
      <c r="AC751" s="19" t="str">
        <f aca="false">IF(N(M751)=0,"",IF(AA751="","Sin spec",IF(AND(Y751&gt;=AA751,OR(AB751="",Z751&gt;=AB751)),"CUMPLE","NO CUMPLE")&amp;IF(V751=""," (est.)","")))</f>
        <v/>
      </c>
      <c r="AD751" s="20" t="str">
        <f aca="false">IF(F751="","",IF(COUNTIFS(ABSORCION!$C$5:$C$1004,F751,ABSORCION!$I$5:$I$1004,"&gt;0")=0,"",AVERAGEIFS(ABSORCION!$I$5:$I$1004,ABSORCION!$C$5:$C$1004,F751,ABSORCION!$I$5:$I$1004,"&gt;0")))</f>
        <v/>
      </c>
      <c r="AE751" s="20" t="str">
        <f aca="false">IF(F751="","",IF(COUNTIFS(ABSORCION!$C$5:$C$1004,F751,ABSORCION!$I$5:$I$1004,"&gt;0")=0,"",AVERAGEIFS(ABSORCION!$K$5:$K$1004,ABSORCION!$C$5:$C$1004,F751,ABSORCION!$I$5:$I$1004,"&gt;0")))</f>
        <v/>
      </c>
      <c r="AF751" s="20" t="str">
        <f aca="false">IF(AE751="","",IF(AE751&gt;=CONFIG!$E$21,CONFIG!$F$21,IF(AE751&gt;=CONFIG!$E$20,CONFIG!$F$20,CONFIG!$F$19)))</f>
        <v/>
      </c>
      <c r="AG751" s="21" t="str">
        <f aca="false">IF(F751="","",TRIM(IF(N(M751)=0,"Sin ensayos. ","")&amp;IF(AND(N(M751)&gt;0,N(M751)&lt;CONFIG!$B$26),"Menos de "&amp;CONFIG!$B$26&amp;" probetas. ","")&amp;IF(N(T751)&gt;CONFIG!$B$25,"CV alto. ","")&amp;IF(AND(N(AD751)&gt;0,N(AD751)&gt;N(AF751)),"Absorción alta. ","")))</f>
        <v/>
      </c>
      <c r="AH751" s="22" t="str">
        <f aca="false">IF(AND(N(M751)&gt;0,OR(CONTROL!$C$4="TODAS",C751=CONTROL!$C$4),D751=CONTROL!$C$5),MAX($AH$4:AH750)+1,"")</f>
        <v/>
      </c>
      <c r="AI751" s="22" t="str">
        <f aca="false">IF(AH751="","",P751^2)</f>
        <v/>
      </c>
    </row>
    <row r="752" customFormat="false" ht="15" hidden="false" customHeight="false" outlineLevel="0" collapsed="false">
      <c r="A752" s="11" t="str">
        <f aca="false">IF(B752="","",ROW()-4)</f>
        <v/>
      </c>
      <c r="B752" s="12"/>
      <c r="C752" s="13"/>
      <c r="D752" s="13"/>
      <c r="E752" s="13"/>
      <c r="F752" s="14" t="str">
        <f aca="false">IF(OR(B752="",C752="",D752=""),"",IFERROR(INDEX(CONFIG!$E$5:$E$14,MATCH(D752,CONFIG!$D$5:$D$14,0)),"?")&amp;RIGHT("0"&amp;DAY(B752),2)&amp;RIGHT("0"&amp;MONTH(B752),2)&amp;RIGHT(YEAR(B752),2)&amp;C752&amp;IF(E752="","","-"&amp;E752))</f>
        <v/>
      </c>
      <c r="G752" s="13"/>
      <c r="H752" s="13"/>
      <c r="I752" s="13"/>
      <c r="J752" s="13"/>
      <c r="K752" s="13"/>
      <c r="L752" s="13"/>
      <c r="M752" s="11" t="str">
        <f aca="false">IF(F752="","",COUNTIFS(ENSAYOS!$C$5:$C$3004,F752,ENSAYOS!$Q$5:$Q$3004,"&gt;0"))</f>
        <v/>
      </c>
      <c r="N752" s="15" t="str">
        <f aca="false">IF(N(M752)=0,"",_xlfn.MINIFS(ENSAYOS!$G$5:$G$3004,ENSAYOS!$C$5:$C$3004,F752,ENSAYOS!$Q$5:$Q$3004,"&gt;0"))</f>
        <v/>
      </c>
      <c r="O752" s="15" t="str">
        <f aca="false">IF(N(M752)=0,"",_xlfn.MAXIFS(ENSAYOS!$G$5:$G$3004,ENSAYOS!$C$5:$C$3004,F752,ENSAYOS!$Q$5:$Q$3004,"&gt;0"))</f>
        <v/>
      </c>
      <c r="P752" s="16" t="str">
        <f aca="false">IF(N(M752)=0,"",AVERAGEIFS(ENSAYOS!$Q$5:$Q$3004,ENSAYOS!$C$5:$C$3004,F752,ENSAYOS!$Q$5:$Q$3004,"&gt;0"))</f>
        <v/>
      </c>
      <c r="Q752" s="16" t="str">
        <f aca="false">IF(N(M752)=0,"",_xlfn.MINIFS(ENSAYOS!$Q$5:$Q$3004,ENSAYOS!$C$5:$C$3004,F752,ENSAYOS!$Q$5:$Q$3004,"&gt;0"))</f>
        <v/>
      </c>
      <c r="R752" s="16" t="str">
        <f aca="false">IF(N(M752)=0,"",_xlfn.MAXIFS(ENSAYOS!$Q$5:$Q$3004,ENSAYOS!$C$5:$C$3004,F752,ENSAYOS!$Q$5:$Q$3004,"&gt;0"))</f>
        <v/>
      </c>
      <c r="S752" s="16" t="str">
        <f aca="false">IF(N(M752)&lt;2,"",SQRT(MAX(0,(SUMIFS(ENSAYOS!$X$5:$X$3004,ENSAYOS!$C$5:$C$3004,F752,ENSAYOS!$Q$5:$Q$3004,"&gt;0")-M752*P752^2)/(M752-1))))</f>
        <v/>
      </c>
      <c r="T752" s="17" t="str">
        <f aca="false">IF(S752="","",S752/P752)</f>
        <v/>
      </c>
      <c r="U752" s="16" t="str">
        <f aca="false">IF(N(M752)=0,"",IF(N752&gt;=CONFIG!$B$27,"",AVERAGEIFS(ENSAYOS!$Q$5:$Q$3004,ENSAYOS!$C$5:$C$3004,F752,ENSAYOS!$Q$5:$Q$3004,"&gt;0",ENSAYOS!$G$5:$G$3004,N752)))</f>
        <v/>
      </c>
      <c r="V752" s="16" t="str">
        <f aca="false">IF(N(M752)=0,"",IF(COUNTIFS(ENSAYOS!$C$5:$C$3004,F752,ENSAYOS!$Q$5:$Q$3004,"&gt;0",ENSAYOS!$G$5:$G$3004,"&gt;="&amp;CONFIG!$B$27)=0,"",AVERAGEIFS(ENSAYOS!$Q$5:$Q$3004,ENSAYOS!$C$5:$C$3004,F752,ENSAYOS!$Q$5:$Q$3004,"&gt;0",ENSAYOS!$G$5:$G$3004,"&gt;="&amp;CONFIG!$B$27)))</f>
        <v/>
      </c>
      <c r="W752" s="18" t="str">
        <f aca="false">IF(AND(U752&lt;&gt;"",V752&lt;&gt;""),U752/V752,"")</f>
        <v/>
      </c>
      <c r="X752" s="18" t="str">
        <f aca="false">IF(U752="","",INDEX('CURVA EDAD'!$E$5:$E$32,MIN(28,MAX(1,N752))))</f>
        <v/>
      </c>
      <c r="Y752" s="16" t="str">
        <f aca="false">IF(V752&lt;&gt;"",V752,IF(U752="","",U752/X752))</f>
        <v/>
      </c>
      <c r="Z752" s="16" t="str">
        <f aca="false">IF(V752&lt;&gt;"",_xlfn.MINIFS(ENSAYOS!$Q$5:$Q$3004,ENSAYOS!$C$5:$C$3004,F752,ENSAYOS!$Q$5:$Q$3004,"&gt;0",ENSAYOS!$G$5:$G$3004,"&gt;="&amp;CONFIG!$B$27),IF(U752="","",_xlfn.MINIFS(ENSAYOS!$Q$5:$Q$3004,ENSAYOS!$C$5:$C$3004,F752,ENSAYOS!$Q$5:$Q$3004,"&gt;0",ENSAYOS!$G$5:$G$3004,N752)/X752))</f>
        <v/>
      </c>
      <c r="AA752" s="16" t="str">
        <f aca="false">IF(D752="","",IFERROR(1/(1/INDEX(CONFIG!$J$5:$J$14,MATCH(D752,CONFIG!$D$5:$D$14,0))),""))</f>
        <v/>
      </c>
      <c r="AB752" s="16" t="str">
        <f aca="false">IF(D752="","",IFERROR(1/(1/INDEX(CONFIG!$K$5:$K$14,MATCH(D752,CONFIG!$D$5:$D$14,0))),""))</f>
        <v/>
      </c>
      <c r="AC752" s="19" t="str">
        <f aca="false">IF(N(M752)=0,"",IF(AA752="","Sin spec",IF(AND(Y752&gt;=AA752,OR(AB752="",Z752&gt;=AB752)),"CUMPLE","NO CUMPLE")&amp;IF(V752=""," (est.)","")))</f>
        <v/>
      </c>
      <c r="AD752" s="20" t="str">
        <f aca="false">IF(F752="","",IF(COUNTIFS(ABSORCION!$C$5:$C$1004,F752,ABSORCION!$I$5:$I$1004,"&gt;0")=0,"",AVERAGEIFS(ABSORCION!$I$5:$I$1004,ABSORCION!$C$5:$C$1004,F752,ABSORCION!$I$5:$I$1004,"&gt;0")))</f>
        <v/>
      </c>
      <c r="AE752" s="20" t="str">
        <f aca="false">IF(F752="","",IF(COUNTIFS(ABSORCION!$C$5:$C$1004,F752,ABSORCION!$I$5:$I$1004,"&gt;0")=0,"",AVERAGEIFS(ABSORCION!$K$5:$K$1004,ABSORCION!$C$5:$C$1004,F752,ABSORCION!$I$5:$I$1004,"&gt;0")))</f>
        <v/>
      </c>
      <c r="AF752" s="20" t="str">
        <f aca="false">IF(AE752="","",IF(AE752&gt;=CONFIG!$E$21,CONFIG!$F$21,IF(AE752&gt;=CONFIG!$E$20,CONFIG!$F$20,CONFIG!$F$19)))</f>
        <v/>
      </c>
      <c r="AG752" s="21" t="str">
        <f aca="false">IF(F752="","",TRIM(IF(N(M752)=0,"Sin ensayos. ","")&amp;IF(AND(N(M752)&gt;0,N(M752)&lt;CONFIG!$B$26),"Menos de "&amp;CONFIG!$B$26&amp;" probetas. ","")&amp;IF(N(T752)&gt;CONFIG!$B$25,"CV alto. ","")&amp;IF(AND(N(AD752)&gt;0,N(AD752)&gt;N(AF752)),"Absorción alta. ","")))</f>
        <v/>
      </c>
      <c r="AH752" s="22" t="str">
        <f aca="false">IF(AND(N(M752)&gt;0,OR(CONTROL!$C$4="TODAS",C752=CONTROL!$C$4),D752=CONTROL!$C$5),MAX($AH$4:AH751)+1,"")</f>
        <v/>
      </c>
      <c r="AI752" s="22" t="str">
        <f aca="false">IF(AH752="","",P752^2)</f>
        <v/>
      </c>
    </row>
    <row r="753" customFormat="false" ht="15" hidden="false" customHeight="false" outlineLevel="0" collapsed="false">
      <c r="A753" s="11" t="str">
        <f aca="false">IF(B753="","",ROW()-4)</f>
        <v/>
      </c>
      <c r="B753" s="12"/>
      <c r="C753" s="13"/>
      <c r="D753" s="13"/>
      <c r="E753" s="13"/>
      <c r="F753" s="14" t="str">
        <f aca="false">IF(OR(B753="",C753="",D753=""),"",IFERROR(INDEX(CONFIG!$E$5:$E$14,MATCH(D753,CONFIG!$D$5:$D$14,0)),"?")&amp;RIGHT("0"&amp;DAY(B753),2)&amp;RIGHT("0"&amp;MONTH(B753),2)&amp;RIGHT(YEAR(B753),2)&amp;C753&amp;IF(E753="","","-"&amp;E753))</f>
        <v/>
      </c>
      <c r="G753" s="13"/>
      <c r="H753" s="13"/>
      <c r="I753" s="13"/>
      <c r="J753" s="13"/>
      <c r="K753" s="13"/>
      <c r="L753" s="13"/>
      <c r="M753" s="11" t="str">
        <f aca="false">IF(F753="","",COUNTIFS(ENSAYOS!$C$5:$C$3004,F753,ENSAYOS!$Q$5:$Q$3004,"&gt;0"))</f>
        <v/>
      </c>
      <c r="N753" s="15" t="str">
        <f aca="false">IF(N(M753)=0,"",_xlfn.MINIFS(ENSAYOS!$G$5:$G$3004,ENSAYOS!$C$5:$C$3004,F753,ENSAYOS!$Q$5:$Q$3004,"&gt;0"))</f>
        <v/>
      </c>
      <c r="O753" s="15" t="str">
        <f aca="false">IF(N(M753)=0,"",_xlfn.MAXIFS(ENSAYOS!$G$5:$G$3004,ENSAYOS!$C$5:$C$3004,F753,ENSAYOS!$Q$5:$Q$3004,"&gt;0"))</f>
        <v/>
      </c>
      <c r="P753" s="16" t="str">
        <f aca="false">IF(N(M753)=0,"",AVERAGEIFS(ENSAYOS!$Q$5:$Q$3004,ENSAYOS!$C$5:$C$3004,F753,ENSAYOS!$Q$5:$Q$3004,"&gt;0"))</f>
        <v/>
      </c>
      <c r="Q753" s="16" t="str">
        <f aca="false">IF(N(M753)=0,"",_xlfn.MINIFS(ENSAYOS!$Q$5:$Q$3004,ENSAYOS!$C$5:$C$3004,F753,ENSAYOS!$Q$5:$Q$3004,"&gt;0"))</f>
        <v/>
      </c>
      <c r="R753" s="16" t="str">
        <f aca="false">IF(N(M753)=0,"",_xlfn.MAXIFS(ENSAYOS!$Q$5:$Q$3004,ENSAYOS!$C$5:$C$3004,F753,ENSAYOS!$Q$5:$Q$3004,"&gt;0"))</f>
        <v/>
      </c>
      <c r="S753" s="16" t="str">
        <f aca="false">IF(N(M753)&lt;2,"",SQRT(MAX(0,(SUMIFS(ENSAYOS!$X$5:$X$3004,ENSAYOS!$C$5:$C$3004,F753,ENSAYOS!$Q$5:$Q$3004,"&gt;0")-M753*P753^2)/(M753-1))))</f>
        <v/>
      </c>
      <c r="T753" s="17" t="str">
        <f aca="false">IF(S753="","",S753/P753)</f>
        <v/>
      </c>
      <c r="U753" s="16" t="str">
        <f aca="false">IF(N(M753)=0,"",IF(N753&gt;=CONFIG!$B$27,"",AVERAGEIFS(ENSAYOS!$Q$5:$Q$3004,ENSAYOS!$C$5:$C$3004,F753,ENSAYOS!$Q$5:$Q$3004,"&gt;0",ENSAYOS!$G$5:$G$3004,N753)))</f>
        <v/>
      </c>
      <c r="V753" s="16" t="str">
        <f aca="false">IF(N(M753)=0,"",IF(COUNTIFS(ENSAYOS!$C$5:$C$3004,F753,ENSAYOS!$Q$5:$Q$3004,"&gt;0",ENSAYOS!$G$5:$G$3004,"&gt;="&amp;CONFIG!$B$27)=0,"",AVERAGEIFS(ENSAYOS!$Q$5:$Q$3004,ENSAYOS!$C$5:$C$3004,F753,ENSAYOS!$Q$5:$Q$3004,"&gt;0",ENSAYOS!$G$5:$G$3004,"&gt;="&amp;CONFIG!$B$27)))</f>
        <v/>
      </c>
      <c r="W753" s="18" t="str">
        <f aca="false">IF(AND(U753&lt;&gt;"",V753&lt;&gt;""),U753/V753,"")</f>
        <v/>
      </c>
      <c r="X753" s="18" t="str">
        <f aca="false">IF(U753="","",INDEX('CURVA EDAD'!$E$5:$E$32,MIN(28,MAX(1,N753))))</f>
        <v/>
      </c>
      <c r="Y753" s="16" t="str">
        <f aca="false">IF(V753&lt;&gt;"",V753,IF(U753="","",U753/X753))</f>
        <v/>
      </c>
      <c r="Z753" s="16" t="str">
        <f aca="false">IF(V753&lt;&gt;"",_xlfn.MINIFS(ENSAYOS!$Q$5:$Q$3004,ENSAYOS!$C$5:$C$3004,F753,ENSAYOS!$Q$5:$Q$3004,"&gt;0",ENSAYOS!$G$5:$G$3004,"&gt;="&amp;CONFIG!$B$27),IF(U753="","",_xlfn.MINIFS(ENSAYOS!$Q$5:$Q$3004,ENSAYOS!$C$5:$C$3004,F753,ENSAYOS!$Q$5:$Q$3004,"&gt;0",ENSAYOS!$G$5:$G$3004,N753)/X753))</f>
        <v/>
      </c>
      <c r="AA753" s="16" t="str">
        <f aca="false">IF(D753="","",IFERROR(1/(1/INDEX(CONFIG!$J$5:$J$14,MATCH(D753,CONFIG!$D$5:$D$14,0))),""))</f>
        <v/>
      </c>
      <c r="AB753" s="16" t="str">
        <f aca="false">IF(D753="","",IFERROR(1/(1/INDEX(CONFIG!$K$5:$K$14,MATCH(D753,CONFIG!$D$5:$D$14,0))),""))</f>
        <v/>
      </c>
      <c r="AC753" s="19" t="str">
        <f aca="false">IF(N(M753)=0,"",IF(AA753="","Sin spec",IF(AND(Y753&gt;=AA753,OR(AB753="",Z753&gt;=AB753)),"CUMPLE","NO CUMPLE")&amp;IF(V753=""," (est.)","")))</f>
        <v/>
      </c>
      <c r="AD753" s="20" t="str">
        <f aca="false">IF(F753="","",IF(COUNTIFS(ABSORCION!$C$5:$C$1004,F753,ABSORCION!$I$5:$I$1004,"&gt;0")=0,"",AVERAGEIFS(ABSORCION!$I$5:$I$1004,ABSORCION!$C$5:$C$1004,F753,ABSORCION!$I$5:$I$1004,"&gt;0")))</f>
        <v/>
      </c>
      <c r="AE753" s="20" t="str">
        <f aca="false">IF(F753="","",IF(COUNTIFS(ABSORCION!$C$5:$C$1004,F753,ABSORCION!$I$5:$I$1004,"&gt;0")=0,"",AVERAGEIFS(ABSORCION!$K$5:$K$1004,ABSORCION!$C$5:$C$1004,F753,ABSORCION!$I$5:$I$1004,"&gt;0")))</f>
        <v/>
      </c>
      <c r="AF753" s="20" t="str">
        <f aca="false">IF(AE753="","",IF(AE753&gt;=CONFIG!$E$21,CONFIG!$F$21,IF(AE753&gt;=CONFIG!$E$20,CONFIG!$F$20,CONFIG!$F$19)))</f>
        <v/>
      </c>
      <c r="AG753" s="21" t="str">
        <f aca="false">IF(F753="","",TRIM(IF(N(M753)=0,"Sin ensayos. ","")&amp;IF(AND(N(M753)&gt;0,N(M753)&lt;CONFIG!$B$26),"Menos de "&amp;CONFIG!$B$26&amp;" probetas. ","")&amp;IF(N(T753)&gt;CONFIG!$B$25,"CV alto. ","")&amp;IF(AND(N(AD753)&gt;0,N(AD753)&gt;N(AF753)),"Absorción alta. ","")))</f>
        <v/>
      </c>
      <c r="AH753" s="22" t="str">
        <f aca="false">IF(AND(N(M753)&gt;0,OR(CONTROL!$C$4="TODAS",C753=CONTROL!$C$4),D753=CONTROL!$C$5),MAX($AH$4:AH752)+1,"")</f>
        <v/>
      </c>
      <c r="AI753" s="22" t="str">
        <f aca="false">IF(AH753="","",P753^2)</f>
        <v/>
      </c>
    </row>
    <row r="754" customFormat="false" ht="15" hidden="false" customHeight="false" outlineLevel="0" collapsed="false">
      <c r="A754" s="11" t="str">
        <f aca="false">IF(B754="","",ROW()-4)</f>
        <v/>
      </c>
      <c r="B754" s="12"/>
      <c r="C754" s="13"/>
      <c r="D754" s="13"/>
      <c r="E754" s="13"/>
      <c r="F754" s="14" t="str">
        <f aca="false">IF(OR(B754="",C754="",D754=""),"",IFERROR(INDEX(CONFIG!$E$5:$E$14,MATCH(D754,CONFIG!$D$5:$D$14,0)),"?")&amp;RIGHT("0"&amp;DAY(B754),2)&amp;RIGHT("0"&amp;MONTH(B754),2)&amp;RIGHT(YEAR(B754),2)&amp;C754&amp;IF(E754="","","-"&amp;E754))</f>
        <v/>
      </c>
      <c r="G754" s="13"/>
      <c r="H754" s="13"/>
      <c r="I754" s="13"/>
      <c r="J754" s="13"/>
      <c r="K754" s="13"/>
      <c r="L754" s="13"/>
      <c r="M754" s="11" t="str">
        <f aca="false">IF(F754="","",COUNTIFS(ENSAYOS!$C$5:$C$3004,F754,ENSAYOS!$Q$5:$Q$3004,"&gt;0"))</f>
        <v/>
      </c>
      <c r="N754" s="15" t="str">
        <f aca="false">IF(N(M754)=0,"",_xlfn.MINIFS(ENSAYOS!$G$5:$G$3004,ENSAYOS!$C$5:$C$3004,F754,ENSAYOS!$Q$5:$Q$3004,"&gt;0"))</f>
        <v/>
      </c>
      <c r="O754" s="15" t="str">
        <f aca="false">IF(N(M754)=0,"",_xlfn.MAXIFS(ENSAYOS!$G$5:$G$3004,ENSAYOS!$C$5:$C$3004,F754,ENSAYOS!$Q$5:$Q$3004,"&gt;0"))</f>
        <v/>
      </c>
      <c r="P754" s="16" t="str">
        <f aca="false">IF(N(M754)=0,"",AVERAGEIFS(ENSAYOS!$Q$5:$Q$3004,ENSAYOS!$C$5:$C$3004,F754,ENSAYOS!$Q$5:$Q$3004,"&gt;0"))</f>
        <v/>
      </c>
      <c r="Q754" s="16" t="str">
        <f aca="false">IF(N(M754)=0,"",_xlfn.MINIFS(ENSAYOS!$Q$5:$Q$3004,ENSAYOS!$C$5:$C$3004,F754,ENSAYOS!$Q$5:$Q$3004,"&gt;0"))</f>
        <v/>
      </c>
      <c r="R754" s="16" t="str">
        <f aca="false">IF(N(M754)=0,"",_xlfn.MAXIFS(ENSAYOS!$Q$5:$Q$3004,ENSAYOS!$C$5:$C$3004,F754,ENSAYOS!$Q$5:$Q$3004,"&gt;0"))</f>
        <v/>
      </c>
      <c r="S754" s="16" t="str">
        <f aca="false">IF(N(M754)&lt;2,"",SQRT(MAX(0,(SUMIFS(ENSAYOS!$X$5:$X$3004,ENSAYOS!$C$5:$C$3004,F754,ENSAYOS!$Q$5:$Q$3004,"&gt;0")-M754*P754^2)/(M754-1))))</f>
        <v/>
      </c>
      <c r="T754" s="17" t="str">
        <f aca="false">IF(S754="","",S754/P754)</f>
        <v/>
      </c>
      <c r="U754" s="16" t="str">
        <f aca="false">IF(N(M754)=0,"",IF(N754&gt;=CONFIG!$B$27,"",AVERAGEIFS(ENSAYOS!$Q$5:$Q$3004,ENSAYOS!$C$5:$C$3004,F754,ENSAYOS!$Q$5:$Q$3004,"&gt;0",ENSAYOS!$G$5:$G$3004,N754)))</f>
        <v/>
      </c>
      <c r="V754" s="16" t="str">
        <f aca="false">IF(N(M754)=0,"",IF(COUNTIFS(ENSAYOS!$C$5:$C$3004,F754,ENSAYOS!$Q$5:$Q$3004,"&gt;0",ENSAYOS!$G$5:$G$3004,"&gt;="&amp;CONFIG!$B$27)=0,"",AVERAGEIFS(ENSAYOS!$Q$5:$Q$3004,ENSAYOS!$C$5:$C$3004,F754,ENSAYOS!$Q$5:$Q$3004,"&gt;0",ENSAYOS!$G$5:$G$3004,"&gt;="&amp;CONFIG!$B$27)))</f>
        <v/>
      </c>
      <c r="W754" s="18" t="str">
        <f aca="false">IF(AND(U754&lt;&gt;"",V754&lt;&gt;""),U754/V754,"")</f>
        <v/>
      </c>
      <c r="X754" s="18" t="str">
        <f aca="false">IF(U754="","",INDEX('CURVA EDAD'!$E$5:$E$32,MIN(28,MAX(1,N754))))</f>
        <v/>
      </c>
      <c r="Y754" s="16" t="str">
        <f aca="false">IF(V754&lt;&gt;"",V754,IF(U754="","",U754/X754))</f>
        <v/>
      </c>
      <c r="Z754" s="16" t="str">
        <f aca="false">IF(V754&lt;&gt;"",_xlfn.MINIFS(ENSAYOS!$Q$5:$Q$3004,ENSAYOS!$C$5:$C$3004,F754,ENSAYOS!$Q$5:$Q$3004,"&gt;0",ENSAYOS!$G$5:$G$3004,"&gt;="&amp;CONFIG!$B$27),IF(U754="","",_xlfn.MINIFS(ENSAYOS!$Q$5:$Q$3004,ENSAYOS!$C$5:$C$3004,F754,ENSAYOS!$Q$5:$Q$3004,"&gt;0",ENSAYOS!$G$5:$G$3004,N754)/X754))</f>
        <v/>
      </c>
      <c r="AA754" s="16" t="str">
        <f aca="false">IF(D754="","",IFERROR(1/(1/INDEX(CONFIG!$J$5:$J$14,MATCH(D754,CONFIG!$D$5:$D$14,0))),""))</f>
        <v/>
      </c>
      <c r="AB754" s="16" t="str">
        <f aca="false">IF(D754="","",IFERROR(1/(1/INDEX(CONFIG!$K$5:$K$14,MATCH(D754,CONFIG!$D$5:$D$14,0))),""))</f>
        <v/>
      </c>
      <c r="AC754" s="19" t="str">
        <f aca="false">IF(N(M754)=0,"",IF(AA754="","Sin spec",IF(AND(Y754&gt;=AA754,OR(AB754="",Z754&gt;=AB754)),"CUMPLE","NO CUMPLE")&amp;IF(V754=""," (est.)","")))</f>
        <v/>
      </c>
      <c r="AD754" s="20" t="str">
        <f aca="false">IF(F754="","",IF(COUNTIFS(ABSORCION!$C$5:$C$1004,F754,ABSORCION!$I$5:$I$1004,"&gt;0")=0,"",AVERAGEIFS(ABSORCION!$I$5:$I$1004,ABSORCION!$C$5:$C$1004,F754,ABSORCION!$I$5:$I$1004,"&gt;0")))</f>
        <v/>
      </c>
      <c r="AE754" s="20" t="str">
        <f aca="false">IF(F754="","",IF(COUNTIFS(ABSORCION!$C$5:$C$1004,F754,ABSORCION!$I$5:$I$1004,"&gt;0")=0,"",AVERAGEIFS(ABSORCION!$K$5:$K$1004,ABSORCION!$C$5:$C$1004,F754,ABSORCION!$I$5:$I$1004,"&gt;0")))</f>
        <v/>
      </c>
      <c r="AF754" s="20" t="str">
        <f aca="false">IF(AE754="","",IF(AE754&gt;=CONFIG!$E$21,CONFIG!$F$21,IF(AE754&gt;=CONFIG!$E$20,CONFIG!$F$20,CONFIG!$F$19)))</f>
        <v/>
      </c>
      <c r="AG754" s="21" t="str">
        <f aca="false">IF(F754="","",TRIM(IF(N(M754)=0,"Sin ensayos. ","")&amp;IF(AND(N(M754)&gt;0,N(M754)&lt;CONFIG!$B$26),"Menos de "&amp;CONFIG!$B$26&amp;" probetas. ","")&amp;IF(N(T754)&gt;CONFIG!$B$25,"CV alto. ","")&amp;IF(AND(N(AD754)&gt;0,N(AD754)&gt;N(AF754)),"Absorción alta. ","")))</f>
        <v/>
      </c>
      <c r="AH754" s="22" t="str">
        <f aca="false">IF(AND(N(M754)&gt;0,OR(CONTROL!$C$4="TODAS",C754=CONTROL!$C$4),D754=CONTROL!$C$5),MAX($AH$4:AH753)+1,"")</f>
        <v/>
      </c>
      <c r="AI754" s="22" t="str">
        <f aca="false">IF(AH754="","",P754^2)</f>
        <v/>
      </c>
    </row>
    <row r="755" customFormat="false" ht="15" hidden="false" customHeight="false" outlineLevel="0" collapsed="false">
      <c r="A755" s="11" t="str">
        <f aca="false">IF(B755="","",ROW()-4)</f>
        <v/>
      </c>
      <c r="B755" s="12"/>
      <c r="C755" s="13"/>
      <c r="D755" s="13"/>
      <c r="E755" s="13"/>
      <c r="F755" s="14" t="str">
        <f aca="false">IF(OR(B755="",C755="",D755=""),"",IFERROR(INDEX(CONFIG!$E$5:$E$14,MATCH(D755,CONFIG!$D$5:$D$14,0)),"?")&amp;RIGHT("0"&amp;DAY(B755),2)&amp;RIGHT("0"&amp;MONTH(B755),2)&amp;RIGHT(YEAR(B755),2)&amp;C755&amp;IF(E755="","","-"&amp;E755))</f>
        <v/>
      </c>
      <c r="G755" s="13"/>
      <c r="H755" s="13"/>
      <c r="I755" s="13"/>
      <c r="J755" s="13"/>
      <c r="K755" s="13"/>
      <c r="L755" s="13"/>
      <c r="M755" s="11" t="str">
        <f aca="false">IF(F755="","",COUNTIFS(ENSAYOS!$C$5:$C$3004,F755,ENSAYOS!$Q$5:$Q$3004,"&gt;0"))</f>
        <v/>
      </c>
      <c r="N755" s="15" t="str">
        <f aca="false">IF(N(M755)=0,"",_xlfn.MINIFS(ENSAYOS!$G$5:$G$3004,ENSAYOS!$C$5:$C$3004,F755,ENSAYOS!$Q$5:$Q$3004,"&gt;0"))</f>
        <v/>
      </c>
      <c r="O755" s="15" t="str">
        <f aca="false">IF(N(M755)=0,"",_xlfn.MAXIFS(ENSAYOS!$G$5:$G$3004,ENSAYOS!$C$5:$C$3004,F755,ENSAYOS!$Q$5:$Q$3004,"&gt;0"))</f>
        <v/>
      </c>
      <c r="P755" s="16" t="str">
        <f aca="false">IF(N(M755)=0,"",AVERAGEIFS(ENSAYOS!$Q$5:$Q$3004,ENSAYOS!$C$5:$C$3004,F755,ENSAYOS!$Q$5:$Q$3004,"&gt;0"))</f>
        <v/>
      </c>
      <c r="Q755" s="16" t="str">
        <f aca="false">IF(N(M755)=0,"",_xlfn.MINIFS(ENSAYOS!$Q$5:$Q$3004,ENSAYOS!$C$5:$C$3004,F755,ENSAYOS!$Q$5:$Q$3004,"&gt;0"))</f>
        <v/>
      </c>
      <c r="R755" s="16" t="str">
        <f aca="false">IF(N(M755)=0,"",_xlfn.MAXIFS(ENSAYOS!$Q$5:$Q$3004,ENSAYOS!$C$5:$C$3004,F755,ENSAYOS!$Q$5:$Q$3004,"&gt;0"))</f>
        <v/>
      </c>
      <c r="S755" s="16" t="str">
        <f aca="false">IF(N(M755)&lt;2,"",SQRT(MAX(0,(SUMIFS(ENSAYOS!$X$5:$X$3004,ENSAYOS!$C$5:$C$3004,F755,ENSAYOS!$Q$5:$Q$3004,"&gt;0")-M755*P755^2)/(M755-1))))</f>
        <v/>
      </c>
      <c r="T755" s="17" t="str">
        <f aca="false">IF(S755="","",S755/P755)</f>
        <v/>
      </c>
      <c r="U755" s="16" t="str">
        <f aca="false">IF(N(M755)=0,"",IF(N755&gt;=CONFIG!$B$27,"",AVERAGEIFS(ENSAYOS!$Q$5:$Q$3004,ENSAYOS!$C$5:$C$3004,F755,ENSAYOS!$Q$5:$Q$3004,"&gt;0",ENSAYOS!$G$5:$G$3004,N755)))</f>
        <v/>
      </c>
      <c r="V755" s="16" t="str">
        <f aca="false">IF(N(M755)=0,"",IF(COUNTIFS(ENSAYOS!$C$5:$C$3004,F755,ENSAYOS!$Q$5:$Q$3004,"&gt;0",ENSAYOS!$G$5:$G$3004,"&gt;="&amp;CONFIG!$B$27)=0,"",AVERAGEIFS(ENSAYOS!$Q$5:$Q$3004,ENSAYOS!$C$5:$C$3004,F755,ENSAYOS!$Q$5:$Q$3004,"&gt;0",ENSAYOS!$G$5:$G$3004,"&gt;="&amp;CONFIG!$B$27)))</f>
        <v/>
      </c>
      <c r="W755" s="18" t="str">
        <f aca="false">IF(AND(U755&lt;&gt;"",V755&lt;&gt;""),U755/V755,"")</f>
        <v/>
      </c>
      <c r="X755" s="18" t="str">
        <f aca="false">IF(U755="","",INDEX('CURVA EDAD'!$E$5:$E$32,MIN(28,MAX(1,N755))))</f>
        <v/>
      </c>
      <c r="Y755" s="16" t="str">
        <f aca="false">IF(V755&lt;&gt;"",V755,IF(U755="","",U755/X755))</f>
        <v/>
      </c>
      <c r="Z755" s="16" t="str">
        <f aca="false">IF(V755&lt;&gt;"",_xlfn.MINIFS(ENSAYOS!$Q$5:$Q$3004,ENSAYOS!$C$5:$C$3004,F755,ENSAYOS!$Q$5:$Q$3004,"&gt;0",ENSAYOS!$G$5:$G$3004,"&gt;="&amp;CONFIG!$B$27),IF(U755="","",_xlfn.MINIFS(ENSAYOS!$Q$5:$Q$3004,ENSAYOS!$C$5:$C$3004,F755,ENSAYOS!$Q$5:$Q$3004,"&gt;0",ENSAYOS!$G$5:$G$3004,N755)/X755))</f>
        <v/>
      </c>
      <c r="AA755" s="16" t="str">
        <f aca="false">IF(D755="","",IFERROR(1/(1/INDEX(CONFIG!$J$5:$J$14,MATCH(D755,CONFIG!$D$5:$D$14,0))),""))</f>
        <v/>
      </c>
      <c r="AB755" s="16" t="str">
        <f aca="false">IF(D755="","",IFERROR(1/(1/INDEX(CONFIG!$K$5:$K$14,MATCH(D755,CONFIG!$D$5:$D$14,0))),""))</f>
        <v/>
      </c>
      <c r="AC755" s="19" t="str">
        <f aca="false">IF(N(M755)=0,"",IF(AA755="","Sin spec",IF(AND(Y755&gt;=AA755,OR(AB755="",Z755&gt;=AB755)),"CUMPLE","NO CUMPLE")&amp;IF(V755=""," (est.)","")))</f>
        <v/>
      </c>
      <c r="AD755" s="20" t="str">
        <f aca="false">IF(F755="","",IF(COUNTIFS(ABSORCION!$C$5:$C$1004,F755,ABSORCION!$I$5:$I$1004,"&gt;0")=0,"",AVERAGEIFS(ABSORCION!$I$5:$I$1004,ABSORCION!$C$5:$C$1004,F755,ABSORCION!$I$5:$I$1004,"&gt;0")))</f>
        <v/>
      </c>
      <c r="AE755" s="20" t="str">
        <f aca="false">IF(F755="","",IF(COUNTIFS(ABSORCION!$C$5:$C$1004,F755,ABSORCION!$I$5:$I$1004,"&gt;0")=0,"",AVERAGEIFS(ABSORCION!$K$5:$K$1004,ABSORCION!$C$5:$C$1004,F755,ABSORCION!$I$5:$I$1004,"&gt;0")))</f>
        <v/>
      </c>
      <c r="AF755" s="20" t="str">
        <f aca="false">IF(AE755="","",IF(AE755&gt;=CONFIG!$E$21,CONFIG!$F$21,IF(AE755&gt;=CONFIG!$E$20,CONFIG!$F$20,CONFIG!$F$19)))</f>
        <v/>
      </c>
      <c r="AG755" s="21" t="str">
        <f aca="false">IF(F755="","",TRIM(IF(N(M755)=0,"Sin ensayos. ","")&amp;IF(AND(N(M755)&gt;0,N(M755)&lt;CONFIG!$B$26),"Menos de "&amp;CONFIG!$B$26&amp;" probetas. ","")&amp;IF(N(T755)&gt;CONFIG!$B$25,"CV alto. ","")&amp;IF(AND(N(AD755)&gt;0,N(AD755)&gt;N(AF755)),"Absorción alta. ","")))</f>
        <v/>
      </c>
      <c r="AH755" s="22" t="str">
        <f aca="false">IF(AND(N(M755)&gt;0,OR(CONTROL!$C$4="TODAS",C755=CONTROL!$C$4),D755=CONTROL!$C$5),MAX($AH$4:AH754)+1,"")</f>
        <v/>
      </c>
      <c r="AI755" s="22" t="str">
        <f aca="false">IF(AH755="","",P755^2)</f>
        <v/>
      </c>
    </row>
    <row r="756" customFormat="false" ht="15" hidden="false" customHeight="false" outlineLevel="0" collapsed="false">
      <c r="A756" s="11" t="str">
        <f aca="false">IF(B756="","",ROW()-4)</f>
        <v/>
      </c>
      <c r="B756" s="12"/>
      <c r="C756" s="13"/>
      <c r="D756" s="13"/>
      <c r="E756" s="13"/>
      <c r="F756" s="14" t="str">
        <f aca="false">IF(OR(B756="",C756="",D756=""),"",IFERROR(INDEX(CONFIG!$E$5:$E$14,MATCH(D756,CONFIG!$D$5:$D$14,0)),"?")&amp;RIGHT("0"&amp;DAY(B756),2)&amp;RIGHT("0"&amp;MONTH(B756),2)&amp;RIGHT(YEAR(B756),2)&amp;C756&amp;IF(E756="","","-"&amp;E756))</f>
        <v/>
      </c>
      <c r="G756" s="13"/>
      <c r="H756" s="13"/>
      <c r="I756" s="13"/>
      <c r="J756" s="13"/>
      <c r="K756" s="13"/>
      <c r="L756" s="13"/>
      <c r="M756" s="11" t="str">
        <f aca="false">IF(F756="","",COUNTIFS(ENSAYOS!$C$5:$C$3004,F756,ENSAYOS!$Q$5:$Q$3004,"&gt;0"))</f>
        <v/>
      </c>
      <c r="N756" s="15" t="str">
        <f aca="false">IF(N(M756)=0,"",_xlfn.MINIFS(ENSAYOS!$G$5:$G$3004,ENSAYOS!$C$5:$C$3004,F756,ENSAYOS!$Q$5:$Q$3004,"&gt;0"))</f>
        <v/>
      </c>
      <c r="O756" s="15" t="str">
        <f aca="false">IF(N(M756)=0,"",_xlfn.MAXIFS(ENSAYOS!$G$5:$G$3004,ENSAYOS!$C$5:$C$3004,F756,ENSAYOS!$Q$5:$Q$3004,"&gt;0"))</f>
        <v/>
      </c>
      <c r="P756" s="16" t="str">
        <f aca="false">IF(N(M756)=0,"",AVERAGEIFS(ENSAYOS!$Q$5:$Q$3004,ENSAYOS!$C$5:$C$3004,F756,ENSAYOS!$Q$5:$Q$3004,"&gt;0"))</f>
        <v/>
      </c>
      <c r="Q756" s="16" t="str">
        <f aca="false">IF(N(M756)=0,"",_xlfn.MINIFS(ENSAYOS!$Q$5:$Q$3004,ENSAYOS!$C$5:$C$3004,F756,ENSAYOS!$Q$5:$Q$3004,"&gt;0"))</f>
        <v/>
      </c>
      <c r="R756" s="16" t="str">
        <f aca="false">IF(N(M756)=0,"",_xlfn.MAXIFS(ENSAYOS!$Q$5:$Q$3004,ENSAYOS!$C$5:$C$3004,F756,ENSAYOS!$Q$5:$Q$3004,"&gt;0"))</f>
        <v/>
      </c>
      <c r="S756" s="16" t="str">
        <f aca="false">IF(N(M756)&lt;2,"",SQRT(MAX(0,(SUMIFS(ENSAYOS!$X$5:$X$3004,ENSAYOS!$C$5:$C$3004,F756,ENSAYOS!$Q$5:$Q$3004,"&gt;0")-M756*P756^2)/(M756-1))))</f>
        <v/>
      </c>
      <c r="T756" s="17" t="str">
        <f aca="false">IF(S756="","",S756/P756)</f>
        <v/>
      </c>
      <c r="U756" s="16" t="str">
        <f aca="false">IF(N(M756)=0,"",IF(N756&gt;=CONFIG!$B$27,"",AVERAGEIFS(ENSAYOS!$Q$5:$Q$3004,ENSAYOS!$C$5:$C$3004,F756,ENSAYOS!$Q$5:$Q$3004,"&gt;0",ENSAYOS!$G$5:$G$3004,N756)))</f>
        <v/>
      </c>
      <c r="V756" s="16" t="str">
        <f aca="false">IF(N(M756)=0,"",IF(COUNTIFS(ENSAYOS!$C$5:$C$3004,F756,ENSAYOS!$Q$5:$Q$3004,"&gt;0",ENSAYOS!$G$5:$G$3004,"&gt;="&amp;CONFIG!$B$27)=0,"",AVERAGEIFS(ENSAYOS!$Q$5:$Q$3004,ENSAYOS!$C$5:$C$3004,F756,ENSAYOS!$Q$5:$Q$3004,"&gt;0",ENSAYOS!$G$5:$G$3004,"&gt;="&amp;CONFIG!$B$27)))</f>
        <v/>
      </c>
      <c r="W756" s="18" t="str">
        <f aca="false">IF(AND(U756&lt;&gt;"",V756&lt;&gt;""),U756/V756,"")</f>
        <v/>
      </c>
      <c r="X756" s="18" t="str">
        <f aca="false">IF(U756="","",INDEX('CURVA EDAD'!$E$5:$E$32,MIN(28,MAX(1,N756))))</f>
        <v/>
      </c>
      <c r="Y756" s="16" t="str">
        <f aca="false">IF(V756&lt;&gt;"",V756,IF(U756="","",U756/X756))</f>
        <v/>
      </c>
      <c r="Z756" s="16" t="str">
        <f aca="false">IF(V756&lt;&gt;"",_xlfn.MINIFS(ENSAYOS!$Q$5:$Q$3004,ENSAYOS!$C$5:$C$3004,F756,ENSAYOS!$Q$5:$Q$3004,"&gt;0",ENSAYOS!$G$5:$G$3004,"&gt;="&amp;CONFIG!$B$27),IF(U756="","",_xlfn.MINIFS(ENSAYOS!$Q$5:$Q$3004,ENSAYOS!$C$5:$C$3004,F756,ENSAYOS!$Q$5:$Q$3004,"&gt;0",ENSAYOS!$G$5:$G$3004,N756)/X756))</f>
        <v/>
      </c>
      <c r="AA756" s="16" t="str">
        <f aca="false">IF(D756="","",IFERROR(1/(1/INDEX(CONFIG!$J$5:$J$14,MATCH(D756,CONFIG!$D$5:$D$14,0))),""))</f>
        <v/>
      </c>
      <c r="AB756" s="16" t="str">
        <f aca="false">IF(D756="","",IFERROR(1/(1/INDEX(CONFIG!$K$5:$K$14,MATCH(D756,CONFIG!$D$5:$D$14,0))),""))</f>
        <v/>
      </c>
      <c r="AC756" s="19" t="str">
        <f aca="false">IF(N(M756)=0,"",IF(AA756="","Sin spec",IF(AND(Y756&gt;=AA756,OR(AB756="",Z756&gt;=AB756)),"CUMPLE","NO CUMPLE")&amp;IF(V756=""," (est.)","")))</f>
        <v/>
      </c>
      <c r="AD756" s="20" t="str">
        <f aca="false">IF(F756="","",IF(COUNTIFS(ABSORCION!$C$5:$C$1004,F756,ABSORCION!$I$5:$I$1004,"&gt;0")=0,"",AVERAGEIFS(ABSORCION!$I$5:$I$1004,ABSORCION!$C$5:$C$1004,F756,ABSORCION!$I$5:$I$1004,"&gt;0")))</f>
        <v/>
      </c>
      <c r="AE756" s="20" t="str">
        <f aca="false">IF(F756="","",IF(COUNTIFS(ABSORCION!$C$5:$C$1004,F756,ABSORCION!$I$5:$I$1004,"&gt;0")=0,"",AVERAGEIFS(ABSORCION!$K$5:$K$1004,ABSORCION!$C$5:$C$1004,F756,ABSORCION!$I$5:$I$1004,"&gt;0")))</f>
        <v/>
      </c>
      <c r="AF756" s="20" t="str">
        <f aca="false">IF(AE756="","",IF(AE756&gt;=CONFIG!$E$21,CONFIG!$F$21,IF(AE756&gt;=CONFIG!$E$20,CONFIG!$F$20,CONFIG!$F$19)))</f>
        <v/>
      </c>
      <c r="AG756" s="21" t="str">
        <f aca="false">IF(F756="","",TRIM(IF(N(M756)=0,"Sin ensayos. ","")&amp;IF(AND(N(M756)&gt;0,N(M756)&lt;CONFIG!$B$26),"Menos de "&amp;CONFIG!$B$26&amp;" probetas. ","")&amp;IF(N(T756)&gt;CONFIG!$B$25,"CV alto. ","")&amp;IF(AND(N(AD756)&gt;0,N(AD756)&gt;N(AF756)),"Absorción alta. ","")))</f>
        <v/>
      </c>
      <c r="AH756" s="22" t="str">
        <f aca="false">IF(AND(N(M756)&gt;0,OR(CONTROL!$C$4="TODAS",C756=CONTROL!$C$4),D756=CONTROL!$C$5),MAX($AH$4:AH755)+1,"")</f>
        <v/>
      </c>
      <c r="AI756" s="22" t="str">
        <f aca="false">IF(AH756="","",P756^2)</f>
        <v/>
      </c>
    </row>
    <row r="757" customFormat="false" ht="15" hidden="false" customHeight="false" outlineLevel="0" collapsed="false">
      <c r="A757" s="11" t="str">
        <f aca="false">IF(B757="","",ROW()-4)</f>
        <v/>
      </c>
      <c r="B757" s="12"/>
      <c r="C757" s="13"/>
      <c r="D757" s="13"/>
      <c r="E757" s="13"/>
      <c r="F757" s="14" t="str">
        <f aca="false">IF(OR(B757="",C757="",D757=""),"",IFERROR(INDEX(CONFIG!$E$5:$E$14,MATCH(D757,CONFIG!$D$5:$D$14,0)),"?")&amp;RIGHT("0"&amp;DAY(B757),2)&amp;RIGHT("0"&amp;MONTH(B757),2)&amp;RIGHT(YEAR(B757),2)&amp;C757&amp;IF(E757="","","-"&amp;E757))</f>
        <v/>
      </c>
      <c r="G757" s="13"/>
      <c r="H757" s="13"/>
      <c r="I757" s="13"/>
      <c r="J757" s="13"/>
      <c r="K757" s="13"/>
      <c r="L757" s="13"/>
      <c r="M757" s="11" t="str">
        <f aca="false">IF(F757="","",COUNTIFS(ENSAYOS!$C$5:$C$3004,F757,ENSAYOS!$Q$5:$Q$3004,"&gt;0"))</f>
        <v/>
      </c>
      <c r="N757" s="15" t="str">
        <f aca="false">IF(N(M757)=0,"",_xlfn.MINIFS(ENSAYOS!$G$5:$G$3004,ENSAYOS!$C$5:$C$3004,F757,ENSAYOS!$Q$5:$Q$3004,"&gt;0"))</f>
        <v/>
      </c>
      <c r="O757" s="15" t="str">
        <f aca="false">IF(N(M757)=0,"",_xlfn.MAXIFS(ENSAYOS!$G$5:$G$3004,ENSAYOS!$C$5:$C$3004,F757,ENSAYOS!$Q$5:$Q$3004,"&gt;0"))</f>
        <v/>
      </c>
      <c r="P757" s="16" t="str">
        <f aca="false">IF(N(M757)=0,"",AVERAGEIFS(ENSAYOS!$Q$5:$Q$3004,ENSAYOS!$C$5:$C$3004,F757,ENSAYOS!$Q$5:$Q$3004,"&gt;0"))</f>
        <v/>
      </c>
      <c r="Q757" s="16" t="str">
        <f aca="false">IF(N(M757)=0,"",_xlfn.MINIFS(ENSAYOS!$Q$5:$Q$3004,ENSAYOS!$C$5:$C$3004,F757,ENSAYOS!$Q$5:$Q$3004,"&gt;0"))</f>
        <v/>
      </c>
      <c r="R757" s="16" t="str">
        <f aca="false">IF(N(M757)=0,"",_xlfn.MAXIFS(ENSAYOS!$Q$5:$Q$3004,ENSAYOS!$C$5:$C$3004,F757,ENSAYOS!$Q$5:$Q$3004,"&gt;0"))</f>
        <v/>
      </c>
      <c r="S757" s="16" t="str">
        <f aca="false">IF(N(M757)&lt;2,"",SQRT(MAX(0,(SUMIFS(ENSAYOS!$X$5:$X$3004,ENSAYOS!$C$5:$C$3004,F757,ENSAYOS!$Q$5:$Q$3004,"&gt;0")-M757*P757^2)/(M757-1))))</f>
        <v/>
      </c>
      <c r="T757" s="17" t="str">
        <f aca="false">IF(S757="","",S757/P757)</f>
        <v/>
      </c>
      <c r="U757" s="16" t="str">
        <f aca="false">IF(N(M757)=0,"",IF(N757&gt;=CONFIG!$B$27,"",AVERAGEIFS(ENSAYOS!$Q$5:$Q$3004,ENSAYOS!$C$5:$C$3004,F757,ENSAYOS!$Q$5:$Q$3004,"&gt;0",ENSAYOS!$G$5:$G$3004,N757)))</f>
        <v/>
      </c>
      <c r="V757" s="16" t="str">
        <f aca="false">IF(N(M757)=0,"",IF(COUNTIFS(ENSAYOS!$C$5:$C$3004,F757,ENSAYOS!$Q$5:$Q$3004,"&gt;0",ENSAYOS!$G$5:$G$3004,"&gt;="&amp;CONFIG!$B$27)=0,"",AVERAGEIFS(ENSAYOS!$Q$5:$Q$3004,ENSAYOS!$C$5:$C$3004,F757,ENSAYOS!$Q$5:$Q$3004,"&gt;0",ENSAYOS!$G$5:$G$3004,"&gt;="&amp;CONFIG!$B$27)))</f>
        <v/>
      </c>
      <c r="W757" s="18" t="str">
        <f aca="false">IF(AND(U757&lt;&gt;"",V757&lt;&gt;""),U757/V757,"")</f>
        <v/>
      </c>
      <c r="X757" s="18" t="str">
        <f aca="false">IF(U757="","",INDEX('CURVA EDAD'!$E$5:$E$32,MIN(28,MAX(1,N757))))</f>
        <v/>
      </c>
      <c r="Y757" s="16" t="str">
        <f aca="false">IF(V757&lt;&gt;"",V757,IF(U757="","",U757/X757))</f>
        <v/>
      </c>
      <c r="Z757" s="16" t="str">
        <f aca="false">IF(V757&lt;&gt;"",_xlfn.MINIFS(ENSAYOS!$Q$5:$Q$3004,ENSAYOS!$C$5:$C$3004,F757,ENSAYOS!$Q$5:$Q$3004,"&gt;0",ENSAYOS!$G$5:$G$3004,"&gt;="&amp;CONFIG!$B$27),IF(U757="","",_xlfn.MINIFS(ENSAYOS!$Q$5:$Q$3004,ENSAYOS!$C$5:$C$3004,F757,ENSAYOS!$Q$5:$Q$3004,"&gt;0",ENSAYOS!$G$5:$G$3004,N757)/X757))</f>
        <v/>
      </c>
      <c r="AA757" s="16" t="str">
        <f aca="false">IF(D757="","",IFERROR(1/(1/INDEX(CONFIG!$J$5:$J$14,MATCH(D757,CONFIG!$D$5:$D$14,0))),""))</f>
        <v/>
      </c>
      <c r="AB757" s="16" t="str">
        <f aca="false">IF(D757="","",IFERROR(1/(1/INDEX(CONFIG!$K$5:$K$14,MATCH(D757,CONFIG!$D$5:$D$14,0))),""))</f>
        <v/>
      </c>
      <c r="AC757" s="19" t="str">
        <f aca="false">IF(N(M757)=0,"",IF(AA757="","Sin spec",IF(AND(Y757&gt;=AA757,OR(AB757="",Z757&gt;=AB757)),"CUMPLE","NO CUMPLE")&amp;IF(V757=""," (est.)","")))</f>
        <v/>
      </c>
      <c r="AD757" s="20" t="str">
        <f aca="false">IF(F757="","",IF(COUNTIFS(ABSORCION!$C$5:$C$1004,F757,ABSORCION!$I$5:$I$1004,"&gt;0")=0,"",AVERAGEIFS(ABSORCION!$I$5:$I$1004,ABSORCION!$C$5:$C$1004,F757,ABSORCION!$I$5:$I$1004,"&gt;0")))</f>
        <v/>
      </c>
      <c r="AE757" s="20" t="str">
        <f aca="false">IF(F757="","",IF(COUNTIFS(ABSORCION!$C$5:$C$1004,F757,ABSORCION!$I$5:$I$1004,"&gt;0")=0,"",AVERAGEIFS(ABSORCION!$K$5:$K$1004,ABSORCION!$C$5:$C$1004,F757,ABSORCION!$I$5:$I$1004,"&gt;0")))</f>
        <v/>
      </c>
      <c r="AF757" s="20" t="str">
        <f aca="false">IF(AE757="","",IF(AE757&gt;=CONFIG!$E$21,CONFIG!$F$21,IF(AE757&gt;=CONFIG!$E$20,CONFIG!$F$20,CONFIG!$F$19)))</f>
        <v/>
      </c>
      <c r="AG757" s="21" t="str">
        <f aca="false">IF(F757="","",TRIM(IF(N(M757)=0,"Sin ensayos. ","")&amp;IF(AND(N(M757)&gt;0,N(M757)&lt;CONFIG!$B$26),"Menos de "&amp;CONFIG!$B$26&amp;" probetas. ","")&amp;IF(N(T757)&gt;CONFIG!$B$25,"CV alto. ","")&amp;IF(AND(N(AD757)&gt;0,N(AD757)&gt;N(AF757)),"Absorción alta. ","")))</f>
        <v/>
      </c>
      <c r="AH757" s="22" t="str">
        <f aca="false">IF(AND(N(M757)&gt;0,OR(CONTROL!$C$4="TODAS",C757=CONTROL!$C$4),D757=CONTROL!$C$5),MAX($AH$4:AH756)+1,"")</f>
        <v/>
      </c>
      <c r="AI757" s="22" t="str">
        <f aca="false">IF(AH757="","",P757^2)</f>
        <v/>
      </c>
    </row>
    <row r="758" customFormat="false" ht="15" hidden="false" customHeight="false" outlineLevel="0" collapsed="false">
      <c r="A758" s="11" t="str">
        <f aca="false">IF(B758="","",ROW()-4)</f>
        <v/>
      </c>
      <c r="B758" s="12"/>
      <c r="C758" s="13"/>
      <c r="D758" s="13"/>
      <c r="E758" s="13"/>
      <c r="F758" s="14" t="str">
        <f aca="false">IF(OR(B758="",C758="",D758=""),"",IFERROR(INDEX(CONFIG!$E$5:$E$14,MATCH(D758,CONFIG!$D$5:$D$14,0)),"?")&amp;RIGHT("0"&amp;DAY(B758),2)&amp;RIGHT("0"&amp;MONTH(B758),2)&amp;RIGHT(YEAR(B758),2)&amp;C758&amp;IF(E758="","","-"&amp;E758))</f>
        <v/>
      </c>
      <c r="G758" s="13"/>
      <c r="H758" s="13"/>
      <c r="I758" s="13"/>
      <c r="J758" s="13"/>
      <c r="K758" s="13"/>
      <c r="L758" s="13"/>
      <c r="M758" s="11" t="str">
        <f aca="false">IF(F758="","",COUNTIFS(ENSAYOS!$C$5:$C$3004,F758,ENSAYOS!$Q$5:$Q$3004,"&gt;0"))</f>
        <v/>
      </c>
      <c r="N758" s="15" t="str">
        <f aca="false">IF(N(M758)=0,"",_xlfn.MINIFS(ENSAYOS!$G$5:$G$3004,ENSAYOS!$C$5:$C$3004,F758,ENSAYOS!$Q$5:$Q$3004,"&gt;0"))</f>
        <v/>
      </c>
      <c r="O758" s="15" t="str">
        <f aca="false">IF(N(M758)=0,"",_xlfn.MAXIFS(ENSAYOS!$G$5:$G$3004,ENSAYOS!$C$5:$C$3004,F758,ENSAYOS!$Q$5:$Q$3004,"&gt;0"))</f>
        <v/>
      </c>
      <c r="P758" s="16" t="str">
        <f aca="false">IF(N(M758)=0,"",AVERAGEIFS(ENSAYOS!$Q$5:$Q$3004,ENSAYOS!$C$5:$C$3004,F758,ENSAYOS!$Q$5:$Q$3004,"&gt;0"))</f>
        <v/>
      </c>
      <c r="Q758" s="16" t="str">
        <f aca="false">IF(N(M758)=0,"",_xlfn.MINIFS(ENSAYOS!$Q$5:$Q$3004,ENSAYOS!$C$5:$C$3004,F758,ENSAYOS!$Q$5:$Q$3004,"&gt;0"))</f>
        <v/>
      </c>
      <c r="R758" s="16" t="str">
        <f aca="false">IF(N(M758)=0,"",_xlfn.MAXIFS(ENSAYOS!$Q$5:$Q$3004,ENSAYOS!$C$5:$C$3004,F758,ENSAYOS!$Q$5:$Q$3004,"&gt;0"))</f>
        <v/>
      </c>
      <c r="S758" s="16" t="str">
        <f aca="false">IF(N(M758)&lt;2,"",SQRT(MAX(0,(SUMIFS(ENSAYOS!$X$5:$X$3004,ENSAYOS!$C$5:$C$3004,F758,ENSAYOS!$Q$5:$Q$3004,"&gt;0")-M758*P758^2)/(M758-1))))</f>
        <v/>
      </c>
      <c r="T758" s="17" t="str">
        <f aca="false">IF(S758="","",S758/P758)</f>
        <v/>
      </c>
      <c r="U758" s="16" t="str">
        <f aca="false">IF(N(M758)=0,"",IF(N758&gt;=CONFIG!$B$27,"",AVERAGEIFS(ENSAYOS!$Q$5:$Q$3004,ENSAYOS!$C$5:$C$3004,F758,ENSAYOS!$Q$5:$Q$3004,"&gt;0",ENSAYOS!$G$5:$G$3004,N758)))</f>
        <v/>
      </c>
      <c r="V758" s="16" t="str">
        <f aca="false">IF(N(M758)=0,"",IF(COUNTIFS(ENSAYOS!$C$5:$C$3004,F758,ENSAYOS!$Q$5:$Q$3004,"&gt;0",ENSAYOS!$G$5:$G$3004,"&gt;="&amp;CONFIG!$B$27)=0,"",AVERAGEIFS(ENSAYOS!$Q$5:$Q$3004,ENSAYOS!$C$5:$C$3004,F758,ENSAYOS!$Q$5:$Q$3004,"&gt;0",ENSAYOS!$G$5:$G$3004,"&gt;="&amp;CONFIG!$B$27)))</f>
        <v/>
      </c>
      <c r="W758" s="18" t="str">
        <f aca="false">IF(AND(U758&lt;&gt;"",V758&lt;&gt;""),U758/V758,"")</f>
        <v/>
      </c>
      <c r="X758" s="18" t="str">
        <f aca="false">IF(U758="","",INDEX('CURVA EDAD'!$E$5:$E$32,MIN(28,MAX(1,N758))))</f>
        <v/>
      </c>
      <c r="Y758" s="16" t="str">
        <f aca="false">IF(V758&lt;&gt;"",V758,IF(U758="","",U758/X758))</f>
        <v/>
      </c>
      <c r="Z758" s="16" t="str">
        <f aca="false">IF(V758&lt;&gt;"",_xlfn.MINIFS(ENSAYOS!$Q$5:$Q$3004,ENSAYOS!$C$5:$C$3004,F758,ENSAYOS!$Q$5:$Q$3004,"&gt;0",ENSAYOS!$G$5:$G$3004,"&gt;="&amp;CONFIG!$B$27),IF(U758="","",_xlfn.MINIFS(ENSAYOS!$Q$5:$Q$3004,ENSAYOS!$C$5:$C$3004,F758,ENSAYOS!$Q$5:$Q$3004,"&gt;0",ENSAYOS!$G$5:$G$3004,N758)/X758))</f>
        <v/>
      </c>
      <c r="AA758" s="16" t="str">
        <f aca="false">IF(D758="","",IFERROR(1/(1/INDEX(CONFIG!$J$5:$J$14,MATCH(D758,CONFIG!$D$5:$D$14,0))),""))</f>
        <v/>
      </c>
      <c r="AB758" s="16" t="str">
        <f aca="false">IF(D758="","",IFERROR(1/(1/INDEX(CONFIG!$K$5:$K$14,MATCH(D758,CONFIG!$D$5:$D$14,0))),""))</f>
        <v/>
      </c>
      <c r="AC758" s="19" t="str">
        <f aca="false">IF(N(M758)=0,"",IF(AA758="","Sin spec",IF(AND(Y758&gt;=AA758,OR(AB758="",Z758&gt;=AB758)),"CUMPLE","NO CUMPLE")&amp;IF(V758=""," (est.)","")))</f>
        <v/>
      </c>
      <c r="AD758" s="20" t="str">
        <f aca="false">IF(F758="","",IF(COUNTIFS(ABSORCION!$C$5:$C$1004,F758,ABSORCION!$I$5:$I$1004,"&gt;0")=0,"",AVERAGEIFS(ABSORCION!$I$5:$I$1004,ABSORCION!$C$5:$C$1004,F758,ABSORCION!$I$5:$I$1004,"&gt;0")))</f>
        <v/>
      </c>
      <c r="AE758" s="20" t="str">
        <f aca="false">IF(F758="","",IF(COUNTIFS(ABSORCION!$C$5:$C$1004,F758,ABSORCION!$I$5:$I$1004,"&gt;0")=0,"",AVERAGEIFS(ABSORCION!$K$5:$K$1004,ABSORCION!$C$5:$C$1004,F758,ABSORCION!$I$5:$I$1004,"&gt;0")))</f>
        <v/>
      </c>
      <c r="AF758" s="20" t="str">
        <f aca="false">IF(AE758="","",IF(AE758&gt;=CONFIG!$E$21,CONFIG!$F$21,IF(AE758&gt;=CONFIG!$E$20,CONFIG!$F$20,CONFIG!$F$19)))</f>
        <v/>
      </c>
      <c r="AG758" s="21" t="str">
        <f aca="false">IF(F758="","",TRIM(IF(N(M758)=0,"Sin ensayos. ","")&amp;IF(AND(N(M758)&gt;0,N(M758)&lt;CONFIG!$B$26),"Menos de "&amp;CONFIG!$B$26&amp;" probetas. ","")&amp;IF(N(T758)&gt;CONFIG!$B$25,"CV alto. ","")&amp;IF(AND(N(AD758)&gt;0,N(AD758)&gt;N(AF758)),"Absorción alta. ","")))</f>
        <v/>
      </c>
      <c r="AH758" s="22" t="str">
        <f aca="false">IF(AND(N(M758)&gt;0,OR(CONTROL!$C$4="TODAS",C758=CONTROL!$C$4),D758=CONTROL!$C$5),MAX($AH$4:AH757)+1,"")</f>
        <v/>
      </c>
      <c r="AI758" s="22" t="str">
        <f aca="false">IF(AH758="","",P758^2)</f>
        <v/>
      </c>
    </row>
    <row r="759" customFormat="false" ht="15" hidden="false" customHeight="false" outlineLevel="0" collapsed="false">
      <c r="A759" s="11" t="str">
        <f aca="false">IF(B759="","",ROW()-4)</f>
        <v/>
      </c>
      <c r="B759" s="12"/>
      <c r="C759" s="13"/>
      <c r="D759" s="13"/>
      <c r="E759" s="13"/>
      <c r="F759" s="14" t="str">
        <f aca="false">IF(OR(B759="",C759="",D759=""),"",IFERROR(INDEX(CONFIG!$E$5:$E$14,MATCH(D759,CONFIG!$D$5:$D$14,0)),"?")&amp;RIGHT("0"&amp;DAY(B759),2)&amp;RIGHT("0"&amp;MONTH(B759),2)&amp;RIGHT(YEAR(B759),2)&amp;C759&amp;IF(E759="","","-"&amp;E759))</f>
        <v/>
      </c>
      <c r="G759" s="13"/>
      <c r="H759" s="13"/>
      <c r="I759" s="13"/>
      <c r="J759" s="13"/>
      <c r="K759" s="13"/>
      <c r="L759" s="13"/>
      <c r="M759" s="11" t="str">
        <f aca="false">IF(F759="","",COUNTIFS(ENSAYOS!$C$5:$C$3004,F759,ENSAYOS!$Q$5:$Q$3004,"&gt;0"))</f>
        <v/>
      </c>
      <c r="N759" s="15" t="str">
        <f aca="false">IF(N(M759)=0,"",_xlfn.MINIFS(ENSAYOS!$G$5:$G$3004,ENSAYOS!$C$5:$C$3004,F759,ENSAYOS!$Q$5:$Q$3004,"&gt;0"))</f>
        <v/>
      </c>
      <c r="O759" s="15" t="str">
        <f aca="false">IF(N(M759)=0,"",_xlfn.MAXIFS(ENSAYOS!$G$5:$G$3004,ENSAYOS!$C$5:$C$3004,F759,ENSAYOS!$Q$5:$Q$3004,"&gt;0"))</f>
        <v/>
      </c>
      <c r="P759" s="16" t="str">
        <f aca="false">IF(N(M759)=0,"",AVERAGEIFS(ENSAYOS!$Q$5:$Q$3004,ENSAYOS!$C$5:$C$3004,F759,ENSAYOS!$Q$5:$Q$3004,"&gt;0"))</f>
        <v/>
      </c>
      <c r="Q759" s="16" t="str">
        <f aca="false">IF(N(M759)=0,"",_xlfn.MINIFS(ENSAYOS!$Q$5:$Q$3004,ENSAYOS!$C$5:$C$3004,F759,ENSAYOS!$Q$5:$Q$3004,"&gt;0"))</f>
        <v/>
      </c>
      <c r="R759" s="16" t="str">
        <f aca="false">IF(N(M759)=0,"",_xlfn.MAXIFS(ENSAYOS!$Q$5:$Q$3004,ENSAYOS!$C$5:$C$3004,F759,ENSAYOS!$Q$5:$Q$3004,"&gt;0"))</f>
        <v/>
      </c>
      <c r="S759" s="16" t="str">
        <f aca="false">IF(N(M759)&lt;2,"",SQRT(MAX(0,(SUMIFS(ENSAYOS!$X$5:$X$3004,ENSAYOS!$C$5:$C$3004,F759,ENSAYOS!$Q$5:$Q$3004,"&gt;0")-M759*P759^2)/(M759-1))))</f>
        <v/>
      </c>
      <c r="T759" s="17" t="str">
        <f aca="false">IF(S759="","",S759/P759)</f>
        <v/>
      </c>
      <c r="U759" s="16" t="str">
        <f aca="false">IF(N(M759)=0,"",IF(N759&gt;=CONFIG!$B$27,"",AVERAGEIFS(ENSAYOS!$Q$5:$Q$3004,ENSAYOS!$C$5:$C$3004,F759,ENSAYOS!$Q$5:$Q$3004,"&gt;0",ENSAYOS!$G$5:$G$3004,N759)))</f>
        <v/>
      </c>
      <c r="V759" s="16" t="str">
        <f aca="false">IF(N(M759)=0,"",IF(COUNTIFS(ENSAYOS!$C$5:$C$3004,F759,ENSAYOS!$Q$5:$Q$3004,"&gt;0",ENSAYOS!$G$5:$G$3004,"&gt;="&amp;CONFIG!$B$27)=0,"",AVERAGEIFS(ENSAYOS!$Q$5:$Q$3004,ENSAYOS!$C$5:$C$3004,F759,ENSAYOS!$Q$5:$Q$3004,"&gt;0",ENSAYOS!$G$5:$G$3004,"&gt;="&amp;CONFIG!$B$27)))</f>
        <v/>
      </c>
      <c r="W759" s="18" t="str">
        <f aca="false">IF(AND(U759&lt;&gt;"",V759&lt;&gt;""),U759/V759,"")</f>
        <v/>
      </c>
      <c r="X759" s="18" t="str">
        <f aca="false">IF(U759="","",INDEX('CURVA EDAD'!$E$5:$E$32,MIN(28,MAX(1,N759))))</f>
        <v/>
      </c>
      <c r="Y759" s="16" t="str">
        <f aca="false">IF(V759&lt;&gt;"",V759,IF(U759="","",U759/X759))</f>
        <v/>
      </c>
      <c r="Z759" s="16" t="str">
        <f aca="false">IF(V759&lt;&gt;"",_xlfn.MINIFS(ENSAYOS!$Q$5:$Q$3004,ENSAYOS!$C$5:$C$3004,F759,ENSAYOS!$Q$5:$Q$3004,"&gt;0",ENSAYOS!$G$5:$G$3004,"&gt;="&amp;CONFIG!$B$27),IF(U759="","",_xlfn.MINIFS(ENSAYOS!$Q$5:$Q$3004,ENSAYOS!$C$5:$C$3004,F759,ENSAYOS!$Q$5:$Q$3004,"&gt;0",ENSAYOS!$G$5:$G$3004,N759)/X759))</f>
        <v/>
      </c>
      <c r="AA759" s="16" t="str">
        <f aca="false">IF(D759="","",IFERROR(1/(1/INDEX(CONFIG!$J$5:$J$14,MATCH(D759,CONFIG!$D$5:$D$14,0))),""))</f>
        <v/>
      </c>
      <c r="AB759" s="16" t="str">
        <f aca="false">IF(D759="","",IFERROR(1/(1/INDEX(CONFIG!$K$5:$K$14,MATCH(D759,CONFIG!$D$5:$D$14,0))),""))</f>
        <v/>
      </c>
      <c r="AC759" s="19" t="str">
        <f aca="false">IF(N(M759)=0,"",IF(AA759="","Sin spec",IF(AND(Y759&gt;=AA759,OR(AB759="",Z759&gt;=AB759)),"CUMPLE","NO CUMPLE")&amp;IF(V759=""," (est.)","")))</f>
        <v/>
      </c>
      <c r="AD759" s="20" t="str">
        <f aca="false">IF(F759="","",IF(COUNTIFS(ABSORCION!$C$5:$C$1004,F759,ABSORCION!$I$5:$I$1004,"&gt;0")=0,"",AVERAGEIFS(ABSORCION!$I$5:$I$1004,ABSORCION!$C$5:$C$1004,F759,ABSORCION!$I$5:$I$1004,"&gt;0")))</f>
        <v/>
      </c>
      <c r="AE759" s="20" t="str">
        <f aca="false">IF(F759="","",IF(COUNTIFS(ABSORCION!$C$5:$C$1004,F759,ABSORCION!$I$5:$I$1004,"&gt;0")=0,"",AVERAGEIFS(ABSORCION!$K$5:$K$1004,ABSORCION!$C$5:$C$1004,F759,ABSORCION!$I$5:$I$1004,"&gt;0")))</f>
        <v/>
      </c>
      <c r="AF759" s="20" t="str">
        <f aca="false">IF(AE759="","",IF(AE759&gt;=CONFIG!$E$21,CONFIG!$F$21,IF(AE759&gt;=CONFIG!$E$20,CONFIG!$F$20,CONFIG!$F$19)))</f>
        <v/>
      </c>
      <c r="AG759" s="21" t="str">
        <f aca="false">IF(F759="","",TRIM(IF(N(M759)=0,"Sin ensayos. ","")&amp;IF(AND(N(M759)&gt;0,N(M759)&lt;CONFIG!$B$26),"Menos de "&amp;CONFIG!$B$26&amp;" probetas. ","")&amp;IF(N(T759)&gt;CONFIG!$B$25,"CV alto. ","")&amp;IF(AND(N(AD759)&gt;0,N(AD759)&gt;N(AF759)),"Absorción alta. ","")))</f>
        <v/>
      </c>
      <c r="AH759" s="22" t="str">
        <f aca="false">IF(AND(N(M759)&gt;0,OR(CONTROL!$C$4="TODAS",C759=CONTROL!$C$4),D759=CONTROL!$C$5),MAX($AH$4:AH758)+1,"")</f>
        <v/>
      </c>
      <c r="AI759" s="22" t="str">
        <f aca="false">IF(AH759="","",P759^2)</f>
        <v/>
      </c>
    </row>
    <row r="760" customFormat="false" ht="15" hidden="false" customHeight="false" outlineLevel="0" collapsed="false">
      <c r="A760" s="11" t="str">
        <f aca="false">IF(B760="","",ROW()-4)</f>
        <v/>
      </c>
      <c r="B760" s="12"/>
      <c r="C760" s="13"/>
      <c r="D760" s="13"/>
      <c r="E760" s="13"/>
      <c r="F760" s="14" t="str">
        <f aca="false">IF(OR(B760="",C760="",D760=""),"",IFERROR(INDEX(CONFIG!$E$5:$E$14,MATCH(D760,CONFIG!$D$5:$D$14,0)),"?")&amp;RIGHT("0"&amp;DAY(B760),2)&amp;RIGHT("0"&amp;MONTH(B760),2)&amp;RIGHT(YEAR(B760),2)&amp;C760&amp;IF(E760="","","-"&amp;E760))</f>
        <v/>
      </c>
      <c r="G760" s="13"/>
      <c r="H760" s="13"/>
      <c r="I760" s="13"/>
      <c r="J760" s="13"/>
      <c r="K760" s="13"/>
      <c r="L760" s="13"/>
      <c r="M760" s="11" t="str">
        <f aca="false">IF(F760="","",COUNTIFS(ENSAYOS!$C$5:$C$3004,F760,ENSAYOS!$Q$5:$Q$3004,"&gt;0"))</f>
        <v/>
      </c>
      <c r="N760" s="15" t="str">
        <f aca="false">IF(N(M760)=0,"",_xlfn.MINIFS(ENSAYOS!$G$5:$G$3004,ENSAYOS!$C$5:$C$3004,F760,ENSAYOS!$Q$5:$Q$3004,"&gt;0"))</f>
        <v/>
      </c>
      <c r="O760" s="15" t="str">
        <f aca="false">IF(N(M760)=0,"",_xlfn.MAXIFS(ENSAYOS!$G$5:$G$3004,ENSAYOS!$C$5:$C$3004,F760,ENSAYOS!$Q$5:$Q$3004,"&gt;0"))</f>
        <v/>
      </c>
      <c r="P760" s="16" t="str">
        <f aca="false">IF(N(M760)=0,"",AVERAGEIFS(ENSAYOS!$Q$5:$Q$3004,ENSAYOS!$C$5:$C$3004,F760,ENSAYOS!$Q$5:$Q$3004,"&gt;0"))</f>
        <v/>
      </c>
      <c r="Q760" s="16" t="str">
        <f aca="false">IF(N(M760)=0,"",_xlfn.MINIFS(ENSAYOS!$Q$5:$Q$3004,ENSAYOS!$C$5:$C$3004,F760,ENSAYOS!$Q$5:$Q$3004,"&gt;0"))</f>
        <v/>
      </c>
      <c r="R760" s="16" t="str">
        <f aca="false">IF(N(M760)=0,"",_xlfn.MAXIFS(ENSAYOS!$Q$5:$Q$3004,ENSAYOS!$C$5:$C$3004,F760,ENSAYOS!$Q$5:$Q$3004,"&gt;0"))</f>
        <v/>
      </c>
      <c r="S760" s="16" t="str">
        <f aca="false">IF(N(M760)&lt;2,"",SQRT(MAX(0,(SUMIFS(ENSAYOS!$X$5:$X$3004,ENSAYOS!$C$5:$C$3004,F760,ENSAYOS!$Q$5:$Q$3004,"&gt;0")-M760*P760^2)/(M760-1))))</f>
        <v/>
      </c>
      <c r="T760" s="17" t="str">
        <f aca="false">IF(S760="","",S760/P760)</f>
        <v/>
      </c>
      <c r="U760" s="16" t="str">
        <f aca="false">IF(N(M760)=0,"",IF(N760&gt;=CONFIG!$B$27,"",AVERAGEIFS(ENSAYOS!$Q$5:$Q$3004,ENSAYOS!$C$5:$C$3004,F760,ENSAYOS!$Q$5:$Q$3004,"&gt;0",ENSAYOS!$G$5:$G$3004,N760)))</f>
        <v/>
      </c>
      <c r="V760" s="16" t="str">
        <f aca="false">IF(N(M760)=0,"",IF(COUNTIFS(ENSAYOS!$C$5:$C$3004,F760,ENSAYOS!$Q$5:$Q$3004,"&gt;0",ENSAYOS!$G$5:$G$3004,"&gt;="&amp;CONFIG!$B$27)=0,"",AVERAGEIFS(ENSAYOS!$Q$5:$Q$3004,ENSAYOS!$C$5:$C$3004,F760,ENSAYOS!$Q$5:$Q$3004,"&gt;0",ENSAYOS!$G$5:$G$3004,"&gt;="&amp;CONFIG!$B$27)))</f>
        <v/>
      </c>
      <c r="W760" s="18" t="str">
        <f aca="false">IF(AND(U760&lt;&gt;"",V760&lt;&gt;""),U760/V760,"")</f>
        <v/>
      </c>
      <c r="X760" s="18" t="str">
        <f aca="false">IF(U760="","",INDEX('CURVA EDAD'!$E$5:$E$32,MIN(28,MAX(1,N760))))</f>
        <v/>
      </c>
      <c r="Y760" s="16" t="str">
        <f aca="false">IF(V760&lt;&gt;"",V760,IF(U760="","",U760/X760))</f>
        <v/>
      </c>
      <c r="Z760" s="16" t="str">
        <f aca="false">IF(V760&lt;&gt;"",_xlfn.MINIFS(ENSAYOS!$Q$5:$Q$3004,ENSAYOS!$C$5:$C$3004,F760,ENSAYOS!$Q$5:$Q$3004,"&gt;0",ENSAYOS!$G$5:$G$3004,"&gt;="&amp;CONFIG!$B$27),IF(U760="","",_xlfn.MINIFS(ENSAYOS!$Q$5:$Q$3004,ENSAYOS!$C$5:$C$3004,F760,ENSAYOS!$Q$5:$Q$3004,"&gt;0",ENSAYOS!$G$5:$G$3004,N760)/X760))</f>
        <v/>
      </c>
      <c r="AA760" s="16" t="str">
        <f aca="false">IF(D760="","",IFERROR(1/(1/INDEX(CONFIG!$J$5:$J$14,MATCH(D760,CONFIG!$D$5:$D$14,0))),""))</f>
        <v/>
      </c>
      <c r="AB760" s="16" t="str">
        <f aca="false">IF(D760="","",IFERROR(1/(1/INDEX(CONFIG!$K$5:$K$14,MATCH(D760,CONFIG!$D$5:$D$14,0))),""))</f>
        <v/>
      </c>
      <c r="AC760" s="19" t="str">
        <f aca="false">IF(N(M760)=0,"",IF(AA760="","Sin spec",IF(AND(Y760&gt;=AA760,OR(AB760="",Z760&gt;=AB760)),"CUMPLE","NO CUMPLE")&amp;IF(V760=""," (est.)","")))</f>
        <v/>
      </c>
      <c r="AD760" s="20" t="str">
        <f aca="false">IF(F760="","",IF(COUNTIFS(ABSORCION!$C$5:$C$1004,F760,ABSORCION!$I$5:$I$1004,"&gt;0")=0,"",AVERAGEIFS(ABSORCION!$I$5:$I$1004,ABSORCION!$C$5:$C$1004,F760,ABSORCION!$I$5:$I$1004,"&gt;0")))</f>
        <v/>
      </c>
      <c r="AE760" s="20" t="str">
        <f aca="false">IF(F760="","",IF(COUNTIFS(ABSORCION!$C$5:$C$1004,F760,ABSORCION!$I$5:$I$1004,"&gt;0")=0,"",AVERAGEIFS(ABSORCION!$K$5:$K$1004,ABSORCION!$C$5:$C$1004,F760,ABSORCION!$I$5:$I$1004,"&gt;0")))</f>
        <v/>
      </c>
      <c r="AF760" s="20" t="str">
        <f aca="false">IF(AE760="","",IF(AE760&gt;=CONFIG!$E$21,CONFIG!$F$21,IF(AE760&gt;=CONFIG!$E$20,CONFIG!$F$20,CONFIG!$F$19)))</f>
        <v/>
      </c>
      <c r="AG760" s="21" t="str">
        <f aca="false">IF(F760="","",TRIM(IF(N(M760)=0,"Sin ensayos. ","")&amp;IF(AND(N(M760)&gt;0,N(M760)&lt;CONFIG!$B$26),"Menos de "&amp;CONFIG!$B$26&amp;" probetas. ","")&amp;IF(N(T760)&gt;CONFIG!$B$25,"CV alto. ","")&amp;IF(AND(N(AD760)&gt;0,N(AD760)&gt;N(AF760)),"Absorción alta. ","")))</f>
        <v/>
      </c>
      <c r="AH760" s="22" t="str">
        <f aca="false">IF(AND(N(M760)&gt;0,OR(CONTROL!$C$4="TODAS",C760=CONTROL!$C$4),D760=CONTROL!$C$5),MAX($AH$4:AH759)+1,"")</f>
        <v/>
      </c>
      <c r="AI760" s="22" t="str">
        <f aca="false">IF(AH760="","",P760^2)</f>
        <v/>
      </c>
    </row>
    <row r="761" customFormat="false" ht="15" hidden="false" customHeight="false" outlineLevel="0" collapsed="false">
      <c r="A761" s="11" t="str">
        <f aca="false">IF(B761="","",ROW()-4)</f>
        <v/>
      </c>
      <c r="B761" s="12"/>
      <c r="C761" s="13"/>
      <c r="D761" s="13"/>
      <c r="E761" s="13"/>
      <c r="F761" s="14" t="str">
        <f aca="false">IF(OR(B761="",C761="",D761=""),"",IFERROR(INDEX(CONFIG!$E$5:$E$14,MATCH(D761,CONFIG!$D$5:$D$14,0)),"?")&amp;RIGHT("0"&amp;DAY(B761),2)&amp;RIGHT("0"&amp;MONTH(B761),2)&amp;RIGHT(YEAR(B761),2)&amp;C761&amp;IF(E761="","","-"&amp;E761))</f>
        <v/>
      </c>
      <c r="G761" s="13"/>
      <c r="H761" s="13"/>
      <c r="I761" s="13"/>
      <c r="J761" s="13"/>
      <c r="K761" s="13"/>
      <c r="L761" s="13"/>
      <c r="M761" s="11" t="str">
        <f aca="false">IF(F761="","",COUNTIFS(ENSAYOS!$C$5:$C$3004,F761,ENSAYOS!$Q$5:$Q$3004,"&gt;0"))</f>
        <v/>
      </c>
      <c r="N761" s="15" t="str">
        <f aca="false">IF(N(M761)=0,"",_xlfn.MINIFS(ENSAYOS!$G$5:$G$3004,ENSAYOS!$C$5:$C$3004,F761,ENSAYOS!$Q$5:$Q$3004,"&gt;0"))</f>
        <v/>
      </c>
      <c r="O761" s="15" t="str">
        <f aca="false">IF(N(M761)=0,"",_xlfn.MAXIFS(ENSAYOS!$G$5:$G$3004,ENSAYOS!$C$5:$C$3004,F761,ENSAYOS!$Q$5:$Q$3004,"&gt;0"))</f>
        <v/>
      </c>
      <c r="P761" s="16" t="str">
        <f aca="false">IF(N(M761)=0,"",AVERAGEIFS(ENSAYOS!$Q$5:$Q$3004,ENSAYOS!$C$5:$C$3004,F761,ENSAYOS!$Q$5:$Q$3004,"&gt;0"))</f>
        <v/>
      </c>
      <c r="Q761" s="16" t="str">
        <f aca="false">IF(N(M761)=0,"",_xlfn.MINIFS(ENSAYOS!$Q$5:$Q$3004,ENSAYOS!$C$5:$C$3004,F761,ENSAYOS!$Q$5:$Q$3004,"&gt;0"))</f>
        <v/>
      </c>
      <c r="R761" s="16" t="str">
        <f aca="false">IF(N(M761)=0,"",_xlfn.MAXIFS(ENSAYOS!$Q$5:$Q$3004,ENSAYOS!$C$5:$C$3004,F761,ENSAYOS!$Q$5:$Q$3004,"&gt;0"))</f>
        <v/>
      </c>
      <c r="S761" s="16" t="str">
        <f aca="false">IF(N(M761)&lt;2,"",SQRT(MAX(0,(SUMIFS(ENSAYOS!$X$5:$X$3004,ENSAYOS!$C$5:$C$3004,F761,ENSAYOS!$Q$5:$Q$3004,"&gt;0")-M761*P761^2)/(M761-1))))</f>
        <v/>
      </c>
      <c r="T761" s="17" t="str">
        <f aca="false">IF(S761="","",S761/P761)</f>
        <v/>
      </c>
      <c r="U761" s="16" t="str">
        <f aca="false">IF(N(M761)=0,"",IF(N761&gt;=CONFIG!$B$27,"",AVERAGEIFS(ENSAYOS!$Q$5:$Q$3004,ENSAYOS!$C$5:$C$3004,F761,ENSAYOS!$Q$5:$Q$3004,"&gt;0",ENSAYOS!$G$5:$G$3004,N761)))</f>
        <v/>
      </c>
      <c r="V761" s="16" t="str">
        <f aca="false">IF(N(M761)=0,"",IF(COUNTIFS(ENSAYOS!$C$5:$C$3004,F761,ENSAYOS!$Q$5:$Q$3004,"&gt;0",ENSAYOS!$G$5:$G$3004,"&gt;="&amp;CONFIG!$B$27)=0,"",AVERAGEIFS(ENSAYOS!$Q$5:$Q$3004,ENSAYOS!$C$5:$C$3004,F761,ENSAYOS!$Q$5:$Q$3004,"&gt;0",ENSAYOS!$G$5:$G$3004,"&gt;="&amp;CONFIG!$B$27)))</f>
        <v/>
      </c>
      <c r="W761" s="18" t="str">
        <f aca="false">IF(AND(U761&lt;&gt;"",V761&lt;&gt;""),U761/V761,"")</f>
        <v/>
      </c>
      <c r="X761" s="18" t="str">
        <f aca="false">IF(U761="","",INDEX('CURVA EDAD'!$E$5:$E$32,MIN(28,MAX(1,N761))))</f>
        <v/>
      </c>
      <c r="Y761" s="16" t="str">
        <f aca="false">IF(V761&lt;&gt;"",V761,IF(U761="","",U761/X761))</f>
        <v/>
      </c>
      <c r="Z761" s="16" t="str">
        <f aca="false">IF(V761&lt;&gt;"",_xlfn.MINIFS(ENSAYOS!$Q$5:$Q$3004,ENSAYOS!$C$5:$C$3004,F761,ENSAYOS!$Q$5:$Q$3004,"&gt;0",ENSAYOS!$G$5:$G$3004,"&gt;="&amp;CONFIG!$B$27),IF(U761="","",_xlfn.MINIFS(ENSAYOS!$Q$5:$Q$3004,ENSAYOS!$C$5:$C$3004,F761,ENSAYOS!$Q$5:$Q$3004,"&gt;0",ENSAYOS!$G$5:$G$3004,N761)/X761))</f>
        <v/>
      </c>
      <c r="AA761" s="16" t="str">
        <f aca="false">IF(D761="","",IFERROR(1/(1/INDEX(CONFIG!$J$5:$J$14,MATCH(D761,CONFIG!$D$5:$D$14,0))),""))</f>
        <v/>
      </c>
      <c r="AB761" s="16" t="str">
        <f aca="false">IF(D761="","",IFERROR(1/(1/INDEX(CONFIG!$K$5:$K$14,MATCH(D761,CONFIG!$D$5:$D$14,0))),""))</f>
        <v/>
      </c>
      <c r="AC761" s="19" t="str">
        <f aca="false">IF(N(M761)=0,"",IF(AA761="","Sin spec",IF(AND(Y761&gt;=AA761,OR(AB761="",Z761&gt;=AB761)),"CUMPLE","NO CUMPLE")&amp;IF(V761=""," (est.)","")))</f>
        <v/>
      </c>
      <c r="AD761" s="20" t="str">
        <f aca="false">IF(F761="","",IF(COUNTIFS(ABSORCION!$C$5:$C$1004,F761,ABSORCION!$I$5:$I$1004,"&gt;0")=0,"",AVERAGEIFS(ABSORCION!$I$5:$I$1004,ABSORCION!$C$5:$C$1004,F761,ABSORCION!$I$5:$I$1004,"&gt;0")))</f>
        <v/>
      </c>
      <c r="AE761" s="20" t="str">
        <f aca="false">IF(F761="","",IF(COUNTIFS(ABSORCION!$C$5:$C$1004,F761,ABSORCION!$I$5:$I$1004,"&gt;0")=0,"",AVERAGEIFS(ABSORCION!$K$5:$K$1004,ABSORCION!$C$5:$C$1004,F761,ABSORCION!$I$5:$I$1004,"&gt;0")))</f>
        <v/>
      </c>
      <c r="AF761" s="20" t="str">
        <f aca="false">IF(AE761="","",IF(AE761&gt;=CONFIG!$E$21,CONFIG!$F$21,IF(AE761&gt;=CONFIG!$E$20,CONFIG!$F$20,CONFIG!$F$19)))</f>
        <v/>
      </c>
      <c r="AG761" s="21" t="str">
        <f aca="false">IF(F761="","",TRIM(IF(N(M761)=0,"Sin ensayos. ","")&amp;IF(AND(N(M761)&gt;0,N(M761)&lt;CONFIG!$B$26),"Menos de "&amp;CONFIG!$B$26&amp;" probetas. ","")&amp;IF(N(T761)&gt;CONFIG!$B$25,"CV alto. ","")&amp;IF(AND(N(AD761)&gt;0,N(AD761)&gt;N(AF761)),"Absorción alta. ","")))</f>
        <v/>
      </c>
      <c r="AH761" s="22" t="str">
        <f aca="false">IF(AND(N(M761)&gt;0,OR(CONTROL!$C$4="TODAS",C761=CONTROL!$C$4),D761=CONTROL!$C$5),MAX($AH$4:AH760)+1,"")</f>
        <v/>
      </c>
      <c r="AI761" s="22" t="str">
        <f aca="false">IF(AH761="","",P761^2)</f>
        <v/>
      </c>
    </row>
    <row r="762" customFormat="false" ht="15" hidden="false" customHeight="false" outlineLevel="0" collapsed="false">
      <c r="A762" s="11" t="str">
        <f aca="false">IF(B762="","",ROW()-4)</f>
        <v/>
      </c>
      <c r="B762" s="12"/>
      <c r="C762" s="13"/>
      <c r="D762" s="13"/>
      <c r="E762" s="13"/>
      <c r="F762" s="14" t="str">
        <f aca="false">IF(OR(B762="",C762="",D762=""),"",IFERROR(INDEX(CONFIG!$E$5:$E$14,MATCH(D762,CONFIG!$D$5:$D$14,0)),"?")&amp;RIGHT("0"&amp;DAY(B762),2)&amp;RIGHT("0"&amp;MONTH(B762),2)&amp;RIGHT(YEAR(B762),2)&amp;C762&amp;IF(E762="","","-"&amp;E762))</f>
        <v/>
      </c>
      <c r="G762" s="13"/>
      <c r="H762" s="13"/>
      <c r="I762" s="13"/>
      <c r="J762" s="13"/>
      <c r="K762" s="13"/>
      <c r="L762" s="13"/>
      <c r="M762" s="11" t="str">
        <f aca="false">IF(F762="","",COUNTIFS(ENSAYOS!$C$5:$C$3004,F762,ENSAYOS!$Q$5:$Q$3004,"&gt;0"))</f>
        <v/>
      </c>
      <c r="N762" s="15" t="str">
        <f aca="false">IF(N(M762)=0,"",_xlfn.MINIFS(ENSAYOS!$G$5:$G$3004,ENSAYOS!$C$5:$C$3004,F762,ENSAYOS!$Q$5:$Q$3004,"&gt;0"))</f>
        <v/>
      </c>
      <c r="O762" s="15" t="str">
        <f aca="false">IF(N(M762)=0,"",_xlfn.MAXIFS(ENSAYOS!$G$5:$G$3004,ENSAYOS!$C$5:$C$3004,F762,ENSAYOS!$Q$5:$Q$3004,"&gt;0"))</f>
        <v/>
      </c>
      <c r="P762" s="16" t="str">
        <f aca="false">IF(N(M762)=0,"",AVERAGEIFS(ENSAYOS!$Q$5:$Q$3004,ENSAYOS!$C$5:$C$3004,F762,ENSAYOS!$Q$5:$Q$3004,"&gt;0"))</f>
        <v/>
      </c>
      <c r="Q762" s="16" t="str">
        <f aca="false">IF(N(M762)=0,"",_xlfn.MINIFS(ENSAYOS!$Q$5:$Q$3004,ENSAYOS!$C$5:$C$3004,F762,ENSAYOS!$Q$5:$Q$3004,"&gt;0"))</f>
        <v/>
      </c>
      <c r="R762" s="16" t="str">
        <f aca="false">IF(N(M762)=0,"",_xlfn.MAXIFS(ENSAYOS!$Q$5:$Q$3004,ENSAYOS!$C$5:$C$3004,F762,ENSAYOS!$Q$5:$Q$3004,"&gt;0"))</f>
        <v/>
      </c>
      <c r="S762" s="16" t="str">
        <f aca="false">IF(N(M762)&lt;2,"",SQRT(MAX(0,(SUMIFS(ENSAYOS!$X$5:$X$3004,ENSAYOS!$C$5:$C$3004,F762,ENSAYOS!$Q$5:$Q$3004,"&gt;0")-M762*P762^2)/(M762-1))))</f>
        <v/>
      </c>
      <c r="T762" s="17" t="str">
        <f aca="false">IF(S762="","",S762/P762)</f>
        <v/>
      </c>
      <c r="U762" s="16" t="str">
        <f aca="false">IF(N(M762)=0,"",IF(N762&gt;=CONFIG!$B$27,"",AVERAGEIFS(ENSAYOS!$Q$5:$Q$3004,ENSAYOS!$C$5:$C$3004,F762,ENSAYOS!$Q$5:$Q$3004,"&gt;0",ENSAYOS!$G$5:$G$3004,N762)))</f>
        <v/>
      </c>
      <c r="V762" s="16" t="str">
        <f aca="false">IF(N(M762)=0,"",IF(COUNTIFS(ENSAYOS!$C$5:$C$3004,F762,ENSAYOS!$Q$5:$Q$3004,"&gt;0",ENSAYOS!$G$5:$G$3004,"&gt;="&amp;CONFIG!$B$27)=0,"",AVERAGEIFS(ENSAYOS!$Q$5:$Q$3004,ENSAYOS!$C$5:$C$3004,F762,ENSAYOS!$Q$5:$Q$3004,"&gt;0",ENSAYOS!$G$5:$G$3004,"&gt;="&amp;CONFIG!$B$27)))</f>
        <v/>
      </c>
      <c r="W762" s="18" t="str">
        <f aca="false">IF(AND(U762&lt;&gt;"",V762&lt;&gt;""),U762/V762,"")</f>
        <v/>
      </c>
      <c r="X762" s="18" t="str">
        <f aca="false">IF(U762="","",INDEX('CURVA EDAD'!$E$5:$E$32,MIN(28,MAX(1,N762))))</f>
        <v/>
      </c>
      <c r="Y762" s="16" t="str">
        <f aca="false">IF(V762&lt;&gt;"",V762,IF(U762="","",U762/X762))</f>
        <v/>
      </c>
      <c r="Z762" s="16" t="str">
        <f aca="false">IF(V762&lt;&gt;"",_xlfn.MINIFS(ENSAYOS!$Q$5:$Q$3004,ENSAYOS!$C$5:$C$3004,F762,ENSAYOS!$Q$5:$Q$3004,"&gt;0",ENSAYOS!$G$5:$G$3004,"&gt;="&amp;CONFIG!$B$27),IF(U762="","",_xlfn.MINIFS(ENSAYOS!$Q$5:$Q$3004,ENSAYOS!$C$5:$C$3004,F762,ENSAYOS!$Q$5:$Q$3004,"&gt;0",ENSAYOS!$G$5:$G$3004,N762)/X762))</f>
        <v/>
      </c>
      <c r="AA762" s="16" t="str">
        <f aca="false">IF(D762="","",IFERROR(1/(1/INDEX(CONFIG!$J$5:$J$14,MATCH(D762,CONFIG!$D$5:$D$14,0))),""))</f>
        <v/>
      </c>
      <c r="AB762" s="16" t="str">
        <f aca="false">IF(D762="","",IFERROR(1/(1/INDEX(CONFIG!$K$5:$K$14,MATCH(D762,CONFIG!$D$5:$D$14,0))),""))</f>
        <v/>
      </c>
      <c r="AC762" s="19" t="str">
        <f aca="false">IF(N(M762)=0,"",IF(AA762="","Sin spec",IF(AND(Y762&gt;=AA762,OR(AB762="",Z762&gt;=AB762)),"CUMPLE","NO CUMPLE")&amp;IF(V762=""," (est.)","")))</f>
        <v/>
      </c>
      <c r="AD762" s="20" t="str">
        <f aca="false">IF(F762="","",IF(COUNTIFS(ABSORCION!$C$5:$C$1004,F762,ABSORCION!$I$5:$I$1004,"&gt;0")=0,"",AVERAGEIFS(ABSORCION!$I$5:$I$1004,ABSORCION!$C$5:$C$1004,F762,ABSORCION!$I$5:$I$1004,"&gt;0")))</f>
        <v/>
      </c>
      <c r="AE762" s="20" t="str">
        <f aca="false">IF(F762="","",IF(COUNTIFS(ABSORCION!$C$5:$C$1004,F762,ABSORCION!$I$5:$I$1004,"&gt;0")=0,"",AVERAGEIFS(ABSORCION!$K$5:$K$1004,ABSORCION!$C$5:$C$1004,F762,ABSORCION!$I$5:$I$1004,"&gt;0")))</f>
        <v/>
      </c>
      <c r="AF762" s="20" t="str">
        <f aca="false">IF(AE762="","",IF(AE762&gt;=CONFIG!$E$21,CONFIG!$F$21,IF(AE762&gt;=CONFIG!$E$20,CONFIG!$F$20,CONFIG!$F$19)))</f>
        <v/>
      </c>
      <c r="AG762" s="21" t="str">
        <f aca="false">IF(F762="","",TRIM(IF(N(M762)=0,"Sin ensayos. ","")&amp;IF(AND(N(M762)&gt;0,N(M762)&lt;CONFIG!$B$26),"Menos de "&amp;CONFIG!$B$26&amp;" probetas. ","")&amp;IF(N(T762)&gt;CONFIG!$B$25,"CV alto. ","")&amp;IF(AND(N(AD762)&gt;0,N(AD762)&gt;N(AF762)),"Absorción alta. ","")))</f>
        <v/>
      </c>
      <c r="AH762" s="22" t="str">
        <f aca="false">IF(AND(N(M762)&gt;0,OR(CONTROL!$C$4="TODAS",C762=CONTROL!$C$4),D762=CONTROL!$C$5),MAX($AH$4:AH761)+1,"")</f>
        <v/>
      </c>
      <c r="AI762" s="22" t="str">
        <f aca="false">IF(AH762="","",P762^2)</f>
        <v/>
      </c>
    </row>
    <row r="763" customFormat="false" ht="15" hidden="false" customHeight="false" outlineLevel="0" collapsed="false">
      <c r="A763" s="11" t="str">
        <f aca="false">IF(B763="","",ROW()-4)</f>
        <v/>
      </c>
      <c r="B763" s="12"/>
      <c r="C763" s="13"/>
      <c r="D763" s="13"/>
      <c r="E763" s="13"/>
      <c r="F763" s="14" t="str">
        <f aca="false">IF(OR(B763="",C763="",D763=""),"",IFERROR(INDEX(CONFIG!$E$5:$E$14,MATCH(D763,CONFIG!$D$5:$D$14,0)),"?")&amp;RIGHT("0"&amp;DAY(B763),2)&amp;RIGHT("0"&amp;MONTH(B763),2)&amp;RIGHT(YEAR(B763),2)&amp;C763&amp;IF(E763="","","-"&amp;E763))</f>
        <v/>
      </c>
      <c r="G763" s="13"/>
      <c r="H763" s="13"/>
      <c r="I763" s="13"/>
      <c r="J763" s="13"/>
      <c r="K763" s="13"/>
      <c r="L763" s="13"/>
      <c r="M763" s="11" t="str">
        <f aca="false">IF(F763="","",COUNTIFS(ENSAYOS!$C$5:$C$3004,F763,ENSAYOS!$Q$5:$Q$3004,"&gt;0"))</f>
        <v/>
      </c>
      <c r="N763" s="15" t="str">
        <f aca="false">IF(N(M763)=0,"",_xlfn.MINIFS(ENSAYOS!$G$5:$G$3004,ENSAYOS!$C$5:$C$3004,F763,ENSAYOS!$Q$5:$Q$3004,"&gt;0"))</f>
        <v/>
      </c>
      <c r="O763" s="15" t="str">
        <f aca="false">IF(N(M763)=0,"",_xlfn.MAXIFS(ENSAYOS!$G$5:$G$3004,ENSAYOS!$C$5:$C$3004,F763,ENSAYOS!$Q$5:$Q$3004,"&gt;0"))</f>
        <v/>
      </c>
      <c r="P763" s="16" t="str">
        <f aca="false">IF(N(M763)=0,"",AVERAGEIFS(ENSAYOS!$Q$5:$Q$3004,ENSAYOS!$C$5:$C$3004,F763,ENSAYOS!$Q$5:$Q$3004,"&gt;0"))</f>
        <v/>
      </c>
      <c r="Q763" s="16" t="str">
        <f aca="false">IF(N(M763)=0,"",_xlfn.MINIFS(ENSAYOS!$Q$5:$Q$3004,ENSAYOS!$C$5:$C$3004,F763,ENSAYOS!$Q$5:$Q$3004,"&gt;0"))</f>
        <v/>
      </c>
      <c r="R763" s="16" t="str">
        <f aca="false">IF(N(M763)=0,"",_xlfn.MAXIFS(ENSAYOS!$Q$5:$Q$3004,ENSAYOS!$C$5:$C$3004,F763,ENSAYOS!$Q$5:$Q$3004,"&gt;0"))</f>
        <v/>
      </c>
      <c r="S763" s="16" t="str">
        <f aca="false">IF(N(M763)&lt;2,"",SQRT(MAX(0,(SUMIFS(ENSAYOS!$X$5:$X$3004,ENSAYOS!$C$5:$C$3004,F763,ENSAYOS!$Q$5:$Q$3004,"&gt;0")-M763*P763^2)/(M763-1))))</f>
        <v/>
      </c>
      <c r="T763" s="17" t="str">
        <f aca="false">IF(S763="","",S763/P763)</f>
        <v/>
      </c>
      <c r="U763" s="16" t="str">
        <f aca="false">IF(N(M763)=0,"",IF(N763&gt;=CONFIG!$B$27,"",AVERAGEIFS(ENSAYOS!$Q$5:$Q$3004,ENSAYOS!$C$5:$C$3004,F763,ENSAYOS!$Q$5:$Q$3004,"&gt;0",ENSAYOS!$G$5:$G$3004,N763)))</f>
        <v/>
      </c>
      <c r="V763" s="16" t="str">
        <f aca="false">IF(N(M763)=0,"",IF(COUNTIFS(ENSAYOS!$C$5:$C$3004,F763,ENSAYOS!$Q$5:$Q$3004,"&gt;0",ENSAYOS!$G$5:$G$3004,"&gt;="&amp;CONFIG!$B$27)=0,"",AVERAGEIFS(ENSAYOS!$Q$5:$Q$3004,ENSAYOS!$C$5:$C$3004,F763,ENSAYOS!$Q$5:$Q$3004,"&gt;0",ENSAYOS!$G$5:$G$3004,"&gt;="&amp;CONFIG!$B$27)))</f>
        <v/>
      </c>
      <c r="W763" s="18" t="str">
        <f aca="false">IF(AND(U763&lt;&gt;"",V763&lt;&gt;""),U763/V763,"")</f>
        <v/>
      </c>
      <c r="X763" s="18" t="str">
        <f aca="false">IF(U763="","",INDEX('CURVA EDAD'!$E$5:$E$32,MIN(28,MAX(1,N763))))</f>
        <v/>
      </c>
      <c r="Y763" s="16" t="str">
        <f aca="false">IF(V763&lt;&gt;"",V763,IF(U763="","",U763/X763))</f>
        <v/>
      </c>
      <c r="Z763" s="16" t="str">
        <f aca="false">IF(V763&lt;&gt;"",_xlfn.MINIFS(ENSAYOS!$Q$5:$Q$3004,ENSAYOS!$C$5:$C$3004,F763,ENSAYOS!$Q$5:$Q$3004,"&gt;0",ENSAYOS!$G$5:$G$3004,"&gt;="&amp;CONFIG!$B$27),IF(U763="","",_xlfn.MINIFS(ENSAYOS!$Q$5:$Q$3004,ENSAYOS!$C$5:$C$3004,F763,ENSAYOS!$Q$5:$Q$3004,"&gt;0",ENSAYOS!$G$5:$G$3004,N763)/X763))</f>
        <v/>
      </c>
      <c r="AA763" s="16" t="str">
        <f aca="false">IF(D763="","",IFERROR(1/(1/INDEX(CONFIG!$J$5:$J$14,MATCH(D763,CONFIG!$D$5:$D$14,0))),""))</f>
        <v/>
      </c>
      <c r="AB763" s="16" t="str">
        <f aca="false">IF(D763="","",IFERROR(1/(1/INDEX(CONFIG!$K$5:$K$14,MATCH(D763,CONFIG!$D$5:$D$14,0))),""))</f>
        <v/>
      </c>
      <c r="AC763" s="19" t="str">
        <f aca="false">IF(N(M763)=0,"",IF(AA763="","Sin spec",IF(AND(Y763&gt;=AA763,OR(AB763="",Z763&gt;=AB763)),"CUMPLE","NO CUMPLE")&amp;IF(V763=""," (est.)","")))</f>
        <v/>
      </c>
      <c r="AD763" s="20" t="str">
        <f aca="false">IF(F763="","",IF(COUNTIFS(ABSORCION!$C$5:$C$1004,F763,ABSORCION!$I$5:$I$1004,"&gt;0")=0,"",AVERAGEIFS(ABSORCION!$I$5:$I$1004,ABSORCION!$C$5:$C$1004,F763,ABSORCION!$I$5:$I$1004,"&gt;0")))</f>
        <v/>
      </c>
      <c r="AE763" s="20" t="str">
        <f aca="false">IF(F763="","",IF(COUNTIFS(ABSORCION!$C$5:$C$1004,F763,ABSORCION!$I$5:$I$1004,"&gt;0")=0,"",AVERAGEIFS(ABSORCION!$K$5:$K$1004,ABSORCION!$C$5:$C$1004,F763,ABSORCION!$I$5:$I$1004,"&gt;0")))</f>
        <v/>
      </c>
      <c r="AF763" s="20" t="str">
        <f aca="false">IF(AE763="","",IF(AE763&gt;=CONFIG!$E$21,CONFIG!$F$21,IF(AE763&gt;=CONFIG!$E$20,CONFIG!$F$20,CONFIG!$F$19)))</f>
        <v/>
      </c>
      <c r="AG763" s="21" t="str">
        <f aca="false">IF(F763="","",TRIM(IF(N(M763)=0,"Sin ensayos. ","")&amp;IF(AND(N(M763)&gt;0,N(M763)&lt;CONFIG!$B$26),"Menos de "&amp;CONFIG!$B$26&amp;" probetas. ","")&amp;IF(N(T763)&gt;CONFIG!$B$25,"CV alto. ","")&amp;IF(AND(N(AD763)&gt;0,N(AD763)&gt;N(AF763)),"Absorción alta. ","")))</f>
        <v/>
      </c>
      <c r="AH763" s="22" t="str">
        <f aca="false">IF(AND(N(M763)&gt;0,OR(CONTROL!$C$4="TODAS",C763=CONTROL!$C$4),D763=CONTROL!$C$5),MAX($AH$4:AH762)+1,"")</f>
        <v/>
      </c>
      <c r="AI763" s="22" t="str">
        <f aca="false">IF(AH763="","",P763^2)</f>
        <v/>
      </c>
    </row>
    <row r="764" customFormat="false" ht="15" hidden="false" customHeight="false" outlineLevel="0" collapsed="false">
      <c r="A764" s="11" t="str">
        <f aca="false">IF(B764="","",ROW()-4)</f>
        <v/>
      </c>
      <c r="B764" s="12"/>
      <c r="C764" s="13"/>
      <c r="D764" s="13"/>
      <c r="E764" s="13"/>
      <c r="F764" s="14" t="str">
        <f aca="false">IF(OR(B764="",C764="",D764=""),"",IFERROR(INDEX(CONFIG!$E$5:$E$14,MATCH(D764,CONFIG!$D$5:$D$14,0)),"?")&amp;RIGHT("0"&amp;DAY(B764),2)&amp;RIGHT("0"&amp;MONTH(B764),2)&amp;RIGHT(YEAR(B764),2)&amp;C764&amp;IF(E764="","","-"&amp;E764))</f>
        <v/>
      </c>
      <c r="G764" s="13"/>
      <c r="H764" s="13"/>
      <c r="I764" s="13"/>
      <c r="J764" s="13"/>
      <c r="K764" s="13"/>
      <c r="L764" s="13"/>
      <c r="M764" s="11" t="str">
        <f aca="false">IF(F764="","",COUNTIFS(ENSAYOS!$C$5:$C$3004,F764,ENSAYOS!$Q$5:$Q$3004,"&gt;0"))</f>
        <v/>
      </c>
      <c r="N764" s="15" t="str">
        <f aca="false">IF(N(M764)=0,"",_xlfn.MINIFS(ENSAYOS!$G$5:$G$3004,ENSAYOS!$C$5:$C$3004,F764,ENSAYOS!$Q$5:$Q$3004,"&gt;0"))</f>
        <v/>
      </c>
      <c r="O764" s="15" t="str">
        <f aca="false">IF(N(M764)=0,"",_xlfn.MAXIFS(ENSAYOS!$G$5:$G$3004,ENSAYOS!$C$5:$C$3004,F764,ENSAYOS!$Q$5:$Q$3004,"&gt;0"))</f>
        <v/>
      </c>
      <c r="P764" s="16" t="str">
        <f aca="false">IF(N(M764)=0,"",AVERAGEIFS(ENSAYOS!$Q$5:$Q$3004,ENSAYOS!$C$5:$C$3004,F764,ENSAYOS!$Q$5:$Q$3004,"&gt;0"))</f>
        <v/>
      </c>
      <c r="Q764" s="16" t="str">
        <f aca="false">IF(N(M764)=0,"",_xlfn.MINIFS(ENSAYOS!$Q$5:$Q$3004,ENSAYOS!$C$5:$C$3004,F764,ENSAYOS!$Q$5:$Q$3004,"&gt;0"))</f>
        <v/>
      </c>
      <c r="R764" s="16" t="str">
        <f aca="false">IF(N(M764)=0,"",_xlfn.MAXIFS(ENSAYOS!$Q$5:$Q$3004,ENSAYOS!$C$5:$C$3004,F764,ENSAYOS!$Q$5:$Q$3004,"&gt;0"))</f>
        <v/>
      </c>
      <c r="S764" s="16" t="str">
        <f aca="false">IF(N(M764)&lt;2,"",SQRT(MAX(0,(SUMIFS(ENSAYOS!$X$5:$X$3004,ENSAYOS!$C$5:$C$3004,F764,ENSAYOS!$Q$5:$Q$3004,"&gt;0")-M764*P764^2)/(M764-1))))</f>
        <v/>
      </c>
      <c r="T764" s="17" t="str">
        <f aca="false">IF(S764="","",S764/P764)</f>
        <v/>
      </c>
      <c r="U764" s="16" t="str">
        <f aca="false">IF(N(M764)=0,"",IF(N764&gt;=CONFIG!$B$27,"",AVERAGEIFS(ENSAYOS!$Q$5:$Q$3004,ENSAYOS!$C$5:$C$3004,F764,ENSAYOS!$Q$5:$Q$3004,"&gt;0",ENSAYOS!$G$5:$G$3004,N764)))</f>
        <v/>
      </c>
      <c r="V764" s="16" t="str">
        <f aca="false">IF(N(M764)=0,"",IF(COUNTIFS(ENSAYOS!$C$5:$C$3004,F764,ENSAYOS!$Q$5:$Q$3004,"&gt;0",ENSAYOS!$G$5:$G$3004,"&gt;="&amp;CONFIG!$B$27)=0,"",AVERAGEIFS(ENSAYOS!$Q$5:$Q$3004,ENSAYOS!$C$5:$C$3004,F764,ENSAYOS!$Q$5:$Q$3004,"&gt;0",ENSAYOS!$G$5:$G$3004,"&gt;="&amp;CONFIG!$B$27)))</f>
        <v/>
      </c>
      <c r="W764" s="18" t="str">
        <f aca="false">IF(AND(U764&lt;&gt;"",V764&lt;&gt;""),U764/V764,"")</f>
        <v/>
      </c>
      <c r="X764" s="18" t="str">
        <f aca="false">IF(U764="","",INDEX('CURVA EDAD'!$E$5:$E$32,MIN(28,MAX(1,N764))))</f>
        <v/>
      </c>
      <c r="Y764" s="16" t="str">
        <f aca="false">IF(V764&lt;&gt;"",V764,IF(U764="","",U764/X764))</f>
        <v/>
      </c>
      <c r="Z764" s="16" t="str">
        <f aca="false">IF(V764&lt;&gt;"",_xlfn.MINIFS(ENSAYOS!$Q$5:$Q$3004,ENSAYOS!$C$5:$C$3004,F764,ENSAYOS!$Q$5:$Q$3004,"&gt;0",ENSAYOS!$G$5:$G$3004,"&gt;="&amp;CONFIG!$B$27),IF(U764="","",_xlfn.MINIFS(ENSAYOS!$Q$5:$Q$3004,ENSAYOS!$C$5:$C$3004,F764,ENSAYOS!$Q$5:$Q$3004,"&gt;0",ENSAYOS!$G$5:$G$3004,N764)/X764))</f>
        <v/>
      </c>
      <c r="AA764" s="16" t="str">
        <f aca="false">IF(D764="","",IFERROR(1/(1/INDEX(CONFIG!$J$5:$J$14,MATCH(D764,CONFIG!$D$5:$D$14,0))),""))</f>
        <v/>
      </c>
      <c r="AB764" s="16" t="str">
        <f aca="false">IF(D764="","",IFERROR(1/(1/INDEX(CONFIG!$K$5:$K$14,MATCH(D764,CONFIG!$D$5:$D$14,0))),""))</f>
        <v/>
      </c>
      <c r="AC764" s="19" t="str">
        <f aca="false">IF(N(M764)=0,"",IF(AA764="","Sin spec",IF(AND(Y764&gt;=AA764,OR(AB764="",Z764&gt;=AB764)),"CUMPLE","NO CUMPLE")&amp;IF(V764=""," (est.)","")))</f>
        <v/>
      </c>
      <c r="AD764" s="20" t="str">
        <f aca="false">IF(F764="","",IF(COUNTIFS(ABSORCION!$C$5:$C$1004,F764,ABSORCION!$I$5:$I$1004,"&gt;0")=0,"",AVERAGEIFS(ABSORCION!$I$5:$I$1004,ABSORCION!$C$5:$C$1004,F764,ABSORCION!$I$5:$I$1004,"&gt;0")))</f>
        <v/>
      </c>
      <c r="AE764" s="20" t="str">
        <f aca="false">IF(F764="","",IF(COUNTIFS(ABSORCION!$C$5:$C$1004,F764,ABSORCION!$I$5:$I$1004,"&gt;0")=0,"",AVERAGEIFS(ABSORCION!$K$5:$K$1004,ABSORCION!$C$5:$C$1004,F764,ABSORCION!$I$5:$I$1004,"&gt;0")))</f>
        <v/>
      </c>
      <c r="AF764" s="20" t="str">
        <f aca="false">IF(AE764="","",IF(AE764&gt;=CONFIG!$E$21,CONFIG!$F$21,IF(AE764&gt;=CONFIG!$E$20,CONFIG!$F$20,CONFIG!$F$19)))</f>
        <v/>
      </c>
      <c r="AG764" s="21" t="str">
        <f aca="false">IF(F764="","",TRIM(IF(N(M764)=0,"Sin ensayos. ","")&amp;IF(AND(N(M764)&gt;0,N(M764)&lt;CONFIG!$B$26),"Menos de "&amp;CONFIG!$B$26&amp;" probetas. ","")&amp;IF(N(T764)&gt;CONFIG!$B$25,"CV alto. ","")&amp;IF(AND(N(AD764)&gt;0,N(AD764)&gt;N(AF764)),"Absorción alta. ","")))</f>
        <v/>
      </c>
      <c r="AH764" s="22" t="str">
        <f aca="false">IF(AND(N(M764)&gt;0,OR(CONTROL!$C$4="TODAS",C764=CONTROL!$C$4),D764=CONTROL!$C$5),MAX($AH$4:AH763)+1,"")</f>
        <v/>
      </c>
      <c r="AI764" s="22" t="str">
        <f aca="false">IF(AH764="","",P764^2)</f>
        <v/>
      </c>
    </row>
    <row r="765" customFormat="false" ht="15" hidden="false" customHeight="false" outlineLevel="0" collapsed="false">
      <c r="A765" s="11" t="str">
        <f aca="false">IF(B765="","",ROW()-4)</f>
        <v/>
      </c>
      <c r="B765" s="12"/>
      <c r="C765" s="13"/>
      <c r="D765" s="13"/>
      <c r="E765" s="13"/>
      <c r="F765" s="14" t="str">
        <f aca="false">IF(OR(B765="",C765="",D765=""),"",IFERROR(INDEX(CONFIG!$E$5:$E$14,MATCH(D765,CONFIG!$D$5:$D$14,0)),"?")&amp;RIGHT("0"&amp;DAY(B765),2)&amp;RIGHT("0"&amp;MONTH(B765),2)&amp;RIGHT(YEAR(B765),2)&amp;C765&amp;IF(E765="","","-"&amp;E765))</f>
        <v/>
      </c>
      <c r="G765" s="13"/>
      <c r="H765" s="13"/>
      <c r="I765" s="13"/>
      <c r="J765" s="13"/>
      <c r="K765" s="13"/>
      <c r="L765" s="13"/>
      <c r="M765" s="11" t="str">
        <f aca="false">IF(F765="","",COUNTIFS(ENSAYOS!$C$5:$C$3004,F765,ENSAYOS!$Q$5:$Q$3004,"&gt;0"))</f>
        <v/>
      </c>
      <c r="N765" s="15" t="str">
        <f aca="false">IF(N(M765)=0,"",_xlfn.MINIFS(ENSAYOS!$G$5:$G$3004,ENSAYOS!$C$5:$C$3004,F765,ENSAYOS!$Q$5:$Q$3004,"&gt;0"))</f>
        <v/>
      </c>
      <c r="O765" s="15" t="str">
        <f aca="false">IF(N(M765)=0,"",_xlfn.MAXIFS(ENSAYOS!$G$5:$G$3004,ENSAYOS!$C$5:$C$3004,F765,ENSAYOS!$Q$5:$Q$3004,"&gt;0"))</f>
        <v/>
      </c>
      <c r="P765" s="16" t="str">
        <f aca="false">IF(N(M765)=0,"",AVERAGEIFS(ENSAYOS!$Q$5:$Q$3004,ENSAYOS!$C$5:$C$3004,F765,ENSAYOS!$Q$5:$Q$3004,"&gt;0"))</f>
        <v/>
      </c>
      <c r="Q765" s="16" t="str">
        <f aca="false">IF(N(M765)=0,"",_xlfn.MINIFS(ENSAYOS!$Q$5:$Q$3004,ENSAYOS!$C$5:$C$3004,F765,ENSAYOS!$Q$5:$Q$3004,"&gt;0"))</f>
        <v/>
      </c>
      <c r="R765" s="16" t="str">
        <f aca="false">IF(N(M765)=0,"",_xlfn.MAXIFS(ENSAYOS!$Q$5:$Q$3004,ENSAYOS!$C$5:$C$3004,F765,ENSAYOS!$Q$5:$Q$3004,"&gt;0"))</f>
        <v/>
      </c>
      <c r="S765" s="16" t="str">
        <f aca="false">IF(N(M765)&lt;2,"",SQRT(MAX(0,(SUMIFS(ENSAYOS!$X$5:$X$3004,ENSAYOS!$C$5:$C$3004,F765,ENSAYOS!$Q$5:$Q$3004,"&gt;0")-M765*P765^2)/(M765-1))))</f>
        <v/>
      </c>
      <c r="T765" s="17" t="str">
        <f aca="false">IF(S765="","",S765/P765)</f>
        <v/>
      </c>
      <c r="U765" s="16" t="str">
        <f aca="false">IF(N(M765)=0,"",IF(N765&gt;=CONFIG!$B$27,"",AVERAGEIFS(ENSAYOS!$Q$5:$Q$3004,ENSAYOS!$C$5:$C$3004,F765,ENSAYOS!$Q$5:$Q$3004,"&gt;0",ENSAYOS!$G$5:$G$3004,N765)))</f>
        <v/>
      </c>
      <c r="V765" s="16" t="str">
        <f aca="false">IF(N(M765)=0,"",IF(COUNTIFS(ENSAYOS!$C$5:$C$3004,F765,ENSAYOS!$Q$5:$Q$3004,"&gt;0",ENSAYOS!$G$5:$G$3004,"&gt;="&amp;CONFIG!$B$27)=0,"",AVERAGEIFS(ENSAYOS!$Q$5:$Q$3004,ENSAYOS!$C$5:$C$3004,F765,ENSAYOS!$Q$5:$Q$3004,"&gt;0",ENSAYOS!$G$5:$G$3004,"&gt;="&amp;CONFIG!$B$27)))</f>
        <v/>
      </c>
      <c r="W765" s="18" t="str">
        <f aca="false">IF(AND(U765&lt;&gt;"",V765&lt;&gt;""),U765/V765,"")</f>
        <v/>
      </c>
      <c r="X765" s="18" t="str">
        <f aca="false">IF(U765="","",INDEX('CURVA EDAD'!$E$5:$E$32,MIN(28,MAX(1,N765))))</f>
        <v/>
      </c>
      <c r="Y765" s="16" t="str">
        <f aca="false">IF(V765&lt;&gt;"",V765,IF(U765="","",U765/X765))</f>
        <v/>
      </c>
      <c r="Z765" s="16" t="str">
        <f aca="false">IF(V765&lt;&gt;"",_xlfn.MINIFS(ENSAYOS!$Q$5:$Q$3004,ENSAYOS!$C$5:$C$3004,F765,ENSAYOS!$Q$5:$Q$3004,"&gt;0",ENSAYOS!$G$5:$G$3004,"&gt;="&amp;CONFIG!$B$27),IF(U765="","",_xlfn.MINIFS(ENSAYOS!$Q$5:$Q$3004,ENSAYOS!$C$5:$C$3004,F765,ENSAYOS!$Q$5:$Q$3004,"&gt;0",ENSAYOS!$G$5:$G$3004,N765)/X765))</f>
        <v/>
      </c>
      <c r="AA765" s="16" t="str">
        <f aca="false">IF(D765="","",IFERROR(1/(1/INDEX(CONFIG!$J$5:$J$14,MATCH(D765,CONFIG!$D$5:$D$14,0))),""))</f>
        <v/>
      </c>
      <c r="AB765" s="16" t="str">
        <f aca="false">IF(D765="","",IFERROR(1/(1/INDEX(CONFIG!$K$5:$K$14,MATCH(D765,CONFIG!$D$5:$D$14,0))),""))</f>
        <v/>
      </c>
      <c r="AC765" s="19" t="str">
        <f aca="false">IF(N(M765)=0,"",IF(AA765="","Sin spec",IF(AND(Y765&gt;=AA765,OR(AB765="",Z765&gt;=AB765)),"CUMPLE","NO CUMPLE")&amp;IF(V765=""," (est.)","")))</f>
        <v/>
      </c>
      <c r="AD765" s="20" t="str">
        <f aca="false">IF(F765="","",IF(COUNTIFS(ABSORCION!$C$5:$C$1004,F765,ABSORCION!$I$5:$I$1004,"&gt;0")=0,"",AVERAGEIFS(ABSORCION!$I$5:$I$1004,ABSORCION!$C$5:$C$1004,F765,ABSORCION!$I$5:$I$1004,"&gt;0")))</f>
        <v/>
      </c>
      <c r="AE765" s="20" t="str">
        <f aca="false">IF(F765="","",IF(COUNTIFS(ABSORCION!$C$5:$C$1004,F765,ABSORCION!$I$5:$I$1004,"&gt;0")=0,"",AVERAGEIFS(ABSORCION!$K$5:$K$1004,ABSORCION!$C$5:$C$1004,F765,ABSORCION!$I$5:$I$1004,"&gt;0")))</f>
        <v/>
      </c>
      <c r="AF765" s="20" t="str">
        <f aca="false">IF(AE765="","",IF(AE765&gt;=CONFIG!$E$21,CONFIG!$F$21,IF(AE765&gt;=CONFIG!$E$20,CONFIG!$F$20,CONFIG!$F$19)))</f>
        <v/>
      </c>
      <c r="AG765" s="21" t="str">
        <f aca="false">IF(F765="","",TRIM(IF(N(M765)=0,"Sin ensayos. ","")&amp;IF(AND(N(M765)&gt;0,N(M765)&lt;CONFIG!$B$26),"Menos de "&amp;CONFIG!$B$26&amp;" probetas. ","")&amp;IF(N(T765)&gt;CONFIG!$B$25,"CV alto. ","")&amp;IF(AND(N(AD765)&gt;0,N(AD765)&gt;N(AF765)),"Absorción alta. ","")))</f>
        <v/>
      </c>
      <c r="AH765" s="22" t="str">
        <f aca="false">IF(AND(N(M765)&gt;0,OR(CONTROL!$C$4="TODAS",C765=CONTROL!$C$4),D765=CONTROL!$C$5),MAX($AH$4:AH764)+1,"")</f>
        <v/>
      </c>
      <c r="AI765" s="22" t="str">
        <f aca="false">IF(AH765="","",P765^2)</f>
        <v/>
      </c>
    </row>
    <row r="766" customFormat="false" ht="15" hidden="false" customHeight="false" outlineLevel="0" collapsed="false">
      <c r="A766" s="11" t="str">
        <f aca="false">IF(B766="","",ROW()-4)</f>
        <v/>
      </c>
      <c r="B766" s="12"/>
      <c r="C766" s="13"/>
      <c r="D766" s="13"/>
      <c r="E766" s="13"/>
      <c r="F766" s="14" t="str">
        <f aca="false">IF(OR(B766="",C766="",D766=""),"",IFERROR(INDEX(CONFIG!$E$5:$E$14,MATCH(D766,CONFIG!$D$5:$D$14,0)),"?")&amp;RIGHT("0"&amp;DAY(B766),2)&amp;RIGHT("0"&amp;MONTH(B766),2)&amp;RIGHT(YEAR(B766),2)&amp;C766&amp;IF(E766="","","-"&amp;E766))</f>
        <v/>
      </c>
      <c r="G766" s="13"/>
      <c r="H766" s="13"/>
      <c r="I766" s="13"/>
      <c r="J766" s="13"/>
      <c r="K766" s="13"/>
      <c r="L766" s="13"/>
      <c r="M766" s="11" t="str">
        <f aca="false">IF(F766="","",COUNTIFS(ENSAYOS!$C$5:$C$3004,F766,ENSAYOS!$Q$5:$Q$3004,"&gt;0"))</f>
        <v/>
      </c>
      <c r="N766" s="15" t="str">
        <f aca="false">IF(N(M766)=0,"",_xlfn.MINIFS(ENSAYOS!$G$5:$G$3004,ENSAYOS!$C$5:$C$3004,F766,ENSAYOS!$Q$5:$Q$3004,"&gt;0"))</f>
        <v/>
      </c>
      <c r="O766" s="15" t="str">
        <f aca="false">IF(N(M766)=0,"",_xlfn.MAXIFS(ENSAYOS!$G$5:$G$3004,ENSAYOS!$C$5:$C$3004,F766,ENSAYOS!$Q$5:$Q$3004,"&gt;0"))</f>
        <v/>
      </c>
      <c r="P766" s="16" t="str">
        <f aca="false">IF(N(M766)=0,"",AVERAGEIFS(ENSAYOS!$Q$5:$Q$3004,ENSAYOS!$C$5:$C$3004,F766,ENSAYOS!$Q$5:$Q$3004,"&gt;0"))</f>
        <v/>
      </c>
      <c r="Q766" s="16" t="str">
        <f aca="false">IF(N(M766)=0,"",_xlfn.MINIFS(ENSAYOS!$Q$5:$Q$3004,ENSAYOS!$C$5:$C$3004,F766,ENSAYOS!$Q$5:$Q$3004,"&gt;0"))</f>
        <v/>
      </c>
      <c r="R766" s="16" t="str">
        <f aca="false">IF(N(M766)=0,"",_xlfn.MAXIFS(ENSAYOS!$Q$5:$Q$3004,ENSAYOS!$C$5:$C$3004,F766,ENSAYOS!$Q$5:$Q$3004,"&gt;0"))</f>
        <v/>
      </c>
      <c r="S766" s="16" t="str">
        <f aca="false">IF(N(M766)&lt;2,"",SQRT(MAX(0,(SUMIFS(ENSAYOS!$X$5:$X$3004,ENSAYOS!$C$5:$C$3004,F766,ENSAYOS!$Q$5:$Q$3004,"&gt;0")-M766*P766^2)/(M766-1))))</f>
        <v/>
      </c>
      <c r="T766" s="17" t="str">
        <f aca="false">IF(S766="","",S766/P766)</f>
        <v/>
      </c>
      <c r="U766" s="16" t="str">
        <f aca="false">IF(N(M766)=0,"",IF(N766&gt;=CONFIG!$B$27,"",AVERAGEIFS(ENSAYOS!$Q$5:$Q$3004,ENSAYOS!$C$5:$C$3004,F766,ENSAYOS!$Q$5:$Q$3004,"&gt;0",ENSAYOS!$G$5:$G$3004,N766)))</f>
        <v/>
      </c>
      <c r="V766" s="16" t="str">
        <f aca="false">IF(N(M766)=0,"",IF(COUNTIFS(ENSAYOS!$C$5:$C$3004,F766,ENSAYOS!$Q$5:$Q$3004,"&gt;0",ENSAYOS!$G$5:$G$3004,"&gt;="&amp;CONFIG!$B$27)=0,"",AVERAGEIFS(ENSAYOS!$Q$5:$Q$3004,ENSAYOS!$C$5:$C$3004,F766,ENSAYOS!$Q$5:$Q$3004,"&gt;0",ENSAYOS!$G$5:$G$3004,"&gt;="&amp;CONFIG!$B$27)))</f>
        <v/>
      </c>
      <c r="W766" s="18" t="str">
        <f aca="false">IF(AND(U766&lt;&gt;"",V766&lt;&gt;""),U766/V766,"")</f>
        <v/>
      </c>
      <c r="X766" s="18" t="str">
        <f aca="false">IF(U766="","",INDEX('CURVA EDAD'!$E$5:$E$32,MIN(28,MAX(1,N766))))</f>
        <v/>
      </c>
      <c r="Y766" s="16" t="str">
        <f aca="false">IF(V766&lt;&gt;"",V766,IF(U766="","",U766/X766))</f>
        <v/>
      </c>
      <c r="Z766" s="16" t="str">
        <f aca="false">IF(V766&lt;&gt;"",_xlfn.MINIFS(ENSAYOS!$Q$5:$Q$3004,ENSAYOS!$C$5:$C$3004,F766,ENSAYOS!$Q$5:$Q$3004,"&gt;0",ENSAYOS!$G$5:$G$3004,"&gt;="&amp;CONFIG!$B$27),IF(U766="","",_xlfn.MINIFS(ENSAYOS!$Q$5:$Q$3004,ENSAYOS!$C$5:$C$3004,F766,ENSAYOS!$Q$5:$Q$3004,"&gt;0",ENSAYOS!$G$5:$G$3004,N766)/X766))</f>
        <v/>
      </c>
      <c r="AA766" s="16" t="str">
        <f aca="false">IF(D766="","",IFERROR(1/(1/INDEX(CONFIG!$J$5:$J$14,MATCH(D766,CONFIG!$D$5:$D$14,0))),""))</f>
        <v/>
      </c>
      <c r="AB766" s="16" t="str">
        <f aca="false">IF(D766="","",IFERROR(1/(1/INDEX(CONFIG!$K$5:$K$14,MATCH(D766,CONFIG!$D$5:$D$14,0))),""))</f>
        <v/>
      </c>
      <c r="AC766" s="19" t="str">
        <f aca="false">IF(N(M766)=0,"",IF(AA766="","Sin spec",IF(AND(Y766&gt;=AA766,OR(AB766="",Z766&gt;=AB766)),"CUMPLE","NO CUMPLE")&amp;IF(V766=""," (est.)","")))</f>
        <v/>
      </c>
      <c r="AD766" s="20" t="str">
        <f aca="false">IF(F766="","",IF(COUNTIFS(ABSORCION!$C$5:$C$1004,F766,ABSORCION!$I$5:$I$1004,"&gt;0")=0,"",AVERAGEIFS(ABSORCION!$I$5:$I$1004,ABSORCION!$C$5:$C$1004,F766,ABSORCION!$I$5:$I$1004,"&gt;0")))</f>
        <v/>
      </c>
      <c r="AE766" s="20" t="str">
        <f aca="false">IF(F766="","",IF(COUNTIFS(ABSORCION!$C$5:$C$1004,F766,ABSORCION!$I$5:$I$1004,"&gt;0")=0,"",AVERAGEIFS(ABSORCION!$K$5:$K$1004,ABSORCION!$C$5:$C$1004,F766,ABSORCION!$I$5:$I$1004,"&gt;0")))</f>
        <v/>
      </c>
      <c r="AF766" s="20" t="str">
        <f aca="false">IF(AE766="","",IF(AE766&gt;=CONFIG!$E$21,CONFIG!$F$21,IF(AE766&gt;=CONFIG!$E$20,CONFIG!$F$20,CONFIG!$F$19)))</f>
        <v/>
      </c>
      <c r="AG766" s="21" t="str">
        <f aca="false">IF(F766="","",TRIM(IF(N(M766)=0,"Sin ensayos. ","")&amp;IF(AND(N(M766)&gt;0,N(M766)&lt;CONFIG!$B$26),"Menos de "&amp;CONFIG!$B$26&amp;" probetas. ","")&amp;IF(N(T766)&gt;CONFIG!$B$25,"CV alto. ","")&amp;IF(AND(N(AD766)&gt;0,N(AD766)&gt;N(AF766)),"Absorción alta. ","")))</f>
        <v/>
      </c>
      <c r="AH766" s="22" t="str">
        <f aca="false">IF(AND(N(M766)&gt;0,OR(CONTROL!$C$4="TODAS",C766=CONTROL!$C$4),D766=CONTROL!$C$5),MAX($AH$4:AH765)+1,"")</f>
        <v/>
      </c>
      <c r="AI766" s="22" t="str">
        <f aca="false">IF(AH766="","",P766^2)</f>
        <v/>
      </c>
    </row>
    <row r="767" customFormat="false" ht="15" hidden="false" customHeight="false" outlineLevel="0" collapsed="false">
      <c r="A767" s="11" t="str">
        <f aca="false">IF(B767="","",ROW()-4)</f>
        <v/>
      </c>
      <c r="B767" s="12"/>
      <c r="C767" s="13"/>
      <c r="D767" s="13"/>
      <c r="E767" s="13"/>
      <c r="F767" s="14" t="str">
        <f aca="false">IF(OR(B767="",C767="",D767=""),"",IFERROR(INDEX(CONFIG!$E$5:$E$14,MATCH(D767,CONFIG!$D$5:$D$14,0)),"?")&amp;RIGHT("0"&amp;DAY(B767),2)&amp;RIGHT("0"&amp;MONTH(B767),2)&amp;RIGHT(YEAR(B767),2)&amp;C767&amp;IF(E767="","","-"&amp;E767))</f>
        <v/>
      </c>
      <c r="G767" s="13"/>
      <c r="H767" s="13"/>
      <c r="I767" s="13"/>
      <c r="J767" s="13"/>
      <c r="K767" s="13"/>
      <c r="L767" s="13"/>
      <c r="M767" s="11" t="str">
        <f aca="false">IF(F767="","",COUNTIFS(ENSAYOS!$C$5:$C$3004,F767,ENSAYOS!$Q$5:$Q$3004,"&gt;0"))</f>
        <v/>
      </c>
      <c r="N767" s="15" t="str">
        <f aca="false">IF(N(M767)=0,"",_xlfn.MINIFS(ENSAYOS!$G$5:$G$3004,ENSAYOS!$C$5:$C$3004,F767,ENSAYOS!$Q$5:$Q$3004,"&gt;0"))</f>
        <v/>
      </c>
      <c r="O767" s="15" t="str">
        <f aca="false">IF(N(M767)=0,"",_xlfn.MAXIFS(ENSAYOS!$G$5:$G$3004,ENSAYOS!$C$5:$C$3004,F767,ENSAYOS!$Q$5:$Q$3004,"&gt;0"))</f>
        <v/>
      </c>
      <c r="P767" s="16" t="str">
        <f aca="false">IF(N(M767)=0,"",AVERAGEIFS(ENSAYOS!$Q$5:$Q$3004,ENSAYOS!$C$5:$C$3004,F767,ENSAYOS!$Q$5:$Q$3004,"&gt;0"))</f>
        <v/>
      </c>
      <c r="Q767" s="16" t="str">
        <f aca="false">IF(N(M767)=0,"",_xlfn.MINIFS(ENSAYOS!$Q$5:$Q$3004,ENSAYOS!$C$5:$C$3004,F767,ENSAYOS!$Q$5:$Q$3004,"&gt;0"))</f>
        <v/>
      </c>
      <c r="R767" s="16" t="str">
        <f aca="false">IF(N(M767)=0,"",_xlfn.MAXIFS(ENSAYOS!$Q$5:$Q$3004,ENSAYOS!$C$5:$C$3004,F767,ENSAYOS!$Q$5:$Q$3004,"&gt;0"))</f>
        <v/>
      </c>
      <c r="S767" s="16" t="str">
        <f aca="false">IF(N(M767)&lt;2,"",SQRT(MAX(0,(SUMIFS(ENSAYOS!$X$5:$X$3004,ENSAYOS!$C$5:$C$3004,F767,ENSAYOS!$Q$5:$Q$3004,"&gt;0")-M767*P767^2)/(M767-1))))</f>
        <v/>
      </c>
      <c r="T767" s="17" t="str">
        <f aca="false">IF(S767="","",S767/P767)</f>
        <v/>
      </c>
      <c r="U767" s="16" t="str">
        <f aca="false">IF(N(M767)=0,"",IF(N767&gt;=CONFIG!$B$27,"",AVERAGEIFS(ENSAYOS!$Q$5:$Q$3004,ENSAYOS!$C$5:$C$3004,F767,ENSAYOS!$Q$5:$Q$3004,"&gt;0",ENSAYOS!$G$5:$G$3004,N767)))</f>
        <v/>
      </c>
      <c r="V767" s="16" t="str">
        <f aca="false">IF(N(M767)=0,"",IF(COUNTIFS(ENSAYOS!$C$5:$C$3004,F767,ENSAYOS!$Q$5:$Q$3004,"&gt;0",ENSAYOS!$G$5:$G$3004,"&gt;="&amp;CONFIG!$B$27)=0,"",AVERAGEIFS(ENSAYOS!$Q$5:$Q$3004,ENSAYOS!$C$5:$C$3004,F767,ENSAYOS!$Q$5:$Q$3004,"&gt;0",ENSAYOS!$G$5:$G$3004,"&gt;="&amp;CONFIG!$B$27)))</f>
        <v/>
      </c>
      <c r="W767" s="18" t="str">
        <f aca="false">IF(AND(U767&lt;&gt;"",V767&lt;&gt;""),U767/V767,"")</f>
        <v/>
      </c>
      <c r="X767" s="18" t="str">
        <f aca="false">IF(U767="","",INDEX('CURVA EDAD'!$E$5:$E$32,MIN(28,MAX(1,N767))))</f>
        <v/>
      </c>
      <c r="Y767" s="16" t="str">
        <f aca="false">IF(V767&lt;&gt;"",V767,IF(U767="","",U767/X767))</f>
        <v/>
      </c>
      <c r="Z767" s="16" t="str">
        <f aca="false">IF(V767&lt;&gt;"",_xlfn.MINIFS(ENSAYOS!$Q$5:$Q$3004,ENSAYOS!$C$5:$C$3004,F767,ENSAYOS!$Q$5:$Q$3004,"&gt;0",ENSAYOS!$G$5:$G$3004,"&gt;="&amp;CONFIG!$B$27),IF(U767="","",_xlfn.MINIFS(ENSAYOS!$Q$5:$Q$3004,ENSAYOS!$C$5:$C$3004,F767,ENSAYOS!$Q$5:$Q$3004,"&gt;0",ENSAYOS!$G$5:$G$3004,N767)/X767))</f>
        <v/>
      </c>
      <c r="AA767" s="16" t="str">
        <f aca="false">IF(D767="","",IFERROR(1/(1/INDEX(CONFIG!$J$5:$J$14,MATCH(D767,CONFIG!$D$5:$D$14,0))),""))</f>
        <v/>
      </c>
      <c r="AB767" s="16" t="str">
        <f aca="false">IF(D767="","",IFERROR(1/(1/INDEX(CONFIG!$K$5:$K$14,MATCH(D767,CONFIG!$D$5:$D$14,0))),""))</f>
        <v/>
      </c>
      <c r="AC767" s="19" t="str">
        <f aca="false">IF(N(M767)=0,"",IF(AA767="","Sin spec",IF(AND(Y767&gt;=AA767,OR(AB767="",Z767&gt;=AB767)),"CUMPLE","NO CUMPLE")&amp;IF(V767=""," (est.)","")))</f>
        <v/>
      </c>
      <c r="AD767" s="20" t="str">
        <f aca="false">IF(F767="","",IF(COUNTIFS(ABSORCION!$C$5:$C$1004,F767,ABSORCION!$I$5:$I$1004,"&gt;0")=0,"",AVERAGEIFS(ABSORCION!$I$5:$I$1004,ABSORCION!$C$5:$C$1004,F767,ABSORCION!$I$5:$I$1004,"&gt;0")))</f>
        <v/>
      </c>
      <c r="AE767" s="20" t="str">
        <f aca="false">IF(F767="","",IF(COUNTIFS(ABSORCION!$C$5:$C$1004,F767,ABSORCION!$I$5:$I$1004,"&gt;0")=0,"",AVERAGEIFS(ABSORCION!$K$5:$K$1004,ABSORCION!$C$5:$C$1004,F767,ABSORCION!$I$5:$I$1004,"&gt;0")))</f>
        <v/>
      </c>
      <c r="AF767" s="20" t="str">
        <f aca="false">IF(AE767="","",IF(AE767&gt;=CONFIG!$E$21,CONFIG!$F$21,IF(AE767&gt;=CONFIG!$E$20,CONFIG!$F$20,CONFIG!$F$19)))</f>
        <v/>
      </c>
      <c r="AG767" s="21" t="str">
        <f aca="false">IF(F767="","",TRIM(IF(N(M767)=0,"Sin ensayos. ","")&amp;IF(AND(N(M767)&gt;0,N(M767)&lt;CONFIG!$B$26),"Menos de "&amp;CONFIG!$B$26&amp;" probetas. ","")&amp;IF(N(T767)&gt;CONFIG!$B$25,"CV alto. ","")&amp;IF(AND(N(AD767)&gt;0,N(AD767)&gt;N(AF767)),"Absorción alta. ","")))</f>
        <v/>
      </c>
      <c r="AH767" s="22" t="str">
        <f aca="false">IF(AND(N(M767)&gt;0,OR(CONTROL!$C$4="TODAS",C767=CONTROL!$C$4),D767=CONTROL!$C$5),MAX($AH$4:AH766)+1,"")</f>
        <v/>
      </c>
      <c r="AI767" s="22" t="str">
        <f aca="false">IF(AH767="","",P767^2)</f>
        <v/>
      </c>
    </row>
    <row r="768" customFormat="false" ht="15" hidden="false" customHeight="false" outlineLevel="0" collapsed="false">
      <c r="A768" s="11" t="str">
        <f aca="false">IF(B768="","",ROW()-4)</f>
        <v/>
      </c>
      <c r="B768" s="12"/>
      <c r="C768" s="13"/>
      <c r="D768" s="13"/>
      <c r="E768" s="13"/>
      <c r="F768" s="14" t="str">
        <f aca="false">IF(OR(B768="",C768="",D768=""),"",IFERROR(INDEX(CONFIG!$E$5:$E$14,MATCH(D768,CONFIG!$D$5:$D$14,0)),"?")&amp;RIGHT("0"&amp;DAY(B768),2)&amp;RIGHT("0"&amp;MONTH(B768),2)&amp;RIGHT(YEAR(B768),2)&amp;C768&amp;IF(E768="","","-"&amp;E768))</f>
        <v/>
      </c>
      <c r="G768" s="13"/>
      <c r="H768" s="13"/>
      <c r="I768" s="13"/>
      <c r="J768" s="13"/>
      <c r="K768" s="13"/>
      <c r="L768" s="13"/>
      <c r="M768" s="11" t="str">
        <f aca="false">IF(F768="","",COUNTIFS(ENSAYOS!$C$5:$C$3004,F768,ENSAYOS!$Q$5:$Q$3004,"&gt;0"))</f>
        <v/>
      </c>
      <c r="N768" s="15" t="str">
        <f aca="false">IF(N(M768)=0,"",_xlfn.MINIFS(ENSAYOS!$G$5:$G$3004,ENSAYOS!$C$5:$C$3004,F768,ENSAYOS!$Q$5:$Q$3004,"&gt;0"))</f>
        <v/>
      </c>
      <c r="O768" s="15" t="str">
        <f aca="false">IF(N(M768)=0,"",_xlfn.MAXIFS(ENSAYOS!$G$5:$G$3004,ENSAYOS!$C$5:$C$3004,F768,ENSAYOS!$Q$5:$Q$3004,"&gt;0"))</f>
        <v/>
      </c>
      <c r="P768" s="16" t="str">
        <f aca="false">IF(N(M768)=0,"",AVERAGEIFS(ENSAYOS!$Q$5:$Q$3004,ENSAYOS!$C$5:$C$3004,F768,ENSAYOS!$Q$5:$Q$3004,"&gt;0"))</f>
        <v/>
      </c>
      <c r="Q768" s="16" t="str">
        <f aca="false">IF(N(M768)=0,"",_xlfn.MINIFS(ENSAYOS!$Q$5:$Q$3004,ENSAYOS!$C$5:$C$3004,F768,ENSAYOS!$Q$5:$Q$3004,"&gt;0"))</f>
        <v/>
      </c>
      <c r="R768" s="16" t="str">
        <f aca="false">IF(N(M768)=0,"",_xlfn.MAXIFS(ENSAYOS!$Q$5:$Q$3004,ENSAYOS!$C$5:$C$3004,F768,ENSAYOS!$Q$5:$Q$3004,"&gt;0"))</f>
        <v/>
      </c>
      <c r="S768" s="16" t="str">
        <f aca="false">IF(N(M768)&lt;2,"",SQRT(MAX(0,(SUMIFS(ENSAYOS!$X$5:$X$3004,ENSAYOS!$C$5:$C$3004,F768,ENSAYOS!$Q$5:$Q$3004,"&gt;0")-M768*P768^2)/(M768-1))))</f>
        <v/>
      </c>
      <c r="T768" s="17" t="str">
        <f aca="false">IF(S768="","",S768/P768)</f>
        <v/>
      </c>
      <c r="U768" s="16" t="str">
        <f aca="false">IF(N(M768)=0,"",IF(N768&gt;=CONFIG!$B$27,"",AVERAGEIFS(ENSAYOS!$Q$5:$Q$3004,ENSAYOS!$C$5:$C$3004,F768,ENSAYOS!$Q$5:$Q$3004,"&gt;0",ENSAYOS!$G$5:$G$3004,N768)))</f>
        <v/>
      </c>
      <c r="V768" s="16" t="str">
        <f aca="false">IF(N(M768)=0,"",IF(COUNTIFS(ENSAYOS!$C$5:$C$3004,F768,ENSAYOS!$Q$5:$Q$3004,"&gt;0",ENSAYOS!$G$5:$G$3004,"&gt;="&amp;CONFIG!$B$27)=0,"",AVERAGEIFS(ENSAYOS!$Q$5:$Q$3004,ENSAYOS!$C$5:$C$3004,F768,ENSAYOS!$Q$5:$Q$3004,"&gt;0",ENSAYOS!$G$5:$G$3004,"&gt;="&amp;CONFIG!$B$27)))</f>
        <v/>
      </c>
      <c r="W768" s="18" t="str">
        <f aca="false">IF(AND(U768&lt;&gt;"",V768&lt;&gt;""),U768/V768,"")</f>
        <v/>
      </c>
      <c r="X768" s="18" t="str">
        <f aca="false">IF(U768="","",INDEX('CURVA EDAD'!$E$5:$E$32,MIN(28,MAX(1,N768))))</f>
        <v/>
      </c>
      <c r="Y768" s="16" t="str">
        <f aca="false">IF(V768&lt;&gt;"",V768,IF(U768="","",U768/X768))</f>
        <v/>
      </c>
      <c r="Z768" s="16" t="str">
        <f aca="false">IF(V768&lt;&gt;"",_xlfn.MINIFS(ENSAYOS!$Q$5:$Q$3004,ENSAYOS!$C$5:$C$3004,F768,ENSAYOS!$Q$5:$Q$3004,"&gt;0",ENSAYOS!$G$5:$G$3004,"&gt;="&amp;CONFIG!$B$27),IF(U768="","",_xlfn.MINIFS(ENSAYOS!$Q$5:$Q$3004,ENSAYOS!$C$5:$C$3004,F768,ENSAYOS!$Q$5:$Q$3004,"&gt;0",ENSAYOS!$G$5:$G$3004,N768)/X768))</f>
        <v/>
      </c>
      <c r="AA768" s="16" t="str">
        <f aca="false">IF(D768="","",IFERROR(1/(1/INDEX(CONFIG!$J$5:$J$14,MATCH(D768,CONFIG!$D$5:$D$14,0))),""))</f>
        <v/>
      </c>
      <c r="AB768" s="16" t="str">
        <f aca="false">IF(D768="","",IFERROR(1/(1/INDEX(CONFIG!$K$5:$K$14,MATCH(D768,CONFIG!$D$5:$D$14,0))),""))</f>
        <v/>
      </c>
      <c r="AC768" s="19" t="str">
        <f aca="false">IF(N(M768)=0,"",IF(AA768="","Sin spec",IF(AND(Y768&gt;=AA768,OR(AB768="",Z768&gt;=AB768)),"CUMPLE","NO CUMPLE")&amp;IF(V768=""," (est.)","")))</f>
        <v/>
      </c>
      <c r="AD768" s="20" t="str">
        <f aca="false">IF(F768="","",IF(COUNTIFS(ABSORCION!$C$5:$C$1004,F768,ABSORCION!$I$5:$I$1004,"&gt;0")=0,"",AVERAGEIFS(ABSORCION!$I$5:$I$1004,ABSORCION!$C$5:$C$1004,F768,ABSORCION!$I$5:$I$1004,"&gt;0")))</f>
        <v/>
      </c>
      <c r="AE768" s="20" t="str">
        <f aca="false">IF(F768="","",IF(COUNTIFS(ABSORCION!$C$5:$C$1004,F768,ABSORCION!$I$5:$I$1004,"&gt;0")=0,"",AVERAGEIFS(ABSORCION!$K$5:$K$1004,ABSORCION!$C$5:$C$1004,F768,ABSORCION!$I$5:$I$1004,"&gt;0")))</f>
        <v/>
      </c>
      <c r="AF768" s="20" t="str">
        <f aca="false">IF(AE768="","",IF(AE768&gt;=CONFIG!$E$21,CONFIG!$F$21,IF(AE768&gt;=CONFIG!$E$20,CONFIG!$F$20,CONFIG!$F$19)))</f>
        <v/>
      </c>
      <c r="AG768" s="21" t="str">
        <f aca="false">IF(F768="","",TRIM(IF(N(M768)=0,"Sin ensayos. ","")&amp;IF(AND(N(M768)&gt;0,N(M768)&lt;CONFIG!$B$26),"Menos de "&amp;CONFIG!$B$26&amp;" probetas. ","")&amp;IF(N(T768)&gt;CONFIG!$B$25,"CV alto. ","")&amp;IF(AND(N(AD768)&gt;0,N(AD768)&gt;N(AF768)),"Absorción alta. ","")))</f>
        <v/>
      </c>
      <c r="AH768" s="22" t="str">
        <f aca="false">IF(AND(N(M768)&gt;0,OR(CONTROL!$C$4="TODAS",C768=CONTROL!$C$4),D768=CONTROL!$C$5),MAX($AH$4:AH767)+1,"")</f>
        <v/>
      </c>
      <c r="AI768" s="22" t="str">
        <f aca="false">IF(AH768="","",P768^2)</f>
        <v/>
      </c>
    </row>
    <row r="769" customFormat="false" ht="15" hidden="false" customHeight="false" outlineLevel="0" collapsed="false">
      <c r="A769" s="11" t="str">
        <f aca="false">IF(B769="","",ROW()-4)</f>
        <v/>
      </c>
      <c r="B769" s="12"/>
      <c r="C769" s="13"/>
      <c r="D769" s="13"/>
      <c r="E769" s="13"/>
      <c r="F769" s="14" t="str">
        <f aca="false">IF(OR(B769="",C769="",D769=""),"",IFERROR(INDEX(CONFIG!$E$5:$E$14,MATCH(D769,CONFIG!$D$5:$D$14,0)),"?")&amp;RIGHT("0"&amp;DAY(B769),2)&amp;RIGHT("0"&amp;MONTH(B769),2)&amp;RIGHT(YEAR(B769),2)&amp;C769&amp;IF(E769="","","-"&amp;E769))</f>
        <v/>
      </c>
      <c r="G769" s="13"/>
      <c r="H769" s="13"/>
      <c r="I769" s="13"/>
      <c r="J769" s="13"/>
      <c r="K769" s="13"/>
      <c r="L769" s="13"/>
      <c r="M769" s="11" t="str">
        <f aca="false">IF(F769="","",COUNTIFS(ENSAYOS!$C$5:$C$3004,F769,ENSAYOS!$Q$5:$Q$3004,"&gt;0"))</f>
        <v/>
      </c>
      <c r="N769" s="15" t="str">
        <f aca="false">IF(N(M769)=0,"",_xlfn.MINIFS(ENSAYOS!$G$5:$G$3004,ENSAYOS!$C$5:$C$3004,F769,ENSAYOS!$Q$5:$Q$3004,"&gt;0"))</f>
        <v/>
      </c>
      <c r="O769" s="15" t="str">
        <f aca="false">IF(N(M769)=0,"",_xlfn.MAXIFS(ENSAYOS!$G$5:$G$3004,ENSAYOS!$C$5:$C$3004,F769,ENSAYOS!$Q$5:$Q$3004,"&gt;0"))</f>
        <v/>
      </c>
      <c r="P769" s="16" t="str">
        <f aca="false">IF(N(M769)=0,"",AVERAGEIFS(ENSAYOS!$Q$5:$Q$3004,ENSAYOS!$C$5:$C$3004,F769,ENSAYOS!$Q$5:$Q$3004,"&gt;0"))</f>
        <v/>
      </c>
      <c r="Q769" s="16" t="str">
        <f aca="false">IF(N(M769)=0,"",_xlfn.MINIFS(ENSAYOS!$Q$5:$Q$3004,ENSAYOS!$C$5:$C$3004,F769,ENSAYOS!$Q$5:$Q$3004,"&gt;0"))</f>
        <v/>
      </c>
      <c r="R769" s="16" t="str">
        <f aca="false">IF(N(M769)=0,"",_xlfn.MAXIFS(ENSAYOS!$Q$5:$Q$3004,ENSAYOS!$C$5:$C$3004,F769,ENSAYOS!$Q$5:$Q$3004,"&gt;0"))</f>
        <v/>
      </c>
      <c r="S769" s="16" t="str">
        <f aca="false">IF(N(M769)&lt;2,"",SQRT(MAX(0,(SUMIFS(ENSAYOS!$X$5:$X$3004,ENSAYOS!$C$5:$C$3004,F769,ENSAYOS!$Q$5:$Q$3004,"&gt;0")-M769*P769^2)/(M769-1))))</f>
        <v/>
      </c>
      <c r="T769" s="17" t="str">
        <f aca="false">IF(S769="","",S769/P769)</f>
        <v/>
      </c>
      <c r="U769" s="16" t="str">
        <f aca="false">IF(N(M769)=0,"",IF(N769&gt;=CONFIG!$B$27,"",AVERAGEIFS(ENSAYOS!$Q$5:$Q$3004,ENSAYOS!$C$5:$C$3004,F769,ENSAYOS!$Q$5:$Q$3004,"&gt;0",ENSAYOS!$G$5:$G$3004,N769)))</f>
        <v/>
      </c>
      <c r="V769" s="16" t="str">
        <f aca="false">IF(N(M769)=0,"",IF(COUNTIFS(ENSAYOS!$C$5:$C$3004,F769,ENSAYOS!$Q$5:$Q$3004,"&gt;0",ENSAYOS!$G$5:$G$3004,"&gt;="&amp;CONFIG!$B$27)=0,"",AVERAGEIFS(ENSAYOS!$Q$5:$Q$3004,ENSAYOS!$C$5:$C$3004,F769,ENSAYOS!$Q$5:$Q$3004,"&gt;0",ENSAYOS!$G$5:$G$3004,"&gt;="&amp;CONFIG!$B$27)))</f>
        <v/>
      </c>
      <c r="W769" s="18" t="str">
        <f aca="false">IF(AND(U769&lt;&gt;"",V769&lt;&gt;""),U769/V769,"")</f>
        <v/>
      </c>
      <c r="X769" s="18" t="str">
        <f aca="false">IF(U769="","",INDEX('CURVA EDAD'!$E$5:$E$32,MIN(28,MAX(1,N769))))</f>
        <v/>
      </c>
      <c r="Y769" s="16" t="str">
        <f aca="false">IF(V769&lt;&gt;"",V769,IF(U769="","",U769/X769))</f>
        <v/>
      </c>
      <c r="Z769" s="16" t="str">
        <f aca="false">IF(V769&lt;&gt;"",_xlfn.MINIFS(ENSAYOS!$Q$5:$Q$3004,ENSAYOS!$C$5:$C$3004,F769,ENSAYOS!$Q$5:$Q$3004,"&gt;0",ENSAYOS!$G$5:$G$3004,"&gt;="&amp;CONFIG!$B$27),IF(U769="","",_xlfn.MINIFS(ENSAYOS!$Q$5:$Q$3004,ENSAYOS!$C$5:$C$3004,F769,ENSAYOS!$Q$5:$Q$3004,"&gt;0",ENSAYOS!$G$5:$G$3004,N769)/X769))</f>
        <v/>
      </c>
      <c r="AA769" s="16" t="str">
        <f aca="false">IF(D769="","",IFERROR(1/(1/INDEX(CONFIG!$J$5:$J$14,MATCH(D769,CONFIG!$D$5:$D$14,0))),""))</f>
        <v/>
      </c>
      <c r="AB769" s="16" t="str">
        <f aca="false">IF(D769="","",IFERROR(1/(1/INDEX(CONFIG!$K$5:$K$14,MATCH(D769,CONFIG!$D$5:$D$14,0))),""))</f>
        <v/>
      </c>
      <c r="AC769" s="19" t="str">
        <f aca="false">IF(N(M769)=0,"",IF(AA769="","Sin spec",IF(AND(Y769&gt;=AA769,OR(AB769="",Z769&gt;=AB769)),"CUMPLE","NO CUMPLE")&amp;IF(V769=""," (est.)","")))</f>
        <v/>
      </c>
      <c r="AD769" s="20" t="str">
        <f aca="false">IF(F769="","",IF(COUNTIFS(ABSORCION!$C$5:$C$1004,F769,ABSORCION!$I$5:$I$1004,"&gt;0")=0,"",AVERAGEIFS(ABSORCION!$I$5:$I$1004,ABSORCION!$C$5:$C$1004,F769,ABSORCION!$I$5:$I$1004,"&gt;0")))</f>
        <v/>
      </c>
      <c r="AE769" s="20" t="str">
        <f aca="false">IF(F769="","",IF(COUNTIFS(ABSORCION!$C$5:$C$1004,F769,ABSORCION!$I$5:$I$1004,"&gt;0")=0,"",AVERAGEIFS(ABSORCION!$K$5:$K$1004,ABSORCION!$C$5:$C$1004,F769,ABSORCION!$I$5:$I$1004,"&gt;0")))</f>
        <v/>
      </c>
      <c r="AF769" s="20" t="str">
        <f aca="false">IF(AE769="","",IF(AE769&gt;=CONFIG!$E$21,CONFIG!$F$21,IF(AE769&gt;=CONFIG!$E$20,CONFIG!$F$20,CONFIG!$F$19)))</f>
        <v/>
      </c>
      <c r="AG769" s="21" t="str">
        <f aca="false">IF(F769="","",TRIM(IF(N(M769)=0,"Sin ensayos. ","")&amp;IF(AND(N(M769)&gt;0,N(M769)&lt;CONFIG!$B$26),"Menos de "&amp;CONFIG!$B$26&amp;" probetas. ","")&amp;IF(N(T769)&gt;CONFIG!$B$25,"CV alto. ","")&amp;IF(AND(N(AD769)&gt;0,N(AD769)&gt;N(AF769)),"Absorción alta. ","")))</f>
        <v/>
      </c>
      <c r="AH769" s="22" t="str">
        <f aca="false">IF(AND(N(M769)&gt;0,OR(CONTROL!$C$4="TODAS",C769=CONTROL!$C$4),D769=CONTROL!$C$5),MAX($AH$4:AH768)+1,"")</f>
        <v/>
      </c>
      <c r="AI769" s="22" t="str">
        <f aca="false">IF(AH769="","",P769^2)</f>
        <v/>
      </c>
    </row>
    <row r="770" customFormat="false" ht="15" hidden="false" customHeight="false" outlineLevel="0" collapsed="false">
      <c r="A770" s="11" t="str">
        <f aca="false">IF(B770="","",ROW()-4)</f>
        <v/>
      </c>
      <c r="B770" s="12"/>
      <c r="C770" s="13"/>
      <c r="D770" s="13"/>
      <c r="E770" s="13"/>
      <c r="F770" s="14" t="str">
        <f aca="false">IF(OR(B770="",C770="",D770=""),"",IFERROR(INDEX(CONFIG!$E$5:$E$14,MATCH(D770,CONFIG!$D$5:$D$14,0)),"?")&amp;RIGHT("0"&amp;DAY(B770),2)&amp;RIGHT("0"&amp;MONTH(B770),2)&amp;RIGHT(YEAR(B770),2)&amp;C770&amp;IF(E770="","","-"&amp;E770))</f>
        <v/>
      </c>
      <c r="G770" s="13"/>
      <c r="H770" s="13"/>
      <c r="I770" s="13"/>
      <c r="J770" s="13"/>
      <c r="K770" s="13"/>
      <c r="L770" s="13"/>
      <c r="M770" s="11" t="str">
        <f aca="false">IF(F770="","",COUNTIFS(ENSAYOS!$C$5:$C$3004,F770,ENSAYOS!$Q$5:$Q$3004,"&gt;0"))</f>
        <v/>
      </c>
      <c r="N770" s="15" t="str">
        <f aca="false">IF(N(M770)=0,"",_xlfn.MINIFS(ENSAYOS!$G$5:$G$3004,ENSAYOS!$C$5:$C$3004,F770,ENSAYOS!$Q$5:$Q$3004,"&gt;0"))</f>
        <v/>
      </c>
      <c r="O770" s="15" t="str">
        <f aca="false">IF(N(M770)=0,"",_xlfn.MAXIFS(ENSAYOS!$G$5:$G$3004,ENSAYOS!$C$5:$C$3004,F770,ENSAYOS!$Q$5:$Q$3004,"&gt;0"))</f>
        <v/>
      </c>
      <c r="P770" s="16" t="str">
        <f aca="false">IF(N(M770)=0,"",AVERAGEIFS(ENSAYOS!$Q$5:$Q$3004,ENSAYOS!$C$5:$C$3004,F770,ENSAYOS!$Q$5:$Q$3004,"&gt;0"))</f>
        <v/>
      </c>
      <c r="Q770" s="16" t="str">
        <f aca="false">IF(N(M770)=0,"",_xlfn.MINIFS(ENSAYOS!$Q$5:$Q$3004,ENSAYOS!$C$5:$C$3004,F770,ENSAYOS!$Q$5:$Q$3004,"&gt;0"))</f>
        <v/>
      </c>
      <c r="R770" s="16" t="str">
        <f aca="false">IF(N(M770)=0,"",_xlfn.MAXIFS(ENSAYOS!$Q$5:$Q$3004,ENSAYOS!$C$5:$C$3004,F770,ENSAYOS!$Q$5:$Q$3004,"&gt;0"))</f>
        <v/>
      </c>
      <c r="S770" s="16" t="str">
        <f aca="false">IF(N(M770)&lt;2,"",SQRT(MAX(0,(SUMIFS(ENSAYOS!$X$5:$X$3004,ENSAYOS!$C$5:$C$3004,F770,ENSAYOS!$Q$5:$Q$3004,"&gt;0")-M770*P770^2)/(M770-1))))</f>
        <v/>
      </c>
      <c r="T770" s="17" t="str">
        <f aca="false">IF(S770="","",S770/P770)</f>
        <v/>
      </c>
      <c r="U770" s="16" t="str">
        <f aca="false">IF(N(M770)=0,"",IF(N770&gt;=CONFIG!$B$27,"",AVERAGEIFS(ENSAYOS!$Q$5:$Q$3004,ENSAYOS!$C$5:$C$3004,F770,ENSAYOS!$Q$5:$Q$3004,"&gt;0",ENSAYOS!$G$5:$G$3004,N770)))</f>
        <v/>
      </c>
      <c r="V770" s="16" t="str">
        <f aca="false">IF(N(M770)=0,"",IF(COUNTIFS(ENSAYOS!$C$5:$C$3004,F770,ENSAYOS!$Q$5:$Q$3004,"&gt;0",ENSAYOS!$G$5:$G$3004,"&gt;="&amp;CONFIG!$B$27)=0,"",AVERAGEIFS(ENSAYOS!$Q$5:$Q$3004,ENSAYOS!$C$5:$C$3004,F770,ENSAYOS!$Q$5:$Q$3004,"&gt;0",ENSAYOS!$G$5:$G$3004,"&gt;="&amp;CONFIG!$B$27)))</f>
        <v/>
      </c>
      <c r="W770" s="18" t="str">
        <f aca="false">IF(AND(U770&lt;&gt;"",V770&lt;&gt;""),U770/V770,"")</f>
        <v/>
      </c>
      <c r="X770" s="18" t="str">
        <f aca="false">IF(U770="","",INDEX('CURVA EDAD'!$E$5:$E$32,MIN(28,MAX(1,N770))))</f>
        <v/>
      </c>
      <c r="Y770" s="16" t="str">
        <f aca="false">IF(V770&lt;&gt;"",V770,IF(U770="","",U770/X770))</f>
        <v/>
      </c>
      <c r="Z770" s="16" t="str">
        <f aca="false">IF(V770&lt;&gt;"",_xlfn.MINIFS(ENSAYOS!$Q$5:$Q$3004,ENSAYOS!$C$5:$C$3004,F770,ENSAYOS!$Q$5:$Q$3004,"&gt;0",ENSAYOS!$G$5:$G$3004,"&gt;="&amp;CONFIG!$B$27),IF(U770="","",_xlfn.MINIFS(ENSAYOS!$Q$5:$Q$3004,ENSAYOS!$C$5:$C$3004,F770,ENSAYOS!$Q$5:$Q$3004,"&gt;0",ENSAYOS!$G$5:$G$3004,N770)/X770))</f>
        <v/>
      </c>
      <c r="AA770" s="16" t="str">
        <f aca="false">IF(D770="","",IFERROR(1/(1/INDEX(CONFIG!$J$5:$J$14,MATCH(D770,CONFIG!$D$5:$D$14,0))),""))</f>
        <v/>
      </c>
      <c r="AB770" s="16" t="str">
        <f aca="false">IF(D770="","",IFERROR(1/(1/INDEX(CONFIG!$K$5:$K$14,MATCH(D770,CONFIG!$D$5:$D$14,0))),""))</f>
        <v/>
      </c>
      <c r="AC770" s="19" t="str">
        <f aca="false">IF(N(M770)=0,"",IF(AA770="","Sin spec",IF(AND(Y770&gt;=AA770,OR(AB770="",Z770&gt;=AB770)),"CUMPLE","NO CUMPLE")&amp;IF(V770=""," (est.)","")))</f>
        <v/>
      </c>
      <c r="AD770" s="20" t="str">
        <f aca="false">IF(F770="","",IF(COUNTIFS(ABSORCION!$C$5:$C$1004,F770,ABSORCION!$I$5:$I$1004,"&gt;0")=0,"",AVERAGEIFS(ABSORCION!$I$5:$I$1004,ABSORCION!$C$5:$C$1004,F770,ABSORCION!$I$5:$I$1004,"&gt;0")))</f>
        <v/>
      </c>
      <c r="AE770" s="20" t="str">
        <f aca="false">IF(F770="","",IF(COUNTIFS(ABSORCION!$C$5:$C$1004,F770,ABSORCION!$I$5:$I$1004,"&gt;0")=0,"",AVERAGEIFS(ABSORCION!$K$5:$K$1004,ABSORCION!$C$5:$C$1004,F770,ABSORCION!$I$5:$I$1004,"&gt;0")))</f>
        <v/>
      </c>
      <c r="AF770" s="20" t="str">
        <f aca="false">IF(AE770="","",IF(AE770&gt;=CONFIG!$E$21,CONFIG!$F$21,IF(AE770&gt;=CONFIG!$E$20,CONFIG!$F$20,CONFIG!$F$19)))</f>
        <v/>
      </c>
      <c r="AG770" s="21" t="str">
        <f aca="false">IF(F770="","",TRIM(IF(N(M770)=0,"Sin ensayos. ","")&amp;IF(AND(N(M770)&gt;0,N(M770)&lt;CONFIG!$B$26),"Menos de "&amp;CONFIG!$B$26&amp;" probetas. ","")&amp;IF(N(T770)&gt;CONFIG!$B$25,"CV alto. ","")&amp;IF(AND(N(AD770)&gt;0,N(AD770)&gt;N(AF770)),"Absorción alta. ","")))</f>
        <v/>
      </c>
      <c r="AH770" s="22" t="str">
        <f aca="false">IF(AND(N(M770)&gt;0,OR(CONTROL!$C$4="TODAS",C770=CONTROL!$C$4),D770=CONTROL!$C$5),MAX($AH$4:AH769)+1,"")</f>
        <v/>
      </c>
      <c r="AI770" s="22" t="str">
        <f aca="false">IF(AH770="","",P770^2)</f>
        <v/>
      </c>
    </row>
    <row r="771" customFormat="false" ht="15" hidden="false" customHeight="false" outlineLevel="0" collapsed="false">
      <c r="A771" s="11" t="str">
        <f aca="false">IF(B771="","",ROW()-4)</f>
        <v/>
      </c>
      <c r="B771" s="12"/>
      <c r="C771" s="13"/>
      <c r="D771" s="13"/>
      <c r="E771" s="13"/>
      <c r="F771" s="14" t="str">
        <f aca="false">IF(OR(B771="",C771="",D771=""),"",IFERROR(INDEX(CONFIG!$E$5:$E$14,MATCH(D771,CONFIG!$D$5:$D$14,0)),"?")&amp;RIGHT("0"&amp;DAY(B771),2)&amp;RIGHT("0"&amp;MONTH(B771),2)&amp;RIGHT(YEAR(B771),2)&amp;C771&amp;IF(E771="","","-"&amp;E771))</f>
        <v/>
      </c>
      <c r="G771" s="13"/>
      <c r="H771" s="13"/>
      <c r="I771" s="13"/>
      <c r="J771" s="13"/>
      <c r="K771" s="13"/>
      <c r="L771" s="13"/>
      <c r="M771" s="11" t="str">
        <f aca="false">IF(F771="","",COUNTIFS(ENSAYOS!$C$5:$C$3004,F771,ENSAYOS!$Q$5:$Q$3004,"&gt;0"))</f>
        <v/>
      </c>
      <c r="N771" s="15" t="str">
        <f aca="false">IF(N(M771)=0,"",_xlfn.MINIFS(ENSAYOS!$G$5:$G$3004,ENSAYOS!$C$5:$C$3004,F771,ENSAYOS!$Q$5:$Q$3004,"&gt;0"))</f>
        <v/>
      </c>
      <c r="O771" s="15" t="str">
        <f aca="false">IF(N(M771)=0,"",_xlfn.MAXIFS(ENSAYOS!$G$5:$G$3004,ENSAYOS!$C$5:$C$3004,F771,ENSAYOS!$Q$5:$Q$3004,"&gt;0"))</f>
        <v/>
      </c>
      <c r="P771" s="16" t="str">
        <f aca="false">IF(N(M771)=0,"",AVERAGEIFS(ENSAYOS!$Q$5:$Q$3004,ENSAYOS!$C$5:$C$3004,F771,ENSAYOS!$Q$5:$Q$3004,"&gt;0"))</f>
        <v/>
      </c>
      <c r="Q771" s="16" t="str">
        <f aca="false">IF(N(M771)=0,"",_xlfn.MINIFS(ENSAYOS!$Q$5:$Q$3004,ENSAYOS!$C$5:$C$3004,F771,ENSAYOS!$Q$5:$Q$3004,"&gt;0"))</f>
        <v/>
      </c>
      <c r="R771" s="16" t="str">
        <f aca="false">IF(N(M771)=0,"",_xlfn.MAXIFS(ENSAYOS!$Q$5:$Q$3004,ENSAYOS!$C$5:$C$3004,F771,ENSAYOS!$Q$5:$Q$3004,"&gt;0"))</f>
        <v/>
      </c>
      <c r="S771" s="16" t="str">
        <f aca="false">IF(N(M771)&lt;2,"",SQRT(MAX(0,(SUMIFS(ENSAYOS!$X$5:$X$3004,ENSAYOS!$C$5:$C$3004,F771,ENSAYOS!$Q$5:$Q$3004,"&gt;0")-M771*P771^2)/(M771-1))))</f>
        <v/>
      </c>
      <c r="T771" s="17" t="str">
        <f aca="false">IF(S771="","",S771/P771)</f>
        <v/>
      </c>
      <c r="U771" s="16" t="str">
        <f aca="false">IF(N(M771)=0,"",IF(N771&gt;=CONFIG!$B$27,"",AVERAGEIFS(ENSAYOS!$Q$5:$Q$3004,ENSAYOS!$C$5:$C$3004,F771,ENSAYOS!$Q$5:$Q$3004,"&gt;0",ENSAYOS!$G$5:$G$3004,N771)))</f>
        <v/>
      </c>
      <c r="V771" s="16" t="str">
        <f aca="false">IF(N(M771)=0,"",IF(COUNTIFS(ENSAYOS!$C$5:$C$3004,F771,ENSAYOS!$Q$5:$Q$3004,"&gt;0",ENSAYOS!$G$5:$G$3004,"&gt;="&amp;CONFIG!$B$27)=0,"",AVERAGEIFS(ENSAYOS!$Q$5:$Q$3004,ENSAYOS!$C$5:$C$3004,F771,ENSAYOS!$Q$5:$Q$3004,"&gt;0",ENSAYOS!$G$5:$G$3004,"&gt;="&amp;CONFIG!$B$27)))</f>
        <v/>
      </c>
      <c r="W771" s="18" t="str">
        <f aca="false">IF(AND(U771&lt;&gt;"",V771&lt;&gt;""),U771/V771,"")</f>
        <v/>
      </c>
      <c r="X771" s="18" t="str">
        <f aca="false">IF(U771="","",INDEX('CURVA EDAD'!$E$5:$E$32,MIN(28,MAX(1,N771))))</f>
        <v/>
      </c>
      <c r="Y771" s="16" t="str">
        <f aca="false">IF(V771&lt;&gt;"",V771,IF(U771="","",U771/X771))</f>
        <v/>
      </c>
      <c r="Z771" s="16" t="str">
        <f aca="false">IF(V771&lt;&gt;"",_xlfn.MINIFS(ENSAYOS!$Q$5:$Q$3004,ENSAYOS!$C$5:$C$3004,F771,ENSAYOS!$Q$5:$Q$3004,"&gt;0",ENSAYOS!$G$5:$G$3004,"&gt;="&amp;CONFIG!$B$27),IF(U771="","",_xlfn.MINIFS(ENSAYOS!$Q$5:$Q$3004,ENSAYOS!$C$5:$C$3004,F771,ENSAYOS!$Q$5:$Q$3004,"&gt;0",ENSAYOS!$G$5:$G$3004,N771)/X771))</f>
        <v/>
      </c>
      <c r="AA771" s="16" t="str">
        <f aca="false">IF(D771="","",IFERROR(1/(1/INDEX(CONFIG!$J$5:$J$14,MATCH(D771,CONFIG!$D$5:$D$14,0))),""))</f>
        <v/>
      </c>
      <c r="AB771" s="16" t="str">
        <f aca="false">IF(D771="","",IFERROR(1/(1/INDEX(CONFIG!$K$5:$K$14,MATCH(D771,CONFIG!$D$5:$D$14,0))),""))</f>
        <v/>
      </c>
      <c r="AC771" s="19" t="str">
        <f aca="false">IF(N(M771)=0,"",IF(AA771="","Sin spec",IF(AND(Y771&gt;=AA771,OR(AB771="",Z771&gt;=AB771)),"CUMPLE","NO CUMPLE")&amp;IF(V771=""," (est.)","")))</f>
        <v/>
      </c>
      <c r="AD771" s="20" t="str">
        <f aca="false">IF(F771="","",IF(COUNTIFS(ABSORCION!$C$5:$C$1004,F771,ABSORCION!$I$5:$I$1004,"&gt;0")=0,"",AVERAGEIFS(ABSORCION!$I$5:$I$1004,ABSORCION!$C$5:$C$1004,F771,ABSORCION!$I$5:$I$1004,"&gt;0")))</f>
        <v/>
      </c>
      <c r="AE771" s="20" t="str">
        <f aca="false">IF(F771="","",IF(COUNTIFS(ABSORCION!$C$5:$C$1004,F771,ABSORCION!$I$5:$I$1004,"&gt;0")=0,"",AVERAGEIFS(ABSORCION!$K$5:$K$1004,ABSORCION!$C$5:$C$1004,F771,ABSORCION!$I$5:$I$1004,"&gt;0")))</f>
        <v/>
      </c>
      <c r="AF771" s="20" t="str">
        <f aca="false">IF(AE771="","",IF(AE771&gt;=CONFIG!$E$21,CONFIG!$F$21,IF(AE771&gt;=CONFIG!$E$20,CONFIG!$F$20,CONFIG!$F$19)))</f>
        <v/>
      </c>
      <c r="AG771" s="21" t="str">
        <f aca="false">IF(F771="","",TRIM(IF(N(M771)=0,"Sin ensayos. ","")&amp;IF(AND(N(M771)&gt;0,N(M771)&lt;CONFIG!$B$26),"Menos de "&amp;CONFIG!$B$26&amp;" probetas. ","")&amp;IF(N(T771)&gt;CONFIG!$B$25,"CV alto. ","")&amp;IF(AND(N(AD771)&gt;0,N(AD771)&gt;N(AF771)),"Absorción alta. ","")))</f>
        <v/>
      </c>
      <c r="AH771" s="22" t="str">
        <f aca="false">IF(AND(N(M771)&gt;0,OR(CONTROL!$C$4="TODAS",C771=CONTROL!$C$4),D771=CONTROL!$C$5),MAX($AH$4:AH770)+1,"")</f>
        <v/>
      </c>
      <c r="AI771" s="22" t="str">
        <f aca="false">IF(AH771="","",P771^2)</f>
        <v/>
      </c>
    </row>
    <row r="772" customFormat="false" ht="15" hidden="false" customHeight="false" outlineLevel="0" collapsed="false">
      <c r="A772" s="11" t="str">
        <f aca="false">IF(B772="","",ROW()-4)</f>
        <v/>
      </c>
      <c r="B772" s="12"/>
      <c r="C772" s="13"/>
      <c r="D772" s="13"/>
      <c r="E772" s="13"/>
      <c r="F772" s="14" t="str">
        <f aca="false">IF(OR(B772="",C772="",D772=""),"",IFERROR(INDEX(CONFIG!$E$5:$E$14,MATCH(D772,CONFIG!$D$5:$D$14,0)),"?")&amp;RIGHT("0"&amp;DAY(B772),2)&amp;RIGHT("0"&amp;MONTH(B772),2)&amp;RIGHT(YEAR(B772),2)&amp;C772&amp;IF(E772="","","-"&amp;E772))</f>
        <v/>
      </c>
      <c r="G772" s="13"/>
      <c r="H772" s="13"/>
      <c r="I772" s="13"/>
      <c r="J772" s="13"/>
      <c r="K772" s="13"/>
      <c r="L772" s="13"/>
      <c r="M772" s="11" t="str">
        <f aca="false">IF(F772="","",COUNTIFS(ENSAYOS!$C$5:$C$3004,F772,ENSAYOS!$Q$5:$Q$3004,"&gt;0"))</f>
        <v/>
      </c>
      <c r="N772" s="15" t="str">
        <f aca="false">IF(N(M772)=0,"",_xlfn.MINIFS(ENSAYOS!$G$5:$G$3004,ENSAYOS!$C$5:$C$3004,F772,ENSAYOS!$Q$5:$Q$3004,"&gt;0"))</f>
        <v/>
      </c>
      <c r="O772" s="15" t="str">
        <f aca="false">IF(N(M772)=0,"",_xlfn.MAXIFS(ENSAYOS!$G$5:$G$3004,ENSAYOS!$C$5:$C$3004,F772,ENSAYOS!$Q$5:$Q$3004,"&gt;0"))</f>
        <v/>
      </c>
      <c r="P772" s="16" t="str">
        <f aca="false">IF(N(M772)=0,"",AVERAGEIFS(ENSAYOS!$Q$5:$Q$3004,ENSAYOS!$C$5:$C$3004,F772,ENSAYOS!$Q$5:$Q$3004,"&gt;0"))</f>
        <v/>
      </c>
      <c r="Q772" s="16" t="str">
        <f aca="false">IF(N(M772)=0,"",_xlfn.MINIFS(ENSAYOS!$Q$5:$Q$3004,ENSAYOS!$C$5:$C$3004,F772,ENSAYOS!$Q$5:$Q$3004,"&gt;0"))</f>
        <v/>
      </c>
      <c r="R772" s="16" t="str">
        <f aca="false">IF(N(M772)=0,"",_xlfn.MAXIFS(ENSAYOS!$Q$5:$Q$3004,ENSAYOS!$C$5:$C$3004,F772,ENSAYOS!$Q$5:$Q$3004,"&gt;0"))</f>
        <v/>
      </c>
      <c r="S772" s="16" t="str">
        <f aca="false">IF(N(M772)&lt;2,"",SQRT(MAX(0,(SUMIFS(ENSAYOS!$X$5:$X$3004,ENSAYOS!$C$5:$C$3004,F772,ENSAYOS!$Q$5:$Q$3004,"&gt;0")-M772*P772^2)/(M772-1))))</f>
        <v/>
      </c>
      <c r="T772" s="17" t="str">
        <f aca="false">IF(S772="","",S772/P772)</f>
        <v/>
      </c>
      <c r="U772" s="16" t="str">
        <f aca="false">IF(N(M772)=0,"",IF(N772&gt;=CONFIG!$B$27,"",AVERAGEIFS(ENSAYOS!$Q$5:$Q$3004,ENSAYOS!$C$5:$C$3004,F772,ENSAYOS!$Q$5:$Q$3004,"&gt;0",ENSAYOS!$G$5:$G$3004,N772)))</f>
        <v/>
      </c>
      <c r="V772" s="16" t="str">
        <f aca="false">IF(N(M772)=0,"",IF(COUNTIFS(ENSAYOS!$C$5:$C$3004,F772,ENSAYOS!$Q$5:$Q$3004,"&gt;0",ENSAYOS!$G$5:$G$3004,"&gt;="&amp;CONFIG!$B$27)=0,"",AVERAGEIFS(ENSAYOS!$Q$5:$Q$3004,ENSAYOS!$C$5:$C$3004,F772,ENSAYOS!$Q$5:$Q$3004,"&gt;0",ENSAYOS!$G$5:$G$3004,"&gt;="&amp;CONFIG!$B$27)))</f>
        <v/>
      </c>
      <c r="W772" s="18" t="str">
        <f aca="false">IF(AND(U772&lt;&gt;"",V772&lt;&gt;""),U772/V772,"")</f>
        <v/>
      </c>
      <c r="X772" s="18" t="str">
        <f aca="false">IF(U772="","",INDEX('CURVA EDAD'!$E$5:$E$32,MIN(28,MAX(1,N772))))</f>
        <v/>
      </c>
      <c r="Y772" s="16" t="str">
        <f aca="false">IF(V772&lt;&gt;"",V772,IF(U772="","",U772/X772))</f>
        <v/>
      </c>
      <c r="Z772" s="16" t="str">
        <f aca="false">IF(V772&lt;&gt;"",_xlfn.MINIFS(ENSAYOS!$Q$5:$Q$3004,ENSAYOS!$C$5:$C$3004,F772,ENSAYOS!$Q$5:$Q$3004,"&gt;0",ENSAYOS!$G$5:$G$3004,"&gt;="&amp;CONFIG!$B$27),IF(U772="","",_xlfn.MINIFS(ENSAYOS!$Q$5:$Q$3004,ENSAYOS!$C$5:$C$3004,F772,ENSAYOS!$Q$5:$Q$3004,"&gt;0",ENSAYOS!$G$5:$G$3004,N772)/X772))</f>
        <v/>
      </c>
      <c r="AA772" s="16" t="str">
        <f aca="false">IF(D772="","",IFERROR(1/(1/INDEX(CONFIG!$J$5:$J$14,MATCH(D772,CONFIG!$D$5:$D$14,0))),""))</f>
        <v/>
      </c>
      <c r="AB772" s="16" t="str">
        <f aca="false">IF(D772="","",IFERROR(1/(1/INDEX(CONFIG!$K$5:$K$14,MATCH(D772,CONFIG!$D$5:$D$14,0))),""))</f>
        <v/>
      </c>
      <c r="AC772" s="19" t="str">
        <f aca="false">IF(N(M772)=0,"",IF(AA772="","Sin spec",IF(AND(Y772&gt;=AA772,OR(AB772="",Z772&gt;=AB772)),"CUMPLE","NO CUMPLE")&amp;IF(V772=""," (est.)","")))</f>
        <v/>
      </c>
      <c r="AD772" s="20" t="str">
        <f aca="false">IF(F772="","",IF(COUNTIFS(ABSORCION!$C$5:$C$1004,F772,ABSORCION!$I$5:$I$1004,"&gt;0")=0,"",AVERAGEIFS(ABSORCION!$I$5:$I$1004,ABSORCION!$C$5:$C$1004,F772,ABSORCION!$I$5:$I$1004,"&gt;0")))</f>
        <v/>
      </c>
      <c r="AE772" s="20" t="str">
        <f aca="false">IF(F772="","",IF(COUNTIFS(ABSORCION!$C$5:$C$1004,F772,ABSORCION!$I$5:$I$1004,"&gt;0")=0,"",AVERAGEIFS(ABSORCION!$K$5:$K$1004,ABSORCION!$C$5:$C$1004,F772,ABSORCION!$I$5:$I$1004,"&gt;0")))</f>
        <v/>
      </c>
      <c r="AF772" s="20" t="str">
        <f aca="false">IF(AE772="","",IF(AE772&gt;=CONFIG!$E$21,CONFIG!$F$21,IF(AE772&gt;=CONFIG!$E$20,CONFIG!$F$20,CONFIG!$F$19)))</f>
        <v/>
      </c>
      <c r="AG772" s="21" t="str">
        <f aca="false">IF(F772="","",TRIM(IF(N(M772)=0,"Sin ensayos. ","")&amp;IF(AND(N(M772)&gt;0,N(M772)&lt;CONFIG!$B$26),"Menos de "&amp;CONFIG!$B$26&amp;" probetas. ","")&amp;IF(N(T772)&gt;CONFIG!$B$25,"CV alto. ","")&amp;IF(AND(N(AD772)&gt;0,N(AD772)&gt;N(AF772)),"Absorción alta. ","")))</f>
        <v/>
      </c>
      <c r="AH772" s="22" t="str">
        <f aca="false">IF(AND(N(M772)&gt;0,OR(CONTROL!$C$4="TODAS",C772=CONTROL!$C$4),D772=CONTROL!$C$5),MAX($AH$4:AH771)+1,"")</f>
        <v/>
      </c>
      <c r="AI772" s="22" t="str">
        <f aca="false">IF(AH772="","",P772^2)</f>
        <v/>
      </c>
    </row>
    <row r="773" customFormat="false" ht="15" hidden="false" customHeight="false" outlineLevel="0" collapsed="false">
      <c r="A773" s="11" t="str">
        <f aca="false">IF(B773="","",ROW()-4)</f>
        <v/>
      </c>
      <c r="B773" s="12"/>
      <c r="C773" s="13"/>
      <c r="D773" s="13"/>
      <c r="E773" s="13"/>
      <c r="F773" s="14" t="str">
        <f aca="false">IF(OR(B773="",C773="",D773=""),"",IFERROR(INDEX(CONFIG!$E$5:$E$14,MATCH(D773,CONFIG!$D$5:$D$14,0)),"?")&amp;RIGHT("0"&amp;DAY(B773),2)&amp;RIGHT("0"&amp;MONTH(B773),2)&amp;RIGHT(YEAR(B773),2)&amp;C773&amp;IF(E773="","","-"&amp;E773))</f>
        <v/>
      </c>
      <c r="G773" s="13"/>
      <c r="H773" s="13"/>
      <c r="I773" s="13"/>
      <c r="J773" s="13"/>
      <c r="K773" s="13"/>
      <c r="L773" s="13"/>
      <c r="M773" s="11" t="str">
        <f aca="false">IF(F773="","",COUNTIFS(ENSAYOS!$C$5:$C$3004,F773,ENSAYOS!$Q$5:$Q$3004,"&gt;0"))</f>
        <v/>
      </c>
      <c r="N773" s="15" t="str">
        <f aca="false">IF(N(M773)=0,"",_xlfn.MINIFS(ENSAYOS!$G$5:$G$3004,ENSAYOS!$C$5:$C$3004,F773,ENSAYOS!$Q$5:$Q$3004,"&gt;0"))</f>
        <v/>
      </c>
      <c r="O773" s="15" t="str">
        <f aca="false">IF(N(M773)=0,"",_xlfn.MAXIFS(ENSAYOS!$G$5:$G$3004,ENSAYOS!$C$5:$C$3004,F773,ENSAYOS!$Q$5:$Q$3004,"&gt;0"))</f>
        <v/>
      </c>
      <c r="P773" s="16" t="str">
        <f aca="false">IF(N(M773)=0,"",AVERAGEIFS(ENSAYOS!$Q$5:$Q$3004,ENSAYOS!$C$5:$C$3004,F773,ENSAYOS!$Q$5:$Q$3004,"&gt;0"))</f>
        <v/>
      </c>
      <c r="Q773" s="16" t="str">
        <f aca="false">IF(N(M773)=0,"",_xlfn.MINIFS(ENSAYOS!$Q$5:$Q$3004,ENSAYOS!$C$5:$C$3004,F773,ENSAYOS!$Q$5:$Q$3004,"&gt;0"))</f>
        <v/>
      </c>
      <c r="R773" s="16" t="str">
        <f aca="false">IF(N(M773)=0,"",_xlfn.MAXIFS(ENSAYOS!$Q$5:$Q$3004,ENSAYOS!$C$5:$C$3004,F773,ENSAYOS!$Q$5:$Q$3004,"&gt;0"))</f>
        <v/>
      </c>
      <c r="S773" s="16" t="str">
        <f aca="false">IF(N(M773)&lt;2,"",SQRT(MAX(0,(SUMIFS(ENSAYOS!$X$5:$X$3004,ENSAYOS!$C$5:$C$3004,F773,ENSAYOS!$Q$5:$Q$3004,"&gt;0")-M773*P773^2)/(M773-1))))</f>
        <v/>
      </c>
      <c r="T773" s="17" t="str">
        <f aca="false">IF(S773="","",S773/P773)</f>
        <v/>
      </c>
      <c r="U773" s="16" t="str">
        <f aca="false">IF(N(M773)=0,"",IF(N773&gt;=CONFIG!$B$27,"",AVERAGEIFS(ENSAYOS!$Q$5:$Q$3004,ENSAYOS!$C$5:$C$3004,F773,ENSAYOS!$Q$5:$Q$3004,"&gt;0",ENSAYOS!$G$5:$G$3004,N773)))</f>
        <v/>
      </c>
      <c r="V773" s="16" t="str">
        <f aca="false">IF(N(M773)=0,"",IF(COUNTIFS(ENSAYOS!$C$5:$C$3004,F773,ENSAYOS!$Q$5:$Q$3004,"&gt;0",ENSAYOS!$G$5:$G$3004,"&gt;="&amp;CONFIG!$B$27)=0,"",AVERAGEIFS(ENSAYOS!$Q$5:$Q$3004,ENSAYOS!$C$5:$C$3004,F773,ENSAYOS!$Q$5:$Q$3004,"&gt;0",ENSAYOS!$G$5:$G$3004,"&gt;="&amp;CONFIG!$B$27)))</f>
        <v/>
      </c>
      <c r="W773" s="18" t="str">
        <f aca="false">IF(AND(U773&lt;&gt;"",V773&lt;&gt;""),U773/V773,"")</f>
        <v/>
      </c>
      <c r="X773" s="18" t="str">
        <f aca="false">IF(U773="","",INDEX('CURVA EDAD'!$E$5:$E$32,MIN(28,MAX(1,N773))))</f>
        <v/>
      </c>
      <c r="Y773" s="16" t="str">
        <f aca="false">IF(V773&lt;&gt;"",V773,IF(U773="","",U773/X773))</f>
        <v/>
      </c>
      <c r="Z773" s="16" t="str">
        <f aca="false">IF(V773&lt;&gt;"",_xlfn.MINIFS(ENSAYOS!$Q$5:$Q$3004,ENSAYOS!$C$5:$C$3004,F773,ENSAYOS!$Q$5:$Q$3004,"&gt;0",ENSAYOS!$G$5:$G$3004,"&gt;="&amp;CONFIG!$B$27),IF(U773="","",_xlfn.MINIFS(ENSAYOS!$Q$5:$Q$3004,ENSAYOS!$C$5:$C$3004,F773,ENSAYOS!$Q$5:$Q$3004,"&gt;0",ENSAYOS!$G$5:$G$3004,N773)/X773))</f>
        <v/>
      </c>
      <c r="AA773" s="16" t="str">
        <f aca="false">IF(D773="","",IFERROR(1/(1/INDEX(CONFIG!$J$5:$J$14,MATCH(D773,CONFIG!$D$5:$D$14,0))),""))</f>
        <v/>
      </c>
      <c r="AB773" s="16" t="str">
        <f aca="false">IF(D773="","",IFERROR(1/(1/INDEX(CONFIG!$K$5:$K$14,MATCH(D773,CONFIG!$D$5:$D$14,0))),""))</f>
        <v/>
      </c>
      <c r="AC773" s="19" t="str">
        <f aca="false">IF(N(M773)=0,"",IF(AA773="","Sin spec",IF(AND(Y773&gt;=AA773,OR(AB773="",Z773&gt;=AB773)),"CUMPLE","NO CUMPLE")&amp;IF(V773=""," (est.)","")))</f>
        <v/>
      </c>
      <c r="AD773" s="20" t="str">
        <f aca="false">IF(F773="","",IF(COUNTIFS(ABSORCION!$C$5:$C$1004,F773,ABSORCION!$I$5:$I$1004,"&gt;0")=0,"",AVERAGEIFS(ABSORCION!$I$5:$I$1004,ABSORCION!$C$5:$C$1004,F773,ABSORCION!$I$5:$I$1004,"&gt;0")))</f>
        <v/>
      </c>
      <c r="AE773" s="20" t="str">
        <f aca="false">IF(F773="","",IF(COUNTIFS(ABSORCION!$C$5:$C$1004,F773,ABSORCION!$I$5:$I$1004,"&gt;0")=0,"",AVERAGEIFS(ABSORCION!$K$5:$K$1004,ABSORCION!$C$5:$C$1004,F773,ABSORCION!$I$5:$I$1004,"&gt;0")))</f>
        <v/>
      </c>
      <c r="AF773" s="20" t="str">
        <f aca="false">IF(AE773="","",IF(AE773&gt;=CONFIG!$E$21,CONFIG!$F$21,IF(AE773&gt;=CONFIG!$E$20,CONFIG!$F$20,CONFIG!$F$19)))</f>
        <v/>
      </c>
      <c r="AG773" s="21" t="str">
        <f aca="false">IF(F773="","",TRIM(IF(N(M773)=0,"Sin ensayos. ","")&amp;IF(AND(N(M773)&gt;0,N(M773)&lt;CONFIG!$B$26),"Menos de "&amp;CONFIG!$B$26&amp;" probetas. ","")&amp;IF(N(T773)&gt;CONFIG!$B$25,"CV alto. ","")&amp;IF(AND(N(AD773)&gt;0,N(AD773)&gt;N(AF773)),"Absorción alta. ","")))</f>
        <v/>
      </c>
      <c r="AH773" s="22" t="str">
        <f aca="false">IF(AND(N(M773)&gt;0,OR(CONTROL!$C$4="TODAS",C773=CONTROL!$C$4),D773=CONTROL!$C$5),MAX($AH$4:AH772)+1,"")</f>
        <v/>
      </c>
      <c r="AI773" s="22" t="str">
        <f aca="false">IF(AH773="","",P773^2)</f>
        <v/>
      </c>
    </row>
    <row r="774" customFormat="false" ht="15" hidden="false" customHeight="false" outlineLevel="0" collapsed="false">
      <c r="A774" s="11" t="str">
        <f aca="false">IF(B774="","",ROW()-4)</f>
        <v/>
      </c>
      <c r="B774" s="12"/>
      <c r="C774" s="13"/>
      <c r="D774" s="13"/>
      <c r="E774" s="13"/>
      <c r="F774" s="14" t="str">
        <f aca="false">IF(OR(B774="",C774="",D774=""),"",IFERROR(INDEX(CONFIG!$E$5:$E$14,MATCH(D774,CONFIG!$D$5:$D$14,0)),"?")&amp;RIGHT("0"&amp;DAY(B774),2)&amp;RIGHT("0"&amp;MONTH(B774),2)&amp;RIGHT(YEAR(B774),2)&amp;C774&amp;IF(E774="","","-"&amp;E774))</f>
        <v/>
      </c>
      <c r="G774" s="13"/>
      <c r="H774" s="13"/>
      <c r="I774" s="13"/>
      <c r="J774" s="13"/>
      <c r="K774" s="13"/>
      <c r="L774" s="13"/>
      <c r="M774" s="11" t="str">
        <f aca="false">IF(F774="","",COUNTIFS(ENSAYOS!$C$5:$C$3004,F774,ENSAYOS!$Q$5:$Q$3004,"&gt;0"))</f>
        <v/>
      </c>
      <c r="N774" s="15" t="str">
        <f aca="false">IF(N(M774)=0,"",_xlfn.MINIFS(ENSAYOS!$G$5:$G$3004,ENSAYOS!$C$5:$C$3004,F774,ENSAYOS!$Q$5:$Q$3004,"&gt;0"))</f>
        <v/>
      </c>
      <c r="O774" s="15" t="str">
        <f aca="false">IF(N(M774)=0,"",_xlfn.MAXIFS(ENSAYOS!$G$5:$G$3004,ENSAYOS!$C$5:$C$3004,F774,ENSAYOS!$Q$5:$Q$3004,"&gt;0"))</f>
        <v/>
      </c>
      <c r="P774" s="16" t="str">
        <f aca="false">IF(N(M774)=0,"",AVERAGEIFS(ENSAYOS!$Q$5:$Q$3004,ENSAYOS!$C$5:$C$3004,F774,ENSAYOS!$Q$5:$Q$3004,"&gt;0"))</f>
        <v/>
      </c>
      <c r="Q774" s="16" t="str">
        <f aca="false">IF(N(M774)=0,"",_xlfn.MINIFS(ENSAYOS!$Q$5:$Q$3004,ENSAYOS!$C$5:$C$3004,F774,ENSAYOS!$Q$5:$Q$3004,"&gt;0"))</f>
        <v/>
      </c>
      <c r="R774" s="16" t="str">
        <f aca="false">IF(N(M774)=0,"",_xlfn.MAXIFS(ENSAYOS!$Q$5:$Q$3004,ENSAYOS!$C$5:$C$3004,F774,ENSAYOS!$Q$5:$Q$3004,"&gt;0"))</f>
        <v/>
      </c>
      <c r="S774" s="16" t="str">
        <f aca="false">IF(N(M774)&lt;2,"",SQRT(MAX(0,(SUMIFS(ENSAYOS!$X$5:$X$3004,ENSAYOS!$C$5:$C$3004,F774,ENSAYOS!$Q$5:$Q$3004,"&gt;0")-M774*P774^2)/(M774-1))))</f>
        <v/>
      </c>
      <c r="T774" s="17" t="str">
        <f aca="false">IF(S774="","",S774/P774)</f>
        <v/>
      </c>
      <c r="U774" s="16" t="str">
        <f aca="false">IF(N(M774)=0,"",IF(N774&gt;=CONFIG!$B$27,"",AVERAGEIFS(ENSAYOS!$Q$5:$Q$3004,ENSAYOS!$C$5:$C$3004,F774,ENSAYOS!$Q$5:$Q$3004,"&gt;0",ENSAYOS!$G$5:$G$3004,N774)))</f>
        <v/>
      </c>
      <c r="V774" s="16" t="str">
        <f aca="false">IF(N(M774)=0,"",IF(COUNTIFS(ENSAYOS!$C$5:$C$3004,F774,ENSAYOS!$Q$5:$Q$3004,"&gt;0",ENSAYOS!$G$5:$G$3004,"&gt;="&amp;CONFIG!$B$27)=0,"",AVERAGEIFS(ENSAYOS!$Q$5:$Q$3004,ENSAYOS!$C$5:$C$3004,F774,ENSAYOS!$Q$5:$Q$3004,"&gt;0",ENSAYOS!$G$5:$G$3004,"&gt;="&amp;CONFIG!$B$27)))</f>
        <v/>
      </c>
      <c r="W774" s="18" t="str">
        <f aca="false">IF(AND(U774&lt;&gt;"",V774&lt;&gt;""),U774/V774,"")</f>
        <v/>
      </c>
      <c r="X774" s="18" t="str">
        <f aca="false">IF(U774="","",INDEX('CURVA EDAD'!$E$5:$E$32,MIN(28,MAX(1,N774))))</f>
        <v/>
      </c>
      <c r="Y774" s="16" t="str">
        <f aca="false">IF(V774&lt;&gt;"",V774,IF(U774="","",U774/X774))</f>
        <v/>
      </c>
      <c r="Z774" s="16" t="str">
        <f aca="false">IF(V774&lt;&gt;"",_xlfn.MINIFS(ENSAYOS!$Q$5:$Q$3004,ENSAYOS!$C$5:$C$3004,F774,ENSAYOS!$Q$5:$Q$3004,"&gt;0",ENSAYOS!$G$5:$G$3004,"&gt;="&amp;CONFIG!$B$27),IF(U774="","",_xlfn.MINIFS(ENSAYOS!$Q$5:$Q$3004,ENSAYOS!$C$5:$C$3004,F774,ENSAYOS!$Q$5:$Q$3004,"&gt;0",ENSAYOS!$G$5:$G$3004,N774)/X774))</f>
        <v/>
      </c>
      <c r="AA774" s="16" t="str">
        <f aca="false">IF(D774="","",IFERROR(1/(1/INDEX(CONFIG!$J$5:$J$14,MATCH(D774,CONFIG!$D$5:$D$14,0))),""))</f>
        <v/>
      </c>
      <c r="AB774" s="16" t="str">
        <f aca="false">IF(D774="","",IFERROR(1/(1/INDEX(CONFIG!$K$5:$K$14,MATCH(D774,CONFIG!$D$5:$D$14,0))),""))</f>
        <v/>
      </c>
      <c r="AC774" s="19" t="str">
        <f aca="false">IF(N(M774)=0,"",IF(AA774="","Sin spec",IF(AND(Y774&gt;=AA774,OR(AB774="",Z774&gt;=AB774)),"CUMPLE","NO CUMPLE")&amp;IF(V774=""," (est.)","")))</f>
        <v/>
      </c>
      <c r="AD774" s="20" t="str">
        <f aca="false">IF(F774="","",IF(COUNTIFS(ABSORCION!$C$5:$C$1004,F774,ABSORCION!$I$5:$I$1004,"&gt;0")=0,"",AVERAGEIFS(ABSORCION!$I$5:$I$1004,ABSORCION!$C$5:$C$1004,F774,ABSORCION!$I$5:$I$1004,"&gt;0")))</f>
        <v/>
      </c>
      <c r="AE774" s="20" t="str">
        <f aca="false">IF(F774="","",IF(COUNTIFS(ABSORCION!$C$5:$C$1004,F774,ABSORCION!$I$5:$I$1004,"&gt;0")=0,"",AVERAGEIFS(ABSORCION!$K$5:$K$1004,ABSORCION!$C$5:$C$1004,F774,ABSORCION!$I$5:$I$1004,"&gt;0")))</f>
        <v/>
      </c>
      <c r="AF774" s="20" t="str">
        <f aca="false">IF(AE774="","",IF(AE774&gt;=CONFIG!$E$21,CONFIG!$F$21,IF(AE774&gt;=CONFIG!$E$20,CONFIG!$F$20,CONFIG!$F$19)))</f>
        <v/>
      </c>
      <c r="AG774" s="21" t="str">
        <f aca="false">IF(F774="","",TRIM(IF(N(M774)=0,"Sin ensayos. ","")&amp;IF(AND(N(M774)&gt;0,N(M774)&lt;CONFIG!$B$26),"Menos de "&amp;CONFIG!$B$26&amp;" probetas. ","")&amp;IF(N(T774)&gt;CONFIG!$B$25,"CV alto. ","")&amp;IF(AND(N(AD774)&gt;0,N(AD774)&gt;N(AF774)),"Absorción alta. ","")))</f>
        <v/>
      </c>
      <c r="AH774" s="22" t="str">
        <f aca="false">IF(AND(N(M774)&gt;0,OR(CONTROL!$C$4="TODAS",C774=CONTROL!$C$4),D774=CONTROL!$C$5),MAX($AH$4:AH773)+1,"")</f>
        <v/>
      </c>
      <c r="AI774" s="22" t="str">
        <f aca="false">IF(AH774="","",P774^2)</f>
        <v/>
      </c>
    </row>
    <row r="775" customFormat="false" ht="15" hidden="false" customHeight="false" outlineLevel="0" collapsed="false">
      <c r="A775" s="11" t="str">
        <f aca="false">IF(B775="","",ROW()-4)</f>
        <v/>
      </c>
      <c r="B775" s="12"/>
      <c r="C775" s="13"/>
      <c r="D775" s="13"/>
      <c r="E775" s="13"/>
      <c r="F775" s="14" t="str">
        <f aca="false">IF(OR(B775="",C775="",D775=""),"",IFERROR(INDEX(CONFIG!$E$5:$E$14,MATCH(D775,CONFIG!$D$5:$D$14,0)),"?")&amp;RIGHT("0"&amp;DAY(B775),2)&amp;RIGHT("0"&amp;MONTH(B775),2)&amp;RIGHT(YEAR(B775),2)&amp;C775&amp;IF(E775="","","-"&amp;E775))</f>
        <v/>
      </c>
      <c r="G775" s="13"/>
      <c r="H775" s="13"/>
      <c r="I775" s="13"/>
      <c r="J775" s="13"/>
      <c r="K775" s="13"/>
      <c r="L775" s="13"/>
      <c r="M775" s="11" t="str">
        <f aca="false">IF(F775="","",COUNTIFS(ENSAYOS!$C$5:$C$3004,F775,ENSAYOS!$Q$5:$Q$3004,"&gt;0"))</f>
        <v/>
      </c>
      <c r="N775" s="15" t="str">
        <f aca="false">IF(N(M775)=0,"",_xlfn.MINIFS(ENSAYOS!$G$5:$G$3004,ENSAYOS!$C$5:$C$3004,F775,ENSAYOS!$Q$5:$Q$3004,"&gt;0"))</f>
        <v/>
      </c>
      <c r="O775" s="15" t="str">
        <f aca="false">IF(N(M775)=0,"",_xlfn.MAXIFS(ENSAYOS!$G$5:$G$3004,ENSAYOS!$C$5:$C$3004,F775,ENSAYOS!$Q$5:$Q$3004,"&gt;0"))</f>
        <v/>
      </c>
      <c r="P775" s="16" t="str">
        <f aca="false">IF(N(M775)=0,"",AVERAGEIFS(ENSAYOS!$Q$5:$Q$3004,ENSAYOS!$C$5:$C$3004,F775,ENSAYOS!$Q$5:$Q$3004,"&gt;0"))</f>
        <v/>
      </c>
      <c r="Q775" s="16" t="str">
        <f aca="false">IF(N(M775)=0,"",_xlfn.MINIFS(ENSAYOS!$Q$5:$Q$3004,ENSAYOS!$C$5:$C$3004,F775,ENSAYOS!$Q$5:$Q$3004,"&gt;0"))</f>
        <v/>
      </c>
      <c r="R775" s="16" t="str">
        <f aca="false">IF(N(M775)=0,"",_xlfn.MAXIFS(ENSAYOS!$Q$5:$Q$3004,ENSAYOS!$C$5:$C$3004,F775,ENSAYOS!$Q$5:$Q$3004,"&gt;0"))</f>
        <v/>
      </c>
      <c r="S775" s="16" t="str">
        <f aca="false">IF(N(M775)&lt;2,"",SQRT(MAX(0,(SUMIFS(ENSAYOS!$X$5:$X$3004,ENSAYOS!$C$5:$C$3004,F775,ENSAYOS!$Q$5:$Q$3004,"&gt;0")-M775*P775^2)/(M775-1))))</f>
        <v/>
      </c>
      <c r="T775" s="17" t="str">
        <f aca="false">IF(S775="","",S775/P775)</f>
        <v/>
      </c>
      <c r="U775" s="16" t="str">
        <f aca="false">IF(N(M775)=0,"",IF(N775&gt;=CONFIG!$B$27,"",AVERAGEIFS(ENSAYOS!$Q$5:$Q$3004,ENSAYOS!$C$5:$C$3004,F775,ENSAYOS!$Q$5:$Q$3004,"&gt;0",ENSAYOS!$G$5:$G$3004,N775)))</f>
        <v/>
      </c>
      <c r="V775" s="16" t="str">
        <f aca="false">IF(N(M775)=0,"",IF(COUNTIFS(ENSAYOS!$C$5:$C$3004,F775,ENSAYOS!$Q$5:$Q$3004,"&gt;0",ENSAYOS!$G$5:$G$3004,"&gt;="&amp;CONFIG!$B$27)=0,"",AVERAGEIFS(ENSAYOS!$Q$5:$Q$3004,ENSAYOS!$C$5:$C$3004,F775,ENSAYOS!$Q$5:$Q$3004,"&gt;0",ENSAYOS!$G$5:$G$3004,"&gt;="&amp;CONFIG!$B$27)))</f>
        <v/>
      </c>
      <c r="W775" s="18" t="str">
        <f aca="false">IF(AND(U775&lt;&gt;"",V775&lt;&gt;""),U775/V775,"")</f>
        <v/>
      </c>
      <c r="X775" s="18" t="str">
        <f aca="false">IF(U775="","",INDEX('CURVA EDAD'!$E$5:$E$32,MIN(28,MAX(1,N775))))</f>
        <v/>
      </c>
      <c r="Y775" s="16" t="str">
        <f aca="false">IF(V775&lt;&gt;"",V775,IF(U775="","",U775/X775))</f>
        <v/>
      </c>
      <c r="Z775" s="16" t="str">
        <f aca="false">IF(V775&lt;&gt;"",_xlfn.MINIFS(ENSAYOS!$Q$5:$Q$3004,ENSAYOS!$C$5:$C$3004,F775,ENSAYOS!$Q$5:$Q$3004,"&gt;0",ENSAYOS!$G$5:$G$3004,"&gt;="&amp;CONFIG!$B$27),IF(U775="","",_xlfn.MINIFS(ENSAYOS!$Q$5:$Q$3004,ENSAYOS!$C$5:$C$3004,F775,ENSAYOS!$Q$5:$Q$3004,"&gt;0",ENSAYOS!$G$5:$G$3004,N775)/X775))</f>
        <v/>
      </c>
      <c r="AA775" s="16" t="str">
        <f aca="false">IF(D775="","",IFERROR(1/(1/INDEX(CONFIG!$J$5:$J$14,MATCH(D775,CONFIG!$D$5:$D$14,0))),""))</f>
        <v/>
      </c>
      <c r="AB775" s="16" t="str">
        <f aca="false">IF(D775="","",IFERROR(1/(1/INDEX(CONFIG!$K$5:$K$14,MATCH(D775,CONFIG!$D$5:$D$14,0))),""))</f>
        <v/>
      </c>
      <c r="AC775" s="19" t="str">
        <f aca="false">IF(N(M775)=0,"",IF(AA775="","Sin spec",IF(AND(Y775&gt;=AA775,OR(AB775="",Z775&gt;=AB775)),"CUMPLE","NO CUMPLE")&amp;IF(V775=""," (est.)","")))</f>
        <v/>
      </c>
      <c r="AD775" s="20" t="str">
        <f aca="false">IF(F775="","",IF(COUNTIFS(ABSORCION!$C$5:$C$1004,F775,ABSORCION!$I$5:$I$1004,"&gt;0")=0,"",AVERAGEIFS(ABSORCION!$I$5:$I$1004,ABSORCION!$C$5:$C$1004,F775,ABSORCION!$I$5:$I$1004,"&gt;0")))</f>
        <v/>
      </c>
      <c r="AE775" s="20" t="str">
        <f aca="false">IF(F775="","",IF(COUNTIFS(ABSORCION!$C$5:$C$1004,F775,ABSORCION!$I$5:$I$1004,"&gt;0")=0,"",AVERAGEIFS(ABSORCION!$K$5:$K$1004,ABSORCION!$C$5:$C$1004,F775,ABSORCION!$I$5:$I$1004,"&gt;0")))</f>
        <v/>
      </c>
      <c r="AF775" s="20" t="str">
        <f aca="false">IF(AE775="","",IF(AE775&gt;=CONFIG!$E$21,CONFIG!$F$21,IF(AE775&gt;=CONFIG!$E$20,CONFIG!$F$20,CONFIG!$F$19)))</f>
        <v/>
      </c>
      <c r="AG775" s="21" t="str">
        <f aca="false">IF(F775="","",TRIM(IF(N(M775)=0,"Sin ensayos. ","")&amp;IF(AND(N(M775)&gt;0,N(M775)&lt;CONFIG!$B$26),"Menos de "&amp;CONFIG!$B$26&amp;" probetas. ","")&amp;IF(N(T775)&gt;CONFIG!$B$25,"CV alto. ","")&amp;IF(AND(N(AD775)&gt;0,N(AD775)&gt;N(AF775)),"Absorción alta. ","")))</f>
        <v/>
      </c>
      <c r="AH775" s="22" t="str">
        <f aca="false">IF(AND(N(M775)&gt;0,OR(CONTROL!$C$4="TODAS",C775=CONTROL!$C$4),D775=CONTROL!$C$5),MAX($AH$4:AH774)+1,"")</f>
        <v/>
      </c>
      <c r="AI775" s="22" t="str">
        <f aca="false">IF(AH775="","",P775^2)</f>
        <v/>
      </c>
    </row>
    <row r="776" customFormat="false" ht="15" hidden="false" customHeight="false" outlineLevel="0" collapsed="false">
      <c r="A776" s="11" t="str">
        <f aca="false">IF(B776="","",ROW()-4)</f>
        <v/>
      </c>
      <c r="B776" s="12"/>
      <c r="C776" s="13"/>
      <c r="D776" s="13"/>
      <c r="E776" s="13"/>
      <c r="F776" s="14" t="str">
        <f aca="false">IF(OR(B776="",C776="",D776=""),"",IFERROR(INDEX(CONFIG!$E$5:$E$14,MATCH(D776,CONFIG!$D$5:$D$14,0)),"?")&amp;RIGHT("0"&amp;DAY(B776),2)&amp;RIGHT("0"&amp;MONTH(B776),2)&amp;RIGHT(YEAR(B776),2)&amp;C776&amp;IF(E776="","","-"&amp;E776))</f>
        <v/>
      </c>
      <c r="G776" s="13"/>
      <c r="H776" s="13"/>
      <c r="I776" s="13"/>
      <c r="J776" s="13"/>
      <c r="K776" s="13"/>
      <c r="L776" s="13"/>
      <c r="M776" s="11" t="str">
        <f aca="false">IF(F776="","",COUNTIFS(ENSAYOS!$C$5:$C$3004,F776,ENSAYOS!$Q$5:$Q$3004,"&gt;0"))</f>
        <v/>
      </c>
      <c r="N776" s="15" t="str">
        <f aca="false">IF(N(M776)=0,"",_xlfn.MINIFS(ENSAYOS!$G$5:$G$3004,ENSAYOS!$C$5:$C$3004,F776,ENSAYOS!$Q$5:$Q$3004,"&gt;0"))</f>
        <v/>
      </c>
      <c r="O776" s="15" t="str">
        <f aca="false">IF(N(M776)=0,"",_xlfn.MAXIFS(ENSAYOS!$G$5:$G$3004,ENSAYOS!$C$5:$C$3004,F776,ENSAYOS!$Q$5:$Q$3004,"&gt;0"))</f>
        <v/>
      </c>
      <c r="P776" s="16" t="str">
        <f aca="false">IF(N(M776)=0,"",AVERAGEIFS(ENSAYOS!$Q$5:$Q$3004,ENSAYOS!$C$5:$C$3004,F776,ENSAYOS!$Q$5:$Q$3004,"&gt;0"))</f>
        <v/>
      </c>
      <c r="Q776" s="16" t="str">
        <f aca="false">IF(N(M776)=0,"",_xlfn.MINIFS(ENSAYOS!$Q$5:$Q$3004,ENSAYOS!$C$5:$C$3004,F776,ENSAYOS!$Q$5:$Q$3004,"&gt;0"))</f>
        <v/>
      </c>
      <c r="R776" s="16" t="str">
        <f aca="false">IF(N(M776)=0,"",_xlfn.MAXIFS(ENSAYOS!$Q$5:$Q$3004,ENSAYOS!$C$5:$C$3004,F776,ENSAYOS!$Q$5:$Q$3004,"&gt;0"))</f>
        <v/>
      </c>
      <c r="S776" s="16" t="str">
        <f aca="false">IF(N(M776)&lt;2,"",SQRT(MAX(0,(SUMIFS(ENSAYOS!$X$5:$X$3004,ENSAYOS!$C$5:$C$3004,F776,ENSAYOS!$Q$5:$Q$3004,"&gt;0")-M776*P776^2)/(M776-1))))</f>
        <v/>
      </c>
      <c r="T776" s="17" t="str">
        <f aca="false">IF(S776="","",S776/P776)</f>
        <v/>
      </c>
      <c r="U776" s="16" t="str">
        <f aca="false">IF(N(M776)=0,"",IF(N776&gt;=CONFIG!$B$27,"",AVERAGEIFS(ENSAYOS!$Q$5:$Q$3004,ENSAYOS!$C$5:$C$3004,F776,ENSAYOS!$Q$5:$Q$3004,"&gt;0",ENSAYOS!$G$5:$G$3004,N776)))</f>
        <v/>
      </c>
      <c r="V776" s="16" t="str">
        <f aca="false">IF(N(M776)=0,"",IF(COUNTIFS(ENSAYOS!$C$5:$C$3004,F776,ENSAYOS!$Q$5:$Q$3004,"&gt;0",ENSAYOS!$G$5:$G$3004,"&gt;="&amp;CONFIG!$B$27)=0,"",AVERAGEIFS(ENSAYOS!$Q$5:$Q$3004,ENSAYOS!$C$5:$C$3004,F776,ENSAYOS!$Q$5:$Q$3004,"&gt;0",ENSAYOS!$G$5:$G$3004,"&gt;="&amp;CONFIG!$B$27)))</f>
        <v/>
      </c>
      <c r="W776" s="18" t="str">
        <f aca="false">IF(AND(U776&lt;&gt;"",V776&lt;&gt;""),U776/V776,"")</f>
        <v/>
      </c>
      <c r="X776" s="18" t="str">
        <f aca="false">IF(U776="","",INDEX('CURVA EDAD'!$E$5:$E$32,MIN(28,MAX(1,N776))))</f>
        <v/>
      </c>
      <c r="Y776" s="16" t="str">
        <f aca="false">IF(V776&lt;&gt;"",V776,IF(U776="","",U776/X776))</f>
        <v/>
      </c>
      <c r="Z776" s="16" t="str">
        <f aca="false">IF(V776&lt;&gt;"",_xlfn.MINIFS(ENSAYOS!$Q$5:$Q$3004,ENSAYOS!$C$5:$C$3004,F776,ENSAYOS!$Q$5:$Q$3004,"&gt;0",ENSAYOS!$G$5:$G$3004,"&gt;="&amp;CONFIG!$B$27),IF(U776="","",_xlfn.MINIFS(ENSAYOS!$Q$5:$Q$3004,ENSAYOS!$C$5:$C$3004,F776,ENSAYOS!$Q$5:$Q$3004,"&gt;0",ENSAYOS!$G$5:$G$3004,N776)/X776))</f>
        <v/>
      </c>
      <c r="AA776" s="16" t="str">
        <f aca="false">IF(D776="","",IFERROR(1/(1/INDEX(CONFIG!$J$5:$J$14,MATCH(D776,CONFIG!$D$5:$D$14,0))),""))</f>
        <v/>
      </c>
      <c r="AB776" s="16" t="str">
        <f aca="false">IF(D776="","",IFERROR(1/(1/INDEX(CONFIG!$K$5:$K$14,MATCH(D776,CONFIG!$D$5:$D$14,0))),""))</f>
        <v/>
      </c>
      <c r="AC776" s="19" t="str">
        <f aca="false">IF(N(M776)=0,"",IF(AA776="","Sin spec",IF(AND(Y776&gt;=AA776,OR(AB776="",Z776&gt;=AB776)),"CUMPLE","NO CUMPLE")&amp;IF(V776=""," (est.)","")))</f>
        <v/>
      </c>
      <c r="AD776" s="20" t="str">
        <f aca="false">IF(F776="","",IF(COUNTIFS(ABSORCION!$C$5:$C$1004,F776,ABSORCION!$I$5:$I$1004,"&gt;0")=0,"",AVERAGEIFS(ABSORCION!$I$5:$I$1004,ABSORCION!$C$5:$C$1004,F776,ABSORCION!$I$5:$I$1004,"&gt;0")))</f>
        <v/>
      </c>
      <c r="AE776" s="20" t="str">
        <f aca="false">IF(F776="","",IF(COUNTIFS(ABSORCION!$C$5:$C$1004,F776,ABSORCION!$I$5:$I$1004,"&gt;0")=0,"",AVERAGEIFS(ABSORCION!$K$5:$K$1004,ABSORCION!$C$5:$C$1004,F776,ABSORCION!$I$5:$I$1004,"&gt;0")))</f>
        <v/>
      </c>
      <c r="AF776" s="20" t="str">
        <f aca="false">IF(AE776="","",IF(AE776&gt;=CONFIG!$E$21,CONFIG!$F$21,IF(AE776&gt;=CONFIG!$E$20,CONFIG!$F$20,CONFIG!$F$19)))</f>
        <v/>
      </c>
      <c r="AG776" s="21" t="str">
        <f aca="false">IF(F776="","",TRIM(IF(N(M776)=0,"Sin ensayos. ","")&amp;IF(AND(N(M776)&gt;0,N(M776)&lt;CONFIG!$B$26),"Menos de "&amp;CONFIG!$B$26&amp;" probetas. ","")&amp;IF(N(T776)&gt;CONFIG!$B$25,"CV alto. ","")&amp;IF(AND(N(AD776)&gt;0,N(AD776)&gt;N(AF776)),"Absorción alta. ","")))</f>
        <v/>
      </c>
      <c r="AH776" s="22" t="str">
        <f aca="false">IF(AND(N(M776)&gt;0,OR(CONTROL!$C$4="TODAS",C776=CONTROL!$C$4),D776=CONTROL!$C$5),MAX($AH$4:AH775)+1,"")</f>
        <v/>
      </c>
      <c r="AI776" s="22" t="str">
        <f aca="false">IF(AH776="","",P776^2)</f>
        <v/>
      </c>
    </row>
    <row r="777" customFormat="false" ht="15" hidden="false" customHeight="false" outlineLevel="0" collapsed="false">
      <c r="A777" s="11" t="str">
        <f aca="false">IF(B777="","",ROW()-4)</f>
        <v/>
      </c>
      <c r="B777" s="12"/>
      <c r="C777" s="13"/>
      <c r="D777" s="13"/>
      <c r="E777" s="13"/>
      <c r="F777" s="14" t="str">
        <f aca="false">IF(OR(B777="",C777="",D777=""),"",IFERROR(INDEX(CONFIG!$E$5:$E$14,MATCH(D777,CONFIG!$D$5:$D$14,0)),"?")&amp;RIGHT("0"&amp;DAY(B777),2)&amp;RIGHT("0"&amp;MONTH(B777),2)&amp;RIGHT(YEAR(B777),2)&amp;C777&amp;IF(E777="","","-"&amp;E777))</f>
        <v/>
      </c>
      <c r="G777" s="13"/>
      <c r="H777" s="13"/>
      <c r="I777" s="13"/>
      <c r="J777" s="13"/>
      <c r="K777" s="13"/>
      <c r="L777" s="13"/>
      <c r="M777" s="11" t="str">
        <f aca="false">IF(F777="","",COUNTIFS(ENSAYOS!$C$5:$C$3004,F777,ENSAYOS!$Q$5:$Q$3004,"&gt;0"))</f>
        <v/>
      </c>
      <c r="N777" s="15" t="str">
        <f aca="false">IF(N(M777)=0,"",_xlfn.MINIFS(ENSAYOS!$G$5:$G$3004,ENSAYOS!$C$5:$C$3004,F777,ENSAYOS!$Q$5:$Q$3004,"&gt;0"))</f>
        <v/>
      </c>
      <c r="O777" s="15" t="str">
        <f aca="false">IF(N(M777)=0,"",_xlfn.MAXIFS(ENSAYOS!$G$5:$G$3004,ENSAYOS!$C$5:$C$3004,F777,ENSAYOS!$Q$5:$Q$3004,"&gt;0"))</f>
        <v/>
      </c>
      <c r="P777" s="16" t="str">
        <f aca="false">IF(N(M777)=0,"",AVERAGEIFS(ENSAYOS!$Q$5:$Q$3004,ENSAYOS!$C$5:$C$3004,F777,ENSAYOS!$Q$5:$Q$3004,"&gt;0"))</f>
        <v/>
      </c>
      <c r="Q777" s="16" t="str">
        <f aca="false">IF(N(M777)=0,"",_xlfn.MINIFS(ENSAYOS!$Q$5:$Q$3004,ENSAYOS!$C$5:$C$3004,F777,ENSAYOS!$Q$5:$Q$3004,"&gt;0"))</f>
        <v/>
      </c>
      <c r="R777" s="16" t="str">
        <f aca="false">IF(N(M777)=0,"",_xlfn.MAXIFS(ENSAYOS!$Q$5:$Q$3004,ENSAYOS!$C$5:$C$3004,F777,ENSAYOS!$Q$5:$Q$3004,"&gt;0"))</f>
        <v/>
      </c>
      <c r="S777" s="16" t="str">
        <f aca="false">IF(N(M777)&lt;2,"",SQRT(MAX(0,(SUMIFS(ENSAYOS!$X$5:$X$3004,ENSAYOS!$C$5:$C$3004,F777,ENSAYOS!$Q$5:$Q$3004,"&gt;0")-M777*P777^2)/(M777-1))))</f>
        <v/>
      </c>
      <c r="T777" s="17" t="str">
        <f aca="false">IF(S777="","",S777/P777)</f>
        <v/>
      </c>
      <c r="U777" s="16" t="str">
        <f aca="false">IF(N(M777)=0,"",IF(N777&gt;=CONFIG!$B$27,"",AVERAGEIFS(ENSAYOS!$Q$5:$Q$3004,ENSAYOS!$C$5:$C$3004,F777,ENSAYOS!$Q$5:$Q$3004,"&gt;0",ENSAYOS!$G$5:$G$3004,N777)))</f>
        <v/>
      </c>
      <c r="V777" s="16" t="str">
        <f aca="false">IF(N(M777)=0,"",IF(COUNTIFS(ENSAYOS!$C$5:$C$3004,F777,ENSAYOS!$Q$5:$Q$3004,"&gt;0",ENSAYOS!$G$5:$G$3004,"&gt;="&amp;CONFIG!$B$27)=0,"",AVERAGEIFS(ENSAYOS!$Q$5:$Q$3004,ENSAYOS!$C$5:$C$3004,F777,ENSAYOS!$Q$5:$Q$3004,"&gt;0",ENSAYOS!$G$5:$G$3004,"&gt;="&amp;CONFIG!$B$27)))</f>
        <v/>
      </c>
      <c r="W777" s="18" t="str">
        <f aca="false">IF(AND(U777&lt;&gt;"",V777&lt;&gt;""),U777/V777,"")</f>
        <v/>
      </c>
      <c r="X777" s="18" t="str">
        <f aca="false">IF(U777="","",INDEX('CURVA EDAD'!$E$5:$E$32,MIN(28,MAX(1,N777))))</f>
        <v/>
      </c>
      <c r="Y777" s="16" t="str">
        <f aca="false">IF(V777&lt;&gt;"",V777,IF(U777="","",U777/X777))</f>
        <v/>
      </c>
      <c r="Z777" s="16" t="str">
        <f aca="false">IF(V777&lt;&gt;"",_xlfn.MINIFS(ENSAYOS!$Q$5:$Q$3004,ENSAYOS!$C$5:$C$3004,F777,ENSAYOS!$Q$5:$Q$3004,"&gt;0",ENSAYOS!$G$5:$G$3004,"&gt;="&amp;CONFIG!$B$27),IF(U777="","",_xlfn.MINIFS(ENSAYOS!$Q$5:$Q$3004,ENSAYOS!$C$5:$C$3004,F777,ENSAYOS!$Q$5:$Q$3004,"&gt;0",ENSAYOS!$G$5:$G$3004,N777)/X777))</f>
        <v/>
      </c>
      <c r="AA777" s="16" t="str">
        <f aca="false">IF(D777="","",IFERROR(1/(1/INDEX(CONFIG!$J$5:$J$14,MATCH(D777,CONFIG!$D$5:$D$14,0))),""))</f>
        <v/>
      </c>
      <c r="AB777" s="16" t="str">
        <f aca="false">IF(D777="","",IFERROR(1/(1/INDEX(CONFIG!$K$5:$K$14,MATCH(D777,CONFIG!$D$5:$D$14,0))),""))</f>
        <v/>
      </c>
      <c r="AC777" s="19" t="str">
        <f aca="false">IF(N(M777)=0,"",IF(AA777="","Sin spec",IF(AND(Y777&gt;=AA777,OR(AB777="",Z777&gt;=AB777)),"CUMPLE","NO CUMPLE")&amp;IF(V777=""," (est.)","")))</f>
        <v/>
      </c>
      <c r="AD777" s="20" t="str">
        <f aca="false">IF(F777="","",IF(COUNTIFS(ABSORCION!$C$5:$C$1004,F777,ABSORCION!$I$5:$I$1004,"&gt;0")=0,"",AVERAGEIFS(ABSORCION!$I$5:$I$1004,ABSORCION!$C$5:$C$1004,F777,ABSORCION!$I$5:$I$1004,"&gt;0")))</f>
        <v/>
      </c>
      <c r="AE777" s="20" t="str">
        <f aca="false">IF(F777="","",IF(COUNTIFS(ABSORCION!$C$5:$C$1004,F777,ABSORCION!$I$5:$I$1004,"&gt;0")=0,"",AVERAGEIFS(ABSORCION!$K$5:$K$1004,ABSORCION!$C$5:$C$1004,F777,ABSORCION!$I$5:$I$1004,"&gt;0")))</f>
        <v/>
      </c>
      <c r="AF777" s="20" t="str">
        <f aca="false">IF(AE777="","",IF(AE777&gt;=CONFIG!$E$21,CONFIG!$F$21,IF(AE777&gt;=CONFIG!$E$20,CONFIG!$F$20,CONFIG!$F$19)))</f>
        <v/>
      </c>
      <c r="AG777" s="21" t="str">
        <f aca="false">IF(F777="","",TRIM(IF(N(M777)=0,"Sin ensayos. ","")&amp;IF(AND(N(M777)&gt;0,N(M777)&lt;CONFIG!$B$26),"Menos de "&amp;CONFIG!$B$26&amp;" probetas. ","")&amp;IF(N(T777)&gt;CONFIG!$B$25,"CV alto. ","")&amp;IF(AND(N(AD777)&gt;0,N(AD777)&gt;N(AF777)),"Absorción alta. ","")))</f>
        <v/>
      </c>
      <c r="AH777" s="22" t="str">
        <f aca="false">IF(AND(N(M777)&gt;0,OR(CONTROL!$C$4="TODAS",C777=CONTROL!$C$4),D777=CONTROL!$C$5),MAX($AH$4:AH776)+1,"")</f>
        <v/>
      </c>
      <c r="AI777" s="22" t="str">
        <f aca="false">IF(AH777="","",P777^2)</f>
        <v/>
      </c>
    </row>
    <row r="778" customFormat="false" ht="15" hidden="false" customHeight="false" outlineLevel="0" collapsed="false">
      <c r="A778" s="11" t="str">
        <f aca="false">IF(B778="","",ROW()-4)</f>
        <v/>
      </c>
      <c r="B778" s="12"/>
      <c r="C778" s="13"/>
      <c r="D778" s="13"/>
      <c r="E778" s="13"/>
      <c r="F778" s="14" t="str">
        <f aca="false">IF(OR(B778="",C778="",D778=""),"",IFERROR(INDEX(CONFIG!$E$5:$E$14,MATCH(D778,CONFIG!$D$5:$D$14,0)),"?")&amp;RIGHT("0"&amp;DAY(B778),2)&amp;RIGHT("0"&amp;MONTH(B778),2)&amp;RIGHT(YEAR(B778),2)&amp;C778&amp;IF(E778="","","-"&amp;E778))</f>
        <v/>
      </c>
      <c r="G778" s="13"/>
      <c r="H778" s="13"/>
      <c r="I778" s="13"/>
      <c r="J778" s="13"/>
      <c r="K778" s="13"/>
      <c r="L778" s="13"/>
      <c r="M778" s="11" t="str">
        <f aca="false">IF(F778="","",COUNTIFS(ENSAYOS!$C$5:$C$3004,F778,ENSAYOS!$Q$5:$Q$3004,"&gt;0"))</f>
        <v/>
      </c>
      <c r="N778" s="15" t="str">
        <f aca="false">IF(N(M778)=0,"",_xlfn.MINIFS(ENSAYOS!$G$5:$G$3004,ENSAYOS!$C$5:$C$3004,F778,ENSAYOS!$Q$5:$Q$3004,"&gt;0"))</f>
        <v/>
      </c>
      <c r="O778" s="15" t="str">
        <f aca="false">IF(N(M778)=0,"",_xlfn.MAXIFS(ENSAYOS!$G$5:$G$3004,ENSAYOS!$C$5:$C$3004,F778,ENSAYOS!$Q$5:$Q$3004,"&gt;0"))</f>
        <v/>
      </c>
      <c r="P778" s="16" t="str">
        <f aca="false">IF(N(M778)=0,"",AVERAGEIFS(ENSAYOS!$Q$5:$Q$3004,ENSAYOS!$C$5:$C$3004,F778,ENSAYOS!$Q$5:$Q$3004,"&gt;0"))</f>
        <v/>
      </c>
      <c r="Q778" s="16" t="str">
        <f aca="false">IF(N(M778)=0,"",_xlfn.MINIFS(ENSAYOS!$Q$5:$Q$3004,ENSAYOS!$C$5:$C$3004,F778,ENSAYOS!$Q$5:$Q$3004,"&gt;0"))</f>
        <v/>
      </c>
      <c r="R778" s="16" t="str">
        <f aca="false">IF(N(M778)=0,"",_xlfn.MAXIFS(ENSAYOS!$Q$5:$Q$3004,ENSAYOS!$C$5:$C$3004,F778,ENSAYOS!$Q$5:$Q$3004,"&gt;0"))</f>
        <v/>
      </c>
      <c r="S778" s="16" t="str">
        <f aca="false">IF(N(M778)&lt;2,"",SQRT(MAX(0,(SUMIFS(ENSAYOS!$X$5:$X$3004,ENSAYOS!$C$5:$C$3004,F778,ENSAYOS!$Q$5:$Q$3004,"&gt;0")-M778*P778^2)/(M778-1))))</f>
        <v/>
      </c>
      <c r="T778" s="17" t="str">
        <f aca="false">IF(S778="","",S778/P778)</f>
        <v/>
      </c>
      <c r="U778" s="16" t="str">
        <f aca="false">IF(N(M778)=0,"",IF(N778&gt;=CONFIG!$B$27,"",AVERAGEIFS(ENSAYOS!$Q$5:$Q$3004,ENSAYOS!$C$5:$C$3004,F778,ENSAYOS!$Q$5:$Q$3004,"&gt;0",ENSAYOS!$G$5:$G$3004,N778)))</f>
        <v/>
      </c>
      <c r="V778" s="16" t="str">
        <f aca="false">IF(N(M778)=0,"",IF(COUNTIFS(ENSAYOS!$C$5:$C$3004,F778,ENSAYOS!$Q$5:$Q$3004,"&gt;0",ENSAYOS!$G$5:$G$3004,"&gt;="&amp;CONFIG!$B$27)=0,"",AVERAGEIFS(ENSAYOS!$Q$5:$Q$3004,ENSAYOS!$C$5:$C$3004,F778,ENSAYOS!$Q$5:$Q$3004,"&gt;0",ENSAYOS!$G$5:$G$3004,"&gt;="&amp;CONFIG!$B$27)))</f>
        <v/>
      </c>
      <c r="W778" s="18" t="str">
        <f aca="false">IF(AND(U778&lt;&gt;"",V778&lt;&gt;""),U778/V778,"")</f>
        <v/>
      </c>
      <c r="X778" s="18" t="str">
        <f aca="false">IF(U778="","",INDEX('CURVA EDAD'!$E$5:$E$32,MIN(28,MAX(1,N778))))</f>
        <v/>
      </c>
      <c r="Y778" s="16" t="str">
        <f aca="false">IF(V778&lt;&gt;"",V778,IF(U778="","",U778/X778))</f>
        <v/>
      </c>
      <c r="Z778" s="16" t="str">
        <f aca="false">IF(V778&lt;&gt;"",_xlfn.MINIFS(ENSAYOS!$Q$5:$Q$3004,ENSAYOS!$C$5:$C$3004,F778,ENSAYOS!$Q$5:$Q$3004,"&gt;0",ENSAYOS!$G$5:$G$3004,"&gt;="&amp;CONFIG!$B$27),IF(U778="","",_xlfn.MINIFS(ENSAYOS!$Q$5:$Q$3004,ENSAYOS!$C$5:$C$3004,F778,ENSAYOS!$Q$5:$Q$3004,"&gt;0",ENSAYOS!$G$5:$G$3004,N778)/X778))</f>
        <v/>
      </c>
      <c r="AA778" s="16" t="str">
        <f aca="false">IF(D778="","",IFERROR(1/(1/INDEX(CONFIG!$J$5:$J$14,MATCH(D778,CONFIG!$D$5:$D$14,0))),""))</f>
        <v/>
      </c>
      <c r="AB778" s="16" t="str">
        <f aca="false">IF(D778="","",IFERROR(1/(1/INDEX(CONFIG!$K$5:$K$14,MATCH(D778,CONFIG!$D$5:$D$14,0))),""))</f>
        <v/>
      </c>
      <c r="AC778" s="19" t="str">
        <f aca="false">IF(N(M778)=0,"",IF(AA778="","Sin spec",IF(AND(Y778&gt;=AA778,OR(AB778="",Z778&gt;=AB778)),"CUMPLE","NO CUMPLE")&amp;IF(V778=""," (est.)","")))</f>
        <v/>
      </c>
      <c r="AD778" s="20" t="str">
        <f aca="false">IF(F778="","",IF(COUNTIFS(ABSORCION!$C$5:$C$1004,F778,ABSORCION!$I$5:$I$1004,"&gt;0")=0,"",AVERAGEIFS(ABSORCION!$I$5:$I$1004,ABSORCION!$C$5:$C$1004,F778,ABSORCION!$I$5:$I$1004,"&gt;0")))</f>
        <v/>
      </c>
      <c r="AE778" s="20" t="str">
        <f aca="false">IF(F778="","",IF(COUNTIFS(ABSORCION!$C$5:$C$1004,F778,ABSORCION!$I$5:$I$1004,"&gt;0")=0,"",AVERAGEIFS(ABSORCION!$K$5:$K$1004,ABSORCION!$C$5:$C$1004,F778,ABSORCION!$I$5:$I$1004,"&gt;0")))</f>
        <v/>
      </c>
      <c r="AF778" s="20" t="str">
        <f aca="false">IF(AE778="","",IF(AE778&gt;=CONFIG!$E$21,CONFIG!$F$21,IF(AE778&gt;=CONFIG!$E$20,CONFIG!$F$20,CONFIG!$F$19)))</f>
        <v/>
      </c>
      <c r="AG778" s="21" t="str">
        <f aca="false">IF(F778="","",TRIM(IF(N(M778)=0,"Sin ensayos. ","")&amp;IF(AND(N(M778)&gt;0,N(M778)&lt;CONFIG!$B$26),"Menos de "&amp;CONFIG!$B$26&amp;" probetas. ","")&amp;IF(N(T778)&gt;CONFIG!$B$25,"CV alto. ","")&amp;IF(AND(N(AD778)&gt;0,N(AD778)&gt;N(AF778)),"Absorción alta. ","")))</f>
        <v/>
      </c>
      <c r="AH778" s="22" t="str">
        <f aca="false">IF(AND(N(M778)&gt;0,OR(CONTROL!$C$4="TODAS",C778=CONTROL!$C$4),D778=CONTROL!$C$5),MAX($AH$4:AH777)+1,"")</f>
        <v/>
      </c>
      <c r="AI778" s="22" t="str">
        <f aca="false">IF(AH778="","",P778^2)</f>
        <v/>
      </c>
    </row>
    <row r="779" customFormat="false" ht="15" hidden="false" customHeight="false" outlineLevel="0" collapsed="false">
      <c r="A779" s="11" t="str">
        <f aca="false">IF(B779="","",ROW()-4)</f>
        <v/>
      </c>
      <c r="B779" s="12"/>
      <c r="C779" s="13"/>
      <c r="D779" s="13"/>
      <c r="E779" s="13"/>
      <c r="F779" s="14" t="str">
        <f aca="false">IF(OR(B779="",C779="",D779=""),"",IFERROR(INDEX(CONFIG!$E$5:$E$14,MATCH(D779,CONFIG!$D$5:$D$14,0)),"?")&amp;RIGHT("0"&amp;DAY(B779),2)&amp;RIGHT("0"&amp;MONTH(B779),2)&amp;RIGHT(YEAR(B779),2)&amp;C779&amp;IF(E779="","","-"&amp;E779))</f>
        <v/>
      </c>
      <c r="G779" s="13"/>
      <c r="H779" s="13"/>
      <c r="I779" s="13"/>
      <c r="J779" s="13"/>
      <c r="K779" s="13"/>
      <c r="L779" s="13"/>
      <c r="M779" s="11" t="str">
        <f aca="false">IF(F779="","",COUNTIFS(ENSAYOS!$C$5:$C$3004,F779,ENSAYOS!$Q$5:$Q$3004,"&gt;0"))</f>
        <v/>
      </c>
      <c r="N779" s="15" t="str">
        <f aca="false">IF(N(M779)=0,"",_xlfn.MINIFS(ENSAYOS!$G$5:$G$3004,ENSAYOS!$C$5:$C$3004,F779,ENSAYOS!$Q$5:$Q$3004,"&gt;0"))</f>
        <v/>
      </c>
      <c r="O779" s="15" t="str">
        <f aca="false">IF(N(M779)=0,"",_xlfn.MAXIFS(ENSAYOS!$G$5:$G$3004,ENSAYOS!$C$5:$C$3004,F779,ENSAYOS!$Q$5:$Q$3004,"&gt;0"))</f>
        <v/>
      </c>
      <c r="P779" s="16" t="str">
        <f aca="false">IF(N(M779)=0,"",AVERAGEIFS(ENSAYOS!$Q$5:$Q$3004,ENSAYOS!$C$5:$C$3004,F779,ENSAYOS!$Q$5:$Q$3004,"&gt;0"))</f>
        <v/>
      </c>
      <c r="Q779" s="16" t="str">
        <f aca="false">IF(N(M779)=0,"",_xlfn.MINIFS(ENSAYOS!$Q$5:$Q$3004,ENSAYOS!$C$5:$C$3004,F779,ENSAYOS!$Q$5:$Q$3004,"&gt;0"))</f>
        <v/>
      </c>
      <c r="R779" s="16" t="str">
        <f aca="false">IF(N(M779)=0,"",_xlfn.MAXIFS(ENSAYOS!$Q$5:$Q$3004,ENSAYOS!$C$5:$C$3004,F779,ENSAYOS!$Q$5:$Q$3004,"&gt;0"))</f>
        <v/>
      </c>
      <c r="S779" s="16" t="str">
        <f aca="false">IF(N(M779)&lt;2,"",SQRT(MAX(0,(SUMIFS(ENSAYOS!$X$5:$X$3004,ENSAYOS!$C$5:$C$3004,F779,ENSAYOS!$Q$5:$Q$3004,"&gt;0")-M779*P779^2)/(M779-1))))</f>
        <v/>
      </c>
      <c r="T779" s="17" t="str">
        <f aca="false">IF(S779="","",S779/P779)</f>
        <v/>
      </c>
      <c r="U779" s="16" t="str">
        <f aca="false">IF(N(M779)=0,"",IF(N779&gt;=CONFIG!$B$27,"",AVERAGEIFS(ENSAYOS!$Q$5:$Q$3004,ENSAYOS!$C$5:$C$3004,F779,ENSAYOS!$Q$5:$Q$3004,"&gt;0",ENSAYOS!$G$5:$G$3004,N779)))</f>
        <v/>
      </c>
      <c r="V779" s="16" t="str">
        <f aca="false">IF(N(M779)=0,"",IF(COUNTIFS(ENSAYOS!$C$5:$C$3004,F779,ENSAYOS!$Q$5:$Q$3004,"&gt;0",ENSAYOS!$G$5:$G$3004,"&gt;="&amp;CONFIG!$B$27)=0,"",AVERAGEIFS(ENSAYOS!$Q$5:$Q$3004,ENSAYOS!$C$5:$C$3004,F779,ENSAYOS!$Q$5:$Q$3004,"&gt;0",ENSAYOS!$G$5:$G$3004,"&gt;="&amp;CONFIG!$B$27)))</f>
        <v/>
      </c>
      <c r="W779" s="18" t="str">
        <f aca="false">IF(AND(U779&lt;&gt;"",V779&lt;&gt;""),U779/V779,"")</f>
        <v/>
      </c>
      <c r="X779" s="18" t="str">
        <f aca="false">IF(U779="","",INDEX('CURVA EDAD'!$E$5:$E$32,MIN(28,MAX(1,N779))))</f>
        <v/>
      </c>
      <c r="Y779" s="16" t="str">
        <f aca="false">IF(V779&lt;&gt;"",V779,IF(U779="","",U779/X779))</f>
        <v/>
      </c>
      <c r="Z779" s="16" t="str">
        <f aca="false">IF(V779&lt;&gt;"",_xlfn.MINIFS(ENSAYOS!$Q$5:$Q$3004,ENSAYOS!$C$5:$C$3004,F779,ENSAYOS!$Q$5:$Q$3004,"&gt;0",ENSAYOS!$G$5:$G$3004,"&gt;="&amp;CONFIG!$B$27),IF(U779="","",_xlfn.MINIFS(ENSAYOS!$Q$5:$Q$3004,ENSAYOS!$C$5:$C$3004,F779,ENSAYOS!$Q$5:$Q$3004,"&gt;0",ENSAYOS!$G$5:$G$3004,N779)/X779))</f>
        <v/>
      </c>
      <c r="AA779" s="16" t="str">
        <f aca="false">IF(D779="","",IFERROR(1/(1/INDEX(CONFIG!$J$5:$J$14,MATCH(D779,CONFIG!$D$5:$D$14,0))),""))</f>
        <v/>
      </c>
      <c r="AB779" s="16" t="str">
        <f aca="false">IF(D779="","",IFERROR(1/(1/INDEX(CONFIG!$K$5:$K$14,MATCH(D779,CONFIG!$D$5:$D$14,0))),""))</f>
        <v/>
      </c>
      <c r="AC779" s="19" t="str">
        <f aca="false">IF(N(M779)=0,"",IF(AA779="","Sin spec",IF(AND(Y779&gt;=AA779,OR(AB779="",Z779&gt;=AB779)),"CUMPLE","NO CUMPLE")&amp;IF(V779=""," (est.)","")))</f>
        <v/>
      </c>
      <c r="AD779" s="20" t="str">
        <f aca="false">IF(F779="","",IF(COUNTIFS(ABSORCION!$C$5:$C$1004,F779,ABSORCION!$I$5:$I$1004,"&gt;0")=0,"",AVERAGEIFS(ABSORCION!$I$5:$I$1004,ABSORCION!$C$5:$C$1004,F779,ABSORCION!$I$5:$I$1004,"&gt;0")))</f>
        <v/>
      </c>
      <c r="AE779" s="20" t="str">
        <f aca="false">IF(F779="","",IF(COUNTIFS(ABSORCION!$C$5:$C$1004,F779,ABSORCION!$I$5:$I$1004,"&gt;0")=0,"",AVERAGEIFS(ABSORCION!$K$5:$K$1004,ABSORCION!$C$5:$C$1004,F779,ABSORCION!$I$5:$I$1004,"&gt;0")))</f>
        <v/>
      </c>
      <c r="AF779" s="20" t="str">
        <f aca="false">IF(AE779="","",IF(AE779&gt;=CONFIG!$E$21,CONFIG!$F$21,IF(AE779&gt;=CONFIG!$E$20,CONFIG!$F$20,CONFIG!$F$19)))</f>
        <v/>
      </c>
      <c r="AG779" s="21" t="str">
        <f aca="false">IF(F779="","",TRIM(IF(N(M779)=0,"Sin ensayos. ","")&amp;IF(AND(N(M779)&gt;0,N(M779)&lt;CONFIG!$B$26),"Menos de "&amp;CONFIG!$B$26&amp;" probetas. ","")&amp;IF(N(T779)&gt;CONFIG!$B$25,"CV alto. ","")&amp;IF(AND(N(AD779)&gt;0,N(AD779)&gt;N(AF779)),"Absorción alta. ","")))</f>
        <v/>
      </c>
      <c r="AH779" s="22" t="str">
        <f aca="false">IF(AND(N(M779)&gt;0,OR(CONTROL!$C$4="TODAS",C779=CONTROL!$C$4),D779=CONTROL!$C$5),MAX($AH$4:AH778)+1,"")</f>
        <v/>
      </c>
      <c r="AI779" s="22" t="str">
        <f aca="false">IF(AH779="","",P779^2)</f>
        <v/>
      </c>
    </row>
    <row r="780" customFormat="false" ht="15" hidden="false" customHeight="false" outlineLevel="0" collapsed="false">
      <c r="A780" s="11" t="str">
        <f aca="false">IF(B780="","",ROW()-4)</f>
        <v/>
      </c>
      <c r="B780" s="12"/>
      <c r="C780" s="13"/>
      <c r="D780" s="13"/>
      <c r="E780" s="13"/>
      <c r="F780" s="14" t="str">
        <f aca="false">IF(OR(B780="",C780="",D780=""),"",IFERROR(INDEX(CONFIG!$E$5:$E$14,MATCH(D780,CONFIG!$D$5:$D$14,0)),"?")&amp;RIGHT("0"&amp;DAY(B780),2)&amp;RIGHT("0"&amp;MONTH(B780),2)&amp;RIGHT(YEAR(B780),2)&amp;C780&amp;IF(E780="","","-"&amp;E780))</f>
        <v/>
      </c>
      <c r="G780" s="13"/>
      <c r="H780" s="13"/>
      <c r="I780" s="13"/>
      <c r="J780" s="13"/>
      <c r="K780" s="13"/>
      <c r="L780" s="13"/>
      <c r="M780" s="11" t="str">
        <f aca="false">IF(F780="","",COUNTIFS(ENSAYOS!$C$5:$C$3004,F780,ENSAYOS!$Q$5:$Q$3004,"&gt;0"))</f>
        <v/>
      </c>
      <c r="N780" s="15" t="str">
        <f aca="false">IF(N(M780)=0,"",_xlfn.MINIFS(ENSAYOS!$G$5:$G$3004,ENSAYOS!$C$5:$C$3004,F780,ENSAYOS!$Q$5:$Q$3004,"&gt;0"))</f>
        <v/>
      </c>
      <c r="O780" s="15" t="str">
        <f aca="false">IF(N(M780)=0,"",_xlfn.MAXIFS(ENSAYOS!$G$5:$G$3004,ENSAYOS!$C$5:$C$3004,F780,ENSAYOS!$Q$5:$Q$3004,"&gt;0"))</f>
        <v/>
      </c>
      <c r="P780" s="16" t="str">
        <f aca="false">IF(N(M780)=0,"",AVERAGEIFS(ENSAYOS!$Q$5:$Q$3004,ENSAYOS!$C$5:$C$3004,F780,ENSAYOS!$Q$5:$Q$3004,"&gt;0"))</f>
        <v/>
      </c>
      <c r="Q780" s="16" t="str">
        <f aca="false">IF(N(M780)=0,"",_xlfn.MINIFS(ENSAYOS!$Q$5:$Q$3004,ENSAYOS!$C$5:$C$3004,F780,ENSAYOS!$Q$5:$Q$3004,"&gt;0"))</f>
        <v/>
      </c>
      <c r="R780" s="16" t="str">
        <f aca="false">IF(N(M780)=0,"",_xlfn.MAXIFS(ENSAYOS!$Q$5:$Q$3004,ENSAYOS!$C$5:$C$3004,F780,ENSAYOS!$Q$5:$Q$3004,"&gt;0"))</f>
        <v/>
      </c>
      <c r="S780" s="16" t="str">
        <f aca="false">IF(N(M780)&lt;2,"",SQRT(MAX(0,(SUMIFS(ENSAYOS!$X$5:$X$3004,ENSAYOS!$C$5:$C$3004,F780,ENSAYOS!$Q$5:$Q$3004,"&gt;0")-M780*P780^2)/(M780-1))))</f>
        <v/>
      </c>
      <c r="T780" s="17" t="str">
        <f aca="false">IF(S780="","",S780/P780)</f>
        <v/>
      </c>
      <c r="U780" s="16" t="str">
        <f aca="false">IF(N(M780)=0,"",IF(N780&gt;=CONFIG!$B$27,"",AVERAGEIFS(ENSAYOS!$Q$5:$Q$3004,ENSAYOS!$C$5:$C$3004,F780,ENSAYOS!$Q$5:$Q$3004,"&gt;0",ENSAYOS!$G$5:$G$3004,N780)))</f>
        <v/>
      </c>
      <c r="V780" s="16" t="str">
        <f aca="false">IF(N(M780)=0,"",IF(COUNTIFS(ENSAYOS!$C$5:$C$3004,F780,ENSAYOS!$Q$5:$Q$3004,"&gt;0",ENSAYOS!$G$5:$G$3004,"&gt;="&amp;CONFIG!$B$27)=0,"",AVERAGEIFS(ENSAYOS!$Q$5:$Q$3004,ENSAYOS!$C$5:$C$3004,F780,ENSAYOS!$Q$5:$Q$3004,"&gt;0",ENSAYOS!$G$5:$G$3004,"&gt;="&amp;CONFIG!$B$27)))</f>
        <v/>
      </c>
      <c r="W780" s="18" t="str">
        <f aca="false">IF(AND(U780&lt;&gt;"",V780&lt;&gt;""),U780/V780,"")</f>
        <v/>
      </c>
      <c r="X780" s="18" t="str">
        <f aca="false">IF(U780="","",INDEX('CURVA EDAD'!$E$5:$E$32,MIN(28,MAX(1,N780))))</f>
        <v/>
      </c>
      <c r="Y780" s="16" t="str">
        <f aca="false">IF(V780&lt;&gt;"",V780,IF(U780="","",U780/X780))</f>
        <v/>
      </c>
      <c r="Z780" s="16" t="str">
        <f aca="false">IF(V780&lt;&gt;"",_xlfn.MINIFS(ENSAYOS!$Q$5:$Q$3004,ENSAYOS!$C$5:$C$3004,F780,ENSAYOS!$Q$5:$Q$3004,"&gt;0",ENSAYOS!$G$5:$G$3004,"&gt;="&amp;CONFIG!$B$27),IF(U780="","",_xlfn.MINIFS(ENSAYOS!$Q$5:$Q$3004,ENSAYOS!$C$5:$C$3004,F780,ENSAYOS!$Q$5:$Q$3004,"&gt;0",ENSAYOS!$G$5:$G$3004,N780)/X780))</f>
        <v/>
      </c>
      <c r="AA780" s="16" t="str">
        <f aca="false">IF(D780="","",IFERROR(1/(1/INDEX(CONFIG!$J$5:$J$14,MATCH(D780,CONFIG!$D$5:$D$14,0))),""))</f>
        <v/>
      </c>
      <c r="AB780" s="16" t="str">
        <f aca="false">IF(D780="","",IFERROR(1/(1/INDEX(CONFIG!$K$5:$K$14,MATCH(D780,CONFIG!$D$5:$D$14,0))),""))</f>
        <v/>
      </c>
      <c r="AC780" s="19" t="str">
        <f aca="false">IF(N(M780)=0,"",IF(AA780="","Sin spec",IF(AND(Y780&gt;=AA780,OR(AB780="",Z780&gt;=AB780)),"CUMPLE","NO CUMPLE")&amp;IF(V780=""," (est.)","")))</f>
        <v/>
      </c>
      <c r="AD780" s="20" t="str">
        <f aca="false">IF(F780="","",IF(COUNTIFS(ABSORCION!$C$5:$C$1004,F780,ABSORCION!$I$5:$I$1004,"&gt;0")=0,"",AVERAGEIFS(ABSORCION!$I$5:$I$1004,ABSORCION!$C$5:$C$1004,F780,ABSORCION!$I$5:$I$1004,"&gt;0")))</f>
        <v/>
      </c>
      <c r="AE780" s="20" t="str">
        <f aca="false">IF(F780="","",IF(COUNTIFS(ABSORCION!$C$5:$C$1004,F780,ABSORCION!$I$5:$I$1004,"&gt;0")=0,"",AVERAGEIFS(ABSORCION!$K$5:$K$1004,ABSORCION!$C$5:$C$1004,F780,ABSORCION!$I$5:$I$1004,"&gt;0")))</f>
        <v/>
      </c>
      <c r="AF780" s="20" t="str">
        <f aca="false">IF(AE780="","",IF(AE780&gt;=CONFIG!$E$21,CONFIG!$F$21,IF(AE780&gt;=CONFIG!$E$20,CONFIG!$F$20,CONFIG!$F$19)))</f>
        <v/>
      </c>
      <c r="AG780" s="21" t="str">
        <f aca="false">IF(F780="","",TRIM(IF(N(M780)=0,"Sin ensayos. ","")&amp;IF(AND(N(M780)&gt;0,N(M780)&lt;CONFIG!$B$26),"Menos de "&amp;CONFIG!$B$26&amp;" probetas. ","")&amp;IF(N(T780)&gt;CONFIG!$B$25,"CV alto. ","")&amp;IF(AND(N(AD780)&gt;0,N(AD780)&gt;N(AF780)),"Absorción alta. ","")))</f>
        <v/>
      </c>
      <c r="AH780" s="22" t="str">
        <f aca="false">IF(AND(N(M780)&gt;0,OR(CONTROL!$C$4="TODAS",C780=CONTROL!$C$4),D780=CONTROL!$C$5),MAX($AH$4:AH779)+1,"")</f>
        <v/>
      </c>
      <c r="AI780" s="22" t="str">
        <f aca="false">IF(AH780="","",P780^2)</f>
        <v/>
      </c>
    </row>
    <row r="781" customFormat="false" ht="15" hidden="false" customHeight="false" outlineLevel="0" collapsed="false">
      <c r="A781" s="11" t="str">
        <f aca="false">IF(B781="","",ROW()-4)</f>
        <v/>
      </c>
      <c r="B781" s="12"/>
      <c r="C781" s="13"/>
      <c r="D781" s="13"/>
      <c r="E781" s="13"/>
      <c r="F781" s="14" t="str">
        <f aca="false">IF(OR(B781="",C781="",D781=""),"",IFERROR(INDEX(CONFIG!$E$5:$E$14,MATCH(D781,CONFIG!$D$5:$D$14,0)),"?")&amp;RIGHT("0"&amp;DAY(B781),2)&amp;RIGHT("0"&amp;MONTH(B781),2)&amp;RIGHT(YEAR(B781),2)&amp;C781&amp;IF(E781="","","-"&amp;E781))</f>
        <v/>
      </c>
      <c r="G781" s="13"/>
      <c r="H781" s="13"/>
      <c r="I781" s="13"/>
      <c r="J781" s="13"/>
      <c r="K781" s="13"/>
      <c r="L781" s="13"/>
      <c r="M781" s="11" t="str">
        <f aca="false">IF(F781="","",COUNTIFS(ENSAYOS!$C$5:$C$3004,F781,ENSAYOS!$Q$5:$Q$3004,"&gt;0"))</f>
        <v/>
      </c>
      <c r="N781" s="15" t="str">
        <f aca="false">IF(N(M781)=0,"",_xlfn.MINIFS(ENSAYOS!$G$5:$G$3004,ENSAYOS!$C$5:$C$3004,F781,ENSAYOS!$Q$5:$Q$3004,"&gt;0"))</f>
        <v/>
      </c>
      <c r="O781" s="15" t="str">
        <f aca="false">IF(N(M781)=0,"",_xlfn.MAXIFS(ENSAYOS!$G$5:$G$3004,ENSAYOS!$C$5:$C$3004,F781,ENSAYOS!$Q$5:$Q$3004,"&gt;0"))</f>
        <v/>
      </c>
      <c r="P781" s="16" t="str">
        <f aca="false">IF(N(M781)=0,"",AVERAGEIFS(ENSAYOS!$Q$5:$Q$3004,ENSAYOS!$C$5:$C$3004,F781,ENSAYOS!$Q$5:$Q$3004,"&gt;0"))</f>
        <v/>
      </c>
      <c r="Q781" s="16" t="str">
        <f aca="false">IF(N(M781)=0,"",_xlfn.MINIFS(ENSAYOS!$Q$5:$Q$3004,ENSAYOS!$C$5:$C$3004,F781,ENSAYOS!$Q$5:$Q$3004,"&gt;0"))</f>
        <v/>
      </c>
      <c r="R781" s="16" t="str">
        <f aca="false">IF(N(M781)=0,"",_xlfn.MAXIFS(ENSAYOS!$Q$5:$Q$3004,ENSAYOS!$C$5:$C$3004,F781,ENSAYOS!$Q$5:$Q$3004,"&gt;0"))</f>
        <v/>
      </c>
      <c r="S781" s="16" t="str">
        <f aca="false">IF(N(M781)&lt;2,"",SQRT(MAX(0,(SUMIFS(ENSAYOS!$X$5:$X$3004,ENSAYOS!$C$5:$C$3004,F781,ENSAYOS!$Q$5:$Q$3004,"&gt;0")-M781*P781^2)/(M781-1))))</f>
        <v/>
      </c>
      <c r="T781" s="17" t="str">
        <f aca="false">IF(S781="","",S781/P781)</f>
        <v/>
      </c>
      <c r="U781" s="16" t="str">
        <f aca="false">IF(N(M781)=0,"",IF(N781&gt;=CONFIG!$B$27,"",AVERAGEIFS(ENSAYOS!$Q$5:$Q$3004,ENSAYOS!$C$5:$C$3004,F781,ENSAYOS!$Q$5:$Q$3004,"&gt;0",ENSAYOS!$G$5:$G$3004,N781)))</f>
        <v/>
      </c>
      <c r="V781" s="16" t="str">
        <f aca="false">IF(N(M781)=0,"",IF(COUNTIFS(ENSAYOS!$C$5:$C$3004,F781,ENSAYOS!$Q$5:$Q$3004,"&gt;0",ENSAYOS!$G$5:$G$3004,"&gt;="&amp;CONFIG!$B$27)=0,"",AVERAGEIFS(ENSAYOS!$Q$5:$Q$3004,ENSAYOS!$C$5:$C$3004,F781,ENSAYOS!$Q$5:$Q$3004,"&gt;0",ENSAYOS!$G$5:$G$3004,"&gt;="&amp;CONFIG!$B$27)))</f>
        <v/>
      </c>
      <c r="W781" s="18" t="str">
        <f aca="false">IF(AND(U781&lt;&gt;"",V781&lt;&gt;""),U781/V781,"")</f>
        <v/>
      </c>
      <c r="X781" s="18" t="str">
        <f aca="false">IF(U781="","",INDEX('CURVA EDAD'!$E$5:$E$32,MIN(28,MAX(1,N781))))</f>
        <v/>
      </c>
      <c r="Y781" s="16" t="str">
        <f aca="false">IF(V781&lt;&gt;"",V781,IF(U781="","",U781/X781))</f>
        <v/>
      </c>
      <c r="Z781" s="16" t="str">
        <f aca="false">IF(V781&lt;&gt;"",_xlfn.MINIFS(ENSAYOS!$Q$5:$Q$3004,ENSAYOS!$C$5:$C$3004,F781,ENSAYOS!$Q$5:$Q$3004,"&gt;0",ENSAYOS!$G$5:$G$3004,"&gt;="&amp;CONFIG!$B$27),IF(U781="","",_xlfn.MINIFS(ENSAYOS!$Q$5:$Q$3004,ENSAYOS!$C$5:$C$3004,F781,ENSAYOS!$Q$5:$Q$3004,"&gt;0",ENSAYOS!$G$5:$G$3004,N781)/X781))</f>
        <v/>
      </c>
      <c r="AA781" s="16" t="str">
        <f aca="false">IF(D781="","",IFERROR(1/(1/INDEX(CONFIG!$J$5:$J$14,MATCH(D781,CONFIG!$D$5:$D$14,0))),""))</f>
        <v/>
      </c>
      <c r="AB781" s="16" t="str">
        <f aca="false">IF(D781="","",IFERROR(1/(1/INDEX(CONFIG!$K$5:$K$14,MATCH(D781,CONFIG!$D$5:$D$14,0))),""))</f>
        <v/>
      </c>
      <c r="AC781" s="19" t="str">
        <f aca="false">IF(N(M781)=0,"",IF(AA781="","Sin spec",IF(AND(Y781&gt;=AA781,OR(AB781="",Z781&gt;=AB781)),"CUMPLE","NO CUMPLE")&amp;IF(V781=""," (est.)","")))</f>
        <v/>
      </c>
      <c r="AD781" s="20" t="str">
        <f aca="false">IF(F781="","",IF(COUNTIFS(ABSORCION!$C$5:$C$1004,F781,ABSORCION!$I$5:$I$1004,"&gt;0")=0,"",AVERAGEIFS(ABSORCION!$I$5:$I$1004,ABSORCION!$C$5:$C$1004,F781,ABSORCION!$I$5:$I$1004,"&gt;0")))</f>
        <v/>
      </c>
      <c r="AE781" s="20" t="str">
        <f aca="false">IF(F781="","",IF(COUNTIFS(ABSORCION!$C$5:$C$1004,F781,ABSORCION!$I$5:$I$1004,"&gt;0")=0,"",AVERAGEIFS(ABSORCION!$K$5:$K$1004,ABSORCION!$C$5:$C$1004,F781,ABSORCION!$I$5:$I$1004,"&gt;0")))</f>
        <v/>
      </c>
      <c r="AF781" s="20" t="str">
        <f aca="false">IF(AE781="","",IF(AE781&gt;=CONFIG!$E$21,CONFIG!$F$21,IF(AE781&gt;=CONFIG!$E$20,CONFIG!$F$20,CONFIG!$F$19)))</f>
        <v/>
      </c>
      <c r="AG781" s="21" t="str">
        <f aca="false">IF(F781="","",TRIM(IF(N(M781)=0,"Sin ensayos. ","")&amp;IF(AND(N(M781)&gt;0,N(M781)&lt;CONFIG!$B$26),"Menos de "&amp;CONFIG!$B$26&amp;" probetas. ","")&amp;IF(N(T781)&gt;CONFIG!$B$25,"CV alto. ","")&amp;IF(AND(N(AD781)&gt;0,N(AD781)&gt;N(AF781)),"Absorción alta. ","")))</f>
        <v/>
      </c>
      <c r="AH781" s="22" t="str">
        <f aca="false">IF(AND(N(M781)&gt;0,OR(CONTROL!$C$4="TODAS",C781=CONTROL!$C$4),D781=CONTROL!$C$5),MAX($AH$4:AH780)+1,"")</f>
        <v/>
      </c>
      <c r="AI781" s="22" t="str">
        <f aca="false">IF(AH781="","",P781^2)</f>
        <v/>
      </c>
    </row>
    <row r="782" customFormat="false" ht="15" hidden="false" customHeight="false" outlineLevel="0" collapsed="false">
      <c r="A782" s="11" t="str">
        <f aca="false">IF(B782="","",ROW()-4)</f>
        <v/>
      </c>
      <c r="B782" s="12"/>
      <c r="C782" s="13"/>
      <c r="D782" s="13"/>
      <c r="E782" s="13"/>
      <c r="F782" s="14" t="str">
        <f aca="false">IF(OR(B782="",C782="",D782=""),"",IFERROR(INDEX(CONFIG!$E$5:$E$14,MATCH(D782,CONFIG!$D$5:$D$14,0)),"?")&amp;RIGHT("0"&amp;DAY(B782),2)&amp;RIGHT("0"&amp;MONTH(B782),2)&amp;RIGHT(YEAR(B782),2)&amp;C782&amp;IF(E782="","","-"&amp;E782))</f>
        <v/>
      </c>
      <c r="G782" s="13"/>
      <c r="H782" s="13"/>
      <c r="I782" s="13"/>
      <c r="J782" s="13"/>
      <c r="K782" s="13"/>
      <c r="L782" s="13"/>
      <c r="M782" s="11" t="str">
        <f aca="false">IF(F782="","",COUNTIFS(ENSAYOS!$C$5:$C$3004,F782,ENSAYOS!$Q$5:$Q$3004,"&gt;0"))</f>
        <v/>
      </c>
      <c r="N782" s="15" t="str">
        <f aca="false">IF(N(M782)=0,"",_xlfn.MINIFS(ENSAYOS!$G$5:$G$3004,ENSAYOS!$C$5:$C$3004,F782,ENSAYOS!$Q$5:$Q$3004,"&gt;0"))</f>
        <v/>
      </c>
      <c r="O782" s="15" t="str">
        <f aca="false">IF(N(M782)=0,"",_xlfn.MAXIFS(ENSAYOS!$G$5:$G$3004,ENSAYOS!$C$5:$C$3004,F782,ENSAYOS!$Q$5:$Q$3004,"&gt;0"))</f>
        <v/>
      </c>
      <c r="P782" s="16" t="str">
        <f aca="false">IF(N(M782)=0,"",AVERAGEIFS(ENSAYOS!$Q$5:$Q$3004,ENSAYOS!$C$5:$C$3004,F782,ENSAYOS!$Q$5:$Q$3004,"&gt;0"))</f>
        <v/>
      </c>
      <c r="Q782" s="16" t="str">
        <f aca="false">IF(N(M782)=0,"",_xlfn.MINIFS(ENSAYOS!$Q$5:$Q$3004,ENSAYOS!$C$5:$C$3004,F782,ENSAYOS!$Q$5:$Q$3004,"&gt;0"))</f>
        <v/>
      </c>
      <c r="R782" s="16" t="str">
        <f aca="false">IF(N(M782)=0,"",_xlfn.MAXIFS(ENSAYOS!$Q$5:$Q$3004,ENSAYOS!$C$5:$C$3004,F782,ENSAYOS!$Q$5:$Q$3004,"&gt;0"))</f>
        <v/>
      </c>
      <c r="S782" s="16" t="str">
        <f aca="false">IF(N(M782)&lt;2,"",SQRT(MAX(0,(SUMIFS(ENSAYOS!$X$5:$X$3004,ENSAYOS!$C$5:$C$3004,F782,ENSAYOS!$Q$5:$Q$3004,"&gt;0")-M782*P782^2)/(M782-1))))</f>
        <v/>
      </c>
      <c r="T782" s="17" t="str">
        <f aca="false">IF(S782="","",S782/P782)</f>
        <v/>
      </c>
      <c r="U782" s="16" t="str">
        <f aca="false">IF(N(M782)=0,"",IF(N782&gt;=CONFIG!$B$27,"",AVERAGEIFS(ENSAYOS!$Q$5:$Q$3004,ENSAYOS!$C$5:$C$3004,F782,ENSAYOS!$Q$5:$Q$3004,"&gt;0",ENSAYOS!$G$5:$G$3004,N782)))</f>
        <v/>
      </c>
      <c r="V782" s="16" t="str">
        <f aca="false">IF(N(M782)=0,"",IF(COUNTIFS(ENSAYOS!$C$5:$C$3004,F782,ENSAYOS!$Q$5:$Q$3004,"&gt;0",ENSAYOS!$G$5:$G$3004,"&gt;="&amp;CONFIG!$B$27)=0,"",AVERAGEIFS(ENSAYOS!$Q$5:$Q$3004,ENSAYOS!$C$5:$C$3004,F782,ENSAYOS!$Q$5:$Q$3004,"&gt;0",ENSAYOS!$G$5:$G$3004,"&gt;="&amp;CONFIG!$B$27)))</f>
        <v/>
      </c>
      <c r="W782" s="18" t="str">
        <f aca="false">IF(AND(U782&lt;&gt;"",V782&lt;&gt;""),U782/V782,"")</f>
        <v/>
      </c>
      <c r="X782" s="18" t="str">
        <f aca="false">IF(U782="","",INDEX('CURVA EDAD'!$E$5:$E$32,MIN(28,MAX(1,N782))))</f>
        <v/>
      </c>
      <c r="Y782" s="16" t="str">
        <f aca="false">IF(V782&lt;&gt;"",V782,IF(U782="","",U782/X782))</f>
        <v/>
      </c>
      <c r="Z782" s="16" t="str">
        <f aca="false">IF(V782&lt;&gt;"",_xlfn.MINIFS(ENSAYOS!$Q$5:$Q$3004,ENSAYOS!$C$5:$C$3004,F782,ENSAYOS!$Q$5:$Q$3004,"&gt;0",ENSAYOS!$G$5:$G$3004,"&gt;="&amp;CONFIG!$B$27),IF(U782="","",_xlfn.MINIFS(ENSAYOS!$Q$5:$Q$3004,ENSAYOS!$C$5:$C$3004,F782,ENSAYOS!$Q$5:$Q$3004,"&gt;0",ENSAYOS!$G$5:$G$3004,N782)/X782))</f>
        <v/>
      </c>
      <c r="AA782" s="16" t="str">
        <f aca="false">IF(D782="","",IFERROR(1/(1/INDEX(CONFIG!$J$5:$J$14,MATCH(D782,CONFIG!$D$5:$D$14,0))),""))</f>
        <v/>
      </c>
      <c r="AB782" s="16" t="str">
        <f aca="false">IF(D782="","",IFERROR(1/(1/INDEX(CONFIG!$K$5:$K$14,MATCH(D782,CONFIG!$D$5:$D$14,0))),""))</f>
        <v/>
      </c>
      <c r="AC782" s="19" t="str">
        <f aca="false">IF(N(M782)=0,"",IF(AA782="","Sin spec",IF(AND(Y782&gt;=AA782,OR(AB782="",Z782&gt;=AB782)),"CUMPLE","NO CUMPLE")&amp;IF(V782=""," (est.)","")))</f>
        <v/>
      </c>
      <c r="AD782" s="20" t="str">
        <f aca="false">IF(F782="","",IF(COUNTIFS(ABSORCION!$C$5:$C$1004,F782,ABSORCION!$I$5:$I$1004,"&gt;0")=0,"",AVERAGEIFS(ABSORCION!$I$5:$I$1004,ABSORCION!$C$5:$C$1004,F782,ABSORCION!$I$5:$I$1004,"&gt;0")))</f>
        <v/>
      </c>
      <c r="AE782" s="20" t="str">
        <f aca="false">IF(F782="","",IF(COUNTIFS(ABSORCION!$C$5:$C$1004,F782,ABSORCION!$I$5:$I$1004,"&gt;0")=0,"",AVERAGEIFS(ABSORCION!$K$5:$K$1004,ABSORCION!$C$5:$C$1004,F782,ABSORCION!$I$5:$I$1004,"&gt;0")))</f>
        <v/>
      </c>
      <c r="AF782" s="20" t="str">
        <f aca="false">IF(AE782="","",IF(AE782&gt;=CONFIG!$E$21,CONFIG!$F$21,IF(AE782&gt;=CONFIG!$E$20,CONFIG!$F$20,CONFIG!$F$19)))</f>
        <v/>
      </c>
      <c r="AG782" s="21" t="str">
        <f aca="false">IF(F782="","",TRIM(IF(N(M782)=0,"Sin ensayos. ","")&amp;IF(AND(N(M782)&gt;0,N(M782)&lt;CONFIG!$B$26),"Menos de "&amp;CONFIG!$B$26&amp;" probetas. ","")&amp;IF(N(T782)&gt;CONFIG!$B$25,"CV alto. ","")&amp;IF(AND(N(AD782)&gt;0,N(AD782)&gt;N(AF782)),"Absorción alta. ","")))</f>
        <v/>
      </c>
      <c r="AH782" s="22" t="str">
        <f aca="false">IF(AND(N(M782)&gt;0,OR(CONTROL!$C$4="TODAS",C782=CONTROL!$C$4),D782=CONTROL!$C$5),MAX($AH$4:AH781)+1,"")</f>
        <v/>
      </c>
      <c r="AI782" s="22" t="str">
        <f aca="false">IF(AH782="","",P782^2)</f>
        <v/>
      </c>
    </row>
    <row r="783" customFormat="false" ht="15" hidden="false" customHeight="false" outlineLevel="0" collapsed="false">
      <c r="A783" s="11" t="str">
        <f aca="false">IF(B783="","",ROW()-4)</f>
        <v/>
      </c>
      <c r="B783" s="12"/>
      <c r="C783" s="13"/>
      <c r="D783" s="13"/>
      <c r="E783" s="13"/>
      <c r="F783" s="14" t="str">
        <f aca="false">IF(OR(B783="",C783="",D783=""),"",IFERROR(INDEX(CONFIG!$E$5:$E$14,MATCH(D783,CONFIG!$D$5:$D$14,0)),"?")&amp;RIGHT("0"&amp;DAY(B783),2)&amp;RIGHT("0"&amp;MONTH(B783),2)&amp;RIGHT(YEAR(B783),2)&amp;C783&amp;IF(E783="","","-"&amp;E783))</f>
        <v/>
      </c>
      <c r="G783" s="13"/>
      <c r="H783" s="13"/>
      <c r="I783" s="13"/>
      <c r="J783" s="13"/>
      <c r="K783" s="13"/>
      <c r="L783" s="13"/>
      <c r="M783" s="11" t="str">
        <f aca="false">IF(F783="","",COUNTIFS(ENSAYOS!$C$5:$C$3004,F783,ENSAYOS!$Q$5:$Q$3004,"&gt;0"))</f>
        <v/>
      </c>
      <c r="N783" s="15" t="str">
        <f aca="false">IF(N(M783)=0,"",_xlfn.MINIFS(ENSAYOS!$G$5:$G$3004,ENSAYOS!$C$5:$C$3004,F783,ENSAYOS!$Q$5:$Q$3004,"&gt;0"))</f>
        <v/>
      </c>
      <c r="O783" s="15" t="str">
        <f aca="false">IF(N(M783)=0,"",_xlfn.MAXIFS(ENSAYOS!$G$5:$G$3004,ENSAYOS!$C$5:$C$3004,F783,ENSAYOS!$Q$5:$Q$3004,"&gt;0"))</f>
        <v/>
      </c>
      <c r="P783" s="16" t="str">
        <f aca="false">IF(N(M783)=0,"",AVERAGEIFS(ENSAYOS!$Q$5:$Q$3004,ENSAYOS!$C$5:$C$3004,F783,ENSAYOS!$Q$5:$Q$3004,"&gt;0"))</f>
        <v/>
      </c>
      <c r="Q783" s="16" t="str">
        <f aca="false">IF(N(M783)=0,"",_xlfn.MINIFS(ENSAYOS!$Q$5:$Q$3004,ENSAYOS!$C$5:$C$3004,F783,ENSAYOS!$Q$5:$Q$3004,"&gt;0"))</f>
        <v/>
      </c>
      <c r="R783" s="16" t="str">
        <f aca="false">IF(N(M783)=0,"",_xlfn.MAXIFS(ENSAYOS!$Q$5:$Q$3004,ENSAYOS!$C$5:$C$3004,F783,ENSAYOS!$Q$5:$Q$3004,"&gt;0"))</f>
        <v/>
      </c>
      <c r="S783" s="16" t="str">
        <f aca="false">IF(N(M783)&lt;2,"",SQRT(MAX(0,(SUMIFS(ENSAYOS!$X$5:$X$3004,ENSAYOS!$C$5:$C$3004,F783,ENSAYOS!$Q$5:$Q$3004,"&gt;0")-M783*P783^2)/(M783-1))))</f>
        <v/>
      </c>
      <c r="T783" s="17" t="str">
        <f aca="false">IF(S783="","",S783/P783)</f>
        <v/>
      </c>
      <c r="U783" s="16" t="str">
        <f aca="false">IF(N(M783)=0,"",IF(N783&gt;=CONFIG!$B$27,"",AVERAGEIFS(ENSAYOS!$Q$5:$Q$3004,ENSAYOS!$C$5:$C$3004,F783,ENSAYOS!$Q$5:$Q$3004,"&gt;0",ENSAYOS!$G$5:$G$3004,N783)))</f>
        <v/>
      </c>
      <c r="V783" s="16" t="str">
        <f aca="false">IF(N(M783)=0,"",IF(COUNTIFS(ENSAYOS!$C$5:$C$3004,F783,ENSAYOS!$Q$5:$Q$3004,"&gt;0",ENSAYOS!$G$5:$G$3004,"&gt;="&amp;CONFIG!$B$27)=0,"",AVERAGEIFS(ENSAYOS!$Q$5:$Q$3004,ENSAYOS!$C$5:$C$3004,F783,ENSAYOS!$Q$5:$Q$3004,"&gt;0",ENSAYOS!$G$5:$G$3004,"&gt;="&amp;CONFIG!$B$27)))</f>
        <v/>
      </c>
      <c r="W783" s="18" t="str">
        <f aca="false">IF(AND(U783&lt;&gt;"",V783&lt;&gt;""),U783/V783,"")</f>
        <v/>
      </c>
      <c r="X783" s="18" t="str">
        <f aca="false">IF(U783="","",INDEX('CURVA EDAD'!$E$5:$E$32,MIN(28,MAX(1,N783))))</f>
        <v/>
      </c>
      <c r="Y783" s="16" t="str">
        <f aca="false">IF(V783&lt;&gt;"",V783,IF(U783="","",U783/X783))</f>
        <v/>
      </c>
      <c r="Z783" s="16" t="str">
        <f aca="false">IF(V783&lt;&gt;"",_xlfn.MINIFS(ENSAYOS!$Q$5:$Q$3004,ENSAYOS!$C$5:$C$3004,F783,ENSAYOS!$Q$5:$Q$3004,"&gt;0",ENSAYOS!$G$5:$G$3004,"&gt;="&amp;CONFIG!$B$27),IF(U783="","",_xlfn.MINIFS(ENSAYOS!$Q$5:$Q$3004,ENSAYOS!$C$5:$C$3004,F783,ENSAYOS!$Q$5:$Q$3004,"&gt;0",ENSAYOS!$G$5:$G$3004,N783)/X783))</f>
        <v/>
      </c>
      <c r="AA783" s="16" t="str">
        <f aca="false">IF(D783="","",IFERROR(1/(1/INDEX(CONFIG!$J$5:$J$14,MATCH(D783,CONFIG!$D$5:$D$14,0))),""))</f>
        <v/>
      </c>
      <c r="AB783" s="16" t="str">
        <f aca="false">IF(D783="","",IFERROR(1/(1/INDEX(CONFIG!$K$5:$K$14,MATCH(D783,CONFIG!$D$5:$D$14,0))),""))</f>
        <v/>
      </c>
      <c r="AC783" s="19" t="str">
        <f aca="false">IF(N(M783)=0,"",IF(AA783="","Sin spec",IF(AND(Y783&gt;=AA783,OR(AB783="",Z783&gt;=AB783)),"CUMPLE","NO CUMPLE")&amp;IF(V783=""," (est.)","")))</f>
        <v/>
      </c>
      <c r="AD783" s="20" t="str">
        <f aca="false">IF(F783="","",IF(COUNTIFS(ABSORCION!$C$5:$C$1004,F783,ABSORCION!$I$5:$I$1004,"&gt;0")=0,"",AVERAGEIFS(ABSORCION!$I$5:$I$1004,ABSORCION!$C$5:$C$1004,F783,ABSORCION!$I$5:$I$1004,"&gt;0")))</f>
        <v/>
      </c>
      <c r="AE783" s="20" t="str">
        <f aca="false">IF(F783="","",IF(COUNTIFS(ABSORCION!$C$5:$C$1004,F783,ABSORCION!$I$5:$I$1004,"&gt;0")=0,"",AVERAGEIFS(ABSORCION!$K$5:$K$1004,ABSORCION!$C$5:$C$1004,F783,ABSORCION!$I$5:$I$1004,"&gt;0")))</f>
        <v/>
      </c>
      <c r="AF783" s="20" t="str">
        <f aca="false">IF(AE783="","",IF(AE783&gt;=CONFIG!$E$21,CONFIG!$F$21,IF(AE783&gt;=CONFIG!$E$20,CONFIG!$F$20,CONFIG!$F$19)))</f>
        <v/>
      </c>
      <c r="AG783" s="21" t="str">
        <f aca="false">IF(F783="","",TRIM(IF(N(M783)=0,"Sin ensayos. ","")&amp;IF(AND(N(M783)&gt;0,N(M783)&lt;CONFIG!$B$26),"Menos de "&amp;CONFIG!$B$26&amp;" probetas. ","")&amp;IF(N(T783)&gt;CONFIG!$B$25,"CV alto. ","")&amp;IF(AND(N(AD783)&gt;0,N(AD783)&gt;N(AF783)),"Absorción alta. ","")))</f>
        <v/>
      </c>
      <c r="AH783" s="22" t="str">
        <f aca="false">IF(AND(N(M783)&gt;0,OR(CONTROL!$C$4="TODAS",C783=CONTROL!$C$4),D783=CONTROL!$C$5),MAX($AH$4:AH782)+1,"")</f>
        <v/>
      </c>
      <c r="AI783" s="22" t="str">
        <f aca="false">IF(AH783="","",P783^2)</f>
        <v/>
      </c>
    </row>
    <row r="784" customFormat="false" ht="15" hidden="false" customHeight="false" outlineLevel="0" collapsed="false">
      <c r="A784" s="11" t="str">
        <f aca="false">IF(B784="","",ROW()-4)</f>
        <v/>
      </c>
      <c r="B784" s="12"/>
      <c r="C784" s="13"/>
      <c r="D784" s="13"/>
      <c r="E784" s="13"/>
      <c r="F784" s="14" t="str">
        <f aca="false">IF(OR(B784="",C784="",D784=""),"",IFERROR(INDEX(CONFIG!$E$5:$E$14,MATCH(D784,CONFIG!$D$5:$D$14,0)),"?")&amp;RIGHT("0"&amp;DAY(B784),2)&amp;RIGHT("0"&amp;MONTH(B784),2)&amp;RIGHT(YEAR(B784),2)&amp;C784&amp;IF(E784="","","-"&amp;E784))</f>
        <v/>
      </c>
      <c r="G784" s="13"/>
      <c r="H784" s="13"/>
      <c r="I784" s="13"/>
      <c r="J784" s="13"/>
      <c r="K784" s="13"/>
      <c r="L784" s="13"/>
      <c r="M784" s="11" t="str">
        <f aca="false">IF(F784="","",COUNTIFS(ENSAYOS!$C$5:$C$3004,F784,ENSAYOS!$Q$5:$Q$3004,"&gt;0"))</f>
        <v/>
      </c>
      <c r="N784" s="15" t="str">
        <f aca="false">IF(N(M784)=0,"",_xlfn.MINIFS(ENSAYOS!$G$5:$G$3004,ENSAYOS!$C$5:$C$3004,F784,ENSAYOS!$Q$5:$Q$3004,"&gt;0"))</f>
        <v/>
      </c>
      <c r="O784" s="15" t="str">
        <f aca="false">IF(N(M784)=0,"",_xlfn.MAXIFS(ENSAYOS!$G$5:$G$3004,ENSAYOS!$C$5:$C$3004,F784,ENSAYOS!$Q$5:$Q$3004,"&gt;0"))</f>
        <v/>
      </c>
      <c r="P784" s="16" t="str">
        <f aca="false">IF(N(M784)=0,"",AVERAGEIFS(ENSAYOS!$Q$5:$Q$3004,ENSAYOS!$C$5:$C$3004,F784,ENSAYOS!$Q$5:$Q$3004,"&gt;0"))</f>
        <v/>
      </c>
      <c r="Q784" s="16" t="str">
        <f aca="false">IF(N(M784)=0,"",_xlfn.MINIFS(ENSAYOS!$Q$5:$Q$3004,ENSAYOS!$C$5:$C$3004,F784,ENSAYOS!$Q$5:$Q$3004,"&gt;0"))</f>
        <v/>
      </c>
      <c r="R784" s="16" t="str">
        <f aca="false">IF(N(M784)=0,"",_xlfn.MAXIFS(ENSAYOS!$Q$5:$Q$3004,ENSAYOS!$C$5:$C$3004,F784,ENSAYOS!$Q$5:$Q$3004,"&gt;0"))</f>
        <v/>
      </c>
      <c r="S784" s="16" t="str">
        <f aca="false">IF(N(M784)&lt;2,"",SQRT(MAX(0,(SUMIFS(ENSAYOS!$X$5:$X$3004,ENSAYOS!$C$5:$C$3004,F784,ENSAYOS!$Q$5:$Q$3004,"&gt;0")-M784*P784^2)/(M784-1))))</f>
        <v/>
      </c>
      <c r="T784" s="17" t="str">
        <f aca="false">IF(S784="","",S784/P784)</f>
        <v/>
      </c>
      <c r="U784" s="16" t="str">
        <f aca="false">IF(N(M784)=0,"",IF(N784&gt;=CONFIG!$B$27,"",AVERAGEIFS(ENSAYOS!$Q$5:$Q$3004,ENSAYOS!$C$5:$C$3004,F784,ENSAYOS!$Q$5:$Q$3004,"&gt;0",ENSAYOS!$G$5:$G$3004,N784)))</f>
        <v/>
      </c>
      <c r="V784" s="16" t="str">
        <f aca="false">IF(N(M784)=0,"",IF(COUNTIFS(ENSAYOS!$C$5:$C$3004,F784,ENSAYOS!$Q$5:$Q$3004,"&gt;0",ENSAYOS!$G$5:$G$3004,"&gt;="&amp;CONFIG!$B$27)=0,"",AVERAGEIFS(ENSAYOS!$Q$5:$Q$3004,ENSAYOS!$C$5:$C$3004,F784,ENSAYOS!$Q$5:$Q$3004,"&gt;0",ENSAYOS!$G$5:$G$3004,"&gt;="&amp;CONFIG!$B$27)))</f>
        <v/>
      </c>
      <c r="W784" s="18" t="str">
        <f aca="false">IF(AND(U784&lt;&gt;"",V784&lt;&gt;""),U784/V784,"")</f>
        <v/>
      </c>
      <c r="X784" s="18" t="str">
        <f aca="false">IF(U784="","",INDEX('CURVA EDAD'!$E$5:$E$32,MIN(28,MAX(1,N784))))</f>
        <v/>
      </c>
      <c r="Y784" s="16" t="str">
        <f aca="false">IF(V784&lt;&gt;"",V784,IF(U784="","",U784/X784))</f>
        <v/>
      </c>
      <c r="Z784" s="16" t="str">
        <f aca="false">IF(V784&lt;&gt;"",_xlfn.MINIFS(ENSAYOS!$Q$5:$Q$3004,ENSAYOS!$C$5:$C$3004,F784,ENSAYOS!$Q$5:$Q$3004,"&gt;0",ENSAYOS!$G$5:$G$3004,"&gt;="&amp;CONFIG!$B$27),IF(U784="","",_xlfn.MINIFS(ENSAYOS!$Q$5:$Q$3004,ENSAYOS!$C$5:$C$3004,F784,ENSAYOS!$Q$5:$Q$3004,"&gt;0",ENSAYOS!$G$5:$G$3004,N784)/X784))</f>
        <v/>
      </c>
      <c r="AA784" s="16" t="str">
        <f aca="false">IF(D784="","",IFERROR(1/(1/INDEX(CONFIG!$J$5:$J$14,MATCH(D784,CONFIG!$D$5:$D$14,0))),""))</f>
        <v/>
      </c>
      <c r="AB784" s="16" t="str">
        <f aca="false">IF(D784="","",IFERROR(1/(1/INDEX(CONFIG!$K$5:$K$14,MATCH(D784,CONFIG!$D$5:$D$14,0))),""))</f>
        <v/>
      </c>
      <c r="AC784" s="19" t="str">
        <f aca="false">IF(N(M784)=0,"",IF(AA784="","Sin spec",IF(AND(Y784&gt;=AA784,OR(AB784="",Z784&gt;=AB784)),"CUMPLE","NO CUMPLE")&amp;IF(V784=""," (est.)","")))</f>
        <v/>
      </c>
      <c r="AD784" s="20" t="str">
        <f aca="false">IF(F784="","",IF(COUNTIFS(ABSORCION!$C$5:$C$1004,F784,ABSORCION!$I$5:$I$1004,"&gt;0")=0,"",AVERAGEIFS(ABSORCION!$I$5:$I$1004,ABSORCION!$C$5:$C$1004,F784,ABSORCION!$I$5:$I$1004,"&gt;0")))</f>
        <v/>
      </c>
      <c r="AE784" s="20" t="str">
        <f aca="false">IF(F784="","",IF(COUNTIFS(ABSORCION!$C$5:$C$1004,F784,ABSORCION!$I$5:$I$1004,"&gt;0")=0,"",AVERAGEIFS(ABSORCION!$K$5:$K$1004,ABSORCION!$C$5:$C$1004,F784,ABSORCION!$I$5:$I$1004,"&gt;0")))</f>
        <v/>
      </c>
      <c r="AF784" s="20" t="str">
        <f aca="false">IF(AE784="","",IF(AE784&gt;=CONFIG!$E$21,CONFIG!$F$21,IF(AE784&gt;=CONFIG!$E$20,CONFIG!$F$20,CONFIG!$F$19)))</f>
        <v/>
      </c>
      <c r="AG784" s="21" t="str">
        <f aca="false">IF(F784="","",TRIM(IF(N(M784)=0,"Sin ensayos. ","")&amp;IF(AND(N(M784)&gt;0,N(M784)&lt;CONFIG!$B$26),"Menos de "&amp;CONFIG!$B$26&amp;" probetas. ","")&amp;IF(N(T784)&gt;CONFIG!$B$25,"CV alto. ","")&amp;IF(AND(N(AD784)&gt;0,N(AD784)&gt;N(AF784)),"Absorción alta. ","")))</f>
        <v/>
      </c>
      <c r="AH784" s="22" t="str">
        <f aca="false">IF(AND(N(M784)&gt;0,OR(CONTROL!$C$4="TODAS",C784=CONTROL!$C$4),D784=CONTROL!$C$5),MAX($AH$4:AH783)+1,"")</f>
        <v/>
      </c>
      <c r="AI784" s="22" t="str">
        <f aca="false">IF(AH784="","",P784^2)</f>
        <v/>
      </c>
    </row>
    <row r="785" customFormat="false" ht="15" hidden="false" customHeight="false" outlineLevel="0" collapsed="false">
      <c r="A785" s="11" t="str">
        <f aca="false">IF(B785="","",ROW()-4)</f>
        <v/>
      </c>
      <c r="B785" s="12"/>
      <c r="C785" s="13"/>
      <c r="D785" s="13"/>
      <c r="E785" s="13"/>
      <c r="F785" s="14" t="str">
        <f aca="false">IF(OR(B785="",C785="",D785=""),"",IFERROR(INDEX(CONFIG!$E$5:$E$14,MATCH(D785,CONFIG!$D$5:$D$14,0)),"?")&amp;RIGHT("0"&amp;DAY(B785),2)&amp;RIGHT("0"&amp;MONTH(B785),2)&amp;RIGHT(YEAR(B785),2)&amp;C785&amp;IF(E785="","","-"&amp;E785))</f>
        <v/>
      </c>
      <c r="G785" s="13"/>
      <c r="H785" s="13"/>
      <c r="I785" s="13"/>
      <c r="J785" s="13"/>
      <c r="K785" s="13"/>
      <c r="L785" s="13"/>
      <c r="M785" s="11" t="str">
        <f aca="false">IF(F785="","",COUNTIFS(ENSAYOS!$C$5:$C$3004,F785,ENSAYOS!$Q$5:$Q$3004,"&gt;0"))</f>
        <v/>
      </c>
      <c r="N785" s="15" t="str">
        <f aca="false">IF(N(M785)=0,"",_xlfn.MINIFS(ENSAYOS!$G$5:$G$3004,ENSAYOS!$C$5:$C$3004,F785,ENSAYOS!$Q$5:$Q$3004,"&gt;0"))</f>
        <v/>
      </c>
      <c r="O785" s="15" t="str">
        <f aca="false">IF(N(M785)=0,"",_xlfn.MAXIFS(ENSAYOS!$G$5:$G$3004,ENSAYOS!$C$5:$C$3004,F785,ENSAYOS!$Q$5:$Q$3004,"&gt;0"))</f>
        <v/>
      </c>
      <c r="P785" s="16" t="str">
        <f aca="false">IF(N(M785)=0,"",AVERAGEIFS(ENSAYOS!$Q$5:$Q$3004,ENSAYOS!$C$5:$C$3004,F785,ENSAYOS!$Q$5:$Q$3004,"&gt;0"))</f>
        <v/>
      </c>
      <c r="Q785" s="16" t="str">
        <f aca="false">IF(N(M785)=0,"",_xlfn.MINIFS(ENSAYOS!$Q$5:$Q$3004,ENSAYOS!$C$5:$C$3004,F785,ENSAYOS!$Q$5:$Q$3004,"&gt;0"))</f>
        <v/>
      </c>
      <c r="R785" s="16" t="str">
        <f aca="false">IF(N(M785)=0,"",_xlfn.MAXIFS(ENSAYOS!$Q$5:$Q$3004,ENSAYOS!$C$5:$C$3004,F785,ENSAYOS!$Q$5:$Q$3004,"&gt;0"))</f>
        <v/>
      </c>
      <c r="S785" s="16" t="str">
        <f aca="false">IF(N(M785)&lt;2,"",SQRT(MAX(0,(SUMIFS(ENSAYOS!$X$5:$X$3004,ENSAYOS!$C$5:$C$3004,F785,ENSAYOS!$Q$5:$Q$3004,"&gt;0")-M785*P785^2)/(M785-1))))</f>
        <v/>
      </c>
      <c r="T785" s="17" t="str">
        <f aca="false">IF(S785="","",S785/P785)</f>
        <v/>
      </c>
      <c r="U785" s="16" t="str">
        <f aca="false">IF(N(M785)=0,"",IF(N785&gt;=CONFIG!$B$27,"",AVERAGEIFS(ENSAYOS!$Q$5:$Q$3004,ENSAYOS!$C$5:$C$3004,F785,ENSAYOS!$Q$5:$Q$3004,"&gt;0",ENSAYOS!$G$5:$G$3004,N785)))</f>
        <v/>
      </c>
      <c r="V785" s="16" t="str">
        <f aca="false">IF(N(M785)=0,"",IF(COUNTIFS(ENSAYOS!$C$5:$C$3004,F785,ENSAYOS!$Q$5:$Q$3004,"&gt;0",ENSAYOS!$G$5:$G$3004,"&gt;="&amp;CONFIG!$B$27)=0,"",AVERAGEIFS(ENSAYOS!$Q$5:$Q$3004,ENSAYOS!$C$5:$C$3004,F785,ENSAYOS!$Q$5:$Q$3004,"&gt;0",ENSAYOS!$G$5:$G$3004,"&gt;="&amp;CONFIG!$B$27)))</f>
        <v/>
      </c>
      <c r="W785" s="18" t="str">
        <f aca="false">IF(AND(U785&lt;&gt;"",V785&lt;&gt;""),U785/V785,"")</f>
        <v/>
      </c>
      <c r="X785" s="18" t="str">
        <f aca="false">IF(U785="","",INDEX('CURVA EDAD'!$E$5:$E$32,MIN(28,MAX(1,N785))))</f>
        <v/>
      </c>
      <c r="Y785" s="16" t="str">
        <f aca="false">IF(V785&lt;&gt;"",V785,IF(U785="","",U785/X785))</f>
        <v/>
      </c>
      <c r="Z785" s="16" t="str">
        <f aca="false">IF(V785&lt;&gt;"",_xlfn.MINIFS(ENSAYOS!$Q$5:$Q$3004,ENSAYOS!$C$5:$C$3004,F785,ENSAYOS!$Q$5:$Q$3004,"&gt;0",ENSAYOS!$G$5:$G$3004,"&gt;="&amp;CONFIG!$B$27),IF(U785="","",_xlfn.MINIFS(ENSAYOS!$Q$5:$Q$3004,ENSAYOS!$C$5:$C$3004,F785,ENSAYOS!$Q$5:$Q$3004,"&gt;0",ENSAYOS!$G$5:$G$3004,N785)/X785))</f>
        <v/>
      </c>
      <c r="AA785" s="16" t="str">
        <f aca="false">IF(D785="","",IFERROR(1/(1/INDEX(CONFIG!$J$5:$J$14,MATCH(D785,CONFIG!$D$5:$D$14,0))),""))</f>
        <v/>
      </c>
      <c r="AB785" s="16" t="str">
        <f aca="false">IF(D785="","",IFERROR(1/(1/INDEX(CONFIG!$K$5:$K$14,MATCH(D785,CONFIG!$D$5:$D$14,0))),""))</f>
        <v/>
      </c>
      <c r="AC785" s="19" t="str">
        <f aca="false">IF(N(M785)=0,"",IF(AA785="","Sin spec",IF(AND(Y785&gt;=AA785,OR(AB785="",Z785&gt;=AB785)),"CUMPLE","NO CUMPLE")&amp;IF(V785=""," (est.)","")))</f>
        <v/>
      </c>
      <c r="AD785" s="20" t="str">
        <f aca="false">IF(F785="","",IF(COUNTIFS(ABSORCION!$C$5:$C$1004,F785,ABSORCION!$I$5:$I$1004,"&gt;0")=0,"",AVERAGEIFS(ABSORCION!$I$5:$I$1004,ABSORCION!$C$5:$C$1004,F785,ABSORCION!$I$5:$I$1004,"&gt;0")))</f>
        <v/>
      </c>
      <c r="AE785" s="20" t="str">
        <f aca="false">IF(F785="","",IF(COUNTIFS(ABSORCION!$C$5:$C$1004,F785,ABSORCION!$I$5:$I$1004,"&gt;0")=0,"",AVERAGEIFS(ABSORCION!$K$5:$K$1004,ABSORCION!$C$5:$C$1004,F785,ABSORCION!$I$5:$I$1004,"&gt;0")))</f>
        <v/>
      </c>
      <c r="AF785" s="20" t="str">
        <f aca="false">IF(AE785="","",IF(AE785&gt;=CONFIG!$E$21,CONFIG!$F$21,IF(AE785&gt;=CONFIG!$E$20,CONFIG!$F$20,CONFIG!$F$19)))</f>
        <v/>
      </c>
      <c r="AG785" s="21" t="str">
        <f aca="false">IF(F785="","",TRIM(IF(N(M785)=0,"Sin ensayos. ","")&amp;IF(AND(N(M785)&gt;0,N(M785)&lt;CONFIG!$B$26),"Menos de "&amp;CONFIG!$B$26&amp;" probetas. ","")&amp;IF(N(T785)&gt;CONFIG!$B$25,"CV alto. ","")&amp;IF(AND(N(AD785)&gt;0,N(AD785)&gt;N(AF785)),"Absorción alta. ","")))</f>
        <v/>
      </c>
      <c r="AH785" s="22" t="str">
        <f aca="false">IF(AND(N(M785)&gt;0,OR(CONTROL!$C$4="TODAS",C785=CONTROL!$C$4),D785=CONTROL!$C$5),MAX($AH$4:AH784)+1,"")</f>
        <v/>
      </c>
      <c r="AI785" s="22" t="str">
        <f aca="false">IF(AH785="","",P785^2)</f>
        <v/>
      </c>
    </row>
    <row r="786" customFormat="false" ht="15" hidden="false" customHeight="false" outlineLevel="0" collapsed="false">
      <c r="A786" s="11" t="str">
        <f aca="false">IF(B786="","",ROW()-4)</f>
        <v/>
      </c>
      <c r="B786" s="12"/>
      <c r="C786" s="13"/>
      <c r="D786" s="13"/>
      <c r="E786" s="13"/>
      <c r="F786" s="14" t="str">
        <f aca="false">IF(OR(B786="",C786="",D786=""),"",IFERROR(INDEX(CONFIG!$E$5:$E$14,MATCH(D786,CONFIG!$D$5:$D$14,0)),"?")&amp;RIGHT("0"&amp;DAY(B786),2)&amp;RIGHT("0"&amp;MONTH(B786),2)&amp;RIGHT(YEAR(B786),2)&amp;C786&amp;IF(E786="","","-"&amp;E786))</f>
        <v/>
      </c>
      <c r="G786" s="13"/>
      <c r="H786" s="13"/>
      <c r="I786" s="13"/>
      <c r="J786" s="13"/>
      <c r="K786" s="13"/>
      <c r="L786" s="13"/>
      <c r="M786" s="11" t="str">
        <f aca="false">IF(F786="","",COUNTIFS(ENSAYOS!$C$5:$C$3004,F786,ENSAYOS!$Q$5:$Q$3004,"&gt;0"))</f>
        <v/>
      </c>
      <c r="N786" s="15" t="str">
        <f aca="false">IF(N(M786)=0,"",_xlfn.MINIFS(ENSAYOS!$G$5:$G$3004,ENSAYOS!$C$5:$C$3004,F786,ENSAYOS!$Q$5:$Q$3004,"&gt;0"))</f>
        <v/>
      </c>
      <c r="O786" s="15" t="str">
        <f aca="false">IF(N(M786)=0,"",_xlfn.MAXIFS(ENSAYOS!$G$5:$G$3004,ENSAYOS!$C$5:$C$3004,F786,ENSAYOS!$Q$5:$Q$3004,"&gt;0"))</f>
        <v/>
      </c>
      <c r="P786" s="16" t="str">
        <f aca="false">IF(N(M786)=0,"",AVERAGEIFS(ENSAYOS!$Q$5:$Q$3004,ENSAYOS!$C$5:$C$3004,F786,ENSAYOS!$Q$5:$Q$3004,"&gt;0"))</f>
        <v/>
      </c>
      <c r="Q786" s="16" t="str">
        <f aca="false">IF(N(M786)=0,"",_xlfn.MINIFS(ENSAYOS!$Q$5:$Q$3004,ENSAYOS!$C$5:$C$3004,F786,ENSAYOS!$Q$5:$Q$3004,"&gt;0"))</f>
        <v/>
      </c>
      <c r="R786" s="16" t="str">
        <f aca="false">IF(N(M786)=0,"",_xlfn.MAXIFS(ENSAYOS!$Q$5:$Q$3004,ENSAYOS!$C$5:$C$3004,F786,ENSAYOS!$Q$5:$Q$3004,"&gt;0"))</f>
        <v/>
      </c>
      <c r="S786" s="16" t="str">
        <f aca="false">IF(N(M786)&lt;2,"",SQRT(MAX(0,(SUMIFS(ENSAYOS!$X$5:$X$3004,ENSAYOS!$C$5:$C$3004,F786,ENSAYOS!$Q$5:$Q$3004,"&gt;0")-M786*P786^2)/(M786-1))))</f>
        <v/>
      </c>
      <c r="T786" s="17" t="str">
        <f aca="false">IF(S786="","",S786/P786)</f>
        <v/>
      </c>
      <c r="U786" s="16" t="str">
        <f aca="false">IF(N(M786)=0,"",IF(N786&gt;=CONFIG!$B$27,"",AVERAGEIFS(ENSAYOS!$Q$5:$Q$3004,ENSAYOS!$C$5:$C$3004,F786,ENSAYOS!$Q$5:$Q$3004,"&gt;0",ENSAYOS!$G$5:$G$3004,N786)))</f>
        <v/>
      </c>
      <c r="V786" s="16" t="str">
        <f aca="false">IF(N(M786)=0,"",IF(COUNTIFS(ENSAYOS!$C$5:$C$3004,F786,ENSAYOS!$Q$5:$Q$3004,"&gt;0",ENSAYOS!$G$5:$G$3004,"&gt;="&amp;CONFIG!$B$27)=0,"",AVERAGEIFS(ENSAYOS!$Q$5:$Q$3004,ENSAYOS!$C$5:$C$3004,F786,ENSAYOS!$Q$5:$Q$3004,"&gt;0",ENSAYOS!$G$5:$G$3004,"&gt;="&amp;CONFIG!$B$27)))</f>
        <v/>
      </c>
      <c r="W786" s="18" t="str">
        <f aca="false">IF(AND(U786&lt;&gt;"",V786&lt;&gt;""),U786/V786,"")</f>
        <v/>
      </c>
      <c r="X786" s="18" t="str">
        <f aca="false">IF(U786="","",INDEX('CURVA EDAD'!$E$5:$E$32,MIN(28,MAX(1,N786))))</f>
        <v/>
      </c>
      <c r="Y786" s="16" t="str">
        <f aca="false">IF(V786&lt;&gt;"",V786,IF(U786="","",U786/X786))</f>
        <v/>
      </c>
      <c r="Z786" s="16" t="str">
        <f aca="false">IF(V786&lt;&gt;"",_xlfn.MINIFS(ENSAYOS!$Q$5:$Q$3004,ENSAYOS!$C$5:$C$3004,F786,ENSAYOS!$Q$5:$Q$3004,"&gt;0",ENSAYOS!$G$5:$G$3004,"&gt;="&amp;CONFIG!$B$27),IF(U786="","",_xlfn.MINIFS(ENSAYOS!$Q$5:$Q$3004,ENSAYOS!$C$5:$C$3004,F786,ENSAYOS!$Q$5:$Q$3004,"&gt;0",ENSAYOS!$G$5:$G$3004,N786)/X786))</f>
        <v/>
      </c>
      <c r="AA786" s="16" t="str">
        <f aca="false">IF(D786="","",IFERROR(1/(1/INDEX(CONFIG!$J$5:$J$14,MATCH(D786,CONFIG!$D$5:$D$14,0))),""))</f>
        <v/>
      </c>
      <c r="AB786" s="16" t="str">
        <f aca="false">IF(D786="","",IFERROR(1/(1/INDEX(CONFIG!$K$5:$K$14,MATCH(D786,CONFIG!$D$5:$D$14,0))),""))</f>
        <v/>
      </c>
      <c r="AC786" s="19" t="str">
        <f aca="false">IF(N(M786)=0,"",IF(AA786="","Sin spec",IF(AND(Y786&gt;=AA786,OR(AB786="",Z786&gt;=AB786)),"CUMPLE","NO CUMPLE")&amp;IF(V786=""," (est.)","")))</f>
        <v/>
      </c>
      <c r="AD786" s="20" t="str">
        <f aca="false">IF(F786="","",IF(COUNTIFS(ABSORCION!$C$5:$C$1004,F786,ABSORCION!$I$5:$I$1004,"&gt;0")=0,"",AVERAGEIFS(ABSORCION!$I$5:$I$1004,ABSORCION!$C$5:$C$1004,F786,ABSORCION!$I$5:$I$1004,"&gt;0")))</f>
        <v/>
      </c>
      <c r="AE786" s="20" t="str">
        <f aca="false">IF(F786="","",IF(COUNTIFS(ABSORCION!$C$5:$C$1004,F786,ABSORCION!$I$5:$I$1004,"&gt;0")=0,"",AVERAGEIFS(ABSORCION!$K$5:$K$1004,ABSORCION!$C$5:$C$1004,F786,ABSORCION!$I$5:$I$1004,"&gt;0")))</f>
        <v/>
      </c>
      <c r="AF786" s="20" t="str">
        <f aca="false">IF(AE786="","",IF(AE786&gt;=CONFIG!$E$21,CONFIG!$F$21,IF(AE786&gt;=CONFIG!$E$20,CONFIG!$F$20,CONFIG!$F$19)))</f>
        <v/>
      </c>
      <c r="AG786" s="21" t="str">
        <f aca="false">IF(F786="","",TRIM(IF(N(M786)=0,"Sin ensayos. ","")&amp;IF(AND(N(M786)&gt;0,N(M786)&lt;CONFIG!$B$26),"Menos de "&amp;CONFIG!$B$26&amp;" probetas. ","")&amp;IF(N(T786)&gt;CONFIG!$B$25,"CV alto. ","")&amp;IF(AND(N(AD786)&gt;0,N(AD786)&gt;N(AF786)),"Absorción alta. ","")))</f>
        <v/>
      </c>
      <c r="AH786" s="22" t="str">
        <f aca="false">IF(AND(N(M786)&gt;0,OR(CONTROL!$C$4="TODAS",C786=CONTROL!$C$4),D786=CONTROL!$C$5),MAX($AH$4:AH785)+1,"")</f>
        <v/>
      </c>
      <c r="AI786" s="22" t="str">
        <f aca="false">IF(AH786="","",P786^2)</f>
        <v/>
      </c>
    </row>
    <row r="787" customFormat="false" ht="15" hidden="false" customHeight="false" outlineLevel="0" collapsed="false">
      <c r="A787" s="11" t="str">
        <f aca="false">IF(B787="","",ROW()-4)</f>
        <v/>
      </c>
      <c r="B787" s="12"/>
      <c r="C787" s="13"/>
      <c r="D787" s="13"/>
      <c r="E787" s="13"/>
      <c r="F787" s="14" t="str">
        <f aca="false">IF(OR(B787="",C787="",D787=""),"",IFERROR(INDEX(CONFIG!$E$5:$E$14,MATCH(D787,CONFIG!$D$5:$D$14,0)),"?")&amp;RIGHT("0"&amp;DAY(B787),2)&amp;RIGHT("0"&amp;MONTH(B787),2)&amp;RIGHT(YEAR(B787),2)&amp;C787&amp;IF(E787="","","-"&amp;E787))</f>
        <v/>
      </c>
      <c r="G787" s="13"/>
      <c r="H787" s="13"/>
      <c r="I787" s="13"/>
      <c r="J787" s="13"/>
      <c r="K787" s="13"/>
      <c r="L787" s="13"/>
      <c r="M787" s="11" t="str">
        <f aca="false">IF(F787="","",COUNTIFS(ENSAYOS!$C$5:$C$3004,F787,ENSAYOS!$Q$5:$Q$3004,"&gt;0"))</f>
        <v/>
      </c>
      <c r="N787" s="15" t="str">
        <f aca="false">IF(N(M787)=0,"",_xlfn.MINIFS(ENSAYOS!$G$5:$G$3004,ENSAYOS!$C$5:$C$3004,F787,ENSAYOS!$Q$5:$Q$3004,"&gt;0"))</f>
        <v/>
      </c>
      <c r="O787" s="15" t="str">
        <f aca="false">IF(N(M787)=0,"",_xlfn.MAXIFS(ENSAYOS!$G$5:$G$3004,ENSAYOS!$C$5:$C$3004,F787,ENSAYOS!$Q$5:$Q$3004,"&gt;0"))</f>
        <v/>
      </c>
      <c r="P787" s="16" t="str">
        <f aca="false">IF(N(M787)=0,"",AVERAGEIFS(ENSAYOS!$Q$5:$Q$3004,ENSAYOS!$C$5:$C$3004,F787,ENSAYOS!$Q$5:$Q$3004,"&gt;0"))</f>
        <v/>
      </c>
      <c r="Q787" s="16" t="str">
        <f aca="false">IF(N(M787)=0,"",_xlfn.MINIFS(ENSAYOS!$Q$5:$Q$3004,ENSAYOS!$C$5:$C$3004,F787,ENSAYOS!$Q$5:$Q$3004,"&gt;0"))</f>
        <v/>
      </c>
      <c r="R787" s="16" t="str">
        <f aca="false">IF(N(M787)=0,"",_xlfn.MAXIFS(ENSAYOS!$Q$5:$Q$3004,ENSAYOS!$C$5:$C$3004,F787,ENSAYOS!$Q$5:$Q$3004,"&gt;0"))</f>
        <v/>
      </c>
      <c r="S787" s="16" t="str">
        <f aca="false">IF(N(M787)&lt;2,"",SQRT(MAX(0,(SUMIFS(ENSAYOS!$X$5:$X$3004,ENSAYOS!$C$5:$C$3004,F787,ENSAYOS!$Q$5:$Q$3004,"&gt;0")-M787*P787^2)/(M787-1))))</f>
        <v/>
      </c>
      <c r="T787" s="17" t="str">
        <f aca="false">IF(S787="","",S787/P787)</f>
        <v/>
      </c>
      <c r="U787" s="16" t="str">
        <f aca="false">IF(N(M787)=0,"",IF(N787&gt;=CONFIG!$B$27,"",AVERAGEIFS(ENSAYOS!$Q$5:$Q$3004,ENSAYOS!$C$5:$C$3004,F787,ENSAYOS!$Q$5:$Q$3004,"&gt;0",ENSAYOS!$G$5:$G$3004,N787)))</f>
        <v/>
      </c>
      <c r="V787" s="16" t="str">
        <f aca="false">IF(N(M787)=0,"",IF(COUNTIFS(ENSAYOS!$C$5:$C$3004,F787,ENSAYOS!$Q$5:$Q$3004,"&gt;0",ENSAYOS!$G$5:$G$3004,"&gt;="&amp;CONFIG!$B$27)=0,"",AVERAGEIFS(ENSAYOS!$Q$5:$Q$3004,ENSAYOS!$C$5:$C$3004,F787,ENSAYOS!$Q$5:$Q$3004,"&gt;0",ENSAYOS!$G$5:$G$3004,"&gt;="&amp;CONFIG!$B$27)))</f>
        <v/>
      </c>
      <c r="W787" s="18" t="str">
        <f aca="false">IF(AND(U787&lt;&gt;"",V787&lt;&gt;""),U787/V787,"")</f>
        <v/>
      </c>
      <c r="X787" s="18" t="str">
        <f aca="false">IF(U787="","",INDEX('CURVA EDAD'!$E$5:$E$32,MIN(28,MAX(1,N787))))</f>
        <v/>
      </c>
      <c r="Y787" s="16" t="str">
        <f aca="false">IF(V787&lt;&gt;"",V787,IF(U787="","",U787/X787))</f>
        <v/>
      </c>
      <c r="Z787" s="16" t="str">
        <f aca="false">IF(V787&lt;&gt;"",_xlfn.MINIFS(ENSAYOS!$Q$5:$Q$3004,ENSAYOS!$C$5:$C$3004,F787,ENSAYOS!$Q$5:$Q$3004,"&gt;0",ENSAYOS!$G$5:$G$3004,"&gt;="&amp;CONFIG!$B$27),IF(U787="","",_xlfn.MINIFS(ENSAYOS!$Q$5:$Q$3004,ENSAYOS!$C$5:$C$3004,F787,ENSAYOS!$Q$5:$Q$3004,"&gt;0",ENSAYOS!$G$5:$G$3004,N787)/X787))</f>
        <v/>
      </c>
      <c r="AA787" s="16" t="str">
        <f aca="false">IF(D787="","",IFERROR(1/(1/INDEX(CONFIG!$J$5:$J$14,MATCH(D787,CONFIG!$D$5:$D$14,0))),""))</f>
        <v/>
      </c>
      <c r="AB787" s="16" t="str">
        <f aca="false">IF(D787="","",IFERROR(1/(1/INDEX(CONFIG!$K$5:$K$14,MATCH(D787,CONFIG!$D$5:$D$14,0))),""))</f>
        <v/>
      </c>
      <c r="AC787" s="19" t="str">
        <f aca="false">IF(N(M787)=0,"",IF(AA787="","Sin spec",IF(AND(Y787&gt;=AA787,OR(AB787="",Z787&gt;=AB787)),"CUMPLE","NO CUMPLE")&amp;IF(V787=""," (est.)","")))</f>
        <v/>
      </c>
      <c r="AD787" s="20" t="str">
        <f aca="false">IF(F787="","",IF(COUNTIFS(ABSORCION!$C$5:$C$1004,F787,ABSORCION!$I$5:$I$1004,"&gt;0")=0,"",AVERAGEIFS(ABSORCION!$I$5:$I$1004,ABSORCION!$C$5:$C$1004,F787,ABSORCION!$I$5:$I$1004,"&gt;0")))</f>
        <v/>
      </c>
      <c r="AE787" s="20" t="str">
        <f aca="false">IF(F787="","",IF(COUNTIFS(ABSORCION!$C$5:$C$1004,F787,ABSORCION!$I$5:$I$1004,"&gt;0")=0,"",AVERAGEIFS(ABSORCION!$K$5:$K$1004,ABSORCION!$C$5:$C$1004,F787,ABSORCION!$I$5:$I$1004,"&gt;0")))</f>
        <v/>
      </c>
      <c r="AF787" s="20" t="str">
        <f aca="false">IF(AE787="","",IF(AE787&gt;=CONFIG!$E$21,CONFIG!$F$21,IF(AE787&gt;=CONFIG!$E$20,CONFIG!$F$20,CONFIG!$F$19)))</f>
        <v/>
      </c>
      <c r="AG787" s="21" t="str">
        <f aca="false">IF(F787="","",TRIM(IF(N(M787)=0,"Sin ensayos. ","")&amp;IF(AND(N(M787)&gt;0,N(M787)&lt;CONFIG!$B$26),"Menos de "&amp;CONFIG!$B$26&amp;" probetas. ","")&amp;IF(N(T787)&gt;CONFIG!$B$25,"CV alto. ","")&amp;IF(AND(N(AD787)&gt;0,N(AD787)&gt;N(AF787)),"Absorción alta. ","")))</f>
        <v/>
      </c>
      <c r="AH787" s="22" t="str">
        <f aca="false">IF(AND(N(M787)&gt;0,OR(CONTROL!$C$4="TODAS",C787=CONTROL!$C$4),D787=CONTROL!$C$5),MAX($AH$4:AH786)+1,"")</f>
        <v/>
      </c>
      <c r="AI787" s="22" t="str">
        <f aca="false">IF(AH787="","",P787^2)</f>
        <v/>
      </c>
    </row>
    <row r="788" customFormat="false" ht="15" hidden="false" customHeight="false" outlineLevel="0" collapsed="false">
      <c r="A788" s="11" t="str">
        <f aca="false">IF(B788="","",ROW()-4)</f>
        <v/>
      </c>
      <c r="B788" s="12"/>
      <c r="C788" s="13"/>
      <c r="D788" s="13"/>
      <c r="E788" s="13"/>
      <c r="F788" s="14" t="str">
        <f aca="false">IF(OR(B788="",C788="",D788=""),"",IFERROR(INDEX(CONFIG!$E$5:$E$14,MATCH(D788,CONFIG!$D$5:$D$14,0)),"?")&amp;RIGHT("0"&amp;DAY(B788),2)&amp;RIGHT("0"&amp;MONTH(B788),2)&amp;RIGHT(YEAR(B788),2)&amp;C788&amp;IF(E788="","","-"&amp;E788))</f>
        <v/>
      </c>
      <c r="G788" s="13"/>
      <c r="H788" s="13"/>
      <c r="I788" s="13"/>
      <c r="J788" s="13"/>
      <c r="K788" s="13"/>
      <c r="L788" s="13"/>
      <c r="M788" s="11" t="str">
        <f aca="false">IF(F788="","",COUNTIFS(ENSAYOS!$C$5:$C$3004,F788,ENSAYOS!$Q$5:$Q$3004,"&gt;0"))</f>
        <v/>
      </c>
      <c r="N788" s="15" t="str">
        <f aca="false">IF(N(M788)=0,"",_xlfn.MINIFS(ENSAYOS!$G$5:$G$3004,ENSAYOS!$C$5:$C$3004,F788,ENSAYOS!$Q$5:$Q$3004,"&gt;0"))</f>
        <v/>
      </c>
      <c r="O788" s="15" t="str">
        <f aca="false">IF(N(M788)=0,"",_xlfn.MAXIFS(ENSAYOS!$G$5:$G$3004,ENSAYOS!$C$5:$C$3004,F788,ENSAYOS!$Q$5:$Q$3004,"&gt;0"))</f>
        <v/>
      </c>
      <c r="P788" s="16" t="str">
        <f aca="false">IF(N(M788)=0,"",AVERAGEIFS(ENSAYOS!$Q$5:$Q$3004,ENSAYOS!$C$5:$C$3004,F788,ENSAYOS!$Q$5:$Q$3004,"&gt;0"))</f>
        <v/>
      </c>
      <c r="Q788" s="16" t="str">
        <f aca="false">IF(N(M788)=0,"",_xlfn.MINIFS(ENSAYOS!$Q$5:$Q$3004,ENSAYOS!$C$5:$C$3004,F788,ENSAYOS!$Q$5:$Q$3004,"&gt;0"))</f>
        <v/>
      </c>
      <c r="R788" s="16" t="str">
        <f aca="false">IF(N(M788)=0,"",_xlfn.MAXIFS(ENSAYOS!$Q$5:$Q$3004,ENSAYOS!$C$5:$C$3004,F788,ENSAYOS!$Q$5:$Q$3004,"&gt;0"))</f>
        <v/>
      </c>
      <c r="S788" s="16" t="str">
        <f aca="false">IF(N(M788)&lt;2,"",SQRT(MAX(0,(SUMIFS(ENSAYOS!$X$5:$X$3004,ENSAYOS!$C$5:$C$3004,F788,ENSAYOS!$Q$5:$Q$3004,"&gt;0")-M788*P788^2)/(M788-1))))</f>
        <v/>
      </c>
      <c r="T788" s="17" t="str">
        <f aca="false">IF(S788="","",S788/P788)</f>
        <v/>
      </c>
      <c r="U788" s="16" t="str">
        <f aca="false">IF(N(M788)=0,"",IF(N788&gt;=CONFIG!$B$27,"",AVERAGEIFS(ENSAYOS!$Q$5:$Q$3004,ENSAYOS!$C$5:$C$3004,F788,ENSAYOS!$Q$5:$Q$3004,"&gt;0",ENSAYOS!$G$5:$G$3004,N788)))</f>
        <v/>
      </c>
      <c r="V788" s="16" t="str">
        <f aca="false">IF(N(M788)=0,"",IF(COUNTIFS(ENSAYOS!$C$5:$C$3004,F788,ENSAYOS!$Q$5:$Q$3004,"&gt;0",ENSAYOS!$G$5:$G$3004,"&gt;="&amp;CONFIG!$B$27)=0,"",AVERAGEIFS(ENSAYOS!$Q$5:$Q$3004,ENSAYOS!$C$5:$C$3004,F788,ENSAYOS!$Q$5:$Q$3004,"&gt;0",ENSAYOS!$G$5:$G$3004,"&gt;="&amp;CONFIG!$B$27)))</f>
        <v/>
      </c>
      <c r="W788" s="18" t="str">
        <f aca="false">IF(AND(U788&lt;&gt;"",V788&lt;&gt;""),U788/V788,"")</f>
        <v/>
      </c>
      <c r="X788" s="18" t="str">
        <f aca="false">IF(U788="","",INDEX('CURVA EDAD'!$E$5:$E$32,MIN(28,MAX(1,N788))))</f>
        <v/>
      </c>
      <c r="Y788" s="16" t="str">
        <f aca="false">IF(V788&lt;&gt;"",V788,IF(U788="","",U788/X788))</f>
        <v/>
      </c>
      <c r="Z788" s="16" t="str">
        <f aca="false">IF(V788&lt;&gt;"",_xlfn.MINIFS(ENSAYOS!$Q$5:$Q$3004,ENSAYOS!$C$5:$C$3004,F788,ENSAYOS!$Q$5:$Q$3004,"&gt;0",ENSAYOS!$G$5:$G$3004,"&gt;="&amp;CONFIG!$B$27),IF(U788="","",_xlfn.MINIFS(ENSAYOS!$Q$5:$Q$3004,ENSAYOS!$C$5:$C$3004,F788,ENSAYOS!$Q$5:$Q$3004,"&gt;0",ENSAYOS!$G$5:$G$3004,N788)/X788))</f>
        <v/>
      </c>
      <c r="AA788" s="16" t="str">
        <f aca="false">IF(D788="","",IFERROR(1/(1/INDEX(CONFIG!$J$5:$J$14,MATCH(D788,CONFIG!$D$5:$D$14,0))),""))</f>
        <v/>
      </c>
      <c r="AB788" s="16" t="str">
        <f aca="false">IF(D788="","",IFERROR(1/(1/INDEX(CONFIG!$K$5:$K$14,MATCH(D788,CONFIG!$D$5:$D$14,0))),""))</f>
        <v/>
      </c>
      <c r="AC788" s="19" t="str">
        <f aca="false">IF(N(M788)=0,"",IF(AA788="","Sin spec",IF(AND(Y788&gt;=AA788,OR(AB788="",Z788&gt;=AB788)),"CUMPLE","NO CUMPLE")&amp;IF(V788=""," (est.)","")))</f>
        <v/>
      </c>
      <c r="AD788" s="20" t="str">
        <f aca="false">IF(F788="","",IF(COUNTIFS(ABSORCION!$C$5:$C$1004,F788,ABSORCION!$I$5:$I$1004,"&gt;0")=0,"",AVERAGEIFS(ABSORCION!$I$5:$I$1004,ABSORCION!$C$5:$C$1004,F788,ABSORCION!$I$5:$I$1004,"&gt;0")))</f>
        <v/>
      </c>
      <c r="AE788" s="20" t="str">
        <f aca="false">IF(F788="","",IF(COUNTIFS(ABSORCION!$C$5:$C$1004,F788,ABSORCION!$I$5:$I$1004,"&gt;0")=0,"",AVERAGEIFS(ABSORCION!$K$5:$K$1004,ABSORCION!$C$5:$C$1004,F788,ABSORCION!$I$5:$I$1004,"&gt;0")))</f>
        <v/>
      </c>
      <c r="AF788" s="20" t="str">
        <f aca="false">IF(AE788="","",IF(AE788&gt;=CONFIG!$E$21,CONFIG!$F$21,IF(AE788&gt;=CONFIG!$E$20,CONFIG!$F$20,CONFIG!$F$19)))</f>
        <v/>
      </c>
      <c r="AG788" s="21" t="str">
        <f aca="false">IF(F788="","",TRIM(IF(N(M788)=0,"Sin ensayos. ","")&amp;IF(AND(N(M788)&gt;0,N(M788)&lt;CONFIG!$B$26),"Menos de "&amp;CONFIG!$B$26&amp;" probetas. ","")&amp;IF(N(T788)&gt;CONFIG!$B$25,"CV alto. ","")&amp;IF(AND(N(AD788)&gt;0,N(AD788)&gt;N(AF788)),"Absorción alta. ","")))</f>
        <v/>
      </c>
      <c r="AH788" s="22" t="str">
        <f aca="false">IF(AND(N(M788)&gt;0,OR(CONTROL!$C$4="TODAS",C788=CONTROL!$C$4),D788=CONTROL!$C$5),MAX($AH$4:AH787)+1,"")</f>
        <v/>
      </c>
      <c r="AI788" s="22" t="str">
        <f aca="false">IF(AH788="","",P788^2)</f>
        <v/>
      </c>
    </row>
    <row r="789" customFormat="false" ht="15" hidden="false" customHeight="false" outlineLevel="0" collapsed="false">
      <c r="A789" s="11" t="str">
        <f aca="false">IF(B789="","",ROW()-4)</f>
        <v/>
      </c>
      <c r="B789" s="12"/>
      <c r="C789" s="13"/>
      <c r="D789" s="13"/>
      <c r="E789" s="13"/>
      <c r="F789" s="14" t="str">
        <f aca="false">IF(OR(B789="",C789="",D789=""),"",IFERROR(INDEX(CONFIG!$E$5:$E$14,MATCH(D789,CONFIG!$D$5:$D$14,0)),"?")&amp;RIGHT("0"&amp;DAY(B789),2)&amp;RIGHT("0"&amp;MONTH(B789),2)&amp;RIGHT(YEAR(B789),2)&amp;C789&amp;IF(E789="","","-"&amp;E789))</f>
        <v/>
      </c>
      <c r="G789" s="13"/>
      <c r="H789" s="13"/>
      <c r="I789" s="13"/>
      <c r="J789" s="13"/>
      <c r="K789" s="13"/>
      <c r="L789" s="13"/>
      <c r="M789" s="11" t="str">
        <f aca="false">IF(F789="","",COUNTIFS(ENSAYOS!$C$5:$C$3004,F789,ENSAYOS!$Q$5:$Q$3004,"&gt;0"))</f>
        <v/>
      </c>
      <c r="N789" s="15" t="str">
        <f aca="false">IF(N(M789)=0,"",_xlfn.MINIFS(ENSAYOS!$G$5:$G$3004,ENSAYOS!$C$5:$C$3004,F789,ENSAYOS!$Q$5:$Q$3004,"&gt;0"))</f>
        <v/>
      </c>
      <c r="O789" s="15" t="str">
        <f aca="false">IF(N(M789)=0,"",_xlfn.MAXIFS(ENSAYOS!$G$5:$G$3004,ENSAYOS!$C$5:$C$3004,F789,ENSAYOS!$Q$5:$Q$3004,"&gt;0"))</f>
        <v/>
      </c>
      <c r="P789" s="16" t="str">
        <f aca="false">IF(N(M789)=0,"",AVERAGEIFS(ENSAYOS!$Q$5:$Q$3004,ENSAYOS!$C$5:$C$3004,F789,ENSAYOS!$Q$5:$Q$3004,"&gt;0"))</f>
        <v/>
      </c>
      <c r="Q789" s="16" t="str">
        <f aca="false">IF(N(M789)=0,"",_xlfn.MINIFS(ENSAYOS!$Q$5:$Q$3004,ENSAYOS!$C$5:$C$3004,F789,ENSAYOS!$Q$5:$Q$3004,"&gt;0"))</f>
        <v/>
      </c>
      <c r="R789" s="16" t="str">
        <f aca="false">IF(N(M789)=0,"",_xlfn.MAXIFS(ENSAYOS!$Q$5:$Q$3004,ENSAYOS!$C$5:$C$3004,F789,ENSAYOS!$Q$5:$Q$3004,"&gt;0"))</f>
        <v/>
      </c>
      <c r="S789" s="16" t="str">
        <f aca="false">IF(N(M789)&lt;2,"",SQRT(MAX(0,(SUMIFS(ENSAYOS!$X$5:$X$3004,ENSAYOS!$C$5:$C$3004,F789,ENSAYOS!$Q$5:$Q$3004,"&gt;0")-M789*P789^2)/(M789-1))))</f>
        <v/>
      </c>
      <c r="T789" s="17" t="str">
        <f aca="false">IF(S789="","",S789/P789)</f>
        <v/>
      </c>
      <c r="U789" s="16" t="str">
        <f aca="false">IF(N(M789)=0,"",IF(N789&gt;=CONFIG!$B$27,"",AVERAGEIFS(ENSAYOS!$Q$5:$Q$3004,ENSAYOS!$C$5:$C$3004,F789,ENSAYOS!$Q$5:$Q$3004,"&gt;0",ENSAYOS!$G$5:$G$3004,N789)))</f>
        <v/>
      </c>
      <c r="V789" s="16" t="str">
        <f aca="false">IF(N(M789)=0,"",IF(COUNTIFS(ENSAYOS!$C$5:$C$3004,F789,ENSAYOS!$Q$5:$Q$3004,"&gt;0",ENSAYOS!$G$5:$G$3004,"&gt;="&amp;CONFIG!$B$27)=0,"",AVERAGEIFS(ENSAYOS!$Q$5:$Q$3004,ENSAYOS!$C$5:$C$3004,F789,ENSAYOS!$Q$5:$Q$3004,"&gt;0",ENSAYOS!$G$5:$G$3004,"&gt;="&amp;CONFIG!$B$27)))</f>
        <v/>
      </c>
      <c r="W789" s="18" t="str">
        <f aca="false">IF(AND(U789&lt;&gt;"",V789&lt;&gt;""),U789/V789,"")</f>
        <v/>
      </c>
      <c r="X789" s="18" t="str">
        <f aca="false">IF(U789="","",INDEX('CURVA EDAD'!$E$5:$E$32,MIN(28,MAX(1,N789))))</f>
        <v/>
      </c>
      <c r="Y789" s="16" t="str">
        <f aca="false">IF(V789&lt;&gt;"",V789,IF(U789="","",U789/X789))</f>
        <v/>
      </c>
      <c r="Z789" s="16" t="str">
        <f aca="false">IF(V789&lt;&gt;"",_xlfn.MINIFS(ENSAYOS!$Q$5:$Q$3004,ENSAYOS!$C$5:$C$3004,F789,ENSAYOS!$Q$5:$Q$3004,"&gt;0",ENSAYOS!$G$5:$G$3004,"&gt;="&amp;CONFIG!$B$27),IF(U789="","",_xlfn.MINIFS(ENSAYOS!$Q$5:$Q$3004,ENSAYOS!$C$5:$C$3004,F789,ENSAYOS!$Q$5:$Q$3004,"&gt;0",ENSAYOS!$G$5:$G$3004,N789)/X789))</f>
        <v/>
      </c>
      <c r="AA789" s="16" t="str">
        <f aca="false">IF(D789="","",IFERROR(1/(1/INDEX(CONFIG!$J$5:$J$14,MATCH(D789,CONFIG!$D$5:$D$14,0))),""))</f>
        <v/>
      </c>
      <c r="AB789" s="16" t="str">
        <f aca="false">IF(D789="","",IFERROR(1/(1/INDEX(CONFIG!$K$5:$K$14,MATCH(D789,CONFIG!$D$5:$D$14,0))),""))</f>
        <v/>
      </c>
      <c r="AC789" s="19" t="str">
        <f aca="false">IF(N(M789)=0,"",IF(AA789="","Sin spec",IF(AND(Y789&gt;=AA789,OR(AB789="",Z789&gt;=AB789)),"CUMPLE","NO CUMPLE")&amp;IF(V789=""," (est.)","")))</f>
        <v/>
      </c>
      <c r="AD789" s="20" t="str">
        <f aca="false">IF(F789="","",IF(COUNTIFS(ABSORCION!$C$5:$C$1004,F789,ABSORCION!$I$5:$I$1004,"&gt;0")=0,"",AVERAGEIFS(ABSORCION!$I$5:$I$1004,ABSORCION!$C$5:$C$1004,F789,ABSORCION!$I$5:$I$1004,"&gt;0")))</f>
        <v/>
      </c>
      <c r="AE789" s="20" t="str">
        <f aca="false">IF(F789="","",IF(COUNTIFS(ABSORCION!$C$5:$C$1004,F789,ABSORCION!$I$5:$I$1004,"&gt;0")=0,"",AVERAGEIFS(ABSORCION!$K$5:$K$1004,ABSORCION!$C$5:$C$1004,F789,ABSORCION!$I$5:$I$1004,"&gt;0")))</f>
        <v/>
      </c>
      <c r="AF789" s="20" t="str">
        <f aca="false">IF(AE789="","",IF(AE789&gt;=CONFIG!$E$21,CONFIG!$F$21,IF(AE789&gt;=CONFIG!$E$20,CONFIG!$F$20,CONFIG!$F$19)))</f>
        <v/>
      </c>
      <c r="AG789" s="21" t="str">
        <f aca="false">IF(F789="","",TRIM(IF(N(M789)=0,"Sin ensayos. ","")&amp;IF(AND(N(M789)&gt;0,N(M789)&lt;CONFIG!$B$26),"Menos de "&amp;CONFIG!$B$26&amp;" probetas. ","")&amp;IF(N(T789)&gt;CONFIG!$B$25,"CV alto. ","")&amp;IF(AND(N(AD789)&gt;0,N(AD789)&gt;N(AF789)),"Absorción alta. ","")))</f>
        <v/>
      </c>
      <c r="AH789" s="22" t="str">
        <f aca="false">IF(AND(N(M789)&gt;0,OR(CONTROL!$C$4="TODAS",C789=CONTROL!$C$4),D789=CONTROL!$C$5),MAX($AH$4:AH788)+1,"")</f>
        <v/>
      </c>
      <c r="AI789" s="22" t="str">
        <f aca="false">IF(AH789="","",P789^2)</f>
        <v/>
      </c>
    </row>
    <row r="790" customFormat="false" ht="15" hidden="false" customHeight="false" outlineLevel="0" collapsed="false">
      <c r="A790" s="11" t="str">
        <f aca="false">IF(B790="","",ROW()-4)</f>
        <v/>
      </c>
      <c r="B790" s="12"/>
      <c r="C790" s="13"/>
      <c r="D790" s="13"/>
      <c r="E790" s="13"/>
      <c r="F790" s="14" t="str">
        <f aca="false">IF(OR(B790="",C790="",D790=""),"",IFERROR(INDEX(CONFIG!$E$5:$E$14,MATCH(D790,CONFIG!$D$5:$D$14,0)),"?")&amp;RIGHT("0"&amp;DAY(B790),2)&amp;RIGHT("0"&amp;MONTH(B790),2)&amp;RIGHT(YEAR(B790),2)&amp;C790&amp;IF(E790="","","-"&amp;E790))</f>
        <v/>
      </c>
      <c r="G790" s="13"/>
      <c r="H790" s="13"/>
      <c r="I790" s="13"/>
      <c r="J790" s="13"/>
      <c r="K790" s="13"/>
      <c r="L790" s="13"/>
      <c r="M790" s="11" t="str">
        <f aca="false">IF(F790="","",COUNTIFS(ENSAYOS!$C$5:$C$3004,F790,ENSAYOS!$Q$5:$Q$3004,"&gt;0"))</f>
        <v/>
      </c>
      <c r="N790" s="15" t="str">
        <f aca="false">IF(N(M790)=0,"",_xlfn.MINIFS(ENSAYOS!$G$5:$G$3004,ENSAYOS!$C$5:$C$3004,F790,ENSAYOS!$Q$5:$Q$3004,"&gt;0"))</f>
        <v/>
      </c>
      <c r="O790" s="15" t="str">
        <f aca="false">IF(N(M790)=0,"",_xlfn.MAXIFS(ENSAYOS!$G$5:$G$3004,ENSAYOS!$C$5:$C$3004,F790,ENSAYOS!$Q$5:$Q$3004,"&gt;0"))</f>
        <v/>
      </c>
      <c r="P790" s="16" t="str">
        <f aca="false">IF(N(M790)=0,"",AVERAGEIFS(ENSAYOS!$Q$5:$Q$3004,ENSAYOS!$C$5:$C$3004,F790,ENSAYOS!$Q$5:$Q$3004,"&gt;0"))</f>
        <v/>
      </c>
      <c r="Q790" s="16" t="str">
        <f aca="false">IF(N(M790)=0,"",_xlfn.MINIFS(ENSAYOS!$Q$5:$Q$3004,ENSAYOS!$C$5:$C$3004,F790,ENSAYOS!$Q$5:$Q$3004,"&gt;0"))</f>
        <v/>
      </c>
      <c r="R790" s="16" t="str">
        <f aca="false">IF(N(M790)=0,"",_xlfn.MAXIFS(ENSAYOS!$Q$5:$Q$3004,ENSAYOS!$C$5:$C$3004,F790,ENSAYOS!$Q$5:$Q$3004,"&gt;0"))</f>
        <v/>
      </c>
      <c r="S790" s="16" t="str">
        <f aca="false">IF(N(M790)&lt;2,"",SQRT(MAX(0,(SUMIFS(ENSAYOS!$X$5:$X$3004,ENSAYOS!$C$5:$C$3004,F790,ENSAYOS!$Q$5:$Q$3004,"&gt;0")-M790*P790^2)/(M790-1))))</f>
        <v/>
      </c>
      <c r="T790" s="17" t="str">
        <f aca="false">IF(S790="","",S790/P790)</f>
        <v/>
      </c>
      <c r="U790" s="16" t="str">
        <f aca="false">IF(N(M790)=0,"",IF(N790&gt;=CONFIG!$B$27,"",AVERAGEIFS(ENSAYOS!$Q$5:$Q$3004,ENSAYOS!$C$5:$C$3004,F790,ENSAYOS!$Q$5:$Q$3004,"&gt;0",ENSAYOS!$G$5:$G$3004,N790)))</f>
        <v/>
      </c>
      <c r="V790" s="16" t="str">
        <f aca="false">IF(N(M790)=0,"",IF(COUNTIFS(ENSAYOS!$C$5:$C$3004,F790,ENSAYOS!$Q$5:$Q$3004,"&gt;0",ENSAYOS!$G$5:$G$3004,"&gt;="&amp;CONFIG!$B$27)=0,"",AVERAGEIFS(ENSAYOS!$Q$5:$Q$3004,ENSAYOS!$C$5:$C$3004,F790,ENSAYOS!$Q$5:$Q$3004,"&gt;0",ENSAYOS!$G$5:$G$3004,"&gt;="&amp;CONFIG!$B$27)))</f>
        <v/>
      </c>
      <c r="W790" s="18" t="str">
        <f aca="false">IF(AND(U790&lt;&gt;"",V790&lt;&gt;""),U790/V790,"")</f>
        <v/>
      </c>
      <c r="X790" s="18" t="str">
        <f aca="false">IF(U790="","",INDEX('CURVA EDAD'!$E$5:$E$32,MIN(28,MAX(1,N790))))</f>
        <v/>
      </c>
      <c r="Y790" s="16" t="str">
        <f aca="false">IF(V790&lt;&gt;"",V790,IF(U790="","",U790/X790))</f>
        <v/>
      </c>
      <c r="Z790" s="16" t="str">
        <f aca="false">IF(V790&lt;&gt;"",_xlfn.MINIFS(ENSAYOS!$Q$5:$Q$3004,ENSAYOS!$C$5:$C$3004,F790,ENSAYOS!$Q$5:$Q$3004,"&gt;0",ENSAYOS!$G$5:$G$3004,"&gt;="&amp;CONFIG!$B$27),IF(U790="","",_xlfn.MINIFS(ENSAYOS!$Q$5:$Q$3004,ENSAYOS!$C$5:$C$3004,F790,ENSAYOS!$Q$5:$Q$3004,"&gt;0",ENSAYOS!$G$5:$G$3004,N790)/X790))</f>
        <v/>
      </c>
      <c r="AA790" s="16" t="str">
        <f aca="false">IF(D790="","",IFERROR(1/(1/INDEX(CONFIG!$J$5:$J$14,MATCH(D790,CONFIG!$D$5:$D$14,0))),""))</f>
        <v/>
      </c>
      <c r="AB790" s="16" t="str">
        <f aca="false">IF(D790="","",IFERROR(1/(1/INDEX(CONFIG!$K$5:$K$14,MATCH(D790,CONFIG!$D$5:$D$14,0))),""))</f>
        <v/>
      </c>
      <c r="AC790" s="19" t="str">
        <f aca="false">IF(N(M790)=0,"",IF(AA790="","Sin spec",IF(AND(Y790&gt;=AA790,OR(AB790="",Z790&gt;=AB790)),"CUMPLE","NO CUMPLE")&amp;IF(V790=""," (est.)","")))</f>
        <v/>
      </c>
      <c r="AD790" s="20" t="str">
        <f aca="false">IF(F790="","",IF(COUNTIFS(ABSORCION!$C$5:$C$1004,F790,ABSORCION!$I$5:$I$1004,"&gt;0")=0,"",AVERAGEIFS(ABSORCION!$I$5:$I$1004,ABSORCION!$C$5:$C$1004,F790,ABSORCION!$I$5:$I$1004,"&gt;0")))</f>
        <v/>
      </c>
      <c r="AE790" s="20" t="str">
        <f aca="false">IF(F790="","",IF(COUNTIFS(ABSORCION!$C$5:$C$1004,F790,ABSORCION!$I$5:$I$1004,"&gt;0")=0,"",AVERAGEIFS(ABSORCION!$K$5:$K$1004,ABSORCION!$C$5:$C$1004,F790,ABSORCION!$I$5:$I$1004,"&gt;0")))</f>
        <v/>
      </c>
      <c r="AF790" s="20" t="str">
        <f aca="false">IF(AE790="","",IF(AE790&gt;=CONFIG!$E$21,CONFIG!$F$21,IF(AE790&gt;=CONFIG!$E$20,CONFIG!$F$20,CONFIG!$F$19)))</f>
        <v/>
      </c>
      <c r="AG790" s="21" t="str">
        <f aca="false">IF(F790="","",TRIM(IF(N(M790)=0,"Sin ensayos. ","")&amp;IF(AND(N(M790)&gt;0,N(M790)&lt;CONFIG!$B$26),"Menos de "&amp;CONFIG!$B$26&amp;" probetas. ","")&amp;IF(N(T790)&gt;CONFIG!$B$25,"CV alto. ","")&amp;IF(AND(N(AD790)&gt;0,N(AD790)&gt;N(AF790)),"Absorción alta. ","")))</f>
        <v/>
      </c>
      <c r="AH790" s="22" t="str">
        <f aca="false">IF(AND(N(M790)&gt;0,OR(CONTROL!$C$4="TODAS",C790=CONTROL!$C$4),D790=CONTROL!$C$5),MAX($AH$4:AH789)+1,"")</f>
        <v/>
      </c>
      <c r="AI790" s="22" t="str">
        <f aca="false">IF(AH790="","",P790^2)</f>
        <v/>
      </c>
    </row>
    <row r="791" customFormat="false" ht="15" hidden="false" customHeight="false" outlineLevel="0" collapsed="false">
      <c r="A791" s="11" t="str">
        <f aca="false">IF(B791="","",ROW()-4)</f>
        <v/>
      </c>
      <c r="B791" s="12"/>
      <c r="C791" s="13"/>
      <c r="D791" s="13"/>
      <c r="E791" s="13"/>
      <c r="F791" s="14" t="str">
        <f aca="false">IF(OR(B791="",C791="",D791=""),"",IFERROR(INDEX(CONFIG!$E$5:$E$14,MATCH(D791,CONFIG!$D$5:$D$14,0)),"?")&amp;RIGHT("0"&amp;DAY(B791),2)&amp;RIGHT("0"&amp;MONTH(B791),2)&amp;RIGHT(YEAR(B791),2)&amp;C791&amp;IF(E791="","","-"&amp;E791))</f>
        <v/>
      </c>
      <c r="G791" s="13"/>
      <c r="H791" s="13"/>
      <c r="I791" s="13"/>
      <c r="J791" s="13"/>
      <c r="K791" s="13"/>
      <c r="L791" s="13"/>
      <c r="M791" s="11" t="str">
        <f aca="false">IF(F791="","",COUNTIFS(ENSAYOS!$C$5:$C$3004,F791,ENSAYOS!$Q$5:$Q$3004,"&gt;0"))</f>
        <v/>
      </c>
      <c r="N791" s="15" t="str">
        <f aca="false">IF(N(M791)=0,"",_xlfn.MINIFS(ENSAYOS!$G$5:$G$3004,ENSAYOS!$C$5:$C$3004,F791,ENSAYOS!$Q$5:$Q$3004,"&gt;0"))</f>
        <v/>
      </c>
      <c r="O791" s="15" t="str">
        <f aca="false">IF(N(M791)=0,"",_xlfn.MAXIFS(ENSAYOS!$G$5:$G$3004,ENSAYOS!$C$5:$C$3004,F791,ENSAYOS!$Q$5:$Q$3004,"&gt;0"))</f>
        <v/>
      </c>
      <c r="P791" s="16" t="str">
        <f aca="false">IF(N(M791)=0,"",AVERAGEIFS(ENSAYOS!$Q$5:$Q$3004,ENSAYOS!$C$5:$C$3004,F791,ENSAYOS!$Q$5:$Q$3004,"&gt;0"))</f>
        <v/>
      </c>
      <c r="Q791" s="16" t="str">
        <f aca="false">IF(N(M791)=0,"",_xlfn.MINIFS(ENSAYOS!$Q$5:$Q$3004,ENSAYOS!$C$5:$C$3004,F791,ENSAYOS!$Q$5:$Q$3004,"&gt;0"))</f>
        <v/>
      </c>
      <c r="R791" s="16" t="str">
        <f aca="false">IF(N(M791)=0,"",_xlfn.MAXIFS(ENSAYOS!$Q$5:$Q$3004,ENSAYOS!$C$5:$C$3004,F791,ENSAYOS!$Q$5:$Q$3004,"&gt;0"))</f>
        <v/>
      </c>
      <c r="S791" s="16" t="str">
        <f aca="false">IF(N(M791)&lt;2,"",SQRT(MAX(0,(SUMIFS(ENSAYOS!$X$5:$X$3004,ENSAYOS!$C$5:$C$3004,F791,ENSAYOS!$Q$5:$Q$3004,"&gt;0")-M791*P791^2)/(M791-1))))</f>
        <v/>
      </c>
      <c r="T791" s="17" t="str">
        <f aca="false">IF(S791="","",S791/P791)</f>
        <v/>
      </c>
      <c r="U791" s="16" t="str">
        <f aca="false">IF(N(M791)=0,"",IF(N791&gt;=CONFIG!$B$27,"",AVERAGEIFS(ENSAYOS!$Q$5:$Q$3004,ENSAYOS!$C$5:$C$3004,F791,ENSAYOS!$Q$5:$Q$3004,"&gt;0",ENSAYOS!$G$5:$G$3004,N791)))</f>
        <v/>
      </c>
      <c r="V791" s="16" t="str">
        <f aca="false">IF(N(M791)=0,"",IF(COUNTIFS(ENSAYOS!$C$5:$C$3004,F791,ENSAYOS!$Q$5:$Q$3004,"&gt;0",ENSAYOS!$G$5:$G$3004,"&gt;="&amp;CONFIG!$B$27)=0,"",AVERAGEIFS(ENSAYOS!$Q$5:$Q$3004,ENSAYOS!$C$5:$C$3004,F791,ENSAYOS!$Q$5:$Q$3004,"&gt;0",ENSAYOS!$G$5:$G$3004,"&gt;="&amp;CONFIG!$B$27)))</f>
        <v/>
      </c>
      <c r="W791" s="18" t="str">
        <f aca="false">IF(AND(U791&lt;&gt;"",V791&lt;&gt;""),U791/V791,"")</f>
        <v/>
      </c>
      <c r="X791" s="18" t="str">
        <f aca="false">IF(U791="","",INDEX('CURVA EDAD'!$E$5:$E$32,MIN(28,MAX(1,N791))))</f>
        <v/>
      </c>
      <c r="Y791" s="16" t="str">
        <f aca="false">IF(V791&lt;&gt;"",V791,IF(U791="","",U791/X791))</f>
        <v/>
      </c>
      <c r="Z791" s="16" t="str">
        <f aca="false">IF(V791&lt;&gt;"",_xlfn.MINIFS(ENSAYOS!$Q$5:$Q$3004,ENSAYOS!$C$5:$C$3004,F791,ENSAYOS!$Q$5:$Q$3004,"&gt;0",ENSAYOS!$G$5:$G$3004,"&gt;="&amp;CONFIG!$B$27),IF(U791="","",_xlfn.MINIFS(ENSAYOS!$Q$5:$Q$3004,ENSAYOS!$C$5:$C$3004,F791,ENSAYOS!$Q$5:$Q$3004,"&gt;0",ENSAYOS!$G$5:$G$3004,N791)/X791))</f>
        <v/>
      </c>
      <c r="AA791" s="16" t="str">
        <f aca="false">IF(D791="","",IFERROR(1/(1/INDEX(CONFIG!$J$5:$J$14,MATCH(D791,CONFIG!$D$5:$D$14,0))),""))</f>
        <v/>
      </c>
      <c r="AB791" s="16" t="str">
        <f aca="false">IF(D791="","",IFERROR(1/(1/INDEX(CONFIG!$K$5:$K$14,MATCH(D791,CONFIG!$D$5:$D$14,0))),""))</f>
        <v/>
      </c>
      <c r="AC791" s="19" t="str">
        <f aca="false">IF(N(M791)=0,"",IF(AA791="","Sin spec",IF(AND(Y791&gt;=AA791,OR(AB791="",Z791&gt;=AB791)),"CUMPLE","NO CUMPLE")&amp;IF(V791=""," (est.)","")))</f>
        <v/>
      </c>
      <c r="AD791" s="20" t="str">
        <f aca="false">IF(F791="","",IF(COUNTIFS(ABSORCION!$C$5:$C$1004,F791,ABSORCION!$I$5:$I$1004,"&gt;0")=0,"",AVERAGEIFS(ABSORCION!$I$5:$I$1004,ABSORCION!$C$5:$C$1004,F791,ABSORCION!$I$5:$I$1004,"&gt;0")))</f>
        <v/>
      </c>
      <c r="AE791" s="20" t="str">
        <f aca="false">IF(F791="","",IF(COUNTIFS(ABSORCION!$C$5:$C$1004,F791,ABSORCION!$I$5:$I$1004,"&gt;0")=0,"",AVERAGEIFS(ABSORCION!$K$5:$K$1004,ABSORCION!$C$5:$C$1004,F791,ABSORCION!$I$5:$I$1004,"&gt;0")))</f>
        <v/>
      </c>
      <c r="AF791" s="20" t="str">
        <f aca="false">IF(AE791="","",IF(AE791&gt;=CONFIG!$E$21,CONFIG!$F$21,IF(AE791&gt;=CONFIG!$E$20,CONFIG!$F$20,CONFIG!$F$19)))</f>
        <v/>
      </c>
      <c r="AG791" s="21" t="str">
        <f aca="false">IF(F791="","",TRIM(IF(N(M791)=0,"Sin ensayos. ","")&amp;IF(AND(N(M791)&gt;0,N(M791)&lt;CONFIG!$B$26),"Menos de "&amp;CONFIG!$B$26&amp;" probetas. ","")&amp;IF(N(T791)&gt;CONFIG!$B$25,"CV alto. ","")&amp;IF(AND(N(AD791)&gt;0,N(AD791)&gt;N(AF791)),"Absorción alta. ","")))</f>
        <v/>
      </c>
      <c r="AH791" s="22" t="str">
        <f aca="false">IF(AND(N(M791)&gt;0,OR(CONTROL!$C$4="TODAS",C791=CONTROL!$C$4),D791=CONTROL!$C$5),MAX($AH$4:AH790)+1,"")</f>
        <v/>
      </c>
      <c r="AI791" s="22" t="str">
        <f aca="false">IF(AH791="","",P791^2)</f>
        <v/>
      </c>
    </row>
    <row r="792" customFormat="false" ht="15" hidden="false" customHeight="false" outlineLevel="0" collapsed="false">
      <c r="A792" s="11" t="str">
        <f aca="false">IF(B792="","",ROW()-4)</f>
        <v/>
      </c>
      <c r="B792" s="12"/>
      <c r="C792" s="13"/>
      <c r="D792" s="13"/>
      <c r="E792" s="13"/>
      <c r="F792" s="14" t="str">
        <f aca="false">IF(OR(B792="",C792="",D792=""),"",IFERROR(INDEX(CONFIG!$E$5:$E$14,MATCH(D792,CONFIG!$D$5:$D$14,0)),"?")&amp;RIGHT("0"&amp;DAY(B792),2)&amp;RIGHT("0"&amp;MONTH(B792),2)&amp;RIGHT(YEAR(B792),2)&amp;C792&amp;IF(E792="","","-"&amp;E792))</f>
        <v/>
      </c>
      <c r="G792" s="13"/>
      <c r="H792" s="13"/>
      <c r="I792" s="13"/>
      <c r="J792" s="13"/>
      <c r="K792" s="13"/>
      <c r="L792" s="13"/>
      <c r="M792" s="11" t="str">
        <f aca="false">IF(F792="","",COUNTIFS(ENSAYOS!$C$5:$C$3004,F792,ENSAYOS!$Q$5:$Q$3004,"&gt;0"))</f>
        <v/>
      </c>
      <c r="N792" s="15" t="str">
        <f aca="false">IF(N(M792)=0,"",_xlfn.MINIFS(ENSAYOS!$G$5:$G$3004,ENSAYOS!$C$5:$C$3004,F792,ENSAYOS!$Q$5:$Q$3004,"&gt;0"))</f>
        <v/>
      </c>
      <c r="O792" s="15" t="str">
        <f aca="false">IF(N(M792)=0,"",_xlfn.MAXIFS(ENSAYOS!$G$5:$G$3004,ENSAYOS!$C$5:$C$3004,F792,ENSAYOS!$Q$5:$Q$3004,"&gt;0"))</f>
        <v/>
      </c>
      <c r="P792" s="16" t="str">
        <f aca="false">IF(N(M792)=0,"",AVERAGEIFS(ENSAYOS!$Q$5:$Q$3004,ENSAYOS!$C$5:$C$3004,F792,ENSAYOS!$Q$5:$Q$3004,"&gt;0"))</f>
        <v/>
      </c>
      <c r="Q792" s="16" t="str">
        <f aca="false">IF(N(M792)=0,"",_xlfn.MINIFS(ENSAYOS!$Q$5:$Q$3004,ENSAYOS!$C$5:$C$3004,F792,ENSAYOS!$Q$5:$Q$3004,"&gt;0"))</f>
        <v/>
      </c>
      <c r="R792" s="16" t="str">
        <f aca="false">IF(N(M792)=0,"",_xlfn.MAXIFS(ENSAYOS!$Q$5:$Q$3004,ENSAYOS!$C$5:$C$3004,F792,ENSAYOS!$Q$5:$Q$3004,"&gt;0"))</f>
        <v/>
      </c>
      <c r="S792" s="16" t="str">
        <f aca="false">IF(N(M792)&lt;2,"",SQRT(MAX(0,(SUMIFS(ENSAYOS!$X$5:$X$3004,ENSAYOS!$C$5:$C$3004,F792,ENSAYOS!$Q$5:$Q$3004,"&gt;0")-M792*P792^2)/(M792-1))))</f>
        <v/>
      </c>
      <c r="T792" s="17" t="str">
        <f aca="false">IF(S792="","",S792/P792)</f>
        <v/>
      </c>
      <c r="U792" s="16" t="str">
        <f aca="false">IF(N(M792)=0,"",IF(N792&gt;=CONFIG!$B$27,"",AVERAGEIFS(ENSAYOS!$Q$5:$Q$3004,ENSAYOS!$C$5:$C$3004,F792,ENSAYOS!$Q$5:$Q$3004,"&gt;0",ENSAYOS!$G$5:$G$3004,N792)))</f>
        <v/>
      </c>
      <c r="V792" s="16" t="str">
        <f aca="false">IF(N(M792)=0,"",IF(COUNTIFS(ENSAYOS!$C$5:$C$3004,F792,ENSAYOS!$Q$5:$Q$3004,"&gt;0",ENSAYOS!$G$5:$G$3004,"&gt;="&amp;CONFIG!$B$27)=0,"",AVERAGEIFS(ENSAYOS!$Q$5:$Q$3004,ENSAYOS!$C$5:$C$3004,F792,ENSAYOS!$Q$5:$Q$3004,"&gt;0",ENSAYOS!$G$5:$G$3004,"&gt;="&amp;CONFIG!$B$27)))</f>
        <v/>
      </c>
      <c r="W792" s="18" t="str">
        <f aca="false">IF(AND(U792&lt;&gt;"",V792&lt;&gt;""),U792/V792,"")</f>
        <v/>
      </c>
      <c r="X792" s="18" t="str">
        <f aca="false">IF(U792="","",INDEX('CURVA EDAD'!$E$5:$E$32,MIN(28,MAX(1,N792))))</f>
        <v/>
      </c>
      <c r="Y792" s="16" t="str">
        <f aca="false">IF(V792&lt;&gt;"",V792,IF(U792="","",U792/X792))</f>
        <v/>
      </c>
      <c r="Z792" s="16" t="str">
        <f aca="false">IF(V792&lt;&gt;"",_xlfn.MINIFS(ENSAYOS!$Q$5:$Q$3004,ENSAYOS!$C$5:$C$3004,F792,ENSAYOS!$Q$5:$Q$3004,"&gt;0",ENSAYOS!$G$5:$G$3004,"&gt;="&amp;CONFIG!$B$27),IF(U792="","",_xlfn.MINIFS(ENSAYOS!$Q$5:$Q$3004,ENSAYOS!$C$5:$C$3004,F792,ENSAYOS!$Q$5:$Q$3004,"&gt;0",ENSAYOS!$G$5:$G$3004,N792)/X792))</f>
        <v/>
      </c>
      <c r="AA792" s="16" t="str">
        <f aca="false">IF(D792="","",IFERROR(1/(1/INDEX(CONFIG!$J$5:$J$14,MATCH(D792,CONFIG!$D$5:$D$14,0))),""))</f>
        <v/>
      </c>
      <c r="AB792" s="16" t="str">
        <f aca="false">IF(D792="","",IFERROR(1/(1/INDEX(CONFIG!$K$5:$K$14,MATCH(D792,CONFIG!$D$5:$D$14,0))),""))</f>
        <v/>
      </c>
      <c r="AC792" s="19" t="str">
        <f aca="false">IF(N(M792)=0,"",IF(AA792="","Sin spec",IF(AND(Y792&gt;=AA792,OR(AB792="",Z792&gt;=AB792)),"CUMPLE","NO CUMPLE")&amp;IF(V792=""," (est.)","")))</f>
        <v/>
      </c>
      <c r="AD792" s="20" t="str">
        <f aca="false">IF(F792="","",IF(COUNTIFS(ABSORCION!$C$5:$C$1004,F792,ABSORCION!$I$5:$I$1004,"&gt;0")=0,"",AVERAGEIFS(ABSORCION!$I$5:$I$1004,ABSORCION!$C$5:$C$1004,F792,ABSORCION!$I$5:$I$1004,"&gt;0")))</f>
        <v/>
      </c>
      <c r="AE792" s="20" t="str">
        <f aca="false">IF(F792="","",IF(COUNTIFS(ABSORCION!$C$5:$C$1004,F792,ABSORCION!$I$5:$I$1004,"&gt;0")=0,"",AVERAGEIFS(ABSORCION!$K$5:$K$1004,ABSORCION!$C$5:$C$1004,F792,ABSORCION!$I$5:$I$1004,"&gt;0")))</f>
        <v/>
      </c>
      <c r="AF792" s="20" t="str">
        <f aca="false">IF(AE792="","",IF(AE792&gt;=CONFIG!$E$21,CONFIG!$F$21,IF(AE792&gt;=CONFIG!$E$20,CONFIG!$F$20,CONFIG!$F$19)))</f>
        <v/>
      </c>
      <c r="AG792" s="21" t="str">
        <f aca="false">IF(F792="","",TRIM(IF(N(M792)=0,"Sin ensayos. ","")&amp;IF(AND(N(M792)&gt;0,N(M792)&lt;CONFIG!$B$26),"Menos de "&amp;CONFIG!$B$26&amp;" probetas. ","")&amp;IF(N(T792)&gt;CONFIG!$B$25,"CV alto. ","")&amp;IF(AND(N(AD792)&gt;0,N(AD792)&gt;N(AF792)),"Absorción alta. ","")))</f>
        <v/>
      </c>
      <c r="AH792" s="22" t="str">
        <f aca="false">IF(AND(N(M792)&gt;0,OR(CONTROL!$C$4="TODAS",C792=CONTROL!$C$4),D792=CONTROL!$C$5),MAX($AH$4:AH791)+1,"")</f>
        <v/>
      </c>
      <c r="AI792" s="22" t="str">
        <f aca="false">IF(AH792="","",P792^2)</f>
        <v/>
      </c>
    </row>
    <row r="793" customFormat="false" ht="15" hidden="false" customHeight="false" outlineLevel="0" collapsed="false">
      <c r="A793" s="11" t="str">
        <f aca="false">IF(B793="","",ROW()-4)</f>
        <v/>
      </c>
      <c r="B793" s="12"/>
      <c r="C793" s="13"/>
      <c r="D793" s="13"/>
      <c r="E793" s="13"/>
      <c r="F793" s="14" t="str">
        <f aca="false">IF(OR(B793="",C793="",D793=""),"",IFERROR(INDEX(CONFIG!$E$5:$E$14,MATCH(D793,CONFIG!$D$5:$D$14,0)),"?")&amp;RIGHT("0"&amp;DAY(B793),2)&amp;RIGHT("0"&amp;MONTH(B793),2)&amp;RIGHT(YEAR(B793),2)&amp;C793&amp;IF(E793="","","-"&amp;E793))</f>
        <v/>
      </c>
      <c r="G793" s="13"/>
      <c r="H793" s="13"/>
      <c r="I793" s="13"/>
      <c r="J793" s="13"/>
      <c r="K793" s="13"/>
      <c r="L793" s="13"/>
      <c r="M793" s="11" t="str">
        <f aca="false">IF(F793="","",COUNTIFS(ENSAYOS!$C$5:$C$3004,F793,ENSAYOS!$Q$5:$Q$3004,"&gt;0"))</f>
        <v/>
      </c>
      <c r="N793" s="15" t="str">
        <f aca="false">IF(N(M793)=0,"",_xlfn.MINIFS(ENSAYOS!$G$5:$G$3004,ENSAYOS!$C$5:$C$3004,F793,ENSAYOS!$Q$5:$Q$3004,"&gt;0"))</f>
        <v/>
      </c>
      <c r="O793" s="15" t="str">
        <f aca="false">IF(N(M793)=0,"",_xlfn.MAXIFS(ENSAYOS!$G$5:$G$3004,ENSAYOS!$C$5:$C$3004,F793,ENSAYOS!$Q$5:$Q$3004,"&gt;0"))</f>
        <v/>
      </c>
      <c r="P793" s="16" t="str">
        <f aca="false">IF(N(M793)=0,"",AVERAGEIFS(ENSAYOS!$Q$5:$Q$3004,ENSAYOS!$C$5:$C$3004,F793,ENSAYOS!$Q$5:$Q$3004,"&gt;0"))</f>
        <v/>
      </c>
      <c r="Q793" s="16" t="str">
        <f aca="false">IF(N(M793)=0,"",_xlfn.MINIFS(ENSAYOS!$Q$5:$Q$3004,ENSAYOS!$C$5:$C$3004,F793,ENSAYOS!$Q$5:$Q$3004,"&gt;0"))</f>
        <v/>
      </c>
      <c r="R793" s="16" t="str">
        <f aca="false">IF(N(M793)=0,"",_xlfn.MAXIFS(ENSAYOS!$Q$5:$Q$3004,ENSAYOS!$C$5:$C$3004,F793,ENSAYOS!$Q$5:$Q$3004,"&gt;0"))</f>
        <v/>
      </c>
      <c r="S793" s="16" t="str">
        <f aca="false">IF(N(M793)&lt;2,"",SQRT(MAX(0,(SUMIFS(ENSAYOS!$X$5:$X$3004,ENSAYOS!$C$5:$C$3004,F793,ENSAYOS!$Q$5:$Q$3004,"&gt;0")-M793*P793^2)/(M793-1))))</f>
        <v/>
      </c>
      <c r="T793" s="17" t="str">
        <f aca="false">IF(S793="","",S793/P793)</f>
        <v/>
      </c>
      <c r="U793" s="16" t="str">
        <f aca="false">IF(N(M793)=0,"",IF(N793&gt;=CONFIG!$B$27,"",AVERAGEIFS(ENSAYOS!$Q$5:$Q$3004,ENSAYOS!$C$5:$C$3004,F793,ENSAYOS!$Q$5:$Q$3004,"&gt;0",ENSAYOS!$G$5:$G$3004,N793)))</f>
        <v/>
      </c>
      <c r="V793" s="16" t="str">
        <f aca="false">IF(N(M793)=0,"",IF(COUNTIFS(ENSAYOS!$C$5:$C$3004,F793,ENSAYOS!$Q$5:$Q$3004,"&gt;0",ENSAYOS!$G$5:$G$3004,"&gt;="&amp;CONFIG!$B$27)=0,"",AVERAGEIFS(ENSAYOS!$Q$5:$Q$3004,ENSAYOS!$C$5:$C$3004,F793,ENSAYOS!$Q$5:$Q$3004,"&gt;0",ENSAYOS!$G$5:$G$3004,"&gt;="&amp;CONFIG!$B$27)))</f>
        <v/>
      </c>
      <c r="W793" s="18" t="str">
        <f aca="false">IF(AND(U793&lt;&gt;"",V793&lt;&gt;""),U793/V793,"")</f>
        <v/>
      </c>
      <c r="X793" s="18" t="str">
        <f aca="false">IF(U793="","",INDEX('CURVA EDAD'!$E$5:$E$32,MIN(28,MAX(1,N793))))</f>
        <v/>
      </c>
      <c r="Y793" s="16" t="str">
        <f aca="false">IF(V793&lt;&gt;"",V793,IF(U793="","",U793/X793))</f>
        <v/>
      </c>
      <c r="Z793" s="16" t="str">
        <f aca="false">IF(V793&lt;&gt;"",_xlfn.MINIFS(ENSAYOS!$Q$5:$Q$3004,ENSAYOS!$C$5:$C$3004,F793,ENSAYOS!$Q$5:$Q$3004,"&gt;0",ENSAYOS!$G$5:$G$3004,"&gt;="&amp;CONFIG!$B$27),IF(U793="","",_xlfn.MINIFS(ENSAYOS!$Q$5:$Q$3004,ENSAYOS!$C$5:$C$3004,F793,ENSAYOS!$Q$5:$Q$3004,"&gt;0",ENSAYOS!$G$5:$G$3004,N793)/X793))</f>
        <v/>
      </c>
      <c r="AA793" s="16" t="str">
        <f aca="false">IF(D793="","",IFERROR(1/(1/INDEX(CONFIG!$J$5:$J$14,MATCH(D793,CONFIG!$D$5:$D$14,0))),""))</f>
        <v/>
      </c>
      <c r="AB793" s="16" t="str">
        <f aca="false">IF(D793="","",IFERROR(1/(1/INDEX(CONFIG!$K$5:$K$14,MATCH(D793,CONFIG!$D$5:$D$14,0))),""))</f>
        <v/>
      </c>
      <c r="AC793" s="19" t="str">
        <f aca="false">IF(N(M793)=0,"",IF(AA793="","Sin spec",IF(AND(Y793&gt;=AA793,OR(AB793="",Z793&gt;=AB793)),"CUMPLE","NO CUMPLE")&amp;IF(V793=""," (est.)","")))</f>
        <v/>
      </c>
      <c r="AD793" s="20" t="str">
        <f aca="false">IF(F793="","",IF(COUNTIFS(ABSORCION!$C$5:$C$1004,F793,ABSORCION!$I$5:$I$1004,"&gt;0")=0,"",AVERAGEIFS(ABSORCION!$I$5:$I$1004,ABSORCION!$C$5:$C$1004,F793,ABSORCION!$I$5:$I$1004,"&gt;0")))</f>
        <v/>
      </c>
      <c r="AE793" s="20" t="str">
        <f aca="false">IF(F793="","",IF(COUNTIFS(ABSORCION!$C$5:$C$1004,F793,ABSORCION!$I$5:$I$1004,"&gt;0")=0,"",AVERAGEIFS(ABSORCION!$K$5:$K$1004,ABSORCION!$C$5:$C$1004,F793,ABSORCION!$I$5:$I$1004,"&gt;0")))</f>
        <v/>
      </c>
      <c r="AF793" s="20" t="str">
        <f aca="false">IF(AE793="","",IF(AE793&gt;=CONFIG!$E$21,CONFIG!$F$21,IF(AE793&gt;=CONFIG!$E$20,CONFIG!$F$20,CONFIG!$F$19)))</f>
        <v/>
      </c>
      <c r="AG793" s="21" t="str">
        <f aca="false">IF(F793="","",TRIM(IF(N(M793)=0,"Sin ensayos. ","")&amp;IF(AND(N(M793)&gt;0,N(M793)&lt;CONFIG!$B$26),"Menos de "&amp;CONFIG!$B$26&amp;" probetas. ","")&amp;IF(N(T793)&gt;CONFIG!$B$25,"CV alto. ","")&amp;IF(AND(N(AD793)&gt;0,N(AD793)&gt;N(AF793)),"Absorción alta. ","")))</f>
        <v/>
      </c>
      <c r="AH793" s="22" t="str">
        <f aca="false">IF(AND(N(M793)&gt;0,OR(CONTROL!$C$4="TODAS",C793=CONTROL!$C$4),D793=CONTROL!$C$5),MAX($AH$4:AH792)+1,"")</f>
        <v/>
      </c>
      <c r="AI793" s="22" t="str">
        <f aca="false">IF(AH793="","",P793^2)</f>
        <v/>
      </c>
    </row>
    <row r="794" customFormat="false" ht="15" hidden="false" customHeight="false" outlineLevel="0" collapsed="false">
      <c r="A794" s="11" t="str">
        <f aca="false">IF(B794="","",ROW()-4)</f>
        <v/>
      </c>
      <c r="B794" s="12"/>
      <c r="C794" s="13"/>
      <c r="D794" s="13"/>
      <c r="E794" s="13"/>
      <c r="F794" s="14" t="str">
        <f aca="false">IF(OR(B794="",C794="",D794=""),"",IFERROR(INDEX(CONFIG!$E$5:$E$14,MATCH(D794,CONFIG!$D$5:$D$14,0)),"?")&amp;RIGHT("0"&amp;DAY(B794),2)&amp;RIGHT("0"&amp;MONTH(B794),2)&amp;RIGHT(YEAR(B794),2)&amp;C794&amp;IF(E794="","","-"&amp;E794))</f>
        <v/>
      </c>
      <c r="G794" s="13"/>
      <c r="H794" s="13"/>
      <c r="I794" s="13"/>
      <c r="J794" s="13"/>
      <c r="K794" s="13"/>
      <c r="L794" s="13"/>
      <c r="M794" s="11" t="str">
        <f aca="false">IF(F794="","",COUNTIFS(ENSAYOS!$C$5:$C$3004,F794,ENSAYOS!$Q$5:$Q$3004,"&gt;0"))</f>
        <v/>
      </c>
      <c r="N794" s="15" t="str">
        <f aca="false">IF(N(M794)=0,"",_xlfn.MINIFS(ENSAYOS!$G$5:$G$3004,ENSAYOS!$C$5:$C$3004,F794,ENSAYOS!$Q$5:$Q$3004,"&gt;0"))</f>
        <v/>
      </c>
      <c r="O794" s="15" t="str">
        <f aca="false">IF(N(M794)=0,"",_xlfn.MAXIFS(ENSAYOS!$G$5:$G$3004,ENSAYOS!$C$5:$C$3004,F794,ENSAYOS!$Q$5:$Q$3004,"&gt;0"))</f>
        <v/>
      </c>
      <c r="P794" s="16" t="str">
        <f aca="false">IF(N(M794)=0,"",AVERAGEIFS(ENSAYOS!$Q$5:$Q$3004,ENSAYOS!$C$5:$C$3004,F794,ENSAYOS!$Q$5:$Q$3004,"&gt;0"))</f>
        <v/>
      </c>
      <c r="Q794" s="16" t="str">
        <f aca="false">IF(N(M794)=0,"",_xlfn.MINIFS(ENSAYOS!$Q$5:$Q$3004,ENSAYOS!$C$5:$C$3004,F794,ENSAYOS!$Q$5:$Q$3004,"&gt;0"))</f>
        <v/>
      </c>
      <c r="R794" s="16" t="str">
        <f aca="false">IF(N(M794)=0,"",_xlfn.MAXIFS(ENSAYOS!$Q$5:$Q$3004,ENSAYOS!$C$5:$C$3004,F794,ENSAYOS!$Q$5:$Q$3004,"&gt;0"))</f>
        <v/>
      </c>
      <c r="S794" s="16" t="str">
        <f aca="false">IF(N(M794)&lt;2,"",SQRT(MAX(0,(SUMIFS(ENSAYOS!$X$5:$X$3004,ENSAYOS!$C$5:$C$3004,F794,ENSAYOS!$Q$5:$Q$3004,"&gt;0")-M794*P794^2)/(M794-1))))</f>
        <v/>
      </c>
      <c r="T794" s="17" t="str">
        <f aca="false">IF(S794="","",S794/P794)</f>
        <v/>
      </c>
      <c r="U794" s="16" t="str">
        <f aca="false">IF(N(M794)=0,"",IF(N794&gt;=CONFIG!$B$27,"",AVERAGEIFS(ENSAYOS!$Q$5:$Q$3004,ENSAYOS!$C$5:$C$3004,F794,ENSAYOS!$Q$5:$Q$3004,"&gt;0",ENSAYOS!$G$5:$G$3004,N794)))</f>
        <v/>
      </c>
      <c r="V794" s="16" t="str">
        <f aca="false">IF(N(M794)=0,"",IF(COUNTIFS(ENSAYOS!$C$5:$C$3004,F794,ENSAYOS!$Q$5:$Q$3004,"&gt;0",ENSAYOS!$G$5:$G$3004,"&gt;="&amp;CONFIG!$B$27)=0,"",AVERAGEIFS(ENSAYOS!$Q$5:$Q$3004,ENSAYOS!$C$5:$C$3004,F794,ENSAYOS!$Q$5:$Q$3004,"&gt;0",ENSAYOS!$G$5:$G$3004,"&gt;="&amp;CONFIG!$B$27)))</f>
        <v/>
      </c>
      <c r="W794" s="18" t="str">
        <f aca="false">IF(AND(U794&lt;&gt;"",V794&lt;&gt;""),U794/V794,"")</f>
        <v/>
      </c>
      <c r="X794" s="18" t="str">
        <f aca="false">IF(U794="","",INDEX('CURVA EDAD'!$E$5:$E$32,MIN(28,MAX(1,N794))))</f>
        <v/>
      </c>
      <c r="Y794" s="16" t="str">
        <f aca="false">IF(V794&lt;&gt;"",V794,IF(U794="","",U794/X794))</f>
        <v/>
      </c>
      <c r="Z794" s="16" t="str">
        <f aca="false">IF(V794&lt;&gt;"",_xlfn.MINIFS(ENSAYOS!$Q$5:$Q$3004,ENSAYOS!$C$5:$C$3004,F794,ENSAYOS!$Q$5:$Q$3004,"&gt;0",ENSAYOS!$G$5:$G$3004,"&gt;="&amp;CONFIG!$B$27),IF(U794="","",_xlfn.MINIFS(ENSAYOS!$Q$5:$Q$3004,ENSAYOS!$C$5:$C$3004,F794,ENSAYOS!$Q$5:$Q$3004,"&gt;0",ENSAYOS!$G$5:$G$3004,N794)/X794))</f>
        <v/>
      </c>
      <c r="AA794" s="16" t="str">
        <f aca="false">IF(D794="","",IFERROR(1/(1/INDEX(CONFIG!$J$5:$J$14,MATCH(D794,CONFIG!$D$5:$D$14,0))),""))</f>
        <v/>
      </c>
      <c r="AB794" s="16" t="str">
        <f aca="false">IF(D794="","",IFERROR(1/(1/INDEX(CONFIG!$K$5:$K$14,MATCH(D794,CONFIG!$D$5:$D$14,0))),""))</f>
        <v/>
      </c>
      <c r="AC794" s="19" t="str">
        <f aca="false">IF(N(M794)=0,"",IF(AA794="","Sin spec",IF(AND(Y794&gt;=AA794,OR(AB794="",Z794&gt;=AB794)),"CUMPLE","NO CUMPLE")&amp;IF(V794=""," (est.)","")))</f>
        <v/>
      </c>
      <c r="AD794" s="20" t="str">
        <f aca="false">IF(F794="","",IF(COUNTIFS(ABSORCION!$C$5:$C$1004,F794,ABSORCION!$I$5:$I$1004,"&gt;0")=0,"",AVERAGEIFS(ABSORCION!$I$5:$I$1004,ABSORCION!$C$5:$C$1004,F794,ABSORCION!$I$5:$I$1004,"&gt;0")))</f>
        <v/>
      </c>
      <c r="AE794" s="20" t="str">
        <f aca="false">IF(F794="","",IF(COUNTIFS(ABSORCION!$C$5:$C$1004,F794,ABSORCION!$I$5:$I$1004,"&gt;0")=0,"",AVERAGEIFS(ABSORCION!$K$5:$K$1004,ABSORCION!$C$5:$C$1004,F794,ABSORCION!$I$5:$I$1004,"&gt;0")))</f>
        <v/>
      </c>
      <c r="AF794" s="20" t="str">
        <f aca="false">IF(AE794="","",IF(AE794&gt;=CONFIG!$E$21,CONFIG!$F$21,IF(AE794&gt;=CONFIG!$E$20,CONFIG!$F$20,CONFIG!$F$19)))</f>
        <v/>
      </c>
      <c r="AG794" s="21" t="str">
        <f aca="false">IF(F794="","",TRIM(IF(N(M794)=0,"Sin ensayos. ","")&amp;IF(AND(N(M794)&gt;0,N(M794)&lt;CONFIG!$B$26),"Menos de "&amp;CONFIG!$B$26&amp;" probetas. ","")&amp;IF(N(T794)&gt;CONFIG!$B$25,"CV alto. ","")&amp;IF(AND(N(AD794)&gt;0,N(AD794)&gt;N(AF794)),"Absorción alta. ","")))</f>
        <v/>
      </c>
      <c r="AH794" s="22" t="str">
        <f aca="false">IF(AND(N(M794)&gt;0,OR(CONTROL!$C$4="TODAS",C794=CONTROL!$C$4),D794=CONTROL!$C$5),MAX($AH$4:AH793)+1,"")</f>
        <v/>
      </c>
      <c r="AI794" s="22" t="str">
        <f aca="false">IF(AH794="","",P794^2)</f>
        <v/>
      </c>
    </row>
    <row r="795" customFormat="false" ht="15" hidden="false" customHeight="false" outlineLevel="0" collapsed="false">
      <c r="A795" s="11" t="str">
        <f aca="false">IF(B795="","",ROW()-4)</f>
        <v/>
      </c>
      <c r="B795" s="12"/>
      <c r="C795" s="13"/>
      <c r="D795" s="13"/>
      <c r="E795" s="13"/>
      <c r="F795" s="14" t="str">
        <f aca="false">IF(OR(B795="",C795="",D795=""),"",IFERROR(INDEX(CONFIG!$E$5:$E$14,MATCH(D795,CONFIG!$D$5:$D$14,0)),"?")&amp;RIGHT("0"&amp;DAY(B795),2)&amp;RIGHT("0"&amp;MONTH(B795),2)&amp;RIGHT(YEAR(B795),2)&amp;C795&amp;IF(E795="","","-"&amp;E795))</f>
        <v/>
      </c>
      <c r="G795" s="13"/>
      <c r="H795" s="13"/>
      <c r="I795" s="13"/>
      <c r="J795" s="13"/>
      <c r="K795" s="13"/>
      <c r="L795" s="13"/>
      <c r="M795" s="11" t="str">
        <f aca="false">IF(F795="","",COUNTIFS(ENSAYOS!$C$5:$C$3004,F795,ENSAYOS!$Q$5:$Q$3004,"&gt;0"))</f>
        <v/>
      </c>
      <c r="N795" s="15" t="str">
        <f aca="false">IF(N(M795)=0,"",_xlfn.MINIFS(ENSAYOS!$G$5:$G$3004,ENSAYOS!$C$5:$C$3004,F795,ENSAYOS!$Q$5:$Q$3004,"&gt;0"))</f>
        <v/>
      </c>
      <c r="O795" s="15" t="str">
        <f aca="false">IF(N(M795)=0,"",_xlfn.MAXIFS(ENSAYOS!$G$5:$G$3004,ENSAYOS!$C$5:$C$3004,F795,ENSAYOS!$Q$5:$Q$3004,"&gt;0"))</f>
        <v/>
      </c>
      <c r="P795" s="16" t="str">
        <f aca="false">IF(N(M795)=0,"",AVERAGEIFS(ENSAYOS!$Q$5:$Q$3004,ENSAYOS!$C$5:$C$3004,F795,ENSAYOS!$Q$5:$Q$3004,"&gt;0"))</f>
        <v/>
      </c>
      <c r="Q795" s="16" t="str">
        <f aca="false">IF(N(M795)=0,"",_xlfn.MINIFS(ENSAYOS!$Q$5:$Q$3004,ENSAYOS!$C$5:$C$3004,F795,ENSAYOS!$Q$5:$Q$3004,"&gt;0"))</f>
        <v/>
      </c>
      <c r="R795" s="16" t="str">
        <f aca="false">IF(N(M795)=0,"",_xlfn.MAXIFS(ENSAYOS!$Q$5:$Q$3004,ENSAYOS!$C$5:$C$3004,F795,ENSAYOS!$Q$5:$Q$3004,"&gt;0"))</f>
        <v/>
      </c>
      <c r="S795" s="16" t="str">
        <f aca="false">IF(N(M795)&lt;2,"",SQRT(MAX(0,(SUMIFS(ENSAYOS!$X$5:$X$3004,ENSAYOS!$C$5:$C$3004,F795,ENSAYOS!$Q$5:$Q$3004,"&gt;0")-M795*P795^2)/(M795-1))))</f>
        <v/>
      </c>
      <c r="T795" s="17" t="str">
        <f aca="false">IF(S795="","",S795/P795)</f>
        <v/>
      </c>
      <c r="U795" s="16" t="str">
        <f aca="false">IF(N(M795)=0,"",IF(N795&gt;=CONFIG!$B$27,"",AVERAGEIFS(ENSAYOS!$Q$5:$Q$3004,ENSAYOS!$C$5:$C$3004,F795,ENSAYOS!$Q$5:$Q$3004,"&gt;0",ENSAYOS!$G$5:$G$3004,N795)))</f>
        <v/>
      </c>
      <c r="V795" s="16" t="str">
        <f aca="false">IF(N(M795)=0,"",IF(COUNTIFS(ENSAYOS!$C$5:$C$3004,F795,ENSAYOS!$Q$5:$Q$3004,"&gt;0",ENSAYOS!$G$5:$G$3004,"&gt;="&amp;CONFIG!$B$27)=0,"",AVERAGEIFS(ENSAYOS!$Q$5:$Q$3004,ENSAYOS!$C$5:$C$3004,F795,ENSAYOS!$Q$5:$Q$3004,"&gt;0",ENSAYOS!$G$5:$G$3004,"&gt;="&amp;CONFIG!$B$27)))</f>
        <v/>
      </c>
      <c r="W795" s="18" t="str">
        <f aca="false">IF(AND(U795&lt;&gt;"",V795&lt;&gt;""),U795/V795,"")</f>
        <v/>
      </c>
      <c r="X795" s="18" t="str">
        <f aca="false">IF(U795="","",INDEX('CURVA EDAD'!$E$5:$E$32,MIN(28,MAX(1,N795))))</f>
        <v/>
      </c>
      <c r="Y795" s="16" t="str">
        <f aca="false">IF(V795&lt;&gt;"",V795,IF(U795="","",U795/X795))</f>
        <v/>
      </c>
      <c r="Z795" s="16" t="str">
        <f aca="false">IF(V795&lt;&gt;"",_xlfn.MINIFS(ENSAYOS!$Q$5:$Q$3004,ENSAYOS!$C$5:$C$3004,F795,ENSAYOS!$Q$5:$Q$3004,"&gt;0",ENSAYOS!$G$5:$G$3004,"&gt;="&amp;CONFIG!$B$27),IF(U795="","",_xlfn.MINIFS(ENSAYOS!$Q$5:$Q$3004,ENSAYOS!$C$5:$C$3004,F795,ENSAYOS!$Q$5:$Q$3004,"&gt;0",ENSAYOS!$G$5:$G$3004,N795)/X795))</f>
        <v/>
      </c>
      <c r="AA795" s="16" t="str">
        <f aca="false">IF(D795="","",IFERROR(1/(1/INDEX(CONFIG!$J$5:$J$14,MATCH(D795,CONFIG!$D$5:$D$14,0))),""))</f>
        <v/>
      </c>
      <c r="AB795" s="16" t="str">
        <f aca="false">IF(D795="","",IFERROR(1/(1/INDEX(CONFIG!$K$5:$K$14,MATCH(D795,CONFIG!$D$5:$D$14,0))),""))</f>
        <v/>
      </c>
      <c r="AC795" s="19" t="str">
        <f aca="false">IF(N(M795)=0,"",IF(AA795="","Sin spec",IF(AND(Y795&gt;=AA795,OR(AB795="",Z795&gt;=AB795)),"CUMPLE","NO CUMPLE")&amp;IF(V795=""," (est.)","")))</f>
        <v/>
      </c>
      <c r="AD795" s="20" t="str">
        <f aca="false">IF(F795="","",IF(COUNTIFS(ABSORCION!$C$5:$C$1004,F795,ABSORCION!$I$5:$I$1004,"&gt;0")=0,"",AVERAGEIFS(ABSORCION!$I$5:$I$1004,ABSORCION!$C$5:$C$1004,F795,ABSORCION!$I$5:$I$1004,"&gt;0")))</f>
        <v/>
      </c>
      <c r="AE795" s="20" t="str">
        <f aca="false">IF(F795="","",IF(COUNTIFS(ABSORCION!$C$5:$C$1004,F795,ABSORCION!$I$5:$I$1004,"&gt;0")=0,"",AVERAGEIFS(ABSORCION!$K$5:$K$1004,ABSORCION!$C$5:$C$1004,F795,ABSORCION!$I$5:$I$1004,"&gt;0")))</f>
        <v/>
      </c>
      <c r="AF795" s="20" t="str">
        <f aca="false">IF(AE795="","",IF(AE795&gt;=CONFIG!$E$21,CONFIG!$F$21,IF(AE795&gt;=CONFIG!$E$20,CONFIG!$F$20,CONFIG!$F$19)))</f>
        <v/>
      </c>
      <c r="AG795" s="21" t="str">
        <f aca="false">IF(F795="","",TRIM(IF(N(M795)=0,"Sin ensayos. ","")&amp;IF(AND(N(M795)&gt;0,N(M795)&lt;CONFIG!$B$26),"Menos de "&amp;CONFIG!$B$26&amp;" probetas. ","")&amp;IF(N(T795)&gt;CONFIG!$B$25,"CV alto. ","")&amp;IF(AND(N(AD795)&gt;0,N(AD795)&gt;N(AF795)),"Absorción alta. ","")))</f>
        <v/>
      </c>
      <c r="AH795" s="22" t="str">
        <f aca="false">IF(AND(N(M795)&gt;0,OR(CONTROL!$C$4="TODAS",C795=CONTROL!$C$4),D795=CONTROL!$C$5),MAX($AH$4:AH794)+1,"")</f>
        <v/>
      </c>
      <c r="AI795" s="22" t="str">
        <f aca="false">IF(AH795="","",P795^2)</f>
        <v/>
      </c>
    </row>
    <row r="796" customFormat="false" ht="15" hidden="false" customHeight="false" outlineLevel="0" collapsed="false">
      <c r="A796" s="11" t="str">
        <f aca="false">IF(B796="","",ROW()-4)</f>
        <v/>
      </c>
      <c r="B796" s="12"/>
      <c r="C796" s="13"/>
      <c r="D796" s="13"/>
      <c r="E796" s="13"/>
      <c r="F796" s="14" t="str">
        <f aca="false">IF(OR(B796="",C796="",D796=""),"",IFERROR(INDEX(CONFIG!$E$5:$E$14,MATCH(D796,CONFIG!$D$5:$D$14,0)),"?")&amp;RIGHT("0"&amp;DAY(B796),2)&amp;RIGHT("0"&amp;MONTH(B796),2)&amp;RIGHT(YEAR(B796),2)&amp;C796&amp;IF(E796="","","-"&amp;E796))</f>
        <v/>
      </c>
      <c r="G796" s="13"/>
      <c r="H796" s="13"/>
      <c r="I796" s="13"/>
      <c r="J796" s="13"/>
      <c r="K796" s="13"/>
      <c r="L796" s="13"/>
      <c r="M796" s="11" t="str">
        <f aca="false">IF(F796="","",COUNTIFS(ENSAYOS!$C$5:$C$3004,F796,ENSAYOS!$Q$5:$Q$3004,"&gt;0"))</f>
        <v/>
      </c>
      <c r="N796" s="15" t="str">
        <f aca="false">IF(N(M796)=0,"",_xlfn.MINIFS(ENSAYOS!$G$5:$G$3004,ENSAYOS!$C$5:$C$3004,F796,ENSAYOS!$Q$5:$Q$3004,"&gt;0"))</f>
        <v/>
      </c>
      <c r="O796" s="15" t="str">
        <f aca="false">IF(N(M796)=0,"",_xlfn.MAXIFS(ENSAYOS!$G$5:$G$3004,ENSAYOS!$C$5:$C$3004,F796,ENSAYOS!$Q$5:$Q$3004,"&gt;0"))</f>
        <v/>
      </c>
      <c r="P796" s="16" t="str">
        <f aca="false">IF(N(M796)=0,"",AVERAGEIFS(ENSAYOS!$Q$5:$Q$3004,ENSAYOS!$C$5:$C$3004,F796,ENSAYOS!$Q$5:$Q$3004,"&gt;0"))</f>
        <v/>
      </c>
      <c r="Q796" s="16" t="str">
        <f aca="false">IF(N(M796)=0,"",_xlfn.MINIFS(ENSAYOS!$Q$5:$Q$3004,ENSAYOS!$C$5:$C$3004,F796,ENSAYOS!$Q$5:$Q$3004,"&gt;0"))</f>
        <v/>
      </c>
      <c r="R796" s="16" t="str">
        <f aca="false">IF(N(M796)=0,"",_xlfn.MAXIFS(ENSAYOS!$Q$5:$Q$3004,ENSAYOS!$C$5:$C$3004,F796,ENSAYOS!$Q$5:$Q$3004,"&gt;0"))</f>
        <v/>
      </c>
      <c r="S796" s="16" t="str">
        <f aca="false">IF(N(M796)&lt;2,"",SQRT(MAX(0,(SUMIFS(ENSAYOS!$X$5:$X$3004,ENSAYOS!$C$5:$C$3004,F796,ENSAYOS!$Q$5:$Q$3004,"&gt;0")-M796*P796^2)/(M796-1))))</f>
        <v/>
      </c>
      <c r="T796" s="17" t="str">
        <f aca="false">IF(S796="","",S796/P796)</f>
        <v/>
      </c>
      <c r="U796" s="16" t="str">
        <f aca="false">IF(N(M796)=0,"",IF(N796&gt;=CONFIG!$B$27,"",AVERAGEIFS(ENSAYOS!$Q$5:$Q$3004,ENSAYOS!$C$5:$C$3004,F796,ENSAYOS!$Q$5:$Q$3004,"&gt;0",ENSAYOS!$G$5:$G$3004,N796)))</f>
        <v/>
      </c>
      <c r="V796" s="16" t="str">
        <f aca="false">IF(N(M796)=0,"",IF(COUNTIFS(ENSAYOS!$C$5:$C$3004,F796,ENSAYOS!$Q$5:$Q$3004,"&gt;0",ENSAYOS!$G$5:$G$3004,"&gt;="&amp;CONFIG!$B$27)=0,"",AVERAGEIFS(ENSAYOS!$Q$5:$Q$3004,ENSAYOS!$C$5:$C$3004,F796,ENSAYOS!$Q$5:$Q$3004,"&gt;0",ENSAYOS!$G$5:$G$3004,"&gt;="&amp;CONFIG!$B$27)))</f>
        <v/>
      </c>
      <c r="W796" s="18" t="str">
        <f aca="false">IF(AND(U796&lt;&gt;"",V796&lt;&gt;""),U796/V796,"")</f>
        <v/>
      </c>
      <c r="X796" s="18" t="str">
        <f aca="false">IF(U796="","",INDEX('CURVA EDAD'!$E$5:$E$32,MIN(28,MAX(1,N796))))</f>
        <v/>
      </c>
      <c r="Y796" s="16" t="str">
        <f aca="false">IF(V796&lt;&gt;"",V796,IF(U796="","",U796/X796))</f>
        <v/>
      </c>
      <c r="Z796" s="16" t="str">
        <f aca="false">IF(V796&lt;&gt;"",_xlfn.MINIFS(ENSAYOS!$Q$5:$Q$3004,ENSAYOS!$C$5:$C$3004,F796,ENSAYOS!$Q$5:$Q$3004,"&gt;0",ENSAYOS!$G$5:$G$3004,"&gt;="&amp;CONFIG!$B$27),IF(U796="","",_xlfn.MINIFS(ENSAYOS!$Q$5:$Q$3004,ENSAYOS!$C$5:$C$3004,F796,ENSAYOS!$Q$5:$Q$3004,"&gt;0",ENSAYOS!$G$5:$G$3004,N796)/X796))</f>
        <v/>
      </c>
      <c r="AA796" s="16" t="str">
        <f aca="false">IF(D796="","",IFERROR(1/(1/INDEX(CONFIG!$J$5:$J$14,MATCH(D796,CONFIG!$D$5:$D$14,0))),""))</f>
        <v/>
      </c>
      <c r="AB796" s="16" t="str">
        <f aca="false">IF(D796="","",IFERROR(1/(1/INDEX(CONFIG!$K$5:$K$14,MATCH(D796,CONFIG!$D$5:$D$14,0))),""))</f>
        <v/>
      </c>
      <c r="AC796" s="19" t="str">
        <f aca="false">IF(N(M796)=0,"",IF(AA796="","Sin spec",IF(AND(Y796&gt;=AA796,OR(AB796="",Z796&gt;=AB796)),"CUMPLE","NO CUMPLE")&amp;IF(V796=""," (est.)","")))</f>
        <v/>
      </c>
      <c r="AD796" s="20" t="str">
        <f aca="false">IF(F796="","",IF(COUNTIFS(ABSORCION!$C$5:$C$1004,F796,ABSORCION!$I$5:$I$1004,"&gt;0")=0,"",AVERAGEIFS(ABSORCION!$I$5:$I$1004,ABSORCION!$C$5:$C$1004,F796,ABSORCION!$I$5:$I$1004,"&gt;0")))</f>
        <v/>
      </c>
      <c r="AE796" s="20" t="str">
        <f aca="false">IF(F796="","",IF(COUNTIFS(ABSORCION!$C$5:$C$1004,F796,ABSORCION!$I$5:$I$1004,"&gt;0")=0,"",AVERAGEIFS(ABSORCION!$K$5:$K$1004,ABSORCION!$C$5:$C$1004,F796,ABSORCION!$I$5:$I$1004,"&gt;0")))</f>
        <v/>
      </c>
      <c r="AF796" s="20" t="str">
        <f aca="false">IF(AE796="","",IF(AE796&gt;=CONFIG!$E$21,CONFIG!$F$21,IF(AE796&gt;=CONFIG!$E$20,CONFIG!$F$20,CONFIG!$F$19)))</f>
        <v/>
      </c>
      <c r="AG796" s="21" t="str">
        <f aca="false">IF(F796="","",TRIM(IF(N(M796)=0,"Sin ensayos. ","")&amp;IF(AND(N(M796)&gt;0,N(M796)&lt;CONFIG!$B$26),"Menos de "&amp;CONFIG!$B$26&amp;" probetas. ","")&amp;IF(N(T796)&gt;CONFIG!$B$25,"CV alto. ","")&amp;IF(AND(N(AD796)&gt;0,N(AD796)&gt;N(AF796)),"Absorción alta. ","")))</f>
        <v/>
      </c>
      <c r="AH796" s="22" t="str">
        <f aca="false">IF(AND(N(M796)&gt;0,OR(CONTROL!$C$4="TODAS",C796=CONTROL!$C$4),D796=CONTROL!$C$5),MAX($AH$4:AH795)+1,"")</f>
        <v/>
      </c>
      <c r="AI796" s="22" t="str">
        <f aca="false">IF(AH796="","",P796^2)</f>
        <v/>
      </c>
    </row>
    <row r="797" customFormat="false" ht="15" hidden="false" customHeight="false" outlineLevel="0" collapsed="false">
      <c r="A797" s="11" t="str">
        <f aca="false">IF(B797="","",ROW()-4)</f>
        <v/>
      </c>
      <c r="B797" s="12"/>
      <c r="C797" s="13"/>
      <c r="D797" s="13"/>
      <c r="E797" s="13"/>
      <c r="F797" s="14" t="str">
        <f aca="false">IF(OR(B797="",C797="",D797=""),"",IFERROR(INDEX(CONFIG!$E$5:$E$14,MATCH(D797,CONFIG!$D$5:$D$14,0)),"?")&amp;RIGHT("0"&amp;DAY(B797),2)&amp;RIGHT("0"&amp;MONTH(B797),2)&amp;RIGHT(YEAR(B797),2)&amp;C797&amp;IF(E797="","","-"&amp;E797))</f>
        <v/>
      </c>
      <c r="G797" s="13"/>
      <c r="H797" s="13"/>
      <c r="I797" s="13"/>
      <c r="J797" s="13"/>
      <c r="K797" s="13"/>
      <c r="L797" s="13"/>
      <c r="M797" s="11" t="str">
        <f aca="false">IF(F797="","",COUNTIFS(ENSAYOS!$C$5:$C$3004,F797,ENSAYOS!$Q$5:$Q$3004,"&gt;0"))</f>
        <v/>
      </c>
      <c r="N797" s="15" t="str">
        <f aca="false">IF(N(M797)=0,"",_xlfn.MINIFS(ENSAYOS!$G$5:$G$3004,ENSAYOS!$C$5:$C$3004,F797,ENSAYOS!$Q$5:$Q$3004,"&gt;0"))</f>
        <v/>
      </c>
      <c r="O797" s="15" t="str">
        <f aca="false">IF(N(M797)=0,"",_xlfn.MAXIFS(ENSAYOS!$G$5:$G$3004,ENSAYOS!$C$5:$C$3004,F797,ENSAYOS!$Q$5:$Q$3004,"&gt;0"))</f>
        <v/>
      </c>
      <c r="P797" s="16" t="str">
        <f aca="false">IF(N(M797)=0,"",AVERAGEIFS(ENSAYOS!$Q$5:$Q$3004,ENSAYOS!$C$5:$C$3004,F797,ENSAYOS!$Q$5:$Q$3004,"&gt;0"))</f>
        <v/>
      </c>
      <c r="Q797" s="16" t="str">
        <f aca="false">IF(N(M797)=0,"",_xlfn.MINIFS(ENSAYOS!$Q$5:$Q$3004,ENSAYOS!$C$5:$C$3004,F797,ENSAYOS!$Q$5:$Q$3004,"&gt;0"))</f>
        <v/>
      </c>
      <c r="R797" s="16" t="str">
        <f aca="false">IF(N(M797)=0,"",_xlfn.MAXIFS(ENSAYOS!$Q$5:$Q$3004,ENSAYOS!$C$5:$C$3004,F797,ENSAYOS!$Q$5:$Q$3004,"&gt;0"))</f>
        <v/>
      </c>
      <c r="S797" s="16" t="str">
        <f aca="false">IF(N(M797)&lt;2,"",SQRT(MAX(0,(SUMIFS(ENSAYOS!$X$5:$X$3004,ENSAYOS!$C$5:$C$3004,F797,ENSAYOS!$Q$5:$Q$3004,"&gt;0")-M797*P797^2)/(M797-1))))</f>
        <v/>
      </c>
      <c r="T797" s="17" t="str">
        <f aca="false">IF(S797="","",S797/P797)</f>
        <v/>
      </c>
      <c r="U797" s="16" t="str">
        <f aca="false">IF(N(M797)=0,"",IF(N797&gt;=CONFIG!$B$27,"",AVERAGEIFS(ENSAYOS!$Q$5:$Q$3004,ENSAYOS!$C$5:$C$3004,F797,ENSAYOS!$Q$5:$Q$3004,"&gt;0",ENSAYOS!$G$5:$G$3004,N797)))</f>
        <v/>
      </c>
      <c r="V797" s="16" t="str">
        <f aca="false">IF(N(M797)=0,"",IF(COUNTIFS(ENSAYOS!$C$5:$C$3004,F797,ENSAYOS!$Q$5:$Q$3004,"&gt;0",ENSAYOS!$G$5:$G$3004,"&gt;="&amp;CONFIG!$B$27)=0,"",AVERAGEIFS(ENSAYOS!$Q$5:$Q$3004,ENSAYOS!$C$5:$C$3004,F797,ENSAYOS!$Q$5:$Q$3004,"&gt;0",ENSAYOS!$G$5:$G$3004,"&gt;="&amp;CONFIG!$B$27)))</f>
        <v/>
      </c>
      <c r="W797" s="18" t="str">
        <f aca="false">IF(AND(U797&lt;&gt;"",V797&lt;&gt;""),U797/V797,"")</f>
        <v/>
      </c>
      <c r="X797" s="18" t="str">
        <f aca="false">IF(U797="","",INDEX('CURVA EDAD'!$E$5:$E$32,MIN(28,MAX(1,N797))))</f>
        <v/>
      </c>
      <c r="Y797" s="16" t="str">
        <f aca="false">IF(V797&lt;&gt;"",V797,IF(U797="","",U797/X797))</f>
        <v/>
      </c>
      <c r="Z797" s="16" t="str">
        <f aca="false">IF(V797&lt;&gt;"",_xlfn.MINIFS(ENSAYOS!$Q$5:$Q$3004,ENSAYOS!$C$5:$C$3004,F797,ENSAYOS!$Q$5:$Q$3004,"&gt;0",ENSAYOS!$G$5:$G$3004,"&gt;="&amp;CONFIG!$B$27),IF(U797="","",_xlfn.MINIFS(ENSAYOS!$Q$5:$Q$3004,ENSAYOS!$C$5:$C$3004,F797,ENSAYOS!$Q$5:$Q$3004,"&gt;0",ENSAYOS!$G$5:$G$3004,N797)/X797))</f>
        <v/>
      </c>
      <c r="AA797" s="16" t="str">
        <f aca="false">IF(D797="","",IFERROR(1/(1/INDEX(CONFIG!$J$5:$J$14,MATCH(D797,CONFIG!$D$5:$D$14,0))),""))</f>
        <v/>
      </c>
      <c r="AB797" s="16" t="str">
        <f aca="false">IF(D797="","",IFERROR(1/(1/INDEX(CONFIG!$K$5:$K$14,MATCH(D797,CONFIG!$D$5:$D$14,0))),""))</f>
        <v/>
      </c>
      <c r="AC797" s="19" t="str">
        <f aca="false">IF(N(M797)=0,"",IF(AA797="","Sin spec",IF(AND(Y797&gt;=AA797,OR(AB797="",Z797&gt;=AB797)),"CUMPLE","NO CUMPLE")&amp;IF(V797=""," (est.)","")))</f>
        <v/>
      </c>
      <c r="AD797" s="20" t="str">
        <f aca="false">IF(F797="","",IF(COUNTIFS(ABSORCION!$C$5:$C$1004,F797,ABSORCION!$I$5:$I$1004,"&gt;0")=0,"",AVERAGEIFS(ABSORCION!$I$5:$I$1004,ABSORCION!$C$5:$C$1004,F797,ABSORCION!$I$5:$I$1004,"&gt;0")))</f>
        <v/>
      </c>
      <c r="AE797" s="20" t="str">
        <f aca="false">IF(F797="","",IF(COUNTIFS(ABSORCION!$C$5:$C$1004,F797,ABSORCION!$I$5:$I$1004,"&gt;0")=0,"",AVERAGEIFS(ABSORCION!$K$5:$K$1004,ABSORCION!$C$5:$C$1004,F797,ABSORCION!$I$5:$I$1004,"&gt;0")))</f>
        <v/>
      </c>
      <c r="AF797" s="20" t="str">
        <f aca="false">IF(AE797="","",IF(AE797&gt;=CONFIG!$E$21,CONFIG!$F$21,IF(AE797&gt;=CONFIG!$E$20,CONFIG!$F$20,CONFIG!$F$19)))</f>
        <v/>
      </c>
      <c r="AG797" s="21" t="str">
        <f aca="false">IF(F797="","",TRIM(IF(N(M797)=0,"Sin ensayos. ","")&amp;IF(AND(N(M797)&gt;0,N(M797)&lt;CONFIG!$B$26),"Menos de "&amp;CONFIG!$B$26&amp;" probetas. ","")&amp;IF(N(T797)&gt;CONFIG!$B$25,"CV alto. ","")&amp;IF(AND(N(AD797)&gt;0,N(AD797)&gt;N(AF797)),"Absorción alta. ","")))</f>
        <v/>
      </c>
      <c r="AH797" s="22" t="str">
        <f aca="false">IF(AND(N(M797)&gt;0,OR(CONTROL!$C$4="TODAS",C797=CONTROL!$C$4),D797=CONTROL!$C$5),MAX($AH$4:AH796)+1,"")</f>
        <v/>
      </c>
      <c r="AI797" s="22" t="str">
        <f aca="false">IF(AH797="","",P797^2)</f>
        <v/>
      </c>
    </row>
    <row r="798" customFormat="false" ht="15" hidden="false" customHeight="false" outlineLevel="0" collapsed="false">
      <c r="A798" s="11" t="str">
        <f aca="false">IF(B798="","",ROW()-4)</f>
        <v/>
      </c>
      <c r="B798" s="12"/>
      <c r="C798" s="13"/>
      <c r="D798" s="13"/>
      <c r="E798" s="13"/>
      <c r="F798" s="14" t="str">
        <f aca="false">IF(OR(B798="",C798="",D798=""),"",IFERROR(INDEX(CONFIG!$E$5:$E$14,MATCH(D798,CONFIG!$D$5:$D$14,0)),"?")&amp;RIGHT("0"&amp;DAY(B798),2)&amp;RIGHT("0"&amp;MONTH(B798),2)&amp;RIGHT(YEAR(B798),2)&amp;C798&amp;IF(E798="","","-"&amp;E798))</f>
        <v/>
      </c>
      <c r="G798" s="13"/>
      <c r="H798" s="13"/>
      <c r="I798" s="13"/>
      <c r="J798" s="13"/>
      <c r="K798" s="13"/>
      <c r="L798" s="13"/>
      <c r="M798" s="11" t="str">
        <f aca="false">IF(F798="","",COUNTIFS(ENSAYOS!$C$5:$C$3004,F798,ENSAYOS!$Q$5:$Q$3004,"&gt;0"))</f>
        <v/>
      </c>
      <c r="N798" s="15" t="str">
        <f aca="false">IF(N(M798)=0,"",_xlfn.MINIFS(ENSAYOS!$G$5:$G$3004,ENSAYOS!$C$5:$C$3004,F798,ENSAYOS!$Q$5:$Q$3004,"&gt;0"))</f>
        <v/>
      </c>
      <c r="O798" s="15" t="str">
        <f aca="false">IF(N(M798)=0,"",_xlfn.MAXIFS(ENSAYOS!$G$5:$G$3004,ENSAYOS!$C$5:$C$3004,F798,ENSAYOS!$Q$5:$Q$3004,"&gt;0"))</f>
        <v/>
      </c>
      <c r="P798" s="16" t="str">
        <f aca="false">IF(N(M798)=0,"",AVERAGEIFS(ENSAYOS!$Q$5:$Q$3004,ENSAYOS!$C$5:$C$3004,F798,ENSAYOS!$Q$5:$Q$3004,"&gt;0"))</f>
        <v/>
      </c>
      <c r="Q798" s="16" t="str">
        <f aca="false">IF(N(M798)=0,"",_xlfn.MINIFS(ENSAYOS!$Q$5:$Q$3004,ENSAYOS!$C$5:$C$3004,F798,ENSAYOS!$Q$5:$Q$3004,"&gt;0"))</f>
        <v/>
      </c>
      <c r="R798" s="16" t="str">
        <f aca="false">IF(N(M798)=0,"",_xlfn.MAXIFS(ENSAYOS!$Q$5:$Q$3004,ENSAYOS!$C$5:$C$3004,F798,ENSAYOS!$Q$5:$Q$3004,"&gt;0"))</f>
        <v/>
      </c>
      <c r="S798" s="16" t="str">
        <f aca="false">IF(N(M798)&lt;2,"",SQRT(MAX(0,(SUMIFS(ENSAYOS!$X$5:$X$3004,ENSAYOS!$C$5:$C$3004,F798,ENSAYOS!$Q$5:$Q$3004,"&gt;0")-M798*P798^2)/(M798-1))))</f>
        <v/>
      </c>
      <c r="T798" s="17" t="str">
        <f aca="false">IF(S798="","",S798/P798)</f>
        <v/>
      </c>
      <c r="U798" s="16" t="str">
        <f aca="false">IF(N(M798)=0,"",IF(N798&gt;=CONFIG!$B$27,"",AVERAGEIFS(ENSAYOS!$Q$5:$Q$3004,ENSAYOS!$C$5:$C$3004,F798,ENSAYOS!$Q$5:$Q$3004,"&gt;0",ENSAYOS!$G$5:$G$3004,N798)))</f>
        <v/>
      </c>
      <c r="V798" s="16" t="str">
        <f aca="false">IF(N(M798)=0,"",IF(COUNTIFS(ENSAYOS!$C$5:$C$3004,F798,ENSAYOS!$Q$5:$Q$3004,"&gt;0",ENSAYOS!$G$5:$G$3004,"&gt;="&amp;CONFIG!$B$27)=0,"",AVERAGEIFS(ENSAYOS!$Q$5:$Q$3004,ENSAYOS!$C$5:$C$3004,F798,ENSAYOS!$Q$5:$Q$3004,"&gt;0",ENSAYOS!$G$5:$G$3004,"&gt;="&amp;CONFIG!$B$27)))</f>
        <v/>
      </c>
      <c r="W798" s="18" t="str">
        <f aca="false">IF(AND(U798&lt;&gt;"",V798&lt;&gt;""),U798/V798,"")</f>
        <v/>
      </c>
      <c r="X798" s="18" t="str">
        <f aca="false">IF(U798="","",INDEX('CURVA EDAD'!$E$5:$E$32,MIN(28,MAX(1,N798))))</f>
        <v/>
      </c>
      <c r="Y798" s="16" t="str">
        <f aca="false">IF(V798&lt;&gt;"",V798,IF(U798="","",U798/X798))</f>
        <v/>
      </c>
      <c r="Z798" s="16" t="str">
        <f aca="false">IF(V798&lt;&gt;"",_xlfn.MINIFS(ENSAYOS!$Q$5:$Q$3004,ENSAYOS!$C$5:$C$3004,F798,ENSAYOS!$Q$5:$Q$3004,"&gt;0",ENSAYOS!$G$5:$G$3004,"&gt;="&amp;CONFIG!$B$27),IF(U798="","",_xlfn.MINIFS(ENSAYOS!$Q$5:$Q$3004,ENSAYOS!$C$5:$C$3004,F798,ENSAYOS!$Q$5:$Q$3004,"&gt;0",ENSAYOS!$G$5:$G$3004,N798)/X798))</f>
        <v/>
      </c>
      <c r="AA798" s="16" t="str">
        <f aca="false">IF(D798="","",IFERROR(1/(1/INDEX(CONFIG!$J$5:$J$14,MATCH(D798,CONFIG!$D$5:$D$14,0))),""))</f>
        <v/>
      </c>
      <c r="AB798" s="16" t="str">
        <f aca="false">IF(D798="","",IFERROR(1/(1/INDEX(CONFIG!$K$5:$K$14,MATCH(D798,CONFIG!$D$5:$D$14,0))),""))</f>
        <v/>
      </c>
      <c r="AC798" s="19" t="str">
        <f aca="false">IF(N(M798)=0,"",IF(AA798="","Sin spec",IF(AND(Y798&gt;=AA798,OR(AB798="",Z798&gt;=AB798)),"CUMPLE","NO CUMPLE")&amp;IF(V798=""," (est.)","")))</f>
        <v/>
      </c>
      <c r="AD798" s="20" t="str">
        <f aca="false">IF(F798="","",IF(COUNTIFS(ABSORCION!$C$5:$C$1004,F798,ABSORCION!$I$5:$I$1004,"&gt;0")=0,"",AVERAGEIFS(ABSORCION!$I$5:$I$1004,ABSORCION!$C$5:$C$1004,F798,ABSORCION!$I$5:$I$1004,"&gt;0")))</f>
        <v/>
      </c>
      <c r="AE798" s="20" t="str">
        <f aca="false">IF(F798="","",IF(COUNTIFS(ABSORCION!$C$5:$C$1004,F798,ABSORCION!$I$5:$I$1004,"&gt;0")=0,"",AVERAGEIFS(ABSORCION!$K$5:$K$1004,ABSORCION!$C$5:$C$1004,F798,ABSORCION!$I$5:$I$1004,"&gt;0")))</f>
        <v/>
      </c>
      <c r="AF798" s="20" t="str">
        <f aca="false">IF(AE798="","",IF(AE798&gt;=CONFIG!$E$21,CONFIG!$F$21,IF(AE798&gt;=CONFIG!$E$20,CONFIG!$F$20,CONFIG!$F$19)))</f>
        <v/>
      </c>
      <c r="AG798" s="21" t="str">
        <f aca="false">IF(F798="","",TRIM(IF(N(M798)=0,"Sin ensayos. ","")&amp;IF(AND(N(M798)&gt;0,N(M798)&lt;CONFIG!$B$26),"Menos de "&amp;CONFIG!$B$26&amp;" probetas. ","")&amp;IF(N(T798)&gt;CONFIG!$B$25,"CV alto. ","")&amp;IF(AND(N(AD798)&gt;0,N(AD798)&gt;N(AF798)),"Absorción alta. ","")))</f>
        <v/>
      </c>
      <c r="AH798" s="22" t="str">
        <f aca="false">IF(AND(N(M798)&gt;0,OR(CONTROL!$C$4="TODAS",C798=CONTROL!$C$4),D798=CONTROL!$C$5),MAX($AH$4:AH797)+1,"")</f>
        <v/>
      </c>
      <c r="AI798" s="22" t="str">
        <f aca="false">IF(AH798="","",P798^2)</f>
        <v/>
      </c>
    </row>
    <row r="799" customFormat="false" ht="15" hidden="false" customHeight="false" outlineLevel="0" collapsed="false">
      <c r="A799" s="11" t="str">
        <f aca="false">IF(B799="","",ROW()-4)</f>
        <v/>
      </c>
      <c r="B799" s="12"/>
      <c r="C799" s="13"/>
      <c r="D799" s="13"/>
      <c r="E799" s="13"/>
      <c r="F799" s="14" t="str">
        <f aca="false">IF(OR(B799="",C799="",D799=""),"",IFERROR(INDEX(CONFIG!$E$5:$E$14,MATCH(D799,CONFIG!$D$5:$D$14,0)),"?")&amp;RIGHT("0"&amp;DAY(B799),2)&amp;RIGHT("0"&amp;MONTH(B799),2)&amp;RIGHT(YEAR(B799),2)&amp;C799&amp;IF(E799="","","-"&amp;E799))</f>
        <v/>
      </c>
      <c r="G799" s="13"/>
      <c r="H799" s="13"/>
      <c r="I799" s="13"/>
      <c r="J799" s="13"/>
      <c r="K799" s="13"/>
      <c r="L799" s="13"/>
      <c r="M799" s="11" t="str">
        <f aca="false">IF(F799="","",COUNTIFS(ENSAYOS!$C$5:$C$3004,F799,ENSAYOS!$Q$5:$Q$3004,"&gt;0"))</f>
        <v/>
      </c>
      <c r="N799" s="15" t="str">
        <f aca="false">IF(N(M799)=0,"",_xlfn.MINIFS(ENSAYOS!$G$5:$G$3004,ENSAYOS!$C$5:$C$3004,F799,ENSAYOS!$Q$5:$Q$3004,"&gt;0"))</f>
        <v/>
      </c>
      <c r="O799" s="15" t="str">
        <f aca="false">IF(N(M799)=0,"",_xlfn.MAXIFS(ENSAYOS!$G$5:$G$3004,ENSAYOS!$C$5:$C$3004,F799,ENSAYOS!$Q$5:$Q$3004,"&gt;0"))</f>
        <v/>
      </c>
      <c r="P799" s="16" t="str">
        <f aca="false">IF(N(M799)=0,"",AVERAGEIFS(ENSAYOS!$Q$5:$Q$3004,ENSAYOS!$C$5:$C$3004,F799,ENSAYOS!$Q$5:$Q$3004,"&gt;0"))</f>
        <v/>
      </c>
      <c r="Q799" s="16" t="str">
        <f aca="false">IF(N(M799)=0,"",_xlfn.MINIFS(ENSAYOS!$Q$5:$Q$3004,ENSAYOS!$C$5:$C$3004,F799,ENSAYOS!$Q$5:$Q$3004,"&gt;0"))</f>
        <v/>
      </c>
      <c r="R799" s="16" t="str">
        <f aca="false">IF(N(M799)=0,"",_xlfn.MAXIFS(ENSAYOS!$Q$5:$Q$3004,ENSAYOS!$C$5:$C$3004,F799,ENSAYOS!$Q$5:$Q$3004,"&gt;0"))</f>
        <v/>
      </c>
      <c r="S799" s="16" t="str">
        <f aca="false">IF(N(M799)&lt;2,"",SQRT(MAX(0,(SUMIFS(ENSAYOS!$X$5:$X$3004,ENSAYOS!$C$5:$C$3004,F799,ENSAYOS!$Q$5:$Q$3004,"&gt;0")-M799*P799^2)/(M799-1))))</f>
        <v/>
      </c>
      <c r="T799" s="17" t="str">
        <f aca="false">IF(S799="","",S799/P799)</f>
        <v/>
      </c>
      <c r="U799" s="16" t="str">
        <f aca="false">IF(N(M799)=0,"",IF(N799&gt;=CONFIG!$B$27,"",AVERAGEIFS(ENSAYOS!$Q$5:$Q$3004,ENSAYOS!$C$5:$C$3004,F799,ENSAYOS!$Q$5:$Q$3004,"&gt;0",ENSAYOS!$G$5:$G$3004,N799)))</f>
        <v/>
      </c>
      <c r="V799" s="16" t="str">
        <f aca="false">IF(N(M799)=0,"",IF(COUNTIFS(ENSAYOS!$C$5:$C$3004,F799,ENSAYOS!$Q$5:$Q$3004,"&gt;0",ENSAYOS!$G$5:$G$3004,"&gt;="&amp;CONFIG!$B$27)=0,"",AVERAGEIFS(ENSAYOS!$Q$5:$Q$3004,ENSAYOS!$C$5:$C$3004,F799,ENSAYOS!$Q$5:$Q$3004,"&gt;0",ENSAYOS!$G$5:$G$3004,"&gt;="&amp;CONFIG!$B$27)))</f>
        <v/>
      </c>
      <c r="W799" s="18" t="str">
        <f aca="false">IF(AND(U799&lt;&gt;"",V799&lt;&gt;""),U799/V799,"")</f>
        <v/>
      </c>
      <c r="X799" s="18" t="str">
        <f aca="false">IF(U799="","",INDEX('CURVA EDAD'!$E$5:$E$32,MIN(28,MAX(1,N799))))</f>
        <v/>
      </c>
      <c r="Y799" s="16" t="str">
        <f aca="false">IF(V799&lt;&gt;"",V799,IF(U799="","",U799/X799))</f>
        <v/>
      </c>
      <c r="Z799" s="16" t="str">
        <f aca="false">IF(V799&lt;&gt;"",_xlfn.MINIFS(ENSAYOS!$Q$5:$Q$3004,ENSAYOS!$C$5:$C$3004,F799,ENSAYOS!$Q$5:$Q$3004,"&gt;0",ENSAYOS!$G$5:$G$3004,"&gt;="&amp;CONFIG!$B$27),IF(U799="","",_xlfn.MINIFS(ENSAYOS!$Q$5:$Q$3004,ENSAYOS!$C$5:$C$3004,F799,ENSAYOS!$Q$5:$Q$3004,"&gt;0",ENSAYOS!$G$5:$G$3004,N799)/X799))</f>
        <v/>
      </c>
      <c r="AA799" s="16" t="str">
        <f aca="false">IF(D799="","",IFERROR(1/(1/INDEX(CONFIG!$J$5:$J$14,MATCH(D799,CONFIG!$D$5:$D$14,0))),""))</f>
        <v/>
      </c>
      <c r="AB799" s="16" t="str">
        <f aca="false">IF(D799="","",IFERROR(1/(1/INDEX(CONFIG!$K$5:$K$14,MATCH(D799,CONFIG!$D$5:$D$14,0))),""))</f>
        <v/>
      </c>
      <c r="AC799" s="19" t="str">
        <f aca="false">IF(N(M799)=0,"",IF(AA799="","Sin spec",IF(AND(Y799&gt;=AA799,OR(AB799="",Z799&gt;=AB799)),"CUMPLE","NO CUMPLE")&amp;IF(V799=""," (est.)","")))</f>
        <v/>
      </c>
      <c r="AD799" s="20" t="str">
        <f aca="false">IF(F799="","",IF(COUNTIFS(ABSORCION!$C$5:$C$1004,F799,ABSORCION!$I$5:$I$1004,"&gt;0")=0,"",AVERAGEIFS(ABSORCION!$I$5:$I$1004,ABSORCION!$C$5:$C$1004,F799,ABSORCION!$I$5:$I$1004,"&gt;0")))</f>
        <v/>
      </c>
      <c r="AE799" s="20" t="str">
        <f aca="false">IF(F799="","",IF(COUNTIFS(ABSORCION!$C$5:$C$1004,F799,ABSORCION!$I$5:$I$1004,"&gt;0")=0,"",AVERAGEIFS(ABSORCION!$K$5:$K$1004,ABSORCION!$C$5:$C$1004,F799,ABSORCION!$I$5:$I$1004,"&gt;0")))</f>
        <v/>
      </c>
      <c r="AF799" s="20" t="str">
        <f aca="false">IF(AE799="","",IF(AE799&gt;=CONFIG!$E$21,CONFIG!$F$21,IF(AE799&gt;=CONFIG!$E$20,CONFIG!$F$20,CONFIG!$F$19)))</f>
        <v/>
      </c>
      <c r="AG799" s="21" t="str">
        <f aca="false">IF(F799="","",TRIM(IF(N(M799)=0,"Sin ensayos. ","")&amp;IF(AND(N(M799)&gt;0,N(M799)&lt;CONFIG!$B$26),"Menos de "&amp;CONFIG!$B$26&amp;" probetas. ","")&amp;IF(N(T799)&gt;CONFIG!$B$25,"CV alto. ","")&amp;IF(AND(N(AD799)&gt;0,N(AD799)&gt;N(AF799)),"Absorción alta. ","")))</f>
        <v/>
      </c>
      <c r="AH799" s="22" t="str">
        <f aca="false">IF(AND(N(M799)&gt;0,OR(CONTROL!$C$4="TODAS",C799=CONTROL!$C$4),D799=CONTROL!$C$5),MAX($AH$4:AH798)+1,"")</f>
        <v/>
      </c>
      <c r="AI799" s="22" t="str">
        <f aca="false">IF(AH799="","",P799^2)</f>
        <v/>
      </c>
    </row>
    <row r="800" customFormat="false" ht="15" hidden="false" customHeight="false" outlineLevel="0" collapsed="false">
      <c r="A800" s="11" t="str">
        <f aca="false">IF(B800="","",ROW()-4)</f>
        <v/>
      </c>
      <c r="B800" s="12"/>
      <c r="C800" s="13"/>
      <c r="D800" s="13"/>
      <c r="E800" s="13"/>
      <c r="F800" s="14" t="str">
        <f aca="false">IF(OR(B800="",C800="",D800=""),"",IFERROR(INDEX(CONFIG!$E$5:$E$14,MATCH(D800,CONFIG!$D$5:$D$14,0)),"?")&amp;RIGHT("0"&amp;DAY(B800),2)&amp;RIGHT("0"&amp;MONTH(B800),2)&amp;RIGHT(YEAR(B800),2)&amp;C800&amp;IF(E800="","","-"&amp;E800))</f>
        <v/>
      </c>
      <c r="G800" s="13"/>
      <c r="H800" s="13"/>
      <c r="I800" s="13"/>
      <c r="J800" s="13"/>
      <c r="K800" s="13"/>
      <c r="L800" s="13"/>
      <c r="M800" s="11" t="str">
        <f aca="false">IF(F800="","",COUNTIFS(ENSAYOS!$C$5:$C$3004,F800,ENSAYOS!$Q$5:$Q$3004,"&gt;0"))</f>
        <v/>
      </c>
      <c r="N800" s="15" t="str">
        <f aca="false">IF(N(M800)=0,"",_xlfn.MINIFS(ENSAYOS!$G$5:$G$3004,ENSAYOS!$C$5:$C$3004,F800,ENSAYOS!$Q$5:$Q$3004,"&gt;0"))</f>
        <v/>
      </c>
      <c r="O800" s="15" t="str">
        <f aca="false">IF(N(M800)=0,"",_xlfn.MAXIFS(ENSAYOS!$G$5:$G$3004,ENSAYOS!$C$5:$C$3004,F800,ENSAYOS!$Q$5:$Q$3004,"&gt;0"))</f>
        <v/>
      </c>
      <c r="P800" s="16" t="str">
        <f aca="false">IF(N(M800)=0,"",AVERAGEIFS(ENSAYOS!$Q$5:$Q$3004,ENSAYOS!$C$5:$C$3004,F800,ENSAYOS!$Q$5:$Q$3004,"&gt;0"))</f>
        <v/>
      </c>
      <c r="Q800" s="16" t="str">
        <f aca="false">IF(N(M800)=0,"",_xlfn.MINIFS(ENSAYOS!$Q$5:$Q$3004,ENSAYOS!$C$5:$C$3004,F800,ENSAYOS!$Q$5:$Q$3004,"&gt;0"))</f>
        <v/>
      </c>
      <c r="R800" s="16" t="str">
        <f aca="false">IF(N(M800)=0,"",_xlfn.MAXIFS(ENSAYOS!$Q$5:$Q$3004,ENSAYOS!$C$5:$C$3004,F800,ENSAYOS!$Q$5:$Q$3004,"&gt;0"))</f>
        <v/>
      </c>
      <c r="S800" s="16" t="str">
        <f aca="false">IF(N(M800)&lt;2,"",SQRT(MAX(0,(SUMIFS(ENSAYOS!$X$5:$X$3004,ENSAYOS!$C$5:$C$3004,F800,ENSAYOS!$Q$5:$Q$3004,"&gt;0")-M800*P800^2)/(M800-1))))</f>
        <v/>
      </c>
      <c r="T800" s="17" t="str">
        <f aca="false">IF(S800="","",S800/P800)</f>
        <v/>
      </c>
      <c r="U800" s="16" t="str">
        <f aca="false">IF(N(M800)=0,"",IF(N800&gt;=CONFIG!$B$27,"",AVERAGEIFS(ENSAYOS!$Q$5:$Q$3004,ENSAYOS!$C$5:$C$3004,F800,ENSAYOS!$Q$5:$Q$3004,"&gt;0",ENSAYOS!$G$5:$G$3004,N800)))</f>
        <v/>
      </c>
      <c r="V800" s="16" t="str">
        <f aca="false">IF(N(M800)=0,"",IF(COUNTIFS(ENSAYOS!$C$5:$C$3004,F800,ENSAYOS!$Q$5:$Q$3004,"&gt;0",ENSAYOS!$G$5:$G$3004,"&gt;="&amp;CONFIG!$B$27)=0,"",AVERAGEIFS(ENSAYOS!$Q$5:$Q$3004,ENSAYOS!$C$5:$C$3004,F800,ENSAYOS!$Q$5:$Q$3004,"&gt;0",ENSAYOS!$G$5:$G$3004,"&gt;="&amp;CONFIG!$B$27)))</f>
        <v/>
      </c>
      <c r="W800" s="18" t="str">
        <f aca="false">IF(AND(U800&lt;&gt;"",V800&lt;&gt;""),U800/V800,"")</f>
        <v/>
      </c>
      <c r="X800" s="18" t="str">
        <f aca="false">IF(U800="","",INDEX('CURVA EDAD'!$E$5:$E$32,MIN(28,MAX(1,N800))))</f>
        <v/>
      </c>
      <c r="Y800" s="16" t="str">
        <f aca="false">IF(V800&lt;&gt;"",V800,IF(U800="","",U800/X800))</f>
        <v/>
      </c>
      <c r="Z800" s="16" t="str">
        <f aca="false">IF(V800&lt;&gt;"",_xlfn.MINIFS(ENSAYOS!$Q$5:$Q$3004,ENSAYOS!$C$5:$C$3004,F800,ENSAYOS!$Q$5:$Q$3004,"&gt;0",ENSAYOS!$G$5:$G$3004,"&gt;="&amp;CONFIG!$B$27),IF(U800="","",_xlfn.MINIFS(ENSAYOS!$Q$5:$Q$3004,ENSAYOS!$C$5:$C$3004,F800,ENSAYOS!$Q$5:$Q$3004,"&gt;0",ENSAYOS!$G$5:$G$3004,N800)/X800))</f>
        <v/>
      </c>
      <c r="AA800" s="16" t="str">
        <f aca="false">IF(D800="","",IFERROR(1/(1/INDEX(CONFIG!$J$5:$J$14,MATCH(D800,CONFIG!$D$5:$D$14,0))),""))</f>
        <v/>
      </c>
      <c r="AB800" s="16" t="str">
        <f aca="false">IF(D800="","",IFERROR(1/(1/INDEX(CONFIG!$K$5:$K$14,MATCH(D800,CONFIG!$D$5:$D$14,0))),""))</f>
        <v/>
      </c>
      <c r="AC800" s="19" t="str">
        <f aca="false">IF(N(M800)=0,"",IF(AA800="","Sin spec",IF(AND(Y800&gt;=AA800,OR(AB800="",Z800&gt;=AB800)),"CUMPLE","NO CUMPLE")&amp;IF(V800=""," (est.)","")))</f>
        <v/>
      </c>
      <c r="AD800" s="20" t="str">
        <f aca="false">IF(F800="","",IF(COUNTIFS(ABSORCION!$C$5:$C$1004,F800,ABSORCION!$I$5:$I$1004,"&gt;0")=0,"",AVERAGEIFS(ABSORCION!$I$5:$I$1004,ABSORCION!$C$5:$C$1004,F800,ABSORCION!$I$5:$I$1004,"&gt;0")))</f>
        <v/>
      </c>
      <c r="AE800" s="20" t="str">
        <f aca="false">IF(F800="","",IF(COUNTIFS(ABSORCION!$C$5:$C$1004,F800,ABSORCION!$I$5:$I$1004,"&gt;0")=0,"",AVERAGEIFS(ABSORCION!$K$5:$K$1004,ABSORCION!$C$5:$C$1004,F800,ABSORCION!$I$5:$I$1004,"&gt;0")))</f>
        <v/>
      </c>
      <c r="AF800" s="20" t="str">
        <f aca="false">IF(AE800="","",IF(AE800&gt;=CONFIG!$E$21,CONFIG!$F$21,IF(AE800&gt;=CONFIG!$E$20,CONFIG!$F$20,CONFIG!$F$19)))</f>
        <v/>
      </c>
      <c r="AG800" s="21" t="str">
        <f aca="false">IF(F800="","",TRIM(IF(N(M800)=0,"Sin ensayos. ","")&amp;IF(AND(N(M800)&gt;0,N(M800)&lt;CONFIG!$B$26),"Menos de "&amp;CONFIG!$B$26&amp;" probetas. ","")&amp;IF(N(T800)&gt;CONFIG!$B$25,"CV alto. ","")&amp;IF(AND(N(AD800)&gt;0,N(AD800)&gt;N(AF800)),"Absorción alta. ","")))</f>
        <v/>
      </c>
      <c r="AH800" s="22" t="str">
        <f aca="false">IF(AND(N(M800)&gt;0,OR(CONTROL!$C$4="TODAS",C800=CONTROL!$C$4),D800=CONTROL!$C$5),MAX($AH$4:AH799)+1,"")</f>
        <v/>
      </c>
      <c r="AI800" s="22" t="str">
        <f aca="false">IF(AH800="","",P800^2)</f>
        <v/>
      </c>
    </row>
    <row r="801" customFormat="false" ht="15" hidden="false" customHeight="false" outlineLevel="0" collapsed="false">
      <c r="A801" s="11" t="str">
        <f aca="false">IF(B801="","",ROW()-4)</f>
        <v/>
      </c>
      <c r="B801" s="12"/>
      <c r="C801" s="13"/>
      <c r="D801" s="13"/>
      <c r="E801" s="13"/>
      <c r="F801" s="14" t="str">
        <f aca="false">IF(OR(B801="",C801="",D801=""),"",IFERROR(INDEX(CONFIG!$E$5:$E$14,MATCH(D801,CONFIG!$D$5:$D$14,0)),"?")&amp;RIGHT("0"&amp;DAY(B801),2)&amp;RIGHT("0"&amp;MONTH(B801),2)&amp;RIGHT(YEAR(B801),2)&amp;C801&amp;IF(E801="","","-"&amp;E801))</f>
        <v/>
      </c>
      <c r="G801" s="13"/>
      <c r="H801" s="13"/>
      <c r="I801" s="13"/>
      <c r="J801" s="13"/>
      <c r="K801" s="13"/>
      <c r="L801" s="13"/>
      <c r="M801" s="11" t="str">
        <f aca="false">IF(F801="","",COUNTIFS(ENSAYOS!$C$5:$C$3004,F801,ENSAYOS!$Q$5:$Q$3004,"&gt;0"))</f>
        <v/>
      </c>
      <c r="N801" s="15" t="str">
        <f aca="false">IF(N(M801)=0,"",_xlfn.MINIFS(ENSAYOS!$G$5:$G$3004,ENSAYOS!$C$5:$C$3004,F801,ENSAYOS!$Q$5:$Q$3004,"&gt;0"))</f>
        <v/>
      </c>
      <c r="O801" s="15" t="str">
        <f aca="false">IF(N(M801)=0,"",_xlfn.MAXIFS(ENSAYOS!$G$5:$G$3004,ENSAYOS!$C$5:$C$3004,F801,ENSAYOS!$Q$5:$Q$3004,"&gt;0"))</f>
        <v/>
      </c>
      <c r="P801" s="16" t="str">
        <f aca="false">IF(N(M801)=0,"",AVERAGEIFS(ENSAYOS!$Q$5:$Q$3004,ENSAYOS!$C$5:$C$3004,F801,ENSAYOS!$Q$5:$Q$3004,"&gt;0"))</f>
        <v/>
      </c>
      <c r="Q801" s="16" t="str">
        <f aca="false">IF(N(M801)=0,"",_xlfn.MINIFS(ENSAYOS!$Q$5:$Q$3004,ENSAYOS!$C$5:$C$3004,F801,ENSAYOS!$Q$5:$Q$3004,"&gt;0"))</f>
        <v/>
      </c>
      <c r="R801" s="16" t="str">
        <f aca="false">IF(N(M801)=0,"",_xlfn.MAXIFS(ENSAYOS!$Q$5:$Q$3004,ENSAYOS!$C$5:$C$3004,F801,ENSAYOS!$Q$5:$Q$3004,"&gt;0"))</f>
        <v/>
      </c>
      <c r="S801" s="16" t="str">
        <f aca="false">IF(N(M801)&lt;2,"",SQRT(MAX(0,(SUMIFS(ENSAYOS!$X$5:$X$3004,ENSAYOS!$C$5:$C$3004,F801,ENSAYOS!$Q$5:$Q$3004,"&gt;0")-M801*P801^2)/(M801-1))))</f>
        <v/>
      </c>
      <c r="T801" s="17" t="str">
        <f aca="false">IF(S801="","",S801/P801)</f>
        <v/>
      </c>
      <c r="U801" s="16" t="str">
        <f aca="false">IF(N(M801)=0,"",IF(N801&gt;=CONFIG!$B$27,"",AVERAGEIFS(ENSAYOS!$Q$5:$Q$3004,ENSAYOS!$C$5:$C$3004,F801,ENSAYOS!$Q$5:$Q$3004,"&gt;0",ENSAYOS!$G$5:$G$3004,N801)))</f>
        <v/>
      </c>
      <c r="V801" s="16" t="str">
        <f aca="false">IF(N(M801)=0,"",IF(COUNTIFS(ENSAYOS!$C$5:$C$3004,F801,ENSAYOS!$Q$5:$Q$3004,"&gt;0",ENSAYOS!$G$5:$G$3004,"&gt;="&amp;CONFIG!$B$27)=0,"",AVERAGEIFS(ENSAYOS!$Q$5:$Q$3004,ENSAYOS!$C$5:$C$3004,F801,ENSAYOS!$Q$5:$Q$3004,"&gt;0",ENSAYOS!$G$5:$G$3004,"&gt;="&amp;CONFIG!$B$27)))</f>
        <v/>
      </c>
      <c r="W801" s="18" t="str">
        <f aca="false">IF(AND(U801&lt;&gt;"",V801&lt;&gt;""),U801/V801,"")</f>
        <v/>
      </c>
      <c r="X801" s="18" t="str">
        <f aca="false">IF(U801="","",INDEX('CURVA EDAD'!$E$5:$E$32,MIN(28,MAX(1,N801))))</f>
        <v/>
      </c>
      <c r="Y801" s="16" t="str">
        <f aca="false">IF(V801&lt;&gt;"",V801,IF(U801="","",U801/X801))</f>
        <v/>
      </c>
      <c r="Z801" s="16" t="str">
        <f aca="false">IF(V801&lt;&gt;"",_xlfn.MINIFS(ENSAYOS!$Q$5:$Q$3004,ENSAYOS!$C$5:$C$3004,F801,ENSAYOS!$Q$5:$Q$3004,"&gt;0",ENSAYOS!$G$5:$G$3004,"&gt;="&amp;CONFIG!$B$27),IF(U801="","",_xlfn.MINIFS(ENSAYOS!$Q$5:$Q$3004,ENSAYOS!$C$5:$C$3004,F801,ENSAYOS!$Q$5:$Q$3004,"&gt;0",ENSAYOS!$G$5:$G$3004,N801)/X801))</f>
        <v/>
      </c>
      <c r="AA801" s="16" t="str">
        <f aca="false">IF(D801="","",IFERROR(1/(1/INDEX(CONFIG!$J$5:$J$14,MATCH(D801,CONFIG!$D$5:$D$14,0))),""))</f>
        <v/>
      </c>
      <c r="AB801" s="16" t="str">
        <f aca="false">IF(D801="","",IFERROR(1/(1/INDEX(CONFIG!$K$5:$K$14,MATCH(D801,CONFIG!$D$5:$D$14,0))),""))</f>
        <v/>
      </c>
      <c r="AC801" s="19" t="str">
        <f aca="false">IF(N(M801)=0,"",IF(AA801="","Sin spec",IF(AND(Y801&gt;=AA801,OR(AB801="",Z801&gt;=AB801)),"CUMPLE","NO CUMPLE")&amp;IF(V801=""," (est.)","")))</f>
        <v/>
      </c>
      <c r="AD801" s="20" t="str">
        <f aca="false">IF(F801="","",IF(COUNTIFS(ABSORCION!$C$5:$C$1004,F801,ABSORCION!$I$5:$I$1004,"&gt;0")=0,"",AVERAGEIFS(ABSORCION!$I$5:$I$1004,ABSORCION!$C$5:$C$1004,F801,ABSORCION!$I$5:$I$1004,"&gt;0")))</f>
        <v/>
      </c>
      <c r="AE801" s="20" t="str">
        <f aca="false">IF(F801="","",IF(COUNTIFS(ABSORCION!$C$5:$C$1004,F801,ABSORCION!$I$5:$I$1004,"&gt;0")=0,"",AVERAGEIFS(ABSORCION!$K$5:$K$1004,ABSORCION!$C$5:$C$1004,F801,ABSORCION!$I$5:$I$1004,"&gt;0")))</f>
        <v/>
      </c>
      <c r="AF801" s="20" t="str">
        <f aca="false">IF(AE801="","",IF(AE801&gt;=CONFIG!$E$21,CONFIG!$F$21,IF(AE801&gt;=CONFIG!$E$20,CONFIG!$F$20,CONFIG!$F$19)))</f>
        <v/>
      </c>
      <c r="AG801" s="21" t="str">
        <f aca="false">IF(F801="","",TRIM(IF(N(M801)=0,"Sin ensayos. ","")&amp;IF(AND(N(M801)&gt;0,N(M801)&lt;CONFIG!$B$26),"Menos de "&amp;CONFIG!$B$26&amp;" probetas. ","")&amp;IF(N(T801)&gt;CONFIG!$B$25,"CV alto. ","")&amp;IF(AND(N(AD801)&gt;0,N(AD801)&gt;N(AF801)),"Absorción alta. ","")))</f>
        <v/>
      </c>
      <c r="AH801" s="22" t="str">
        <f aca="false">IF(AND(N(M801)&gt;0,OR(CONTROL!$C$4="TODAS",C801=CONTROL!$C$4),D801=CONTROL!$C$5),MAX($AH$4:AH800)+1,"")</f>
        <v/>
      </c>
      <c r="AI801" s="22" t="str">
        <f aca="false">IF(AH801="","",P801^2)</f>
        <v/>
      </c>
    </row>
    <row r="802" customFormat="false" ht="15" hidden="false" customHeight="false" outlineLevel="0" collapsed="false">
      <c r="A802" s="11" t="str">
        <f aca="false">IF(B802="","",ROW()-4)</f>
        <v/>
      </c>
      <c r="B802" s="12"/>
      <c r="C802" s="13"/>
      <c r="D802" s="13"/>
      <c r="E802" s="13"/>
      <c r="F802" s="14" t="str">
        <f aca="false">IF(OR(B802="",C802="",D802=""),"",IFERROR(INDEX(CONFIG!$E$5:$E$14,MATCH(D802,CONFIG!$D$5:$D$14,0)),"?")&amp;RIGHT("0"&amp;DAY(B802),2)&amp;RIGHT("0"&amp;MONTH(B802),2)&amp;RIGHT(YEAR(B802),2)&amp;C802&amp;IF(E802="","","-"&amp;E802))</f>
        <v/>
      </c>
      <c r="G802" s="13"/>
      <c r="H802" s="13"/>
      <c r="I802" s="13"/>
      <c r="J802" s="13"/>
      <c r="K802" s="13"/>
      <c r="L802" s="13"/>
      <c r="M802" s="11" t="str">
        <f aca="false">IF(F802="","",COUNTIFS(ENSAYOS!$C$5:$C$3004,F802,ENSAYOS!$Q$5:$Q$3004,"&gt;0"))</f>
        <v/>
      </c>
      <c r="N802" s="15" t="str">
        <f aca="false">IF(N(M802)=0,"",_xlfn.MINIFS(ENSAYOS!$G$5:$G$3004,ENSAYOS!$C$5:$C$3004,F802,ENSAYOS!$Q$5:$Q$3004,"&gt;0"))</f>
        <v/>
      </c>
      <c r="O802" s="15" t="str">
        <f aca="false">IF(N(M802)=0,"",_xlfn.MAXIFS(ENSAYOS!$G$5:$G$3004,ENSAYOS!$C$5:$C$3004,F802,ENSAYOS!$Q$5:$Q$3004,"&gt;0"))</f>
        <v/>
      </c>
      <c r="P802" s="16" t="str">
        <f aca="false">IF(N(M802)=0,"",AVERAGEIFS(ENSAYOS!$Q$5:$Q$3004,ENSAYOS!$C$5:$C$3004,F802,ENSAYOS!$Q$5:$Q$3004,"&gt;0"))</f>
        <v/>
      </c>
      <c r="Q802" s="16" t="str">
        <f aca="false">IF(N(M802)=0,"",_xlfn.MINIFS(ENSAYOS!$Q$5:$Q$3004,ENSAYOS!$C$5:$C$3004,F802,ENSAYOS!$Q$5:$Q$3004,"&gt;0"))</f>
        <v/>
      </c>
      <c r="R802" s="16" t="str">
        <f aca="false">IF(N(M802)=0,"",_xlfn.MAXIFS(ENSAYOS!$Q$5:$Q$3004,ENSAYOS!$C$5:$C$3004,F802,ENSAYOS!$Q$5:$Q$3004,"&gt;0"))</f>
        <v/>
      </c>
      <c r="S802" s="16" t="str">
        <f aca="false">IF(N(M802)&lt;2,"",SQRT(MAX(0,(SUMIFS(ENSAYOS!$X$5:$X$3004,ENSAYOS!$C$5:$C$3004,F802,ENSAYOS!$Q$5:$Q$3004,"&gt;0")-M802*P802^2)/(M802-1))))</f>
        <v/>
      </c>
      <c r="T802" s="17" t="str">
        <f aca="false">IF(S802="","",S802/P802)</f>
        <v/>
      </c>
      <c r="U802" s="16" t="str">
        <f aca="false">IF(N(M802)=0,"",IF(N802&gt;=CONFIG!$B$27,"",AVERAGEIFS(ENSAYOS!$Q$5:$Q$3004,ENSAYOS!$C$5:$C$3004,F802,ENSAYOS!$Q$5:$Q$3004,"&gt;0",ENSAYOS!$G$5:$G$3004,N802)))</f>
        <v/>
      </c>
      <c r="V802" s="16" t="str">
        <f aca="false">IF(N(M802)=0,"",IF(COUNTIFS(ENSAYOS!$C$5:$C$3004,F802,ENSAYOS!$Q$5:$Q$3004,"&gt;0",ENSAYOS!$G$5:$G$3004,"&gt;="&amp;CONFIG!$B$27)=0,"",AVERAGEIFS(ENSAYOS!$Q$5:$Q$3004,ENSAYOS!$C$5:$C$3004,F802,ENSAYOS!$Q$5:$Q$3004,"&gt;0",ENSAYOS!$G$5:$G$3004,"&gt;="&amp;CONFIG!$B$27)))</f>
        <v/>
      </c>
      <c r="W802" s="18" t="str">
        <f aca="false">IF(AND(U802&lt;&gt;"",V802&lt;&gt;""),U802/V802,"")</f>
        <v/>
      </c>
      <c r="X802" s="18" t="str">
        <f aca="false">IF(U802="","",INDEX('CURVA EDAD'!$E$5:$E$32,MIN(28,MAX(1,N802))))</f>
        <v/>
      </c>
      <c r="Y802" s="16" t="str">
        <f aca="false">IF(V802&lt;&gt;"",V802,IF(U802="","",U802/X802))</f>
        <v/>
      </c>
      <c r="Z802" s="16" t="str">
        <f aca="false">IF(V802&lt;&gt;"",_xlfn.MINIFS(ENSAYOS!$Q$5:$Q$3004,ENSAYOS!$C$5:$C$3004,F802,ENSAYOS!$Q$5:$Q$3004,"&gt;0",ENSAYOS!$G$5:$G$3004,"&gt;="&amp;CONFIG!$B$27),IF(U802="","",_xlfn.MINIFS(ENSAYOS!$Q$5:$Q$3004,ENSAYOS!$C$5:$C$3004,F802,ENSAYOS!$Q$5:$Q$3004,"&gt;0",ENSAYOS!$G$5:$G$3004,N802)/X802))</f>
        <v/>
      </c>
      <c r="AA802" s="16" t="str">
        <f aca="false">IF(D802="","",IFERROR(1/(1/INDEX(CONFIG!$J$5:$J$14,MATCH(D802,CONFIG!$D$5:$D$14,0))),""))</f>
        <v/>
      </c>
      <c r="AB802" s="16" t="str">
        <f aca="false">IF(D802="","",IFERROR(1/(1/INDEX(CONFIG!$K$5:$K$14,MATCH(D802,CONFIG!$D$5:$D$14,0))),""))</f>
        <v/>
      </c>
      <c r="AC802" s="19" t="str">
        <f aca="false">IF(N(M802)=0,"",IF(AA802="","Sin spec",IF(AND(Y802&gt;=AA802,OR(AB802="",Z802&gt;=AB802)),"CUMPLE","NO CUMPLE")&amp;IF(V802=""," (est.)","")))</f>
        <v/>
      </c>
      <c r="AD802" s="20" t="str">
        <f aca="false">IF(F802="","",IF(COUNTIFS(ABSORCION!$C$5:$C$1004,F802,ABSORCION!$I$5:$I$1004,"&gt;0")=0,"",AVERAGEIFS(ABSORCION!$I$5:$I$1004,ABSORCION!$C$5:$C$1004,F802,ABSORCION!$I$5:$I$1004,"&gt;0")))</f>
        <v/>
      </c>
      <c r="AE802" s="20" t="str">
        <f aca="false">IF(F802="","",IF(COUNTIFS(ABSORCION!$C$5:$C$1004,F802,ABSORCION!$I$5:$I$1004,"&gt;0")=0,"",AVERAGEIFS(ABSORCION!$K$5:$K$1004,ABSORCION!$C$5:$C$1004,F802,ABSORCION!$I$5:$I$1004,"&gt;0")))</f>
        <v/>
      </c>
      <c r="AF802" s="20" t="str">
        <f aca="false">IF(AE802="","",IF(AE802&gt;=CONFIG!$E$21,CONFIG!$F$21,IF(AE802&gt;=CONFIG!$E$20,CONFIG!$F$20,CONFIG!$F$19)))</f>
        <v/>
      </c>
      <c r="AG802" s="21" t="str">
        <f aca="false">IF(F802="","",TRIM(IF(N(M802)=0,"Sin ensayos. ","")&amp;IF(AND(N(M802)&gt;0,N(M802)&lt;CONFIG!$B$26),"Menos de "&amp;CONFIG!$B$26&amp;" probetas. ","")&amp;IF(N(T802)&gt;CONFIG!$B$25,"CV alto. ","")&amp;IF(AND(N(AD802)&gt;0,N(AD802)&gt;N(AF802)),"Absorción alta. ","")))</f>
        <v/>
      </c>
      <c r="AH802" s="22" t="str">
        <f aca="false">IF(AND(N(M802)&gt;0,OR(CONTROL!$C$4="TODAS",C802=CONTROL!$C$4),D802=CONTROL!$C$5),MAX($AH$4:AH801)+1,"")</f>
        <v/>
      </c>
      <c r="AI802" s="22" t="str">
        <f aca="false">IF(AH802="","",P802^2)</f>
        <v/>
      </c>
    </row>
    <row r="803" customFormat="false" ht="15" hidden="false" customHeight="false" outlineLevel="0" collapsed="false">
      <c r="A803" s="11" t="str">
        <f aca="false">IF(B803="","",ROW()-4)</f>
        <v/>
      </c>
      <c r="B803" s="12"/>
      <c r="C803" s="13"/>
      <c r="D803" s="13"/>
      <c r="E803" s="13"/>
      <c r="F803" s="14" t="str">
        <f aca="false">IF(OR(B803="",C803="",D803=""),"",IFERROR(INDEX(CONFIG!$E$5:$E$14,MATCH(D803,CONFIG!$D$5:$D$14,0)),"?")&amp;RIGHT("0"&amp;DAY(B803),2)&amp;RIGHT("0"&amp;MONTH(B803),2)&amp;RIGHT(YEAR(B803),2)&amp;C803&amp;IF(E803="","","-"&amp;E803))</f>
        <v/>
      </c>
      <c r="G803" s="13"/>
      <c r="H803" s="13"/>
      <c r="I803" s="13"/>
      <c r="J803" s="13"/>
      <c r="K803" s="13"/>
      <c r="L803" s="13"/>
      <c r="M803" s="11" t="str">
        <f aca="false">IF(F803="","",COUNTIFS(ENSAYOS!$C$5:$C$3004,F803,ENSAYOS!$Q$5:$Q$3004,"&gt;0"))</f>
        <v/>
      </c>
      <c r="N803" s="15" t="str">
        <f aca="false">IF(N(M803)=0,"",_xlfn.MINIFS(ENSAYOS!$G$5:$G$3004,ENSAYOS!$C$5:$C$3004,F803,ENSAYOS!$Q$5:$Q$3004,"&gt;0"))</f>
        <v/>
      </c>
      <c r="O803" s="15" t="str">
        <f aca="false">IF(N(M803)=0,"",_xlfn.MAXIFS(ENSAYOS!$G$5:$G$3004,ENSAYOS!$C$5:$C$3004,F803,ENSAYOS!$Q$5:$Q$3004,"&gt;0"))</f>
        <v/>
      </c>
      <c r="P803" s="16" t="str">
        <f aca="false">IF(N(M803)=0,"",AVERAGEIFS(ENSAYOS!$Q$5:$Q$3004,ENSAYOS!$C$5:$C$3004,F803,ENSAYOS!$Q$5:$Q$3004,"&gt;0"))</f>
        <v/>
      </c>
      <c r="Q803" s="16" t="str">
        <f aca="false">IF(N(M803)=0,"",_xlfn.MINIFS(ENSAYOS!$Q$5:$Q$3004,ENSAYOS!$C$5:$C$3004,F803,ENSAYOS!$Q$5:$Q$3004,"&gt;0"))</f>
        <v/>
      </c>
      <c r="R803" s="16" t="str">
        <f aca="false">IF(N(M803)=0,"",_xlfn.MAXIFS(ENSAYOS!$Q$5:$Q$3004,ENSAYOS!$C$5:$C$3004,F803,ENSAYOS!$Q$5:$Q$3004,"&gt;0"))</f>
        <v/>
      </c>
      <c r="S803" s="16" t="str">
        <f aca="false">IF(N(M803)&lt;2,"",SQRT(MAX(0,(SUMIFS(ENSAYOS!$X$5:$X$3004,ENSAYOS!$C$5:$C$3004,F803,ENSAYOS!$Q$5:$Q$3004,"&gt;0")-M803*P803^2)/(M803-1))))</f>
        <v/>
      </c>
      <c r="T803" s="17" t="str">
        <f aca="false">IF(S803="","",S803/P803)</f>
        <v/>
      </c>
      <c r="U803" s="16" t="str">
        <f aca="false">IF(N(M803)=0,"",IF(N803&gt;=CONFIG!$B$27,"",AVERAGEIFS(ENSAYOS!$Q$5:$Q$3004,ENSAYOS!$C$5:$C$3004,F803,ENSAYOS!$Q$5:$Q$3004,"&gt;0",ENSAYOS!$G$5:$G$3004,N803)))</f>
        <v/>
      </c>
      <c r="V803" s="16" t="str">
        <f aca="false">IF(N(M803)=0,"",IF(COUNTIFS(ENSAYOS!$C$5:$C$3004,F803,ENSAYOS!$Q$5:$Q$3004,"&gt;0",ENSAYOS!$G$5:$G$3004,"&gt;="&amp;CONFIG!$B$27)=0,"",AVERAGEIFS(ENSAYOS!$Q$5:$Q$3004,ENSAYOS!$C$5:$C$3004,F803,ENSAYOS!$Q$5:$Q$3004,"&gt;0",ENSAYOS!$G$5:$G$3004,"&gt;="&amp;CONFIG!$B$27)))</f>
        <v/>
      </c>
      <c r="W803" s="18" t="str">
        <f aca="false">IF(AND(U803&lt;&gt;"",V803&lt;&gt;""),U803/V803,"")</f>
        <v/>
      </c>
      <c r="X803" s="18" t="str">
        <f aca="false">IF(U803="","",INDEX('CURVA EDAD'!$E$5:$E$32,MIN(28,MAX(1,N803))))</f>
        <v/>
      </c>
      <c r="Y803" s="16" t="str">
        <f aca="false">IF(V803&lt;&gt;"",V803,IF(U803="","",U803/X803))</f>
        <v/>
      </c>
      <c r="Z803" s="16" t="str">
        <f aca="false">IF(V803&lt;&gt;"",_xlfn.MINIFS(ENSAYOS!$Q$5:$Q$3004,ENSAYOS!$C$5:$C$3004,F803,ENSAYOS!$Q$5:$Q$3004,"&gt;0",ENSAYOS!$G$5:$G$3004,"&gt;="&amp;CONFIG!$B$27),IF(U803="","",_xlfn.MINIFS(ENSAYOS!$Q$5:$Q$3004,ENSAYOS!$C$5:$C$3004,F803,ENSAYOS!$Q$5:$Q$3004,"&gt;0",ENSAYOS!$G$5:$G$3004,N803)/X803))</f>
        <v/>
      </c>
      <c r="AA803" s="16" t="str">
        <f aca="false">IF(D803="","",IFERROR(1/(1/INDEX(CONFIG!$J$5:$J$14,MATCH(D803,CONFIG!$D$5:$D$14,0))),""))</f>
        <v/>
      </c>
      <c r="AB803" s="16" t="str">
        <f aca="false">IF(D803="","",IFERROR(1/(1/INDEX(CONFIG!$K$5:$K$14,MATCH(D803,CONFIG!$D$5:$D$14,0))),""))</f>
        <v/>
      </c>
      <c r="AC803" s="19" t="str">
        <f aca="false">IF(N(M803)=0,"",IF(AA803="","Sin spec",IF(AND(Y803&gt;=AA803,OR(AB803="",Z803&gt;=AB803)),"CUMPLE","NO CUMPLE")&amp;IF(V803=""," (est.)","")))</f>
        <v/>
      </c>
      <c r="AD803" s="20" t="str">
        <f aca="false">IF(F803="","",IF(COUNTIFS(ABSORCION!$C$5:$C$1004,F803,ABSORCION!$I$5:$I$1004,"&gt;0")=0,"",AVERAGEIFS(ABSORCION!$I$5:$I$1004,ABSORCION!$C$5:$C$1004,F803,ABSORCION!$I$5:$I$1004,"&gt;0")))</f>
        <v/>
      </c>
      <c r="AE803" s="20" t="str">
        <f aca="false">IF(F803="","",IF(COUNTIFS(ABSORCION!$C$5:$C$1004,F803,ABSORCION!$I$5:$I$1004,"&gt;0")=0,"",AVERAGEIFS(ABSORCION!$K$5:$K$1004,ABSORCION!$C$5:$C$1004,F803,ABSORCION!$I$5:$I$1004,"&gt;0")))</f>
        <v/>
      </c>
      <c r="AF803" s="20" t="str">
        <f aca="false">IF(AE803="","",IF(AE803&gt;=CONFIG!$E$21,CONFIG!$F$21,IF(AE803&gt;=CONFIG!$E$20,CONFIG!$F$20,CONFIG!$F$19)))</f>
        <v/>
      </c>
      <c r="AG803" s="21" t="str">
        <f aca="false">IF(F803="","",TRIM(IF(N(M803)=0,"Sin ensayos. ","")&amp;IF(AND(N(M803)&gt;0,N(M803)&lt;CONFIG!$B$26),"Menos de "&amp;CONFIG!$B$26&amp;" probetas. ","")&amp;IF(N(T803)&gt;CONFIG!$B$25,"CV alto. ","")&amp;IF(AND(N(AD803)&gt;0,N(AD803)&gt;N(AF803)),"Absorción alta. ","")))</f>
        <v/>
      </c>
      <c r="AH803" s="22" t="str">
        <f aca="false">IF(AND(N(M803)&gt;0,OR(CONTROL!$C$4="TODAS",C803=CONTROL!$C$4),D803=CONTROL!$C$5),MAX($AH$4:AH802)+1,"")</f>
        <v/>
      </c>
      <c r="AI803" s="22" t="str">
        <f aca="false">IF(AH803="","",P803^2)</f>
        <v/>
      </c>
    </row>
    <row r="804" customFormat="false" ht="15" hidden="false" customHeight="false" outlineLevel="0" collapsed="false">
      <c r="A804" s="11" t="str">
        <f aca="false">IF(B804="","",ROW()-4)</f>
        <v/>
      </c>
      <c r="B804" s="12"/>
      <c r="C804" s="13"/>
      <c r="D804" s="13"/>
      <c r="E804" s="13"/>
      <c r="F804" s="14" t="str">
        <f aca="false">IF(OR(B804="",C804="",D804=""),"",IFERROR(INDEX(CONFIG!$E$5:$E$14,MATCH(D804,CONFIG!$D$5:$D$14,0)),"?")&amp;RIGHT("0"&amp;DAY(B804),2)&amp;RIGHT("0"&amp;MONTH(B804),2)&amp;RIGHT(YEAR(B804),2)&amp;C804&amp;IF(E804="","","-"&amp;E804))</f>
        <v/>
      </c>
      <c r="G804" s="13"/>
      <c r="H804" s="13"/>
      <c r="I804" s="13"/>
      <c r="J804" s="13"/>
      <c r="K804" s="13"/>
      <c r="L804" s="13"/>
      <c r="M804" s="11" t="str">
        <f aca="false">IF(F804="","",COUNTIFS(ENSAYOS!$C$5:$C$3004,F804,ENSAYOS!$Q$5:$Q$3004,"&gt;0"))</f>
        <v/>
      </c>
      <c r="N804" s="15" t="str">
        <f aca="false">IF(N(M804)=0,"",_xlfn.MINIFS(ENSAYOS!$G$5:$G$3004,ENSAYOS!$C$5:$C$3004,F804,ENSAYOS!$Q$5:$Q$3004,"&gt;0"))</f>
        <v/>
      </c>
      <c r="O804" s="15" t="str">
        <f aca="false">IF(N(M804)=0,"",_xlfn.MAXIFS(ENSAYOS!$G$5:$G$3004,ENSAYOS!$C$5:$C$3004,F804,ENSAYOS!$Q$5:$Q$3004,"&gt;0"))</f>
        <v/>
      </c>
      <c r="P804" s="16" t="str">
        <f aca="false">IF(N(M804)=0,"",AVERAGEIFS(ENSAYOS!$Q$5:$Q$3004,ENSAYOS!$C$5:$C$3004,F804,ENSAYOS!$Q$5:$Q$3004,"&gt;0"))</f>
        <v/>
      </c>
      <c r="Q804" s="16" t="str">
        <f aca="false">IF(N(M804)=0,"",_xlfn.MINIFS(ENSAYOS!$Q$5:$Q$3004,ENSAYOS!$C$5:$C$3004,F804,ENSAYOS!$Q$5:$Q$3004,"&gt;0"))</f>
        <v/>
      </c>
      <c r="R804" s="16" t="str">
        <f aca="false">IF(N(M804)=0,"",_xlfn.MAXIFS(ENSAYOS!$Q$5:$Q$3004,ENSAYOS!$C$5:$C$3004,F804,ENSAYOS!$Q$5:$Q$3004,"&gt;0"))</f>
        <v/>
      </c>
      <c r="S804" s="16" t="str">
        <f aca="false">IF(N(M804)&lt;2,"",SQRT(MAX(0,(SUMIFS(ENSAYOS!$X$5:$X$3004,ENSAYOS!$C$5:$C$3004,F804,ENSAYOS!$Q$5:$Q$3004,"&gt;0")-M804*P804^2)/(M804-1))))</f>
        <v/>
      </c>
      <c r="T804" s="17" t="str">
        <f aca="false">IF(S804="","",S804/P804)</f>
        <v/>
      </c>
      <c r="U804" s="16" t="str">
        <f aca="false">IF(N(M804)=0,"",IF(N804&gt;=CONFIG!$B$27,"",AVERAGEIFS(ENSAYOS!$Q$5:$Q$3004,ENSAYOS!$C$5:$C$3004,F804,ENSAYOS!$Q$5:$Q$3004,"&gt;0",ENSAYOS!$G$5:$G$3004,N804)))</f>
        <v/>
      </c>
      <c r="V804" s="16" t="str">
        <f aca="false">IF(N(M804)=0,"",IF(COUNTIFS(ENSAYOS!$C$5:$C$3004,F804,ENSAYOS!$Q$5:$Q$3004,"&gt;0",ENSAYOS!$G$5:$G$3004,"&gt;="&amp;CONFIG!$B$27)=0,"",AVERAGEIFS(ENSAYOS!$Q$5:$Q$3004,ENSAYOS!$C$5:$C$3004,F804,ENSAYOS!$Q$5:$Q$3004,"&gt;0",ENSAYOS!$G$5:$G$3004,"&gt;="&amp;CONFIG!$B$27)))</f>
        <v/>
      </c>
      <c r="W804" s="18" t="str">
        <f aca="false">IF(AND(U804&lt;&gt;"",V804&lt;&gt;""),U804/V804,"")</f>
        <v/>
      </c>
      <c r="X804" s="18" t="str">
        <f aca="false">IF(U804="","",INDEX('CURVA EDAD'!$E$5:$E$32,MIN(28,MAX(1,N804))))</f>
        <v/>
      </c>
      <c r="Y804" s="16" t="str">
        <f aca="false">IF(V804&lt;&gt;"",V804,IF(U804="","",U804/X804))</f>
        <v/>
      </c>
      <c r="Z804" s="16" t="str">
        <f aca="false">IF(V804&lt;&gt;"",_xlfn.MINIFS(ENSAYOS!$Q$5:$Q$3004,ENSAYOS!$C$5:$C$3004,F804,ENSAYOS!$Q$5:$Q$3004,"&gt;0",ENSAYOS!$G$5:$G$3004,"&gt;="&amp;CONFIG!$B$27),IF(U804="","",_xlfn.MINIFS(ENSAYOS!$Q$5:$Q$3004,ENSAYOS!$C$5:$C$3004,F804,ENSAYOS!$Q$5:$Q$3004,"&gt;0",ENSAYOS!$G$5:$G$3004,N804)/X804))</f>
        <v/>
      </c>
      <c r="AA804" s="16" t="str">
        <f aca="false">IF(D804="","",IFERROR(1/(1/INDEX(CONFIG!$J$5:$J$14,MATCH(D804,CONFIG!$D$5:$D$14,0))),""))</f>
        <v/>
      </c>
      <c r="AB804" s="16" t="str">
        <f aca="false">IF(D804="","",IFERROR(1/(1/INDEX(CONFIG!$K$5:$K$14,MATCH(D804,CONFIG!$D$5:$D$14,0))),""))</f>
        <v/>
      </c>
      <c r="AC804" s="19" t="str">
        <f aca="false">IF(N(M804)=0,"",IF(AA804="","Sin spec",IF(AND(Y804&gt;=AA804,OR(AB804="",Z804&gt;=AB804)),"CUMPLE","NO CUMPLE")&amp;IF(V804=""," (est.)","")))</f>
        <v/>
      </c>
      <c r="AD804" s="20" t="str">
        <f aca="false">IF(F804="","",IF(COUNTIFS(ABSORCION!$C$5:$C$1004,F804,ABSORCION!$I$5:$I$1004,"&gt;0")=0,"",AVERAGEIFS(ABSORCION!$I$5:$I$1004,ABSORCION!$C$5:$C$1004,F804,ABSORCION!$I$5:$I$1004,"&gt;0")))</f>
        <v/>
      </c>
      <c r="AE804" s="20" t="str">
        <f aca="false">IF(F804="","",IF(COUNTIFS(ABSORCION!$C$5:$C$1004,F804,ABSORCION!$I$5:$I$1004,"&gt;0")=0,"",AVERAGEIFS(ABSORCION!$K$5:$K$1004,ABSORCION!$C$5:$C$1004,F804,ABSORCION!$I$5:$I$1004,"&gt;0")))</f>
        <v/>
      </c>
      <c r="AF804" s="20" t="str">
        <f aca="false">IF(AE804="","",IF(AE804&gt;=CONFIG!$E$21,CONFIG!$F$21,IF(AE804&gt;=CONFIG!$E$20,CONFIG!$F$20,CONFIG!$F$19)))</f>
        <v/>
      </c>
      <c r="AG804" s="21" t="str">
        <f aca="false">IF(F804="","",TRIM(IF(N(M804)=0,"Sin ensayos. ","")&amp;IF(AND(N(M804)&gt;0,N(M804)&lt;CONFIG!$B$26),"Menos de "&amp;CONFIG!$B$26&amp;" probetas. ","")&amp;IF(N(T804)&gt;CONFIG!$B$25,"CV alto. ","")&amp;IF(AND(N(AD804)&gt;0,N(AD804)&gt;N(AF804)),"Absorción alta. ","")))</f>
        <v/>
      </c>
      <c r="AH804" s="22" t="str">
        <f aca="false">IF(AND(N(M804)&gt;0,OR(CONTROL!$C$4="TODAS",C804=CONTROL!$C$4),D804=CONTROL!$C$5),MAX($AH$4:AH803)+1,"")</f>
        <v/>
      </c>
      <c r="AI804" s="22" t="str">
        <f aca="false">IF(AH804="","",P804^2)</f>
        <v/>
      </c>
    </row>
    <row r="805" customFormat="false" ht="15" hidden="false" customHeight="false" outlineLevel="0" collapsed="false">
      <c r="A805" s="11" t="str">
        <f aca="false">IF(B805="","",ROW()-4)</f>
        <v/>
      </c>
      <c r="B805" s="12"/>
      <c r="C805" s="13"/>
      <c r="D805" s="13"/>
      <c r="E805" s="13"/>
      <c r="F805" s="14" t="str">
        <f aca="false">IF(OR(B805="",C805="",D805=""),"",IFERROR(INDEX(CONFIG!$E$5:$E$14,MATCH(D805,CONFIG!$D$5:$D$14,0)),"?")&amp;RIGHT("0"&amp;DAY(B805),2)&amp;RIGHT("0"&amp;MONTH(B805),2)&amp;RIGHT(YEAR(B805),2)&amp;C805&amp;IF(E805="","","-"&amp;E805))</f>
        <v/>
      </c>
      <c r="G805" s="13"/>
      <c r="H805" s="13"/>
      <c r="I805" s="13"/>
      <c r="J805" s="13"/>
      <c r="K805" s="13"/>
      <c r="L805" s="13"/>
      <c r="M805" s="11" t="str">
        <f aca="false">IF(F805="","",COUNTIFS(ENSAYOS!$C$5:$C$3004,F805,ENSAYOS!$Q$5:$Q$3004,"&gt;0"))</f>
        <v/>
      </c>
      <c r="N805" s="15" t="str">
        <f aca="false">IF(N(M805)=0,"",_xlfn.MINIFS(ENSAYOS!$G$5:$G$3004,ENSAYOS!$C$5:$C$3004,F805,ENSAYOS!$Q$5:$Q$3004,"&gt;0"))</f>
        <v/>
      </c>
      <c r="O805" s="15" t="str">
        <f aca="false">IF(N(M805)=0,"",_xlfn.MAXIFS(ENSAYOS!$G$5:$G$3004,ENSAYOS!$C$5:$C$3004,F805,ENSAYOS!$Q$5:$Q$3004,"&gt;0"))</f>
        <v/>
      </c>
      <c r="P805" s="16" t="str">
        <f aca="false">IF(N(M805)=0,"",AVERAGEIFS(ENSAYOS!$Q$5:$Q$3004,ENSAYOS!$C$5:$C$3004,F805,ENSAYOS!$Q$5:$Q$3004,"&gt;0"))</f>
        <v/>
      </c>
      <c r="Q805" s="16" t="str">
        <f aca="false">IF(N(M805)=0,"",_xlfn.MINIFS(ENSAYOS!$Q$5:$Q$3004,ENSAYOS!$C$5:$C$3004,F805,ENSAYOS!$Q$5:$Q$3004,"&gt;0"))</f>
        <v/>
      </c>
      <c r="R805" s="16" t="str">
        <f aca="false">IF(N(M805)=0,"",_xlfn.MAXIFS(ENSAYOS!$Q$5:$Q$3004,ENSAYOS!$C$5:$C$3004,F805,ENSAYOS!$Q$5:$Q$3004,"&gt;0"))</f>
        <v/>
      </c>
      <c r="S805" s="16" t="str">
        <f aca="false">IF(N(M805)&lt;2,"",SQRT(MAX(0,(SUMIFS(ENSAYOS!$X$5:$X$3004,ENSAYOS!$C$5:$C$3004,F805,ENSAYOS!$Q$5:$Q$3004,"&gt;0")-M805*P805^2)/(M805-1))))</f>
        <v/>
      </c>
      <c r="T805" s="17" t="str">
        <f aca="false">IF(S805="","",S805/P805)</f>
        <v/>
      </c>
      <c r="U805" s="16" t="str">
        <f aca="false">IF(N(M805)=0,"",IF(N805&gt;=CONFIG!$B$27,"",AVERAGEIFS(ENSAYOS!$Q$5:$Q$3004,ENSAYOS!$C$5:$C$3004,F805,ENSAYOS!$Q$5:$Q$3004,"&gt;0",ENSAYOS!$G$5:$G$3004,N805)))</f>
        <v/>
      </c>
      <c r="V805" s="16" t="str">
        <f aca="false">IF(N(M805)=0,"",IF(COUNTIFS(ENSAYOS!$C$5:$C$3004,F805,ENSAYOS!$Q$5:$Q$3004,"&gt;0",ENSAYOS!$G$5:$G$3004,"&gt;="&amp;CONFIG!$B$27)=0,"",AVERAGEIFS(ENSAYOS!$Q$5:$Q$3004,ENSAYOS!$C$5:$C$3004,F805,ENSAYOS!$Q$5:$Q$3004,"&gt;0",ENSAYOS!$G$5:$G$3004,"&gt;="&amp;CONFIG!$B$27)))</f>
        <v/>
      </c>
      <c r="W805" s="18" t="str">
        <f aca="false">IF(AND(U805&lt;&gt;"",V805&lt;&gt;""),U805/V805,"")</f>
        <v/>
      </c>
      <c r="X805" s="18" t="str">
        <f aca="false">IF(U805="","",INDEX('CURVA EDAD'!$E$5:$E$32,MIN(28,MAX(1,N805))))</f>
        <v/>
      </c>
      <c r="Y805" s="16" t="str">
        <f aca="false">IF(V805&lt;&gt;"",V805,IF(U805="","",U805/X805))</f>
        <v/>
      </c>
      <c r="Z805" s="16" t="str">
        <f aca="false">IF(V805&lt;&gt;"",_xlfn.MINIFS(ENSAYOS!$Q$5:$Q$3004,ENSAYOS!$C$5:$C$3004,F805,ENSAYOS!$Q$5:$Q$3004,"&gt;0",ENSAYOS!$G$5:$G$3004,"&gt;="&amp;CONFIG!$B$27),IF(U805="","",_xlfn.MINIFS(ENSAYOS!$Q$5:$Q$3004,ENSAYOS!$C$5:$C$3004,F805,ENSAYOS!$Q$5:$Q$3004,"&gt;0",ENSAYOS!$G$5:$G$3004,N805)/X805))</f>
        <v/>
      </c>
      <c r="AA805" s="16" t="str">
        <f aca="false">IF(D805="","",IFERROR(1/(1/INDEX(CONFIG!$J$5:$J$14,MATCH(D805,CONFIG!$D$5:$D$14,0))),""))</f>
        <v/>
      </c>
      <c r="AB805" s="16" t="str">
        <f aca="false">IF(D805="","",IFERROR(1/(1/INDEX(CONFIG!$K$5:$K$14,MATCH(D805,CONFIG!$D$5:$D$14,0))),""))</f>
        <v/>
      </c>
      <c r="AC805" s="19" t="str">
        <f aca="false">IF(N(M805)=0,"",IF(AA805="","Sin spec",IF(AND(Y805&gt;=AA805,OR(AB805="",Z805&gt;=AB805)),"CUMPLE","NO CUMPLE")&amp;IF(V805=""," (est.)","")))</f>
        <v/>
      </c>
      <c r="AD805" s="20" t="str">
        <f aca="false">IF(F805="","",IF(COUNTIFS(ABSORCION!$C$5:$C$1004,F805,ABSORCION!$I$5:$I$1004,"&gt;0")=0,"",AVERAGEIFS(ABSORCION!$I$5:$I$1004,ABSORCION!$C$5:$C$1004,F805,ABSORCION!$I$5:$I$1004,"&gt;0")))</f>
        <v/>
      </c>
      <c r="AE805" s="20" t="str">
        <f aca="false">IF(F805="","",IF(COUNTIFS(ABSORCION!$C$5:$C$1004,F805,ABSORCION!$I$5:$I$1004,"&gt;0")=0,"",AVERAGEIFS(ABSORCION!$K$5:$K$1004,ABSORCION!$C$5:$C$1004,F805,ABSORCION!$I$5:$I$1004,"&gt;0")))</f>
        <v/>
      </c>
      <c r="AF805" s="20" t="str">
        <f aca="false">IF(AE805="","",IF(AE805&gt;=CONFIG!$E$21,CONFIG!$F$21,IF(AE805&gt;=CONFIG!$E$20,CONFIG!$F$20,CONFIG!$F$19)))</f>
        <v/>
      </c>
      <c r="AG805" s="21" t="str">
        <f aca="false">IF(F805="","",TRIM(IF(N(M805)=0,"Sin ensayos. ","")&amp;IF(AND(N(M805)&gt;0,N(M805)&lt;CONFIG!$B$26),"Menos de "&amp;CONFIG!$B$26&amp;" probetas. ","")&amp;IF(N(T805)&gt;CONFIG!$B$25,"CV alto. ","")&amp;IF(AND(N(AD805)&gt;0,N(AD805)&gt;N(AF805)),"Absorción alta. ","")))</f>
        <v/>
      </c>
      <c r="AH805" s="22" t="str">
        <f aca="false">IF(AND(N(M805)&gt;0,OR(CONTROL!$C$4="TODAS",C805=CONTROL!$C$4),D805=CONTROL!$C$5),MAX($AH$4:AH804)+1,"")</f>
        <v/>
      </c>
      <c r="AI805" s="22" t="str">
        <f aca="false">IF(AH805="","",P805^2)</f>
        <v/>
      </c>
    </row>
    <row r="806" customFormat="false" ht="15" hidden="false" customHeight="false" outlineLevel="0" collapsed="false">
      <c r="A806" s="11" t="str">
        <f aca="false">IF(B806="","",ROW()-4)</f>
        <v/>
      </c>
      <c r="B806" s="12"/>
      <c r="C806" s="13"/>
      <c r="D806" s="13"/>
      <c r="E806" s="13"/>
      <c r="F806" s="14" t="str">
        <f aca="false">IF(OR(B806="",C806="",D806=""),"",IFERROR(INDEX(CONFIG!$E$5:$E$14,MATCH(D806,CONFIG!$D$5:$D$14,0)),"?")&amp;RIGHT("0"&amp;DAY(B806),2)&amp;RIGHT("0"&amp;MONTH(B806),2)&amp;RIGHT(YEAR(B806),2)&amp;C806&amp;IF(E806="","","-"&amp;E806))</f>
        <v/>
      </c>
      <c r="G806" s="13"/>
      <c r="H806" s="13"/>
      <c r="I806" s="13"/>
      <c r="J806" s="13"/>
      <c r="K806" s="13"/>
      <c r="L806" s="13"/>
      <c r="M806" s="11" t="str">
        <f aca="false">IF(F806="","",COUNTIFS(ENSAYOS!$C$5:$C$3004,F806,ENSAYOS!$Q$5:$Q$3004,"&gt;0"))</f>
        <v/>
      </c>
      <c r="N806" s="15" t="str">
        <f aca="false">IF(N(M806)=0,"",_xlfn.MINIFS(ENSAYOS!$G$5:$G$3004,ENSAYOS!$C$5:$C$3004,F806,ENSAYOS!$Q$5:$Q$3004,"&gt;0"))</f>
        <v/>
      </c>
      <c r="O806" s="15" t="str">
        <f aca="false">IF(N(M806)=0,"",_xlfn.MAXIFS(ENSAYOS!$G$5:$G$3004,ENSAYOS!$C$5:$C$3004,F806,ENSAYOS!$Q$5:$Q$3004,"&gt;0"))</f>
        <v/>
      </c>
      <c r="P806" s="16" t="str">
        <f aca="false">IF(N(M806)=0,"",AVERAGEIFS(ENSAYOS!$Q$5:$Q$3004,ENSAYOS!$C$5:$C$3004,F806,ENSAYOS!$Q$5:$Q$3004,"&gt;0"))</f>
        <v/>
      </c>
      <c r="Q806" s="16" t="str">
        <f aca="false">IF(N(M806)=0,"",_xlfn.MINIFS(ENSAYOS!$Q$5:$Q$3004,ENSAYOS!$C$5:$C$3004,F806,ENSAYOS!$Q$5:$Q$3004,"&gt;0"))</f>
        <v/>
      </c>
      <c r="R806" s="16" t="str">
        <f aca="false">IF(N(M806)=0,"",_xlfn.MAXIFS(ENSAYOS!$Q$5:$Q$3004,ENSAYOS!$C$5:$C$3004,F806,ENSAYOS!$Q$5:$Q$3004,"&gt;0"))</f>
        <v/>
      </c>
      <c r="S806" s="16" t="str">
        <f aca="false">IF(N(M806)&lt;2,"",SQRT(MAX(0,(SUMIFS(ENSAYOS!$X$5:$X$3004,ENSAYOS!$C$5:$C$3004,F806,ENSAYOS!$Q$5:$Q$3004,"&gt;0")-M806*P806^2)/(M806-1))))</f>
        <v/>
      </c>
      <c r="T806" s="17" t="str">
        <f aca="false">IF(S806="","",S806/P806)</f>
        <v/>
      </c>
      <c r="U806" s="16" t="str">
        <f aca="false">IF(N(M806)=0,"",IF(N806&gt;=CONFIG!$B$27,"",AVERAGEIFS(ENSAYOS!$Q$5:$Q$3004,ENSAYOS!$C$5:$C$3004,F806,ENSAYOS!$Q$5:$Q$3004,"&gt;0",ENSAYOS!$G$5:$G$3004,N806)))</f>
        <v/>
      </c>
      <c r="V806" s="16" t="str">
        <f aca="false">IF(N(M806)=0,"",IF(COUNTIFS(ENSAYOS!$C$5:$C$3004,F806,ENSAYOS!$Q$5:$Q$3004,"&gt;0",ENSAYOS!$G$5:$G$3004,"&gt;="&amp;CONFIG!$B$27)=0,"",AVERAGEIFS(ENSAYOS!$Q$5:$Q$3004,ENSAYOS!$C$5:$C$3004,F806,ENSAYOS!$Q$5:$Q$3004,"&gt;0",ENSAYOS!$G$5:$G$3004,"&gt;="&amp;CONFIG!$B$27)))</f>
        <v/>
      </c>
      <c r="W806" s="18" t="str">
        <f aca="false">IF(AND(U806&lt;&gt;"",V806&lt;&gt;""),U806/V806,"")</f>
        <v/>
      </c>
      <c r="X806" s="18" t="str">
        <f aca="false">IF(U806="","",INDEX('CURVA EDAD'!$E$5:$E$32,MIN(28,MAX(1,N806))))</f>
        <v/>
      </c>
      <c r="Y806" s="16" t="str">
        <f aca="false">IF(V806&lt;&gt;"",V806,IF(U806="","",U806/X806))</f>
        <v/>
      </c>
      <c r="Z806" s="16" t="str">
        <f aca="false">IF(V806&lt;&gt;"",_xlfn.MINIFS(ENSAYOS!$Q$5:$Q$3004,ENSAYOS!$C$5:$C$3004,F806,ENSAYOS!$Q$5:$Q$3004,"&gt;0",ENSAYOS!$G$5:$G$3004,"&gt;="&amp;CONFIG!$B$27),IF(U806="","",_xlfn.MINIFS(ENSAYOS!$Q$5:$Q$3004,ENSAYOS!$C$5:$C$3004,F806,ENSAYOS!$Q$5:$Q$3004,"&gt;0",ENSAYOS!$G$5:$G$3004,N806)/X806))</f>
        <v/>
      </c>
      <c r="AA806" s="16" t="str">
        <f aca="false">IF(D806="","",IFERROR(1/(1/INDEX(CONFIG!$J$5:$J$14,MATCH(D806,CONFIG!$D$5:$D$14,0))),""))</f>
        <v/>
      </c>
      <c r="AB806" s="16" t="str">
        <f aca="false">IF(D806="","",IFERROR(1/(1/INDEX(CONFIG!$K$5:$K$14,MATCH(D806,CONFIG!$D$5:$D$14,0))),""))</f>
        <v/>
      </c>
      <c r="AC806" s="19" t="str">
        <f aca="false">IF(N(M806)=0,"",IF(AA806="","Sin spec",IF(AND(Y806&gt;=AA806,OR(AB806="",Z806&gt;=AB806)),"CUMPLE","NO CUMPLE")&amp;IF(V806=""," (est.)","")))</f>
        <v/>
      </c>
      <c r="AD806" s="20" t="str">
        <f aca="false">IF(F806="","",IF(COUNTIFS(ABSORCION!$C$5:$C$1004,F806,ABSORCION!$I$5:$I$1004,"&gt;0")=0,"",AVERAGEIFS(ABSORCION!$I$5:$I$1004,ABSORCION!$C$5:$C$1004,F806,ABSORCION!$I$5:$I$1004,"&gt;0")))</f>
        <v/>
      </c>
      <c r="AE806" s="20" t="str">
        <f aca="false">IF(F806="","",IF(COUNTIFS(ABSORCION!$C$5:$C$1004,F806,ABSORCION!$I$5:$I$1004,"&gt;0")=0,"",AVERAGEIFS(ABSORCION!$K$5:$K$1004,ABSORCION!$C$5:$C$1004,F806,ABSORCION!$I$5:$I$1004,"&gt;0")))</f>
        <v/>
      </c>
      <c r="AF806" s="20" t="str">
        <f aca="false">IF(AE806="","",IF(AE806&gt;=CONFIG!$E$21,CONFIG!$F$21,IF(AE806&gt;=CONFIG!$E$20,CONFIG!$F$20,CONFIG!$F$19)))</f>
        <v/>
      </c>
      <c r="AG806" s="21" t="str">
        <f aca="false">IF(F806="","",TRIM(IF(N(M806)=0,"Sin ensayos. ","")&amp;IF(AND(N(M806)&gt;0,N(M806)&lt;CONFIG!$B$26),"Menos de "&amp;CONFIG!$B$26&amp;" probetas. ","")&amp;IF(N(T806)&gt;CONFIG!$B$25,"CV alto. ","")&amp;IF(AND(N(AD806)&gt;0,N(AD806)&gt;N(AF806)),"Absorción alta. ","")))</f>
        <v/>
      </c>
      <c r="AH806" s="22" t="str">
        <f aca="false">IF(AND(N(M806)&gt;0,OR(CONTROL!$C$4="TODAS",C806=CONTROL!$C$4),D806=CONTROL!$C$5),MAX($AH$4:AH805)+1,"")</f>
        <v/>
      </c>
      <c r="AI806" s="22" t="str">
        <f aca="false">IF(AH806="","",P806^2)</f>
        <v/>
      </c>
    </row>
    <row r="807" customFormat="false" ht="15" hidden="false" customHeight="false" outlineLevel="0" collapsed="false">
      <c r="A807" s="11" t="str">
        <f aca="false">IF(B807="","",ROW()-4)</f>
        <v/>
      </c>
      <c r="B807" s="12"/>
      <c r="C807" s="13"/>
      <c r="D807" s="13"/>
      <c r="E807" s="13"/>
      <c r="F807" s="14" t="str">
        <f aca="false">IF(OR(B807="",C807="",D807=""),"",IFERROR(INDEX(CONFIG!$E$5:$E$14,MATCH(D807,CONFIG!$D$5:$D$14,0)),"?")&amp;RIGHT("0"&amp;DAY(B807),2)&amp;RIGHT("0"&amp;MONTH(B807),2)&amp;RIGHT(YEAR(B807),2)&amp;C807&amp;IF(E807="","","-"&amp;E807))</f>
        <v/>
      </c>
      <c r="G807" s="13"/>
      <c r="H807" s="13"/>
      <c r="I807" s="13"/>
      <c r="J807" s="13"/>
      <c r="K807" s="13"/>
      <c r="L807" s="13"/>
      <c r="M807" s="11" t="str">
        <f aca="false">IF(F807="","",COUNTIFS(ENSAYOS!$C$5:$C$3004,F807,ENSAYOS!$Q$5:$Q$3004,"&gt;0"))</f>
        <v/>
      </c>
      <c r="N807" s="15" t="str">
        <f aca="false">IF(N(M807)=0,"",_xlfn.MINIFS(ENSAYOS!$G$5:$G$3004,ENSAYOS!$C$5:$C$3004,F807,ENSAYOS!$Q$5:$Q$3004,"&gt;0"))</f>
        <v/>
      </c>
      <c r="O807" s="15" t="str">
        <f aca="false">IF(N(M807)=0,"",_xlfn.MAXIFS(ENSAYOS!$G$5:$G$3004,ENSAYOS!$C$5:$C$3004,F807,ENSAYOS!$Q$5:$Q$3004,"&gt;0"))</f>
        <v/>
      </c>
      <c r="P807" s="16" t="str">
        <f aca="false">IF(N(M807)=0,"",AVERAGEIFS(ENSAYOS!$Q$5:$Q$3004,ENSAYOS!$C$5:$C$3004,F807,ENSAYOS!$Q$5:$Q$3004,"&gt;0"))</f>
        <v/>
      </c>
      <c r="Q807" s="16" t="str">
        <f aca="false">IF(N(M807)=0,"",_xlfn.MINIFS(ENSAYOS!$Q$5:$Q$3004,ENSAYOS!$C$5:$C$3004,F807,ENSAYOS!$Q$5:$Q$3004,"&gt;0"))</f>
        <v/>
      </c>
      <c r="R807" s="16" t="str">
        <f aca="false">IF(N(M807)=0,"",_xlfn.MAXIFS(ENSAYOS!$Q$5:$Q$3004,ENSAYOS!$C$5:$C$3004,F807,ENSAYOS!$Q$5:$Q$3004,"&gt;0"))</f>
        <v/>
      </c>
      <c r="S807" s="16" t="str">
        <f aca="false">IF(N(M807)&lt;2,"",SQRT(MAX(0,(SUMIFS(ENSAYOS!$X$5:$X$3004,ENSAYOS!$C$5:$C$3004,F807,ENSAYOS!$Q$5:$Q$3004,"&gt;0")-M807*P807^2)/(M807-1))))</f>
        <v/>
      </c>
      <c r="T807" s="17" t="str">
        <f aca="false">IF(S807="","",S807/P807)</f>
        <v/>
      </c>
      <c r="U807" s="16" t="str">
        <f aca="false">IF(N(M807)=0,"",IF(N807&gt;=CONFIG!$B$27,"",AVERAGEIFS(ENSAYOS!$Q$5:$Q$3004,ENSAYOS!$C$5:$C$3004,F807,ENSAYOS!$Q$5:$Q$3004,"&gt;0",ENSAYOS!$G$5:$G$3004,N807)))</f>
        <v/>
      </c>
      <c r="V807" s="16" t="str">
        <f aca="false">IF(N(M807)=0,"",IF(COUNTIFS(ENSAYOS!$C$5:$C$3004,F807,ENSAYOS!$Q$5:$Q$3004,"&gt;0",ENSAYOS!$G$5:$G$3004,"&gt;="&amp;CONFIG!$B$27)=0,"",AVERAGEIFS(ENSAYOS!$Q$5:$Q$3004,ENSAYOS!$C$5:$C$3004,F807,ENSAYOS!$Q$5:$Q$3004,"&gt;0",ENSAYOS!$G$5:$G$3004,"&gt;="&amp;CONFIG!$B$27)))</f>
        <v/>
      </c>
      <c r="W807" s="18" t="str">
        <f aca="false">IF(AND(U807&lt;&gt;"",V807&lt;&gt;""),U807/V807,"")</f>
        <v/>
      </c>
      <c r="X807" s="18" t="str">
        <f aca="false">IF(U807="","",INDEX('CURVA EDAD'!$E$5:$E$32,MIN(28,MAX(1,N807))))</f>
        <v/>
      </c>
      <c r="Y807" s="16" t="str">
        <f aca="false">IF(V807&lt;&gt;"",V807,IF(U807="","",U807/X807))</f>
        <v/>
      </c>
      <c r="Z807" s="16" t="str">
        <f aca="false">IF(V807&lt;&gt;"",_xlfn.MINIFS(ENSAYOS!$Q$5:$Q$3004,ENSAYOS!$C$5:$C$3004,F807,ENSAYOS!$Q$5:$Q$3004,"&gt;0",ENSAYOS!$G$5:$G$3004,"&gt;="&amp;CONFIG!$B$27),IF(U807="","",_xlfn.MINIFS(ENSAYOS!$Q$5:$Q$3004,ENSAYOS!$C$5:$C$3004,F807,ENSAYOS!$Q$5:$Q$3004,"&gt;0",ENSAYOS!$G$5:$G$3004,N807)/X807))</f>
        <v/>
      </c>
      <c r="AA807" s="16" t="str">
        <f aca="false">IF(D807="","",IFERROR(1/(1/INDEX(CONFIG!$J$5:$J$14,MATCH(D807,CONFIG!$D$5:$D$14,0))),""))</f>
        <v/>
      </c>
      <c r="AB807" s="16" t="str">
        <f aca="false">IF(D807="","",IFERROR(1/(1/INDEX(CONFIG!$K$5:$K$14,MATCH(D807,CONFIG!$D$5:$D$14,0))),""))</f>
        <v/>
      </c>
      <c r="AC807" s="19" t="str">
        <f aca="false">IF(N(M807)=0,"",IF(AA807="","Sin spec",IF(AND(Y807&gt;=AA807,OR(AB807="",Z807&gt;=AB807)),"CUMPLE","NO CUMPLE")&amp;IF(V807=""," (est.)","")))</f>
        <v/>
      </c>
      <c r="AD807" s="20" t="str">
        <f aca="false">IF(F807="","",IF(COUNTIFS(ABSORCION!$C$5:$C$1004,F807,ABSORCION!$I$5:$I$1004,"&gt;0")=0,"",AVERAGEIFS(ABSORCION!$I$5:$I$1004,ABSORCION!$C$5:$C$1004,F807,ABSORCION!$I$5:$I$1004,"&gt;0")))</f>
        <v/>
      </c>
      <c r="AE807" s="20" t="str">
        <f aca="false">IF(F807="","",IF(COUNTIFS(ABSORCION!$C$5:$C$1004,F807,ABSORCION!$I$5:$I$1004,"&gt;0")=0,"",AVERAGEIFS(ABSORCION!$K$5:$K$1004,ABSORCION!$C$5:$C$1004,F807,ABSORCION!$I$5:$I$1004,"&gt;0")))</f>
        <v/>
      </c>
      <c r="AF807" s="20" t="str">
        <f aca="false">IF(AE807="","",IF(AE807&gt;=CONFIG!$E$21,CONFIG!$F$21,IF(AE807&gt;=CONFIG!$E$20,CONFIG!$F$20,CONFIG!$F$19)))</f>
        <v/>
      </c>
      <c r="AG807" s="21" t="str">
        <f aca="false">IF(F807="","",TRIM(IF(N(M807)=0,"Sin ensayos. ","")&amp;IF(AND(N(M807)&gt;0,N(M807)&lt;CONFIG!$B$26),"Menos de "&amp;CONFIG!$B$26&amp;" probetas. ","")&amp;IF(N(T807)&gt;CONFIG!$B$25,"CV alto. ","")&amp;IF(AND(N(AD807)&gt;0,N(AD807)&gt;N(AF807)),"Absorción alta. ","")))</f>
        <v/>
      </c>
      <c r="AH807" s="22" t="str">
        <f aca="false">IF(AND(N(M807)&gt;0,OR(CONTROL!$C$4="TODAS",C807=CONTROL!$C$4),D807=CONTROL!$C$5),MAX($AH$4:AH806)+1,"")</f>
        <v/>
      </c>
      <c r="AI807" s="22" t="str">
        <f aca="false">IF(AH807="","",P807^2)</f>
        <v/>
      </c>
    </row>
    <row r="808" customFormat="false" ht="15" hidden="false" customHeight="false" outlineLevel="0" collapsed="false">
      <c r="A808" s="11" t="str">
        <f aca="false">IF(B808="","",ROW()-4)</f>
        <v/>
      </c>
      <c r="B808" s="12"/>
      <c r="C808" s="13"/>
      <c r="D808" s="13"/>
      <c r="E808" s="13"/>
      <c r="F808" s="14" t="str">
        <f aca="false">IF(OR(B808="",C808="",D808=""),"",IFERROR(INDEX(CONFIG!$E$5:$E$14,MATCH(D808,CONFIG!$D$5:$D$14,0)),"?")&amp;RIGHT("0"&amp;DAY(B808),2)&amp;RIGHT("0"&amp;MONTH(B808),2)&amp;RIGHT(YEAR(B808),2)&amp;C808&amp;IF(E808="","","-"&amp;E808))</f>
        <v/>
      </c>
      <c r="G808" s="13"/>
      <c r="H808" s="13"/>
      <c r="I808" s="13"/>
      <c r="J808" s="13"/>
      <c r="K808" s="13"/>
      <c r="L808" s="13"/>
      <c r="M808" s="11" t="str">
        <f aca="false">IF(F808="","",COUNTIFS(ENSAYOS!$C$5:$C$3004,F808,ENSAYOS!$Q$5:$Q$3004,"&gt;0"))</f>
        <v/>
      </c>
      <c r="N808" s="15" t="str">
        <f aca="false">IF(N(M808)=0,"",_xlfn.MINIFS(ENSAYOS!$G$5:$G$3004,ENSAYOS!$C$5:$C$3004,F808,ENSAYOS!$Q$5:$Q$3004,"&gt;0"))</f>
        <v/>
      </c>
      <c r="O808" s="15" t="str">
        <f aca="false">IF(N(M808)=0,"",_xlfn.MAXIFS(ENSAYOS!$G$5:$G$3004,ENSAYOS!$C$5:$C$3004,F808,ENSAYOS!$Q$5:$Q$3004,"&gt;0"))</f>
        <v/>
      </c>
      <c r="P808" s="16" t="str">
        <f aca="false">IF(N(M808)=0,"",AVERAGEIFS(ENSAYOS!$Q$5:$Q$3004,ENSAYOS!$C$5:$C$3004,F808,ENSAYOS!$Q$5:$Q$3004,"&gt;0"))</f>
        <v/>
      </c>
      <c r="Q808" s="16" t="str">
        <f aca="false">IF(N(M808)=0,"",_xlfn.MINIFS(ENSAYOS!$Q$5:$Q$3004,ENSAYOS!$C$5:$C$3004,F808,ENSAYOS!$Q$5:$Q$3004,"&gt;0"))</f>
        <v/>
      </c>
      <c r="R808" s="16" t="str">
        <f aca="false">IF(N(M808)=0,"",_xlfn.MAXIFS(ENSAYOS!$Q$5:$Q$3004,ENSAYOS!$C$5:$C$3004,F808,ENSAYOS!$Q$5:$Q$3004,"&gt;0"))</f>
        <v/>
      </c>
      <c r="S808" s="16" t="str">
        <f aca="false">IF(N(M808)&lt;2,"",SQRT(MAX(0,(SUMIFS(ENSAYOS!$X$5:$X$3004,ENSAYOS!$C$5:$C$3004,F808,ENSAYOS!$Q$5:$Q$3004,"&gt;0")-M808*P808^2)/(M808-1))))</f>
        <v/>
      </c>
      <c r="T808" s="17" t="str">
        <f aca="false">IF(S808="","",S808/P808)</f>
        <v/>
      </c>
      <c r="U808" s="16" t="str">
        <f aca="false">IF(N(M808)=0,"",IF(N808&gt;=CONFIG!$B$27,"",AVERAGEIFS(ENSAYOS!$Q$5:$Q$3004,ENSAYOS!$C$5:$C$3004,F808,ENSAYOS!$Q$5:$Q$3004,"&gt;0",ENSAYOS!$G$5:$G$3004,N808)))</f>
        <v/>
      </c>
      <c r="V808" s="16" t="str">
        <f aca="false">IF(N(M808)=0,"",IF(COUNTIFS(ENSAYOS!$C$5:$C$3004,F808,ENSAYOS!$Q$5:$Q$3004,"&gt;0",ENSAYOS!$G$5:$G$3004,"&gt;="&amp;CONFIG!$B$27)=0,"",AVERAGEIFS(ENSAYOS!$Q$5:$Q$3004,ENSAYOS!$C$5:$C$3004,F808,ENSAYOS!$Q$5:$Q$3004,"&gt;0",ENSAYOS!$G$5:$G$3004,"&gt;="&amp;CONFIG!$B$27)))</f>
        <v/>
      </c>
      <c r="W808" s="18" t="str">
        <f aca="false">IF(AND(U808&lt;&gt;"",V808&lt;&gt;""),U808/V808,"")</f>
        <v/>
      </c>
      <c r="X808" s="18" t="str">
        <f aca="false">IF(U808="","",INDEX('CURVA EDAD'!$E$5:$E$32,MIN(28,MAX(1,N808))))</f>
        <v/>
      </c>
      <c r="Y808" s="16" t="str">
        <f aca="false">IF(V808&lt;&gt;"",V808,IF(U808="","",U808/X808))</f>
        <v/>
      </c>
      <c r="Z808" s="16" t="str">
        <f aca="false">IF(V808&lt;&gt;"",_xlfn.MINIFS(ENSAYOS!$Q$5:$Q$3004,ENSAYOS!$C$5:$C$3004,F808,ENSAYOS!$Q$5:$Q$3004,"&gt;0",ENSAYOS!$G$5:$G$3004,"&gt;="&amp;CONFIG!$B$27),IF(U808="","",_xlfn.MINIFS(ENSAYOS!$Q$5:$Q$3004,ENSAYOS!$C$5:$C$3004,F808,ENSAYOS!$Q$5:$Q$3004,"&gt;0",ENSAYOS!$G$5:$G$3004,N808)/X808))</f>
        <v/>
      </c>
      <c r="AA808" s="16" t="str">
        <f aca="false">IF(D808="","",IFERROR(1/(1/INDEX(CONFIG!$J$5:$J$14,MATCH(D808,CONFIG!$D$5:$D$14,0))),""))</f>
        <v/>
      </c>
      <c r="AB808" s="16" t="str">
        <f aca="false">IF(D808="","",IFERROR(1/(1/INDEX(CONFIG!$K$5:$K$14,MATCH(D808,CONFIG!$D$5:$D$14,0))),""))</f>
        <v/>
      </c>
      <c r="AC808" s="19" t="str">
        <f aca="false">IF(N(M808)=0,"",IF(AA808="","Sin spec",IF(AND(Y808&gt;=AA808,OR(AB808="",Z808&gt;=AB808)),"CUMPLE","NO CUMPLE")&amp;IF(V808=""," (est.)","")))</f>
        <v/>
      </c>
      <c r="AD808" s="20" t="str">
        <f aca="false">IF(F808="","",IF(COUNTIFS(ABSORCION!$C$5:$C$1004,F808,ABSORCION!$I$5:$I$1004,"&gt;0")=0,"",AVERAGEIFS(ABSORCION!$I$5:$I$1004,ABSORCION!$C$5:$C$1004,F808,ABSORCION!$I$5:$I$1004,"&gt;0")))</f>
        <v/>
      </c>
      <c r="AE808" s="20" t="str">
        <f aca="false">IF(F808="","",IF(COUNTIFS(ABSORCION!$C$5:$C$1004,F808,ABSORCION!$I$5:$I$1004,"&gt;0")=0,"",AVERAGEIFS(ABSORCION!$K$5:$K$1004,ABSORCION!$C$5:$C$1004,F808,ABSORCION!$I$5:$I$1004,"&gt;0")))</f>
        <v/>
      </c>
      <c r="AF808" s="20" t="str">
        <f aca="false">IF(AE808="","",IF(AE808&gt;=CONFIG!$E$21,CONFIG!$F$21,IF(AE808&gt;=CONFIG!$E$20,CONFIG!$F$20,CONFIG!$F$19)))</f>
        <v/>
      </c>
      <c r="AG808" s="21" t="str">
        <f aca="false">IF(F808="","",TRIM(IF(N(M808)=0,"Sin ensayos. ","")&amp;IF(AND(N(M808)&gt;0,N(M808)&lt;CONFIG!$B$26),"Menos de "&amp;CONFIG!$B$26&amp;" probetas. ","")&amp;IF(N(T808)&gt;CONFIG!$B$25,"CV alto. ","")&amp;IF(AND(N(AD808)&gt;0,N(AD808)&gt;N(AF808)),"Absorción alta. ","")))</f>
        <v/>
      </c>
      <c r="AH808" s="22" t="str">
        <f aca="false">IF(AND(N(M808)&gt;0,OR(CONTROL!$C$4="TODAS",C808=CONTROL!$C$4),D808=CONTROL!$C$5),MAX($AH$4:AH807)+1,"")</f>
        <v/>
      </c>
      <c r="AI808" s="22" t="str">
        <f aca="false">IF(AH808="","",P808^2)</f>
        <v/>
      </c>
    </row>
    <row r="809" customFormat="false" ht="15" hidden="false" customHeight="false" outlineLevel="0" collapsed="false">
      <c r="A809" s="11" t="str">
        <f aca="false">IF(B809="","",ROW()-4)</f>
        <v/>
      </c>
      <c r="B809" s="12"/>
      <c r="C809" s="13"/>
      <c r="D809" s="13"/>
      <c r="E809" s="13"/>
      <c r="F809" s="14" t="str">
        <f aca="false">IF(OR(B809="",C809="",D809=""),"",IFERROR(INDEX(CONFIG!$E$5:$E$14,MATCH(D809,CONFIG!$D$5:$D$14,0)),"?")&amp;RIGHT("0"&amp;DAY(B809),2)&amp;RIGHT("0"&amp;MONTH(B809),2)&amp;RIGHT(YEAR(B809),2)&amp;C809&amp;IF(E809="","","-"&amp;E809))</f>
        <v/>
      </c>
      <c r="G809" s="13"/>
      <c r="H809" s="13"/>
      <c r="I809" s="13"/>
      <c r="J809" s="13"/>
      <c r="K809" s="13"/>
      <c r="L809" s="13"/>
      <c r="M809" s="11" t="str">
        <f aca="false">IF(F809="","",COUNTIFS(ENSAYOS!$C$5:$C$3004,F809,ENSAYOS!$Q$5:$Q$3004,"&gt;0"))</f>
        <v/>
      </c>
      <c r="N809" s="15" t="str">
        <f aca="false">IF(N(M809)=0,"",_xlfn.MINIFS(ENSAYOS!$G$5:$G$3004,ENSAYOS!$C$5:$C$3004,F809,ENSAYOS!$Q$5:$Q$3004,"&gt;0"))</f>
        <v/>
      </c>
      <c r="O809" s="15" t="str">
        <f aca="false">IF(N(M809)=0,"",_xlfn.MAXIFS(ENSAYOS!$G$5:$G$3004,ENSAYOS!$C$5:$C$3004,F809,ENSAYOS!$Q$5:$Q$3004,"&gt;0"))</f>
        <v/>
      </c>
      <c r="P809" s="16" t="str">
        <f aca="false">IF(N(M809)=0,"",AVERAGEIFS(ENSAYOS!$Q$5:$Q$3004,ENSAYOS!$C$5:$C$3004,F809,ENSAYOS!$Q$5:$Q$3004,"&gt;0"))</f>
        <v/>
      </c>
      <c r="Q809" s="16" t="str">
        <f aca="false">IF(N(M809)=0,"",_xlfn.MINIFS(ENSAYOS!$Q$5:$Q$3004,ENSAYOS!$C$5:$C$3004,F809,ENSAYOS!$Q$5:$Q$3004,"&gt;0"))</f>
        <v/>
      </c>
      <c r="R809" s="16" t="str">
        <f aca="false">IF(N(M809)=0,"",_xlfn.MAXIFS(ENSAYOS!$Q$5:$Q$3004,ENSAYOS!$C$5:$C$3004,F809,ENSAYOS!$Q$5:$Q$3004,"&gt;0"))</f>
        <v/>
      </c>
      <c r="S809" s="16" t="str">
        <f aca="false">IF(N(M809)&lt;2,"",SQRT(MAX(0,(SUMIFS(ENSAYOS!$X$5:$X$3004,ENSAYOS!$C$5:$C$3004,F809,ENSAYOS!$Q$5:$Q$3004,"&gt;0")-M809*P809^2)/(M809-1))))</f>
        <v/>
      </c>
      <c r="T809" s="17" t="str">
        <f aca="false">IF(S809="","",S809/P809)</f>
        <v/>
      </c>
      <c r="U809" s="16" t="str">
        <f aca="false">IF(N(M809)=0,"",IF(N809&gt;=CONFIG!$B$27,"",AVERAGEIFS(ENSAYOS!$Q$5:$Q$3004,ENSAYOS!$C$5:$C$3004,F809,ENSAYOS!$Q$5:$Q$3004,"&gt;0",ENSAYOS!$G$5:$G$3004,N809)))</f>
        <v/>
      </c>
      <c r="V809" s="16" t="str">
        <f aca="false">IF(N(M809)=0,"",IF(COUNTIFS(ENSAYOS!$C$5:$C$3004,F809,ENSAYOS!$Q$5:$Q$3004,"&gt;0",ENSAYOS!$G$5:$G$3004,"&gt;="&amp;CONFIG!$B$27)=0,"",AVERAGEIFS(ENSAYOS!$Q$5:$Q$3004,ENSAYOS!$C$5:$C$3004,F809,ENSAYOS!$Q$5:$Q$3004,"&gt;0",ENSAYOS!$G$5:$G$3004,"&gt;="&amp;CONFIG!$B$27)))</f>
        <v/>
      </c>
      <c r="W809" s="18" t="str">
        <f aca="false">IF(AND(U809&lt;&gt;"",V809&lt;&gt;""),U809/V809,"")</f>
        <v/>
      </c>
      <c r="X809" s="18" t="str">
        <f aca="false">IF(U809="","",INDEX('CURVA EDAD'!$E$5:$E$32,MIN(28,MAX(1,N809))))</f>
        <v/>
      </c>
      <c r="Y809" s="16" t="str">
        <f aca="false">IF(V809&lt;&gt;"",V809,IF(U809="","",U809/X809))</f>
        <v/>
      </c>
      <c r="Z809" s="16" t="str">
        <f aca="false">IF(V809&lt;&gt;"",_xlfn.MINIFS(ENSAYOS!$Q$5:$Q$3004,ENSAYOS!$C$5:$C$3004,F809,ENSAYOS!$Q$5:$Q$3004,"&gt;0",ENSAYOS!$G$5:$G$3004,"&gt;="&amp;CONFIG!$B$27),IF(U809="","",_xlfn.MINIFS(ENSAYOS!$Q$5:$Q$3004,ENSAYOS!$C$5:$C$3004,F809,ENSAYOS!$Q$5:$Q$3004,"&gt;0",ENSAYOS!$G$5:$G$3004,N809)/X809))</f>
        <v/>
      </c>
      <c r="AA809" s="16" t="str">
        <f aca="false">IF(D809="","",IFERROR(1/(1/INDEX(CONFIG!$J$5:$J$14,MATCH(D809,CONFIG!$D$5:$D$14,0))),""))</f>
        <v/>
      </c>
      <c r="AB809" s="16" t="str">
        <f aca="false">IF(D809="","",IFERROR(1/(1/INDEX(CONFIG!$K$5:$K$14,MATCH(D809,CONFIG!$D$5:$D$14,0))),""))</f>
        <v/>
      </c>
      <c r="AC809" s="19" t="str">
        <f aca="false">IF(N(M809)=0,"",IF(AA809="","Sin spec",IF(AND(Y809&gt;=AA809,OR(AB809="",Z809&gt;=AB809)),"CUMPLE","NO CUMPLE")&amp;IF(V809=""," (est.)","")))</f>
        <v/>
      </c>
      <c r="AD809" s="20" t="str">
        <f aca="false">IF(F809="","",IF(COUNTIFS(ABSORCION!$C$5:$C$1004,F809,ABSORCION!$I$5:$I$1004,"&gt;0")=0,"",AVERAGEIFS(ABSORCION!$I$5:$I$1004,ABSORCION!$C$5:$C$1004,F809,ABSORCION!$I$5:$I$1004,"&gt;0")))</f>
        <v/>
      </c>
      <c r="AE809" s="20" t="str">
        <f aca="false">IF(F809="","",IF(COUNTIFS(ABSORCION!$C$5:$C$1004,F809,ABSORCION!$I$5:$I$1004,"&gt;0")=0,"",AVERAGEIFS(ABSORCION!$K$5:$K$1004,ABSORCION!$C$5:$C$1004,F809,ABSORCION!$I$5:$I$1004,"&gt;0")))</f>
        <v/>
      </c>
      <c r="AF809" s="20" t="str">
        <f aca="false">IF(AE809="","",IF(AE809&gt;=CONFIG!$E$21,CONFIG!$F$21,IF(AE809&gt;=CONFIG!$E$20,CONFIG!$F$20,CONFIG!$F$19)))</f>
        <v/>
      </c>
      <c r="AG809" s="21" t="str">
        <f aca="false">IF(F809="","",TRIM(IF(N(M809)=0,"Sin ensayos. ","")&amp;IF(AND(N(M809)&gt;0,N(M809)&lt;CONFIG!$B$26),"Menos de "&amp;CONFIG!$B$26&amp;" probetas. ","")&amp;IF(N(T809)&gt;CONFIG!$B$25,"CV alto. ","")&amp;IF(AND(N(AD809)&gt;0,N(AD809)&gt;N(AF809)),"Absorción alta. ","")))</f>
        <v/>
      </c>
      <c r="AH809" s="22" t="str">
        <f aca="false">IF(AND(N(M809)&gt;0,OR(CONTROL!$C$4="TODAS",C809=CONTROL!$C$4),D809=CONTROL!$C$5),MAX($AH$4:AH808)+1,"")</f>
        <v/>
      </c>
      <c r="AI809" s="22" t="str">
        <f aca="false">IF(AH809="","",P809^2)</f>
        <v/>
      </c>
    </row>
    <row r="810" customFormat="false" ht="15" hidden="false" customHeight="false" outlineLevel="0" collapsed="false">
      <c r="A810" s="11" t="str">
        <f aca="false">IF(B810="","",ROW()-4)</f>
        <v/>
      </c>
      <c r="B810" s="12"/>
      <c r="C810" s="13"/>
      <c r="D810" s="13"/>
      <c r="E810" s="13"/>
      <c r="F810" s="14" t="str">
        <f aca="false">IF(OR(B810="",C810="",D810=""),"",IFERROR(INDEX(CONFIG!$E$5:$E$14,MATCH(D810,CONFIG!$D$5:$D$14,0)),"?")&amp;RIGHT("0"&amp;DAY(B810),2)&amp;RIGHT("0"&amp;MONTH(B810),2)&amp;RIGHT(YEAR(B810),2)&amp;C810&amp;IF(E810="","","-"&amp;E810))</f>
        <v/>
      </c>
      <c r="G810" s="13"/>
      <c r="H810" s="13"/>
      <c r="I810" s="13"/>
      <c r="J810" s="13"/>
      <c r="K810" s="13"/>
      <c r="L810" s="13"/>
      <c r="M810" s="11" t="str">
        <f aca="false">IF(F810="","",COUNTIFS(ENSAYOS!$C$5:$C$3004,F810,ENSAYOS!$Q$5:$Q$3004,"&gt;0"))</f>
        <v/>
      </c>
      <c r="N810" s="15" t="str">
        <f aca="false">IF(N(M810)=0,"",_xlfn.MINIFS(ENSAYOS!$G$5:$G$3004,ENSAYOS!$C$5:$C$3004,F810,ENSAYOS!$Q$5:$Q$3004,"&gt;0"))</f>
        <v/>
      </c>
      <c r="O810" s="15" t="str">
        <f aca="false">IF(N(M810)=0,"",_xlfn.MAXIFS(ENSAYOS!$G$5:$G$3004,ENSAYOS!$C$5:$C$3004,F810,ENSAYOS!$Q$5:$Q$3004,"&gt;0"))</f>
        <v/>
      </c>
      <c r="P810" s="16" t="str">
        <f aca="false">IF(N(M810)=0,"",AVERAGEIFS(ENSAYOS!$Q$5:$Q$3004,ENSAYOS!$C$5:$C$3004,F810,ENSAYOS!$Q$5:$Q$3004,"&gt;0"))</f>
        <v/>
      </c>
      <c r="Q810" s="16" t="str">
        <f aca="false">IF(N(M810)=0,"",_xlfn.MINIFS(ENSAYOS!$Q$5:$Q$3004,ENSAYOS!$C$5:$C$3004,F810,ENSAYOS!$Q$5:$Q$3004,"&gt;0"))</f>
        <v/>
      </c>
      <c r="R810" s="16" t="str">
        <f aca="false">IF(N(M810)=0,"",_xlfn.MAXIFS(ENSAYOS!$Q$5:$Q$3004,ENSAYOS!$C$5:$C$3004,F810,ENSAYOS!$Q$5:$Q$3004,"&gt;0"))</f>
        <v/>
      </c>
      <c r="S810" s="16" t="str">
        <f aca="false">IF(N(M810)&lt;2,"",SQRT(MAX(0,(SUMIFS(ENSAYOS!$X$5:$X$3004,ENSAYOS!$C$5:$C$3004,F810,ENSAYOS!$Q$5:$Q$3004,"&gt;0")-M810*P810^2)/(M810-1))))</f>
        <v/>
      </c>
      <c r="T810" s="17" t="str">
        <f aca="false">IF(S810="","",S810/P810)</f>
        <v/>
      </c>
      <c r="U810" s="16" t="str">
        <f aca="false">IF(N(M810)=0,"",IF(N810&gt;=CONFIG!$B$27,"",AVERAGEIFS(ENSAYOS!$Q$5:$Q$3004,ENSAYOS!$C$5:$C$3004,F810,ENSAYOS!$Q$5:$Q$3004,"&gt;0",ENSAYOS!$G$5:$G$3004,N810)))</f>
        <v/>
      </c>
      <c r="V810" s="16" t="str">
        <f aca="false">IF(N(M810)=0,"",IF(COUNTIFS(ENSAYOS!$C$5:$C$3004,F810,ENSAYOS!$Q$5:$Q$3004,"&gt;0",ENSAYOS!$G$5:$G$3004,"&gt;="&amp;CONFIG!$B$27)=0,"",AVERAGEIFS(ENSAYOS!$Q$5:$Q$3004,ENSAYOS!$C$5:$C$3004,F810,ENSAYOS!$Q$5:$Q$3004,"&gt;0",ENSAYOS!$G$5:$G$3004,"&gt;="&amp;CONFIG!$B$27)))</f>
        <v/>
      </c>
      <c r="W810" s="18" t="str">
        <f aca="false">IF(AND(U810&lt;&gt;"",V810&lt;&gt;""),U810/V810,"")</f>
        <v/>
      </c>
      <c r="X810" s="18" t="str">
        <f aca="false">IF(U810="","",INDEX('CURVA EDAD'!$E$5:$E$32,MIN(28,MAX(1,N810))))</f>
        <v/>
      </c>
      <c r="Y810" s="16" t="str">
        <f aca="false">IF(V810&lt;&gt;"",V810,IF(U810="","",U810/X810))</f>
        <v/>
      </c>
      <c r="Z810" s="16" t="str">
        <f aca="false">IF(V810&lt;&gt;"",_xlfn.MINIFS(ENSAYOS!$Q$5:$Q$3004,ENSAYOS!$C$5:$C$3004,F810,ENSAYOS!$Q$5:$Q$3004,"&gt;0",ENSAYOS!$G$5:$G$3004,"&gt;="&amp;CONFIG!$B$27),IF(U810="","",_xlfn.MINIFS(ENSAYOS!$Q$5:$Q$3004,ENSAYOS!$C$5:$C$3004,F810,ENSAYOS!$Q$5:$Q$3004,"&gt;0",ENSAYOS!$G$5:$G$3004,N810)/X810))</f>
        <v/>
      </c>
      <c r="AA810" s="16" t="str">
        <f aca="false">IF(D810="","",IFERROR(1/(1/INDEX(CONFIG!$J$5:$J$14,MATCH(D810,CONFIG!$D$5:$D$14,0))),""))</f>
        <v/>
      </c>
      <c r="AB810" s="16" t="str">
        <f aca="false">IF(D810="","",IFERROR(1/(1/INDEX(CONFIG!$K$5:$K$14,MATCH(D810,CONFIG!$D$5:$D$14,0))),""))</f>
        <v/>
      </c>
      <c r="AC810" s="19" t="str">
        <f aca="false">IF(N(M810)=0,"",IF(AA810="","Sin spec",IF(AND(Y810&gt;=AA810,OR(AB810="",Z810&gt;=AB810)),"CUMPLE","NO CUMPLE")&amp;IF(V810=""," (est.)","")))</f>
        <v/>
      </c>
      <c r="AD810" s="20" t="str">
        <f aca="false">IF(F810="","",IF(COUNTIFS(ABSORCION!$C$5:$C$1004,F810,ABSORCION!$I$5:$I$1004,"&gt;0")=0,"",AVERAGEIFS(ABSORCION!$I$5:$I$1004,ABSORCION!$C$5:$C$1004,F810,ABSORCION!$I$5:$I$1004,"&gt;0")))</f>
        <v/>
      </c>
      <c r="AE810" s="20" t="str">
        <f aca="false">IF(F810="","",IF(COUNTIFS(ABSORCION!$C$5:$C$1004,F810,ABSORCION!$I$5:$I$1004,"&gt;0")=0,"",AVERAGEIFS(ABSORCION!$K$5:$K$1004,ABSORCION!$C$5:$C$1004,F810,ABSORCION!$I$5:$I$1004,"&gt;0")))</f>
        <v/>
      </c>
      <c r="AF810" s="20" t="str">
        <f aca="false">IF(AE810="","",IF(AE810&gt;=CONFIG!$E$21,CONFIG!$F$21,IF(AE810&gt;=CONFIG!$E$20,CONFIG!$F$20,CONFIG!$F$19)))</f>
        <v/>
      </c>
      <c r="AG810" s="21" t="str">
        <f aca="false">IF(F810="","",TRIM(IF(N(M810)=0,"Sin ensayos. ","")&amp;IF(AND(N(M810)&gt;0,N(M810)&lt;CONFIG!$B$26),"Menos de "&amp;CONFIG!$B$26&amp;" probetas. ","")&amp;IF(N(T810)&gt;CONFIG!$B$25,"CV alto. ","")&amp;IF(AND(N(AD810)&gt;0,N(AD810)&gt;N(AF810)),"Absorción alta. ","")))</f>
        <v/>
      </c>
      <c r="AH810" s="22" t="str">
        <f aca="false">IF(AND(N(M810)&gt;0,OR(CONTROL!$C$4="TODAS",C810=CONTROL!$C$4),D810=CONTROL!$C$5),MAX($AH$4:AH809)+1,"")</f>
        <v/>
      </c>
      <c r="AI810" s="22" t="str">
        <f aca="false">IF(AH810="","",P810^2)</f>
        <v/>
      </c>
    </row>
    <row r="811" customFormat="false" ht="15" hidden="false" customHeight="false" outlineLevel="0" collapsed="false">
      <c r="A811" s="11" t="str">
        <f aca="false">IF(B811="","",ROW()-4)</f>
        <v/>
      </c>
      <c r="B811" s="12"/>
      <c r="C811" s="13"/>
      <c r="D811" s="13"/>
      <c r="E811" s="13"/>
      <c r="F811" s="14" t="str">
        <f aca="false">IF(OR(B811="",C811="",D811=""),"",IFERROR(INDEX(CONFIG!$E$5:$E$14,MATCH(D811,CONFIG!$D$5:$D$14,0)),"?")&amp;RIGHT("0"&amp;DAY(B811),2)&amp;RIGHT("0"&amp;MONTH(B811),2)&amp;RIGHT(YEAR(B811),2)&amp;C811&amp;IF(E811="","","-"&amp;E811))</f>
        <v/>
      </c>
      <c r="G811" s="13"/>
      <c r="H811" s="13"/>
      <c r="I811" s="13"/>
      <c r="J811" s="13"/>
      <c r="K811" s="13"/>
      <c r="L811" s="13"/>
      <c r="M811" s="11" t="str">
        <f aca="false">IF(F811="","",COUNTIFS(ENSAYOS!$C$5:$C$3004,F811,ENSAYOS!$Q$5:$Q$3004,"&gt;0"))</f>
        <v/>
      </c>
      <c r="N811" s="15" t="str">
        <f aca="false">IF(N(M811)=0,"",_xlfn.MINIFS(ENSAYOS!$G$5:$G$3004,ENSAYOS!$C$5:$C$3004,F811,ENSAYOS!$Q$5:$Q$3004,"&gt;0"))</f>
        <v/>
      </c>
      <c r="O811" s="15" t="str">
        <f aca="false">IF(N(M811)=0,"",_xlfn.MAXIFS(ENSAYOS!$G$5:$G$3004,ENSAYOS!$C$5:$C$3004,F811,ENSAYOS!$Q$5:$Q$3004,"&gt;0"))</f>
        <v/>
      </c>
      <c r="P811" s="16" t="str">
        <f aca="false">IF(N(M811)=0,"",AVERAGEIFS(ENSAYOS!$Q$5:$Q$3004,ENSAYOS!$C$5:$C$3004,F811,ENSAYOS!$Q$5:$Q$3004,"&gt;0"))</f>
        <v/>
      </c>
      <c r="Q811" s="16" t="str">
        <f aca="false">IF(N(M811)=0,"",_xlfn.MINIFS(ENSAYOS!$Q$5:$Q$3004,ENSAYOS!$C$5:$C$3004,F811,ENSAYOS!$Q$5:$Q$3004,"&gt;0"))</f>
        <v/>
      </c>
      <c r="R811" s="16" t="str">
        <f aca="false">IF(N(M811)=0,"",_xlfn.MAXIFS(ENSAYOS!$Q$5:$Q$3004,ENSAYOS!$C$5:$C$3004,F811,ENSAYOS!$Q$5:$Q$3004,"&gt;0"))</f>
        <v/>
      </c>
      <c r="S811" s="16" t="str">
        <f aca="false">IF(N(M811)&lt;2,"",SQRT(MAX(0,(SUMIFS(ENSAYOS!$X$5:$X$3004,ENSAYOS!$C$5:$C$3004,F811,ENSAYOS!$Q$5:$Q$3004,"&gt;0")-M811*P811^2)/(M811-1))))</f>
        <v/>
      </c>
      <c r="T811" s="17" t="str">
        <f aca="false">IF(S811="","",S811/P811)</f>
        <v/>
      </c>
      <c r="U811" s="16" t="str">
        <f aca="false">IF(N(M811)=0,"",IF(N811&gt;=CONFIG!$B$27,"",AVERAGEIFS(ENSAYOS!$Q$5:$Q$3004,ENSAYOS!$C$5:$C$3004,F811,ENSAYOS!$Q$5:$Q$3004,"&gt;0",ENSAYOS!$G$5:$G$3004,N811)))</f>
        <v/>
      </c>
      <c r="V811" s="16" t="str">
        <f aca="false">IF(N(M811)=0,"",IF(COUNTIFS(ENSAYOS!$C$5:$C$3004,F811,ENSAYOS!$Q$5:$Q$3004,"&gt;0",ENSAYOS!$G$5:$G$3004,"&gt;="&amp;CONFIG!$B$27)=0,"",AVERAGEIFS(ENSAYOS!$Q$5:$Q$3004,ENSAYOS!$C$5:$C$3004,F811,ENSAYOS!$Q$5:$Q$3004,"&gt;0",ENSAYOS!$G$5:$G$3004,"&gt;="&amp;CONFIG!$B$27)))</f>
        <v/>
      </c>
      <c r="W811" s="18" t="str">
        <f aca="false">IF(AND(U811&lt;&gt;"",V811&lt;&gt;""),U811/V811,"")</f>
        <v/>
      </c>
      <c r="X811" s="18" t="str">
        <f aca="false">IF(U811="","",INDEX('CURVA EDAD'!$E$5:$E$32,MIN(28,MAX(1,N811))))</f>
        <v/>
      </c>
      <c r="Y811" s="16" t="str">
        <f aca="false">IF(V811&lt;&gt;"",V811,IF(U811="","",U811/X811))</f>
        <v/>
      </c>
      <c r="Z811" s="16" t="str">
        <f aca="false">IF(V811&lt;&gt;"",_xlfn.MINIFS(ENSAYOS!$Q$5:$Q$3004,ENSAYOS!$C$5:$C$3004,F811,ENSAYOS!$Q$5:$Q$3004,"&gt;0",ENSAYOS!$G$5:$G$3004,"&gt;="&amp;CONFIG!$B$27),IF(U811="","",_xlfn.MINIFS(ENSAYOS!$Q$5:$Q$3004,ENSAYOS!$C$5:$C$3004,F811,ENSAYOS!$Q$5:$Q$3004,"&gt;0",ENSAYOS!$G$5:$G$3004,N811)/X811))</f>
        <v/>
      </c>
      <c r="AA811" s="16" t="str">
        <f aca="false">IF(D811="","",IFERROR(1/(1/INDEX(CONFIG!$J$5:$J$14,MATCH(D811,CONFIG!$D$5:$D$14,0))),""))</f>
        <v/>
      </c>
      <c r="AB811" s="16" t="str">
        <f aca="false">IF(D811="","",IFERROR(1/(1/INDEX(CONFIG!$K$5:$K$14,MATCH(D811,CONFIG!$D$5:$D$14,0))),""))</f>
        <v/>
      </c>
      <c r="AC811" s="19" t="str">
        <f aca="false">IF(N(M811)=0,"",IF(AA811="","Sin spec",IF(AND(Y811&gt;=AA811,OR(AB811="",Z811&gt;=AB811)),"CUMPLE","NO CUMPLE")&amp;IF(V811=""," (est.)","")))</f>
        <v/>
      </c>
      <c r="AD811" s="20" t="str">
        <f aca="false">IF(F811="","",IF(COUNTIFS(ABSORCION!$C$5:$C$1004,F811,ABSORCION!$I$5:$I$1004,"&gt;0")=0,"",AVERAGEIFS(ABSORCION!$I$5:$I$1004,ABSORCION!$C$5:$C$1004,F811,ABSORCION!$I$5:$I$1004,"&gt;0")))</f>
        <v/>
      </c>
      <c r="AE811" s="20" t="str">
        <f aca="false">IF(F811="","",IF(COUNTIFS(ABSORCION!$C$5:$C$1004,F811,ABSORCION!$I$5:$I$1004,"&gt;0")=0,"",AVERAGEIFS(ABSORCION!$K$5:$K$1004,ABSORCION!$C$5:$C$1004,F811,ABSORCION!$I$5:$I$1004,"&gt;0")))</f>
        <v/>
      </c>
      <c r="AF811" s="20" t="str">
        <f aca="false">IF(AE811="","",IF(AE811&gt;=CONFIG!$E$21,CONFIG!$F$21,IF(AE811&gt;=CONFIG!$E$20,CONFIG!$F$20,CONFIG!$F$19)))</f>
        <v/>
      </c>
      <c r="AG811" s="21" t="str">
        <f aca="false">IF(F811="","",TRIM(IF(N(M811)=0,"Sin ensayos. ","")&amp;IF(AND(N(M811)&gt;0,N(M811)&lt;CONFIG!$B$26),"Menos de "&amp;CONFIG!$B$26&amp;" probetas. ","")&amp;IF(N(T811)&gt;CONFIG!$B$25,"CV alto. ","")&amp;IF(AND(N(AD811)&gt;0,N(AD811)&gt;N(AF811)),"Absorción alta. ","")))</f>
        <v/>
      </c>
      <c r="AH811" s="22" t="str">
        <f aca="false">IF(AND(N(M811)&gt;0,OR(CONTROL!$C$4="TODAS",C811=CONTROL!$C$4),D811=CONTROL!$C$5),MAX($AH$4:AH810)+1,"")</f>
        <v/>
      </c>
      <c r="AI811" s="22" t="str">
        <f aca="false">IF(AH811="","",P811^2)</f>
        <v/>
      </c>
    </row>
    <row r="812" customFormat="false" ht="15" hidden="false" customHeight="false" outlineLevel="0" collapsed="false">
      <c r="A812" s="11" t="str">
        <f aca="false">IF(B812="","",ROW()-4)</f>
        <v/>
      </c>
      <c r="B812" s="12"/>
      <c r="C812" s="13"/>
      <c r="D812" s="13"/>
      <c r="E812" s="13"/>
      <c r="F812" s="14" t="str">
        <f aca="false">IF(OR(B812="",C812="",D812=""),"",IFERROR(INDEX(CONFIG!$E$5:$E$14,MATCH(D812,CONFIG!$D$5:$D$14,0)),"?")&amp;RIGHT("0"&amp;DAY(B812),2)&amp;RIGHT("0"&amp;MONTH(B812),2)&amp;RIGHT(YEAR(B812),2)&amp;C812&amp;IF(E812="","","-"&amp;E812))</f>
        <v/>
      </c>
      <c r="G812" s="13"/>
      <c r="H812" s="13"/>
      <c r="I812" s="13"/>
      <c r="J812" s="13"/>
      <c r="K812" s="13"/>
      <c r="L812" s="13"/>
      <c r="M812" s="11" t="str">
        <f aca="false">IF(F812="","",COUNTIFS(ENSAYOS!$C$5:$C$3004,F812,ENSAYOS!$Q$5:$Q$3004,"&gt;0"))</f>
        <v/>
      </c>
      <c r="N812" s="15" t="str">
        <f aca="false">IF(N(M812)=0,"",_xlfn.MINIFS(ENSAYOS!$G$5:$G$3004,ENSAYOS!$C$5:$C$3004,F812,ENSAYOS!$Q$5:$Q$3004,"&gt;0"))</f>
        <v/>
      </c>
      <c r="O812" s="15" t="str">
        <f aca="false">IF(N(M812)=0,"",_xlfn.MAXIFS(ENSAYOS!$G$5:$G$3004,ENSAYOS!$C$5:$C$3004,F812,ENSAYOS!$Q$5:$Q$3004,"&gt;0"))</f>
        <v/>
      </c>
      <c r="P812" s="16" t="str">
        <f aca="false">IF(N(M812)=0,"",AVERAGEIFS(ENSAYOS!$Q$5:$Q$3004,ENSAYOS!$C$5:$C$3004,F812,ENSAYOS!$Q$5:$Q$3004,"&gt;0"))</f>
        <v/>
      </c>
      <c r="Q812" s="16" t="str">
        <f aca="false">IF(N(M812)=0,"",_xlfn.MINIFS(ENSAYOS!$Q$5:$Q$3004,ENSAYOS!$C$5:$C$3004,F812,ENSAYOS!$Q$5:$Q$3004,"&gt;0"))</f>
        <v/>
      </c>
      <c r="R812" s="16" t="str">
        <f aca="false">IF(N(M812)=0,"",_xlfn.MAXIFS(ENSAYOS!$Q$5:$Q$3004,ENSAYOS!$C$5:$C$3004,F812,ENSAYOS!$Q$5:$Q$3004,"&gt;0"))</f>
        <v/>
      </c>
      <c r="S812" s="16" t="str">
        <f aca="false">IF(N(M812)&lt;2,"",SQRT(MAX(0,(SUMIFS(ENSAYOS!$X$5:$X$3004,ENSAYOS!$C$5:$C$3004,F812,ENSAYOS!$Q$5:$Q$3004,"&gt;0")-M812*P812^2)/(M812-1))))</f>
        <v/>
      </c>
      <c r="T812" s="17" t="str">
        <f aca="false">IF(S812="","",S812/P812)</f>
        <v/>
      </c>
      <c r="U812" s="16" t="str">
        <f aca="false">IF(N(M812)=0,"",IF(N812&gt;=CONFIG!$B$27,"",AVERAGEIFS(ENSAYOS!$Q$5:$Q$3004,ENSAYOS!$C$5:$C$3004,F812,ENSAYOS!$Q$5:$Q$3004,"&gt;0",ENSAYOS!$G$5:$G$3004,N812)))</f>
        <v/>
      </c>
      <c r="V812" s="16" t="str">
        <f aca="false">IF(N(M812)=0,"",IF(COUNTIFS(ENSAYOS!$C$5:$C$3004,F812,ENSAYOS!$Q$5:$Q$3004,"&gt;0",ENSAYOS!$G$5:$G$3004,"&gt;="&amp;CONFIG!$B$27)=0,"",AVERAGEIFS(ENSAYOS!$Q$5:$Q$3004,ENSAYOS!$C$5:$C$3004,F812,ENSAYOS!$Q$5:$Q$3004,"&gt;0",ENSAYOS!$G$5:$G$3004,"&gt;="&amp;CONFIG!$B$27)))</f>
        <v/>
      </c>
      <c r="W812" s="18" t="str">
        <f aca="false">IF(AND(U812&lt;&gt;"",V812&lt;&gt;""),U812/V812,"")</f>
        <v/>
      </c>
      <c r="X812" s="18" t="str">
        <f aca="false">IF(U812="","",INDEX('CURVA EDAD'!$E$5:$E$32,MIN(28,MAX(1,N812))))</f>
        <v/>
      </c>
      <c r="Y812" s="16" t="str">
        <f aca="false">IF(V812&lt;&gt;"",V812,IF(U812="","",U812/X812))</f>
        <v/>
      </c>
      <c r="Z812" s="16" t="str">
        <f aca="false">IF(V812&lt;&gt;"",_xlfn.MINIFS(ENSAYOS!$Q$5:$Q$3004,ENSAYOS!$C$5:$C$3004,F812,ENSAYOS!$Q$5:$Q$3004,"&gt;0",ENSAYOS!$G$5:$G$3004,"&gt;="&amp;CONFIG!$B$27),IF(U812="","",_xlfn.MINIFS(ENSAYOS!$Q$5:$Q$3004,ENSAYOS!$C$5:$C$3004,F812,ENSAYOS!$Q$5:$Q$3004,"&gt;0",ENSAYOS!$G$5:$G$3004,N812)/X812))</f>
        <v/>
      </c>
      <c r="AA812" s="16" t="str">
        <f aca="false">IF(D812="","",IFERROR(1/(1/INDEX(CONFIG!$J$5:$J$14,MATCH(D812,CONFIG!$D$5:$D$14,0))),""))</f>
        <v/>
      </c>
      <c r="AB812" s="16" t="str">
        <f aca="false">IF(D812="","",IFERROR(1/(1/INDEX(CONFIG!$K$5:$K$14,MATCH(D812,CONFIG!$D$5:$D$14,0))),""))</f>
        <v/>
      </c>
      <c r="AC812" s="19" t="str">
        <f aca="false">IF(N(M812)=0,"",IF(AA812="","Sin spec",IF(AND(Y812&gt;=AA812,OR(AB812="",Z812&gt;=AB812)),"CUMPLE","NO CUMPLE")&amp;IF(V812=""," (est.)","")))</f>
        <v/>
      </c>
      <c r="AD812" s="20" t="str">
        <f aca="false">IF(F812="","",IF(COUNTIFS(ABSORCION!$C$5:$C$1004,F812,ABSORCION!$I$5:$I$1004,"&gt;0")=0,"",AVERAGEIFS(ABSORCION!$I$5:$I$1004,ABSORCION!$C$5:$C$1004,F812,ABSORCION!$I$5:$I$1004,"&gt;0")))</f>
        <v/>
      </c>
      <c r="AE812" s="20" t="str">
        <f aca="false">IF(F812="","",IF(COUNTIFS(ABSORCION!$C$5:$C$1004,F812,ABSORCION!$I$5:$I$1004,"&gt;0")=0,"",AVERAGEIFS(ABSORCION!$K$5:$K$1004,ABSORCION!$C$5:$C$1004,F812,ABSORCION!$I$5:$I$1004,"&gt;0")))</f>
        <v/>
      </c>
      <c r="AF812" s="20" t="str">
        <f aca="false">IF(AE812="","",IF(AE812&gt;=CONFIG!$E$21,CONFIG!$F$21,IF(AE812&gt;=CONFIG!$E$20,CONFIG!$F$20,CONFIG!$F$19)))</f>
        <v/>
      </c>
      <c r="AG812" s="21" t="str">
        <f aca="false">IF(F812="","",TRIM(IF(N(M812)=0,"Sin ensayos. ","")&amp;IF(AND(N(M812)&gt;0,N(M812)&lt;CONFIG!$B$26),"Menos de "&amp;CONFIG!$B$26&amp;" probetas. ","")&amp;IF(N(T812)&gt;CONFIG!$B$25,"CV alto. ","")&amp;IF(AND(N(AD812)&gt;0,N(AD812)&gt;N(AF812)),"Absorción alta. ","")))</f>
        <v/>
      </c>
      <c r="AH812" s="22" t="str">
        <f aca="false">IF(AND(N(M812)&gt;0,OR(CONTROL!$C$4="TODAS",C812=CONTROL!$C$4),D812=CONTROL!$C$5),MAX($AH$4:AH811)+1,"")</f>
        <v/>
      </c>
      <c r="AI812" s="22" t="str">
        <f aca="false">IF(AH812="","",P812^2)</f>
        <v/>
      </c>
    </row>
    <row r="813" customFormat="false" ht="15" hidden="false" customHeight="false" outlineLevel="0" collapsed="false">
      <c r="A813" s="11" t="str">
        <f aca="false">IF(B813="","",ROW()-4)</f>
        <v/>
      </c>
      <c r="B813" s="12"/>
      <c r="C813" s="13"/>
      <c r="D813" s="13"/>
      <c r="E813" s="13"/>
      <c r="F813" s="14" t="str">
        <f aca="false">IF(OR(B813="",C813="",D813=""),"",IFERROR(INDEX(CONFIG!$E$5:$E$14,MATCH(D813,CONFIG!$D$5:$D$14,0)),"?")&amp;RIGHT("0"&amp;DAY(B813),2)&amp;RIGHT("0"&amp;MONTH(B813),2)&amp;RIGHT(YEAR(B813),2)&amp;C813&amp;IF(E813="","","-"&amp;E813))</f>
        <v/>
      </c>
      <c r="G813" s="13"/>
      <c r="H813" s="13"/>
      <c r="I813" s="13"/>
      <c r="J813" s="13"/>
      <c r="K813" s="13"/>
      <c r="L813" s="13"/>
      <c r="M813" s="11" t="str">
        <f aca="false">IF(F813="","",COUNTIFS(ENSAYOS!$C$5:$C$3004,F813,ENSAYOS!$Q$5:$Q$3004,"&gt;0"))</f>
        <v/>
      </c>
      <c r="N813" s="15" t="str">
        <f aca="false">IF(N(M813)=0,"",_xlfn.MINIFS(ENSAYOS!$G$5:$G$3004,ENSAYOS!$C$5:$C$3004,F813,ENSAYOS!$Q$5:$Q$3004,"&gt;0"))</f>
        <v/>
      </c>
      <c r="O813" s="15" t="str">
        <f aca="false">IF(N(M813)=0,"",_xlfn.MAXIFS(ENSAYOS!$G$5:$G$3004,ENSAYOS!$C$5:$C$3004,F813,ENSAYOS!$Q$5:$Q$3004,"&gt;0"))</f>
        <v/>
      </c>
      <c r="P813" s="16" t="str">
        <f aca="false">IF(N(M813)=0,"",AVERAGEIFS(ENSAYOS!$Q$5:$Q$3004,ENSAYOS!$C$5:$C$3004,F813,ENSAYOS!$Q$5:$Q$3004,"&gt;0"))</f>
        <v/>
      </c>
      <c r="Q813" s="16" t="str">
        <f aca="false">IF(N(M813)=0,"",_xlfn.MINIFS(ENSAYOS!$Q$5:$Q$3004,ENSAYOS!$C$5:$C$3004,F813,ENSAYOS!$Q$5:$Q$3004,"&gt;0"))</f>
        <v/>
      </c>
      <c r="R813" s="16" t="str">
        <f aca="false">IF(N(M813)=0,"",_xlfn.MAXIFS(ENSAYOS!$Q$5:$Q$3004,ENSAYOS!$C$5:$C$3004,F813,ENSAYOS!$Q$5:$Q$3004,"&gt;0"))</f>
        <v/>
      </c>
      <c r="S813" s="16" t="str">
        <f aca="false">IF(N(M813)&lt;2,"",SQRT(MAX(0,(SUMIFS(ENSAYOS!$X$5:$X$3004,ENSAYOS!$C$5:$C$3004,F813,ENSAYOS!$Q$5:$Q$3004,"&gt;0")-M813*P813^2)/(M813-1))))</f>
        <v/>
      </c>
      <c r="T813" s="17" t="str">
        <f aca="false">IF(S813="","",S813/P813)</f>
        <v/>
      </c>
      <c r="U813" s="16" t="str">
        <f aca="false">IF(N(M813)=0,"",IF(N813&gt;=CONFIG!$B$27,"",AVERAGEIFS(ENSAYOS!$Q$5:$Q$3004,ENSAYOS!$C$5:$C$3004,F813,ENSAYOS!$Q$5:$Q$3004,"&gt;0",ENSAYOS!$G$5:$G$3004,N813)))</f>
        <v/>
      </c>
      <c r="V813" s="16" t="str">
        <f aca="false">IF(N(M813)=0,"",IF(COUNTIFS(ENSAYOS!$C$5:$C$3004,F813,ENSAYOS!$Q$5:$Q$3004,"&gt;0",ENSAYOS!$G$5:$G$3004,"&gt;="&amp;CONFIG!$B$27)=0,"",AVERAGEIFS(ENSAYOS!$Q$5:$Q$3004,ENSAYOS!$C$5:$C$3004,F813,ENSAYOS!$Q$5:$Q$3004,"&gt;0",ENSAYOS!$G$5:$G$3004,"&gt;="&amp;CONFIG!$B$27)))</f>
        <v/>
      </c>
      <c r="W813" s="18" t="str">
        <f aca="false">IF(AND(U813&lt;&gt;"",V813&lt;&gt;""),U813/V813,"")</f>
        <v/>
      </c>
      <c r="X813" s="18" t="str">
        <f aca="false">IF(U813="","",INDEX('CURVA EDAD'!$E$5:$E$32,MIN(28,MAX(1,N813))))</f>
        <v/>
      </c>
      <c r="Y813" s="16" t="str">
        <f aca="false">IF(V813&lt;&gt;"",V813,IF(U813="","",U813/X813))</f>
        <v/>
      </c>
      <c r="Z813" s="16" t="str">
        <f aca="false">IF(V813&lt;&gt;"",_xlfn.MINIFS(ENSAYOS!$Q$5:$Q$3004,ENSAYOS!$C$5:$C$3004,F813,ENSAYOS!$Q$5:$Q$3004,"&gt;0",ENSAYOS!$G$5:$G$3004,"&gt;="&amp;CONFIG!$B$27),IF(U813="","",_xlfn.MINIFS(ENSAYOS!$Q$5:$Q$3004,ENSAYOS!$C$5:$C$3004,F813,ENSAYOS!$Q$5:$Q$3004,"&gt;0",ENSAYOS!$G$5:$G$3004,N813)/X813))</f>
        <v/>
      </c>
      <c r="AA813" s="16" t="str">
        <f aca="false">IF(D813="","",IFERROR(1/(1/INDEX(CONFIG!$J$5:$J$14,MATCH(D813,CONFIG!$D$5:$D$14,0))),""))</f>
        <v/>
      </c>
      <c r="AB813" s="16" t="str">
        <f aca="false">IF(D813="","",IFERROR(1/(1/INDEX(CONFIG!$K$5:$K$14,MATCH(D813,CONFIG!$D$5:$D$14,0))),""))</f>
        <v/>
      </c>
      <c r="AC813" s="19" t="str">
        <f aca="false">IF(N(M813)=0,"",IF(AA813="","Sin spec",IF(AND(Y813&gt;=AA813,OR(AB813="",Z813&gt;=AB813)),"CUMPLE","NO CUMPLE")&amp;IF(V813=""," (est.)","")))</f>
        <v/>
      </c>
      <c r="AD813" s="20" t="str">
        <f aca="false">IF(F813="","",IF(COUNTIFS(ABSORCION!$C$5:$C$1004,F813,ABSORCION!$I$5:$I$1004,"&gt;0")=0,"",AVERAGEIFS(ABSORCION!$I$5:$I$1004,ABSORCION!$C$5:$C$1004,F813,ABSORCION!$I$5:$I$1004,"&gt;0")))</f>
        <v/>
      </c>
      <c r="AE813" s="20" t="str">
        <f aca="false">IF(F813="","",IF(COUNTIFS(ABSORCION!$C$5:$C$1004,F813,ABSORCION!$I$5:$I$1004,"&gt;0")=0,"",AVERAGEIFS(ABSORCION!$K$5:$K$1004,ABSORCION!$C$5:$C$1004,F813,ABSORCION!$I$5:$I$1004,"&gt;0")))</f>
        <v/>
      </c>
      <c r="AF813" s="20" t="str">
        <f aca="false">IF(AE813="","",IF(AE813&gt;=CONFIG!$E$21,CONFIG!$F$21,IF(AE813&gt;=CONFIG!$E$20,CONFIG!$F$20,CONFIG!$F$19)))</f>
        <v/>
      </c>
      <c r="AG813" s="21" t="str">
        <f aca="false">IF(F813="","",TRIM(IF(N(M813)=0,"Sin ensayos. ","")&amp;IF(AND(N(M813)&gt;0,N(M813)&lt;CONFIG!$B$26),"Menos de "&amp;CONFIG!$B$26&amp;" probetas. ","")&amp;IF(N(T813)&gt;CONFIG!$B$25,"CV alto. ","")&amp;IF(AND(N(AD813)&gt;0,N(AD813)&gt;N(AF813)),"Absorción alta. ","")))</f>
        <v/>
      </c>
      <c r="AH813" s="22" t="str">
        <f aca="false">IF(AND(N(M813)&gt;0,OR(CONTROL!$C$4="TODAS",C813=CONTROL!$C$4),D813=CONTROL!$C$5),MAX($AH$4:AH812)+1,"")</f>
        <v/>
      </c>
      <c r="AI813" s="22" t="str">
        <f aca="false">IF(AH813="","",P813^2)</f>
        <v/>
      </c>
    </row>
    <row r="814" customFormat="false" ht="15" hidden="false" customHeight="false" outlineLevel="0" collapsed="false">
      <c r="A814" s="11" t="str">
        <f aca="false">IF(B814="","",ROW()-4)</f>
        <v/>
      </c>
      <c r="B814" s="12"/>
      <c r="C814" s="13"/>
      <c r="D814" s="13"/>
      <c r="E814" s="13"/>
      <c r="F814" s="14" t="str">
        <f aca="false">IF(OR(B814="",C814="",D814=""),"",IFERROR(INDEX(CONFIG!$E$5:$E$14,MATCH(D814,CONFIG!$D$5:$D$14,0)),"?")&amp;RIGHT("0"&amp;DAY(B814),2)&amp;RIGHT("0"&amp;MONTH(B814),2)&amp;RIGHT(YEAR(B814),2)&amp;C814&amp;IF(E814="","","-"&amp;E814))</f>
        <v/>
      </c>
      <c r="G814" s="13"/>
      <c r="H814" s="13"/>
      <c r="I814" s="13"/>
      <c r="J814" s="13"/>
      <c r="K814" s="13"/>
      <c r="L814" s="13"/>
      <c r="M814" s="11" t="str">
        <f aca="false">IF(F814="","",COUNTIFS(ENSAYOS!$C$5:$C$3004,F814,ENSAYOS!$Q$5:$Q$3004,"&gt;0"))</f>
        <v/>
      </c>
      <c r="N814" s="15" t="str">
        <f aca="false">IF(N(M814)=0,"",_xlfn.MINIFS(ENSAYOS!$G$5:$G$3004,ENSAYOS!$C$5:$C$3004,F814,ENSAYOS!$Q$5:$Q$3004,"&gt;0"))</f>
        <v/>
      </c>
      <c r="O814" s="15" t="str">
        <f aca="false">IF(N(M814)=0,"",_xlfn.MAXIFS(ENSAYOS!$G$5:$G$3004,ENSAYOS!$C$5:$C$3004,F814,ENSAYOS!$Q$5:$Q$3004,"&gt;0"))</f>
        <v/>
      </c>
      <c r="P814" s="16" t="str">
        <f aca="false">IF(N(M814)=0,"",AVERAGEIFS(ENSAYOS!$Q$5:$Q$3004,ENSAYOS!$C$5:$C$3004,F814,ENSAYOS!$Q$5:$Q$3004,"&gt;0"))</f>
        <v/>
      </c>
      <c r="Q814" s="16" t="str">
        <f aca="false">IF(N(M814)=0,"",_xlfn.MINIFS(ENSAYOS!$Q$5:$Q$3004,ENSAYOS!$C$5:$C$3004,F814,ENSAYOS!$Q$5:$Q$3004,"&gt;0"))</f>
        <v/>
      </c>
      <c r="R814" s="16" t="str">
        <f aca="false">IF(N(M814)=0,"",_xlfn.MAXIFS(ENSAYOS!$Q$5:$Q$3004,ENSAYOS!$C$5:$C$3004,F814,ENSAYOS!$Q$5:$Q$3004,"&gt;0"))</f>
        <v/>
      </c>
      <c r="S814" s="16" t="str">
        <f aca="false">IF(N(M814)&lt;2,"",SQRT(MAX(0,(SUMIFS(ENSAYOS!$X$5:$X$3004,ENSAYOS!$C$5:$C$3004,F814,ENSAYOS!$Q$5:$Q$3004,"&gt;0")-M814*P814^2)/(M814-1))))</f>
        <v/>
      </c>
      <c r="T814" s="17" t="str">
        <f aca="false">IF(S814="","",S814/P814)</f>
        <v/>
      </c>
      <c r="U814" s="16" t="str">
        <f aca="false">IF(N(M814)=0,"",IF(N814&gt;=CONFIG!$B$27,"",AVERAGEIFS(ENSAYOS!$Q$5:$Q$3004,ENSAYOS!$C$5:$C$3004,F814,ENSAYOS!$Q$5:$Q$3004,"&gt;0",ENSAYOS!$G$5:$G$3004,N814)))</f>
        <v/>
      </c>
      <c r="V814" s="16" t="str">
        <f aca="false">IF(N(M814)=0,"",IF(COUNTIFS(ENSAYOS!$C$5:$C$3004,F814,ENSAYOS!$Q$5:$Q$3004,"&gt;0",ENSAYOS!$G$5:$G$3004,"&gt;="&amp;CONFIG!$B$27)=0,"",AVERAGEIFS(ENSAYOS!$Q$5:$Q$3004,ENSAYOS!$C$5:$C$3004,F814,ENSAYOS!$Q$5:$Q$3004,"&gt;0",ENSAYOS!$G$5:$G$3004,"&gt;="&amp;CONFIG!$B$27)))</f>
        <v/>
      </c>
      <c r="W814" s="18" t="str">
        <f aca="false">IF(AND(U814&lt;&gt;"",V814&lt;&gt;""),U814/V814,"")</f>
        <v/>
      </c>
      <c r="X814" s="18" t="str">
        <f aca="false">IF(U814="","",INDEX('CURVA EDAD'!$E$5:$E$32,MIN(28,MAX(1,N814))))</f>
        <v/>
      </c>
      <c r="Y814" s="16" t="str">
        <f aca="false">IF(V814&lt;&gt;"",V814,IF(U814="","",U814/X814))</f>
        <v/>
      </c>
      <c r="Z814" s="16" t="str">
        <f aca="false">IF(V814&lt;&gt;"",_xlfn.MINIFS(ENSAYOS!$Q$5:$Q$3004,ENSAYOS!$C$5:$C$3004,F814,ENSAYOS!$Q$5:$Q$3004,"&gt;0",ENSAYOS!$G$5:$G$3004,"&gt;="&amp;CONFIG!$B$27),IF(U814="","",_xlfn.MINIFS(ENSAYOS!$Q$5:$Q$3004,ENSAYOS!$C$5:$C$3004,F814,ENSAYOS!$Q$5:$Q$3004,"&gt;0",ENSAYOS!$G$5:$G$3004,N814)/X814))</f>
        <v/>
      </c>
      <c r="AA814" s="16" t="str">
        <f aca="false">IF(D814="","",IFERROR(1/(1/INDEX(CONFIG!$J$5:$J$14,MATCH(D814,CONFIG!$D$5:$D$14,0))),""))</f>
        <v/>
      </c>
      <c r="AB814" s="16" t="str">
        <f aca="false">IF(D814="","",IFERROR(1/(1/INDEX(CONFIG!$K$5:$K$14,MATCH(D814,CONFIG!$D$5:$D$14,0))),""))</f>
        <v/>
      </c>
      <c r="AC814" s="19" t="str">
        <f aca="false">IF(N(M814)=0,"",IF(AA814="","Sin spec",IF(AND(Y814&gt;=AA814,OR(AB814="",Z814&gt;=AB814)),"CUMPLE","NO CUMPLE")&amp;IF(V814=""," (est.)","")))</f>
        <v/>
      </c>
      <c r="AD814" s="20" t="str">
        <f aca="false">IF(F814="","",IF(COUNTIFS(ABSORCION!$C$5:$C$1004,F814,ABSORCION!$I$5:$I$1004,"&gt;0")=0,"",AVERAGEIFS(ABSORCION!$I$5:$I$1004,ABSORCION!$C$5:$C$1004,F814,ABSORCION!$I$5:$I$1004,"&gt;0")))</f>
        <v/>
      </c>
      <c r="AE814" s="20" t="str">
        <f aca="false">IF(F814="","",IF(COUNTIFS(ABSORCION!$C$5:$C$1004,F814,ABSORCION!$I$5:$I$1004,"&gt;0")=0,"",AVERAGEIFS(ABSORCION!$K$5:$K$1004,ABSORCION!$C$5:$C$1004,F814,ABSORCION!$I$5:$I$1004,"&gt;0")))</f>
        <v/>
      </c>
      <c r="AF814" s="20" t="str">
        <f aca="false">IF(AE814="","",IF(AE814&gt;=CONFIG!$E$21,CONFIG!$F$21,IF(AE814&gt;=CONFIG!$E$20,CONFIG!$F$20,CONFIG!$F$19)))</f>
        <v/>
      </c>
      <c r="AG814" s="21" t="str">
        <f aca="false">IF(F814="","",TRIM(IF(N(M814)=0,"Sin ensayos. ","")&amp;IF(AND(N(M814)&gt;0,N(M814)&lt;CONFIG!$B$26),"Menos de "&amp;CONFIG!$B$26&amp;" probetas. ","")&amp;IF(N(T814)&gt;CONFIG!$B$25,"CV alto. ","")&amp;IF(AND(N(AD814)&gt;0,N(AD814)&gt;N(AF814)),"Absorción alta. ","")))</f>
        <v/>
      </c>
      <c r="AH814" s="22" t="str">
        <f aca="false">IF(AND(N(M814)&gt;0,OR(CONTROL!$C$4="TODAS",C814=CONTROL!$C$4),D814=CONTROL!$C$5),MAX($AH$4:AH813)+1,"")</f>
        <v/>
      </c>
      <c r="AI814" s="22" t="str">
        <f aca="false">IF(AH814="","",P814^2)</f>
        <v/>
      </c>
    </row>
    <row r="815" customFormat="false" ht="15" hidden="false" customHeight="false" outlineLevel="0" collapsed="false">
      <c r="A815" s="11" t="str">
        <f aca="false">IF(B815="","",ROW()-4)</f>
        <v/>
      </c>
      <c r="B815" s="12"/>
      <c r="C815" s="13"/>
      <c r="D815" s="13"/>
      <c r="E815" s="13"/>
      <c r="F815" s="14" t="str">
        <f aca="false">IF(OR(B815="",C815="",D815=""),"",IFERROR(INDEX(CONFIG!$E$5:$E$14,MATCH(D815,CONFIG!$D$5:$D$14,0)),"?")&amp;RIGHT("0"&amp;DAY(B815),2)&amp;RIGHT("0"&amp;MONTH(B815),2)&amp;RIGHT(YEAR(B815),2)&amp;C815&amp;IF(E815="","","-"&amp;E815))</f>
        <v/>
      </c>
      <c r="G815" s="13"/>
      <c r="H815" s="13"/>
      <c r="I815" s="13"/>
      <c r="J815" s="13"/>
      <c r="K815" s="13"/>
      <c r="L815" s="13"/>
      <c r="M815" s="11" t="str">
        <f aca="false">IF(F815="","",COUNTIFS(ENSAYOS!$C$5:$C$3004,F815,ENSAYOS!$Q$5:$Q$3004,"&gt;0"))</f>
        <v/>
      </c>
      <c r="N815" s="15" t="str">
        <f aca="false">IF(N(M815)=0,"",_xlfn.MINIFS(ENSAYOS!$G$5:$G$3004,ENSAYOS!$C$5:$C$3004,F815,ENSAYOS!$Q$5:$Q$3004,"&gt;0"))</f>
        <v/>
      </c>
      <c r="O815" s="15" t="str">
        <f aca="false">IF(N(M815)=0,"",_xlfn.MAXIFS(ENSAYOS!$G$5:$G$3004,ENSAYOS!$C$5:$C$3004,F815,ENSAYOS!$Q$5:$Q$3004,"&gt;0"))</f>
        <v/>
      </c>
      <c r="P815" s="16" t="str">
        <f aca="false">IF(N(M815)=0,"",AVERAGEIFS(ENSAYOS!$Q$5:$Q$3004,ENSAYOS!$C$5:$C$3004,F815,ENSAYOS!$Q$5:$Q$3004,"&gt;0"))</f>
        <v/>
      </c>
      <c r="Q815" s="16" t="str">
        <f aca="false">IF(N(M815)=0,"",_xlfn.MINIFS(ENSAYOS!$Q$5:$Q$3004,ENSAYOS!$C$5:$C$3004,F815,ENSAYOS!$Q$5:$Q$3004,"&gt;0"))</f>
        <v/>
      </c>
      <c r="R815" s="16" t="str">
        <f aca="false">IF(N(M815)=0,"",_xlfn.MAXIFS(ENSAYOS!$Q$5:$Q$3004,ENSAYOS!$C$5:$C$3004,F815,ENSAYOS!$Q$5:$Q$3004,"&gt;0"))</f>
        <v/>
      </c>
      <c r="S815" s="16" t="str">
        <f aca="false">IF(N(M815)&lt;2,"",SQRT(MAX(0,(SUMIFS(ENSAYOS!$X$5:$X$3004,ENSAYOS!$C$5:$C$3004,F815,ENSAYOS!$Q$5:$Q$3004,"&gt;0")-M815*P815^2)/(M815-1))))</f>
        <v/>
      </c>
      <c r="T815" s="17" t="str">
        <f aca="false">IF(S815="","",S815/P815)</f>
        <v/>
      </c>
      <c r="U815" s="16" t="str">
        <f aca="false">IF(N(M815)=0,"",IF(N815&gt;=CONFIG!$B$27,"",AVERAGEIFS(ENSAYOS!$Q$5:$Q$3004,ENSAYOS!$C$5:$C$3004,F815,ENSAYOS!$Q$5:$Q$3004,"&gt;0",ENSAYOS!$G$5:$G$3004,N815)))</f>
        <v/>
      </c>
      <c r="V815" s="16" t="str">
        <f aca="false">IF(N(M815)=0,"",IF(COUNTIFS(ENSAYOS!$C$5:$C$3004,F815,ENSAYOS!$Q$5:$Q$3004,"&gt;0",ENSAYOS!$G$5:$G$3004,"&gt;="&amp;CONFIG!$B$27)=0,"",AVERAGEIFS(ENSAYOS!$Q$5:$Q$3004,ENSAYOS!$C$5:$C$3004,F815,ENSAYOS!$Q$5:$Q$3004,"&gt;0",ENSAYOS!$G$5:$G$3004,"&gt;="&amp;CONFIG!$B$27)))</f>
        <v/>
      </c>
      <c r="W815" s="18" t="str">
        <f aca="false">IF(AND(U815&lt;&gt;"",V815&lt;&gt;""),U815/V815,"")</f>
        <v/>
      </c>
      <c r="X815" s="18" t="str">
        <f aca="false">IF(U815="","",INDEX('CURVA EDAD'!$E$5:$E$32,MIN(28,MAX(1,N815))))</f>
        <v/>
      </c>
      <c r="Y815" s="16" t="str">
        <f aca="false">IF(V815&lt;&gt;"",V815,IF(U815="","",U815/X815))</f>
        <v/>
      </c>
      <c r="Z815" s="16" t="str">
        <f aca="false">IF(V815&lt;&gt;"",_xlfn.MINIFS(ENSAYOS!$Q$5:$Q$3004,ENSAYOS!$C$5:$C$3004,F815,ENSAYOS!$Q$5:$Q$3004,"&gt;0",ENSAYOS!$G$5:$G$3004,"&gt;="&amp;CONFIG!$B$27),IF(U815="","",_xlfn.MINIFS(ENSAYOS!$Q$5:$Q$3004,ENSAYOS!$C$5:$C$3004,F815,ENSAYOS!$Q$5:$Q$3004,"&gt;0",ENSAYOS!$G$5:$G$3004,N815)/X815))</f>
        <v/>
      </c>
      <c r="AA815" s="16" t="str">
        <f aca="false">IF(D815="","",IFERROR(1/(1/INDEX(CONFIG!$J$5:$J$14,MATCH(D815,CONFIG!$D$5:$D$14,0))),""))</f>
        <v/>
      </c>
      <c r="AB815" s="16" t="str">
        <f aca="false">IF(D815="","",IFERROR(1/(1/INDEX(CONFIG!$K$5:$K$14,MATCH(D815,CONFIG!$D$5:$D$14,0))),""))</f>
        <v/>
      </c>
      <c r="AC815" s="19" t="str">
        <f aca="false">IF(N(M815)=0,"",IF(AA815="","Sin spec",IF(AND(Y815&gt;=AA815,OR(AB815="",Z815&gt;=AB815)),"CUMPLE","NO CUMPLE")&amp;IF(V815=""," (est.)","")))</f>
        <v/>
      </c>
      <c r="AD815" s="20" t="str">
        <f aca="false">IF(F815="","",IF(COUNTIFS(ABSORCION!$C$5:$C$1004,F815,ABSORCION!$I$5:$I$1004,"&gt;0")=0,"",AVERAGEIFS(ABSORCION!$I$5:$I$1004,ABSORCION!$C$5:$C$1004,F815,ABSORCION!$I$5:$I$1004,"&gt;0")))</f>
        <v/>
      </c>
      <c r="AE815" s="20" t="str">
        <f aca="false">IF(F815="","",IF(COUNTIFS(ABSORCION!$C$5:$C$1004,F815,ABSORCION!$I$5:$I$1004,"&gt;0")=0,"",AVERAGEIFS(ABSORCION!$K$5:$K$1004,ABSORCION!$C$5:$C$1004,F815,ABSORCION!$I$5:$I$1004,"&gt;0")))</f>
        <v/>
      </c>
      <c r="AF815" s="20" t="str">
        <f aca="false">IF(AE815="","",IF(AE815&gt;=CONFIG!$E$21,CONFIG!$F$21,IF(AE815&gt;=CONFIG!$E$20,CONFIG!$F$20,CONFIG!$F$19)))</f>
        <v/>
      </c>
      <c r="AG815" s="21" t="str">
        <f aca="false">IF(F815="","",TRIM(IF(N(M815)=0,"Sin ensayos. ","")&amp;IF(AND(N(M815)&gt;0,N(M815)&lt;CONFIG!$B$26),"Menos de "&amp;CONFIG!$B$26&amp;" probetas. ","")&amp;IF(N(T815)&gt;CONFIG!$B$25,"CV alto. ","")&amp;IF(AND(N(AD815)&gt;0,N(AD815)&gt;N(AF815)),"Absorción alta. ","")))</f>
        <v/>
      </c>
      <c r="AH815" s="22" t="str">
        <f aca="false">IF(AND(N(M815)&gt;0,OR(CONTROL!$C$4="TODAS",C815=CONTROL!$C$4),D815=CONTROL!$C$5),MAX($AH$4:AH814)+1,"")</f>
        <v/>
      </c>
      <c r="AI815" s="22" t="str">
        <f aca="false">IF(AH815="","",P815^2)</f>
        <v/>
      </c>
    </row>
    <row r="816" customFormat="false" ht="15" hidden="false" customHeight="false" outlineLevel="0" collapsed="false">
      <c r="A816" s="11" t="str">
        <f aca="false">IF(B816="","",ROW()-4)</f>
        <v/>
      </c>
      <c r="B816" s="12"/>
      <c r="C816" s="13"/>
      <c r="D816" s="13"/>
      <c r="E816" s="13"/>
      <c r="F816" s="14" t="str">
        <f aca="false">IF(OR(B816="",C816="",D816=""),"",IFERROR(INDEX(CONFIG!$E$5:$E$14,MATCH(D816,CONFIG!$D$5:$D$14,0)),"?")&amp;RIGHT("0"&amp;DAY(B816),2)&amp;RIGHT("0"&amp;MONTH(B816),2)&amp;RIGHT(YEAR(B816),2)&amp;C816&amp;IF(E816="","","-"&amp;E816))</f>
        <v/>
      </c>
      <c r="G816" s="13"/>
      <c r="H816" s="13"/>
      <c r="I816" s="13"/>
      <c r="J816" s="13"/>
      <c r="K816" s="13"/>
      <c r="L816" s="13"/>
      <c r="M816" s="11" t="str">
        <f aca="false">IF(F816="","",COUNTIFS(ENSAYOS!$C$5:$C$3004,F816,ENSAYOS!$Q$5:$Q$3004,"&gt;0"))</f>
        <v/>
      </c>
      <c r="N816" s="15" t="str">
        <f aca="false">IF(N(M816)=0,"",_xlfn.MINIFS(ENSAYOS!$G$5:$G$3004,ENSAYOS!$C$5:$C$3004,F816,ENSAYOS!$Q$5:$Q$3004,"&gt;0"))</f>
        <v/>
      </c>
      <c r="O816" s="15" t="str">
        <f aca="false">IF(N(M816)=0,"",_xlfn.MAXIFS(ENSAYOS!$G$5:$G$3004,ENSAYOS!$C$5:$C$3004,F816,ENSAYOS!$Q$5:$Q$3004,"&gt;0"))</f>
        <v/>
      </c>
      <c r="P816" s="16" t="str">
        <f aca="false">IF(N(M816)=0,"",AVERAGEIFS(ENSAYOS!$Q$5:$Q$3004,ENSAYOS!$C$5:$C$3004,F816,ENSAYOS!$Q$5:$Q$3004,"&gt;0"))</f>
        <v/>
      </c>
      <c r="Q816" s="16" t="str">
        <f aca="false">IF(N(M816)=0,"",_xlfn.MINIFS(ENSAYOS!$Q$5:$Q$3004,ENSAYOS!$C$5:$C$3004,F816,ENSAYOS!$Q$5:$Q$3004,"&gt;0"))</f>
        <v/>
      </c>
      <c r="R816" s="16" t="str">
        <f aca="false">IF(N(M816)=0,"",_xlfn.MAXIFS(ENSAYOS!$Q$5:$Q$3004,ENSAYOS!$C$5:$C$3004,F816,ENSAYOS!$Q$5:$Q$3004,"&gt;0"))</f>
        <v/>
      </c>
      <c r="S816" s="16" t="str">
        <f aca="false">IF(N(M816)&lt;2,"",SQRT(MAX(0,(SUMIFS(ENSAYOS!$X$5:$X$3004,ENSAYOS!$C$5:$C$3004,F816,ENSAYOS!$Q$5:$Q$3004,"&gt;0")-M816*P816^2)/(M816-1))))</f>
        <v/>
      </c>
      <c r="T816" s="17" t="str">
        <f aca="false">IF(S816="","",S816/P816)</f>
        <v/>
      </c>
      <c r="U816" s="16" t="str">
        <f aca="false">IF(N(M816)=0,"",IF(N816&gt;=CONFIG!$B$27,"",AVERAGEIFS(ENSAYOS!$Q$5:$Q$3004,ENSAYOS!$C$5:$C$3004,F816,ENSAYOS!$Q$5:$Q$3004,"&gt;0",ENSAYOS!$G$5:$G$3004,N816)))</f>
        <v/>
      </c>
      <c r="V816" s="16" t="str">
        <f aca="false">IF(N(M816)=0,"",IF(COUNTIFS(ENSAYOS!$C$5:$C$3004,F816,ENSAYOS!$Q$5:$Q$3004,"&gt;0",ENSAYOS!$G$5:$G$3004,"&gt;="&amp;CONFIG!$B$27)=0,"",AVERAGEIFS(ENSAYOS!$Q$5:$Q$3004,ENSAYOS!$C$5:$C$3004,F816,ENSAYOS!$Q$5:$Q$3004,"&gt;0",ENSAYOS!$G$5:$G$3004,"&gt;="&amp;CONFIG!$B$27)))</f>
        <v/>
      </c>
      <c r="W816" s="18" t="str">
        <f aca="false">IF(AND(U816&lt;&gt;"",V816&lt;&gt;""),U816/V816,"")</f>
        <v/>
      </c>
      <c r="X816" s="18" t="str">
        <f aca="false">IF(U816="","",INDEX('CURVA EDAD'!$E$5:$E$32,MIN(28,MAX(1,N816))))</f>
        <v/>
      </c>
      <c r="Y816" s="16" t="str">
        <f aca="false">IF(V816&lt;&gt;"",V816,IF(U816="","",U816/X816))</f>
        <v/>
      </c>
      <c r="Z816" s="16" t="str">
        <f aca="false">IF(V816&lt;&gt;"",_xlfn.MINIFS(ENSAYOS!$Q$5:$Q$3004,ENSAYOS!$C$5:$C$3004,F816,ENSAYOS!$Q$5:$Q$3004,"&gt;0",ENSAYOS!$G$5:$G$3004,"&gt;="&amp;CONFIG!$B$27),IF(U816="","",_xlfn.MINIFS(ENSAYOS!$Q$5:$Q$3004,ENSAYOS!$C$5:$C$3004,F816,ENSAYOS!$Q$5:$Q$3004,"&gt;0",ENSAYOS!$G$5:$G$3004,N816)/X816))</f>
        <v/>
      </c>
      <c r="AA816" s="16" t="str">
        <f aca="false">IF(D816="","",IFERROR(1/(1/INDEX(CONFIG!$J$5:$J$14,MATCH(D816,CONFIG!$D$5:$D$14,0))),""))</f>
        <v/>
      </c>
      <c r="AB816" s="16" t="str">
        <f aca="false">IF(D816="","",IFERROR(1/(1/INDEX(CONFIG!$K$5:$K$14,MATCH(D816,CONFIG!$D$5:$D$14,0))),""))</f>
        <v/>
      </c>
      <c r="AC816" s="19" t="str">
        <f aca="false">IF(N(M816)=0,"",IF(AA816="","Sin spec",IF(AND(Y816&gt;=AA816,OR(AB816="",Z816&gt;=AB816)),"CUMPLE","NO CUMPLE")&amp;IF(V816=""," (est.)","")))</f>
        <v/>
      </c>
      <c r="AD816" s="20" t="str">
        <f aca="false">IF(F816="","",IF(COUNTIFS(ABSORCION!$C$5:$C$1004,F816,ABSORCION!$I$5:$I$1004,"&gt;0")=0,"",AVERAGEIFS(ABSORCION!$I$5:$I$1004,ABSORCION!$C$5:$C$1004,F816,ABSORCION!$I$5:$I$1004,"&gt;0")))</f>
        <v/>
      </c>
      <c r="AE816" s="20" t="str">
        <f aca="false">IF(F816="","",IF(COUNTIFS(ABSORCION!$C$5:$C$1004,F816,ABSORCION!$I$5:$I$1004,"&gt;0")=0,"",AVERAGEIFS(ABSORCION!$K$5:$K$1004,ABSORCION!$C$5:$C$1004,F816,ABSORCION!$I$5:$I$1004,"&gt;0")))</f>
        <v/>
      </c>
      <c r="AF816" s="20" t="str">
        <f aca="false">IF(AE816="","",IF(AE816&gt;=CONFIG!$E$21,CONFIG!$F$21,IF(AE816&gt;=CONFIG!$E$20,CONFIG!$F$20,CONFIG!$F$19)))</f>
        <v/>
      </c>
      <c r="AG816" s="21" t="str">
        <f aca="false">IF(F816="","",TRIM(IF(N(M816)=0,"Sin ensayos. ","")&amp;IF(AND(N(M816)&gt;0,N(M816)&lt;CONFIG!$B$26),"Menos de "&amp;CONFIG!$B$26&amp;" probetas. ","")&amp;IF(N(T816)&gt;CONFIG!$B$25,"CV alto. ","")&amp;IF(AND(N(AD816)&gt;0,N(AD816)&gt;N(AF816)),"Absorción alta. ","")))</f>
        <v/>
      </c>
      <c r="AH816" s="22" t="str">
        <f aca="false">IF(AND(N(M816)&gt;0,OR(CONTROL!$C$4="TODAS",C816=CONTROL!$C$4),D816=CONTROL!$C$5),MAX($AH$4:AH815)+1,"")</f>
        <v/>
      </c>
      <c r="AI816" s="22" t="str">
        <f aca="false">IF(AH816="","",P816^2)</f>
        <v/>
      </c>
    </row>
    <row r="817" customFormat="false" ht="15" hidden="false" customHeight="false" outlineLevel="0" collapsed="false">
      <c r="A817" s="11" t="str">
        <f aca="false">IF(B817="","",ROW()-4)</f>
        <v/>
      </c>
      <c r="B817" s="12"/>
      <c r="C817" s="13"/>
      <c r="D817" s="13"/>
      <c r="E817" s="13"/>
      <c r="F817" s="14" t="str">
        <f aca="false">IF(OR(B817="",C817="",D817=""),"",IFERROR(INDEX(CONFIG!$E$5:$E$14,MATCH(D817,CONFIG!$D$5:$D$14,0)),"?")&amp;RIGHT("0"&amp;DAY(B817),2)&amp;RIGHT("0"&amp;MONTH(B817),2)&amp;RIGHT(YEAR(B817),2)&amp;C817&amp;IF(E817="","","-"&amp;E817))</f>
        <v/>
      </c>
      <c r="G817" s="13"/>
      <c r="H817" s="13"/>
      <c r="I817" s="13"/>
      <c r="J817" s="13"/>
      <c r="K817" s="13"/>
      <c r="L817" s="13"/>
      <c r="M817" s="11" t="str">
        <f aca="false">IF(F817="","",COUNTIFS(ENSAYOS!$C$5:$C$3004,F817,ENSAYOS!$Q$5:$Q$3004,"&gt;0"))</f>
        <v/>
      </c>
      <c r="N817" s="15" t="str">
        <f aca="false">IF(N(M817)=0,"",_xlfn.MINIFS(ENSAYOS!$G$5:$G$3004,ENSAYOS!$C$5:$C$3004,F817,ENSAYOS!$Q$5:$Q$3004,"&gt;0"))</f>
        <v/>
      </c>
      <c r="O817" s="15" t="str">
        <f aca="false">IF(N(M817)=0,"",_xlfn.MAXIFS(ENSAYOS!$G$5:$G$3004,ENSAYOS!$C$5:$C$3004,F817,ENSAYOS!$Q$5:$Q$3004,"&gt;0"))</f>
        <v/>
      </c>
      <c r="P817" s="16" t="str">
        <f aca="false">IF(N(M817)=0,"",AVERAGEIFS(ENSAYOS!$Q$5:$Q$3004,ENSAYOS!$C$5:$C$3004,F817,ENSAYOS!$Q$5:$Q$3004,"&gt;0"))</f>
        <v/>
      </c>
      <c r="Q817" s="16" t="str">
        <f aca="false">IF(N(M817)=0,"",_xlfn.MINIFS(ENSAYOS!$Q$5:$Q$3004,ENSAYOS!$C$5:$C$3004,F817,ENSAYOS!$Q$5:$Q$3004,"&gt;0"))</f>
        <v/>
      </c>
      <c r="R817" s="16" t="str">
        <f aca="false">IF(N(M817)=0,"",_xlfn.MAXIFS(ENSAYOS!$Q$5:$Q$3004,ENSAYOS!$C$5:$C$3004,F817,ENSAYOS!$Q$5:$Q$3004,"&gt;0"))</f>
        <v/>
      </c>
      <c r="S817" s="16" t="str">
        <f aca="false">IF(N(M817)&lt;2,"",SQRT(MAX(0,(SUMIFS(ENSAYOS!$X$5:$X$3004,ENSAYOS!$C$5:$C$3004,F817,ENSAYOS!$Q$5:$Q$3004,"&gt;0")-M817*P817^2)/(M817-1))))</f>
        <v/>
      </c>
      <c r="T817" s="17" t="str">
        <f aca="false">IF(S817="","",S817/P817)</f>
        <v/>
      </c>
      <c r="U817" s="16" t="str">
        <f aca="false">IF(N(M817)=0,"",IF(N817&gt;=CONFIG!$B$27,"",AVERAGEIFS(ENSAYOS!$Q$5:$Q$3004,ENSAYOS!$C$5:$C$3004,F817,ENSAYOS!$Q$5:$Q$3004,"&gt;0",ENSAYOS!$G$5:$G$3004,N817)))</f>
        <v/>
      </c>
      <c r="V817" s="16" t="str">
        <f aca="false">IF(N(M817)=0,"",IF(COUNTIFS(ENSAYOS!$C$5:$C$3004,F817,ENSAYOS!$Q$5:$Q$3004,"&gt;0",ENSAYOS!$G$5:$G$3004,"&gt;="&amp;CONFIG!$B$27)=0,"",AVERAGEIFS(ENSAYOS!$Q$5:$Q$3004,ENSAYOS!$C$5:$C$3004,F817,ENSAYOS!$Q$5:$Q$3004,"&gt;0",ENSAYOS!$G$5:$G$3004,"&gt;="&amp;CONFIG!$B$27)))</f>
        <v/>
      </c>
      <c r="W817" s="18" t="str">
        <f aca="false">IF(AND(U817&lt;&gt;"",V817&lt;&gt;""),U817/V817,"")</f>
        <v/>
      </c>
      <c r="X817" s="18" t="str">
        <f aca="false">IF(U817="","",INDEX('CURVA EDAD'!$E$5:$E$32,MIN(28,MAX(1,N817))))</f>
        <v/>
      </c>
      <c r="Y817" s="16" t="str">
        <f aca="false">IF(V817&lt;&gt;"",V817,IF(U817="","",U817/X817))</f>
        <v/>
      </c>
      <c r="Z817" s="16" t="str">
        <f aca="false">IF(V817&lt;&gt;"",_xlfn.MINIFS(ENSAYOS!$Q$5:$Q$3004,ENSAYOS!$C$5:$C$3004,F817,ENSAYOS!$Q$5:$Q$3004,"&gt;0",ENSAYOS!$G$5:$G$3004,"&gt;="&amp;CONFIG!$B$27),IF(U817="","",_xlfn.MINIFS(ENSAYOS!$Q$5:$Q$3004,ENSAYOS!$C$5:$C$3004,F817,ENSAYOS!$Q$5:$Q$3004,"&gt;0",ENSAYOS!$G$5:$G$3004,N817)/X817))</f>
        <v/>
      </c>
      <c r="AA817" s="16" t="str">
        <f aca="false">IF(D817="","",IFERROR(1/(1/INDEX(CONFIG!$J$5:$J$14,MATCH(D817,CONFIG!$D$5:$D$14,0))),""))</f>
        <v/>
      </c>
      <c r="AB817" s="16" t="str">
        <f aca="false">IF(D817="","",IFERROR(1/(1/INDEX(CONFIG!$K$5:$K$14,MATCH(D817,CONFIG!$D$5:$D$14,0))),""))</f>
        <v/>
      </c>
      <c r="AC817" s="19" t="str">
        <f aca="false">IF(N(M817)=0,"",IF(AA817="","Sin spec",IF(AND(Y817&gt;=AA817,OR(AB817="",Z817&gt;=AB817)),"CUMPLE","NO CUMPLE")&amp;IF(V817=""," (est.)","")))</f>
        <v/>
      </c>
      <c r="AD817" s="20" t="str">
        <f aca="false">IF(F817="","",IF(COUNTIFS(ABSORCION!$C$5:$C$1004,F817,ABSORCION!$I$5:$I$1004,"&gt;0")=0,"",AVERAGEIFS(ABSORCION!$I$5:$I$1004,ABSORCION!$C$5:$C$1004,F817,ABSORCION!$I$5:$I$1004,"&gt;0")))</f>
        <v/>
      </c>
      <c r="AE817" s="20" t="str">
        <f aca="false">IF(F817="","",IF(COUNTIFS(ABSORCION!$C$5:$C$1004,F817,ABSORCION!$I$5:$I$1004,"&gt;0")=0,"",AVERAGEIFS(ABSORCION!$K$5:$K$1004,ABSORCION!$C$5:$C$1004,F817,ABSORCION!$I$5:$I$1004,"&gt;0")))</f>
        <v/>
      </c>
      <c r="AF817" s="20" t="str">
        <f aca="false">IF(AE817="","",IF(AE817&gt;=CONFIG!$E$21,CONFIG!$F$21,IF(AE817&gt;=CONFIG!$E$20,CONFIG!$F$20,CONFIG!$F$19)))</f>
        <v/>
      </c>
      <c r="AG817" s="21" t="str">
        <f aca="false">IF(F817="","",TRIM(IF(N(M817)=0,"Sin ensayos. ","")&amp;IF(AND(N(M817)&gt;0,N(M817)&lt;CONFIG!$B$26),"Menos de "&amp;CONFIG!$B$26&amp;" probetas. ","")&amp;IF(N(T817)&gt;CONFIG!$B$25,"CV alto. ","")&amp;IF(AND(N(AD817)&gt;0,N(AD817)&gt;N(AF817)),"Absorción alta. ","")))</f>
        <v/>
      </c>
      <c r="AH817" s="22" t="str">
        <f aca="false">IF(AND(N(M817)&gt;0,OR(CONTROL!$C$4="TODAS",C817=CONTROL!$C$4),D817=CONTROL!$C$5),MAX($AH$4:AH816)+1,"")</f>
        <v/>
      </c>
      <c r="AI817" s="22" t="str">
        <f aca="false">IF(AH817="","",P817^2)</f>
        <v/>
      </c>
    </row>
    <row r="818" customFormat="false" ht="15" hidden="false" customHeight="false" outlineLevel="0" collapsed="false">
      <c r="A818" s="11" t="str">
        <f aca="false">IF(B818="","",ROW()-4)</f>
        <v/>
      </c>
      <c r="B818" s="12"/>
      <c r="C818" s="13"/>
      <c r="D818" s="13"/>
      <c r="E818" s="13"/>
      <c r="F818" s="14" t="str">
        <f aca="false">IF(OR(B818="",C818="",D818=""),"",IFERROR(INDEX(CONFIG!$E$5:$E$14,MATCH(D818,CONFIG!$D$5:$D$14,0)),"?")&amp;RIGHT("0"&amp;DAY(B818),2)&amp;RIGHT("0"&amp;MONTH(B818),2)&amp;RIGHT(YEAR(B818),2)&amp;C818&amp;IF(E818="","","-"&amp;E818))</f>
        <v/>
      </c>
      <c r="G818" s="13"/>
      <c r="H818" s="13"/>
      <c r="I818" s="13"/>
      <c r="J818" s="13"/>
      <c r="K818" s="13"/>
      <c r="L818" s="13"/>
      <c r="M818" s="11" t="str">
        <f aca="false">IF(F818="","",COUNTIFS(ENSAYOS!$C$5:$C$3004,F818,ENSAYOS!$Q$5:$Q$3004,"&gt;0"))</f>
        <v/>
      </c>
      <c r="N818" s="15" t="str">
        <f aca="false">IF(N(M818)=0,"",_xlfn.MINIFS(ENSAYOS!$G$5:$G$3004,ENSAYOS!$C$5:$C$3004,F818,ENSAYOS!$Q$5:$Q$3004,"&gt;0"))</f>
        <v/>
      </c>
      <c r="O818" s="15" t="str">
        <f aca="false">IF(N(M818)=0,"",_xlfn.MAXIFS(ENSAYOS!$G$5:$G$3004,ENSAYOS!$C$5:$C$3004,F818,ENSAYOS!$Q$5:$Q$3004,"&gt;0"))</f>
        <v/>
      </c>
      <c r="P818" s="16" t="str">
        <f aca="false">IF(N(M818)=0,"",AVERAGEIFS(ENSAYOS!$Q$5:$Q$3004,ENSAYOS!$C$5:$C$3004,F818,ENSAYOS!$Q$5:$Q$3004,"&gt;0"))</f>
        <v/>
      </c>
      <c r="Q818" s="16" t="str">
        <f aca="false">IF(N(M818)=0,"",_xlfn.MINIFS(ENSAYOS!$Q$5:$Q$3004,ENSAYOS!$C$5:$C$3004,F818,ENSAYOS!$Q$5:$Q$3004,"&gt;0"))</f>
        <v/>
      </c>
      <c r="R818" s="16" t="str">
        <f aca="false">IF(N(M818)=0,"",_xlfn.MAXIFS(ENSAYOS!$Q$5:$Q$3004,ENSAYOS!$C$5:$C$3004,F818,ENSAYOS!$Q$5:$Q$3004,"&gt;0"))</f>
        <v/>
      </c>
      <c r="S818" s="16" t="str">
        <f aca="false">IF(N(M818)&lt;2,"",SQRT(MAX(0,(SUMIFS(ENSAYOS!$X$5:$X$3004,ENSAYOS!$C$5:$C$3004,F818,ENSAYOS!$Q$5:$Q$3004,"&gt;0")-M818*P818^2)/(M818-1))))</f>
        <v/>
      </c>
      <c r="T818" s="17" t="str">
        <f aca="false">IF(S818="","",S818/P818)</f>
        <v/>
      </c>
      <c r="U818" s="16" t="str">
        <f aca="false">IF(N(M818)=0,"",IF(N818&gt;=CONFIG!$B$27,"",AVERAGEIFS(ENSAYOS!$Q$5:$Q$3004,ENSAYOS!$C$5:$C$3004,F818,ENSAYOS!$Q$5:$Q$3004,"&gt;0",ENSAYOS!$G$5:$G$3004,N818)))</f>
        <v/>
      </c>
      <c r="V818" s="16" t="str">
        <f aca="false">IF(N(M818)=0,"",IF(COUNTIFS(ENSAYOS!$C$5:$C$3004,F818,ENSAYOS!$Q$5:$Q$3004,"&gt;0",ENSAYOS!$G$5:$G$3004,"&gt;="&amp;CONFIG!$B$27)=0,"",AVERAGEIFS(ENSAYOS!$Q$5:$Q$3004,ENSAYOS!$C$5:$C$3004,F818,ENSAYOS!$Q$5:$Q$3004,"&gt;0",ENSAYOS!$G$5:$G$3004,"&gt;="&amp;CONFIG!$B$27)))</f>
        <v/>
      </c>
      <c r="W818" s="18" t="str">
        <f aca="false">IF(AND(U818&lt;&gt;"",V818&lt;&gt;""),U818/V818,"")</f>
        <v/>
      </c>
      <c r="X818" s="18" t="str">
        <f aca="false">IF(U818="","",INDEX('CURVA EDAD'!$E$5:$E$32,MIN(28,MAX(1,N818))))</f>
        <v/>
      </c>
      <c r="Y818" s="16" t="str">
        <f aca="false">IF(V818&lt;&gt;"",V818,IF(U818="","",U818/X818))</f>
        <v/>
      </c>
      <c r="Z818" s="16" t="str">
        <f aca="false">IF(V818&lt;&gt;"",_xlfn.MINIFS(ENSAYOS!$Q$5:$Q$3004,ENSAYOS!$C$5:$C$3004,F818,ENSAYOS!$Q$5:$Q$3004,"&gt;0",ENSAYOS!$G$5:$G$3004,"&gt;="&amp;CONFIG!$B$27),IF(U818="","",_xlfn.MINIFS(ENSAYOS!$Q$5:$Q$3004,ENSAYOS!$C$5:$C$3004,F818,ENSAYOS!$Q$5:$Q$3004,"&gt;0",ENSAYOS!$G$5:$G$3004,N818)/X818))</f>
        <v/>
      </c>
      <c r="AA818" s="16" t="str">
        <f aca="false">IF(D818="","",IFERROR(1/(1/INDEX(CONFIG!$J$5:$J$14,MATCH(D818,CONFIG!$D$5:$D$14,0))),""))</f>
        <v/>
      </c>
      <c r="AB818" s="16" t="str">
        <f aca="false">IF(D818="","",IFERROR(1/(1/INDEX(CONFIG!$K$5:$K$14,MATCH(D818,CONFIG!$D$5:$D$14,0))),""))</f>
        <v/>
      </c>
      <c r="AC818" s="19" t="str">
        <f aca="false">IF(N(M818)=0,"",IF(AA818="","Sin spec",IF(AND(Y818&gt;=AA818,OR(AB818="",Z818&gt;=AB818)),"CUMPLE","NO CUMPLE")&amp;IF(V818=""," (est.)","")))</f>
        <v/>
      </c>
      <c r="AD818" s="20" t="str">
        <f aca="false">IF(F818="","",IF(COUNTIFS(ABSORCION!$C$5:$C$1004,F818,ABSORCION!$I$5:$I$1004,"&gt;0")=0,"",AVERAGEIFS(ABSORCION!$I$5:$I$1004,ABSORCION!$C$5:$C$1004,F818,ABSORCION!$I$5:$I$1004,"&gt;0")))</f>
        <v/>
      </c>
      <c r="AE818" s="20" t="str">
        <f aca="false">IF(F818="","",IF(COUNTIFS(ABSORCION!$C$5:$C$1004,F818,ABSORCION!$I$5:$I$1004,"&gt;0")=0,"",AVERAGEIFS(ABSORCION!$K$5:$K$1004,ABSORCION!$C$5:$C$1004,F818,ABSORCION!$I$5:$I$1004,"&gt;0")))</f>
        <v/>
      </c>
      <c r="AF818" s="20" t="str">
        <f aca="false">IF(AE818="","",IF(AE818&gt;=CONFIG!$E$21,CONFIG!$F$21,IF(AE818&gt;=CONFIG!$E$20,CONFIG!$F$20,CONFIG!$F$19)))</f>
        <v/>
      </c>
      <c r="AG818" s="21" t="str">
        <f aca="false">IF(F818="","",TRIM(IF(N(M818)=0,"Sin ensayos. ","")&amp;IF(AND(N(M818)&gt;0,N(M818)&lt;CONFIG!$B$26),"Menos de "&amp;CONFIG!$B$26&amp;" probetas. ","")&amp;IF(N(T818)&gt;CONFIG!$B$25,"CV alto. ","")&amp;IF(AND(N(AD818)&gt;0,N(AD818)&gt;N(AF818)),"Absorción alta. ","")))</f>
        <v/>
      </c>
      <c r="AH818" s="22" t="str">
        <f aca="false">IF(AND(N(M818)&gt;0,OR(CONTROL!$C$4="TODAS",C818=CONTROL!$C$4),D818=CONTROL!$C$5),MAX($AH$4:AH817)+1,"")</f>
        <v/>
      </c>
      <c r="AI818" s="22" t="str">
        <f aca="false">IF(AH818="","",P818^2)</f>
        <v/>
      </c>
    </row>
    <row r="819" customFormat="false" ht="15" hidden="false" customHeight="false" outlineLevel="0" collapsed="false">
      <c r="A819" s="11" t="str">
        <f aca="false">IF(B819="","",ROW()-4)</f>
        <v/>
      </c>
      <c r="B819" s="12"/>
      <c r="C819" s="13"/>
      <c r="D819" s="13"/>
      <c r="E819" s="13"/>
      <c r="F819" s="14" t="str">
        <f aca="false">IF(OR(B819="",C819="",D819=""),"",IFERROR(INDEX(CONFIG!$E$5:$E$14,MATCH(D819,CONFIG!$D$5:$D$14,0)),"?")&amp;RIGHT("0"&amp;DAY(B819),2)&amp;RIGHT("0"&amp;MONTH(B819),2)&amp;RIGHT(YEAR(B819),2)&amp;C819&amp;IF(E819="","","-"&amp;E819))</f>
        <v/>
      </c>
      <c r="G819" s="13"/>
      <c r="H819" s="13"/>
      <c r="I819" s="13"/>
      <c r="J819" s="13"/>
      <c r="K819" s="13"/>
      <c r="L819" s="13"/>
      <c r="M819" s="11" t="str">
        <f aca="false">IF(F819="","",COUNTIFS(ENSAYOS!$C$5:$C$3004,F819,ENSAYOS!$Q$5:$Q$3004,"&gt;0"))</f>
        <v/>
      </c>
      <c r="N819" s="15" t="str">
        <f aca="false">IF(N(M819)=0,"",_xlfn.MINIFS(ENSAYOS!$G$5:$G$3004,ENSAYOS!$C$5:$C$3004,F819,ENSAYOS!$Q$5:$Q$3004,"&gt;0"))</f>
        <v/>
      </c>
      <c r="O819" s="15" t="str">
        <f aca="false">IF(N(M819)=0,"",_xlfn.MAXIFS(ENSAYOS!$G$5:$G$3004,ENSAYOS!$C$5:$C$3004,F819,ENSAYOS!$Q$5:$Q$3004,"&gt;0"))</f>
        <v/>
      </c>
      <c r="P819" s="16" t="str">
        <f aca="false">IF(N(M819)=0,"",AVERAGEIFS(ENSAYOS!$Q$5:$Q$3004,ENSAYOS!$C$5:$C$3004,F819,ENSAYOS!$Q$5:$Q$3004,"&gt;0"))</f>
        <v/>
      </c>
      <c r="Q819" s="16" t="str">
        <f aca="false">IF(N(M819)=0,"",_xlfn.MINIFS(ENSAYOS!$Q$5:$Q$3004,ENSAYOS!$C$5:$C$3004,F819,ENSAYOS!$Q$5:$Q$3004,"&gt;0"))</f>
        <v/>
      </c>
      <c r="R819" s="16" t="str">
        <f aca="false">IF(N(M819)=0,"",_xlfn.MAXIFS(ENSAYOS!$Q$5:$Q$3004,ENSAYOS!$C$5:$C$3004,F819,ENSAYOS!$Q$5:$Q$3004,"&gt;0"))</f>
        <v/>
      </c>
      <c r="S819" s="16" t="str">
        <f aca="false">IF(N(M819)&lt;2,"",SQRT(MAX(0,(SUMIFS(ENSAYOS!$X$5:$X$3004,ENSAYOS!$C$5:$C$3004,F819,ENSAYOS!$Q$5:$Q$3004,"&gt;0")-M819*P819^2)/(M819-1))))</f>
        <v/>
      </c>
      <c r="T819" s="17" t="str">
        <f aca="false">IF(S819="","",S819/P819)</f>
        <v/>
      </c>
      <c r="U819" s="16" t="str">
        <f aca="false">IF(N(M819)=0,"",IF(N819&gt;=CONFIG!$B$27,"",AVERAGEIFS(ENSAYOS!$Q$5:$Q$3004,ENSAYOS!$C$5:$C$3004,F819,ENSAYOS!$Q$5:$Q$3004,"&gt;0",ENSAYOS!$G$5:$G$3004,N819)))</f>
        <v/>
      </c>
      <c r="V819" s="16" t="str">
        <f aca="false">IF(N(M819)=0,"",IF(COUNTIFS(ENSAYOS!$C$5:$C$3004,F819,ENSAYOS!$Q$5:$Q$3004,"&gt;0",ENSAYOS!$G$5:$G$3004,"&gt;="&amp;CONFIG!$B$27)=0,"",AVERAGEIFS(ENSAYOS!$Q$5:$Q$3004,ENSAYOS!$C$5:$C$3004,F819,ENSAYOS!$Q$5:$Q$3004,"&gt;0",ENSAYOS!$G$5:$G$3004,"&gt;="&amp;CONFIG!$B$27)))</f>
        <v/>
      </c>
      <c r="W819" s="18" t="str">
        <f aca="false">IF(AND(U819&lt;&gt;"",V819&lt;&gt;""),U819/V819,"")</f>
        <v/>
      </c>
      <c r="X819" s="18" t="str">
        <f aca="false">IF(U819="","",INDEX('CURVA EDAD'!$E$5:$E$32,MIN(28,MAX(1,N819))))</f>
        <v/>
      </c>
      <c r="Y819" s="16" t="str">
        <f aca="false">IF(V819&lt;&gt;"",V819,IF(U819="","",U819/X819))</f>
        <v/>
      </c>
      <c r="Z819" s="16" t="str">
        <f aca="false">IF(V819&lt;&gt;"",_xlfn.MINIFS(ENSAYOS!$Q$5:$Q$3004,ENSAYOS!$C$5:$C$3004,F819,ENSAYOS!$Q$5:$Q$3004,"&gt;0",ENSAYOS!$G$5:$G$3004,"&gt;="&amp;CONFIG!$B$27),IF(U819="","",_xlfn.MINIFS(ENSAYOS!$Q$5:$Q$3004,ENSAYOS!$C$5:$C$3004,F819,ENSAYOS!$Q$5:$Q$3004,"&gt;0",ENSAYOS!$G$5:$G$3004,N819)/X819))</f>
        <v/>
      </c>
      <c r="AA819" s="16" t="str">
        <f aca="false">IF(D819="","",IFERROR(1/(1/INDEX(CONFIG!$J$5:$J$14,MATCH(D819,CONFIG!$D$5:$D$14,0))),""))</f>
        <v/>
      </c>
      <c r="AB819" s="16" t="str">
        <f aca="false">IF(D819="","",IFERROR(1/(1/INDEX(CONFIG!$K$5:$K$14,MATCH(D819,CONFIG!$D$5:$D$14,0))),""))</f>
        <v/>
      </c>
      <c r="AC819" s="19" t="str">
        <f aca="false">IF(N(M819)=0,"",IF(AA819="","Sin spec",IF(AND(Y819&gt;=AA819,OR(AB819="",Z819&gt;=AB819)),"CUMPLE","NO CUMPLE")&amp;IF(V819=""," (est.)","")))</f>
        <v/>
      </c>
      <c r="AD819" s="20" t="str">
        <f aca="false">IF(F819="","",IF(COUNTIFS(ABSORCION!$C$5:$C$1004,F819,ABSORCION!$I$5:$I$1004,"&gt;0")=0,"",AVERAGEIFS(ABSORCION!$I$5:$I$1004,ABSORCION!$C$5:$C$1004,F819,ABSORCION!$I$5:$I$1004,"&gt;0")))</f>
        <v/>
      </c>
      <c r="AE819" s="20" t="str">
        <f aca="false">IF(F819="","",IF(COUNTIFS(ABSORCION!$C$5:$C$1004,F819,ABSORCION!$I$5:$I$1004,"&gt;0")=0,"",AVERAGEIFS(ABSORCION!$K$5:$K$1004,ABSORCION!$C$5:$C$1004,F819,ABSORCION!$I$5:$I$1004,"&gt;0")))</f>
        <v/>
      </c>
      <c r="AF819" s="20" t="str">
        <f aca="false">IF(AE819="","",IF(AE819&gt;=CONFIG!$E$21,CONFIG!$F$21,IF(AE819&gt;=CONFIG!$E$20,CONFIG!$F$20,CONFIG!$F$19)))</f>
        <v/>
      </c>
      <c r="AG819" s="21" t="str">
        <f aca="false">IF(F819="","",TRIM(IF(N(M819)=0,"Sin ensayos. ","")&amp;IF(AND(N(M819)&gt;0,N(M819)&lt;CONFIG!$B$26),"Menos de "&amp;CONFIG!$B$26&amp;" probetas. ","")&amp;IF(N(T819)&gt;CONFIG!$B$25,"CV alto. ","")&amp;IF(AND(N(AD819)&gt;0,N(AD819)&gt;N(AF819)),"Absorción alta. ","")))</f>
        <v/>
      </c>
      <c r="AH819" s="22" t="str">
        <f aca="false">IF(AND(N(M819)&gt;0,OR(CONTROL!$C$4="TODAS",C819=CONTROL!$C$4),D819=CONTROL!$C$5),MAX($AH$4:AH818)+1,"")</f>
        <v/>
      </c>
      <c r="AI819" s="22" t="str">
        <f aca="false">IF(AH819="","",P819^2)</f>
        <v/>
      </c>
    </row>
    <row r="820" customFormat="false" ht="15" hidden="false" customHeight="false" outlineLevel="0" collapsed="false">
      <c r="A820" s="11" t="str">
        <f aca="false">IF(B820="","",ROW()-4)</f>
        <v/>
      </c>
      <c r="B820" s="12"/>
      <c r="C820" s="13"/>
      <c r="D820" s="13"/>
      <c r="E820" s="13"/>
      <c r="F820" s="14" t="str">
        <f aca="false">IF(OR(B820="",C820="",D820=""),"",IFERROR(INDEX(CONFIG!$E$5:$E$14,MATCH(D820,CONFIG!$D$5:$D$14,0)),"?")&amp;RIGHT("0"&amp;DAY(B820),2)&amp;RIGHT("0"&amp;MONTH(B820),2)&amp;RIGHT(YEAR(B820),2)&amp;C820&amp;IF(E820="","","-"&amp;E820))</f>
        <v/>
      </c>
      <c r="G820" s="13"/>
      <c r="H820" s="13"/>
      <c r="I820" s="13"/>
      <c r="J820" s="13"/>
      <c r="K820" s="13"/>
      <c r="L820" s="13"/>
      <c r="M820" s="11" t="str">
        <f aca="false">IF(F820="","",COUNTIFS(ENSAYOS!$C$5:$C$3004,F820,ENSAYOS!$Q$5:$Q$3004,"&gt;0"))</f>
        <v/>
      </c>
      <c r="N820" s="15" t="str">
        <f aca="false">IF(N(M820)=0,"",_xlfn.MINIFS(ENSAYOS!$G$5:$G$3004,ENSAYOS!$C$5:$C$3004,F820,ENSAYOS!$Q$5:$Q$3004,"&gt;0"))</f>
        <v/>
      </c>
      <c r="O820" s="15" t="str">
        <f aca="false">IF(N(M820)=0,"",_xlfn.MAXIFS(ENSAYOS!$G$5:$G$3004,ENSAYOS!$C$5:$C$3004,F820,ENSAYOS!$Q$5:$Q$3004,"&gt;0"))</f>
        <v/>
      </c>
      <c r="P820" s="16" t="str">
        <f aca="false">IF(N(M820)=0,"",AVERAGEIFS(ENSAYOS!$Q$5:$Q$3004,ENSAYOS!$C$5:$C$3004,F820,ENSAYOS!$Q$5:$Q$3004,"&gt;0"))</f>
        <v/>
      </c>
      <c r="Q820" s="16" t="str">
        <f aca="false">IF(N(M820)=0,"",_xlfn.MINIFS(ENSAYOS!$Q$5:$Q$3004,ENSAYOS!$C$5:$C$3004,F820,ENSAYOS!$Q$5:$Q$3004,"&gt;0"))</f>
        <v/>
      </c>
      <c r="R820" s="16" t="str">
        <f aca="false">IF(N(M820)=0,"",_xlfn.MAXIFS(ENSAYOS!$Q$5:$Q$3004,ENSAYOS!$C$5:$C$3004,F820,ENSAYOS!$Q$5:$Q$3004,"&gt;0"))</f>
        <v/>
      </c>
      <c r="S820" s="16" t="str">
        <f aca="false">IF(N(M820)&lt;2,"",SQRT(MAX(0,(SUMIFS(ENSAYOS!$X$5:$X$3004,ENSAYOS!$C$5:$C$3004,F820,ENSAYOS!$Q$5:$Q$3004,"&gt;0")-M820*P820^2)/(M820-1))))</f>
        <v/>
      </c>
      <c r="T820" s="17" t="str">
        <f aca="false">IF(S820="","",S820/P820)</f>
        <v/>
      </c>
      <c r="U820" s="16" t="str">
        <f aca="false">IF(N(M820)=0,"",IF(N820&gt;=CONFIG!$B$27,"",AVERAGEIFS(ENSAYOS!$Q$5:$Q$3004,ENSAYOS!$C$5:$C$3004,F820,ENSAYOS!$Q$5:$Q$3004,"&gt;0",ENSAYOS!$G$5:$G$3004,N820)))</f>
        <v/>
      </c>
      <c r="V820" s="16" t="str">
        <f aca="false">IF(N(M820)=0,"",IF(COUNTIFS(ENSAYOS!$C$5:$C$3004,F820,ENSAYOS!$Q$5:$Q$3004,"&gt;0",ENSAYOS!$G$5:$G$3004,"&gt;="&amp;CONFIG!$B$27)=0,"",AVERAGEIFS(ENSAYOS!$Q$5:$Q$3004,ENSAYOS!$C$5:$C$3004,F820,ENSAYOS!$Q$5:$Q$3004,"&gt;0",ENSAYOS!$G$5:$G$3004,"&gt;="&amp;CONFIG!$B$27)))</f>
        <v/>
      </c>
      <c r="W820" s="18" t="str">
        <f aca="false">IF(AND(U820&lt;&gt;"",V820&lt;&gt;""),U820/V820,"")</f>
        <v/>
      </c>
      <c r="X820" s="18" t="str">
        <f aca="false">IF(U820="","",INDEX('CURVA EDAD'!$E$5:$E$32,MIN(28,MAX(1,N820))))</f>
        <v/>
      </c>
      <c r="Y820" s="16" t="str">
        <f aca="false">IF(V820&lt;&gt;"",V820,IF(U820="","",U820/X820))</f>
        <v/>
      </c>
      <c r="Z820" s="16" t="str">
        <f aca="false">IF(V820&lt;&gt;"",_xlfn.MINIFS(ENSAYOS!$Q$5:$Q$3004,ENSAYOS!$C$5:$C$3004,F820,ENSAYOS!$Q$5:$Q$3004,"&gt;0",ENSAYOS!$G$5:$G$3004,"&gt;="&amp;CONFIG!$B$27),IF(U820="","",_xlfn.MINIFS(ENSAYOS!$Q$5:$Q$3004,ENSAYOS!$C$5:$C$3004,F820,ENSAYOS!$Q$5:$Q$3004,"&gt;0",ENSAYOS!$G$5:$G$3004,N820)/X820))</f>
        <v/>
      </c>
      <c r="AA820" s="16" t="str">
        <f aca="false">IF(D820="","",IFERROR(1/(1/INDEX(CONFIG!$J$5:$J$14,MATCH(D820,CONFIG!$D$5:$D$14,0))),""))</f>
        <v/>
      </c>
      <c r="AB820" s="16" t="str">
        <f aca="false">IF(D820="","",IFERROR(1/(1/INDEX(CONFIG!$K$5:$K$14,MATCH(D820,CONFIG!$D$5:$D$14,0))),""))</f>
        <v/>
      </c>
      <c r="AC820" s="19" t="str">
        <f aca="false">IF(N(M820)=0,"",IF(AA820="","Sin spec",IF(AND(Y820&gt;=AA820,OR(AB820="",Z820&gt;=AB820)),"CUMPLE","NO CUMPLE")&amp;IF(V820=""," (est.)","")))</f>
        <v/>
      </c>
      <c r="AD820" s="20" t="str">
        <f aca="false">IF(F820="","",IF(COUNTIFS(ABSORCION!$C$5:$C$1004,F820,ABSORCION!$I$5:$I$1004,"&gt;0")=0,"",AVERAGEIFS(ABSORCION!$I$5:$I$1004,ABSORCION!$C$5:$C$1004,F820,ABSORCION!$I$5:$I$1004,"&gt;0")))</f>
        <v/>
      </c>
      <c r="AE820" s="20" t="str">
        <f aca="false">IF(F820="","",IF(COUNTIFS(ABSORCION!$C$5:$C$1004,F820,ABSORCION!$I$5:$I$1004,"&gt;0")=0,"",AVERAGEIFS(ABSORCION!$K$5:$K$1004,ABSORCION!$C$5:$C$1004,F820,ABSORCION!$I$5:$I$1004,"&gt;0")))</f>
        <v/>
      </c>
      <c r="AF820" s="20" t="str">
        <f aca="false">IF(AE820="","",IF(AE820&gt;=CONFIG!$E$21,CONFIG!$F$21,IF(AE820&gt;=CONFIG!$E$20,CONFIG!$F$20,CONFIG!$F$19)))</f>
        <v/>
      </c>
      <c r="AG820" s="21" t="str">
        <f aca="false">IF(F820="","",TRIM(IF(N(M820)=0,"Sin ensayos. ","")&amp;IF(AND(N(M820)&gt;0,N(M820)&lt;CONFIG!$B$26),"Menos de "&amp;CONFIG!$B$26&amp;" probetas. ","")&amp;IF(N(T820)&gt;CONFIG!$B$25,"CV alto. ","")&amp;IF(AND(N(AD820)&gt;0,N(AD820)&gt;N(AF820)),"Absorción alta. ","")))</f>
        <v/>
      </c>
      <c r="AH820" s="22" t="str">
        <f aca="false">IF(AND(N(M820)&gt;0,OR(CONTROL!$C$4="TODAS",C820=CONTROL!$C$4),D820=CONTROL!$C$5),MAX($AH$4:AH819)+1,"")</f>
        <v/>
      </c>
      <c r="AI820" s="22" t="str">
        <f aca="false">IF(AH820="","",P820^2)</f>
        <v/>
      </c>
    </row>
    <row r="821" customFormat="false" ht="15" hidden="false" customHeight="false" outlineLevel="0" collapsed="false">
      <c r="A821" s="11" t="str">
        <f aca="false">IF(B821="","",ROW()-4)</f>
        <v/>
      </c>
      <c r="B821" s="12"/>
      <c r="C821" s="13"/>
      <c r="D821" s="13"/>
      <c r="E821" s="13"/>
      <c r="F821" s="14" t="str">
        <f aca="false">IF(OR(B821="",C821="",D821=""),"",IFERROR(INDEX(CONFIG!$E$5:$E$14,MATCH(D821,CONFIG!$D$5:$D$14,0)),"?")&amp;RIGHT("0"&amp;DAY(B821),2)&amp;RIGHT("0"&amp;MONTH(B821),2)&amp;RIGHT(YEAR(B821),2)&amp;C821&amp;IF(E821="","","-"&amp;E821))</f>
        <v/>
      </c>
      <c r="G821" s="13"/>
      <c r="H821" s="13"/>
      <c r="I821" s="13"/>
      <c r="J821" s="13"/>
      <c r="K821" s="13"/>
      <c r="L821" s="13"/>
      <c r="M821" s="11" t="str">
        <f aca="false">IF(F821="","",COUNTIFS(ENSAYOS!$C$5:$C$3004,F821,ENSAYOS!$Q$5:$Q$3004,"&gt;0"))</f>
        <v/>
      </c>
      <c r="N821" s="15" t="str">
        <f aca="false">IF(N(M821)=0,"",_xlfn.MINIFS(ENSAYOS!$G$5:$G$3004,ENSAYOS!$C$5:$C$3004,F821,ENSAYOS!$Q$5:$Q$3004,"&gt;0"))</f>
        <v/>
      </c>
      <c r="O821" s="15" t="str">
        <f aca="false">IF(N(M821)=0,"",_xlfn.MAXIFS(ENSAYOS!$G$5:$G$3004,ENSAYOS!$C$5:$C$3004,F821,ENSAYOS!$Q$5:$Q$3004,"&gt;0"))</f>
        <v/>
      </c>
      <c r="P821" s="16" t="str">
        <f aca="false">IF(N(M821)=0,"",AVERAGEIFS(ENSAYOS!$Q$5:$Q$3004,ENSAYOS!$C$5:$C$3004,F821,ENSAYOS!$Q$5:$Q$3004,"&gt;0"))</f>
        <v/>
      </c>
      <c r="Q821" s="16" t="str">
        <f aca="false">IF(N(M821)=0,"",_xlfn.MINIFS(ENSAYOS!$Q$5:$Q$3004,ENSAYOS!$C$5:$C$3004,F821,ENSAYOS!$Q$5:$Q$3004,"&gt;0"))</f>
        <v/>
      </c>
      <c r="R821" s="16" t="str">
        <f aca="false">IF(N(M821)=0,"",_xlfn.MAXIFS(ENSAYOS!$Q$5:$Q$3004,ENSAYOS!$C$5:$C$3004,F821,ENSAYOS!$Q$5:$Q$3004,"&gt;0"))</f>
        <v/>
      </c>
      <c r="S821" s="16" t="str">
        <f aca="false">IF(N(M821)&lt;2,"",SQRT(MAX(0,(SUMIFS(ENSAYOS!$X$5:$X$3004,ENSAYOS!$C$5:$C$3004,F821,ENSAYOS!$Q$5:$Q$3004,"&gt;0")-M821*P821^2)/(M821-1))))</f>
        <v/>
      </c>
      <c r="T821" s="17" t="str">
        <f aca="false">IF(S821="","",S821/P821)</f>
        <v/>
      </c>
      <c r="U821" s="16" t="str">
        <f aca="false">IF(N(M821)=0,"",IF(N821&gt;=CONFIG!$B$27,"",AVERAGEIFS(ENSAYOS!$Q$5:$Q$3004,ENSAYOS!$C$5:$C$3004,F821,ENSAYOS!$Q$5:$Q$3004,"&gt;0",ENSAYOS!$G$5:$G$3004,N821)))</f>
        <v/>
      </c>
      <c r="V821" s="16" t="str">
        <f aca="false">IF(N(M821)=0,"",IF(COUNTIFS(ENSAYOS!$C$5:$C$3004,F821,ENSAYOS!$Q$5:$Q$3004,"&gt;0",ENSAYOS!$G$5:$G$3004,"&gt;="&amp;CONFIG!$B$27)=0,"",AVERAGEIFS(ENSAYOS!$Q$5:$Q$3004,ENSAYOS!$C$5:$C$3004,F821,ENSAYOS!$Q$5:$Q$3004,"&gt;0",ENSAYOS!$G$5:$G$3004,"&gt;="&amp;CONFIG!$B$27)))</f>
        <v/>
      </c>
      <c r="W821" s="18" t="str">
        <f aca="false">IF(AND(U821&lt;&gt;"",V821&lt;&gt;""),U821/V821,"")</f>
        <v/>
      </c>
      <c r="X821" s="18" t="str">
        <f aca="false">IF(U821="","",INDEX('CURVA EDAD'!$E$5:$E$32,MIN(28,MAX(1,N821))))</f>
        <v/>
      </c>
      <c r="Y821" s="16" t="str">
        <f aca="false">IF(V821&lt;&gt;"",V821,IF(U821="","",U821/X821))</f>
        <v/>
      </c>
      <c r="Z821" s="16" t="str">
        <f aca="false">IF(V821&lt;&gt;"",_xlfn.MINIFS(ENSAYOS!$Q$5:$Q$3004,ENSAYOS!$C$5:$C$3004,F821,ENSAYOS!$Q$5:$Q$3004,"&gt;0",ENSAYOS!$G$5:$G$3004,"&gt;="&amp;CONFIG!$B$27),IF(U821="","",_xlfn.MINIFS(ENSAYOS!$Q$5:$Q$3004,ENSAYOS!$C$5:$C$3004,F821,ENSAYOS!$Q$5:$Q$3004,"&gt;0",ENSAYOS!$G$5:$G$3004,N821)/X821))</f>
        <v/>
      </c>
      <c r="AA821" s="16" t="str">
        <f aca="false">IF(D821="","",IFERROR(1/(1/INDEX(CONFIG!$J$5:$J$14,MATCH(D821,CONFIG!$D$5:$D$14,0))),""))</f>
        <v/>
      </c>
      <c r="AB821" s="16" t="str">
        <f aca="false">IF(D821="","",IFERROR(1/(1/INDEX(CONFIG!$K$5:$K$14,MATCH(D821,CONFIG!$D$5:$D$14,0))),""))</f>
        <v/>
      </c>
      <c r="AC821" s="19" t="str">
        <f aca="false">IF(N(M821)=0,"",IF(AA821="","Sin spec",IF(AND(Y821&gt;=AA821,OR(AB821="",Z821&gt;=AB821)),"CUMPLE","NO CUMPLE")&amp;IF(V821=""," (est.)","")))</f>
        <v/>
      </c>
      <c r="AD821" s="20" t="str">
        <f aca="false">IF(F821="","",IF(COUNTIFS(ABSORCION!$C$5:$C$1004,F821,ABSORCION!$I$5:$I$1004,"&gt;0")=0,"",AVERAGEIFS(ABSORCION!$I$5:$I$1004,ABSORCION!$C$5:$C$1004,F821,ABSORCION!$I$5:$I$1004,"&gt;0")))</f>
        <v/>
      </c>
      <c r="AE821" s="20" t="str">
        <f aca="false">IF(F821="","",IF(COUNTIFS(ABSORCION!$C$5:$C$1004,F821,ABSORCION!$I$5:$I$1004,"&gt;0")=0,"",AVERAGEIFS(ABSORCION!$K$5:$K$1004,ABSORCION!$C$5:$C$1004,F821,ABSORCION!$I$5:$I$1004,"&gt;0")))</f>
        <v/>
      </c>
      <c r="AF821" s="20" t="str">
        <f aca="false">IF(AE821="","",IF(AE821&gt;=CONFIG!$E$21,CONFIG!$F$21,IF(AE821&gt;=CONFIG!$E$20,CONFIG!$F$20,CONFIG!$F$19)))</f>
        <v/>
      </c>
      <c r="AG821" s="21" t="str">
        <f aca="false">IF(F821="","",TRIM(IF(N(M821)=0,"Sin ensayos. ","")&amp;IF(AND(N(M821)&gt;0,N(M821)&lt;CONFIG!$B$26),"Menos de "&amp;CONFIG!$B$26&amp;" probetas. ","")&amp;IF(N(T821)&gt;CONFIG!$B$25,"CV alto. ","")&amp;IF(AND(N(AD821)&gt;0,N(AD821)&gt;N(AF821)),"Absorción alta. ","")))</f>
        <v/>
      </c>
      <c r="AH821" s="22" t="str">
        <f aca="false">IF(AND(N(M821)&gt;0,OR(CONTROL!$C$4="TODAS",C821=CONTROL!$C$4),D821=CONTROL!$C$5),MAX($AH$4:AH820)+1,"")</f>
        <v/>
      </c>
      <c r="AI821" s="22" t="str">
        <f aca="false">IF(AH821="","",P821^2)</f>
        <v/>
      </c>
    </row>
    <row r="822" customFormat="false" ht="15" hidden="false" customHeight="false" outlineLevel="0" collapsed="false">
      <c r="A822" s="11" t="str">
        <f aca="false">IF(B822="","",ROW()-4)</f>
        <v/>
      </c>
      <c r="B822" s="12"/>
      <c r="C822" s="13"/>
      <c r="D822" s="13"/>
      <c r="E822" s="13"/>
      <c r="F822" s="14" t="str">
        <f aca="false">IF(OR(B822="",C822="",D822=""),"",IFERROR(INDEX(CONFIG!$E$5:$E$14,MATCH(D822,CONFIG!$D$5:$D$14,0)),"?")&amp;RIGHT("0"&amp;DAY(B822),2)&amp;RIGHT("0"&amp;MONTH(B822),2)&amp;RIGHT(YEAR(B822),2)&amp;C822&amp;IF(E822="","","-"&amp;E822))</f>
        <v/>
      </c>
      <c r="G822" s="13"/>
      <c r="H822" s="13"/>
      <c r="I822" s="13"/>
      <c r="J822" s="13"/>
      <c r="K822" s="13"/>
      <c r="L822" s="13"/>
      <c r="M822" s="11" t="str">
        <f aca="false">IF(F822="","",COUNTIFS(ENSAYOS!$C$5:$C$3004,F822,ENSAYOS!$Q$5:$Q$3004,"&gt;0"))</f>
        <v/>
      </c>
      <c r="N822" s="15" t="str">
        <f aca="false">IF(N(M822)=0,"",_xlfn.MINIFS(ENSAYOS!$G$5:$G$3004,ENSAYOS!$C$5:$C$3004,F822,ENSAYOS!$Q$5:$Q$3004,"&gt;0"))</f>
        <v/>
      </c>
      <c r="O822" s="15" t="str">
        <f aca="false">IF(N(M822)=0,"",_xlfn.MAXIFS(ENSAYOS!$G$5:$G$3004,ENSAYOS!$C$5:$C$3004,F822,ENSAYOS!$Q$5:$Q$3004,"&gt;0"))</f>
        <v/>
      </c>
      <c r="P822" s="16" t="str">
        <f aca="false">IF(N(M822)=0,"",AVERAGEIFS(ENSAYOS!$Q$5:$Q$3004,ENSAYOS!$C$5:$C$3004,F822,ENSAYOS!$Q$5:$Q$3004,"&gt;0"))</f>
        <v/>
      </c>
      <c r="Q822" s="16" t="str">
        <f aca="false">IF(N(M822)=0,"",_xlfn.MINIFS(ENSAYOS!$Q$5:$Q$3004,ENSAYOS!$C$5:$C$3004,F822,ENSAYOS!$Q$5:$Q$3004,"&gt;0"))</f>
        <v/>
      </c>
      <c r="R822" s="16" t="str">
        <f aca="false">IF(N(M822)=0,"",_xlfn.MAXIFS(ENSAYOS!$Q$5:$Q$3004,ENSAYOS!$C$5:$C$3004,F822,ENSAYOS!$Q$5:$Q$3004,"&gt;0"))</f>
        <v/>
      </c>
      <c r="S822" s="16" t="str">
        <f aca="false">IF(N(M822)&lt;2,"",SQRT(MAX(0,(SUMIFS(ENSAYOS!$X$5:$X$3004,ENSAYOS!$C$5:$C$3004,F822,ENSAYOS!$Q$5:$Q$3004,"&gt;0")-M822*P822^2)/(M822-1))))</f>
        <v/>
      </c>
      <c r="T822" s="17" t="str">
        <f aca="false">IF(S822="","",S822/P822)</f>
        <v/>
      </c>
      <c r="U822" s="16" t="str">
        <f aca="false">IF(N(M822)=0,"",IF(N822&gt;=CONFIG!$B$27,"",AVERAGEIFS(ENSAYOS!$Q$5:$Q$3004,ENSAYOS!$C$5:$C$3004,F822,ENSAYOS!$Q$5:$Q$3004,"&gt;0",ENSAYOS!$G$5:$G$3004,N822)))</f>
        <v/>
      </c>
      <c r="V822" s="16" t="str">
        <f aca="false">IF(N(M822)=0,"",IF(COUNTIFS(ENSAYOS!$C$5:$C$3004,F822,ENSAYOS!$Q$5:$Q$3004,"&gt;0",ENSAYOS!$G$5:$G$3004,"&gt;="&amp;CONFIG!$B$27)=0,"",AVERAGEIFS(ENSAYOS!$Q$5:$Q$3004,ENSAYOS!$C$5:$C$3004,F822,ENSAYOS!$Q$5:$Q$3004,"&gt;0",ENSAYOS!$G$5:$G$3004,"&gt;="&amp;CONFIG!$B$27)))</f>
        <v/>
      </c>
      <c r="W822" s="18" t="str">
        <f aca="false">IF(AND(U822&lt;&gt;"",V822&lt;&gt;""),U822/V822,"")</f>
        <v/>
      </c>
      <c r="X822" s="18" t="str">
        <f aca="false">IF(U822="","",INDEX('CURVA EDAD'!$E$5:$E$32,MIN(28,MAX(1,N822))))</f>
        <v/>
      </c>
      <c r="Y822" s="16" t="str">
        <f aca="false">IF(V822&lt;&gt;"",V822,IF(U822="","",U822/X822))</f>
        <v/>
      </c>
      <c r="Z822" s="16" t="str">
        <f aca="false">IF(V822&lt;&gt;"",_xlfn.MINIFS(ENSAYOS!$Q$5:$Q$3004,ENSAYOS!$C$5:$C$3004,F822,ENSAYOS!$Q$5:$Q$3004,"&gt;0",ENSAYOS!$G$5:$G$3004,"&gt;="&amp;CONFIG!$B$27),IF(U822="","",_xlfn.MINIFS(ENSAYOS!$Q$5:$Q$3004,ENSAYOS!$C$5:$C$3004,F822,ENSAYOS!$Q$5:$Q$3004,"&gt;0",ENSAYOS!$G$5:$G$3004,N822)/X822))</f>
        <v/>
      </c>
      <c r="AA822" s="16" t="str">
        <f aca="false">IF(D822="","",IFERROR(1/(1/INDEX(CONFIG!$J$5:$J$14,MATCH(D822,CONFIG!$D$5:$D$14,0))),""))</f>
        <v/>
      </c>
      <c r="AB822" s="16" t="str">
        <f aca="false">IF(D822="","",IFERROR(1/(1/INDEX(CONFIG!$K$5:$K$14,MATCH(D822,CONFIG!$D$5:$D$14,0))),""))</f>
        <v/>
      </c>
      <c r="AC822" s="19" t="str">
        <f aca="false">IF(N(M822)=0,"",IF(AA822="","Sin spec",IF(AND(Y822&gt;=AA822,OR(AB822="",Z822&gt;=AB822)),"CUMPLE","NO CUMPLE")&amp;IF(V822=""," (est.)","")))</f>
        <v/>
      </c>
      <c r="AD822" s="20" t="str">
        <f aca="false">IF(F822="","",IF(COUNTIFS(ABSORCION!$C$5:$C$1004,F822,ABSORCION!$I$5:$I$1004,"&gt;0")=0,"",AVERAGEIFS(ABSORCION!$I$5:$I$1004,ABSORCION!$C$5:$C$1004,F822,ABSORCION!$I$5:$I$1004,"&gt;0")))</f>
        <v/>
      </c>
      <c r="AE822" s="20" t="str">
        <f aca="false">IF(F822="","",IF(COUNTIFS(ABSORCION!$C$5:$C$1004,F822,ABSORCION!$I$5:$I$1004,"&gt;0")=0,"",AVERAGEIFS(ABSORCION!$K$5:$K$1004,ABSORCION!$C$5:$C$1004,F822,ABSORCION!$I$5:$I$1004,"&gt;0")))</f>
        <v/>
      </c>
      <c r="AF822" s="20" t="str">
        <f aca="false">IF(AE822="","",IF(AE822&gt;=CONFIG!$E$21,CONFIG!$F$21,IF(AE822&gt;=CONFIG!$E$20,CONFIG!$F$20,CONFIG!$F$19)))</f>
        <v/>
      </c>
      <c r="AG822" s="21" t="str">
        <f aca="false">IF(F822="","",TRIM(IF(N(M822)=0,"Sin ensayos. ","")&amp;IF(AND(N(M822)&gt;0,N(M822)&lt;CONFIG!$B$26),"Menos de "&amp;CONFIG!$B$26&amp;" probetas. ","")&amp;IF(N(T822)&gt;CONFIG!$B$25,"CV alto. ","")&amp;IF(AND(N(AD822)&gt;0,N(AD822)&gt;N(AF822)),"Absorción alta. ","")))</f>
        <v/>
      </c>
      <c r="AH822" s="22" t="str">
        <f aca="false">IF(AND(N(M822)&gt;0,OR(CONTROL!$C$4="TODAS",C822=CONTROL!$C$4),D822=CONTROL!$C$5),MAX($AH$4:AH821)+1,"")</f>
        <v/>
      </c>
      <c r="AI822" s="22" t="str">
        <f aca="false">IF(AH822="","",P822^2)</f>
        <v/>
      </c>
    </row>
    <row r="823" customFormat="false" ht="15" hidden="false" customHeight="false" outlineLevel="0" collapsed="false">
      <c r="A823" s="11" t="str">
        <f aca="false">IF(B823="","",ROW()-4)</f>
        <v/>
      </c>
      <c r="B823" s="12"/>
      <c r="C823" s="13"/>
      <c r="D823" s="13"/>
      <c r="E823" s="13"/>
      <c r="F823" s="14" t="str">
        <f aca="false">IF(OR(B823="",C823="",D823=""),"",IFERROR(INDEX(CONFIG!$E$5:$E$14,MATCH(D823,CONFIG!$D$5:$D$14,0)),"?")&amp;RIGHT("0"&amp;DAY(B823),2)&amp;RIGHT("0"&amp;MONTH(B823),2)&amp;RIGHT(YEAR(B823),2)&amp;C823&amp;IF(E823="","","-"&amp;E823))</f>
        <v/>
      </c>
      <c r="G823" s="13"/>
      <c r="H823" s="13"/>
      <c r="I823" s="13"/>
      <c r="J823" s="13"/>
      <c r="K823" s="13"/>
      <c r="L823" s="13"/>
      <c r="M823" s="11" t="str">
        <f aca="false">IF(F823="","",COUNTIFS(ENSAYOS!$C$5:$C$3004,F823,ENSAYOS!$Q$5:$Q$3004,"&gt;0"))</f>
        <v/>
      </c>
      <c r="N823" s="15" t="str">
        <f aca="false">IF(N(M823)=0,"",_xlfn.MINIFS(ENSAYOS!$G$5:$G$3004,ENSAYOS!$C$5:$C$3004,F823,ENSAYOS!$Q$5:$Q$3004,"&gt;0"))</f>
        <v/>
      </c>
      <c r="O823" s="15" t="str">
        <f aca="false">IF(N(M823)=0,"",_xlfn.MAXIFS(ENSAYOS!$G$5:$G$3004,ENSAYOS!$C$5:$C$3004,F823,ENSAYOS!$Q$5:$Q$3004,"&gt;0"))</f>
        <v/>
      </c>
      <c r="P823" s="16" t="str">
        <f aca="false">IF(N(M823)=0,"",AVERAGEIFS(ENSAYOS!$Q$5:$Q$3004,ENSAYOS!$C$5:$C$3004,F823,ENSAYOS!$Q$5:$Q$3004,"&gt;0"))</f>
        <v/>
      </c>
      <c r="Q823" s="16" t="str">
        <f aca="false">IF(N(M823)=0,"",_xlfn.MINIFS(ENSAYOS!$Q$5:$Q$3004,ENSAYOS!$C$5:$C$3004,F823,ENSAYOS!$Q$5:$Q$3004,"&gt;0"))</f>
        <v/>
      </c>
      <c r="R823" s="16" t="str">
        <f aca="false">IF(N(M823)=0,"",_xlfn.MAXIFS(ENSAYOS!$Q$5:$Q$3004,ENSAYOS!$C$5:$C$3004,F823,ENSAYOS!$Q$5:$Q$3004,"&gt;0"))</f>
        <v/>
      </c>
      <c r="S823" s="16" t="str">
        <f aca="false">IF(N(M823)&lt;2,"",SQRT(MAX(0,(SUMIFS(ENSAYOS!$X$5:$X$3004,ENSAYOS!$C$5:$C$3004,F823,ENSAYOS!$Q$5:$Q$3004,"&gt;0")-M823*P823^2)/(M823-1))))</f>
        <v/>
      </c>
      <c r="T823" s="17" t="str">
        <f aca="false">IF(S823="","",S823/P823)</f>
        <v/>
      </c>
      <c r="U823" s="16" t="str">
        <f aca="false">IF(N(M823)=0,"",IF(N823&gt;=CONFIG!$B$27,"",AVERAGEIFS(ENSAYOS!$Q$5:$Q$3004,ENSAYOS!$C$5:$C$3004,F823,ENSAYOS!$Q$5:$Q$3004,"&gt;0",ENSAYOS!$G$5:$G$3004,N823)))</f>
        <v/>
      </c>
      <c r="V823" s="16" t="str">
        <f aca="false">IF(N(M823)=0,"",IF(COUNTIFS(ENSAYOS!$C$5:$C$3004,F823,ENSAYOS!$Q$5:$Q$3004,"&gt;0",ENSAYOS!$G$5:$G$3004,"&gt;="&amp;CONFIG!$B$27)=0,"",AVERAGEIFS(ENSAYOS!$Q$5:$Q$3004,ENSAYOS!$C$5:$C$3004,F823,ENSAYOS!$Q$5:$Q$3004,"&gt;0",ENSAYOS!$G$5:$G$3004,"&gt;="&amp;CONFIG!$B$27)))</f>
        <v/>
      </c>
      <c r="W823" s="18" t="str">
        <f aca="false">IF(AND(U823&lt;&gt;"",V823&lt;&gt;""),U823/V823,"")</f>
        <v/>
      </c>
      <c r="X823" s="18" t="str">
        <f aca="false">IF(U823="","",INDEX('CURVA EDAD'!$E$5:$E$32,MIN(28,MAX(1,N823))))</f>
        <v/>
      </c>
      <c r="Y823" s="16" t="str">
        <f aca="false">IF(V823&lt;&gt;"",V823,IF(U823="","",U823/X823))</f>
        <v/>
      </c>
      <c r="Z823" s="16" t="str">
        <f aca="false">IF(V823&lt;&gt;"",_xlfn.MINIFS(ENSAYOS!$Q$5:$Q$3004,ENSAYOS!$C$5:$C$3004,F823,ENSAYOS!$Q$5:$Q$3004,"&gt;0",ENSAYOS!$G$5:$G$3004,"&gt;="&amp;CONFIG!$B$27),IF(U823="","",_xlfn.MINIFS(ENSAYOS!$Q$5:$Q$3004,ENSAYOS!$C$5:$C$3004,F823,ENSAYOS!$Q$5:$Q$3004,"&gt;0",ENSAYOS!$G$5:$G$3004,N823)/X823))</f>
        <v/>
      </c>
      <c r="AA823" s="16" t="str">
        <f aca="false">IF(D823="","",IFERROR(1/(1/INDEX(CONFIG!$J$5:$J$14,MATCH(D823,CONFIG!$D$5:$D$14,0))),""))</f>
        <v/>
      </c>
      <c r="AB823" s="16" t="str">
        <f aca="false">IF(D823="","",IFERROR(1/(1/INDEX(CONFIG!$K$5:$K$14,MATCH(D823,CONFIG!$D$5:$D$14,0))),""))</f>
        <v/>
      </c>
      <c r="AC823" s="19" t="str">
        <f aca="false">IF(N(M823)=0,"",IF(AA823="","Sin spec",IF(AND(Y823&gt;=AA823,OR(AB823="",Z823&gt;=AB823)),"CUMPLE","NO CUMPLE")&amp;IF(V823=""," (est.)","")))</f>
        <v/>
      </c>
      <c r="AD823" s="20" t="str">
        <f aca="false">IF(F823="","",IF(COUNTIFS(ABSORCION!$C$5:$C$1004,F823,ABSORCION!$I$5:$I$1004,"&gt;0")=0,"",AVERAGEIFS(ABSORCION!$I$5:$I$1004,ABSORCION!$C$5:$C$1004,F823,ABSORCION!$I$5:$I$1004,"&gt;0")))</f>
        <v/>
      </c>
      <c r="AE823" s="20" t="str">
        <f aca="false">IF(F823="","",IF(COUNTIFS(ABSORCION!$C$5:$C$1004,F823,ABSORCION!$I$5:$I$1004,"&gt;0")=0,"",AVERAGEIFS(ABSORCION!$K$5:$K$1004,ABSORCION!$C$5:$C$1004,F823,ABSORCION!$I$5:$I$1004,"&gt;0")))</f>
        <v/>
      </c>
      <c r="AF823" s="20" t="str">
        <f aca="false">IF(AE823="","",IF(AE823&gt;=CONFIG!$E$21,CONFIG!$F$21,IF(AE823&gt;=CONFIG!$E$20,CONFIG!$F$20,CONFIG!$F$19)))</f>
        <v/>
      </c>
      <c r="AG823" s="21" t="str">
        <f aca="false">IF(F823="","",TRIM(IF(N(M823)=0,"Sin ensayos. ","")&amp;IF(AND(N(M823)&gt;0,N(M823)&lt;CONFIG!$B$26),"Menos de "&amp;CONFIG!$B$26&amp;" probetas. ","")&amp;IF(N(T823)&gt;CONFIG!$B$25,"CV alto. ","")&amp;IF(AND(N(AD823)&gt;0,N(AD823)&gt;N(AF823)),"Absorción alta. ","")))</f>
        <v/>
      </c>
      <c r="AH823" s="22" t="str">
        <f aca="false">IF(AND(N(M823)&gt;0,OR(CONTROL!$C$4="TODAS",C823=CONTROL!$C$4),D823=CONTROL!$C$5),MAX($AH$4:AH822)+1,"")</f>
        <v/>
      </c>
      <c r="AI823" s="22" t="str">
        <f aca="false">IF(AH823="","",P823^2)</f>
        <v/>
      </c>
    </row>
    <row r="824" customFormat="false" ht="15" hidden="false" customHeight="false" outlineLevel="0" collapsed="false">
      <c r="A824" s="11" t="str">
        <f aca="false">IF(B824="","",ROW()-4)</f>
        <v/>
      </c>
      <c r="B824" s="12"/>
      <c r="C824" s="13"/>
      <c r="D824" s="13"/>
      <c r="E824" s="13"/>
      <c r="F824" s="14" t="str">
        <f aca="false">IF(OR(B824="",C824="",D824=""),"",IFERROR(INDEX(CONFIG!$E$5:$E$14,MATCH(D824,CONFIG!$D$5:$D$14,0)),"?")&amp;RIGHT("0"&amp;DAY(B824),2)&amp;RIGHT("0"&amp;MONTH(B824),2)&amp;RIGHT(YEAR(B824),2)&amp;C824&amp;IF(E824="","","-"&amp;E824))</f>
        <v/>
      </c>
      <c r="G824" s="13"/>
      <c r="H824" s="13"/>
      <c r="I824" s="13"/>
      <c r="J824" s="13"/>
      <c r="K824" s="13"/>
      <c r="L824" s="13"/>
      <c r="M824" s="11" t="str">
        <f aca="false">IF(F824="","",COUNTIFS(ENSAYOS!$C$5:$C$3004,F824,ENSAYOS!$Q$5:$Q$3004,"&gt;0"))</f>
        <v/>
      </c>
      <c r="N824" s="15" t="str">
        <f aca="false">IF(N(M824)=0,"",_xlfn.MINIFS(ENSAYOS!$G$5:$G$3004,ENSAYOS!$C$5:$C$3004,F824,ENSAYOS!$Q$5:$Q$3004,"&gt;0"))</f>
        <v/>
      </c>
      <c r="O824" s="15" t="str">
        <f aca="false">IF(N(M824)=0,"",_xlfn.MAXIFS(ENSAYOS!$G$5:$G$3004,ENSAYOS!$C$5:$C$3004,F824,ENSAYOS!$Q$5:$Q$3004,"&gt;0"))</f>
        <v/>
      </c>
      <c r="P824" s="16" t="str">
        <f aca="false">IF(N(M824)=0,"",AVERAGEIFS(ENSAYOS!$Q$5:$Q$3004,ENSAYOS!$C$5:$C$3004,F824,ENSAYOS!$Q$5:$Q$3004,"&gt;0"))</f>
        <v/>
      </c>
      <c r="Q824" s="16" t="str">
        <f aca="false">IF(N(M824)=0,"",_xlfn.MINIFS(ENSAYOS!$Q$5:$Q$3004,ENSAYOS!$C$5:$C$3004,F824,ENSAYOS!$Q$5:$Q$3004,"&gt;0"))</f>
        <v/>
      </c>
      <c r="R824" s="16" t="str">
        <f aca="false">IF(N(M824)=0,"",_xlfn.MAXIFS(ENSAYOS!$Q$5:$Q$3004,ENSAYOS!$C$5:$C$3004,F824,ENSAYOS!$Q$5:$Q$3004,"&gt;0"))</f>
        <v/>
      </c>
      <c r="S824" s="16" t="str">
        <f aca="false">IF(N(M824)&lt;2,"",SQRT(MAX(0,(SUMIFS(ENSAYOS!$X$5:$X$3004,ENSAYOS!$C$5:$C$3004,F824,ENSAYOS!$Q$5:$Q$3004,"&gt;0")-M824*P824^2)/(M824-1))))</f>
        <v/>
      </c>
      <c r="T824" s="17" t="str">
        <f aca="false">IF(S824="","",S824/P824)</f>
        <v/>
      </c>
      <c r="U824" s="16" t="str">
        <f aca="false">IF(N(M824)=0,"",IF(N824&gt;=CONFIG!$B$27,"",AVERAGEIFS(ENSAYOS!$Q$5:$Q$3004,ENSAYOS!$C$5:$C$3004,F824,ENSAYOS!$Q$5:$Q$3004,"&gt;0",ENSAYOS!$G$5:$G$3004,N824)))</f>
        <v/>
      </c>
      <c r="V824" s="16" t="str">
        <f aca="false">IF(N(M824)=0,"",IF(COUNTIFS(ENSAYOS!$C$5:$C$3004,F824,ENSAYOS!$Q$5:$Q$3004,"&gt;0",ENSAYOS!$G$5:$G$3004,"&gt;="&amp;CONFIG!$B$27)=0,"",AVERAGEIFS(ENSAYOS!$Q$5:$Q$3004,ENSAYOS!$C$5:$C$3004,F824,ENSAYOS!$Q$5:$Q$3004,"&gt;0",ENSAYOS!$G$5:$G$3004,"&gt;="&amp;CONFIG!$B$27)))</f>
        <v/>
      </c>
      <c r="W824" s="18" t="str">
        <f aca="false">IF(AND(U824&lt;&gt;"",V824&lt;&gt;""),U824/V824,"")</f>
        <v/>
      </c>
      <c r="X824" s="18" t="str">
        <f aca="false">IF(U824="","",INDEX('CURVA EDAD'!$E$5:$E$32,MIN(28,MAX(1,N824))))</f>
        <v/>
      </c>
      <c r="Y824" s="16" t="str">
        <f aca="false">IF(V824&lt;&gt;"",V824,IF(U824="","",U824/X824))</f>
        <v/>
      </c>
      <c r="Z824" s="16" t="str">
        <f aca="false">IF(V824&lt;&gt;"",_xlfn.MINIFS(ENSAYOS!$Q$5:$Q$3004,ENSAYOS!$C$5:$C$3004,F824,ENSAYOS!$Q$5:$Q$3004,"&gt;0",ENSAYOS!$G$5:$G$3004,"&gt;="&amp;CONFIG!$B$27),IF(U824="","",_xlfn.MINIFS(ENSAYOS!$Q$5:$Q$3004,ENSAYOS!$C$5:$C$3004,F824,ENSAYOS!$Q$5:$Q$3004,"&gt;0",ENSAYOS!$G$5:$G$3004,N824)/X824))</f>
        <v/>
      </c>
      <c r="AA824" s="16" t="str">
        <f aca="false">IF(D824="","",IFERROR(1/(1/INDEX(CONFIG!$J$5:$J$14,MATCH(D824,CONFIG!$D$5:$D$14,0))),""))</f>
        <v/>
      </c>
      <c r="AB824" s="16" t="str">
        <f aca="false">IF(D824="","",IFERROR(1/(1/INDEX(CONFIG!$K$5:$K$14,MATCH(D824,CONFIG!$D$5:$D$14,0))),""))</f>
        <v/>
      </c>
      <c r="AC824" s="19" t="str">
        <f aca="false">IF(N(M824)=0,"",IF(AA824="","Sin spec",IF(AND(Y824&gt;=AA824,OR(AB824="",Z824&gt;=AB824)),"CUMPLE","NO CUMPLE")&amp;IF(V824=""," (est.)","")))</f>
        <v/>
      </c>
      <c r="AD824" s="20" t="str">
        <f aca="false">IF(F824="","",IF(COUNTIFS(ABSORCION!$C$5:$C$1004,F824,ABSORCION!$I$5:$I$1004,"&gt;0")=0,"",AVERAGEIFS(ABSORCION!$I$5:$I$1004,ABSORCION!$C$5:$C$1004,F824,ABSORCION!$I$5:$I$1004,"&gt;0")))</f>
        <v/>
      </c>
      <c r="AE824" s="20" t="str">
        <f aca="false">IF(F824="","",IF(COUNTIFS(ABSORCION!$C$5:$C$1004,F824,ABSORCION!$I$5:$I$1004,"&gt;0")=0,"",AVERAGEIFS(ABSORCION!$K$5:$K$1004,ABSORCION!$C$5:$C$1004,F824,ABSORCION!$I$5:$I$1004,"&gt;0")))</f>
        <v/>
      </c>
      <c r="AF824" s="20" t="str">
        <f aca="false">IF(AE824="","",IF(AE824&gt;=CONFIG!$E$21,CONFIG!$F$21,IF(AE824&gt;=CONFIG!$E$20,CONFIG!$F$20,CONFIG!$F$19)))</f>
        <v/>
      </c>
      <c r="AG824" s="21" t="str">
        <f aca="false">IF(F824="","",TRIM(IF(N(M824)=0,"Sin ensayos. ","")&amp;IF(AND(N(M824)&gt;0,N(M824)&lt;CONFIG!$B$26),"Menos de "&amp;CONFIG!$B$26&amp;" probetas. ","")&amp;IF(N(T824)&gt;CONFIG!$B$25,"CV alto. ","")&amp;IF(AND(N(AD824)&gt;0,N(AD824)&gt;N(AF824)),"Absorción alta. ","")))</f>
        <v/>
      </c>
      <c r="AH824" s="22" t="str">
        <f aca="false">IF(AND(N(M824)&gt;0,OR(CONTROL!$C$4="TODAS",C824=CONTROL!$C$4),D824=CONTROL!$C$5),MAX($AH$4:AH823)+1,"")</f>
        <v/>
      </c>
      <c r="AI824" s="22" t="str">
        <f aca="false">IF(AH824="","",P824^2)</f>
        <v/>
      </c>
    </row>
    <row r="825" customFormat="false" ht="15" hidden="false" customHeight="false" outlineLevel="0" collapsed="false">
      <c r="A825" s="11" t="str">
        <f aca="false">IF(B825="","",ROW()-4)</f>
        <v/>
      </c>
      <c r="B825" s="12"/>
      <c r="C825" s="13"/>
      <c r="D825" s="13"/>
      <c r="E825" s="13"/>
      <c r="F825" s="14" t="str">
        <f aca="false">IF(OR(B825="",C825="",D825=""),"",IFERROR(INDEX(CONFIG!$E$5:$E$14,MATCH(D825,CONFIG!$D$5:$D$14,0)),"?")&amp;RIGHT("0"&amp;DAY(B825),2)&amp;RIGHT("0"&amp;MONTH(B825),2)&amp;RIGHT(YEAR(B825),2)&amp;C825&amp;IF(E825="","","-"&amp;E825))</f>
        <v/>
      </c>
      <c r="G825" s="13"/>
      <c r="H825" s="13"/>
      <c r="I825" s="13"/>
      <c r="J825" s="13"/>
      <c r="K825" s="13"/>
      <c r="L825" s="13"/>
      <c r="M825" s="11" t="str">
        <f aca="false">IF(F825="","",COUNTIFS(ENSAYOS!$C$5:$C$3004,F825,ENSAYOS!$Q$5:$Q$3004,"&gt;0"))</f>
        <v/>
      </c>
      <c r="N825" s="15" t="str">
        <f aca="false">IF(N(M825)=0,"",_xlfn.MINIFS(ENSAYOS!$G$5:$G$3004,ENSAYOS!$C$5:$C$3004,F825,ENSAYOS!$Q$5:$Q$3004,"&gt;0"))</f>
        <v/>
      </c>
      <c r="O825" s="15" t="str">
        <f aca="false">IF(N(M825)=0,"",_xlfn.MAXIFS(ENSAYOS!$G$5:$G$3004,ENSAYOS!$C$5:$C$3004,F825,ENSAYOS!$Q$5:$Q$3004,"&gt;0"))</f>
        <v/>
      </c>
      <c r="P825" s="16" t="str">
        <f aca="false">IF(N(M825)=0,"",AVERAGEIFS(ENSAYOS!$Q$5:$Q$3004,ENSAYOS!$C$5:$C$3004,F825,ENSAYOS!$Q$5:$Q$3004,"&gt;0"))</f>
        <v/>
      </c>
      <c r="Q825" s="16" t="str">
        <f aca="false">IF(N(M825)=0,"",_xlfn.MINIFS(ENSAYOS!$Q$5:$Q$3004,ENSAYOS!$C$5:$C$3004,F825,ENSAYOS!$Q$5:$Q$3004,"&gt;0"))</f>
        <v/>
      </c>
      <c r="R825" s="16" t="str">
        <f aca="false">IF(N(M825)=0,"",_xlfn.MAXIFS(ENSAYOS!$Q$5:$Q$3004,ENSAYOS!$C$5:$C$3004,F825,ENSAYOS!$Q$5:$Q$3004,"&gt;0"))</f>
        <v/>
      </c>
      <c r="S825" s="16" t="str">
        <f aca="false">IF(N(M825)&lt;2,"",SQRT(MAX(0,(SUMIFS(ENSAYOS!$X$5:$X$3004,ENSAYOS!$C$5:$C$3004,F825,ENSAYOS!$Q$5:$Q$3004,"&gt;0")-M825*P825^2)/(M825-1))))</f>
        <v/>
      </c>
      <c r="T825" s="17" t="str">
        <f aca="false">IF(S825="","",S825/P825)</f>
        <v/>
      </c>
      <c r="U825" s="16" t="str">
        <f aca="false">IF(N(M825)=0,"",IF(N825&gt;=CONFIG!$B$27,"",AVERAGEIFS(ENSAYOS!$Q$5:$Q$3004,ENSAYOS!$C$5:$C$3004,F825,ENSAYOS!$Q$5:$Q$3004,"&gt;0",ENSAYOS!$G$5:$G$3004,N825)))</f>
        <v/>
      </c>
      <c r="V825" s="16" t="str">
        <f aca="false">IF(N(M825)=0,"",IF(COUNTIFS(ENSAYOS!$C$5:$C$3004,F825,ENSAYOS!$Q$5:$Q$3004,"&gt;0",ENSAYOS!$G$5:$G$3004,"&gt;="&amp;CONFIG!$B$27)=0,"",AVERAGEIFS(ENSAYOS!$Q$5:$Q$3004,ENSAYOS!$C$5:$C$3004,F825,ENSAYOS!$Q$5:$Q$3004,"&gt;0",ENSAYOS!$G$5:$G$3004,"&gt;="&amp;CONFIG!$B$27)))</f>
        <v/>
      </c>
      <c r="W825" s="18" t="str">
        <f aca="false">IF(AND(U825&lt;&gt;"",V825&lt;&gt;""),U825/V825,"")</f>
        <v/>
      </c>
      <c r="X825" s="18" t="str">
        <f aca="false">IF(U825="","",INDEX('CURVA EDAD'!$E$5:$E$32,MIN(28,MAX(1,N825))))</f>
        <v/>
      </c>
      <c r="Y825" s="16" t="str">
        <f aca="false">IF(V825&lt;&gt;"",V825,IF(U825="","",U825/X825))</f>
        <v/>
      </c>
      <c r="Z825" s="16" t="str">
        <f aca="false">IF(V825&lt;&gt;"",_xlfn.MINIFS(ENSAYOS!$Q$5:$Q$3004,ENSAYOS!$C$5:$C$3004,F825,ENSAYOS!$Q$5:$Q$3004,"&gt;0",ENSAYOS!$G$5:$G$3004,"&gt;="&amp;CONFIG!$B$27),IF(U825="","",_xlfn.MINIFS(ENSAYOS!$Q$5:$Q$3004,ENSAYOS!$C$5:$C$3004,F825,ENSAYOS!$Q$5:$Q$3004,"&gt;0",ENSAYOS!$G$5:$G$3004,N825)/X825))</f>
        <v/>
      </c>
      <c r="AA825" s="16" t="str">
        <f aca="false">IF(D825="","",IFERROR(1/(1/INDEX(CONFIG!$J$5:$J$14,MATCH(D825,CONFIG!$D$5:$D$14,0))),""))</f>
        <v/>
      </c>
      <c r="AB825" s="16" t="str">
        <f aca="false">IF(D825="","",IFERROR(1/(1/INDEX(CONFIG!$K$5:$K$14,MATCH(D825,CONFIG!$D$5:$D$14,0))),""))</f>
        <v/>
      </c>
      <c r="AC825" s="19" t="str">
        <f aca="false">IF(N(M825)=0,"",IF(AA825="","Sin spec",IF(AND(Y825&gt;=AA825,OR(AB825="",Z825&gt;=AB825)),"CUMPLE","NO CUMPLE")&amp;IF(V825=""," (est.)","")))</f>
        <v/>
      </c>
      <c r="AD825" s="20" t="str">
        <f aca="false">IF(F825="","",IF(COUNTIFS(ABSORCION!$C$5:$C$1004,F825,ABSORCION!$I$5:$I$1004,"&gt;0")=0,"",AVERAGEIFS(ABSORCION!$I$5:$I$1004,ABSORCION!$C$5:$C$1004,F825,ABSORCION!$I$5:$I$1004,"&gt;0")))</f>
        <v/>
      </c>
      <c r="AE825" s="20" t="str">
        <f aca="false">IF(F825="","",IF(COUNTIFS(ABSORCION!$C$5:$C$1004,F825,ABSORCION!$I$5:$I$1004,"&gt;0")=0,"",AVERAGEIFS(ABSORCION!$K$5:$K$1004,ABSORCION!$C$5:$C$1004,F825,ABSORCION!$I$5:$I$1004,"&gt;0")))</f>
        <v/>
      </c>
      <c r="AF825" s="20" t="str">
        <f aca="false">IF(AE825="","",IF(AE825&gt;=CONFIG!$E$21,CONFIG!$F$21,IF(AE825&gt;=CONFIG!$E$20,CONFIG!$F$20,CONFIG!$F$19)))</f>
        <v/>
      </c>
      <c r="AG825" s="21" t="str">
        <f aca="false">IF(F825="","",TRIM(IF(N(M825)=0,"Sin ensayos. ","")&amp;IF(AND(N(M825)&gt;0,N(M825)&lt;CONFIG!$B$26),"Menos de "&amp;CONFIG!$B$26&amp;" probetas. ","")&amp;IF(N(T825)&gt;CONFIG!$B$25,"CV alto. ","")&amp;IF(AND(N(AD825)&gt;0,N(AD825)&gt;N(AF825)),"Absorción alta. ","")))</f>
        <v/>
      </c>
      <c r="AH825" s="22" t="str">
        <f aca="false">IF(AND(N(M825)&gt;0,OR(CONTROL!$C$4="TODAS",C825=CONTROL!$C$4),D825=CONTROL!$C$5),MAX($AH$4:AH824)+1,"")</f>
        <v/>
      </c>
      <c r="AI825" s="22" t="str">
        <f aca="false">IF(AH825="","",P825^2)</f>
        <v/>
      </c>
    </row>
    <row r="826" customFormat="false" ht="15" hidden="false" customHeight="false" outlineLevel="0" collapsed="false">
      <c r="A826" s="11" t="str">
        <f aca="false">IF(B826="","",ROW()-4)</f>
        <v/>
      </c>
      <c r="B826" s="12"/>
      <c r="C826" s="13"/>
      <c r="D826" s="13"/>
      <c r="E826" s="13"/>
      <c r="F826" s="14" t="str">
        <f aca="false">IF(OR(B826="",C826="",D826=""),"",IFERROR(INDEX(CONFIG!$E$5:$E$14,MATCH(D826,CONFIG!$D$5:$D$14,0)),"?")&amp;RIGHT("0"&amp;DAY(B826),2)&amp;RIGHT("0"&amp;MONTH(B826),2)&amp;RIGHT(YEAR(B826),2)&amp;C826&amp;IF(E826="","","-"&amp;E826))</f>
        <v/>
      </c>
      <c r="G826" s="13"/>
      <c r="H826" s="13"/>
      <c r="I826" s="13"/>
      <c r="J826" s="13"/>
      <c r="K826" s="13"/>
      <c r="L826" s="13"/>
      <c r="M826" s="11" t="str">
        <f aca="false">IF(F826="","",COUNTIFS(ENSAYOS!$C$5:$C$3004,F826,ENSAYOS!$Q$5:$Q$3004,"&gt;0"))</f>
        <v/>
      </c>
      <c r="N826" s="15" t="str">
        <f aca="false">IF(N(M826)=0,"",_xlfn.MINIFS(ENSAYOS!$G$5:$G$3004,ENSAYOS!$C$5:$C$3004,F826,ENSAYOS!$Q$5:$Q$3004,"&gt;0"))</f>
        <v/>
      </c>
      <c r="O826" s="15" t="str">
        <f aca="false">IF(N(M826)=0,"",_xlfn.MAXIFS(ENSAYOS!$G$5:$G$3004,ENSAYOS!$C$5:$C$3004,F826,ENSAYOS!$Q$5:$Q$3004,"&gt;0"))</f>
        <v/>
      </c>
      <c r="P826" s="16" t="str">
        <f aca="false">IF(N(M826)=0,"",AVERAGEIFS(ENSAYOS!$Q$5:$Q$3004,ENSAYOS!$C$5:$C$3004,F826,ENSAYOS!$Q$5:$Q$3004,"&gt;0"))</f>
        <v/>
      </c>
      <c r="Q826" s="16" t="str">
        <f aca="false">IF(N(M826)=0,"",_xlfn.MINIFS(ENSAYOS!$Q$5:$Q$3004,ENSAYOS!$C$5:$C$3004,F826,ENSAYOS!$Q$5:$Q$3004,"&gt;0"))</f>
        <v/>
      </c>
      <c r="R826" s="16" t="str">
        <f aca="false">IF(N(M826)=0,"",_xlfn.MAXIFS(ENSAYOS!$Q$5:$Q$3004,ENSAYOS!$C$5:$C$3004,F826,ENSAYOS!$Q$5:$Q$3004,"&gt;0"))</f>
        <v/>
      </c>
      <c r="S826" s="16" t="str">
        <f aca="false">IF(N(M826)&lt;2,"",SQRT(MAX(0,(SUMIFS(ENSAYOS!$X$5:$X$3004,ENSAYOS!$C$5:$C$3004,F826,ENSAYOS!$Q$5:$Q$3004,"&gt;0")-M826*P826^2)/(M826-1))))</f>
        <v/>
      </c>
      <c r="T826" s="17" t="str">
        <f aca="false">IF(S826="","",S826/P826)</f>
        <v/>
      </c>
      <c r="U826" s="16" t="str">
        <f aca="false">IF(N(M826)=0,"",IF(N826&gt;=CONFIG!$B$27,"",AVERAGEIFS(ENSAYOS!$Q$5:$Q$3004,ENSAYOS!$C$5:$C$3004,F826,ENSAYOS!$Q$5:$Q$3004,"&gt;0",ENSAYOS!$G$5:$G$3004,N826)))</f>
        <v/>
      </c>
      <c r="V826" s="16" t="str">
        <f aca="false">IF(N(M826)=0,"",IF(COUNTIFS(ENSAYOS!$C$5:$C$3004,F826,ENSAYOS!$Q$5:$Q$3004,"&gt;0",ENSAYOS!$G$5:$G$3004,"&gt;="&amp;CONFIG!$B$27)=0,"",AVERAGEIFS(ENSAYOS!$Q$5:$Q$3004,ENSAYOS!$C$5:$C$3004,F826,ENSAYOS!$Q$5:$Q$3004,"&gt;0",ENSAYOS!$G$5:$G$3004,"&gt;="&amp;CONFIG!$B$27)))</f>
        <v/>
      </c>
      <c r="W826" s="18" t="str">
        <f aca="false">IF(AND(U826&lt;&gt;"",V826&lt;&gt;""),U826/V826,"")</f>
        <v/>
      </c>
      <c r="X826" s="18" t="str">
        <f aca="false">IF(U826="","",INDEX('CURVA EDAD'!$E$5:$E$32,MIN(28,MAX(1,N826))))</f>
        <v/>
      </c>
      <c r="Y826" s="16" t="str">
        <f aca="false">IF(V826&lt;&gt;"",V826,IF(U826="","",U826/X826))</f>
        <v/>
      </c>
      <c r="Z826" s="16" t="str">
        <f aca="false">IF(V826&lt;&gt;"",_xlfn.MINIFS(ENSAYOS!$Q$5:$Q$3004,ENSAYOS!$C$5:$C$3004,F826,ENSAYOS!$Q$5:$Q$3004,"&gt;0",ENSAYOS!$G$5:$G$3004,"&gt;="&amp;CONFIG!$B$27),IF(U826="","",_xlfn.MINIFS(ENSAYOS!$Q$5:$Q$3004,ENSAYOS!$C$5:$C$3004,F826,ENSAYOS!$Q$5:$Q$3004,"&gt;0",ENSAYOS!$G$5:$G$3004,N826)/X826))</f>
        <v/>
      </c>
      <c r="AA826" s="16" t="str">
        <f aca="false">IF(D826="","",IFERROR(1/(1/INDEX(CONFIG!$J$5:$J$14,MATCH(D826,CONFIG!$D$5:$D$14,0))),""))</f>
        <v/>
      </c>
      <c r="AB826" s="16" t="str">
        <f aca="false">IF(D826="","",IFERROR(1/(1/INDEX(CONFIG!$K$5:$K$14,MATCH(D826,CONFIG!$D$5:$D$14,0))),""))</f>
        <v/>
      </c>
      <c r="AC826" s="19" t="str">
        <f aca="false">IF(N(M826)=0,"",IF(AA826="","Sin spec",IF(AND(Y826&gt;=AA826,OR(AB826="",Z826&gt;=AB826)),"CUMPLE","NO CUMPLE")&amp;IF(V826=""," (est.)","")))</f>
        <v/>
      </c>
      <c r="AD826" s="20" t="str">
        <f aca="false">IF(F826="","",IF(COUNTIFS(ABSORCION!$C$5:$C$1004,F826,ABSORCION!$I$5:$I$1004,"&gt;0")=0,"",AVERAGEIFS(ABSORCION!$I$5:$I$1004,ABSORCION!$C$5:$C$1004,F826,ABSORCION!$I$5:$I$1004,"&gt;0")))</f>
        <v/>
      </c>
      <c r="AE826" s="20" t="str">
        <f aca="false">IF(F826="","",IF(COUNTIFS(ABSORCION!$C$5:$C$1004,F826,ABSORCION!$I$5:$I$1004,"&gt;0")=0,"",AVERAGEIFS(ABSORCION!$K$5:$K$1004,ABSORCION!$C$5:$C$1004,F826,ABSORCION!$I$5:$I$1004,"&gt;0")))</f>
        <v/>
      </c>
      <c r="AF826" s="20" t="str">
        <f aca="false">IF(AE826="","",IF(AE826&gt;=CONFIG!$E$21,CONFIG!$F$21,IF(AE826&gt;=CONFIG!$E$20,CONFIG!$F$20,CONFIG!$F$19)))</f>
        <v/>
      </c>
      <c r="AG826" s="21" t="str">
        <f aca="false">IF(F826="","",TRIM(IF(N(M826)=0,"Sin ensayos. ","")&amp;IF(AND(N(M826)&gt;0,N(M826)&lt;CONFIG!$B$26),"Menos de "&amp;CONFIG!$B$26&amp;" probetas. ","")&amp;IF(N(T826)&gt;CONFIG!$B$25,"CV alto. ","")&amp;IF(AND(N(AD826)&gt;0,N(AD826)&gt;N(AF826)),"Absorción alta. ","")))</f>
        <v/>
      </c>
      <c r="AH826" s="22" t="str">
        <f aca="false">IF(AND(N(M826)&gt;0,OR(CONTROL!$C$4="TODAS",C826=CONTROL!$C$4),D826=CONTROL!$C$5),MAX($AH$4:AH825)+1,"")</f>
        <v/>
      </c>
      <c r="AI826" s="22" t="str">
        <f aca="false">IF(AH826="","",P826^2)</f>
        <v/>
      </c>
    </row>
    <row r="827" customFormat="false" ht="15" hidden="false" customHeight="false" outlineLevel="0" collapsed="false">
      <c r="A827" s="11" t="str">
        <f aca="false">IF(B827="","",ROW()-4)</f>
        <v/>
      </c>
      <c r="B827" s="12"/>
      <c r="C827" s="13"/>
      <c r="D827" s="13"/>
      <c r="E827" s="13"/>
      <c r="F827" s="14" t="str">
        <f aca="false">IF(OR(B827="",C827="",D827=""),"",IFERROR(INDEX(CONFIG!$E$5:$E$14,MATCH(D827,CONFIG!$D$5:$D$14,0)),"?")&amp;RIGHT("0"&amp;DAY(B827),2)&amp;RIGHT("0"&amp;MONTH(B827),2)&amp;RIGHT(YEAR(B827),2)&amp;C827&amp;IF(E827="","","-"&amp;E827))</f>
        <v/>
      </c>
      <c r="G827" s="13"/>
      <c r="H827" s="13"/>
      <c r="I827" s="13"/>
      <c r="J827" s="13"/>
      <c r="K827" s="13"/>
      <c r="L827" s="13"/>
      <c r="M827" s="11" t="str">
        <f aca="false">IF(F827="","",COUNTIFS(ENSAYOS!$C$5:$C$3004,F827,ENSAYOS!$Q$5:$Q$3004,"&gt;0"))</f>
        <v/>
      </c>
      <c r="N827" s="15" t="str">
        <f aca="false">IF(N(M827)=0,"",_xlfn.MINIFS(ENSAYOS!$G$5:$G$3004,ENSAYOS!$C$5:$C$3004,F827,ENSAYOS!$Q$5:$Q$3004,"&gt;0"))</f>
        <v/>
      </c>
      <c r="O827" s="15" t="str">
        <f aca="false">IF(N(M827)=0,"",_xlfn.MAXIFS(ENSAYOS!$G$5:$G$3004,ENSAYOS!$C$5:$C$3004,F827,ENSAYOS!$Q$5:$Q$3004,"&gt;0"))</f>
        <v/>
      </c>
      <c r="P827" s="16" t="str">
        <f aca="false">IF(N(M827)=0,"",AVERAGEIFS(ENSAYOS!$Q$5:$Q$3004,ENSAYOS!$C$5:$C$3004,F827,ENSAYOS!$Q$5:$Q$3004,"&gt;0"))</f>
        <v/>
      </c>
      <c r="Q827" s="16" t="str">
        <f aca="false">IF(N(M827)=0,"",_xlfn.MINIFS(ENSAYOS!$Q$5:$Q$3004,ENSAYOS!$C$5:$C$3004,F827,ENSAYOS!$Q$5:$Q$3004,"&gt;0"))</f>
        <v/>
      </c>
      <c r="R827" s="16" t="str">
        <f aca="false">IF(N(M827)=0,"",_xlfn.MAXIFS(ENSAYOS!$Q$5:$Q$3004,ENSAYOS!$C$5:$C$3004,F827,ENSAYOS!$Q$5:$Q$3004,"&gt;0"))</f>
        <v/>
      </c>
      <c r="S827" s="16" t="str">
        <f aca="false">IF(N(M827)&lt;2,"",SQRT(MAX(0,(SUMIFS(ENSAYOS!$X$5:$X$3004,ENSAYOS!$C$5:$C$3004,F827,ENSAYOS!$Q$5:$Q$3004,"&gt;0")-M827*P827^2)/(M827-1))))</f>
        <v/>
      </c>
      <c r="T827" s="17" t="str">
        <f aca="false">IF(S827="","",S827/P827)</f>
        <v/>
      </c>
      <c r="U827" s="16" t="str">
        <f aca="false">IF(N(M827)=0,"",IF(N827&gt;=CONFIG!$B$27,"",AVERAGEIFS(ENSAYOS!$Q$5:$Q$3004,ENSAYOS!$C$5:$C$3004,F827,ENSAYOS!$Q$5:$Q$3004,"&gt;0",ENSAYOS!$G$5:$G$3004,N827)))</f>
        <v/>
      </c>
      <c r="V827" s="16" t="str">
        <f aca="false">IF(N(M827)=0,"",IF(COUNTIFS(ENSAYOS!$C$5:$C$3004,F827,ENSAYOS!$Q$5:$Q$3004,"&gt;0",ENSAYOS!$G$5:$G$3004,"&gt;="&amp;CONFIG!$B$27)=0,"",AVERAGEIFS(ENSAYOS!$Q$5:$Q$3004,ENSAYOS!$C$5:$C$3004,F827,ENSAYOS!$Q$5:$Q$3004,"&gt;0",ENSAYOS!$G$5:$G$3004,"&gt;="&amp;CONFIG!$B$27)))</f>
        <v/>
      </c>
      <c r="W827" s="18" t="str">
        <f aca="false">IF(AND(U827&lt;&gt;"",V827&lt;&gt;""),U827/V827,"")</f>
        <v/>
      </c>
      <c r="X827" s="18" t="str">
        <f aca="false">IF(U827="","",INDEX('CURVA EDAD'!$E$5:$E$32,MIN(28,MAX(1,N827))))</f>
        <v/>
      </c>
      <c r="Y827" s="16" t="str">
        <f aca="false">IF(V827&lt;&gt;"",V827,IF(U827="","",U827/X827))</f>
        <v/>
      </c>
      <c r="Z827" s="16" t="str">
        <f aca="false">IF(V827&lt;&gt;"",_xlfn.MINIFS(ENSAYOS!$Q$5:$Q$3004,ENSAYOS!$C$5:$C$3004,F827,ENSAYOS!$Q$5:$Q$3004,"&gt;0",ENSAYOS!$G$5:$G$3004,"&gt;="&amp;CONFIG!$B$27),IF(U827="","",_xlfn.MINIFS(ENSAYOS!$Q$5:$Q$3004,ENSAYOS!$C$5:$C$3004,F827,ENSAYOS!$Q$5:$Q$3004,"&gt;0",ENSAYOS!$G$5:$G$3004,N827)/X827))</f>
        <v/>
      </c>
      <c r="AA827" s="16" t="str">
        <f aca="false">IF(D827="","",IFERROR(1/(1/INDEX(CONFIG!$J$5:$J$14,MATCH(D827,CONFIG!$D$5:$D$14,0))),""))</f>
        <v/>
      </c>
      <c r="AB827" s="16" t="str">
        <f aca="false">IF(D827="","",IFERROR(1/(1/INDEX(CONFIG!$K$5:$K$14,MATCH(D827,CONFIG!$D$5:$D$14,0))),""))</f>
        <v/>
      </c>
      <c r="AC827" s="19" t="str">
        <f aca="false">IF(N(M827)=0,"",IF(AA827="","Sin spec",IF(AND(Y827&gt;=AA827,OR(AB827="",Z827&gt;=AB827)),"CUMPLE","NO CUMPLE")&amp;IF(V827=""," (est.)","")))</f>
        <v/>
      </c>
      <c r="AD827" s="20" t="str">
        <f aca="false">IF(F827="","",IF(COUNTIFS(ABSORCION!$C$5:$C$1004,F827,ABSORCION!$I$5:$I$1004,"&gt;0")=0,"",AVERAGEIFS(ABSORCION!$I$5:$I$1004,ABSORCION!$C$5:$C$1004,F827,ABSORCION!$I$5:$I$1004,"&gt;0")))</f>
        <v/>
      </c>
      <c r="AE827" s="20" t="str">
        <f aca="false">IF(F827="","",IF(COUNTIFS(ABSORCION!$C$5:$C$1004,F827,ABSORCION!$I$5:$I$1004,"&gt;0")=0,"",AVERAGEIFS(ABSORCION!$K$5:$K$1004,ABSORCION!$C$5:$C$1004,F827,ABSORCION!$I$5:$I$1004,"&gt;0")))</f>
        <v/>
      </c>
      <c r="AF827" s="20" t="str">
        <f aca="false">IF(AE827="","",IF(AE827&gt;=CONFIG!$E$21,CONFIG!$F$21,IF(AE827&gt;=CONFIG!$E$20,CONFIG!$F$20,CONFIG!$F$19)))</f>
        <v/>
      </c>
      <c r="AG827" s="21" t="str">
        <f aca="false">IF(F827="","",TRIM(IF(N(M827)=0,"Sin ensayos. ","")&amp;IF(AND(N(M827)&gt;0,N(M827)&lt;CONFIG!$B$26),"Menos de "&amp;CONFIG!$B$26&amp;" probetas. ","")&amp;IF(N(T827)&gt;CONFIG!$B$25,"CV alto. ","")&amp;IF(AND(N(AD827)&gt;0,N(AD827)&gt;N(AF827)),"Absorción alta. ","")))</f>
        <v/>
      </c>
      <c r="AH827" s="22" t="str">
        <f aca="false">IF(AND(N(M827)&gt;0,OR(CONTROL!$C$4="TODAS",C827=CONTROL!$C$4),D827=CONTROL!$C$5),MAX($AH$4:AH826)+1,"")</f>
        <v/>
      </c>
      <c r="AI827" s="22" t="str">
        <f aca="false">IF(AH827="","",P827^2)</f>
        <v/>
      </c>
    </row>
    <row r="828" customFormat="false" ht="15" hidden="false" customHeight="false" outlineLevel="0" collapsed="false">
      <c r="A828" s="11" t="str">
        <f aca="false">IF(B828="","",ROW()-4)</f>
        <v/>
      </c>
      <c r="B828" s="12"/>
      <c r="C828" s="13"/>
      <c r="D828" s="13"/>
      <c r="E828" s="13"/>
      <c r="F828" s="14" t="str">
        <f aca="false">IF(OR(B828="",C828="",D828=""),"",IFERROR(INDEX(CONFIG!$E$5:$E$14,MATCH(D828,CONFIG!$D$5:$D$14,0)),"?")&amp;RIGHT("0"&amp;DAY(B828),2)&amp;RIGHT("0"&amp;MONTH(B828),2)&amp;RIGHT(YEAR(B828),2)&amp;C828&amp;IF(E828="","","-"&amp;E828))</f>
        <v/>
      </c>
      <c r="G828" s="13"/>
      <c r="H828" s="13"/>
      <c r="I828" s="13"/>
      <c r="J828" s="13"/>
      <c r="K828" s="13"/>
      <c r="L828" s="13"/>
      <c r="M828" s="11" t="str">
        <f aca="false">IF(F828="","",COUNTIFS(ENSAYOS!$C$5:$C$3004,F828,ENSAYOS!$Q$5:$Q$3004,"&gt;0"))</f>
        <v/>
      </c>
      <c r="N828" s="15" t="str">
        <f aca="false">IF(N(M828)=0,"",_xlfn.MINIFS(ENSAYOS!$G$5:$G$3004,ENSAYOS!$C$5:$C$3004,F828,ENSAYOS!$Q$5:$Q$3004,"&gt;0"))</f>
        <v/>
      </c>
      <c r="O828" s="15" t="str">
        <f aca="false">IF(N(M828)=0,"",_xlfn.MAXIFS(ENSAYOS!$G$5:$G$3004,ENSAYOS!$C$5:$C$3004,F828,ENSAYOS!$Q$5:$Q$3004,"&gt;0"))</f>
        <v/>
      </c>
      <c r="P828" s="16" t="str">
        <f aca="false">IF(N(M828)=0,"",AVERAGEIFS(ENSAYOS!$Q$5:$Q$3004,ENSAYOS!$C$5:$C$3004,F828,ENSAYOS!$Q$5:$Q$3004,"&gt;0"))</f>
        <v/>
      </c>
      <c r="Q828" s="16" t="str">
        <f aca="false">IF(N(M828)=0,"",_xlfn.MINIFS(ENSAYOS!$Q$5:$Q$3004,ENSAYOS!$C$5:$C$3004,F828,ENSAYOS!$Q$5:$Q$3004,"&gt;0"))</f>
        <v/>
      </c>
      <c r="R828" s="16" t="str">
        <f aca="false">IF(N(M828)=0,"",_xlfn.MAXIFS(ENSAYOS!$Q$5:$Q$3004,ENSAYOS!$C$5:$C$3004,F828,ENSAYOS!$Q$5:$Q$3004,"&gt;0"))</f>
        <v/>
      </c>
      <c r="S828" s="16" t="str">
        <f aca="false">IF(N(M828)&lt;2,"",SQRT(MAX(0,(SUMIFS(ENSAYOS!$X$5:$X$3004,ENSAYOS!$C$5:$C$3004,F828,ENSAYOS!$Q$5:$Q$3004,"&gt;0")-M828*P828^2)/(M828-1))))</f>
        <v/>
      </c>
      <c r="T828" s="17" t="str">
        <f aca="false">IF(S828="","",S828/P828)</f>
        <v/>
      </c>
      <c r="U828" s="16" t="str">
        <f aca="false">IF(N(M828)=0,"",IF(N828&gt;=CONFIG!$B$27,"",AVERAGEIFS(ENSAYOS!$Q$5:$Q$3004,ENSAYOS!$C$5:$C$3004,F828,ENSAYOS!$Q$5:$Q$3004,"&gt;0",ENSAYOS!$G$5:$G$3004,N828)))</f>
        <v/>
      </c>
      <c r="V828" s="16" t="str">
        <f aca="false">IF(N(M828)=0,"",IF(COUNTIFS(ENSAYOS!$C$5:$C$3004,F828,ENSAYOS!$Q$5:$Q$3004,"&gt;0",ENSAYOS!$G$5:$G$3004,"&gt;="&amp;CONFIG!$B$27)=0,"",AVERAGEIFS(ENSAYOS!$Q$5:$Q$3004,ENSAYOS!$C$5:$C$3004,F828,ENSAYOS!$Q$5:$Q$3004,"&gt;0",ENSAYOS!$G$5:$G$3004,"&gt;="&amp;CONFIG!$B$27)))</f>
        <v/>
      </c>
      <c r="W828" s="18" t="str">
        <f aca="false">IF(AND(U828&lt;&gt;"",V828&lt;&gt;""),U828/V828,"")</f>
        <v/>
      </c>
      <c r="X828" s="18" t="str">
        <f aca="false">IF(U828="","",INDEX('CURVA EDAD'!$E$5:$E$32,MIN(28,MAX(1,N828))))</f>
        <v/>
      </c>
      <c r="Y828" s="16" t="str">
        <f aca="false">IF(V828&lt;&gt;"",V828,IF(U828="","",U828/X828))</f>
        <v/>
      </c>
      <c r="Z828" s="16" t="str">
        <f aca="false">IF(V828&lt;&gt;"",_xlfn.MINIFS(ENSAYOS!$Q$5:$Q$3004,ENSAYOS!$C$5:$C$3004,F828,ENSAYOS!$Q$5:$Q$3004,"&gt;0",ENSAYOS!$G$5:$G$3004,"&gt;="&amp;CONFIG!$B$27),IF(U828="","",_xlfn.MINIFS(ENSAYOS!$Q$5:$Q$3004,ENSAYOS!$C$5:$C$3004,F828,ENSAYOS!$Q$5:$Q$3004,"&gt;0",ENSAYOS!$G$5:$G$3004,N828)/X828))</f>
        <v/>
      </c>
      <c r="AA828" s="16" t="str">
        <f aca="false">IF(D828="","",IFERROR(1/(1/INDEX(CONFIG!$J$5:$J$14,MATCH(D828,CONFIG!$D$5:$D$14,0))),""))</f>
        <v/>
      </c>
      <c r="AB828" s="16" t="str">
        <f aca="false">IF(D828="","",IFERROR(1/(1/INDEX(CONFIG!$K$5:$K$14,MATCH(D828,CONFIG!$D$5:$D$14,0))),""))</f>
        <v/>
      </c>
      <c r="AC828" s="19" t="str">
        <f aca="false">IF(N(M828)=0,"",IF(AA828="","Sin spec",IF(AND(Y828&gt;=AA828,OR(AB828="",Z828&gt;=AB828)),"CUMPLE","NO CUMPLE")&amp;IF(V828=""," (est.)","")))</f>
        <v/>
      </c>
      <c r="AD828" s="20" t="str">
        <f aca="false">IF(F828="","",IF(COUNTIFS(ABSORCION!$C$5:$C$1004,F828,ABSORCION!$I$5:$I$1004,"&gt;0")=0,"",AVERAGEIFS(ABSORCION!$I$5:$I$1004,ABSORCION!$C$5:$C$1004,F828,ABSORCION!$I$5:$I$1004,"&gt;0")))</f>
        <v/>
      </c>
      <c r="AE828" s="20" t="str">
        <f aca="false">IF(F828="","",IF(COUNTIFS(ABSORCION!$C$5:$C$1004,F828,ABSORCION!$I$5:$I$1004,"&gt;0")=0,"",AVERAGEIFS(ABSORCION!$K$5:$K$1004,ABSORCION!$C$5:$C$1004,F828,ABSORCION!$I$5:$I$1004,"&gt;0")))</f>
        <v/>
      </c>
      <c r="AF828" s="20" t="str">
        <f aca="false">IF(AE828="","",IF(AE828&gt;=CONFIG!$E$21,CONFIG!$F$21,IF(AE828&gt;=CONFIG!$E$20,CONFIG!$F$20,CONFIG!$F$19)))</f>
        <v/>
      </c>
      <c r="AG828" s="21" t="str">
        <f aca="false">IF(F828="","",TRIM(IF(N(M828)=0,"Sin ensayos. ","")&amp;IF(AND(N(M828)&gt;0,N(M828)&lt;CONFIG!$B$26),"Menos de "&amp;CONFIG!$B$26&amp;" probetas. ","")&amp;IF(N(T828)&gt;CONFIG!$B$25,"CV alto. ","")&amp;IF(AND(N(AD828)&gt;0,N(AD828)&gt;N(AF828)),"Absorción alta. ","")))</f>
        <v/>
      </c>
      <c r="AH828" s="22" t="str">
        <f aca="false">IF(AND(N(M828)&gt;0,OR(CONTROL!$C$4="TODAS",C828=CONTROL!$C$4),D828=CONTROL!$C$5),MAX($AH$4:AH827)+1,"")</f>
        <v/>
      </c>
      <c r="AI828" s="22" t="str">
        <f aca="false">IF(AH828="","",P828^2)</f>
        <v/>
      </c>
    </row>
    <row r="829" customFormat="false" ht="15" hidden="false" customHeight="false" outlineLevel="0" collapsed="false">
      <c r="A829" s="11" t="str">
        <f aca="false">IF(B829="","",ROW()-4)</f>
        <v/>
      </c>
      <c r="B829" s="12"/>
      <c r="C829" s="13"/>
      <c r="D829" s="13"/>
      <c r="E829" s="13"/>
      <c r="F829" s="14" t="str">
        <f aca="false">IF(OR(B829="",C829="",D829=""),"",IFERROR(INDEX(CONFIG!$E$5:$E$14,MATCH(D829,CONFIG!$D$5:$D$14,0)),"?")&amp;RIGHT("0"&amp;DAY(B829),2)&amp;RIGHT("0"&amp;MONTH(B829),2)&amp;RIGHT(YEAR(B829),2)&amp;C829&amp;IF(E829="","","-"&amp;E829))</f>
        <v/>
      </c>
      <c r="G829" s="13"/>
      <c r="H829" s="13"/>
      <c r="I829" s="13"/>
      <c r="J829" s="13"/>
      <c r="K829" s="13"/>
      <c r="L829" s="13"/>
      <c r="M829" s="11" t="str">
        <f aca="false">IF(F829="","",COUNTIFS(ENSAYOS!$C$5:$C$3004,F829,ENSAYOS!$Q$5:$Q$3004,"&gt;0"))</f>
        <v/>
      </c>
      <c r="N829" s="15" t="str">
        <f aca="false">IF(N(M829)=0,"",_xlfn.MINIFS(ENSAYOS!$G$5:$G$3004,ENSAYOS!$C$5:$C$3004,F829,ENSAYOS!$Q$5:$Q$3004,"&gt;0"))</f>
        <v/>
      </c>
      <c r="O829" s="15" t="str">
        <f aca="false">IF(N(M829)=0,"",_xlfn.MAXIFS(ENSAYOS!$G$5:$G$3004,ENSAYOS!$C$5:$C$3004,F829,ENSAYOS!$Q$5:$Q$3004,"&gt;0"))</f>
        <v/>
      </c>
      <c r="P829" s="16" t="str">
        <f aca="false">IF(N(M829)=0,"",AVERAGEIFS(ENSAYOS!$Q$5:$Q$3004,ENSAYOS!$C$5:$C$3004,F829,ENSAYOS!$Q$5:$Q$3004,"&gt;0"))</f>
        <v/>
      </c>
      <c r="Q829" s="16" t="str">
        <f aca="false">IF(N(M829)=0,"",_xlfn.MINIFS(ENSAYOS!$Q$5:$Q$3004,ENSAYOS!$C$5:$C$3004,F829,ENSAYOS!$Q$5:$Q$3004,"&gt;0"))</f>
        <v/>
      </c>
      <c r="R829" s="16" t="str">
        <f aca="false">IF(N(M829)=0,"",_xlfn.MAXIFS(ENSAYOS!$Q$5:$Q$3004,ENSAYOS!$C$5:$C$3004,F829,ENSAYOS!$Q$5:$Q$3004,"&gt;0"))</f>
        <v/>
      </c>
      <c r="S829" s="16" t="str">
        <f aca="false">IF(N(M829)&lt;2,"",SQRT(MAX(0,(SUMIFS(ENSAYOS!$X$5:$X$3004,ENSAYOS!$C$5:$C$3004,F829,ENSAYOS!$Q$5:$Q$3004,"&gt;0")-M829*P829^2)/(M829-1))))</f>
        <v/>
      </c>
      <c r="T829" s="17" t="str">
        <f aca="false">IF(S829="","",S829/P829)</f>
        <v/>
      </c>
      <c r="U829" s="16" t="str">
        <f aca="false">IF(N(M829)=0,"",IF(N829&gt;=CONFIG!$B$27,"",AVERAGEIFS(ENSAYOS!$Q$5:$Q$3004,ENSAYOS!$C$5:$C$3004,F829,ENSAYOS!$Q$5:$Q$3004,"&gt;0",ENSAYOS!$G$5:$G$3004,N829)))</f>
        <v/>
      </c>
      <c r="V829" s="16" t="str">
        <f aca="false">IF(N(M829)=0,"",IF(COUNTIFS(ENSAYOS!$C$5:$C$3004,F829,ENSAYOS!$Q$5:$Q$3004,"&gt;0",ENSAYOS!$G$5:$G$3004,"&gt;="&amp;CONFIG!$B$27)=0,"",AVERAGEIFS(ENSAYOS!$Q$5:$Q$3004,ENSAYOS!$C$5:$C$3004,F829,ENSAYOS!$Q$5:$Q$3004,"&gt;0",ENSAYOS!$G$5:$G$3004,"&gt;="&amp;CONFIG!$B$27)))</f>
        <v/>
      </c>
      <c r="W829" s="18" t="str">
        <f aca="false">IF(AND(U829&lt;&gt;"",V829&lt;&gt;""),U829/V829,"")</f>
        <v/>
      </c>
      <c r="X829" s="18" t="str">
        <f aca="false">IF(U829="","",INDEX('CURVA EDAD'!$E$5:$E$32,MIN(28,MAX(1,N829))))</f>
        <v/>
      </c>
      <c r="Y829" s="16" t="str">
        <f aca="false">IF(V829&lt;&gt;"",V829,IF(U829="","",U829/X829))</f>
        <v/>
      </c>
      <c r="Z829" s="16" t="str">
        <f aca="false">IF(V829&lt;&gt;"",_xlfn.MINIFS(ENSAYOS!$Q$5:$Q$3004,ENSAYOS!$C$5:$C$3004,F829,ENSAYOS!$Q$5:$Q$3004,"&gt;0",ENSAYOS!$G$5:$G$3004,"&gt;="&amp;CONFIG!$B$27),IF(U829="","",_xlfn.MINIFS(ENSAYOS!$Q$5:$Q$3004,ENSAYOS!$C$5:$C$3004,F829,ENSAYOS!$Q$5:$Q$3004,"&gt;0",ENSAYOS!$G$5:$G$3004,N829)/X829))</f>
        <v/>
      </c>
      <c r="AA829" s="16" t="str">
        <f aca="false">IF(D829="","",IFERROR(1/(1/INDEX(CONFIG!$J$5:$J$14,MATCH(D829,CONFIG!$D$5:$D$14,0))),""))</f>
        <v/>
      </c>
      <c r="AB829" s="16" t="str">
        <f aca="false">IF(D829="","",IFERROR(1/(1/INDEX(CONFIG!$K$5:$K$14,MATCH(D829,CONFIG!$D$5:$D$14,0))),""))</f>
        <v/>
      </c>
      <c r="AC829" s="19" t="str">
        <f aca="false">IF(N(M829)=0,"",IF(AA829="","Sin spec",IF(AND(Y829&gt;=AA829,OR(AB829="",Z829&gt;=AB829)),"CUMPLE","NO CUMPLE")&amp;IF(V829=""," (est.)","")))</f>
        <v/>
      </c>
      <c r="AD829" s="20" t="str">
        <f aca="false">IF(F829="","",IF(COUNTIFS(ABSORCION!$C$5:$C$1004,F829,ABSORCION!$I$5:$I$1004,"&gt;0")=0,"",AVERAGEIFS(ABSORCION!$I$5:$I$1004,ABSORCION!$C$5:$C$1004,F829,ABSORCION!$I$5:$I$1004,"&gt;0")))</f>
        <v/>
      </c>
      <c r="AE829" s="20" t="str">
        <f aca="false">IF(F829="","",IF(COUNTIFS(ABSORCION!$C$5:$C$1004,F829,ABSORCION!$I$5:$I$1004,"&gt;0")=0,"",AVERAGEIFS(ABSORCION!$K$5:$K$1004,ABSORCION!$C$5:$C$1004,F829,ABSORCION!$I$5:$I$1004,"&gt;0")))</f>
        <v/>
      </c>
      <c r="AF829" s="20" t="str">
        <f aca="false">IF(AE829="","",IF(AE829&gt;=CONFIG!$E$21,CONFIG!$F$21,IF(AE829&gt;=CONFIG!$E$20,CONFIG!$F$20,CONFIG!$F$19)))</f>
        <v/>
      </c>
      <c r="AG829" s="21" t="str">
        <f aca="false">IF(F829="","",TRIM(IF(N(M829)=0,"Sin ensayos. ","")&amp;IF(AND(N(M829)&gt;0,N(M829)&lt;CONFIG!$B$26),"Menos de "&amp;CONFIG!$B$26&amp;" probetas. ","")&amp;IF(N(T829)&gt;CONFIG!$B$25,"CV alto. ","")&amp;IF(AND(N(AD829)&gt;0,N(AD829)&gt;N(AF829)),"Absorción alta. ","")))</f>
        <v/>
      </c>
      <c r="AH829" s="22" t="str">
        <f aca="false">IF(AND(N(M829)&gt;0,OR(CONTROL!$C$4="TODAS",C829=CONTROL!$C$4),D829=CONTROL!$C$5),MAX($AH$4:AH828)+1,"")</f>
        <v/>
      </c>
      <c r="AI829" s="22" t="str">
        <f aca="false">IF(AH829="","",P829^2)</f>
        <v/>
      </c>
    </row>
    <row r="830" customFormat="false" ht="15" hidden="false" customHeight="false" outlineLevel="0" collapsed="false">
      <c r="A830" s="11" t="str">
        <f aca="false">IF(B830="","",ROW()-4)</f>
        <v/>
      </c>
      <c r="B830" s="12"/>
      <c r="C830" s="13"/>
      <c r="D830" s="13"/>
      <c r="E830" s="13"/>
      <c r="F830" s="14" t="str">
        <f aca="false">IF(OR(B830="",C830="",D830=""),"",IFERROR(INDEX(CONFIG!$E$5:$E$14,MATCH(D830,CONFIG!$D$5:$D$14,0)),"?")&amp;RIGHT("0"&amp;DAY(B830),2)&amp;RIGHT("0"&amp;MONTH(B830),2)&amp;RIGHT(YEAR(B830),2)&amp;C830&amp;IF(E830="","","-"&amp;E830))</f>
        <v/>
      </c>
      <c r="G830" s="13"/>
      <c r="H830" s="13"/>
      <c r="I830" s="13"/>
      <c r="J830" s="13"/>
      <c r="K830" s="13"/>
      <c r="L830" s="13"/>
      <c r="M830" s="11" t="str">
        <f aca="false">IF(F830="","",COUNTIFS(ENSAYOS!$C$5:$C$3004,F830,ENSAYOS!$Q$5:$Q$3004,"&gt;0"))</f>
        <v/>
      </c>
      <c r="N830" s="15" t="str">
        <f aca="false">IF(N(M830)=0,"",_xlfn.MINIFS(ENSAYOS!$G$5:$G$3004,ENSAYOS!$C$5:$C$3004,F830,ENSAYOS!$Q$5:$Q$3004,"&gt;0"))</f>
        <v/>
      </c>
      <c r="O830" s="15" t="str">
        <f aca="false">IF(N(M830)=0,"",_xlfn.MAXIFS(ENSAYOS!$G$5:$G$3004,ENSAYOS!$C$5:$C$3004,F830,ENSAYOS!$Q$5:$Q$3004,"&gt;0"))</f>
        <v/>
      </c>
      <c r="P830" s="16" t="str">
        <f aca="false">IF(N(M830)=0,"",AVERAGEIFS(ENSAYOS!$Q$5:$Q$3004,ENSAYOS!$C$5:$C$3004,F830,ENSAYOS!$Q$5:$Q$3004,"&gt;0"))</f>
        <v/>
      </c>
      <c r="Q830" s="16" t="str">
        <f aca="false">IF(N(M830)=0,"",_xlfn.MINIFS(ENSAYOS!$Q$5:$Q$3004,ENSAYOS!$C$5:$C$3004,F830,ENSAYOS!$Q$5:$Q$3004,"&gt;0"))</f>
        <v/>
      </c>
      <c r="R830" s="16" t="str">
        <f aca="false">IF(N(M830)=0,"",_xlfn.MAXIFS(ENSAYOS!$Q$5:$Q$3004,ENSAYOS!$C$5:$C$3004,F830,ENSAYOS!$Q$5:$Q$3004,"&gt;0"))</f>
        <v/>
      </c>
      <c r="S830" s="16" t="str">
        <f aca="false">IF(N(M830)&lt;2,"",SQRT(MAX(0,(SUMIFS(ENSAYOS!$X$5:$X$3004,ENSAYOS!$C$5:$C$3004,F830,ENSAYOS!$Q$5:$Q$3004,"&gt;0")-M830*P830^2)/(M830-1))))</f>
        <v/>
      </c>
      <c r="T830" s="17" t="str">
        <f aca="false">IF(S830="","",S830/P830)</f>
        <v/>
      </c>
      <c r="U830" s="16" t="str">
        <f aca="false">IF(N(M830)=0,"",IF(N830&gt;=CONFIG!$B$27,"",AVERAGEIFS(ENSAYOS!$Q$5:$Q$3004,ENSAYOS!$C$5:$C$3004,F830,ENSAYOS!$Q$5:$Q$3004,"&gt;0",ENSAYOS!$G$5:$G$3004,N830)))</f>
        <v/>
      </c>
      <c r="V830" s="16" t="str">
        <f aca="false">IF(N(M830)=0,"",IF(COUNTIFS(ENSAYOS!$C$5:$C$3004,F830,ENSAYOS!$Q$5:$Q$3004,"&gt;0",ENSAYOS!$G$5:$G$3004,"&gt;="&amp;CONFIG!$B$27)=0,"",AVERAGEIFS(ENSAYOS!$Q$5:$Q$3004,ENSAYOS!$C$5:$C$3004,F830,ENSAYOS!$Q$5:$Q$3004,"&gt;0",ENSAYOS!$G$5:$G$3004,"&gt;="&amp;CONFIG!$B$27)))</f>
        <v/>
      </c>
      <c r="W830" s="18" t="str">
        <f aca="false">IF(AND(U830&lt;&gt;"",V830&lt;&gt;""),U830/V830,"")</f>
        <v/>
      </c>
      <c r="X830" s="18" t="str">
        <f aca="false">IF(U830="","",INDEX('CURVA EDAD'!$E$5:$E$32,MIN(28,MAX(1,N830))))</f>
        <v/>
      </c>
      <c r="Y830" s="16" t="str">
        <f aca="false">IF(V830&lt;&gt;"",V830,IF(U830="","",U830/X830))</f>
        <v/>
      </c>
      <c r="Z830" s="16" t="str">
        <f aca="false">IF(V830&lt;&gt;"",_xlfn.MINIFS(ENSAYOS!$Q$5:$Q$3004,ENSAYOS!$C$5:$C$3004,F830,ENSAYOS!$Q$5:$Q$3004,"&gt;0",ENSAYOS!$G$5:$G$3004,"&gt;="&amp;CONFIG!$B$27),IF(U830="","",_xlfn.MINIFS(ENSAYOS!$Q$5:$Q$3004,ENSAYOS!$C$5:$C$3004,F830,ENSAYOS!$Q$5:$Q$3004,"&gt;0",ENSAYOS!$G$5:$G$3004,N830)/X830))</f>
        <v/>
      </c>
      <c r="AA830" s="16" t="str">
        <f aca="false">IF(D830="","",IFERROR(1/(1/INDEX(CONFIG!$J$5:$J$14,MATCH(D830,CONFIG!$D$5:$D$14,0))),""))</f>
        <v/>
      </c>
      <c r="AB830" s="16" t="str">
        <f aca="false">IF(D830="","",IFERROR(1/(1/INDEX(CONFIG!$K$5:$K$14,MATCH(D830,CONFIG!$D$5:$D$14,0))),""))</f>
        <v/>
      </c>
      <c r="AC830" s="19" t="str">
        <f aca="false">IF(N(M830)=0,"",IF(AA830="","Sin spec",IF(AND(Y830&gt;=AA830,OR(AB830="",Z830&gt;=AB830)),"CUMPLE","NO CUMPLE")&amp;IF(V830=""," (est.)","")))</f>
        <v/>
      </c>
      <c r="AD830" s="20" t="str">
        <f aca="false">IF(F830="","",IF(COUNTIFS(ABSORCION!$C$5:$C$1004,F830,ABSORCION!$I$5:$I$1004,"&gt;0")=0,"",AVERAGEIFS(ABSORCION!$I$5:$I$1004,ABSORCION!$C$5:$C$1004,F830,ABSORCION!$I$5:$I$1004,"&gt;0")))</f>
        <v/>
      </c>
      <c r="AE830" s="20" t="str">
        <f aca="false">IF(F830="","",IF(COUNTIFS(ABSORCION!$C$5:$C$1004,F830,ABSORCION!$I$5:$I$1004,"&gt;0")=0,"",AVERAGEIFS(ABSORCION!$K$5:$K$1004,ABSORCION!$C$5:$C$1004,F830,ABSORCION!$I$5:$I$1004,"&gt;0")))</f>
        <v/>
      </c>
      <c r="AF830" s="20" t="str">
        <f aca="false">IF(AE830="","",IF(AE830&gt;=CONFIG!$E$21,CONFIG!$F$21,IF(AE830&gt;=CONFIG!$E$20,CONFIG!$F$20,CONFIG!$F$19)))</f>
        <v/>
      </c>
      <c r="AG830" s="21" t="str">
        <f aca="false">IF(F830="","",TRIM(IF(N(M830)=0,"Sin ensayos. ","")&amp;IF(AND(N(M830)&gt;0,N(M830)&lt;CONFIG!$B$26),"Menos de "&amp;CONFIG!$B$26&amp;" probetas. ","")&amp;IF(N(T830)&gt;CONFIG!$B$25,"CV alto. ","")&amp;IF(AND(N(AD830)&gt;0,N(AD830)&gt;N(AF830)),"Absorción alta. ","")))</f>
        <v/>
      </c>
      <c r="AH830" s="22" t="str">
        <f aca="false">IF(AND(N(M830)&gt;0,OR(CONTROL!$C$4="TODAS",C830=CONTROL!$C$4),D830=CONTROL!$C$5),MAX($AH$4:AH829)+1,"")</f>
        <v/>
      </c>
      <c r="AI830" s="22" t="str">
        <f aca="false">IF(AH830="","",P830^2)</f>
        <v/>
      </c>
    </row>
    <row r="831" customFormat="false" ht="15" hidden="false" customHeight="false" outlineLevel="0" collapsed="false">
      <c r="A831" s="11" t="str">
        <f aca="false">IF(B831="","",ROW()-4)</f>
        <v/>
      </c>
      <c r="B831" s="12"/>
      <c r="C831" s="13"/>
      <c r="D831" s="13"/>
      <c r="E831" s="13"/>
      <c r="F831" s="14" t="str">
        <f aca="false">IF(OR(B831="",C831="",D831=""),"",IFERROR(INDEX(CONFIG!$E$5:$E$14,MATCH(D831,CONFIG!$D$5:$D$14,0)),"?")&amp;RIGHT("0"&amp;DAY(B831),2)&amp;RIGHT("0"&amp;MONTH(B831),2)&amp;RIGHT(YEAR(B831),2)&amp;C831&amp;IF(E831="","","-"&amp;E831))</f>
        <v/>
      </c>
      <c r="G831" s="13"/>
      <c r="H831" s="13"/>
      <c r="I831" s="13"/>
      <c r="J831" s="13"/>
      <c r="K831" s="13"/>
      <c r="L831" s="13"/>
      <c r="M831" s="11" t="str">
        <f aca="false">IF(F831="","",COUNTIFS(ENSAYOS!$C$5:$C$3004,F831,ENSAYOS!$Q$5:$Q$3004,"&gt;0"))</f>
        <v/>
      </c>
      <c r="N831" s="15" t="str">
        <f aca="false">IF(N(M831)=0,"",_xlfn.MINIFS(ENSAYOS!$G$5:$G$3004,ENSAYOS!$C$5:$C$3004,F831,ENSAYOS!$Q$5:$Q$3004,"&gt;0"))</f>
        <v/>
      </c>
      <c r="O831" s="15" t="str">
        <f aca="false">IF(N(M831)=0,"",_xlfn.MAXIFS(ENSAYOS!$G$5:$G$3004,ENSAYOS!$C$5:$C$3004,F831,ENSAYOS!$Q$5:$Q$3004,"&gt;0"))</f>
        <v/>
      </c>
      <c r="P831" s="16" t="str">
        <f aca="false">IF(N(M831)=0,"",AVERAGEIFS(ENSAYOS!$Q$5:$Q$3004,ENSAYOS!$C$5:$C$3004,F831,ENSAYOS!$Q$5:$Q$3004,"&gt;0"))</f>
        <v/>
      </c>
      <c r="Q831" s="16" t="str">
        <f aca="false">IF(N(M831)=0,"",_xlfn.MINIFS(ENSAYOS!$Q$5:$Q$3004,ENSAYOS!$C$5:$C$3004,F831,ENSAYOS!$Q$5:$Q$3004,"&gt;0"))</f>
        <v/>
      </c>
      <c r="R831" s="16" t="str">
        <f aca="false">IF(N(M831)=0,"",_xlfn.MAXIFS(ENSAYOS!$Q$5:$Q$3004,ENSAYOS!$C$5:$C$3004,F831,ENSAYOS!$Q$5:$Q$3004,"&gt;0"))</f>
        <v/>
      </c>
      <c r="S831" s="16" t="str">
        <f aca="false">IF(N(M831)&lt;2,"",SQRT(MAX(0,(SUMIFS(ENSAYOS!$X$5:$X$3004,ENSAYOS!$C$5:$C$3004,F831,ENSAYOS!$Q$5:$Q$3004,"&gt;0")-M831*P831^2)/(M831-1))))</f>
        <v/>
      </c>
      <c r="T831" s="17" t="str">
        <f aca="false">IF(S831="","",S831/P831)</f>
        <v/>
      </c>
      <c r="U831" s="16" t="str">
        <f aca="false">IF(N(M831)=0,"",IF(N831&gt;=CONFIG!$B$27,"",AVERAGEIFS(ENSAYOS!$Q$5:$Q$3004,ENSAYOS!$C$5:$C$3004,F831,ENSAYOS!$Q$5:$Q$3004,"&gt;0",ENSAYOS!$G$5:$G$3004,N831)))</f>
        <v/>
      </c>
      <c r="V831" s="16" t="str">
        <f aca="false">IF(N(M831)=0,"",IF(COUNTIFS(ENSAYOS!$C$5:$C$3004,F831,ENSAYOS!$Q$5:$Q$3004,"&gt;0",ENSAYOS!$G$5:$G$3004,"&gt;="&amp;CONFIG!$B$27)=0,"",AVERAGEIFS(ENSAYOS!$Q$5:$Q$3004,ENSAYOS!$C$5:$C$3004,F831,ENSAYOS!$Q$5:$Q$3004,"&gt;0",ENSAYOS!$G$5:$G$3004,"&gt;="&amp;CONFIG!$B$27)))</f>
        <v/>
      </c>
      <c r="W831" s="18" t="str">
        <f aca="false">IF(AND(U831&lt;&gt;"",V831&lt;&gt;""),U831/V831,"")</f>
        <v/>
      </c>
      <c r="X831" s="18" t="str">
        <f aca="false">IF(U831="","",INDEX('CURVA EDAD'!$E$5:$E$32,MIN(28,MAX(1,N831))))</f>
        <v/>
      </c>
      <c r="Y831" s="16" t="str">
        <f aca="false">IF(V831&lt;&gt;"",V831,IF(U831="","",U831/X831))</f>
        <v/>
      </c>
      <c r="Z831" s="16" t="str">
        <f aca="false">IF(V831&lt;&gt;"",_xlfn.MINIFS(ENSAYOS!$Q$5:$Q$3004,ENSAYOS!$C$5:$C$3004,F831,ENSAYOS!$Q$5:$Q$3004,"&gt;0",ENSAYOS!$G$5:$G$3004,"&gt;="&amp;CONFIG!$B$27),IF(U831="","",_xlfn.MINIFS(ENSAYOS!$Q$5:$Q$3004,ENSAYOS!$C$5:$C$3004,F831,ENSAYOS!$Q$5:$Q$3004,"&gt;0",ENSAYOS!$G$5:$G$3004,N831)/X831))</f>
        <v/>
      </c>
      <c r="AA831" s="16" t="str">
        <f aca="false">IF(D831="","",IFERROR(1/(1/INDEX(CONFIG!$J$5:$J$14,MATCH(D831,CONFIG!$D$5:$D$14,0))),""))</f>
        <v/>
      </c>
      <c r="AB831" s="16" t="str">
        <f aca="false">IF(D831="","",IFERROR(1/(1/INDEX(CONFIG!$K$5:$K$14,MATCH(D831,CONFIG!$D$5:$D$14,0))),""))</f>
        <v/>
      </c>
      <c r="AC831" s="19" t="str">
        <f aca="false">IF(N(M831)=0,"",IF(AA831="","Sin spec",IF(AND(Y831&gt;=AA831,OR(AB831="",Z831&gt;=AB831)),"CUMPLE","NO CUMPLE")&amp;IF(V831=""," (est.)","")))</f>
        <v/>
      </c>
      <c r="AD831" s="20" t="str">
        <f aca="false">IF(F831="","",IF(COUNTIFS(ABSORCION!$C$5:$C$1004,F831,ABSORCION!$I$5:$I$1004,"&gt;0")=0,"",AVERAGEIFS(ABSORCION!$I$5:$I$1004,ABSORCION!$C$5:$C$1004,F831,ABSORCION!$I$5:$I$1004,"&gt;0")))</f>
        <v/>
      </c>
      <c r="AE831" s="20" t="str">
        <f aca="false">IF(F831="","",IF(COUNTIFS(ABSORCION!$C$5:$C$1004,F831,ABSORCION!$I$5:$I$1004,"&gt;0")=0,"",AVERAGEIFS(ABSORCION!$K$5:$K$1004,ABSORCION!$C$5:$C$1004,F831,ABSORCION!$I$5:$I$1004,"&gt;0")))</f>
        <v/>
      </c>
      <c r="AF831" s="20" t="str">
        <f aca="false">IF(AE831="","",IF(AE831&gt;=CONFIG!$E$21,CONFIG!$F$21,IF(AE831&gt;=CONFIG!$E$20,CONFIG!$F$20,CONFIG!$F$19)))</f>
        <v/>
      </c>
      <c r="AG831" s="21" t="str">
        <f aca="false">IF(F831="","",TRIM(IF(N(M831)=0,"Sin ensayos. ","")&amp;IF(AND(N(M831)&gt;0,N(M831)&lt;CONFIG!$B$26),"Menos de "&amp;CONFIG!$B$26&amp;" probetas. ","")&amp;IF(N(T831)&gt;CONFIG!$B$25,"CV alto. ","")&amp;IF(AND(N(AD831)&gt;0,N(AD831)&gt;N(AF831)),"Absorción alta. ","")))</f>
        <v/>
      </c>
      <c r="AH831" s="22" t="str">
        <f aca="false">IF(AND(N(M831)&gt;0,OR(CONTROL!$C$4="TODAS",C831=CONTROL!$C$4),D831=CONTROL!$C$5),MAX($AH$4:AH830)+1,"")</f>
        <v/>
      </c>
      <c r="AI831" s="22" t="str">
        <f aca="false">IF(AH831="","",P831^2)</f>
        <v/>
      </c>
    </row>
    <row r="832" customFormat="false" ht="15" hidden="false" customHeight="false" outlineLevel="0" collapsed="false">
      <c r="A832" s="11" t="str">
        <f aca="false">IF(B832="","",ROW()-4)</f>
        <v/>
      </c>
      <c r="B832" s="12"/>
      <c r="C832" s="13"/>
      <c r="D832" s="13"/>
      <c r="E832" s="13"/>
      <c r="F832" s="14" t="str">
        <f aca="false">IF(OR(B832="",C832="",D832=""),"",IFERROR(INDEX(CONFIG!$E$5:$E$14,MATCH(D832,CONFIG!$D$5:$D$14,0)),"?")&amp;RIGHT("0"&amp;DAY(B832),2)&amp;RIGHT("0"&amp;MONTH(B832),2)&amp;RIGHT(YEAR(B832),2)&amp;C832&amp;IF(E832="","","-"&amp;E832))</f>
        <v/>
      </c>
      <c r="G832" s="13"/>
      <c r="H832" s="13"/>
      <c r="I832" s="13"/>
      <c r="J832" s="13"/>
      <c r="K832" s="13"/>
      <c r="L832" s="13"/>
      <c r="M832" s="11" t="str">
        <f aca="false">IF(F832="","",COUNTIFS(ENSAYOS!$C$5:$C$3004,F832,ENSAYOS!$Q$5:$Q$3004,"&gt;0"))</f>
        <v/>
      </c>
      <c r="N832" s="15" t="str">
        <f aca="false">IF(N(M832)=0,"",_xlfn.MINIFS(ENSAYOS!$G$5:$G$3004,ENSAYOS!$C$5:$C$3004,F832,ENSAYOS!$Q$5:$Q$3004,"&gt;0"))</f>
        <v/>
      </c>
      <c r="O832" s="15" t="str">
        <f aca="false">IF(N(M832)=0,"",_xlfn.MAXIFS(ENSAYOS!$G$5:$G$3004,ENSAYOS!$C$5:$C$3004,F832,ENSAYOS!$Q$5:$Q$3004,"&gt;0"))</f>
        <v/>
      </c>
      <c r="P832" s="16" t="str">
        <f aca="false">IF(N(M832)=0,"",AVERAGEIFS(ENSAYOS!$Q$5:$Q$3004,ENSAYOS!$C$5:$C$3004,F832,ENSAYOS!$Q$5:$Q$3004,"&gt;0"))</f>
        <v/>
      </c>
      <c r="Q832" s="16" t="str">
        <f aca="false">IF(N(M832)=0,"",_xlfn.MINIFS(ENSAYOS!$Q$5:$Q$3004,ENSAYOS!$C$5:$C$3004,F832,ENSAYOS!$Q$5:$Q$3004,"&gt;0"))</f>
        <v/>
      </c>
      <c r="R832" s="16" t="str">
        <f aca="false">IF(N(M832)=0,"",_xlfn.MAXIFS(ENSAYOS!$Q$5:$Q$3004,ENSAYOS!$C$5:$C$3004,F832,ENSAYOS!$Q$5:$Q$3004,"&gt;0"))</f>
        <v/>
      </c>
      <c r="S832" s="16" t="str">
        <f aca="false">IF(N(M832)&lt;2,"",SQRT(MAX(0,(SUMIFS(ENSAYOS!$X$5:$X$3004,ENSAYOS!$C$5:$C$3004,F832,ENSAYOS!$Q$5:$Q$3004,"&gt;0")-M832*P832^2)/(M832-1))))</f>
        <v/>
      </c>
      <c r="T832" s="17" t="str">
        <f aca="false">IF(S832="","",S832/P832)</f>
        <v/>
      </c>
      <c r="U832" s="16" t="str">
        <f aca="false">IF(N(M832)=0,"",IF(N832&gt;=CONFIG!$B$27,"",AVERAGEIFS(ENSAYOS!$Q$5:$Q$3004,ENSAYOS!$C$5:$C$3004,F832,ENSAYOS!$Q$5:$Q$3004,"&gt;0",ENSAYOS!$G$5:$G$3004,N832)))</f>
        <v/>
      </c>
      <c r="V832" s="16" t="str">
        <f aca="false">IF(N(M832)=0,"",IF(COUNTIFS(ENSAYOS!$C$5:$C$3004,F832,ENSAYOS!$Q$5:$Q$3004,"&gt;0",ENSAYOS!$G$5:$G$3004,"&gt;="&amp;CONFIG!$B$27)=0,"",AVERAGEIFS(ENSAYOS!$Q$5:$Q$3004,ENSAYOS!$C$5:$C$3004,F832,ENSAYOS!$Q$5:$Q$3004,"&gt;0",ENSAYOS!$G$5:$G$3004,"&gt;="&amp;CONFIG!$B$27)))</f>
        <v/>
      </c>
      <c r="W832" s="18" t="str">
        <f aca="false">IF(AND(U832&lt;&gt;"",V832&lt;&gt;""),U832/V832,"")</f>
        <v/>
      </c>
      <c r="X832" s="18" t="str">
        <f aca="false">IF(U832="","",INDEX('CURVA EDAD'!$E$5:$E$32,MIN(28,MAX(1,N832))))</f>
        <v/>
      </c>
      <c r="Y832" s="16" t="str">
        <f aca="false">IF(V832&lt;&gt;"",V832,IF(U832="","",U832/X832))</f>
        <v/>
      </c>
      <c r="Z832" s="16" t="str">
        <f aca="false">IF(V832&lt;&gt;"",_xlfn.MINIFS(ENSAYOS!$Q$5:$Q$3004,ENSAYOS!$C$5:$C$3004,F832,ENSAYOS!$Q$5:$Q$3004,"&gt;0",ENSAYOS!$G$5:$G$3004,"&gt;="&amp;CONFIG!$B$27),IF(U832="","",_xlfn.MINIFS(ENSAYOS!$Q$5:$Q$3004,ENSAYOS!$C$5:$C$3004,F832,ENSAYOS!$Q$5:$Q$3004,"&gt;0",ENSAYOS!$G$5:$G$3004,N832)/X832))</f>
        <v/>
      </c>
      <c r="AA832" s="16" t="str">
        <f aca="false">IF(D832="","",IFERROR(1/(1/INDEX(CONFIG!$J$5:$J$14,MATCH(D832,CONFIG!$D$5:$D$14,0))),""))</f>
        <v/>
      </c>
      <c r="AB832" s="16" t="str">
        <f aca="false">IF(D832="","",IFERROR(1/(1/INDEX(CONFIG!$K$5:$K$14,MATCH(D832,CONFIG!$D$5:$D$14,0))),""))</f>
        <v/>
      </c>
      <c r="AC832" s="19" t="str">
        <f aca="false">IF(N(M832)=0,"",IF(AA832="","Sin spec",IF(AND(Y832&gt;=AA832,OR(AB832="",Z832&gt;=AB832)),"CUMPLE","NO CUMPLE")&amp;IF(V832=""," (est.)","")))</f>
        <v/>
      </c>
      <c r="AD832" s="20" t="str">
        <f aca="false">IF(F832="","",IF(COUNTIFS(ABSORCION!$C$5:$C$1004,F832,ABSORCION!$I$5:$I$1004,"&gt;0")=0,"",AVERAGEIFS(ABSORCION!$I$5:$I$1004,ABSORCION!$C$5:$C$1004,F832,ABSORCION!$I$5:$I$1004,"&gt;0")))</f>
        <v/>
      </c>
      <c r="AE832" s="20" t="str">
        <f aca="false">IF(F832="","",IF(COUNTIFS(ABSORCION!$C$5:$C$1004,F832,ABSORCION!$I$5:$I$1004,"&gt;0")=0,"",AVERAGEIFS(ABSORCION!$K$5:$K$1004,ABSORCION!$C$5:$C$1004,F832,ABSORCION!$I$5:$I$1004,"&gt;0")))</f>
        <v/>
      </c>
      <c r="AF832" s="20" t="str">
        <f aca="false">IF(AE832="","",IF(AE832&gt;=CONFIG!$E$21,CONFIG!$F$21,IF(AE832&gt;=CONFIG!$E$20,CONFIG!$F$20,CONFIG!$F$19)))</f>
        <v/>
      </c>
      <c r="AG832" s="21" t="str">
        <f aca="false">IF(F832="","",TRIM(IF(N(M832)=0,"Sin ensayos. ","")&amp;IF(AND(N(M832)&gt;0,N(M832)&lt;CONFIG!$B$26),"Menos de "&amp;CONFIG!$B$26&amp;" probetas. ","")&amp;IF(N(T832)&gt;CONFIG!$B$25,"CV alto. ","")&amp;IF(AND(N(AD832)&gt;0,N(AD832)&gt;N(AF832)),"Absorción alta. ","")))</f>
        <v/>
      </c>
      <c r="AH832" s="22" t="str">
        <f aca="false">IF(AND(N(M832)&gt;0,OR(CONTROL!$C$4="TODAS",C832=CONTROL!$C$4),D832=CONTROL!$C$5),MAX($AH$4:AH831)+1,"")</f>
        <v/>
      </c>
      <c r="AI832" s="22" t="str">
        <f aca="false">IF(AH832="","",P832^2)</f>
        <v/>
      </c>
    </row>
    <row r="833" customFormat="false" ht="15" hidden="false" customHeight="false" outlineLevel="0" collapsed="false">
      <c r="A833" s="11" t="str">
        <f aca="false">IF(B833="","",ROW()-4)</f>
        <v/>
      </c>
      <c r="B833" s="12"/>
      <c r="C833" s="13"/>
      <c r="D833" s="13"/>
      <c r="E833" s="13"/>
      <c r="F833" s="14" t="str">
        <f aca="false">IF(OR(B833="",C833="",D833=""),"",IFERROR(INDEX(CONFIG!$E$5:$E$14,MATCH(D833,CONFIG!$D$5:$D$14,0)),"?")&amp;RIGHT("0"&amp;DAY(B833),2)&amp;RIGHT("0"&amp;MONTH(B833),2)&amp;RIGHT(YEAR(B833),2)&amp;C833&amp;IF(E833="","","-"&amp;E833))</f>
        <v/>
      </c>
      <c r="G833" s="13"/>
      <c r="H833" s="13"/>
      <c r="I833" s="13"/>
      <c r="J833" s="13"/>
      <c r="K833" s="13"/>
      <c r="L833" s="13"/>
      <c r="M833" s="11" t="str">
        <f aca="false">IF(F833="","",COUNTIFS(ENSAYOS!$C$5:$C$3004,F833,ENSAYOS!$Q$5:$Q$3004,"&gt;0"))</f>
        <v/>
      </c>
      <c r="N833" s="15" t="str">
        <f aca="false">IF(N(M833)=0,"",_xlfn.MINIFS(ENSAYOS!$G$5:$G$3004,ENSAYOS!$C$5:$C$3004,F833,ENSAYOS!$Q$5:$Q$3004,"&gt;0"))</f>
        <v/>
      </c>
      <c r="O833" s="15" t="str">
        <f aca="false">IF(N(M833)=0,"",_xlfn.MAXIFS(ENSAYOS!$G$5:$G$3004,ENSAYOS!$C$5:$C$3004,F833,ENSAYOS!$Q$5:$Q$3004,"&gt;0"))</f>
        <v/>
      </c>
      <c r="P833" s="16" t="str">
        <f aca="false">IF(N(M833)=0,"",AVERAGEIFS(ENSAYOS!$Q$5:$Q$3004,ENSAYOS!$C$5:$C$3004,F833,ENSAYOS!$Q$5:$Q$3004,"&gt;0"))</f>
        <v/>
      </c>
      <c r="Q833" s="16" t="str">
        <f aca="false">IF(N(M833)=0,"",_xlfn.MINIFS(ENSAYOS!$Q$5:$Q$3004,ENSAYOS!$C$5:$C$3004,F833,ENSAYOS!$Q$5:$Q$3004,"&gt;0"))</f>
        <v/>
      </c>
      <c r="R833" s="16" t="str">
        <f aca="false">IF(N(M833)=0,"",_xlfn.MAXIFS(ENSAYOS!$Q$5:$Q$3004,ENSAYOS!$C$5:$C$3004,F833,ENSAYOS!$Q$5:$Q$3004,"&gt;0"))</f>
        <v/>
      </c>
      <c r="S833" s="16" t="str">
        <f aca="false">IF(N(M833)&lt;2,"",SQRT(MAX(0,(SUMIFS(ENSAYOS!$X$5:$X$3004,ENSAYOS!$C$5:$C$3004,F833,ENSAYOS!$Q$5:$Q$3004,"&gt;0")-M833*P833^2)/(M833-1))))</f>
        <v/>
      </c>
      <c r="T833" s="17" t="str">
        <f aca="false">IF(S833="","",S833/P833)</f>
        <v/>
      </c>
      <c r="U833" s="16" t="str">
        <f aca="false">IF(N(M833)=0,"",IF(N833&gt;=CONFIG!$B$27,"",AVERAGEIFS(ENSAYOS!$Q$5:$Q$3004,ENSAYOS!$C$5:$C$3004,F833,ENSAYOS!$Q$5:$Q$3004,"&gt;0",ENSAYOS!$G$5:$G$3004,N833)))</f>
        <v/>
      </c>
      <c r="V833" s="16" t="str">
        <f aca="false">IF(N(M833)=0,"",IF(COUNTIFS(ENSAYOS!$C$5:$C$3004,F833,ENSAYOS!$Q$5:$Q$3004,"&gt;0",ENSAYOS!$G$5:$G$3004,"&gt;="&amp;CONFIG!$B$27)=0,"",AVERAGEIFS(ENSAYOS!$Q$5:$Q$3004,ENSAYOS!$C$5:$C$3004,F833,ENSAYOS!$Q$5:$Q$3004,"&gt;0",ENSAYOS!$G$5:$G$3004,"&gt;="&amp;CONFIG!$B$27)))</f>
        <v/>
      </c>
      <c r="W833" s="18" t="str">
        <f aca="false">IF(AND(U833&lt;&gt;"",V833&lt;&gt;""),U833/V833,"")</f>
        <v/>
      </c>
      <c r="X833" s="18" t="str">
        <f aca="false">IF(U833="","",INDEX('CURVA EDAD'!$E$5:$E$32,MIN(28,MAX(1,N833))))</f>
        <v/>
      </c>
      <c r="Y833" s="16" t="str">
        <f aca="false">IF(V833&lt;&gt;"",V833,IF(U833="","",U833/X833))</f>
        <v/>
      </c>
      <c r="Z833" s="16" t="str">
        <f aca="false">IF(V833&lt;&gt;"",_xlfn.MINIFS(ENSAYOS!$Q$5:$Q$3004,ENSAYOS!$C$5:$C$3004,F833,ENSAYOS!$Q$5:$Q$3004,"&gt;0",ENSAYOS!$G$5:$G$3004,"&gt;="&amp;CONFIG!$B$27),IF(U833="","",_xlfn.MINIFS(ENSAYOS!$Q$5:$Q$3004,ENSAYOS!$C$5:$C$3004,F833,ENSAYOS!$Q$5:$Q$3004,"&gt;0",ENSAYOS!$G$5:$G$3004,N833)/X833))</f>
        <v/>
      </c>
      <c r="AA833" s="16" t="str">
        <f aca="false">IF(D833="","",IFERROR(1/(1/INDEX(CONFIG!$J$5:$J$14,MATCH(D833,CONFIG!$D$5:$D$14,0))),""))</f>
        <v/>
      </c>
      <c r="AB833" s="16" t="str">
        <f aca="false">IF(D833="","",IFERROR(1/(1/INDEX(CONFIG!$K$5:$K$14,MATCH(D833,CONFIG!$D$5:$D$14,0))),""))</f>
        <v/>
      </c>
      <c r="AC833" s="19" t="str">
        <f aca="false">IF(N(M833)=0,"",IF(AA833="","Sin spec",IF(AND(Y833&gt;=AA833,OR(AB833="",Z833&gt;=AB833)),"CUMPLE","NO CUMPLE")&amp;IF(V833=""," (est.)","")))</f>
        <v/>
      </c>
      <c r="AD833" s="20" t="str">
        <f aca="false">IF(F833="","",IF(COUNTIFS(ABSORCION!$C$5:$C$1004,F833,ABSORCION!$I$5:$I$1004,"&gt;0")=0,"",AVERAGEIFS(ABSORCION!$I$5:$I$1004,ABSORCION!$C$5:$C$1004,F833,ABSORCION!$I$5:$I$1004,"&gt;0")))</f>
        <v/>
      </c>
      <c r="AE833" s="20" t="str">
        <f aca="false">IF(F833="","",IF(COUNTIFS(ABSORCION!$C$5:$C$1004,F833,ABSORCION!$I$5:$I$1004,"&gt;0")=0,"",AVERAGEIFS(ABSORCION!$K$5:$K$1004,ABSORCION!$C$5:$C$1004,F833,ABSORCION!$I$5:$I$1004,"&gt;0")))</f>
        <v/>
      </c>
      <c r="AF833" s="20" t="str">
        <f aca="false">IF(AE833="","",IF(AE833&gt;=CONFIG!$E$21,CONFIG!$F$21,IF(AE833&gt;=CONFIG!$E$20,CONFIG!$F$20,CONFIG!$F$19)))</f>
        <v/>
      </c>
      <c r="AG833" s="21" t="str">
        <f aca="false">IF(F833="","",TRIM(IF(N(M833)=0,"Sin ensayos. ","")&amp;IF(AND(N(M833)&gt;0,N(M833)&lt;CONFIG!$B$26),"Menos de "&amp;CONFIG!$B$26&amp;" probetas. ","")&amp;IF(N(T833)&gt;CONFIG!$B$25,"CV alto. ","")&amp;IF(AND(N(AD833)&gt;0,N(AD833)&gt;N(AF833)),"Absorción alta. ","")))</f>
        <v/>
      </c>
      <c r="AH833" s="22" t="str">
        <f aca="false">IF(AND(N(M833)&gt;0,OR(CONTROL!$C$4="TODAS",C833=CONTROL!$C$4),D833=CONTROL!$C$5),MAX($AH$4:AH832)+1,"")</f>
        <v/>
      </c>
      <c r="AI833" s="22" t="str">
        <f aca="false">IF(AH833="","",P833^2)</f>
        <v/>
      </c>
    </row>
    <row r="834" customFormat="false" ht="15" hidden="false" customHeight="false" outlineLevel="0" collapsed="false">
      <c r="A834" s="11" t="str">
        <f aca="false">IF(B834="","",ROW()-4)</f>
        <v/>
      </c>
      <c r="B834" s="12"/>
      <c r="C834" s="13"/>
      <c r="D834" s="13"/>
      <c r="E834" s="13"/>
      <c r="F834" s="14" t="str">
        <f aca="false">IF(OR(B834="",C834="",D834=""),"",IFERROR(INDEX(CONFIG!$E$5:$E$14,MATCH(D834,CONFIG!$D$5:$D$14,0)),"?")&amp;RIGHT("0"&amp;DAY(B834),2)&amp;RIGHT("0"&amp;MONTH(B834),2)&amp;RIGHT(YEAR(B834),2)&amp;C834&amp;IF(E834="","","-"&amp;E834))</f>
        <v/>
      </c>
      <c r="G834" s="13"/>
      <c r="H834" s="13"/>
      <c r="I834" s="13"/>
      <c r="J834" s="13"/>
      <c r="K834" s="13"/>
      <c r="L834" s="13"/>
      <c r="M834" s="11" t="str">
        <f aca="false">IF(F834="","",COUNTIFS(ENSAYOS!$C$5:$C$3004,F834,ENSAYOS!$Q$5:$Q$3004,"&gt;0"))</f>
        <v/>
      </c>
      <c r="N834" s="15" t="str">
        <f aca="false">IF(N(M834)=0,"",_xlfn.MINIFS(ENSAYOS!$G$5:$G$3004,ENSAYOS!$C$5:$C$3004,F834,ENSAYOS!$Q$5:$Q$3004,"&gt;0"))</f>
        <v/>
      </c>
      <c r="O834" s="15" t="str">
        <f aca="false">IF(N(M834)=0,"",_xlfn.MAXIFS(ENSAYOS!$G$5:$G$3004,ENSAYOS!$C$5:$C$3004,F834,ENSAYOS!$Q$5:$Q$3004,"&gt;0"))</f>
        <v/>
      </c>
      <c r="P834" s="16" t="str">
        <f aca="false">IF(N(M834)=0,"",AVERAGEIFS(ENSAYOS!$Q$5:$Q$3004,ENSAYOS!$C$5:$C$3004,F834,ENSAYOS!$Q$5:$Q$3004,"&gt;0"))</f>
        <v/>
      </c>
      <c r="Q834" s="16" t="str">
        <f aca="false">IF(N(M834)=0,"",_xlfn.MINIFS(ENSAYOS!$Q$5:$Q$3004,ENSAYOS!$C$5:$C$3004,F834,ENSAYOS!$Q$5:$Q$3004,"&gt;0"))</f>
        <v/>
      </c>
      <c r="R834" s="16" t="str">
        <f aca="false">IF(N(M834)=0,"",_xlfn.MAXIFS(ENSAYOS!$Q$5:$Q$3004,ENSAYOS!$C$5:$C$3004,F834,ENSAYOS!$Q$5:$Q$3004,"&gt;0"))</f>
        <v/>
      </c>
      <c r="S834" s="16" t="str">
        <f aca="false">IF(N(M834)&lt;2,"",SQRT(MAX(0,(SUMIFS(ENSAYOS!$X$5:$X$3004,ENSAYOS!$C$5:$C$3004,F834,ENSAYOS!$Q$5:$Q$3004,"&gt;0")-M834*P834^2)/(M834-1))))</f>
        <v/>
      </c>
      <c r="T834" s="17" t="str">
        <f aca="false">IF(S834="","",S834/P834)</f>
        <v/>
      </c>
      <c r="U834" s="16" t="str">
        <f aca="false">IF(N(M834)=0,"",IF(N834&gt;=CONFIG!$B$27,"",AVERAGEIFS(ENSAYOS!$Q$5:$Q$3004,ENSAYOS!$C$5:$C$3004,F834,ENSAYOS!$Q$5:$Q$3004,"&gt;0",ENSAYOS!$G$5:$G$3004,N834)))</f>
        <v/>
      </c>
      <c r="V834" s="16" t="str">
        <f aca="false">IF(N(M834)=0,"",IF(COUNTIFS(ENSAYOS!$C$5:$C$3004,F834,ENSAYOS!$Q$5:$Q$3004,"&gt;0",ENSAYOS!$G$5:$G$3004,"&gt;="&amp;CONFIG!$B$27)=0,"",AVERAGEIFS(ENSAYOS!$Q$5:$Q$3004,ENSAYOS!$C$5:$C$3004,F834,ENSAYOS!$Q$5:$Q$3004,"&gt;0",ENSAYOS!$G$5:$G$3004,"&gt;="&amp;CONFIG!$B$27)))</f>
        <v/>
      </c>
      <c r="W834" s="18" t="str">
        <f aca="false">IF(AND(U834&lt;&gt;"",V834&lt;&gt;""),U834/V834,"")</f>
        <v/>
      </c>
      <c r="X834" s="18" t="str">
        <f aca="false">IF(U834="","",INDEX('CURVA EDAD'!$E$5:$E$32,MIN(28,MAX(1,N834))))</f>
        <v/>
      </c>
      <c r="Y834" s="16" t="str">
        <f aca="false">IF(V834&lt;&gt;"",V834,IF(U834="","",U834/X834))</f>
        <v/>
      </c>
      <c r="Z834" s="16" t="str">
        <f aca="false">IF(V834&lt;&gt;"",_xlfn.MINIFS(ENSAYOS!$Q$5:$Q$3004,ENSAYOS!$C$5:$C$3004,F834,ENSAYOS!$Q$5:$Q$3004,"&gt;0",ENSAYOS!$G$5:$G$3004,"&gt;="&amp;CONFIG!$B$27),IF(U834="","",_xlfn.MINIFS(ENSAYOS!$Q$5:$Q$3004,ENSAYOS!$C$5:$C$3004,F834,ENSAYOS!$Q$5:$Q$3004,"&gt;0",ENSAYOS!$G$5:$G$3004,N834)/X834))</f>
        <v/>
      </c>
      <c r="AA834" s="16" t="str">
        <f aca="false">IF(D834="","",IFERROR(1/(1/INDEX(CONFIG!$J$5:$J$14,MATCH(D834,CONFIG!$D$5:$D$14,0))),""))</f>
        <v/>
      </c>
      <c r="AB834" s="16" t="str">
        <f aca="false">IF(D834="","",IFERROR(1/(1/INDEX(CONFIG!$K$5:$K$14,MATCH(D834,CONFIG!$D$5:$D$14,0))),""))</f>
        <v/>
      </c>
      <c r="AC834" s="19" t="str">
        <f aca="false">IF(N(M834)=0,"",IF(AA834="","Sin spec",IF(AND(Y834&gt;=AA834,OR(AB834="",Z834&gt;=AB834)),"CUMPLE","NO CUMPLE")&amp;IF(V834=""," (est.)","")))</f>
        <v/>
      </c>
      <c r="AD834" s="20" t="str">
        <f aca="false">IF(F834="","",IF(COUNTIFS(ABSORCION!$C$5:$C$1004,F834,ABSORCION!$I$5:$I$1004,"&gt;0")=0,"",AVERAGEIFS(ABSORCION!$I$5:$I$1004,ABSORCION!$C$5:$C$1004,F834,ABSORCION!$I$5:$I$1004,"&gt;0")))</f>
        <v/>
      </c>
      <c r="AE834" s="20" t="str">
        <f aca="false">IF(F834="","",IF(COUNTIFS(ABSORCION!$C$5:$C$1004,F834,ABSORCION!$I$5:$I$1004,"&gt;0")=0,"",AVERAGEIFS(ABSORCION!$K$5:$K$1004,ABSORCION!$C$5:$C$1004,F834,ABSORCION!$I$5:$I$1004,"&gt;0")))</f>
        <v/>
      </c>
      <c r="AF834" s="20" t="str">
        <f aca="false">IF(AE834="","",IF(AE834&gt;=CONFIG!$E$21,CONFIG!$F$21,IF(AE834&gt;=CONFIG!$E$20,CONFIG!$F$20,CONFIG!$F$19)))</f>
        <v/>
      </c>
      <c r="AG834" s="21" t="str">
        <f aca="false">IF(F834="","",TRIM(IF(N(M834)=0,"Sin ensayos. ","")&amp;IF(AND(N(M834)&gt;0,N(M834)&lt;CONFIG!$B$26),"Menos de "&amp;CONFIG!$B$26&amp;" probetas. ","")&amp;IF(N(T834)&gt;CONFIG!$B$25,"CV alto. ","")&amp;IF(AND(N(AD834)&gt;0,N(AD834)&gt;N(AF834)),"Absorción alta. ","")))</f>
        <v/>
      </c>
      <c r="AH834" s="22" t="str">
        <f aca="false">IF(AND(N(M834)&gt;0,OR(CONTROL!$C$4="TODAS",C834=CONTROL!$C$4),D834=CONTROL!$C$5),MAX($AH$4:AH833)+1,"")</f>
        <v/>
      </c>
      <c r="AI834" s="22" t="str">
        <f aca="false">IF(AH834="","",P834^2)</f>
        <v/>
      </c>
    </row>
    <row r="835" customFormat="false" ht="15" hidden="false" customHeight="false" outlineLevel="0" collapsed="false">
      <c r="A835" s="11" t="str">
        <f aca="false">IF(B835="","",ROW()-4)</f>
        <v/>
      </c>
      <c r="B835" s="12"/>
      <c r="C835" s="13"/>
      <c r="D835" s="13"/>
      <c r="E835" s="13"/>
      <c r="F835" s="14" t="str">
        <f aca="false">IF(OR(B835="",C835="",D835=""),"",IFERROR(INDEX(CONFIG!$E$5:$E$14,MATCH(D835,CONFIG!$D$5:$D$14,0)),"?")&amp;RIGHT("0"&amp;DAY(B835),2)&amp;RIGHT("0"&amp;MONTH(B835),2)&amp;RIGHT(YEAR(B835),2)&amp;C835&amp;IF(E835="","","-"&amp;E835))</f>
        <v/>
      </c>
      <c r="G835" s="13"/>
      <c r="H835" s="13"/>
      <c r="I835" s="13"/>
      <c r="J835" s="13"/>
      <c r="K835" s="13"/>
      <c r="L835" s="13"/>
      <c r="M835" s="11" t="str">
        <f aca="false">IF(F835="","",COUNTIFS(ENSAYOS!$C$5:$C$3004,F835,ENSAYOS!$Q$5:$Q$3004,"&gt;0"))</f>
        <v/>
      </c>
      <c r="N835" s="15" t="str">
        <f aca="false">IF(N(M835)=0,"",_xlfn.MINIFS(ENSAYOS!$G$5:$G$3004,ENSAYOS!$C$5:$C$3004,F835,ENSAYOS!$Q$5:$Q$3004,"&gt;0"))</f>
        <v/>
      </c>
      <c r="O835" s="15" t="str">
        <f aca="false">IF(N(M835)=0,"",_xlfn.MAXIFS(ENSAYOS!$G$5:$G$3004,ENSAYOS!$C$5:$C$3004,F835,ENSAYOS!$Q$5:$Q$3004,"&gt;0"))</f>
        <v/>
      </c>
      <c r="P835" s="16" t="str">
        <f aca="false">IF(N(M835)=0,"",AVERAGEIFS(ENSAYOS!$Q$5:$Q$3004,ENSAYOS!$C$5:$C$3004,F835,ENSAYOS!$Q$5:$Q$3004,"&gt;0"))</f>
        <v/>
      </c>
      <c r="Q835" s="16" t="str">
        <f aca="false">IF(N(M835)=0,"",_xlfn.MINIFS(ENSAYOS!$Q$5:$Q$3004,ENSAYOS!$C$5:$C$3004,F835,ENSAYOS!$Q$5:$Q$3004,"&gt;0"))</f>
        <v/>
      </c>
      <c r="R835" s="16" t="str">
        <f aca="false">IF(N(M835)=0,"",_xlfn.MAXIFS(ENSAYOS!$Q$5:$Q$3004,ENSAYOS!$C$5:$C$3004,F835,ENSAYOS!$Q$5:$Q$3004,"&gt;0"))</f>
        <v/>
      </c>
      <c r="S835" s="16" t="str">
        <f aca="false">IF(N(M835)&lt;2,"",SQRT(MAX(0,(SUMIFS(ENSAYOS!$X$5:$X$3004,ENSAYOS!$C$5:$C$3004,F835,ENSAYOS!$Q$5:$Q$3004,"&gt;0")-M835*P835^2)/(M835-1))))</f>
        <v/>
      </c>
      <c r="T835" s="17" t="str">
        <f aca="false">IF(S835="","",S835/P835)</f>
        <v/>
      </c>
      <c r="U835" s="16" t="str">
        <f aca="false">IF(N(M835)=0,"",IF(N835&gt;=CONFIG!$B$27,"",AVERAGEIFS(ENSAYOS!$Q$5:$Q$3004,ENSAYOS!$C$5:$C$3004,F835,ENSAYOS!$Q$5:$Q$3004,"&gt;0",ENSAYOS!$G$5:$G$3004,N835)))</f>
        <v/>
      </c>
      <c r="V835" s="16" t="str">
        <f aca="false">IF(N(M835)=0,"",IF(COUNTIFS(ENSAYOS!$C$5:$C$3004,F835,ENSAYOS!$Q$5:$Q$3004,"&gt;0",ENSAYOS!$G$5:$G$3004,"&gt;="&amp;CONFIG!$B$27)=0,"",AVERAGEIFS(ENSAYOS!$Q$5:$Q$3004,ENSAYOS!$C$5:$C$3004,F835,ENSAYOS!$Q$5:$Q$3004,"&gt;0",ENSAYOS!$G$5:$G$3004,"&gt;="&amp;CONFIG!$B$27)))</f>
        <v/>
      </c>
      <c r="W835" s="18" t="str">
        <f aca="false">IF(AND(U835&lt;&gt;"",V835&lt;&gt;""),U835/V835,"")</f>
        <v/>
      </c>
      <c r="X835" s="18" t="str">
        <f aca="false">IF(U835="","",INDEX('CURVA EDAD'!$E$5:$E$32,MIN(28,MAX(1,N835))))</f>
        <v/>
      </c>
      <c r="Y835" s="16" t="str">
        <f aca="false">IF(V835&lt;&gt;"",V835,IF(U835="","",U835/X835))</f>
        <v/>
      </c>
      <c r="Z835" s="16" t="str">
        <f aca="false">IF(V835&lt;&gt;"",_xlfn.MINIFS(ENSAYOS!$Q$5:$Q$3004,ENSAYOS!$C$5:$C$3004,F835,ENSAYOS!$Q$5:$Q$3004,"&gt;0",ENSAYOS!$G$5:$G$3004,"&gt;="&amp;CONFIG!$B$27),IF(U835="","",_xlfn.MINIFS(ENSAYOS!$Q$5:$Q$3004,ENSAYOS!$C$5:$C$3004,F835,ENSAYOS!$Q$5:$Q$3004,"&gt;0",ENSAYOS!$G$5:$G$3004,N835)/X835))</f>
        <v/>
      </c>
      <c r="AA835" s="16" t="str">
        <f aca="false">IF(D835="","",IFERROR(1/(1/INDEX(CONFIG!$J$5:$J$14,MATCH(D835,CONFIG!$D$5:$D$14,0))),""))</f>
        <v/>
      </c>
      <c r="AB835" s="16" t="str">
        <f aca="false">IF(D835="","",IFERROR(1/(1/INDEX(CONFIG!$K$5:$K$14,MATCH(D835,CONFIG!$D$5:$D$14,0))),""))</f>
        <v/>
      </c>
      <c r="AC835" s="19" t="str">
        <f aca="false">IF(N(M835)=0,"",IF(AA835="","Sin spec",IF(AND(Y835&gt;=AA835,OR(AB835="",Z835&gt;=AB835)),"CUMPLE","NO CUMPLE")&amp;IF(V835=""," (est.)","")))</f>
        <v/>
      </c>
      <c r="AD835" s="20" t="str">
        <f aca="false">IF(F835="","",IF(COUNTIFS(ABSORCION!$C$5:$C$1004,F835,ABSORCION!$I$5:$I$1004,"&gt;0")=0,"",AVERAGEIFS(ABSORCION!$I$5:$I$1004,ABSORCION!$C$5:$C$1004,F835,ABSORCION!$I$5:$I$1004,"&gt;0")))</f>
        <v/>
      </c>
      <c r="AE835" s="20" t="str">
        <f aca="false">IF(F835="","",IF(COUNTIFS(ABSORCION!$C$5:$C$1004,F835,ABSORCION!$I$5:$I$1004,"&gt;0")=0,"",AVERAGEIFS(ABSORCION!$K$5:$K$1004,ABSORCION!$C$5:$C$1004,F835,ABSORCION!$I$5:$I$1004,"&gt;0")))</f>
        <v/>
      </c>
      <c r="AF835" s="20" t="str">
        <f aca="false">IF(AE835="","",IF(AE835&gt;=CONFIG!$E$21,CONFIG!$F$21,IF(AE835&gt;=CONFIG!$E$20,CONFIG!$F$20,CONFIG!$F$19)))</f>
        <v/>
      </c>
      <c r="AG835" s="21" t="str">
        <f aca="false">IF(F835="","",TRIM(IF(N(M835)=0,"Sin ensayos. ","")&amp;IF(AND(N(M835)&gt;0,N(M835)&lt;CONFIG!$B$26),"Menos de "&amp;CONFIG!$B$26&amp;" probetas. ","")&amp;IF(N(T835)&gt;CONFIG!$B$25,"CV alto. ","")&amp;IF(AND(N(AD835)&gt;0,N(AD835)&gt;N(AF835)),"Absorción alta. ","")))</f>
        <v/>
      </c>
      <c r="AH835" s="22" t="str">
        <f aca="false">IF(AND(N(M835)&gt;0,OR(CONTROL!$C$4="TODAS",C835=CONTROL!$C$4),D835=CONTROL!$C$5),MAX($AH$4:AH834)+1,"")</f>
        <v/>
      </c>
      <c r="AI835" s="22" t="str">
        <f aca="false">IF(AH835="","",P835^2)</f>
        <v/>
      </c>
    </row>
    <row r="836" customFormat="false" ht="15" hidden="false" customHeight="false" outlineLevel="0" collapsed="false">
      <c r="A836" s="11" t="str">
        <f aca="false">IF(B836="","",ROW()-4)</f>
        <v/>
      </c>
      <c r="B836" s="12"/>
      <c r="C836" s="13"/>
      <c r="D836" s="13"/>
      <c r="E836" s="13"/>
      <c r="F836" s="14" t="str">
        <f aca="false">IF(OR(B836="",C836="",D836=""),"",IFERROR(INDEX(CONFIG!$E$5:$E$14,MATCH(D836,CONFIG!$D$5:$D$14,0)),"?")&amp;RIGHT("0"&amp;DAY(B836),2)&amp;RIGHT("0"&amp;MONTH(B836),2)&amp;RIGHT(YEAR(B836),2)&amp;C836&amp;IF(E836="","","-"&amp;E836))</f>
        <v/>
      </c>
      <c r="G836" s="13"/>
      <c r="H836" s="13"/>
      <c r="I836" s="13"/>
      <c r="J836" s="13"/>
      <c r="K836" s="13"/>
      <c r="L836" s="13"/>
      <c r="M836" s="11" t="str">
        <f aca="false">IF(F836="","",COUNTIFS(ENSAYOS!$C$5:$C$3004,F836,ENSAYOS!$Q$5:$Q$3004,"&gt;0"))</f>
        <v/>
      </c>
      <c r="N836" s="15" t="str">
        <f aca="false">IF(N(M836)=0,"",_xlfn.MINIFS(ENSAYOS!$G$5:$G$3004,ENSAYOS!$C$5:$C$3004,F836,ENSAYOS!$Q$5:$Q$3004,"&gt;0"))</f>
        <v/>
      </c>
      <c r="O836" s="15" t="str">
        <f aca="false">IF(N(M836)=0,"",_xlfn.MAXIFS(ENSAYOS!$G$5:$G$3004,ENSAYOS!$C$5:$C$3004,F836,ENSAYOS!$Q$5:$Q$3004,"&gt;0"))</f>
        <v/>
      </c>
      <c r="P836" s="16" t="str">
        <f aca="false">IF(N(M836)=0,"",AVERAGEIFS(ENSAYOS!$Q$5:$Q$3004,ENSAYOS!$C$5:$C$3004,F836,ENSAYOS!$Q$5:$Q$3004,"&gt;0"))</f>
        <v/>
      </c>
      <c r="Q836" s="16" t="str">
        <f aca="false">IF(N(M836)=0,"",_xlfn.MINIFS(ENSAYOS!$Q$5:$Q$3004,ENSAYOS!$C$5:$C$3004,F836,ENSAYOS!$Q$5:$Q$3004,"&gt;0"))</f>
        <v/>
      </c>
      <c r="R836" s="16" t="str">
        <f aca="false">IF(N(M836)=0,"",_xlfn.MAXIFS(ENSAYOS!$Q$5:$Q$3004,ENSAYOS!$C$5:$C$3004,F836,ENSAYOS!$Q$5:$Q$3004,"&gt;0"))</f>
        <v/>
      </c>
      <c r="S836" s="16" t="str">
        <f aca="false">IF(N(M836)&lt;2,"",SQRT(MAX(0,(SUMIFS(ENSAYOS!$X$5:$X$3004,ENSAYOS!$C$5:$C$3004,F836,ENSAYOS!$Q$5:$Q$3004,"&gt;0")-M836*P836^2)/(M836-1))))</f>
        <v/>
      </c>
      <c r="T836" s="17" t="str">
        <f aca="false">IF(S836="","",S836/P836)</f>
        <v/>
      </c>
      <c r="U836" s="16" t="str">
        <f aca="false">IF(N(M836)=0,"",IF(N836&gt;=CONFIG!$B$27,"",AVERAGEIFS(ENSAYOS!$Q$5:$Q$3004,ENSAYOS!$C$5:$C$3004,F836,ENSAYOS!$Q$5:$Q$3004,"&gt;0",ENSAYOS!$G$5:$G$3004,N836)))</f>
        <v/>
      </c>
      <c r="V836" s="16" t="str">
        <f aca="false">IF(N(M836)=0,"",IF(COUNTIFS(ENSAYOS!$C$5:$C$3004,F836,ENSAYOS!$Q$5:$Q$3004,"&gt;0",ENSAYOS!$G$5:$G$3004,"&gt;="&amp;CONFIG!$B$27)=0,"",AVERAGEIFS(ENSAYOS!$Q$5:$Q$3004,ENSAYOS!$C$5:$C$3004,F836,ENSAYOS!$Q$5:$Q$3004,"&gt;0",ENSAYOS!$G$5:$G$3004,"&gt;="&amp;CONFIG!$B$27)))</f>
        <v/>
      </c>
      <c r="W836" s="18" t="str">
        <f aca="false">IF(AND(U836&lt;&gt;"",V836&lt;&gt;""),U836/V836,"")</f>
        <v/>
      </c>
      <c r="X836" s="18" t="str">
        <f aca="false">IF(U836="","",INDEX('CURVA EDAD'!$E$5:$E$32,MIN(28,MAX(1,N836))))</f>
        <v/>
      </c>
      <c r="Y836" s="16" t="str">
        <f aca="false">IF(V836&lt;&gt;"",V836,IF(U836="","",U836/X836))</f>
        <v/>
      </c>
      <c r="Z836" s="16" t="str">
        <f aca="false">IF(V836&lt;&gt;"",_xlfn.MINIFS(ENSAYOS!$Q$5:$Q$3004,ENSAYOS!$C$5:$C$3004,F836,ENSAYOS!$Q$5:$Q$3004,"&gt;0",ENSAYOS!$G$5:$G$3004,"&gt;="&amp;CONFIG!$B$27),IF(U836="","",_xlfn.MINIFS(ENSAYOS!$Q$5:$Q$3004,ENSAYOS!$C$5:$C$3004,F836,ENSAYOS!$Q$5:$Q$3004,"&gt;0",ENSAYOS!$G$5:$G$3004,N836)/X836))</f>
        <v/>
      </c>
      <c r="AA836" s="16" t="str">
        <f aca="false">IF(D836="","",IFERROR(1/(1/INDEX(CONFIG!$J$5:$J$14,MATCH(D836,CONFIG!$D$5:$D$14,0))),""))</f>
        <v/>
      </c>
      <c r="AB836" s="16" t="str">
        <f aca="false">IF(D836="","",IFERROR(1/(1/INDEX(CONFIG!$K$5:$K$14,MATCH(D836,CONFIG!$D$5:$D$14,0))),""))</f>
        <v/>
      </c>
      <c r="AC836" s="19" t="str">
        <f aca="false">IF(N(M836)=0,"",IF(AA836="","Sin spec",IF(AND(Y836&gt;=AA836,OR(AB836="",Z836&gt;=AB836)),"CUMPLE","NO CUMPLE")&amp;IF(V836=""," (est.)","")))</f>
        <v/>
      </c>
      <c r="AD836" s="20" t="str">
        <f aca="false">IF(F836="","",IF(COUNTIFS(ABSORCION!$C$5:$C$1004,F836,ABSORCION!$I$5:$I$1004,"&gt;0")=0,"",AVERAGEIFS(ABSORCION!$I$5:$I$1004,ABSORCION!$C$5:$C$1004,F836,ABSORCION!$I$5:$I$1004,"&gt;0")))</f>
        <v/>
      </c>
      <c r="AE836" s="20" t="str">
        <f aca="false">IF(F836="","",IF(COUNTIFS(ABSORCION!$C$5:$C$1004,F836,ABSORCION!$I$5:$I$1004,"&gt;0")=0,"",AVERAGEIFS(ABSORCION!$K$5:$K$1004,ABSORCION!$C$5:$C$1004,F836,ABSORCION!$I$5:$I$1004,"&gt;0")))</f>
        <v/>
      </c>
      <c r="AF836" s="20" t="str">
        <f aca="false">IF(AE836="","",IF(AE836&gt;=CONFIG!$E$21,CONFIG!$F$21,IF(AE836&gt;=CONFIG!$E$20,CONFIG!$F$20,CONFIG!$F$19)))</f>
        <v/>
      </c>
      <c r="AG836" s="21" t="str">
        <f aca="false">IF(F836="","",TRIM(IF(N(M836)=0,"Sin ensayos. ","")&amp;IF(AND(N(M836)&gt;0,N(M836)&lt;CONFIG!$B$26),"Menos de "&amp;CONFIG!$B$26&amp;" probetas. ","")&amp;IF(N(T836)&gt;CONFIG!$B$25,"CV alto. ","")&amp;IF(AND(N(AD836)&gt;0,N(AD836)&gt;N(AF836)),"Absorción alta. ","")))</f>
        <v/>
      </c>
      <c r="AH836" s="22" t="str">
        <f aca="false">IF(AND(N(M836)&gt;0,OR(CONTROL!$C$4="TODAS",C836=CONTROL!$C$4),D836=CONTROL!$C$5),MAX($AH$4:AH835)+1,"")</f>
        <v/>
      </c>
      <c r="AI836" s="22" t="str">
        <f aca="false">IF(AH836="","",P836^2)</f>
        <v/>
      </c>
    </row>
    <row r="837" customFormat="false" ht="15" hidden="false" customHeight="false" outlineLevel="0" collapsed="false">
      <c r="A837" s="11" t="str">
        <f aca="false">IF(B837="","",ROW()-4)</f>
        <v/>
      </c>
      <c r="B837" s="12"/>
      <c r="C837" s="13"/>
      <c r="D837" s="13"/>
      <c r="E837" s="13"/>
      <c r="F837" s="14" t="str">
        <f aca="false">IF(OR(B837="",C837="",D837=""),"",IFERROR(INDEX(CONFIG!$E$5:$E$14,MATCH(D837,CONFIG!$D$5:$D$14,0)),"?")&amp;RIGHT("0"&amp;DAY(B837),2)&amp;RIGHT("0"&amp;MONTH(B837),2)&amp;RIGHT(YEAR(B837),2)&amp;C837&amp;IF(E837="","","-"&amp;E837))</f>
        <v/>
      </c>
      <c r="G837" s="13"/>
      <c r="H837" s="13"/>
      <c r="I837" s="13"/>
      <c r="J837" s="13"/>
      <c r="K837" s="13"/>
      <c r="L837" s="13"/>
      <c r="M837" s="11" t="str">
        <f aca="false">IF(F837="","",COUNTIFS(ENSAYOS!$C$5:$C$3004,F837,ENSAYOS!$Q$5:$Q$3004,"&gt;0"))</f>
        <v/>
      </c>
      <c r="N837" s="15" t="str">
        <f aca="false">IF(N(M837)=0,"",_xlfn.MINIFS(ENSAYOS!$G$5:$G$3004,ENSAYOS!$C$5:$C$3004,F837,ENSAYOS!$Q$5:$Q$3004,"&gt;0"))</f>
        <v/>
      </c>
      <c r="O837" s="15" t="str">
        <f aca="false">IF(N(M837)=0,"",_xlfn.MAXIFS(ENSAYOS!$G$5:$G$3004,ENSAYOS!$C$5:$C$3004,F837,ENSAYOS!$Q$5:$Q$3004,"&gt;0"))</f>
        <v/>
      </c>
      <c r="P837" s="16" t="str">
        <f aca="false">IF(N(M837)=0,"",AVERAGEIFS(ENSAYOS!$Q$5:$Q$3004,ENSAYOS!$C$5:$C$3004,F837,ENSAYOS!$Q$5:$Q$3004,"&gt;0"))</f>
        <v/>
      </c>
      <c r="Q837" s="16" t="str">
        <f aca="false">IF(N(M837)=0,"",_xlfn.MINIFS(ENSAYOS!$Q$5:$Q$3004,ENSAYOS!$C$5:$C$3004,F837,ENSAYOS!$Q$5:$Q$3004,"&gt;0"))</f>
        <v/>
      </c>
      <c r="R837" s="16" t="str">
        <f aca="false">IF(N(M837)=0,"",_xlfn.MAXIFS(ENSAYOS!$Q$5:$Q$3004,ENSAYOS!$C$5:$C$3004,F837,ENSAYOS!$Q$5:$Q$3004,"&gt;0"))</f>
        <v/>
      </c>
      <c r="S837" s="16" t="str">
        <f aca="false">IF(N(M837)&lt;2,"",SQRT(MAX(0,(SUMIFS(ENSAYOS!$X$5:$X$3004,ENSAYOS!$C$5:$C$3004,F837,ENSAYOS!$Q$5:$Q$3004,"&gt;0")-M837*P837^2)/(M837-1))))</f>
        <v/>
      </c>
      <c r="T837" s="17" t="str">
        <f aca="false">IF(S837="","",S837/P837)</f>
        <v/>
      </c>
      <c r="U837" s="16" t="str">
        <f aca="false">IF(N(M837)=0,"",IF(N837&gt;=CONFIG!$B$27,"",AVERAGEIFS(ENSAYOS!$Q$5:$Q$3004,ENSAYOS!$C$5:$C$3004,F837,ENSAYOS!$Q$5:$Q$3004,"&gt;0",ENSAYOS!$G$5:$G$3004,N837)))</f>
        <v/>
      </c>
      <c r="V837" s="16" t="str">
        <f aca="false">IF(N(M837)=0,"",IF(COUNTIFS(ENSAYOS!$C$5:$C$3004,F837,ENSAYOS!$Q$5:$Q$3004,"&gt;0",ENSAYOS!$G$5:$G$3004,"&gt;="&amp;CONFIG!$B$27)=0,"",AVERAGEIFS(ENSAYOS!$Q$5:$Q$3004,ENSAYOS!$C$5:$C$3004,F837,ENSAYOS!$Q$5:$Q$3004,"&gt;0",ENSAYOS!$G$5:$G$3004,"&gt;="&amp;CONFIG!$B$27)))</f>
        <v/>
      </c>
      <c r="W837" s="18" t="str">
        <f aca="false">IF(AND(U837&lt;&gt;"",V837&lt;&gt;""),U837/V837,"")</f>
        <v/>
      </c>
      <c r="X837" s="18" t="str">
        <f aca="false">IF(U837="","",INDEX('CURVA EDAD'!$E$5:$E$32,MIN(28,MAX(1,N837))))</f>
        <v/>
      </c>
      <c r="Y837" s="16" t="str">
        <f aca="false">IF(V837&lt;&gt;"",V837,IF(U837="","",U837/X837))</f>
        <v/>
      </c>
      <c r="Z837" s="16" t="str">
        <f aca="false">IF(V837&lt;&gt;"",_xlfn.MINIFS(ENSAYOS!$Q$5:$Q$3004,ENSAYOS!$C$5:$C$3004,F837,ENSAYOS!$Q$5:$Q$3004,"&gt;0",ENSAYOS!$G$5:$G$3004,"&gt;="&amp;CONFIG!$B$27),IF(U837="","",_xlfn.MINIFS(ENSAYOS!$Q$5:$Q$3004,ENSAYOS!$C$5:$C$3004,F837,ENSAYOS!$Q$5:$Q$3004,"&gt;0",ENSAYOS!$G$5:$G$3004,N837)/X837))</f>
        <v/>
      </c>
      <c r="AA837" s="16" t="str">
        <f aca="false">IF(D837="","",IFERROR(1/(1/INDEX(CONFIG!$J$5:$J$14,MATCH(D837,CONFIG!$D$5:$D$14,0))),""))</f>
        <v/>
      </c>
      <c r="AB837" s="16" t="str">
        <f aca="false">IF(D837="","",IFERROR(1/(1/INDEX(CONFIG!$K$5:$K$14,MATCH(D837,CONFIG!$D$5:$D$14,0))),""))</f>
        <v/>
      </c>
      <c r="AC837" s="19" t="str">
        <f aca="false">IF(N(M837)=0,"",IF(AA837="","Sin spec",IF(AND(Y837&gt;=AA837,OR(AB837="",Z837&gt;=AB837)),"CUMPLE","NO CUMPLE")&amp;IF(V837=""," (est.)","")))</f>
        <v/>
      </c>
      <c r="AD837" s="20" t="str">
        <f aca="false">IF(F837="","",IF(COUNTIFS(ABSORCION!$C$5:$C$1004,F837,ABSORCION!$I$5:$I$1004,"&gt;0")=0,"",AVERAGEIFS(ABSORCION!$I$5:$I$1004,ABSORCION!$C$5:$C$1004,F837,ABSORCION!$I$5:$I$1004,"&gt;0")))</f>
        <v/>
      </c>
      <c r="AE837" s="20" t="str">
        <f aca="false">IF(F837="","",IF(COUNTIFS(ABSORCION!$C$5:$C$1004,F837,ABSORCION!$I$5:$I$1004,"&gt;0")=0,"",AVERAGEIFS(ABSORCION!$K$5:$K$1004,ABSORCION!$C$5:$C$1004,F837,ABSORCION!$I$5:$I$1004,"&gt;0")))</f>
        <v/>
      </c>
      <c r="AF837" s="20" t="str">
        <f aca="false">IF(AE837="","",IF(AE837&gt;=CONFIG!$E$21,CONFIG!$F$21,IF(AE837&gt;=CONFIG!$E$20,CONFIG!$F$20,CONFIG!$F$19)))</f>
        <v/>
      </c>
      <c r="AG837" s="21" t="str">
        <f aca="false">IF(F837="","",TRIM(IF(N(M837)=0,"Sin ensayos. ","")&amp;IF(AND(N(M837)&gt;0,N(M837)&lt;CONFIG!$B$26),"Menos de "&amp;CONFIG!$B$26&amp;" probetas. ","")&amp;IF(N(T837)&gt;CONFIG!$B$25,"CV alto. ","")&amp;IF(AND(N(AD837)&gt;0,N(AD837)&gt;N(AF837)),"Absorción alta. ","")))</f>
        <v/>
      </c>
      <c r="AH837" s="22" t="str">
        <f aca="false">IF(AND(N(M837)&gt;0,OR(CONTROL!$C$4="TODAS",C837=CONTROL!$C$4),D837=CONTROL!$C$5),MAX($AH$4:AH836)+1,"")</f>
        <v/>
      </c>
      <c r="AI837" s="22" t="str">
        <f aca="false">IF(AH837="","",P837^2)</f>
        <v/>
      </c>
    </row>
    <row r="838" customFormat="false" ht="15" hidden="false" customHeight="false" outlineLevel="0" collapsed="false">
      <c r="A838" s="11" t="str">
        <f aca="false">IF(B838="","",ROW()-4)</f>
        <v/>
      </c>
      <c r="B838" s="12"/>
      <c r="C838" s="13"/>
      <c r="D838" s="13"/>
      <c r="E838" s="13"/>
      <c r="F838" s="14" t="str">
        <f aca="false">IF(OR(B838="",C838="",D838=""),"",IFERROR(INDEX(CONFIG!$E$5:$E$14,MATCH(D838,CONFIG!$D$5:$D$14,0)),"?")&amp;RIGHT("0"&amp;DAY(B838),2)&amp;RIGHT("0"&amp;MONTH(B838),2)&amp;RIGHT(YEAR(B838),2)&amp;C838&amp;IF(E838="","","-"&amp;E838))</f>
        <v/>
      </c>
      <c r="G838" s="13"/>
      <c r="H838" s="13"/>
      <c r="I838" s="13"/>
      <c r="J838" s="13"/>
      <c r="K838" s="13"/>
      <c r="L838" s="13"/>
      <c r="M838" s="11" t="str">
        <f aca="false">IF(F838="","",COUNTIFS(ENSAYOS!$C$5:$C$3004,F838,ENSAYOS!$Q$5:$Q$3004,"&gt;0"))</f>
        <v/>
      </c>
      <c r="N838" s="15" t="str">
        <f aca="false">IF(N(M838)=0,"",_xlfn.MINIFS(ENSAYOS!$G$5:$G$3004,ENSAYOS!$C$5:$C$3004,F838,ENSAYOS!$Q$5:$Q$3004,"&gt;0"))</f>
        <v/>
      </c>
      <c r="O838" s="15" t="str">
        <f aca="false">IF(N(M838)=0,"",_xlfn.MAXIFS(ENSAYOS!$G$5:$G$3004,ENSAYOS!$C$5:$C$3004,F838,ENSAYOS!$Q$5:$Q$3004,"&gt;0"))</f>
        <v/>
      </c>
      <c r="P838" s="16" t="str">
        <f aca="false">IF(N(M838)=0,"",AVERAGEIFS(ENSAYOS!$Q$5:$Q$3004,ENSAYOS!$C$5:$C$3004,F838,ENSAYOS!$Q$5:$Q$3004,"&gt;0"))</f>
        <v/>
      </c>
      <c r="Q838" s="16" t="str">
        <f aca="false">IF(N(M838)=0,"",_xlfn.MINIFS(ENSAYOS!$Q$5:$Q$3004,ENSAYOS!$C$5:$C$3004,F838,ENSAYOS!$Q$5:$Q$3004,"&gt;0"))</f>
        <v/>
      </c>
      <c r="R838" s="16" t="str">
        <f aca="false">IF(N(M838)=0,"",_xlfn.MAXIFS(ENSAYOS!$Q$5:$Q$3004,ENSAYOS!$C$5:$C$3004,F838,ENSAYOS!$Q$5:$Q$3004,"&gt;0"))</f>
        <v/>
      </c>
      <c r="S838" s="16" t="str">
        <f aca="false">IF(N(M838)&lt;2,"",SQRT(MAX(0,(SUMIFS(ENSAYOS!$X$5:$X$3004,ENSAYOS!$C$5:$C$3004,F838,ENSAYOS!$Q$5:$Q$3004,"&gt;0")-M838*P838^2)/(M838-1))))</f>
        <v/>
      </c>
      <c r="T838" s="17" t="str">
        <f aca="false">IF(S838="","",S838/P838)</f>
        <v/>
      </c>
      <c r="U838" s="16" t="str">
        <f aca="false">IF(N(M838)=0,"",IF(N838&gt;=CONFIG!$B$27,"",AVERAGEIFS(ENSAYOS!$Q$5:$Q$3004,ENSAYOS!$C$5:$C$3004,F838,ENSAYOS!$Q$5:$Q$3004,"&gt;0",ENSAYOS!$G$5:$G$3004,N838)))</f>
        <v/>
      </c>
      <c r="V838" s="16" t="str">
        <f aca="false">IF(N(M838)=0,"",IF(COUNTIFS(ENSAYOS!$C$5:$C$3004,F838,ENSAYOS!$Q$5:$Q$3004,"&gt;0",ENSAYOS!$G$5:$G$3004,"&gt;="&amp;CONFIG!$B$27)=0,"",AVERAGEIFS(ENSAYOS!$Q$5:$Q$3004,ENSAYOS!$C$5:$C$3004,F838,ENSAYOS!$Q$5:$Q$3004,"&gt;0",ENSAYOS!$G$5:$G$3004,"&gt;="&amp;CONFIG!$B$27)))</f>
        <v/>
      </c>
      <c r="W838" s="18" t="str">
        <f aca="false">IF(AND(U838&lt;&gt;"",V838&lt;&gt;""),U838/V838,"")</f>
        <v/>
      </c>
      <c r="X838" s="18" t="str">
        <f aca="false">IF(U838="","",INDEX('CURVA EDAD'!$E$5:$E$32,MIN(28,MAX(1,N838))))</f>
        <v/>
      </c>
      <c r="Y838" s="16" t="str">
        <f aca="false">IF(V838&lt;&gt;"",V838,IF(U838="","",U838/X838))</f>
        <v/>
      </c>
      <c r="Z838" s="16" t="str">
        <f aca="false">IF(V838&lt;&gt;"",_xlfn.MINIFS(ENSAYOS!$Q$5:$Q$3004,ENSAYOS!$C$5:$C$3004,F838,ENSAYOS!$Q$5:$Q$3004,"&gt;0",ENSAYOS!$G$5:$G$3004,"&gt;="&amp;CONFIG!$B$27),IF(U838="","",_xlfn.MINIFS(ENSAYOS!$Q$5:$Q$3004,ENSAYOS!$C$5:$C$3004,F838,ENSAYOS!$Q$5:$Q$3004,"&gt;0",ENSAYOS!$G$5:$G$3004,N838)/X838))</f>
        <v/>
      </c>
      <c r="AA838" s="16" t="str">
        <f aca="false">IF(D838="","",IFERROR(1/(1/INDEX(CONFIG!$J$5:$J$14,MATCH(D838,CONFIG!$D$5:$D$14,0))),""))</f>
        <v/>
      </c>
      <c r="AB838" s="16" t="str">
        <f aca="false">IF(D838="","",IFERROR(1/(1/INDEX(CONFIG!$K$5:$K$14,MATCH(D838,CONFIG!$D$5:$D$14,0))),""))</f>
        <v/>
      </c>
      <c r="AC838" s="19" t="str">
        <f aca="false">IF(N(M838)=0,"",IF(AA838="","Sin spec",IF(AND(Y838&gt;=AA838,OR(AB838="",Z838&gt;=AB838)),"CUMPLE","NO CUMPLE")&amp;IF(V838=""," (est.)","")))</f>
        <v/>
      </c>
      <c r="AD838" s="20" t="str">
        <f aca="false">IF(F838="","",IF(COUNTIFS(ABSORCION!$C$5:$C$1004,F838,ABSORCION!$I$5:$I$1004,"&gt;0")=0,"",AVERAGEIFS(ABSORCION!$I$5:$I$1004,ABSORCION!$C$5:$C$1004,F838,ABSORCION!$I$5:$I$1004,"&gt;0")))</f>
        <v/>
      </c>
      <c r="AE838" s="20" t="str">
        <f aca="false">IF(F838="","",IF(COUNTIFS(ABSORCION!$C$5:$C$1004,F838,ABSORCION!$I$5:$I$1004,"&gt;0")=0,"",AVERAGEIFS(ABSORCION!$K$5:$K$1004,ABSORCION!$C$5:$C$1004,F838,ABSORCION!$I$5:$I$1004,"&gt;0")))</f>
        <v/>
      </c>
      <c r="AF838" s="20" t="str">
        <f aca="false">IF(AE838="","",IF(AE838&gt;=CONFIG!$E$21,CONFIG!$F$21,IF(AE838&gt;=CONFIG!$E$20,CONFIG!$F$20,CONFIG!$F$19)))</f>
        <v/>
      </c>
      <c r="AG838" s="21" t="str">
        <f aca="false">IF(F838="","",TRIM(IF(N(M838)=0,"Sin ensayos. ","")&amp;IF(AND(N(M838)&gt;0,N(M838)&lt;CONFIG!$B$26),"Menos de "&amp;CONFIG!$B$26&amp;" probetas. ","")&amp;IF(N(T838)&gt;CONFIG!$B$25,"CV alto. ","")&amp;IF(AND(N(AD838)&gt;0,N(AD838)&gt;N(AF838)),"Absorción alta. ","")))</f>
        <v/>
      </c>
      <c r="AH838" s="22" t="str">
        <f aca="false">IF(AND(N(M838)&gt;0,OR(CONTROL!$C$4="TODAS",C838=CONTROL!$C$4),D838=CONTROL!$C$5),MAX($AH$4:AH837)+1,"")</f>
        <v/>
      </c>
      <c r="AI838" s="22" t="str">
        <f aca="false">IF(AH838="","",P838^2)</f>
        <v/>
      </c>
    </row>
    <row r="839" customFormat="false" ht="15" hidden="false" customHeight="false" outlineLevel="0" collapsed="false">
      <c r="A839" s="11" t="str">
        <f aca="false">IF(B839="","",ROW()-4)</f>
        <v/>
      </c>
      <c r="B839" s="12"/>
      <c r="C839" s="13"/>
      <c r="D839" s="13"/>
      <c r="E839" s="13"/>
      <c r="F839" s="14" t="str">
        <f aca="false">IF(OR(B839="",C839="",D839=""),"",IFERROR(INDEX(CONFIG!$E$5:$E$14,MATCH(D839,CONFIG!$D$5:$D$14,0)),"?")&amp;RIGHT("0"&amp;DAY(B839),2)&amp;RIGHT("0"&amp;MONTH(B839),2)&amp;RIGHT(YEAR(B839),2)&amp;C839&amp;IF(E839="","","-"&amp;E839))</f>
        <v/>
      </c>
      <c r="G839" s="13"/>
      <c r="H839" s="13"/>
      <c r="I839" s="13"/>
      <c r="J839" s="13"/>
      <c r="K839" s="13"/>
      <c r="L839" s="13"/>
      <c r="M839" s="11" t="str">
        <f aca="false">IF(F839="","",COUNTIFS(ENSAYOS!$C$5:$C$3004,F839,ENSAYOS!$Q$5:$Q$3004,"&gt;0"))</f>
        <v/>
      </c>
      <c r="N839" s="15" t="str">
        <f aca="false">IF(N(M839)=0,"",_xlfn.MINIFS(ENSAYOS!$G$5:$G$3004,ENSAYOS!$C$5:$C$3004,F839,ENSAYOS!$Q$5:$Q$3004,"&gt;0"))</f>
        <v/>
      </c>
      <c r="O839" s="15" t="str">
        <f aca="false">IF(N(M839)=0,"",_xlfn.MAXIFS(ENSAYOS!$G$5:$G$3004,ENSAYOS!$C$5:$C$3004,F839,ENSAYOS!$Q$5:$Q$3004,"&gt;0"))</f>
        <v/>
      </c>
      <c r="P839" s="16" t="str">
        <f aca="false">IF(N(M839)=0,"",AVERAGEIFS(ENSAYOS!$Q$5:$Q$3004,ENSAYOS!$C$5:$C$3004,F839,ENSAYOS!$Q$5:$Q$3004,"&gt;0"))</f>
        <v/>
      </c>
      <c r="Q839" s="16" t="str">
        <f aca="false">IF(N(M839)=0,"",_xlfn.MINIFS(ENSAYOS!$Q$5:$Q$3004,ENSAYOS!$C$5:$C$3004,F839,ENSAYOS!$Q$5:$Q$3004,"&gt;0"))</f>
        <v/>
      </c>
      <c r="R839" s="16" t="str">
        <f aca="false">IF(N(M839)=0,"",_xlfn.MAXIFS(ENSAYOS!$Q$5:$Q$3004,ENSAYOS!$C$5:$C$3004,F839,ENSAYOS!$Q$5:$Q$3004,"&gt;0"))</f>
        <v/>
      </c>
      <c r="S839" s="16" t="str">
        <f aca="false">IF(N(M839)&lt;2,"",SQRT(MAX(0,(SUMIFS(ENSAYOS!$X$5:$X$3004,ENSAYOS!$C$5:$C$3004,F839,ENSAYOS!$Q$5:$Q$3004,"&gt;0")-M839*P839^2)/(M839-1))))</f>
        <v/>
      </c>
      <c r="T839" s="17" t="str">
        <f aca="false">IF(S839="","",S839/P839)</f>
        <v/>
      </c>
      <c r="U839" s="16" t="str">
        <f aca="false">IF(N(M839)=0,"",IF(N839&gt;=CONFIG!$B$27,"",AVERAGEIFS(ENSAYOS!$Q$5:$Q$3004,ENSAYOS!$C$5:$C$3004,F839,ENSAYOS!$Q$5:$Q$3004,"&gt;0",ENSAYOS!$G$5:$G$3004,N839)))</f>
        <v/>
      </c>
      <c r="V839" s="16" t="str">
        <f aca="false">IF(N(M839)=0,"",IF(COUNTIFS(ENSAYOS!$C$5:$C$3004,F839,ENSAYOS!$Q$5:$Q$3004,"&gt;0",ENSAYOS!$G$5:$G$3004,"&gt;="&amp;CONFIG!$B$27)=0,"",AVERAGEIFS(ENSAYOS!$Q$5:$Q$3004,ENSAYOS!$C$5:$C$3004,F839,ENSAYOS!$Q$5:$Q$3004,"&gt;0",ENSAYOS!$G$5:$G$3004,"&gt;="&amp;CONFIG!$B$27)))</f>
        <v/>
      </c>
      <c r="W839" s="18" t="str">
        <f aca="false">IF(AND(U839&lt;&gt;"",V839&lt;&gt;""),U839/V839,"")</f>
        <v/>
      </c>
      <c r="X839" s="18" t="str">
        <f aca="false">IF(U839="","",INDEX('CURVA EDAD'!$E$5:$E$32,MIN(28,MAX(1,N839))))</f>
        <v/>
      </c>
      <c r="Y839" s="16" t="str">
        <f aca="false">IF(V839&lt;&gt;"",V839,IF(U839="","",U839/X839))</f>
        <v/>
      </c>
      <c r="Z839" s="16" t="str">
        <f aca="false">IF(V839&lt;&gt;"",_xlfn.MINIFS(ENSAYOS!$Q$5:$Q$3004,ENSAYOS!$C$5:$C$3004,F839,ENSAYOS!$Q$5:$Q$3004,"&gt;0",ENSAYOS!$G$5:$G$3004,"&gt;="&amp;CONFIG!$B$27),IF(U839="","",_xlfn.MINIFS(ENSAYOS!$Q$5:$Q$3004,ENSAYOS!$C$5:$C$3004,F839,ENSAYOS!$Q$5:$Q$3004,"&gt;0",ENSAYOS!$G$5:$G$3004,N839)/X839))</f>
        <v/>
      </c>
      <c r="AA839" s="16" t="str">
        <f aca="false">IF(D839="","",IFERROR(1/(1/INDEX(CONFIG!$J$5:$J$14,MATCH(D839,CONFIG!$D$5:$D$14,0))),""))</f>
        <v/>
      </c>
      <c r="AB839" s="16" t="str">
        <f aca="false">IF(D839="","",IFERROR(1/(1/INDEX(CONFIG!$K$5:$K$14,MATCH(D839,CONFIG!$D$5:$D$14,0))),""))</f>
        <v/>
      </c>
      <c r="AC839" s="19" t="str">
        <f aca="false">IF(N(M839)=0,"",IF(AA839="","Sin spec",IF(AND(Y839&gt;=AA839,OR(AB839="",Z839&gt;=AB839)),"CUMPLE","NO CUMPLE")&amp;IF(V839=""," (est.)","")))</f>
        <v/>
      </c>
      <c r="AD839" s="20" t="str">
        <f aca="false">IF(F839="","",IF(COUNTIFS(ABSORCION!$C$5:$C$1004,F839,ABSORCION!$I$5:$I$1004,"&gt;0")=0,"",AVERAGEIFS(ABSORCION!$I$5:$I$1004,ABSORCION!$C$5:$C$1004,F839,ABSORCION!$I$5:$I$1004,"&gt;0")))</f>
        <v/>
      </c>
      <c r="AE839" s="20" t="str">
        <f aca="false">IF(F839="","",IF(COUNTIFS(ABSORCION!$C$5:$C$1004,F839,ABSORCION!$I$5:$I$1004,"&gt;0")=0,"",AVERAGEIFS(ABSORCION!$K$5:$K$1004,ABSORCION!$C$5:$C$1004,F839,ABSORCION!$I$5:$I$1004,"&gt;0")))</f>
        <v/>
      </c>
      <c r="AF839" s="20" t="str">
        <f aca="false">IF(AE839="","",IF(AE839&gt;=CONFIG!$E$21,CONFIG!$F$21,IF(AE839&gt;=CONFIG!$E$20,CONFIG!$F$20,CONFIG!$F$19)))</f>
        <v/>
      </c>
      <c r="AG839" s="21" t="str">
        <f aca="false">IF(F839="","",TRIM(IF(N(M839)=0,"Sin ensayos. ","")&amp;IF(AND(N(M839)&gt;0,N(M839)&lt;CONFIG!$B$26),"Menos de "&amp;CONFIG!$B$26&amp;" probetas. ","")&amp;IF(N(T839)&gt;CONFIG!$B$25,"CV alto. ","")&amp;IF(AND(N(AD839)&gt;0,N(AD839)&gt;N(AF839)),"Absorción alta. ","")))</f>
        <v/>
      </c>
      <c r="AH839" s="22" t="str">
        <f aca="false">IF(AND(N(M839)&gt;0,OR(CONTROL!$C$4="TODAS",C839=CONTROL!$C$4),D839=CONTROL!$C$5),MAX($AH$4:AH838)+1,"")</f>
        <v/>
      </c>
      <c r="AI839" s="22" t="str">
        <f aca="false">IF(AH839="","",P839^2)</f>
        <v/>
      </c>
    </row>
    <row r="840" customFormat="false" ht="15" hidden="false" customHeight="false" outlineLevel="0" collapsed="false">
      <c r="A840" s="11" t="str">
        <f aca="false">IF(B840="","",ROW()-4)</f>
        <v/>
      </c>
      <c r="B840" s="12"/>
      <c r="C840" s="13"/>
      <c r="D840" s="13"/>
      <c r="E840" s="13"/>
      <c r="F840" s="14" t="str">
        <f aca="false">IF(OR(B840="",C840="",D840=""),"",IFERROR(INDEX(CONFIG!$E$5:$E$14,MATCH(D840,CONFIG!$D$5:$D$14,0)),"?")&amp;RIGHT("0"&amp;DAY(B840),2)&amp;RIGHT("0"&amp;MONTH(B840),2)&amp;RIGHT(YEAR(B840),2)&amp;C840&amp;IF(E840="","","-"&amp;E840))</f>
        <v/>
      </c>
      <c r="G840" s="13"/>
      <c r="H840" s="13"/>
      <c r="I840" s="13"/>
      <c r="J840" s="13"/>
      <c r="K840" s="13"/>
      <c r="L840" s="13"/>
      <c r="M840" s="11" t="str">
        <f aca="false">IF(F840="","",COUNTIFS(ENSAYOS!$C$5:$C$3004,F840,ENSAYOS!$Q$5:$Q$3004,"&gt;0"))</f>
        <v/>
      </c>
      <c r="N840" s="15" t="str">
        <f aca="false">IF(N(M840)=0,"",_xlfn.MINIFS(ENSAYOS!$G$5:$G$3004,ENSAYOS!$C$5:$C$3004,F840,ENSAYOS!$Q$5:$Q$3004,"&gt;0"))</f>
        <v/>
      </c>
      <c r="O840" s="15" t="str">
        <f aca="false">IF(N(M840)=0,"",_xlfn.MAXIFS(ENSAYOS!$G$5:$G$3004,ENSAYOS!$C$5:$C$3004,F840,ENSAYOS!$Q$5:$Q$3004,"&gt;0"))</f>
        <v/>
      </c>
      <c r="P840" s="16" t="str">
        <f aca="false">IF(N(M840)=0,"",AVERAGEIFS(ENSAYOS!$Q$5:$Q$3004,ENSAYOS!$C$5:$C$3004,F840,ENSAYOS!$Q$5:$Q$3004,"&gt;0"))</f>
        <v/>
      </c>
      <c r="Q840" s="16" t="str">
        <f aca="false">IF(N(M840)=0,"",_xlfn.MINIFS(ENSAYOS!$Q$5:$Q$3004,ENSAYOS!$C$5:$C$3004,F840,ENSAYOS!$Q$5:$Q$3004,"&gt;0"))</f>
        <v/>
      </c>
      <c r="R840" s="16" t="str">
        <f aca="false">IF(N(M840)=0,"",_xlfn.MAXIFS(ENSAYOS!$Q$5:$Q$3004,ENSAYOS!$C$5:$C$3004,F840,ENSAYOS!$Q$5:$Q$3004,"&gt;0"))</f>
        <v/>
      </c>
      <c r="S840" s="16" t="str">
        <f aca="false">IF(N(M840)&lt;2,"",SQRT(MAX(0,(SUMIFS(ENSAYOS!$X$5:$X$3004,ENSAYOS!$C$5:$C$3004,F840,ENSAYOS!$Q$5:$Q$3004,"&gt;0")-M840*P840^2)/(M840-1))))</f>
        <v/>
      </c>
      <c r="T840" s="17" t="str">
        <f aca="false">IF(S840="","",S840/P840)</f>
        <v/>
      </c>
      <c r="U840" s="16" t="str">
        <f aca="false">IF(N(M840)=0,"",IF(N840&gt;=CONFIG!$B$27,"",AVERAGEIFS(ENSAYOS!$Q$5:$Q$3004,ENSAYOS!$C$5:$C$3004,F840,ENSAYOS!$Q$5:$Q$3004,"&gt;0",ENSAYOS!$G$5:$G$3004,N840)))</f>
        <v/>
      </c>
      <c r="V840" s="16" t="str">
        <f aca="false">IF(N(M840)=0,"",IF(COUNTIFS(ENSAYOS!$C$5:$C$3004,F840,ENSAYOS!$Q$5:$Q$3004,"&gt;0",ENSAYOS!$G$5:$G$3004,"&gt;="&amp;CONFIG!$B$27)=0,"",AVERAGEIFS(ENSAYOS!$Q$5:$Q$3004,ENSAYOS!$C$5:$C$3004,F840,ENSAYOS!$Q$5:$Q$3004,"&gt;0",ENSAYOS!$G$5:$G$3004,"&gt;="&amp;CONFIG!$B$27)))</f>
        <v/>
      </c>
      <c r="W840" s="18" t="str">
        <f aca="false">IF(AND(U840&lt;&gt;"",V840&lt;&gt;""),U840/V840,"")</f>
        <v/>
      </c>
      <c r="X840" s="18" t="str">
        <f aca="false">IF(U840="","",INDEX('CURVA EDAD'!$E$5:$E$32,MIN(28,MAX(1,N840))))</f>
        <v/>
      </c>
      <c r="Y840" s="16" t="str">
        <f aca="false">IF(V840&lt;&gt;"",V840,IF(U840="","",U840/X840))</f>
        <v/>
      </c>
      <c r="Z840" s="16" t="str">
        <f aca="false">IF(V840&lt;&gt;"",_xlfn.MINIFS(ENSAYOS!$Q$5:$Q$3004,ENSAYOS!$C$5:$C$3004,F840,ENSAYOS!$Q$5:$Q$3004,"&gt;0",ENSAYOS!$G$5:$G$3004,"&gt;="&amp;CONFIG!$B$27),IF(U840="","",_xlfn.MINIFS(ENSAYOS!$Q$5:$Q$3004,ENSAYOS!$C$5:$C$3004,F840,ENSAYOS!$Q$5:$Q$3004,"&gt;0",ENSAYOS!$G$5:$G$3004,N840)/X840))</f>
        <v/>
      </c>
      <c r="AA840" s="16" t="str">
        <f aca="false">IF(D840="","",IFERROR(1/(1/INDEX(CONFIG!$J$5:$J$14,MATCH(D840,CONFIG!$D$5:$D$14,0))),""))</f>
        <v/>
      </c>
      <c r="AB840" s="16" t="str">
        <f aca="false">IF(D840="","",IFERROR(1/(1/INDEX(CONFIG!$K$5:$K$14,MATCH(D840,CONFIG!$D$5:$D$14,0))),""))</f>
        <v/>
      </c>
      <c r="AC840" s="19" t="str">
        <f aca="false">IF(N(M840)=0,"",IF(AA840="","Sin spec",IF(AND(Y840&gt;=AA840,OR(AB840="",Z840&gt;=AB840)),"CUMPLE","NO CUMPLE")&amp;IF(V840=""," (est.)","")))</f>
        <v/>
      </c>
      <c r="AD840" s="20" t="str">
        <f aca="false">IF(F840="","",IF(COUNTIFS(ABSORCION!$C$5:$C$1004,F840,ABSORCION!$I$5:$I$1004,"&gt;0")=0,"",AVERAGEIFS(ABSORCION!$I$5:$I$1004,ABSORCION!$C$5:$C$1004,F840,ABSORCION!$I$5:$I$1004,"&gt;0")))</f>
        <v/>
      </c>
      <c r="AE840" s="20" t="str">
        <f aca="false">IF(F840="","",IF(COUNTIFS(ABSORCION!$C$5:$C$1004,F840,ABSORCION!$I$5:$I$1004,"&gt;0")=0,"",AVERAGEIFS(ABSORCION!$K$5:$K$1004,ABSORCION!$C$5:$C$1004,F840,ABSORCION!$I$5:$I$1004,"&gt;0")))</f>
        <v/>
      </c>
      <c r="AF840" s="20" t="str">
        <f aca="false">IF(AE840="","",IF(AE840&gt;=CONFIG!$E$21,CONFIG!$F$21,IF(AE840&gt;=CONFIG!$E$20,CONFIG!$F$20,CONFIG!$F$19)))</f>
        <v/>
      </c>
      <c r="AG840" s="21" t="str">
        <f aca="false">IF(F840="","",TRIM(IF(N(M840)=0,"Sin ensayos. ","")&amp;IF(AND(N(M840)&gt;0,N(M840)&lt;CONFIG!$B$26),"Menos de "&amp;CONFIG!$B$26&amp;" probetas. ","")&amp;IF(N(T840)&gt;CONFIG!$B$25,"CV alto. ","")&amp;IF(AND(N(AD840)&gt;0,N(AD840)&gt;N(AF840)),"Absorción alta. ","")))</f>
        <v/>
      </c>
      <c r="AH840" s="22" t="str">
        <f aca="false">IF(AND(N(M840)&gt;0,OR(CONTROL!$C$4="TODAS",C840=CONTROL!$C$4),D840=CONTROL!$C$5),MAX($AH$4:AH839)+1,"")</f>
        <v/>
      </c>
      <c r="AI840" s="22" t="str">
        <f aca="false">IF(AH840="","",P840^2)</f>
        <v/>
      </c>
    </row>
    <row r="841" customFormat="false" ht="15" hidden="false" customHeight="false" outlineLevel="0" collapsed="false">
      <c r="A841" s="11" t="str">
        <f aca="false">IF(B841="","",ROW()-4)</f>
        <v/>
      </c>
      <c r="B841" s="12"/>
      <c r="C841" s="13"/>
      <c r="D841" s="13"/>
      <c r="E841" s="13"/>
      <c r="F841" s="14" t="str">
        <f aca="false">IF(OR(B841="",C841="",D841=""),"",IFERROR(INDEX(CONFIG!$E$5:$E$14,MATCH(D841,CONFIG!$D$5:$D$14,0)),"?")&amp;RIGHT("0"&amp;DAY(B841),2)&amp;RIGHT("0"&amp;MONTH(B841),2)&amp;RIGHT(YEAR(B841),2)&amp;C841&amp;IF(E841="","","-"&amp;E841))</f>
        <v/>
      </c>
      <c r="G841" s="13"/>
      <c r="H841" s="13"/>
      <c r="I841" s="13"/>
      <c r="J841" s="13"/>
      <c r="K841" s="13"/>
      <c r="L841" s="13"/>
      <c r="M841" s="11" t="str">
        <f aca="false">IF(F841="","",COUNTIFS(ENSAYOS!$C$5:$C$3004,F841,ENSAYOS!$Q$5:$Q$3004,"&gt;0"))</f>
        <v/>
      </c>
      <c r="N841" s="15" t="str">
        <f aca="false">IF(N(M841)=0,"",_xlfn.MINIFS(ENSAYOS!$G$5:$G$3004,ENSAYOS!$C$5:$C$3004,F841,ENSAYOS!$Q$5:$Q$3004,"&gt;0"))</f>
        <v/>
      </c>
      <c r="O841" s="15" t="str">
        <f aca="false">IF(N(M841)=0,"",_xlfn.MAXIFS(ENSAYOS!$G$5:$G$3004,ENSAYOS!$C$5:$C$3004,F841,ENSAYOS!$Q$5:$Q$3004,"&gt;0"))</f>
        <v/>
      </c>
      <c r="P841" s="16" t="str">
        <f aca="false">IF(N(M841)=0,"",AVERAGEIFS(ENSAYOS!$Q$5:$Q$3004,ENSAYOS!$C$5:$C$3004,F841,ENSAYOS!$Q$5:$Q$3004,"&gt;0"))</f>
        <v/>
      </c>
      <c r="Q841" s="16" t="str">
        <f aca="false">IF(N(M841)=0,"",_xlfn.MINIFS(ENSAYOS!$Q$5:$Q$3004,ENSAYOS!$C$5:$C$3004,F841,ENSAYOS!$Q$5:$Q$3004,"&gt;0"))</f>
        <v/>
      </c>
      <c r="R841" s="16" t="str">
        <f aca="false">IF(N(M841)=0,"",_xlfn.MAXIFS(ENSAYOS!$Q$5:$Q$3004,ENSAYOS!$C$5:$C$3004,F841,ENSAYOS!$Q$5:$Q$3004,"&gt;0"))</f>
        <v/>
      </c>
      <c r="S841" s="16" t="str">
        <f aca="false">IF(N(M841)&lt;2,"",SQRT(MAX(0,(SUMIFS(ENSAYOS!$X$5:$X$3004,ENSAYOS!$C$5:$C$3004,F841,ENSAYOS!$Q$5:$Q$3004,"&gt;0")-M841*P841^2)/(M841-1))))</f>
        <v/>
      </c>
      <c r="T841" s="17" t="str">
        <f aca="false">IF(S841="","",S841/P841)</f>
        <v/>
      </c>
      <c r="U841" s="16" t="str">
        <f aca="false">IF(N(M841)=0,"",IF(N841&gt;=CONFIG!$B$27,"",AVERAGEIFS(ENSAYOS!$Q$5:$Q$3004,ENSAYOS!$C$5:$C$3004,F841,ENSAYOS!$Q$5:$Q$3004,"&gt;0",ENSAYOS!$G$5:$G$3004,N841)))</f>
        <v/>
      </c>
      <c r="V841" s="16" t="str">
        <f aca="false">IF(N(M841)=0,"",IF(COUNTIFS(ENSAYOS!$C$5:$C$3004,F841,ENSAYOS!$Q$5:$Q$3004,"&gt;0",ENSAYOS!$G$5:$G$3004,"&gt;="&amp;CONFIG!$B$27)=0,"",AVERAGEIFS(ENSAYOS!$Q$5:$Q$3004,ENSAYOS!$C$5:$C$3004,F841,ENSAYOS!$Q$5:$Q$3004,"&gt;0",ENSAYOS!$G$5:$G$3004,"&gt;="&amp;CONFIG!$B$27)))</f>
        <v/>
      </c>
      <c r="W841" s="18" t="str">
        <f aca="false">IF(AND(U841&lt;&gt;"",V841&lt;&gt;""),U841/V841,"")</f>
        <v/>
      </c>
      <c r="X841" s="18" t="str">
        <f aca="false">IF(U841="","",INDEX('CURVA EDAD'!$E$5:$E$32,MIN(28,MAX(1,N841))))</f>
        <v/>
      </c>
      <c r="Y841" s="16" t="str">
        <f aca="false">IF(V841&lt;&gt;"",V841,IF(U841="","",U841/X841))</f>
        <v/>
      </c>
      <c r="Z841" s="16" t="str">
        <f aca="false">IF(V841&lt;&gt;"",_xlfn.MINIFS(ENSAYOS!$Q$5:$Q$3004,ENSAYOS!$C$5:$C$3004,F841,ENSAYOS!$Q$5:$Q$3004,"&gt;0",ENSAYOS!$G$5:$G$3004,"&gt;="&amp;CONFIG!$B$27),IF(U841="","",_xlfn.MINIFS(ENSAYOS!$Q$5:$Q$3004,ENSAYOS!$C$5:$C$3004,F841,ENSAYOS!$Q$5:$Q$3004,"&gt;0",ENSAYOS!$G$5:$G$3004,N841)/X841))</f>
        <v/>
      </c>
      <c r="AA841" s="16" t="str">
        <f aca="false">IF(D841="","",IFERROR(1/(1/INDEX(CONFIG!$J$5:$J$14,MATCH(D841,CONFIG!$D$5:$D$14,0))),""))</f>
        <v/>
      </c>
      <c r="AB841" s="16" t="str">
        <f aca="false">IF(D841="","",IFERROR(1/(1/INDEX(CONFIG!$K$5:$K$14,MATCH(D841,CONFIG!$D$5:$D$14,0))),""))</f>
        <v/>
      </c>
      <c r="AC841" s="19" t="str">
        <f aca="false">IF(N(M841)=0,"",IF(AA841="","Sin spec",IF(AND(Y841&gt;=AA841,OR(AB841="",Z841&gt;=AB841)),"CUMPLE","NO CUMPLE")&amp;IF(V841=""," (est.)","")))</f>
        <v/>
      </c>
      <c r="AD841" s="20" t="str">
        <f aca="false">IF(F841="","",IF(COUNTIFS(ABSORCION!$C$5:$C$1004,F841,ABSORCION!$I$5:$I$1004,"&gt;0")=0,"",AVERAGEIFS(ABSORCION!$I$5:$I$1004,ABSORCION!$C$5:$C$1004,F841,ABSORCION!$I$5:$I$1004,"&gt;0")))</f>
        <v/>
      </c>
      <c r="AE841" s="20" t="str">
        <f aca="false">IF(F841="","",IF(COUNTIFS(ABSORCION!$C$5:$C$1004,F841,ABSORCION!$I$5:$I$1004,"&gt;0")=0,"",AVERAGEIFS(ABSORCION!$K$5:$K$1004,ABSORCION!$C$5:$C$1004,F841,ABSORCION!$I$5:$I$1004,"&gt;0")))</f>
        <v/>
      </c>
      <c r="AF841" s="20" t="str">
        <f aca="false">IF(AE841="","",IF(AE841&gt;=CONFIG!$E$21,CONFIG!$F$21,IF(AE841&gt;=CONFIG!$E$20,CONFIG!$F$20,CONFIG!$F$19)))</f>
        <v/>
      </c>
      <c r="AG841" s="21" t="str">
        <f aca="false">IF(F841="","",TRIM(IF(N(M841)=0,"Sin ensayos. ","")&amp;IF(AND(N(M841)&gt;0,N(M841)&lt;CONFIG!$B$26),"Menos de "&amp;CONFIG!$B$26&amp;" probetas. ","")&amp;IF(N(T841)&gt;CONFIG!$B$25,"CV alto. ","")&amp;IF(AND(N(AD841)&gt;0,N(AD841)&gt;N(AF841)),"Absorción alta. ","")))</f>
        <v/>
      </c>
      <c r="AH841" s="22" t="str">
        <f aca="false">IF(AND(N(M841)&gt;0,OR(CONTROL!$C$4="TODAS",C841=CONTROL!$C$4),D841=CONTROL!$C$5),MAX($AH$4:AH840)+1,"")</f>
        <v/>
      </c>
      <c r="AI841" s="22" t="str">
        <f aca="false">IF(AH841="","",P841^2)</f>
        <v/>
      </c>
    </row>
    <row r="842" customFormat="false" ht="15" hidden="false" customHeight="false" outlineLevel="0" collapsed="false">
      <c r="A842" s="11" t="str">
        <f aca="false">IF(B842="","",ROW()-4)</f>
        <v/>
      </c>
      <c r="B842" s="12"/>
      <c r="C842" s="13"/>
      <c r="D842" s="13"/>
      <c r="E842" s="13"/>
      <c r="F842" s="14" t="str">
        <f aca="false">IF(OR(B842="",C842="",D842=""),"",IFERROR(INDEX(CONFIG!$E$5:$E$14,MATCH(D842,CONFIG!$D$5:$D$14,0)),"?")&amp;RIGHT("0"&amp;DAY(B842),2)&amp;RIGHT("0"&amp;MONTH(B842),2)&amp;RIGHT(YEAR(B842),2)&amp;C842&amp;IF(E842="","","-"&amp;E842))</f>
        <v/>
      </c>
      <c r="G842" s="13"/>
      <c r="H842" s="13"/>
      <c r="I842" s="13"/>
      <c r="J842" s="13"/>
      <c r="K842" s="13"/>
      <c r="L842" s="13"/>
      <c r="M842" s="11" t="str">
        <f aca="false">IF(F842="","",COUNTIFS(ENSAYOS!$C$5:$C$3004,F842,ENSAYOS!$Q$5:$Q$3004,"&gt;0"))</f>
        <v/>
      </c>
      <c r="N842" s="15" t="str">
        <f aca="false">IF(N(M842)=0,"",_xlfn.MINIFS(ENSAYOS!$G$5:$G$3004,ENSAYOS!$C$5:$C$3004,F842,ENSAYOS!$Q$5:$Q$3004,"&gt;0"))</f>
        <v/>
      </c>
      <c r="O842" s="15" t="str">
        <f aca="false">IF(N(M842)=0,"",_xlfn.MAXIFS(ENSAYOS!$G$5:$G$3004,ENSAYOS!$C$5:$C$3004,F842,ENSAYOS!$Q$5:$Q$3004,"&gt;0"))</f>
        <v/>
      </c>
      <c r="P842" s="16" t="str">
        <f aca="false">IF(N(M842)=0,"",AVERAGEIFS(ENSAYOS!$Q$5:$Q$3004,ENSAYOS!$C$5:$C$3004,F842,ENSAYOS!$Q$5:$Q$3004,"&gt;0"))</f>
        <v/>
      </c>
      <c r="Q842" s="16" t="str">
        <f aca="false">IF(N(M842)=0,"",_xlfn.MINIFS(ENSAYOS!$Q$5:$Q$3004,ENSAYOS!$C$5:$C$3004,F842,ENSAYOS!$Q$5:$Q$3004,"&gt;0"))</f>
        <v/>
      </c>
      <c r="R842" s="16" t="str">
        <f aca="false">IF(N(M842)=0,"",_xlfn.MAXIFS(ENSAYOS!$Q$5:$Q$3004,ENSAYOS!$C$5:$C$3004,F842,ENSAYOS!$Q$5:$Q$3004,"&gt;0"))</f>
        <v/>
      </c>
      <c r="S842" s="16" t="str">
        <f aca="false">IF(N(M842)&lt;2,"",SQRT(MAX(0,(SUMIFS(ENSAYOS!$X$5:$X$3004,ENSAYOS!$C$5:$C$3004,F842,ENSAYOS!$Q$5:$Q$3004,"&gt;0")-M842*P842^2)/(M842-1))))</f>
        <v/>
      </c>
      <c r="T842" s="17" t="str">
        <f aca="false">IF(S842="","",S842/P842)</f>
        <v/>
      </c>
      <c r="U842" s="16" t="str">
        <f aca="false">IF(N(M842)=0,"",IF(N842&gt;=CONFIG!$B$27,"",AVERAGEIFS(ENSAYOS!$Q$5:$Q$3004,ENSAYOS!$C$5:$C$3004,F842,ENSAYOS!$Q$5:$Q$3004,"&gt;0",ENSAYOS!$G$5:$G$3004,N842)))</f>
        <v/>
      </c>
      <c r="V842" s="16" t="str">
        <f aca="false">IF(N(M842)=0,"",IF(COUNTIFS(ENSAYOS!$C$5:$C$3004,F842,ENSAYOS!$Q$5:$Q$3004,"&gt;0",ENSAYOS!$G$5:$G$3004,"&gt;="&amp;CONFIG!$B$27)=0,"",AVERAGEIFS(ENSAYOS!$Q$5:$Q$3004,ENSAYOS!$C$5:$C$3004,F842,ENSAYOS!$Q$5:$Q$3004,"&gt;0",ENSAYOS!$G$5:$G$3004,"&gt;="&amp;CONFIG!$B$27)))</f>
        <v/>
      </c>
      <c r="W842" s="18" t="str">
        <f aca="false">IF(AND(U842&lt;&gt;"",V842&lt;&gt;""),U842/V842,"")</f>
        <v/>
      </c>
      <c r="X842" s="18" t="str">
        <f aca="false">IF(U842="","",INDEX('CURVA EDAD'!$E$5:$E$32,MIN(28,MAX(1,N842))))</f>
        <v/>
      </c>
      <c r="Y842" s="16" t="str">
        <f aca="false">IF(V842&lt;&gt;"",V842,IF(U842="","",U842/X842))</f>
        <v/>
      </c>
      <c r="Z842" s="16" t="str">
        <f aca="false">IF(V842&lt;&gt;"",_xlfn.MINIFS(ENSAYOS!$Q$5:$Q$3004,ENSAYOS!$C$5:$C$3004,F842,ENSAYOS!$Q$5:$Q$3004,"&gt;0",ENSAYOS!$G$5:$G$3004,"&gt;="&amp;CONFIG!$B$27),IF(U842="","",_xlfn.MINIFS(ENSAYOS!$Q$5:$Q$3004,ENSAYOS!$C$5:$C$3004,F842,ENSAYOS!$Q$5:$Q$3004,"&gt;0",ENSAYOS!$G$5:$G$3004,N842)/X842))</f>
        <v/>
      </c>
      <c r="AA842" s="16" t="str">
        <f aca="false">IF(D842="","",IFERROR(1/(1/INDEX(CONFIG!$J$5:$J$14,MATCH(D842,CONFIG!$D$5:$D$14,0))),""))</f>
        <v/>
      </c>
      <c r="AB842" s="16" t="str">
        <f aca="false">IF(D842="","",IFERROR(1/(1/INDEX(CONFIG!$K$5:$K$14,MATCH(D842,CONFIG!$D$5:$D$14,0))),""))</f>
        <v/>
      </c>
      <c r="AC842" s="19" t="str">
        <f aca="false">IF(N(M842)=0,"",IF(AA842="","Sin spec",IF(AND(Y842&gt;=AA842,OR(AB842="",Z842&gt;=AB842)),"CUMPLE","NO CUMPLE")&amp;IF(V842=""," (est.)","")))</f>
        <v/>
      </c>
      <c r="AD842" s="20" t="str">
        <f aca="false">IF(F842="","",IF(COUNTIFS(ABSORCION!$C$5:$C$1004,F842,ABSORCION!$I$5:$I$1004,"&gt;0")=0,"",AVERAGEIFS(ABSORCION!$I$5:$I$1004,ABSORCION!$C$5:$C$1004,F842,ABSORCION!$I$5:$I$1004,"&gt;0")))</f>
        <v/>
      </c>
      <c r="AE842" s="20" t="str">
        <f aca="false">IF(F842="","",IF(COUNTIFS(ABSORCION!$C$5:$C$1004,F842,ABSORCION!$I$5:$I$1004,"&gt;0")=0,"",AVERAGEIFS(ABSORCION!$K$5:$K$1004,ABSORCION!$C$5:$C$1004,F842,ABSORCION!$I$5:$I$1004,"&gt;0")))</f>
        <v/>
      </c>
      <c r="AF842" s="20" t="str">
        <f aca="false">IF(AE842="","",IF(AE842&gt;=CONFIG!$E$21,CONFIG!$F$21,IF(AE842&gt;=CONFIG!$E$20,CONFIG!$F$20,CONFIG!$F$19)))</f>
        <v/>
      </c>
      <c r="AG842" s="21" t="str">
        <f aca="false">IF(F842="","",TRIM(IF(N(M842)=0,"Sin ensayos. ","")&amp;IF(AND(N(M842)&gt;0,N(M842)&lt;CONFIG!$B$26),"Menos de "&amp;CONFIG!$B$26&amp;" probetas. ","")&amp;IF(N(T842)&gt;CONFIG!$B$25,"CV alto. ","")&amp;IF(AND(N(AD842)&gt;0,N(AD842)&gt;N(AF842)),"Absorción alta. ","")))</f>
        <v/>
      </c>
      <c r="AH842" s="22" t="str">
        <f aca="false">IF(AND(N(M842)&gt;0,OR(CONTROL!$C$4="TODAS",C842=CONTROL!$C$4),D842=CONTROL!$C$5),MAX($AH$4:AH841)+1,"")</f>
        <v/>
      </c>
      <c r="AI842" s="22" t="str">
        <f aca="false">IF(AH842="","",P842^2)</f>
        <v/>
      </c>
    </row>
    <row r="843" customFormat="false" ht="15" hidden="false" customHeight="false" outlineLevel="0" collapsed="false">
      <c r="A843" s="11" t="str">
        <f aca="false">IF(B843="","",ROW()-4)</f>
        <v/>
      </c>
      <c r="B843" s="12"/>
      <c r="C843" s="13"/>
      <c r="D843" s="13"/>
      <c r="E843" s="13"/>
      <c r="F843" s="14" t="str">
        <f aca="false">IF(OR(B843="",C843="",D843=""),"",IFERROR(INDEX(CONFIG!$E$5:$E$14,MATCH(D843,CONFIG!$D$5:$D$14,0)),"?")&amp;RIGHT("0"&amp;DAY(B843),2)&amp;RIGHT("0"&amp;MONTH(B843),2)&amp;RIGHT(YEAR(B843),2)&amp;C843&amp;IF(E843="","","-"&amp;E843))</f>
        <v/>
      </c>
      <c r="G843" s="13"/>
      <c r="H843" s="13"/>
      <c r="I843" s="13"/>
      <c r="J843" s="13"/>
      <c r="K843" s="13"/>
      <c r="L843" s="13"/>
      <c r="M843" s="11" t="str">
        <f aca="false">IF(F843="","",COUNTIFS(ENSAYOS!$C$5:$C$3004,F843,ENSAYOS!$Q$5:$Q$3004,"&gt;0"))</f>
        <v/>
      </c>
      <c r="N843" s="15" t="str">
        <f aca="false">IF(N(M843)=0,"",_xlfn.MINIFS(ENSAYOS!$G$5:$G$3004,ENSAYOS!$C$5:$C$3004,F843,ENSAYOS!$Q$5:$Q$3004,"&gt;0"))</f>
        <v/>
      </c>
      <c r="O843" s="15" t="str">
        <f aca="false">IF(N(M843)=0,"",_xlfn.MAXIFS(ENSAYOS!$G$5:$G$3004,ENSAYOS!$C$5:$C$3004,F843,ENSAYOS!$Q$5:$Q$3004,"&gt;0"))</f>
        <v/>
      </c>
      <c r="P843" s="16" t="str">
        <f aca="false">IF(N(M843)=0,"",AVERAGEIFS(ENSAYOS!$Q$5:$Q$3004,ENSAYOS!$C$5:$C$3004,F843,ENSAYOS!$Q$5:$Q$3004,"&gt;0"))</f>
        <v/>
      </c>
      <c r="Q843" s="16" t="str">
        <f aca="false">IF(N(M843)=0,"",_xlfn.MINIFS(ENSAYOS!$Q$5:$Q$3004,ENSAYOS!$C$5:$C$3004,F843,ENSAYOS!$Q$5:$Q$3004,"&gt;0"))</f>
        <v/>
      </c>
      <c r="R843" s="16" t="str">
        <f aca="false">IF(N(M843)=0,"",_xlfn.MAXIFS(ENSAYOS!$Q$5:$Q$3004,ENSAYOS!$C$5:$C$3004,F843,ENSAYOS!$Q$5:$Q$3004,"&gt;0"))</f>
        <v/>
      </c>
      <c r="S843" s="16" t="str">
        <f aca="false">IF(N(M843)&lt;2,"",SQRT(MAX(0,(SUMIFS(ENSAYOS!$X$5:$X$3004,ENSAYOS!$C$5:$C$3004,F843,ENSAYOS!$Q$5:$Q$3004,"&gt;0")-M843*P843^2)/(M843-1))))</f>
        <v/>
      </c>
      <c r="T843" s="17" t="str">
        <f aca="false">IF(S843="","",S843/P843)</f>
        <v/>
      </c>
      <c r="U843" s="16" t="str">
        <f aca="false">IF(N(M843)=0,"",IF(N843&gt;=CONFIG!$B$27,"",AVERAGEIFS(ENSAYOS!$Q$5:$Q$3004,ENSAYOS!$C$5:$C$3004,F843,ENSAYOS!$Q$5:$Q$3004,"&gt;0",ENSAYOS!$G$5:$G$3004,N843)))</f>
        <v/>
      </c>
      <c r="V843" s="16" t="str">
        <f aca="false">IF(N(M843)=0,"",IF(COUNTIFS(ENSAYOS!$C$5:$C$3004,F843,ENSAYOS!$Q$5:$Q$3004,"&gt;0",ENSAYOS!$G$5:$G$3004,"&gt;="&amp;CONFIG!$B$27)=0,"",AVERAGEIFS(ENSAYOS!$Q$5:$Q$3004,ENSAYOS!$C$5:$C$3004,F843,ENSAYOS!$Q$5:$Q$3004,"&gt;0",ENSAYOS!$G$5:$G$3004,"&gt;="&amp;CONFIG!$B$27)))</f>
        <v/>
      </c>
      <c r="W843" s="18" t="str">
        <f aca="false">IF(AND(U843&lt;&gt;"",V843&lt;&gt;""),U843/V843,"")</f>
        <v/>
      </c>
      <c r="X843" s="18" t="str">
        <f aca="false">IF(U843="","",INDEX('CURVA EDAD'!$E$5:$E$32,MIN(28,MAX(1,N843))))</f>
        <v/>
      </c>
      <c r="Y843" s="16" t="str">
        <f aca="false">IF(V843&lt;&gt;"",V843,IF(U843="","",U843/X843))</f>
        <v/>
      </c>
      <c r="Z843" s="16" t="str">
        <f aca="false">IF(V843&lt;&gt;"",_xlfn.MINIFS(ENSAYOS!$Q$5:$Q$3004,ENSAYOS!$C$5:$C$3004,F843,ENSAYOS!$Q$5:$Q$3004,"&gt;0",ENSAYOS!$G$5:$G$3004,"&gt;="&amp;CONFIG!$B$27),IF(U843="","",_xlfn.MINIFS(ENSAYOS!$Q$5:$Q$3004,ENSAYOS!$C$5:$C$3004,F843,ENSAYOS!$Q$5:$Q$3004,"&gt;0",ENSAYOS!$G$5:$G$3004,N843)/X843))</f>
        <v/>
      </c>
      <c r="AA843" s="16" t="str">
        <f aca="false">IF(D843="","",IFERROR(1/(1/INDEX(CONFIG!$J$5:$J$14,MATCH(D843,CONFIG!$D$5:$D$14,0))),""))</f>
        <v/>
      </c>
      <c r="AB843" s="16" t="str">
        <f aca="false">IF(D843="","",IFERROR(1/(1/INDEX(CONFIG!$K$5:$K$14,MATCH(D843,CONFIG!$D$5:$D$14,0))),""))</f>
        <v/>
      </c>
      <c r="AC843" s="19" t="str">
        <f aca="false">IF(N(M843)=0,"",IF(AA843="","Sin spec",IF(AND(Y843&gt;=AA843,OR(AB843="",Z843&gt;=AB843)),"CUMPLE","NO CUMPLE")&amp;IF(V843=""," (est.)","")))</f>
        <v/>
      </c>
      <c r="AD843" s="20" t="str">
        <f aca="false">IF(F843="","",IF(COUNTIFS(ABSORCION!$C$5:$C$1004,F843,ABSORCION!$I$5:$I$1004,"&gt;0")=0,"",AVERAGEIFS(ABSORCION!$I$5:$I$1004,ABSORCION!$C$5:$C$1004,F843,ABSORCION!$I$5:$I$1004,"&gt;0")))</f>
        <v/>
      </c>
      <c r="AE843" s="20" t="str">
        <f aca="false">IF(F843="","",IF(COUNTIFS(ABSORCION!$C$5:$C$1004,F843,ABSORCION!$I$5:$I$1004,"&gt;0")=0,"",AVERAGEIFS(ABSORCION!$K$5:$K$1004,ABSORCION!$C$5:$C$1004,F843,ABSORCION!$I$5:$I$1004,"&gt;0")))</f>
        <v/>
      </c>
      <c r="AF843" s="20" t="str">
        <f aca="false">IF(AE843="","",IF(AE843&gt;=CONFIG!$E$21,CONFIG!$F$21,IF(AE843&gt;=CONFIG!$E$20,CONFIG!$F$20,CONFIG!$F$19)))</f>
        <v/>
      </c>
      <c r="AG843" s="21" t="str">
        <f aca="false">IF(F843="","",TRIM(IF(N(M843)=0,"Sin ensayos. ","")&amp;IF(AND(N(M843)&gt;0,N(M843)&lt;CONFIG!$B$26),"Menos de "&amp;CONFIG!$B$26&amp;" probetas. ","")&amp;IF(N(T843)&gt;CONFIG!$B$25,"CV alto. ","")&amp;IF(AND(N(AD843)&gt;0,N(AD843)&gt;N(AF843)),"Absorción alta. ","")))</f>
        <v/>
      </c>
      <c r="AH843" s="22" t="str">
        <f aca="false">IF(AND(N(M843)&gt;0,OR(CONTROL!$C$4="TODAS",C843=CONTROL!$C$4),D843=CONTROL!$C$5),MAX($AH$4:AH842)+1,"")</f>
        <v/>
      </c>
      <c r="AI843" s="22" t="str">
        <f aca="false">IF(AH843="","",P843^2)</f>
        <v/>
      </c>
    </row>
    <row r="844" customFormat="false" ht="15" hidden="false" customHeight="false" outlineLevel="0" collapsed="false">
      <c r="A844" s="11" t="str">
        <f aca="false">IF(B844="","",ROW()-4)</f>
        <v/>
      </c>
      <c r="B844" s="12"/>
      <c r="C844" s="13"/>
      <c r="D844" s="13"/>
      <c r="E844" s="13"/>
      <c r="F844" s="14" t="str">
        <f aca="false">IF(OR(B844="",C844="",D844=""),"",IFERROR(INDEX(CONFIG!$E$5:$E$14,MATCH(D844,CONFIG!$D$5:$D$14,0)),"?")&amp;RIGHT("0"&amp;DAY(B844),2)&amp;RIGHT("0"&amp;MONTH(B844),2)&amp;RIGHT(YEAR(B844),2)&amp;C844&amp;IF(E844="","","-"&amp;E844))</f>
        <v/>
      </c>
      <c r="G844" s="13"/>
      <c r="H844" s="13"/>
      <c r="I844" s="13"/>
      <c r="J844" s="13"/>
      <c r="K844" s="13"/>
      <c r="L844" s="13"/>
      <c r="M844" s="11" t="str">
        <f aca="false">IF(F844="","",COUNTIFS(ENSAYOS!$C$5:$C$3004,F844,ENSAYOS!$Q$5:$Q$3004,"&gt;0"))</f>
        <v/>
      </c>
      <c r="N844" s="15" t="str">
        <f aca="false">IF(N(M844)=0,"",_xlfn.MINIFS(ENSAYOS!$G$5:$G$3004,ENSAYOS!$C$5:$C$3004,F844,ENSAYOS!$Q$5:$Q$3004,"&gt;0"))</f>
        <v/>
      </c>
      <c r="O844" s="15" t="str">
        <f aca="false">IF(N(M844)=0,"",_xlfn.MAXIFS(ENSAYOS!$G$5:$G$3004,ENSAYOS!$C$5:$C$3004,F844,ENSAYOS!$Q$5:$Q$3004,"&gt;0"))</f>
        <v/>
      </c>
      <c r="P844" s="16" t="str">
        <f aca="false">IF(N(M844)=0,"",AVERAGEIFS(ENSAYOS!$Q$5:$Q$3004,ENSAYOS!$C$5:$C$3004,F844,ENSAYOS!$Q$5:$Q$3004,"&gt;0"))</f>
        <v/>
      </c>
      <c r="Q844" s="16" t="str">
        <f aca="false">IF(N(M844)=0,"",_xlfn.MINIFS(ENSAYOS!$Q$5:$Q$3004,ENSAYOS!$C$5:$C$3004,F844,ENSAYOS!$Q$5:$Q$3004,"&gt;0"))</f>
        <v/>
      </c>
      <c r="R844" s="16" t="str">
        <f aca="false">IF(N(M844)=0,"",_xlfn.MAXIFS(ENSAYOS!$Q$5:$Q$3004,ENSAYOS!$C$5:$C$3004,F844,ENSAYOS!$Q$5:$Q$3004,"&gt;0"))</f>
        <v/>
      </c>
      <c r="S844" s="16" t="str">
        <f aca="false">IF(N(M844)&lt;2,"",SQRT(MAX(0,(SUMIFS(ENSAYOS!$X$5:$X$3004,ENSAYOS!$C$5:$C$3004,F844,ENSAYOS!$Q$5:$Q$3004,"&gt;0")-M844*P844^2)/(M844-1))))</f>
        <v/>
      </c>
      <c r="T844" s="17" t="str">
        <f aca="false">IF(S844="","",S844/P844)</f>
        <v/>
      </c>
      <c r="U844" s="16" t="str">
        <f aca="false">IF(N(M844)=0,"",IF(N844&gt;=CONFIG!$B$27,"",AVERAGEIFS(ENSAYOS!$Q$5:$Q$3004,ENSAYOS!$C$5:$C$3004,F844,ENSAYOS!$Q$5:$Q$3004,"&gt;0",ENSAYOS!$G$5:$G$3004,N844)))</f>
        <v/>
      </c>
      <c r="V844" s="16" t="str">
        <f aca="false">IF(N(M844)=0,"",IF(COUNTIFS(ENSAYOS!$C$5:$C$3004,F844,ENSAYOS!$Q$5:$Q$3004,"&gt;0",ENSAYOS!$G$5:$G$3004,"&gt;="&amp;CONFIG!$B$27)=0,"",AVERAGEIFS(ENSAYOS!$Q$5:$Q$3004,ENSAYOS!$C$5:$C$3004,F844,ENSAYOS!$Q$5:$Q$3004,"&gt;0",ENSAYOS!$G$5:$G$3004,"&gt;="&amp;CONFIG!$B$27)))</f>
        <v/>
      </c>
      <c r="W844" s="18" t="str">
        <f aca="false">IF(AND(U844&lt;&gt;"",V844&lt;&gt;""),U844/V844,"")</f>
        <v/>
      </c>
      <c r="X844" s="18" t="str">
        <f aca="false">IF(U844="","",INDEX('CURVA EDAD'!$E$5:$E$32,MIN(28,MAX(1,N844))))</f>
        <v/>
      </c>
      <c r="Y844" s="16" t="str">
        <f aca="false">IF(V844&lt;&gt;"",V844,IF(U844="","",U844/X844))</f>
        <v/>
      </c>
      <c r="Z844" s="16" t="str">
        <f aca="false">IF(V844&lt;&gt;"",_xlfn.MINIFS(ENSAYOS!$Q$5:$Q$3004,ENSAYOS!$C$5:$C$3004,F844,ENSAYOS!$Q$5:$Q$3004,"&gt;0",ENSAYOS!$G$5:$G$3004,"&gt;="&amp;CONFIG!$B$27),IF(U844="","",_xlfn.MINIFS(ENSAYOS!$Q$5:$Q$3004,ENSAYOS!$C$5:$C$3004,F844,ENSAYOS!$Q$5:$Q$3004,"&gt;0",ENSAYOS!$G$5:$G$3004,N844)/X844))</f>
        <v/>
      </c>
      <c r="AA844" s="16" t="str">
        <f aca="false">IF(D844="","",IFERROR(1/(1/INDEX(CONFIG!$J$5:$J$14,MATCH(D844,CONFIG!$D$5:$D$14,0))),""))</f>
        <v/>
      </c>
      <c r="AB844" s="16" t="str">
        <f aca="false">IF(D844="","",IFERROR(1/(1/INDEX(CONFIG!$K$5:$K$14,MATCH(D844,CONFIG!$D$5:$D$14,0))),""))</f>
        <v/>
      </c>
      <c r="AC844" s="19" t="str">
        <f aca="false">IF(N(M844)=0,"",IF(AA844="","Sin spec",IF(AND(Y844&gt;=AA844,OR(AB844="",Z844&gt;=AB844)),"CUMPLE","NO CUMPLE")&amp;IF(V844=""," (est.)","")))</f>
        <v/>
      </c>
      <c r="AD844" s="20" t="str">
        <f aca="false">IF(F844="","",IF(COUNTIFS(ABSORCION!$C$5:$C$1004,F844,ABSORCION!$I$5:$I$1004,"&gt;0")=0,"",AVERAGEIFS(ABSORCION!$I$5:$I$1004,ABSORCION!$C$5:$C$1004,F844,ABSORCION!$I$5:$I$1004,"&gt;0")))</f>
        <v/>
      </c>
      <c r="AE844" s="20" t="str">
        <f aca="false">IF(F844="","",IF(COUNTIFS(ABSORCION!$C$5:$C$1004,F844,ABSORCION!$I$5:$I$1004,"&gt;0")=0,"",AVERAGEIFS(ABSORCION!$K$5:$K$1004,ABSORCION!$C$5:$C$1004,F844,ABSORCION!$I$5:$I$1004,"&gt;0")))</f>
        <v/>
      </c>
      <c r="AF844" s="20" t="str">
        <f aca="false">IF(AE844="","",IF(AE844&gt;=CONFIG!$E$21,CONFIG!$F$21,IF(AE844&gt;=CONFIG!$E$20,CONFIG!$F$20,CONFIG!$F$19)))</f>
        <v/>
      </c>
      <c r="AG844" s="21" t="str">
        <f aca="false">IF(F844="","",TRIM(IF(N(M844)=0,"Sin ensayos. ","")&amp;IF(AND(N(M844)&gt;0,N(M844)&lt;CONFIG!$B$26),"Menos de "&amp;CONFIG!$B$26&amp;" probetas. ","")&amp;IF(N(T844)&gt;CONFIG!$B$25,"CV alto. ","")&amp;IF(AND(N(AD844)&gt;0,N(AD844)&gt;N(AF844)),"Absorción alta. ","")))</f>
        <v/>
      </c>
      <c r="AH844" s="22" t="str">
        <f aca="false">IF(AND(N(M844)&gt;0,OR(CONTROL!$C$4="TODAS",C844=CONTROL!$C$4),D844=CONTROL!$C$5),MAX($AH$4:AH843)+1,"")</f>
        <v/>
      </c>
      <c r="AI844" s="22" t="str">
        <f aca="false">IF(AH844="","",P844^2)</f>
        <v/>
      </c>
    </row>
    <row r="845" customFormat="false" ht="15" hidden="false" customHeight="false" outlineLevel="0" collapsed="false">
      <c r="A845" s="11" t="str">
        <f aca="false">IF(B845="","",ROW()-4)</f>
        <v/>
      </c>
      <c r="B845" s="12"/>
      <c r="C845" s="13"/>
      <c r="D845" s="13"/>
      <c r="E845" s="13"/>
      <c r="F845" s="14" t="str">
        <f aca="false">IF(OR(B845="",C845="",D845=""),"",IFERROR(INDEX(CONFIG!$E$5:$E$14,MATCH(D845,CONFIG!$D$5:$D$14,0)),"?")&amp;RIGHT("0"&amp;DAY(B845),2)&amp;RIGHT("0"&amp;MONTH(B845),2)&amp;RIGHT(YEAR(B845),2)&amp;C845&amp;IF(E845="","","-"&amp;E845))</f>
        <v/>
      </c>
      <c r="G845" s="13"/>
      <c r="H845" s="13"/>
      <c r="I845" s="13"/>
      <c r="J845" s="13"/>
      <c r="K845" s="13"/>
      <c r="L845" s="13"/>
      <c r="M845" s="11" t="str">
        <f aca="false">IF(F845="","",COUNTIFS(ENSAYOS!$C$5:$C$3004,F845,ENSAYOS!$Q$5:$Q$3004,"&gt;0"))</f>
        <v/>
      </c>
      <c r="N845" s="15" t="str">
        <f aca="false">IF(N(M845)=0,"",_xlfn.MINIFS(ENSAYOS!$G$5:$G$3004,ENSAYOS!$C$5:$C$3004,F845,ENSAYOS!$Q$5:$Q$3004,"&gt;0"))</f>
        <v/>
      </c>
      <c r="O845" s="15" t="str">
        <f aca="false">IF(N(M845)=0,"",_xlfn.MAXIFS(ENSAYOS!$G$5:$G$3004,ENSAYOS!$C$5:$C$3004,F845,ENSAYOS!$Q$5:$Q$3004,"&gt;0"))</f>
        <v/>
      </c>
      <c r="P845" s="16" t="str">
        <f aca="false">IF(N(M845)=0,"",AVERAGEIFS(ENSAYOS!$Q$5:$Q$3004,ENSAYOS!$C$5:$C$3004,F845,ENSAYOS!$Q$5:$Q$3004,"&gt;0"))</f>
        <v/>
      </c>
      <c r="Q845" s="16" t="str">
        <f aca="false">IF(N(M845)=0,"",_xlfn.MINIFS(ENSAYOS!$Q$5:$Q$3004,ENSAYOS!$C$5:$C$3004,F845,ENSAYOS!$Q$5:$Q$3004,"&gt;0"))</f>
        <v/>
      </c>
      <c r="R845" s="16" t="str">
        <f aca="false">IF(N(M845)=0,"",_xlfn.MAXIFS(ENSAYOS!$Q$5:$Q$3004,ENSAYOS!$C$5:$C$3004,F845,ENSAYOS!$Q$5:$Q$3004,"&gt;0"))</f>
        <v/>
      </c>
      <c r="S845" s="16" t="str">
        <f aca="false">IF(N(M845)&lt;2,"",SQRT(MAX(0,(SUMIFS(ENSAYOS!$X$5:$X$3004,ENSAYOS!$C$5:$C$3004,F845,ENSAYOS!$Q$5:$Q$3004,"&gt;0")-M845*P845^2)/(M845-1))))</f>
        <v/>
      </c>
      <c r="T845" s="17" t="str">
        <f aca="false">IF(S845="","",S845/P845)</f>
        <v/>
      </c>
      <c r="U845" s="16" t="str">
        <f aca="false">IF(N(M845)=0,"",IF(N845&gt;=CONFIG!$B$27,"",AVERAGEIFS(ENSAYOS!$Q$5:$Q$3004,ENSAYOS!$C$5:$C$3004,F845,ENSAYOS!$Q$5:$Q$3004,"&gt;0",ENSAYOS!$G$5:$G$3004,N845)))</f>
        <v/>
      </c>
      <c r="V845" s="16" t="str">
        <f aca="false">IF(N(M845)=0,"",IF(COUNTIFS(ENSAYOS!$C$5:$C$3004,F845,ENSAYOS!$Q$5:$Q$3004,"&gt;0",ENSAYOS!$G$5:$G$3004,"&gt;="&amp;CONFIG!$B$27)=0,"",AVERAGEIFS(ENSAYOS!$Q$5:$Q$3004,ENSAYOS!$C$5:$C$3004,F845,ENSAYOS!$Q$5:$Q$3004,"&gt;0",ENSAYOS!$G$5:$G$3004,"&gt;="&amp;CONFIG!$B$27)))</f>
        <v/>
      </c>
      <c r="W845" s="18" t="str">
        <f aca="false">IF(AND(U845&lt;&gt;"",V845&lt;&gt;""),U845/V845,"")</f>
        <v/>
      </c>
      <c r="X845" s="18" t="str">
        <f aca="false">IF(U845="","",INDEX('CURVA EDAD'!$E$5:$E$32,MIN(28,MAX(1,N845))))</f>
        <v/>
      </c>
      <c r="Y845" s="16" t="str">
        <f aca="false">IF(V845&lt;&gt;"",V845,IF(U845="","",U845/X845))</f>
        <v/>
      </c>
      <c r="Z845" s="16" t="str">
        <f aca="false">IF(V845&lt;&gt;"",_xlfn.MINIFS(ENSAYOS!$Q$5:$Q$3004,ENSAYOS!$C$5:$C$3004,F845,ENSAYOS!$Q$5:$Q$3004,"&gt;0",ENSAYOS!$G$5:$G$3004,"&gt;="&amp;CONFIG!$B$27),IF(U845="","",_xlfn.MINIFS(ENSAYOS!$Q$5:$Q$3004,ENSAYOS!$C$5:$C$3004,F845,ENSAYOS!$Q$5:$Q$3004,"&gt;0",ENSAYOS!$G$5:$G$3004,N845)/X845))</f>
        <v/>
      </c>
      <c r="AA845" s="16" t="str">
        <f aca="false">IF(D845="","",IFERROR(1/(1/INDEX(CONFIG!$J$5:$J$14,MATCH(D845,CONFIG!$D$5:$D$14,0))),""))</f>
        <v/>
      </c>
      <c r="AB845" s="16" t="str">
        <f aca="false">IF(D845="","",IFERROR(1/(1/INDEX(CONFIG!$K$5:$K$14,MATCH(D845,CONFIG!$D$5:$D$14,0))),""))</f>
        <v/>
      </c>
      <c r="AC845" s="19" t="str">
        <f aca="false">IF(N(M845)=0,"",IF(AA845="","Sin spec",IF(AND(Y845&gt;=AA845,OR(AB845="",Z845&gt;=AB845)),"CUMPLE","NO CUMPLE")&amp;IF(V845=""," (est.)","")))</f>
        <v/>
      </c>
      <c r="AD845" s="20" t="str">
        <f aca="false">IF(F845="","",IF(COUNTIFS(ABSORCION!$C$5:$C$1004,F845,ABSORCION!$I$5:$I$1004,"&gt;0")=0,"",AVERAGEIFS(ABSORCION!$I$5:$I$1004,ABSORCION!$C$5:$C$1004,F845,ABSORCION!$I$5:$I$1004,"&gt;0")))</f>
        <v/>
      </c>
      <c r="AE845" s="20" t="str">
        <f aca="false">IF(F845="","",IF(COUNTIFS(ABSORCION!$C$5:$C$1004,F845,ABSORCION!$I$5:$I$1004,"&gt;0")=0,"",AVERAGEIFS(ABSORCION!$K$5:$K$1004,ABSORCION!$C$5:$C$1004,F845,ABSORCION!$I$5:$I$1004,"&gt;0")))</f>
        <v/>
      </c>
      <c r="AF845" s="20" t="str">
        <f aca="false">IF(AE845="","",IF(AE845&gt;=CONFIG!$E$21,CONFIG!$F$21,IF(AE845&gt;=CONFIG!$E$20,CONFIG!$F$20,CONFIG!$F$19)))</f>
        <v/>
      </c>
      <c r="AG845" s="21" t="str">
        <f aca="false">IF(F845="","",TRIM(IF(N(M845)=0,"Sin ensayos. ","")&amp;IF(AND(N(M845)&gt;0,N(M845)&lt;CONFIG!$B$26),"Menos de "&amp;CONFIG!$B$26&amp;" probetas. ","")&amp;IF(N(T845)&gt;CONFIG!$B$25,"CV alto. ","")&amp;IF(AND(N(AD845)&gt;0,N(AD845)&gt;N(AF845)),"Absorción alta. ","")))</f>
        <v/>
      </c>
      <c r="AH845" s="22" t="str">
        <f aca="false">IF(AND(N(M845)&gt;0,OR(CONTROL!$C$4="TODAS",C845=CONTROL!$C$4),D845=CONTROL!$C$5),MAX($AH$4:AH844)+1,"")</f>
        <v/>
      </c>
      <c r="AI845" s="22" t="str">
        <f aca="false">IF(AH845="","",P845^2)</f>
        <v/>
      </c>
    </row>
    <row r="846" customFormat="false" ht="15" hidden="false" customHeight="false" outlineLevel="0" collapsed="false">
      <c r="A846" s="11" t="str">
        <f aca="false">IF(B846="","",ROW()-4)</f>
        <v/>
      </c>
      <c r="B846" s="12"/>
      <c r="C846" s="13"/>
      <c r="D846" s="13"/>
      <c r="E846" s="13"/>
      <c r="F846" s="14" t="str">
        <f aca="false">IF(OR(B846="",C846="",D846=""),"",IFERROR(INDEX(CONFIG!$E$5:$E$14,MATCH(D846,CONFIG!$D$5:$D$14,0)),"?")&amp;RIGHT("0"&amp;DAY(B846),2)&amp;RIGHT("0"&amp;MONTH(B846),2)&amp;RIGHT(YEAR(B846),2)&amp;C846&amp;IF(E846="","","-"&amp;E846))</f>
        <v/>
      </c>
      <c r="G846" s="13"/>
      <c r="H846" s="13"/>
      <c r="I846" s="13"/>
      <c r="J846" s="13"/>
      <c r="K846" s="13"/>
      <c r="L846" s="13"/>
      <c r="M846" s="11" t="str">
        <f aca="false">IF(F846="","",COUNTIFS(ENSAYOS!$C$5:$C$3004,F846,ENSAYOS!$Q$5:$Q$3004,"&gt;0"))</f>
        <v/>
      </c>
      <c r="N846" s="15" t="str">
        <f aca="false">IF(N(M846)=0,"",_xlfn.MINIFS(ENSAYOS!$G$5:$G$3004,ENSAYOS!$C$5:$C$3004,F846,ENSAYOS!$Q$5:$Q$3004,"&gt;0"))</f>
        <v/>
      </c>
      <c r="O846" s="15" t="str">
        <f aca="false">IF(N(M846)=0,"",_xlfn.MAXIFS(ENSAYOS!$G$5:$G$3004,ENSAYOS!$C$5:$C$3004,F846,ENSAYOS!$Q$5:$Q$3004,"&gt;0"))</f>
        <v/>
      </c>
      <c r="P846" s="16" t="str">
        <f aca="false">IF(N(M846)=0,"",AVERAGEIFS(ENSAYOS!$Q$5:$Q$3004,ENSAYOS!$C$5:$C$3004,F846,ENSAYOS!$Q$5:$Q$3004,"&gt;0"))</f>
        <v/>
      </c>
      <c r="Q846" s="16" t="str">
        <f aca="false">IF(N(M846)=0,"",_xlfn.MINIFS(ENSAYOS!$Q$5:$Q$3004,ENSAYOS!$C$5:$C$3004,F846,ENSAYOS!$Q$5:$Q$3004,"&gt;0"))</f>
        <v/>
      </c>
      <c r="R846" s="16" t="str">
        <f aca="false">IF(N(M846)=0,"",_xlfn.MAXIFS(ENSAYOS!$Q$5:$Q$3004,ENSAYOS!$C$5:$C$3004,F846,ENSAYOS!$Q$5:$Q$3004,"&gt;0"))</f>
        <v/>
      </c>
      <c r="S846" s="16" t="str">
        <f aca="false">IF(N(M846)&lt;2,"",SQRT(MAX(0,(SUMIFS(ENSAYOS!$X$5:$X$3004,ENSAYOS!$C$5:$C$3004,F846,ENSAYOS!$Q$5:$Q$3004,"&gt;0")-M846*P846^2)/(M846-1))))</f>
        <v/>
      </c>
      <c r="T846" s="17" t="str">
        <f aca="false">IF(S846="","",S846/P846)</f>
        <v/>
      </c>
      <c r="U846" s="16" t="str">
        <f aca="false">IF(N(M846)=0,"",IF(N846&gt;=CONFIG!$B$27,"",AVERAGEIFS(ENSAYOS!$Q$5:$Q$3004,ENSAYOS!$C$5:$C$3004,F846,ENSAYOS!$Q$5:$Q$3004,"&gt;0",ENSAYOS!$G$5:$G$3004,N846)))</f>
        <v/>
      </c>
      <c r="V846" s="16" t="str">
        <f aca="false">IF(N(M846)=0,"",IF(COUNTIFS(ENSAYOS!$C$5:$C$3004,F846,ENSAYOS!$Q$5:$Q$3004,"&gt;0",ENSAYOS!$G$5:$G$3004,"&gt;="&amp;CONFIG!$B$27)=0,"",AVERAGEIFS(ENSAYOS!$Q$5:$Q$3004,ENSAYOS!$C$5:$C$3004,F846,ENSAYOS!$Q$5:$Q$3004,"&gt;0",ENSAYOS!$G$5:$G$3004,"&gt;="&amp;CONFIG!$B$27)))</f>
        <v/>
      </c>
      <c r="W846" s="18" t="str">
        <f aca="false">IF(AND(U846&lt;&gt;"",V846&lt;&gt;""),U846/V846,"")</f>
        <v/>
      </c>
      <c r="X846" s="18" t="str">
        <f aca="false">IF(U846="","",INDEX('CURVA EDAD'!$E$5:$E$32,MIN(28,MAX(1,N846))))</f>
        <v/>
      </c>
      <c r="Y846" s="16" t="str">
        <f aca="false">IF(V846&lt;&gt;"",V846,IF(U846="","",U846/X846))</f>
        <v/>
      </c>
      <c r="Z846" s="16" t="str">
        <f aca="false">IF(V846&lt;&gt;"",_xlfn.MINIFS(ENSAYOS!$Q$5:$Q$3004,ENSAYOS!$C$5:$C$3004,F846,ENSAYOS!$Q$5:$Q$3004,"&gt;0",ENSAYOS!$G$5:$G$3004,"&gt;="&amp;CONFIG!$B$27),IF(U846="","",_xlfn.MINIFS(ENSAYOS!$Q$5:$Q$3004,ENSAYOS!$C$5:$C$3004,F846,ENSAYOS!$Q$5:$Q$3004,"&gt;0",ENSAYOS!$G$5:$G$3004,N846)/X846))</f>
        <v/>
      </c>
      <c r="AA846" s="16" t="str">
        <f aca="false">IF(D846="","",IFERROR(1/(1/INDEX(CONFIG!$J$5:$J$14,MATCH(D846,CONFIG!$D$5:$D$14,0))),""))</f>
        <v/>
      </c>
      <c r="AB846" s="16" t="str">
        <f aca="false">IF(D846="","",IFERROR(1/(1/INDEX(CONFIG!$K$5:$K$14,MATCH(D846,CONFIG!$D$5:$D$14,0))),""))</f>
        <v/>
      </c>
      <c r="AC846" s="19" t="str">
        <f aca="false">IF(N(M846)=0,"",IF(AA846="","Sin spec",IF(AND(Y846&gt;=AA846,OR(AB846="",Z846&gt;=AB846)),"CUMPLE","NO CUMPLE")&amp;IF(V846=""," (est.)","")))</f>
        <v/>
      </c>
      <c r="AD846" s="20" t="str">
        <f aca="false">IF(F846="","",IF(COUNTIFS(ABSORCION!$C$5:$C$1004,F846,ABSORCION!$I$5:$I$1004,"&gt;0")=0,"",AVERAGEIFS(ABSORCION!$I$5:$I$1004,ABSORCION!$C$5:$C$1004,F846,ABSORCION!$I$5:$I$1004,"&gt;0")))</f>
        <v/>
      </c>
      <c r="AE846" s="20" t="str">
        <f aca="false">IF(F846="","",IF(COUNTIFS(ABSORCION!$C$5:$C$1004,F846,ABSORCION!$I$5:$I$1004,"&gt;0")=0,"",AVERAGEIFS(ABSORCION!$K$5:$K$1004,ABSORCION!$C$5:$C$1004,F846,ABSORCION!$I$5:$I$1004,"&gt;0")))</f>
        <v/>
      </c>
      <c r="AF846" s="20" t="str">
        <f aca="false">IF(AE846="","",IF(AE846&gt;=CONFIG!$E$21,CONFIG!$F$21,IF(AE846&gt;=CONFIG!$E$20,CONFIG!$F$20,CONFIG!$F$19)))</f>
        <v/>
      </c>
      <c r="AG846" s="21" t="str">
        <f aca="false">IF(F846="","",TRIM(IF(N(M846)=0,"Sin ensayos. ","")&amp;IF(AND(N(M846)&gt;0,N(M846)&lt;CONFIG!$B$26),"Menos de "&amp;CONFIG!$B$26&amp;" probetas. ","")&amp;IF(N(T846)&gt;CONFIG!$B$25,"CV alto. ","")&amp;IF(AND(N(AD846)&gt;0,N(AD846)&gt;N(AF846)),"Absorción alta. ","")))</f>
        <v/>
      </c>
      <c r="AH846" s="22" t="str">
        <f aca="false">IF(AND(N(M846)&gt;0,OR(CONTROL!$C$4="TODAS",C846=CONTROL!$C$4),D846=CONTROL!$C$5),MAX($AH$4:AH845)+1,"")</f>
        <v/>
      </c>
      <c r="AI846" s="22" t="str">
        <f aca="false">IF(AH846="","",P846^2)</f>
        <v/>
      </c>
    </row>
    <row r="847" customFormat="false" ht="15" hidden="false" customHeight="false" outlineLevel="0" collapsed="false">
      <c r="A847" s="11" t="str">
        <f aca="false">IF(B847="","",ROW()-4)</f>
        <v/>
      </c>
      <c r="B847" s="12"/>
      <c r="C847" s="13"/>
      <c r="D847" s="13"/>
      <c r="E847" s="13"/>
      <c r="F847" s="14" t="str">
        <f aca="false">IF(OR(B847="",C847="",D847=""),"",IFERROR(INDEX(CONFIG!$E$5:$E$14,MATCH(D847,CONFIG!$D$5:$D$14,0)),"?")&amp;RIGHT("0"&amp;DAY(B847),2)&amp;RIGHT("0"&amp;MONTH(B847),2)&amp;RIGHT(YEAR(B847),2)&amp;C847&amp;IF(E847="","","-"&amp;E847))</f>
        <v/>
      </c>
      <c r="G847" s="13"/>
      <c r="H847" s="13"/>
      <c r="I847" s="13"/>
      <c r="J847" s="13"/>
      <c r="K847" s="13"/>
      <c r="L847" s="13"/>
      <c r="M847" s="11" t="str">
        <f aca="false">IF(F847="","",COUNTIFS(ENSAYOS!$C$5:$C$3004,F847,ENSAYOS!$Q$5:$Q$3004,"&gt;0"))</f>
        <v/>
      </c>
      <c r="N847" s="15" t="str">
        <f aca="false">IF(N(M847)=0,"",_xlfn.MINIFS(ENSAYOS!$G$5:$G$3004,ENSAYOS!$C$5:$C$3004,F847,ENSAYOS!$Q$5:$Q$3004,"&gt;0"))</f>
        <v/>
      </c>
      <c r="O847" s="15" t="str">
        <f aca="false">IF(N(M847)=0,"",_xlfn.MAXIFS(ENSAYOS!$G$5:$G$3004,ENSAYOS!$C$5:$C$3004,F847,ENSAYOS!$Q$5:$Q$3004,"&gt;0"))</f>
        <v/>
      </c>
      <c r="P847" s="16" t="str">
        <f aca="false">IF(N(M847)=0,"",AVERAGEIFS(ENSAYOS!$Q$5:$Q$3004,ENSAYOS!$C$5:$C$3004,F847,ENSAYOS!$Q$5:$Q$3004,"&gt;0"))</f>
        <v/>
      </c>
      <c r="Q847" s="16" t="str">
        <f aca="false">IF(N(M847)=0,"",_xlfn.MINIFS(ENSAYOS!$Q$5:$Q$3004,ENSAYOS!$C$5:$C$3004,F847,ENSAYOS!$Q$5:$Q$3004,"&gt;0"))</f>
        <v/>
      </c>
      <c r="R847" s="16" t="str">
        <f aca="false">IF(N(M847)=0,"",_xlfn.MAXIFS(ENSAYOS!$Q$5:$Q$3004,ENSAYOS!$C$5:$C$3004,F847,ENSAYOS!$Q$5:$Q$3004,"&gt;0"))</f>
        <v/>
      </c>
      <c r="S847" s="16" t="str">
        <f aca="false">IF(N(M847)&lt;2,"",SQRT(MAX(0,(SUMIFS(ENSAYOS!$X$5:$X$3004,ENSAYOS!$C$5:$C$3004,F847,ENSAYOS!$Q$5:$Q$3004,"&gt;0")-M847*P847^2)/(M847-1))))</f>
        <v/>
      </c>
      <c r="T847" s="17" t="str">
        <f aca="false">IF(S847="","",S847/P847)</f>
        <v/>
      </c>
      <c r="U847" s="16" t="str">
        <f aca="false">IF(N(M847)=0,"",IF(N847&gt;=CONFIG!$B$27,"",AVERAGEIFS(ENSAYOS!$Q$5:$Q$3004,ENSAYOS!$C$5:$C$3004,F847,ENSAYOS!$Q$5:$Q$3004,"&gt;0",ENSAYOS!$G$5:$G$3004,N847)))</f>
        <v/>
      </c>
      <c r="V847" s="16" t="str">
        <f aca="false">IF(N(M847)=0,"",IF(COUNTIFS(ENSAYOS!$C$5:$C$3004,F847,ENSAYOS!$Q$5:$Q$3004,"&gt;0",ENSAYOS!$G$5:$G$3004,"&gt;="&amp;CONFIG!$B$27)=0,"",AVERAGEIFS(ENSAYOS!$Q$5:$Q$3004,ENSAYOS!$C$5:$C$3004,F847,ENSAYOS!$Q$5:$Q$3004,"&gt;0",ENSAYOS!$G$5:$G$3004,"&gt;="&amp;CONFIG!$B$27)))</f>
        <v/>
      </c>
      <c r="W847" s="18" t="str">
        <f aca="false">IF(AND(U847&lt;&gt;"",V847&lt;&gt;""),U847/V847,"")</f>
        <v/>
      </c>
      <c r="X847" s="18" t="str">
        <f aca="false">IF(U847="","",INDEX('CURVA EDAD'!$E$5:$E$32,MIN(28,MAX(1,N847))))</f>
        <v/>
      </c>
      <c r="Y847" s="16" t="str">
        <f aca="false">IF(V847&lt;&gt;"",V847,IF(U847="","",U847/X847))</f>
        <v/>
      </c>
      <c r="Z847" s="16" t="str">
        <f aca="false">IF(V847&lt;&gt;"",_xlfn.MINIFS(ENSAYOS!$Q$5:$Q$3004,ENSAYOS!$C$5:$C$3004,F847,ENSAYOS!$Q$5:$Q$3004,"&gt;0",ENSAYOS!$G$5:$G$3004,"&gt;="&amp;CONFIG!$B$27),IF(U847="","",_xlfn.MINIFS(ENSAYOS!$Q$5:$Q$3004,ENSAYOS!$C$5:$C$3004,F847,ENSAYOS!$Q$5:$Q$3004,"&gt;0",ENSAYOS!$G$5:$G$3004,N847)/X847))</f>
        <v/>
      </c>
      <c r="AA847" s="16" t="str">
        <f aca="false">IF(D847="","",IFERROR(1/(1/INDEX(CONFIG!$J$5:$J$14,MATCH(D847,CONFIG!$D$5:$D$14,0))),""))</f>
        <v/>
      </c>
      <c r="AB847" s="16" t="str">
        <f aca="false">IF(D847="","",IFERROR(1/(1/INDEX(CONFIG!$K$5:$K$14,MATCH(D847,CONFIG!$D$5:$D$14,0))),""))</f>
        <v/>
      </c>
      <c r="AC847" s="19" t="str">
        <f aca="false">IF(N(M847)=0,"",IF(AA847="","Sin spec",IF(AND(Y847&gt;=AA847,OR(AB847="",Z847&gt;=AB847)),"CUMPLE","NO CUMPLE")&amp;IF(V847=""," (est.)","")))</f>
        <v/>
      </c>
      <c r="AD847" s="20" t="str">
        <f aca="false">IF(F847="","",IF(COUNTIFS(ABSORCION!$C$5:$C$1004,F847,ABSORCION!$I$5:$I$1004,"&gt;0")=0,"",AVERAGEIFS(ABSORCION!$I$5:$I$1004,ABSORCION!$C$5:$C$1004,F847,ABSORCION!$I$5:$I$1004,"&gt;0")))</f>
        <v/>
      </c>
      <c r="AE847" s="20" t="str">
        <f aca="false">IF(F847="","",IF(COUNTIFS(ABSORCION!$C$5:$C$1004,F847,ABSORCION!$I$5:$I$1004,"&gt;0")=0,"",AVERAGEIFS(ABSORCION!$K$5:$K$1004,ABSORCION!$C$5:$C$1004,F847,ABSORCION!$I$5:$I$1004,"&gt;0")))</f>
        <v/>
      </c>
      <c r="AF847" s="20" t="str">
        <f aca="false">IF(AE847="","",IF(AE847&gt;=CONFIG!$E$21,CONFIG!$F$21,IF(AE847&gt;=CONFIG!$E$20,CONFIG!$F$20,CONFIG!$F$19)))</f>
        <v/>
      </c>
      <c r="AG847" s="21" t="str">
        <f aca="false">IF(F847="","",TRIM(IF(N(M847)=0,"Sin ensayos. ","")&amp;IF(AND(N(M847)&gt;0,N(M847)&lt;CONFIG!$B$26),"Menos de "&amp;CONFIG!$B$26&amp;" probetas. ","")&amp;IF(N(T847)&gt;CONFIG!$B$25,"CV alto. ","")&amp;IF(AND(N(AD847)&gt;0,N(AD847)&gt;N(AF847)),"Absorción alta. ","")))</f>
        <v/>
      </c>
      <c r="AH847" s="22" t="str">
        <f aca="false">IF(AND(N(M847)&gt;0,OR(CONTROL!$C$4="TODAS",C847=CONTROL!$C$4),D847=CONTROL!$C$5),MAX($AH$4:AH846)+1,"")</f>
        <v/>
      </c>
      <c r="AI847" s="22" t="str">
        <f aca="false">IF(AH847="","",P847^2)</f>
        <v/>
      </c>
    </row>
    <row r="848" customFormat="false" ht="15" hidden="false" customHeight="false" outlineLevel="0" collapsed="false">
      <c r="A848" s="11" t="str">
        <f aca="false">IF(B848="","",ROW()-4)</f>
        <v/>
      </c>
      <c r="B848" s="12"/>
      <c r="C848" s="13"/>
      <c r="D848" s="13"/>
      <c r="E848" s="13"/>
      <c r="F848" s="14" t="str">
        <f aca="false">IF(OR(B848="",C848="",D848=""),"",IFERROR(INDEX(CONFIG!$E$5:$E$14,MATCH(D848,CONFIG!$D$5:$D$14,0)),"?")&amp;RIGHT("0"&amp;DAY(B848),2)&amp;RIGHT("0"&amp;MONTH(B848),2)&amp;RIGHT(YEAR(B848),2)&amp;C848&amp;IF(E848="","","-"&amp;E848))</f>
        <v/>
      </c>
      <c r="G848" s="13"/>
      <c r="H848" s="13"/>
      <c r="I848" s="13"/>
      <c r="J848" s="13"/>
      <c r="K848" s="13"/>
      <c r="L848" s="13"/>
      <c r="M848" s="11" t="str">
        <f aca="false">IF(F848="","",COUNTIFS(ENSAYOS!$C$5:$C$3004,F848,ENSAYOS!$Q$5:$Q$3004,"&gt;0"))</f>
        <v/>
      </c>
      <c r="N848" s="15" t="str">
        <f aca="false">IF(N(M848)=0,"",_xlfn.MINIFS(ENSAYOS!$G$5:$G$3004,ENSAYOS!$C$5:$C$3004,F848,ENSAYOS!$Q$5:$Q$3004,"&gt;0"))</f>
        <v/>
      </c>
      <c r="O848" s="15" t="str">
        <f aca="false">IF(N(M848)=0,"",_xlfn.MAXIFS(ENSAYOS!$G$5:$G$3004,ENSAYOS!$C$5:$C$3004,F848,ENSAYOS!$Q$5:$Q$3004,"&gt;0"))</f>
        <v/>
      </c>
      <c r="P848" s="16" t="str">
        <f aca="false">IF(N(M848)=0,"",AVERAGEIFS(ENSAYOS!$Q$5:$Q$3004,ENSAYOS!$C$5:$C$3004,F848,ENSAYOS!$Q$5:$Q$3004,"&gt;0"))</f>
        <v/>
      </c>
      <c r="Q848" s="16" t="str">
        <f aca="false">IF(N(M848)=0,"",_xlfn.MINIFS(ENSAYOS!$Q$5:$Q$3004,ENSAYOS!$C$5:$C$3004,F848,ENSAYOS!$Q$5:$Q$3004,"&gt;0"))</f>
        <v/>
      </c>
      <c r="R848" s="16" t="str">
        <f aca="false">IF(N(M848)=0,"",_xlfn.MAXIFS(ENSAYOS!$Q$5:$Q$3004,ENSAYOS!$C$5:$C$3004,F848,ENSAYOS!$Q$5:$Q$3004,"&gt;0"))</f>
        <v/>
      </c>
      <c r="S848" s="16" t="str">
        <f aca="false">IF(N(M848)&lt;2,"",SQRT(MAX(0,(SUMIFS(ENSAYOS!$X$5:$X$3004,ENSAYOS!$C$5:$C$3004,F848,ENSAYOS!$Q$5:$Q$3004,"&gt;0")-M848*P848^2)/(M848-1))))</f>
        <v/>
      </c>
      <c r="T848" s="17" t="str">
        <f aca="false">IF(S848="","",S848/P848)</f>
        <v/>
      </c>
      <c r="U848" s="16" t="str">
        <f aca="false">IF(N(M848)=0,"",IF(N848&gt;=CONFIG!$B$27,"",AVERAGEIFS(ENSAYOS!$Q$5:$Q$3004,ENSAYOS!$C$5:$C$3004,F848,ENSAYOS!$Q$5:$Q$3004,"&gt;0",ENSAYOS!$G$5:$G$3004,N848)))</f>
        <v/>
      </c>
      <c r="V848" s="16" t="str">
        <f aca="false">IF(N(M848)=0,"",IF(COUNTIFS(ENSAYOS!$C$5:$C$3004,F848,ENSAYOS!$Q$5:$Q$3004,"&gt;0",ENSAYOS!$G$5:$G$3004,"&gt;="&amp;CONFIG!$B$27)=0,"",AVERAGEIFS(ENSAYOS!$Q$5:$Q$3004,ENSAYOS!$C$5:$C$3004,F848,ENSAYOS!$Q$5:$Q$3004,"&gt;0",ENSAYOS!$G$5:$G$3004,"&gt;="&amp;CONFIG!$B$27)))</f>
        <v/>
      </c>
      <c r="W848" s="18" t="str">
        <f aca="false">IF(AND(U848&lt;&gt;"",V848&lt;&gt;""),U848/V848,"")</f>
        <v/>
      </c>
      <c r="X848" s="18" t="str">
        <f aca="false">IF(U848="","",INDEX('CURVA EDAD'!$E$5:$E$32,MIN(28,MAX(1,N848))))</f>
        <v/>
      </c>
      <c r="Y848" s="16" t="str">
        <f aca="false">IF(V848&lt;&gt;"",V848,IF(U848="","",U848/X848))</f>
        <v/>
      </c>
      <c r="Z848" s="16" t="str">
        <f aca="false">IF(V848&lt;&gt;"",_xlfn.MINIFS(ENSAYOS!$Q$5:$Q$3004,ENSAYOS!$C$5:$C$3004,F848,ENSAYOS!$Q$5:$Q$3004,"&gt;0",ENSAYOS!$G$5:$G$3004,"&gt;="&amp;CONFIG!$B$27),IF(U848="","",_xlfn.MINIFS(ENSAYOS!$Q$5:$Q$3004,ENSAYOS!$C$5:$C$3004,F848,ENSAYOS!$Q$5:$Q$3004,"&gt;0",ENSAYOS!$G$5:$G$3004,N848)/X848))</f>
        <v/>
      </c>
      <c r="AA848" s="16" t="str">
        <f aca="false">IF(D848="","",IFERROR(1/(1/INDEX(CONFIG!$J$5:$J$14,MATCH(D848,CONFIG!$D$5:$D$14,0))),""))</f>
        <v/>
      </c>
      <c r="AB848" s="16" t="str">
        <f aca="false">IF(D848="","",IFERROR(1/(1/INDEX(CONFIG!$K$5:$K$14,MATCH(D848,CONFIG!$D$5:$D$14,0))),""))</f>
        <v/>
      </c>
      <c r="AC848" s="19" t="str">
        <f aca="false">IF(N(M848)=0,"",IF(AA848="","Sin spec",IF(AND(Y848&gt;=AA848,OR(AB848="",Z848&gt;=AB848)),"CUMPLE","NO CUMPLE")&amp;IF(V848=""," (est.)","")))</f>
        <v/>
      </c>
      <c r="AD848" s="20" t="str">
        <f aca="false">IF(F848="","",IF(COUNTIFS(ABSORCION!$C$5:$C$1004,F848,ABSORCION!$I$5:$I$1004,"&gt;0")=0,"",AVERAGEIFS(ABSORCION!$I$5:$I$1004,ABSORCION!$C$5:$C$1004,F848,ABSORCION!$I$5:$I$1004,"&gt;0")))</f>
        <v/>
      </c>
      <c r="AE848" s="20" t="str">
        <f aca="false">IF(F848="","",IF(COUNTIFS(ABSORCION!$C$5:$C$1004,F848,ABSORCION!$I$5:$I$1004,"&gt;0")=0,"",AVERAGEIFS(ABSORCION!$K$5:$K$1004,ABSORCION!$C$5:$C$1004,F848,ABSORCION!$I$5:$I$1004,"&gt;0")))</f>
        <v/>
      </c>
      <c r="AF848" s="20" t="str">
        <f aca="false">IF(AE848="","",IF(AE848&gt;=CONFIG!$E$21,CONFIG!$F$21,IF(AE848&gt;=CONFIG!$E$20,CONFIG!$F$20,CONFIG!$F$19)))</f>
        <v/>
      </c>
      <c r="AG848" s="21" t="str">
        <f aca="false">IF(F848="","",TRIM(IF(N(M848)=0,"Sin ensayos. ","")&amp;IF(AND(N(M848)&gt;0,N(M848)&lt;CONFIG!$B$26),"Menos de "&amp;CONFIG!$B$26&amp;" probetas. ","")&amp;IF(N(T848)&gt;CONFIG!$B$25,"CV alto. ","")&amp;IF(AND(N(AD848)&gt;0,N(AD848)&gt;N(AF848)),"Absorción alta. ","")))</f>
        <v/>
      </c>
      <c r="AH848" s="22" t="str">
        <f aca="false">IF(AND(N(M848)&gt;0,OR(CONTROL!$C$4="TODAS",C848=CONTROL!$C$4),D848=CONTROL!$C$5),MAX($AH$4:AH847)+1,"")</f>
        <v/>
      </c>
      <c r="AI848" s="22" t="str">
        <f aca="false">IF(AH848="","",P848^2)</f>
        <v/>
      </c>
    </row>
    <row r="849" customFormat="false" ht="15" hidden="false" customHeight="false" outlineLevel="0" collapsed="false">
      <c r="A849" s="11" t="str">
        <f aca="false">IF(B849="","",ROW()-4)</f>
        <v/>
      </c>
      <c r="B849" s="12"/>
      <c r="C849" s="13"/>
      <c r="D849" s="13"/>
      <c r="E849" s="13"/>
      <c r="F849" s="14" t="str">
        <f aca="false">IF(OR(B849="",C849="",D849=""),"",IFERROR(INDEX(CONFIG!$E$5:$E$14,MATCH(D849,CONFIG!$D$5:$D$14,0)),"?")&amp;RIGHT("0"&amp;DAY(B849),2)&amp;RIGHT("0"&amp;MONTH(B849),2)&amp;RIGHT(YEAR(B849),2)&amp;C849&amp;IF(E849="","","-"&amp;E849))</f>
        <v/>
      </c>
      <c r="G849" s="13"/>
      <c r="H849" s="13"/>
      <c r="I849" s="13"/>
      <c r="J849" s="13"/>
      <c r="K849" s="13"/>
      <c r="L849" s="13"/>
      <c r="M849" s="11" t="str">
        <f aca="false">IF(F849="","",COUNTIFS(ENSAYOS!$C$5:$C$3004,F849,ENSAYOS!$Q$5:$Q$3004,"&gt;0"))</f>
        <v/>
      </c>
      <c r="N849" s="15" t="str">
        <f aca="false">IF(N(M849)=0,"",_xlfn.MINIFS(ENSAYOS!$G$5:$G$3004,ENSAYOS!$C$5:$C$3004,F849,ENSAYOS!$Q$5:$Q$3004,"&gt;0"))</f>
        <v/>
      </c>
      <c r="O849" s="15" t="str">
        <f aca="false">IF(N(M849)=0,"",_xlfn.MAXIFS(ENSAYOS!$G$5:$G$3004,ENSAYOS!$C$5:$C$3004,F849,ENSAYOS!$Q$5:$Q$3004,"&gt;0"))</f>
        <v/>
      </c>
      <c r="P849" s="16" t="str">
        <f aca="false">IF(N(M849)=0,"",AVERAGEIFS(ENSAYOS!$Q$5:$Q$3004,ENSAYOS!$C$5:$C$3004,F849,ENSAYOS!$Q$5:$Q$3004,"&gt;0"))</f>
        <v/>
      </c>
      <c r="Q849" s="16" t="str">
        <f aca="false">IF(N(M849)=0,"",_xlfn.MINIFS(ENSAYOS!$Q$5:$Q$3004,ENSAYOS!$C$5:$C$3004,F849,ENSAYOS!$Q$5:$Q$3004,"&gt;0"))</f>
        <v/>
      </c>
      <c r="R849" s="16" t="str">
        <f aca="false">IF(N(M849)=0,"",_xlfn.MAXIFS(ENSAYOS!$Q$5:$Q$3004,ENSAYOS!$C$5:$C$3004,F849,ENSAYOS!$Q$5:$Q$3004,"&gt;0"))</f>
        <v/>
      </c>
      <c r="S849" s="16" t="str">
        <f aca="false">IF(N(M849)&lt;2,"",SQRT(MAX(0,(SUMIFS(ENSAYOS!$X$5:$X$3004,ENSAYOS!$C$5:$C$3004,F849,ENSAYOS!$Q$5:$Q$3004,"&gt;0")-M849*P849^2)/(M849-1))))</f>
        <v/>
      </c>
      <c r="T849" s="17" t="str">
        <f aca="false">IF(S849="","",S849/P849)</f>
        <v/>
      </c>
      <c r="U849" s="16" t="str">
        <f aca="false">IF(N(M849)=0,"",IF(N849&gt;=CONFIG!$B$27,"",AVERAGEIFS(ENSAYOS!$Q$5:$Q$3004,ENSAYOS!$C$5:$C$3004,F849,ENSAYOS!$Q$5:$Q$3004,"&gt;0",ENSAYOS!$G$5:$G$3004,N849)))</f>
        <v/>
      </c>
      <c r="V849" s="16" t="str">
        <f aca="false">IF(N(M849)=0,"",IF(COUNTIFS(ENSAYOS!$C$5:$C$3004,F849,ENSAYOS!$Q$5:$Q$3004,"&gt;0",ENSAYOS!$G$5:$G$3004,"&gt;="&amp;CONFIG!$B$27)=0,"",AVERAGEIFS(ENSAYOS!$Q$5:$Q$3004,ENSAYOS!$C$5:$C$3004,F849,ENSAYOS!$Q$5:$Q$3004,"&gt;0",ENSAYOS!$G$5:$G$3004,"&gt;="&amp;CONFIG!$B$27)))</f>
        <v/>
      </c>
      <c r="W849" s="18" t="str">
        <f aca="false">IF(AND(U849&lt;&gt;"",V849&lt;&gt;""),U849/V849,"")</f>
        <v/>
      </c>
      <c r="X849" s="18" t="str">
        <f aca="false">IF(U849="","",INDEX('CURVA EDAD'!$E$5:$E$32,MIN(28,MAX(1,N849))))</f>
        <v/>
      </c>
      <c r="Y849" s="16" t="str">
        <f aca="false">IF(V849&lt;&gt;"",V849,IF(U849="","",U849/X849))</f>
        <v/>
      </c>
      <c r="Z849" s="16" t="str">
        <f aca="false">IF(V849&lt;&gt;"",_xlfn.MINIFS(ENSAYOS!$Q$5:$Q$3004,ENSAYOS!$C$5:$C$3004,F849,ENSAYOS!$Q$5:$Q$3004,"&gt;0",ENSAYOS!$G$5:$G$3004,"&gt;="&amp;CONFIG!$B$27),IF(U849="","",_xlfn.MINIFS(ENSAYOS!$Q$5:$Q$3004,ENSAYOS!$C$5:$C$3004,F849,ENSAYOS!$Q$5:$Q$3004,"&gt;0",ENSAYOS!$G$5:$G$3004,N849)/X849))</f>
        <v/>
      </c>
      <c r="AA849" s="16" t="str">
        <f aca="false">IF(D849="","",IFERROR(1/(1/INDEX(CONFIG!$J$5:$J$14,MATCH(D849,CONFIG!$D$5:$D$14,0))),""))</f>
        <v/>
      </c>
      <c r="AB849" s="16" t="str">
        <f aca="false">IF(D849="","",IFERROR(1/(1/INDEX(CONFIG!$K$5:$K$14,MATCH(D849,CONFIG!$D$5:$D$14,0))),""))</f>
        <v/>
      </c>
      <c r="AC849" s="19" t="str">
        <f aca="false">IF(N(M849)=0,"",IF(AA849="","Sin spec",IF(AND(Y849&gt;=AA849,OR(AB849="",Z849&gt;=AB849)),"CUMPLE","NO CUMPLE")&amp;IF(V849=""," (est.)","")))</f>
        <v/>
      </c>
      <c r="AD849" s="20" t="str">
        <f aca="false">IF(F849="","",IF(COUNTIFS(ABSORCION!$C$5:$C$1004,F849,ABSORCION!$I$5:$I$1004,"&gt;0")=0,"",AVERAGEIFS(ABSORCION!$I$5:$I$1004,ABSORCION!$C$5:$C$1004,F849,ABSORCION!$I$5:$I$1004,"&gt;0")))</f>
        <v/>
      </c>
      <c r="AE849" s="20" t="str">
        <f aca="false">IF(F849="","",IF(COUNTIFS(ABSORCION!$C$5:$C$1004,F849,ABSORCION!$I$5:$I$1004,"&gt;0")=0,"",AVERAGEIFS(ABSORCION!$K$5:$K$1004,ABSORCION!$C$5:$C$1004,F849,ABSORCION!$I$5:$I$1004,"&gt;0")))</f>
        <v/>
      </c>
      <c r="AF849" s="20" t="str">
        <f aca="false">IF(AE849="","",IF(AE849&gt;=CONFIG!$E$21,CONFIG!$F$21,IF(AE849&gt;=CONFIG!$E$20,CONFIG!$F$20,CONFIG!$F$19)))</f>
        <v/>
      </c>
      <c r="AG849" s="21" t="str">
        <f aca="false">IF(F849="","",TRIM(IF(N(M849)=0,"Sin ensayos. ","")&amp;IF(AND(N(M849)&gt;0,N(M849)&lt;CONFIG!$B$26),"Menos de "&amp;CONFIG!$B$26&amp;" probetas. ","")&amp;IF(N(T849)&gt;CONFIG!$B$25,"CV alto. ","")&amp;IF(AND(N(AD849)&gt;0,N(AD849)&gt;N(AF849)),"Absorción alta. ","")))</f>
        <v/>
      </c>
      <c r="AH849" s="22" t="str">
        <f aca="false">IF(AND(N(M849)&gt;0,OR(CONTROL!$C$4="TODAS",C849=CONTROL!$C$4),D849=CONTROL!$C$5),MAX($AH$4:AH848)+1,"")</f>
        <v/>
      </c>
      <c r="AI849" s="22" t="str">
        <f aca="false">IF(AH849="","",P849^2)</f>
        <v/>
      </c>
    </row>
    <row r="850" customFormat="false" ht="15" hidden="false" customHeight="false" outlineLevel="0" collapsed="false">
      <c r="A850" s="11" t="str">
        <f aca="false">IF(B850="","",ROW()-4)</f>
        <v/>
      </c>
      <c r="B850" s="12"/>
      <c r="C850" s="13"/>
      <c r="D850" s="13"/>
      <c r="E850" s="13"/>
      <c r="F850" s="14" t="str">
        <f aca="false">IF(OR(B850="",C850="",D850=""),"",IFERROR(INDEX(CONFIG!$E$5:$E$14,MATCH(D850,CONFIG!$D$5:$D$14,0)),"?")&amp;RIGHT("0"&amp;DAY(B850),2)&amp;RIGHT("0"&amp;MONTH(B850),2)&amp;RIGHT(YEAR(B850),2)&amp;C850&amp;IF(E850="","","-"&amp;E850))</f>
        <v/>
      </c>
      <c r="G850" s="13"/>
      <c r="H850" s="13"/>
      <c r="I850" s="13"/>
      <c r="J850" s="13"/>
      <c r="K850" s="13"/>
      <c r="L850" s="13"/>
      <c r="M850" s="11" t="str">
        <f aca="false">IF(F850="","",COUNTIFS(ENSAYOS!$C$5:$C$3004,F850,ENSAYOS!$Q$5:$Q$3004,"&gt;0"))</f>
        <v/>
      </c>
      <c r="N850" s="15" t="str">
        <f aca="false">IF(N(M850)=0,"",_xlfn.MINIFS(ENSAYOS!$G$5:$G$3004,ENSAYOS!$C$5:$C$3004,F850,ENSAYOS!$Q$5:$Q$3004,"&gt;0"))</f>
        <v/>
      </c>
      <c r="O850" s="15" t="str">
        <f aca="false">IF(N(M850)=0,"",_xlfn.MAXIFS(ENSAYOS!$G$5:$G$3004,ENSAYOS!$C$5:$C$3004,F850,ENSAYOS!$Q$5:$Q$3004,"&gt;0"))</f>
        <v/>
      </c>
      <c r="P850" s="16" t="str">
        <f aca="false">IF(N(M850)=0,"",AVERAGEIFS(ENSAYOS!$Q$5:$Q$3004,ENSAYOS!$C$5:$C$3004,F850,ENSAYOS!$Q$5:$Q$3004,"&gt;0"))</f>
        <v/>
      </c>
      <c r="Q850" s="16" t="str">
        <f aca="false">IF(N(M850)=0,"",_xlfn.MINIFS(ENSAYOS!$Q$5:$Q$3004,ENSAYOS!$C$5:$C$3004,F850,ENSAYOS!$Q$5:$Q$3004,"&gt;0"))</f>
        <v/>
      </c>
      <c r="R850" s="16" t="str">
        <f aca="false">IF(N(M850)=0,"",_xlfn.MAXIFS(ENSAYOS!$Q$5:$Q$3004,ENSAYOS!$C$5:$C$3004,F850,ENSAYOS!$Q$5:$Q$3004,"&gt;0"))</f>
        <v/>
      </c>
      <c r="S850" s="16" t="str">
        <f aca="false">IF(N(M850)&lt;2,"",SQRT(MAX(0,(SUMIFS(ENSAYOS!$X$5:$X$3004,ENSAYOS!$C$5:$C$3004,F850,ENSAYOS!$Q$5:$Q$3004,"&gt;0")-M850*P850^2)/(M850-1))))</f>
        <v/>
      </c>
      <c r="T850" s="17" t="str">
        <f aca="false">IF(S850="","",S850/P850)</f>
        <v/>
      </c>
      <c r="U850" s="16" t="str">
        <f aca="false">IF(N(M850)=0,"",IF(N850&gt;=CONFIG!$B$27,"",AVERAGEIFS(ENSAYOS!$Q$5:$Q$3004,ENSAYOS!$C$5:$C$3004,F850,ENSAYOS!$Q$5:$Q$3004,"&gt;0",ENSAYOS!$G$5:$G$3004,N850)))</f>
        <v/>
      </c>
      <c r="V850" s="16" t="str">
        <f aca="false">IF(N(M850)=0,"",IF(COUNTIFS(ENSAYOS!$C$5:$C$3004,F850,ENSAYOS!$Q$5:$Q$3004,"&gt;0",ENSAYOS!$G$5:$G$3004,"&gt;="&amp;CONFIG!$B$27)=0,"",AVERAGEIFS(ENSAYOS!$Q$5:$Q$3004,ENSAYOS!$C$5:$C$3004,F850,ENSAYOS!$Q$5:$Q$3004,"&gt;0",ENSAYOS!$G$5:$G$3004,"&gt;="&amp;CONFIG!$B$27)))</f>
        <v/>
      </c>
      <c r="W850" s="18" t="str">
        <f aca="false">IF(AND(U850&lt;&gt;"",V850&lt;&gt;""),U850/V850,"")</f>
        <v/>
      </c>
      <c r="X850" s="18" t="str">
        <f aca="false">IF(U850="","",INDEX('CURVA EDAD'!$E$5:$E$32,MIN(28,MAX(1,N850))))</f>
        <v/>
      </c>
      <c r="Y850" s="16" t="str">
        <f aca="false">IF(V850&lt;&gt;"",V850,IF(U850="","",U850/X850))</f>
        <v/>
      </c>
      <c r="Z850" s="16" t="str">
        <f aca="false">IF(V850&lt;&gt;"",_xlfn.MINIFS(ENSAYOS!$Q$5:$Q$3004,ENSAYOS!$C$5:$C$3004,F850,ENSAYOS!$Q$5:$Q$3004,"&gt;0",ENSAYOS!$G$5:$G$3004,"&gt;="&amp;CONFIG!$B$27),IF(U850="","",_xlfn.MINIFS(ENSAYOS!$Q$5:$Q$3004,ENSAYOS!$C$5:$C$3004,F850,ENSAYOS!$Q$5:$Q$3004,"&gt;0",ENSAYOS!$G$5:$G$3004,N850)/X850))</f>
        <v/>
      </c>
      <c r="AA850" s="16" t="str">
        <f aca="false">IF(D850="","",IFERROR(1/(1/INDEX(CONFIG!$J$5:$J$14,MATCH(D850,CONFIG!$D$5:$D$14,0))),""))</f>
        <v/>
      </c>
      <c r="AB850" s="16" t="str">
        <f aca="false">IF(D850="","",IFERROR(1/(1/INDEX(CONFIG!$K$5:$K$14,MATCH(D850,CONFIG!$D$5:$D$14,0))),""))</f>
        <v/>
      </c>
      <c r="AC850" s="19" t="str">
        <f aca="false">IF(N(M850)=0,"",IF(AA850="","Sin spec",IF(AND(Y850&gt;=AA850,OR(AB850="",Z850&gt;=AB850)),"CUMPLE","NO CUMPLE")&amp;IF(V850=""," (est.)","")))</f>
        <v/>
      </c>
      <c r="AD850" s="20" t="str">
        <f aca="false">IF(F850="","",IF(COUNTIFS(ABSORCION!$C$5:$C$1004,F850,ABSORCION!$I$5:$I$1004,"&gt;0")=0,"",AVERAGEIFS(ABSORCION!$I$5:$I$1004,ABSORCION!$C$5:$C$1004,F850,ABSORCION!$I$5:$I$1004,"&gt;0")))</f>
        <v/>
      </c>
      <c r="AE850" s="20" t="str">
        <f aca="false">IF(F850="","",IF(COUNTIFS(ABSORCION!$C$5:$C$1004,F850,ABSORCION!$I$5:$I$1004,"&gt;0")=0,"",AVERAGEIFS(ABSORCION!$K$5:$K$1004,ABSORCION!$C$5:$C$1004,F850,ABSORCION!$I$5:$I$1004,"&gt;0")))</f>
        <v/>
      </c>
      <c r="AF850" s="20" t="str">
        <f aca="false">IF(AE850="","",IF(AE850&gt;=CONFIG!$E$21,CONFIG!$F$21,IF(AE850&gt;=CONFIG!$E$20,CONFIG!$F$20,CONFIG!$F$19)))</f>
        <v/>
      </c>
      <c r="AG850" s="21" t="str">
        <f aca="false">IF(F850="","",TRIM(IF(N(M850)=0,"Sin ensayos. ","")&amp;IF(AND(N(M850)&gt;0,N(M850)&lt;CONFIG!$B$26),"Menos de "&amp;CONFIG!$B$26&amp;" probetas. ","")&amp;IF(N(T850)&gt;CONFIG!$B$25,"CV alto. ","")&amp;IF(AND(N(AD850)&gt;0,N(AD850)&gt;N(AF850)),"Absorción alta. ","")))</f>
        <v/>
      </c>
      <c r="AH850" s="22" t="str">
        <f aca="false">IF(AND(N(M850)&gt;0,OR(CONTROL!$C$4="TODAS",C850=CONTROL!$C$4),D850=CONTROL!$C$5),MAX($AH$4:AH849)+1,"")</f>
        <v/>
      </c>
      <c r="AI850" s="22" t="str">
        <f aca="false">IF(AH850="","",P850^2)</f>
        <v/>
      </c>
    </row>
    <row r="851" customFormat="false" ht="15" hidden="false" customHeight="false" outlineLevel="0" collapsed="false">
      <c r="A851" s="11" t="str">
        <f aca="false">IF(B851="","",ROW()-4)</f>
        <v/>
      </c>
      <c r="B851" s="12"/>
      <c r="C851" s="13"/>
      <c r="D851" s="13"/>
      <c r="E851" s="13"/>
      <c r="F851" s="14" t="str">
        <f aca="false">IF(OR(B851="",C851="",D851=""),"",IFERROR(INDEX(CONFIG!$E$5:$E$14,MATCH(D851,CONFIG!$D$5:$D$14,0)),"?")&amp;RIGHT("0"&amp;DAY(B851),2)&amp;RIGHT("0"&amp;MONTH(B851),2)&amp;RIGHT(YEAR(B851),2)&amp;C851&amp;IF(E851="","","-"&amp;E851))</f>
        <v/>
      </c>
      <c r="G851" s="13"/>
      <c r="H851" s="13"/>
      <c r="I851" s="13"/>
      <c r="J851" s="13"/>
      <c r="K851" s="13"/>
      <c r="L851" s="13"/>
      <c r="M851" s="11" t="str">
        <f aca="false">IF(F851="","",COUNTIFS(ENSAYOS!$C$5:$C$3004,F851,ENSAYOS!$Q$5:$Q$3004,"&gt;0"))</f>
        <v/>
      </c>
      <c r="N851" s="15" t="str">
        <f aca="false">IF(N(M851)=0,"",_xlfn.MINIFS(ENSAYOS!$G$5:$G$3004,ENSAYOS!$C$5:$C$3004,F851,ENSAYOS!$Q$5:$Q$3004,"&gt;0"))</f>
        <v/>
      </c>
      <c r="O851" s="15" t="str">
        <f aca="false">IF(N(M851)=0,"",_xlfn.MAXIFS(ENSAYOS!$G$5:$G$3004,ENSAYOS!$C$5:$C$3004,F851,ENSAYOS!$Q$5:$Q$3004,"&gt;0"))</f>
        <v/>
      </c>
      <c r="P851" s="16" t="str">
        <f aca="false">IF(N(M851)=0,"",AVERAGEIFS(ENSAYOS!$Q$5:$Q$3004,ENSAYOS!$C$5:$C$3004,F851,ENSAYOS!$Q$5:$Q$3004,"&gt;0"))</f>
        <v/>
      </c>
      <c r="Q851" s="16" t="str">
        <f aca="false">IF(N(M851)=0,"",_xlfn.MINIFS(ENSAYOS!$Q$5:$Q$3004,ENSAYOS!$C$5:$C$3004,F851,ENSAYOS!$Q$5:$Q$3004,"&gt;0"))</f>
        <v/>
      </c>
      <c r="R851" s="16" t="str">
        <f aca="false">IF(N(M851)=0,"",_xlfn.MAXIFS(ENSAYOS!$Q$5:$Q$3004,ENSAYOS!$C$5:$C$3004,F851,ENSAYOS!$Q$5:$Q$3004,"&gt;0"))</f>
        <v/>
      </c>
      <c r="S851" s="16" t="str">
        <f aca="false">IF(N(M851)&lt;2,"",SQRT(MAX(0,(SUMIFS(ENSAYOS!$X$5:$X$3004,ENSAYOS!$C$5:$C$3004,F851,ENSAYOS!$Q$5:$Q$3004,"&gt;0")-M851*P851^2)/(M851-1))))</f>
        <v/>
      </c>
      <c r="T851" s="17" t="str">
        <f aca="false">IF(S851="","",S851/P851)</f>
        <v/>
      </c>
      <c r="U851" s="16" t="str">
        <f aca="false">IF(N(M851)=0,"",IF(N851&gt;=CONFIG!$B$27,"",AVERAGEIFS(ENSAYOS!$Q$5:$Q$3004,ENSAYOS!$C$5:$C$3004,F851,ENSAYOS!$Q$5:$Q$3004,"&gt;0",ENSAYOS!$G$5:$G$3004,N851)))</f>
        <v/>
      </c>
      <c r="V851" s="16" t="str">
        <f aca="false">IF(N(M851)=0,"",IF(COUNTIFS(ENSAYOS!$C$5:$C$3004,F851,ENSAYOS!$Q$5:$Q$3004,"&gt;0",ENSAYOS!$G$5:$G$3004,"&gt;="&amp;CONFIG!$B$27)=0,"",AVERAGEIFS(ENSAYOS!$Q$5:$Q$3004,ENSAYOS!$C$5:$C$3004,F851,ENSAYOS!$Q$5:$Q$3004,"&gt;0",ENSAYOS!$G$5:$G$3004,"&gt;="&amp;CONFIG!$B$27)))</f>
        <v/>
      </c>
      <c r="W851" s="18" t="str">
        <f aca="false">IF(AND(U851&lt;&gt;"",V851&lt;&gt;""),U851/V851,"")</f>
        <v/>
      </c>
      <c r="X851" s="18" t="str">
        <f aca="false">IF(U851="","",INDEX('CURVA EDAD'!$E$5:$E$32,MIN(28,MAX(1,N851))))</f>
        <v/>
      </c>
      <c r="Y851" s="16" t="str">
        <f aca="false">IF(V851&lt;&gt;"",V851,IF(U851="","",U851/X851))</f>
        <v/>
      </c>
      <c r="Z851" s="16" t="str">
        <f aca="false">IF(V851&lt;&gt;"",_xlfn.MINIFS(ENSAYOS!$Q$5:$Q$3004,ENSAYOS!$C$5:$C$3004,F851,ENSAYOS!$Q$5:$Q$3004,"&gt;0",ENSAYOS!$G$5:$G$3004,"&gt;="&amp;CONFIG!$B$27),IF(U851="","",_xlfn.MINIFS(ENSAYOS!$Q$5:$Q$3004,ENSAYOS!$C$5:$C$3004,F851,ENSAYOS!$Q$5:$Q$3004,"&gt;0",ENSAYOS!$G$5:$G$3004,N851)/X851))</f>
        <v/>
      </c>
      <c r="AA851" s="16" t="str">
        <f aca="false">IF(D851="","",IFERROR(1/(1/INDEX(CONFIG!$J$5:$J$14,MATCH(D851,CONFIG!$D$5:$D$14,0))),""))</f>
        <v/>
      </c>
      <c r="AB851" s="16" t="str">
        <f aca="false">IF(D851="","",IFERROR(1/(1/INDEX(CONFIG!$K$5:$K$14,MATCH(D851,CONFIG!$D$5:$D$14,0))),""))</f>
        <v/>
      </c>
      <c r="AC851" s="19" t="str">
        <f aca="false">IF(N(M851)=0,"",IF(AA851="","Sin spec",IF(AND(Y851&gt;=AA851,OR(AB851="",Z851&gt;=AB851)),"CUMPLE","NO CUMPLE")&amp;IF(V851=""," (est.)","")))</f>
        <v/>
      </c>
      <c r="AD851" s="20" t="str">
        <f aca="false">IF(F851="","",IF(COUNTIFS(ABSORCION!$C$5:$C$1004,F851,ABSORCION!$I$5:$I$1004,"&gt;0")=0,"",AVERAGEIFS(ABSORCION!$I$5:$I$1004,ABSORCION!$C$5:$C$1004,F851,ABSORCION!$I$5:$I$1004,"&gt;0")))</f>
        <v/>
      </c>
      <c r="AE851" s="20" t="str">
        <f aca="false">IF(F851="","",IF(COUNTIFS(ABSORCION!$C$5:$C$1004,F851,ABSORCION!$I$5:$I$1004,"&gt;0")=0,"",AVERAGEIFS(ABSORCION!$K$5:$K$1004,ABSORCION!$C$5:$C$1004,F851,ABSORCION!$I$5:$I$1004,"&gt;0")))</f>
        <v/>
      </c>
      <c r="AF851" s="20" t="str">
        <f aca="false">IF(AE851="","",IF(AE851&gt;=CONFIG!$E$21,CONFIG!$F$21,IF(AE851&gt;=CONFIG!$E$20,CONFIG!$F$20,CONFIG!$F$19)))</f>
        <v/>
      </c>
      <c r="AG851" s="21" t="str">
        <f aca="false">IF(F851="","",TRIM(IF(N(M851)=0,"Sin ensayos. ","")&amp;IF(AND(N(M851)&gt;0,N(M851)&lt;CONFIG!$B$26),"Menos de "&amp;CONFIG!$B$26&amp;" probetas. ","")&amp;IF(N(T851)&gt;CONFIG!$B$25,"CV alto. ","")&amp;IF(AND(N(AD851)&gt;0,N(AD851)&gt;N(AF851)),"Absorción alta. ","")))</f>
        <v/>
      </c>
      <c r="AH851" s="22" t="str">
        <f aca="false">IF(AND(N(M851)&gt;0,OR(CONTROL!$C$4="TODAS",C851=CONTROL!$C$4),D851=CONTROL!$C$5),MAX($AH$4:AH850)+1,"")</f>
        <v/>
      </c>
      <c r="AI851" s="22" t="str">
        <f aca="false">IF(AH851="","",P851^2)</f>
        <v/>
      </c>
    </row>
    <row r="852" customFormat="false" ht="15" hidden="false" customHeight="false" outlineLevel="0" collapsed="false">
      <c r="A852" s="11" t="str">
        <f aca="false">IF(B852="","",ROW()-4)</f>
        <v/>
      </c>
      <c r="B852" s="12"/>
      <c r="C852" s="13"/>
      <c r="D852" s="13"/>
      <c r="E852" s="13"/>
      <c r="F852" s="14" t="str">
        <f aca="false">IF(OR(B852="",C852="",D852=""),"",IFERROR(INDEX(CONFIG!$E$5:$E$14,MATCH(D852,CONFIG!$D$5:$D$14,0)),"?")&amp;RIGHT("0"&amp;DAY(B852),2)&amp;RIGHT("0"&amp;MONTH(B852),2)&amp;RIGHT(YEAR(B852),2)&amp;C852&amp;IF(E852="","","-"&amp;E852))</f>
        <v/>
      </c>
      <c r="G852" s="13"/>
      <c r="H852" s="13"/>
      <c r="I852" s="13"/>
      <c r="J852" s="13"/>
      <c r="K852" s="13"/>
      <c r="L852" s="13"/>
      <c r="M852" s="11" t="str">
        <f aca="false">IF(F852="","",COUNTIFS(ENSAYOS!$C$5:$C$3004,F852,ENSAYOS!$Q$5:$Q$3004,"&gt;0"))</f>
        <v/>
      </c>
      <c r="N852" s="15" t="str">
        <f aca="false">IF(N(M852)=0,"",_xlfn.MINIFS(ENSAYOS!$G$5:$G$3004,ENSAYOS!$C$5:$C$3004,F852,ENSAYOS!$Q$5:$Q$3004,"&gt;0"))</f>
        <v/>
      </c>
      <c r="O852" s="15" t="str">
        <f aca="false">IF(N(M852)=0,"",_xlfn.MAXIFS(ENSAYOS!$G$5:$G$3004,ENSAYOS!$C$5:$C$3004,F852,ENSAYOS!$Q$5:$Q$3004,"&gt;0"))</f>
        <v/>
      </c>
      <c r="P852" s="16" t="str">
        <f aca="false">IF(N(M852)=0,"",AVERAGEIFS(ENSAYOS!$Q$5:$Q$3004,ENSAYOS!$C$5:$C$3004,F852,ENSAYOS!$Q$5:$Q$3004,"&gt;0"))</f>
        <v/>
      </c>
      <c r="Q852" s="16" t="str">
        <f aca="false">IF(N(M852)=0,"",_xlfn.MINIFS(ENSAYOS!$Q$5:$Q$3004,ENSAYOS!$C$5:$C$3004,F852,ENSAYOS!$Q$5:$Q$3004,"&gt;0"))</f>
        <v/>
      </c>
      <c r="R852" s="16" t="str">
        <f aca="false">IF(N(M852)=0,"",_xlfn.MAXIFS(ENSAYOS!$Q$5:$Q$3004,ENSAYOS!$C$5:$C$3004,F852,ENSAYOS!$Q$5:$Q$3004,"&gt;0"))</f>
        <v/>
      </c>
      <c r="S852" s="16" t="str">
        <f aca="false">IF(N(M852)&lt;2,"",SQRT(MAX(0,(SUMIFS(ENSAYOS!$X$5:$X$3004,ENSAYOS!$C$5:$C$3004,F852,ENSAYOS!$Q$5:$Q$3004,"&gt;0")-M852*P852^2)/(M852-1))))</f>
        <v/>
      </c>
      <c r="T852" s="17" t="str">
        <f aca="false">IF(S852="","",S852/P852)</f>
        <v/>
      </c>
      <c r="U852" s="16" t="str">
        <f aca="false">IF(N(M852)=0,"",IF(N852&gt;=CONFIG!$B$27,"",AVERAGEIFS(ENSAYOS!$Q$5:$Q$3004,ENSAYOS!$C$5:$C$3004,F852,ENSAYOS!$Q$5:$Q$3004,"&gt;0",ENSAYOS!$G$5:$G$3004,N852)))</f>
        <v/>
      </c>
      <c r="V852" s="16" t="str">
        <f aca="false">IF(N(M852)=0,"",IF(COUNTIFS(ENSAYOS!$C$5:$C$3004,F852,ENSAYOS!$Q$5:$Q$3004,"&gt;0",ENSAYOS!$G$5:$G$3004,"&gt;="&amp;CONFIG!$B$27)=0,"",AVERAGEIFS(ENSAYOS!$Q$5:$Q$3004,ENSAYOS!$C$5:$C$3004,F852,ENSAYOS!$Q$5:$Q$3004,"&gt;0",ENSAYOS!$G$5:$G$3004,"&gt;="&amp;CONFIG!$B$27)))</f>
        <v/>
      </c>
      <c r="W852" s="18" t="str">
        <f aca="false">IF(AND(U852&lt;&gt;"",V852&lt;&gt;""),U852/V852,"")</f>
        <v/>
      </c>
      <c r="X852" s="18" t="str">
        <f aca="false">IF(U852="","",INDEX('CURVA EDAD'!$E$5:$E$32,MIN(28,MAX(1,N852))))</f>
        <v/>
      </c>
      <c r="Y852" s="16" t="str">
        <f aca="false">IF(V852&lt;&gt;"",V852,IF(U852="","",U852/X852))</f>
        <v/>
      </c>
      <c r="Z852" s="16" t="str">
        <f aca="false">IF(V852&lt;&gt;"",_xlfn.MINIFS(ENSAYOS!$Q$5:$Q$3004,ENSAYOS!$C$5:$C$3004,F852,ENSAYOS!$Q$5:$Q$3004,"&gt;0",ENSAYOS!$G$5:$G$3004,"&gt;="&amp;CONFIG!$B$27),IF(U852="","",_xlfn.MINIFS(ENSAYOS!$Q$5:$Q$3004,ENSAYOS!$C$5:$C$3004,F852,ENSAYOS!$Q$5:$Q$3004,"&gt;0",ENSAYOS!$G$5:$G$3004,N852)/X852))</f>
        <v/>
      </c>
      <c r="AA852" s="16" t="str">
        <f aca="false">IF(D852="","",IFERROR(1/(1/INDEX(CONFIG!$J$5:$J$14,MATCH(D852,CONFIG!$D$5:$D$14,0))),""))</f>
        <v/>
      </c>
      <c r="AB852" s="16" t="str">
        <f aca="false">IF(D852="","",IFERROR(1/(1/INDEX(CONFIG!$K$5:$K$14,MATCH(D852,CONFIG!$D$5:$D$14,0))),""))</f>
        <v/>
      </c>
      <c r="AC852" s="19" t="str">
        <f aca="false">IF(N(M852)=0,"",IF(AA852="","Sin spec",IF(AND(Y852&gt;=AA852,OR(AB852="",Z852&gt;=AB852)),"CUMPLE","NO CUMPLE")&amp;IF(V852=""," (est.)","")))</f>
        <v/>
      </c>
      <c r="AD852" s="20" t="str">
        <f aca="false">IF(F852="","",IF(COUNTIFS(ABSORCION!$C$5:$C$1004,F852,ABSORCION!$I$5:$I$1004,"&gt;0")=0,"",AVERAGEIFS(ABSORCION!$I$5:$I$1004,ABSORCION!$C$5:$C$1004,F852,ABSORCION!$I$5:$I$1004,"&gt;0")))</f>
        <v/>
      </c>
      <c r="AE852" s="20" t="str">
        <f aca="false">IF(F852="","",IF(COUNTIFS(ABSORCION!$C$5:$C$1004,F852,ABSORCION!$I$5:$I$1004,"&gt;0")=0,"",AVERAGEIFS(ABSORCION!$K$5:$K$1004,ABSORCION!$C$5:$C$1004,F852,ABSORCION!$I$5:$I$1004,"&gt;0")))</f>
        <v/>
      </c>
      <c r="AF852" s="20" t="str">
        <f aca="false">IF(AE852="","",IF(AE852&gt;=CONFIG!$E$21,CONFIG!$F$21,IF(AE852&gt;=CONFIG!$E$20,CONFIG!$F$20,CONFIG!$F$19)))</f>
        <v/>
      </c>
      <c r="AG852" s="21" t="str">
        <f aca="false">IF(F852="","",TRIM(IF(N(M852)=0,"Sin ensayos. ","")&amp;IF(AND(N(M852)&gt;0,N(M852)&lt;CONFIG!$B$26),"Menos de "&amp;CONFIG!$B$26&amp;" probetas. ","")&amp;IF(N(T852)&gt;CONFIG!$B$25,"CV alto. ","")&amp;IF(AND(N(AD852)&gt;0,N(AD852)&gt;N(AF852)),"Absorción alta. ","")))</f>
        <v/>
      </c>
      <c r="AH852" s="22" t="str">
        <f aca="false">IF(AND(N(M852)&gt;0,OR(CONTROL!$C$4="TODAS",C852=CONTROL!$C$4),D852=CONTROL!$C$5),MAX($AH$4:AH851)+1,"")</f>
        <v/>
      </c>
      <c r="AI852" s="22" t="str">
        <f aca="false">IF(AH852="","",P852^2)</f>
        <v/>
      </c>
    </row>
    <row r="853" customFormat="false" ht="15" hidden="false" customHeight="false" outlineLevel="0" collapsed="false">
      <c r="A853" s="11" t="str">
        <f aca="false">IF(B853="","",ROW()-4)</f>
        <v/>
      </c>
      <c r="B853" s="12"/>
      <c r="C853" s="13"/>
      <c r="D853" s="13"/>
      <c r="E853" s="13"/>
      <c r="F853" s="14" t="str">
        <f aca="false">IF(OR(B853="",C853="",D853=""),"",IFERROR(INDEX(CONFIG!$E$5:$E$14,MATCH(D853,CONFIG!$D$5:$D$14,0)),"?")&amp;RIGHT("0"&amp;DAY(B853),2)&amp;RIGHT("0"&amp;MONTH(B853),2)&amp;RIGHT(YEAR(B853),2)&amp;C853&amp;IF(E853="","","-"&amp;E853))</f>
        <v/>
      </c>
      <c r="G853" s="13"/>
      <c r="H853" s="13"/>
      <c r="I853" s="13"/>
      <c r="J853" s="13"/>
      <c r="K853" s="13"/>
      <c r="L853" s="13"/>
      <c r="M853" s="11" t="str">
        <f aca="false">IF(F853="","",COUNTIFS(ENSAYOS!$C$5:$C$3004,F853,ENSAYOS!$Q$5:$Q$3004,"&gt;0"))</f>
        <v/>
      </c>
      <c r="N853" s="15" t="str">
        <f aca="false">IF(N(M853)=0,"",_xlfn.MINIFS(ENSAYOS!$G$5:$G$3004,ENSAYOS!$C$5:$C$3004,F853,ENSAYOS!$Q$5:$Q$3004,"&gt;0"))</f>
        <v/>
      </c>
      <c r="O853" s="15" t="str">
        <f aca="false">IF(N(M853)=0,"",_xlfn.MAXIFS(ENSAYOS!$G$5:$G$3004,ENSAYOS!$C$5:$C$3004,F853,ENSAYOS!$Q$5:$Q$3004,"&gt;0"))</f>
        <v/>
      </c>
      <c r="P853" s="16" t="str">
        <f aca="false">IF(N(M853)=0,"",AVERAGEIFS(ENSAYOS!$Q$5:$Q$3004,ENSAYOS!$C$5:$C$3004,F853,ENSAYOS!$Q$5:$Q$3004,"&gt;0"))</f>
        <v/>
      </c>
      <c r="Q853" s="16" t="str">
        <f aca="false">IF(N(M853)=0,"",_xlfn.MINIFS(ENSAYOS!$Q$5:$Q$3004,ENSAYOS!$C$5:$C$3004,F853,ENSAYOS!$Q$5:$Q$3004,"&gt;0"))</f>
        <v/>
      </c>
      <c r="R853" s="16" t="str">
        <f aca="false">IF(N(M853)=0,"",_xlfn.MAXIFS(ENSAYOS!$Q$5:$Q$3004,ENSAYOS!$C$5:$C$3004,F853,ENSAYOS!$Q$5:$Q$3004,"&gt;0"))</f>
        <v/>
      </c>
      <c r="S853" s="16" t="str">
        <f aca="false">IF(N(M853)&lt;2,"",SQRT(MAX(0,(SUMIFS(ENSAYOS!$X$5:$X$3004,ENSAYOS!$C$5:$C$3004,F853,ENSAYOS!$Q$5:$Q$3004,"&gt;0")-M853*P853^2)/(M853-1))))</f>
        <v/>
      </c>
      <c r="T853" s="17" t="str">
        <f aca="false">IF(S853="","",S853/P853)</f>
        <v/>
      </c>
      <c r="U853" s="16" t="str">
        <f aca="false">IF(N(M853)=0,"",IF(N853&gt;=CONFIG!$B$27,"",AVERAGEIFS(ENSAYOS!$Q$5:$Q$3004,ENSAYOS!$C$5:$C$3004,F853,ENSAYOS!$Q$5:$Q$3004,"&gt;0",ENSAYOS!$G$5:$G$3004,N853)))</f>
        <v/>
      </c>
      <c r="V853" s="16" t="str">
        <f aca="false">IF(N(M853)=0,"",IF(COUNTIFS(ENSAYOS!$C$5:$C$3004,F853,ENSAYOS!$Q$5:$Q$3004,"&gt;0",ENSAYOS!$G$5:$G$3004,"&gt;="&amp;CONFIG!$B$27)=0,"",AVERAGEIFS(ENSAYOS!$Q$5:$Q$3004,ENSAYOS!$C$5:$C$3004,F853,ENSAYOS!$Q$5:$Q$3004,"&gt;0",ENSAYOS!$G$5:$G$3004,"&gt;="&amp;CONFIG!$B$27)))</f>
        <v/>
      </c>
      <c r="W853" s="18" t="str">
        <f aca="false">IF(AND(U853&lt;&gt;"",V853&lt;&gt;""),U853/V853,"")</f>
        <v/>
      </c>
      <c r="X853" s="18" t="str">
        <f aca="false">IF(U853="","",INDEX('CURVA EDAD'!$E$5:$E$32,MIN(28,MAX(1,N853))))</f>
        <v/>
      </c>
      <c r="Y853" s="16" t="str">
        <f aca="false">IF(V853&lt;&gt;"",V853,IF(U853="","",U853/X853))</f>
        <v/>
      </c>
      <c r="Z853" s="16" t="str">
        <f aca="false">IF(V853&lt;&gt;"",_xlfn.MINIFS(ENSAYOS!$Q$5:$Q$3004,ENSAYOS!$C$5:$C$3004,F853,ENSAYOS!$Q$5:$Q$3004,"&gt;0",ENSAYOS!$G$5:$G$3004,"&gt;="&amp;CONFIG!$B$27),IF(U853="","",_xlfn.MINIFS(ENSAYOS!$Q$5:$Q$3004,ENSAYOS!$C$5:$C$3004,F853,ENSAYOS!$Q$5:$Q$3004,"&gt;0",ENSAYOS!$G$5:$G$3004,N853)/X853))</f>
        <v/>
      </c>
      <c r="AA853" s="16" t="str">
        <f aca="false">IF(D853="","",IFERROR(1/(1/INDEX(CONFIG!$J$5:$J$14,MATCH(D853,CONFIG!$D$5:$D$14,0))),""))</f>
        <v/>
      </c>
      <c r="AB853" s="16" t="str">
        <f aca="false">IF(D853="","",IFERROR(1/(1/INDEX(CONFIG!$K$5:$K$14,MATCH(D853,CONFIG!$D$5:$D$14,0))),""))</f>
        <v/>
      </c>
      <c r="AC853" s="19" t="str">
        <f aca="false">IF(N(M853)=0,"",IF(AA853="","Sin spec",IF(AND(Y853&gt;=AA853,OR(AB853="",Z853&gt;=AB853)),"CUMPLE","NO CUMPLE")&amp;IF(V853=""," (est.)","")))</f>
        <v/>
      </c>
      <c r="AD853" s="20" t="str">
        <f aca="false">IF(F853="","",IF(COUNTIFS(ABSORCION!$C$5:$C$1004,F853,ABSORCION!$I$5:$I$1004,"&gt;0")=0,"",AVERAGEIFS(ABSORCION!$I$5:$I$1004,ABSORCION!$C$5:$C$1004,F853,ABSORCION!$I$5:$I$1004,"&gt;0")))</f>
        <v/>
      </c>
      <c r="AE853" s="20" t="str">
        <f aca="false">IF(F853="","",IF(COUNTIFS(ABSORCION!$C$5:$C$1004,F853,ABSORCION!$I$5:$I$1004,"&gt;0")=0,"",AVERAGEIFS(ABSORCION!$K$5:$K$1004,ABSORCION!$C$5:$C$1004,F853,ABSORCION!$I$5:$I$1004,"&gt;0")))</f>
        <v/>
      </c>
      <c r="AF853" s="20" t="str">
        <f aca="false">IF(AE853="","",IF(AE853&gt;=CONFIG!$E$21,CONFIG!$F$21,IF(AE853&gt;=CONFIG!$E$20,CONFIG!$F$20,CONFIG!$F$19)))</f>
        <v/>
      </c>
      <c r="AG853" s="21" t="str">
        <f aca="false">IF(F853="","",TRIM(IF(N(M853)=0,"Sin ensayos. ","")&amp;IF(AND(N(M853)&gt;0,N(M853)&lt;CONFIG!$B$26),"Menos de "&amp;CONFIG!$B$26&amp;" probetas. ","")&amp;IF(N(T853)&gt;CONFIG!$B$25,"CV alto. ","")&amp;IF(AND(N(AD853)&gt;0,N(AD853)&gt;N(AF853)),"Absorción alta. ","")))</f>
        <v/>
      </c>
      <c r="AH853" s="22" t="str">
        <f aca="false">IF(AND(N(M853)&gt;0,OR(CONTROL!$C$4="TODAS",C853=CONTROL!$C$4),D853=CONTROL!$C$5),MAX($AH$4:AH852)+1,"")</f>
        <v/>
      </c>
      <c r="AI853" s="22" t="str">
        <f aca="false">IF(AH853="","",P853^2)</f>
        <v/>
      </c>
    </row>
    <row r="854" customFormat="false" ht="15" hidden="false" customHeight="false" outlineLevel="0" collapsed="false">
      <c r="A854" s="11" t="str">
        <f aca="false">IF(B854="","",ROW()-4)</f>
        <v/>
      </c>
      <c r="B854" s="12"/>
      <c r="C854" s="13"/>
      <c r="D854" s="13"/>
      <c r="E854" s="13"/>
      <c r="F854" s="14" t="str">
        <f aca="false">IF(OR(B854="",C854="",D854=""),"",IFERROR(INDEX(CONFIG!$E$5:$E$14,MATCH(D854,CONFIG!$D$5:$D$14,0)),"?")&amp;RIGHT("0"&amp;DAY(B854),2)&amp;RIGHT("0"&amp;MONTH(B854),2)&amp;RIGHT(YEAR(B854),2)&amp;C854&amp;IF(E854="","","-"&amp;E854))</f>
        <v/>
      </c>
      <c r="G854" s="13"/>
      <c r="H854" s="13"/>
      <c r="I854" s="13"/>
      <c r="J854" s="13"/>
      <c r="K854" s="13"/>
      <c r="L854" s="13"/>
      <c r="M854" s="11" t="str">
        <f aca="false">IF(F854="","",COUNTIFS(ENSAYOS!$C$5:$C$3004,F854,ENSAYOS!$Q$5:$Q$3004,"&gt;0"))</f>
        <v/>
      </c>
      <c r="N854" s="15" t="str">
        <f aca="false">IF(N(M854)=0,"",_xlfn.MINIFS(ENSAYOS!$G$5:$G$3004,ENSAYOS!$C$5:$C$3004,F854,ENSAYOS!$Q$5:$Q$3004,"&gt;0"))</f>
        <v/>
      </c>
      <c r="O854" s="15" t="str">
        <f aca="false">IF(N(M854)=0,"",_xlfn.MAXIFS(ENSAYOS!$G$5:$G$3004,ENSAYOS!$C$5:$C$3004,F854,ENSAYOS!$Q$5:$Q$3004,"&gt;0"))</f>
        <v/>
      </c>
      <c r="P854" s="16" t="str">
        <f aca="false">IF(N(M854)=0,"",AVERAGEIFS(ENSAYOS!$Q$5:$Q$3004,ENSAYOS!$C$5:$C$3004,F854,ENSAYOS!$Q$5:$Q$3004,"&gt;0"))</f>
        <v/>
      </c>
      <c r="Q854" s="16" t="str">
        <f aca="false">IF(N(M854)=0,"",_xlfn.MINIFS(ENSAYOS!$Q$5:$Q$3004,ENSAYOS!$C$5:$C$3004,F854,ENSAYOS!$Q$5:$Q$3004,"&gt;0"))</f>
        <v/>
      </c>
      <c r="R854" s="16" t="str">
        <f aca="false">IF(N(M854)=0,"",_xlfn.MAXIFS(ENSAYOS!$Q$5:$Q$3004,ENSAYOS!$C$5:$C$3004,F854,ENSAYOS!$Q$5:$Q$3004,"&gt;0"))</f>
        <v/>
      </c>
      <c r="S854" s="16" t="str">
        <f aca="false">IF(N(M854)&lt;2,"",SQRT(MAX(0,(SUMIFS(ENSAYOS!$X$5:$X$3004,ENSAYOS!$C$5:$C$3004,F854,ENSAYOS!$Q$5:$Q$3004,"&gt;0")-M854*P854^2)/(M854-1))))</f>
        <v/>
      </c>
      <c r="T854" s="17" t="str">
        <f aca="false">IF(S854="","",S854/P854)</f>
        <v/>
      </c>
      <c r="U854" s="16" t="str">
        <f aca="false">IF(N(M854)=0,"",IF(N854&gt;=CONFIG!$B$27,"",AVERAGEIFS(ENSAYOS!$Q$5:$Q$3004,ENSAYOS!$C$5:$C$3004,F854,ENSAYOS!$Q$5:$Q$3004,"&gt;0",ENSAYOS!$G$5:$G$3004,N854)))</f>
        <v/>
      </c>
      <c r="V854" s="16" t="str">
        <f aca="false">IF(N(M854)=0,"",IF(COUNTIFS(ENSAYOS!$C$5:$C$3004,F854,ENSAYOS!$Q$5:$Q$3004,"&gt;0",ENSAYOS!$G$5:$G$3004,"&gt;="&amp;CONFIG!$B$27)=0,"",AVERAGEIFS(ENSAYOS!$Q$5:$Q$3004,ENSAYOS!$C$5:$C$3004,F854,ENSAYOS!$Q$5:$Q$3004,"&gt;0",ENSAYOS!$G$5:$G$3004,"&gt;="&amp;CONFIG!$B$27)))</f>
        <v/>
      </c>
      <c r="W854" s="18" t="str">
        <f aca="false">IF(AND(U854&lt;&gt;"",V854&lt;&gt;""),U854/V854,"")</f>
        <v/>
      </c>
      <c r="X854" s="18" t="str">
        <f aca="false">IF(U854="","",INDEX('CURVA EDAD'!$E$5:$E$32,MIN(28,MAX(1,N854))))</f>
        <v/>
      </c>
      <c r="Y854" s="16" t="str">
        <f aca="false">IF(V854&lt;&gt;"",V854,IF(U854="","",U854/X854))</f>
        <v/>
      </c>
      <c r="Z854" s="16" t="str">
        <f aca="false">IF(V854&lt;&gt;"",_xlfn.MINIFS(ENSAYOS!$Q$5:$Q$3004,ENSAYOS!$C$5:$C$3004,F854,ENSAYOS!$Q$5:$Q$3004,"&gt;0",ENSAYOS!$G$5:$G$3004,"&gt;="&amp;CONFIG!$B$27),IF(U854="","",_xlfn.MINIFS(ENSAYOS!$Q$5:$Q$3004,ENSAYOS!$C$5:$C$3004,F854,ENSAYOS!$Q$5:$Q$3004,"&gt;0",ENSAYOS!$G$5:$G$3004,N854)/X854))</f>
        <v/>
      </c>
      <c r="AA854" s="16" t="str">
        <f aca="false">IF(D854="","",IFERROR(1/(1/INDEX(CONFIG!$J$5:$J$14,MATCH(D854,CONFIG!$D$5:$D$14,0))),""))</f>
        <v/>
      </c>
      <c r="AB854" s="16" t="str">
        <f aca="false">IF(D854="","",IFERROR(1/(1/INDEX(CONFIG!$K$5:$K$14,MATCH(D854,CONFIG!$D$5:$D$14,0))),""))</f>
        <v/>
      </c>
      <c r="AC854" s="19" t="str">
        <f aca="false">IF(N(M854)=0,"",IF(AA854="","Sin spec",IF(AND(Y854&gt;=AA854,OR(AB854="",Z854&gt;=AB854)),"CUMPLE","NO CUMPLE")&amp;IF(V854=""," (est.)","")))</f>
        <v/>
      </c>
      <c r="AD854" s="20" t="str">
        <f aca="false">IF(F854="","",IF(COUNTIFS(ABSORCION!$C$5:$C$1004,F854,ABSORCION!$I$5:$I$1004,"&gt;0")=0,"",AVERAGEIFS(ABSORCION!$I$5:$I$1004,ABSORCION!$C$5:$C$1004,F854,ABSORCION!$I$5:$I$1004,"&gt;0")))</f>
        <v/>
      </c>
      <c r="AE854" s="20" t="str">
        <f aca="false">IF(F854="","",IF(COUNTIFS(ABSORCION!$C$5:$C$1004,F854,ABSORCION!$I$5:$I$1004,"&gt;0")=0,"",AVERAGEIFS(ABSORCION!$K$5:$K$1004,ABSORCION!$C$5:$C$1004,F854,ABSORCION!$I$5:$I$1004,"&gt;0")))</f>
        <v/>
      </c>
      <c r="AF854" s="20" t="str">
        <f aca="false">IF(AE854="","",IF(AE854&gt;=CONFIG!$E$21,CONFIG!$F$21,IF(AE854&gt;=CONFIG!$E$20,CONFIG!$F$20,CONFIG!$F$19)))</f>
        <v/>
      </c>
      <c r="AG854" s="21" t="str">
        <f aca="false">IF(F854="","",TRIM(IF(N(M854)=0,"Sin ensayos. ","")&amp;IF(AND(N(M854)&gt;0,N(M854)&lt;CONFIG!$B$26),"Menos de "&amp;CONFIG!$B$26&amp;" probetas. ","")&amp;IF(N(T854)&gt;CONFIG!$B$25,"CV alto. ","")&amp;IF(AND(N(AD854)&gt;0,N(AD854)&gt;N(AF854)),"Absorción alta. ","")))</f>
        <v/>
      </c>
      <c r="AH854" s="22" t="str">
        <f aca="false">IF(AND(N(M854)&gt;0,OR(CONTROL!$C$4="TODAS",C854=CONTROL!$C$4),D854=CONTROL!$C$5),MAX($AH$4:AH853)+1,"")</f>
        <v/>
      </c>
      <c r="AI854" s="22" t="str">
        <f aca="false">IF(AH854="","",P854^2)</f>
        <v/>
      </c>
    </row>
    <row r="855" customFormat="false" ht="15" hidden="false" customHeight="false" outlineLevel="0" collapsed="false">
      <c r="A855" s="11" t="str">
        <f aca="false">IF(B855="","",ROW()-4)</f>
        <v/>
      </c>
      <c r="B855" s="12"/>
      <c r="C855" s="13"/>
      <c r="D855" s="13"/>
      <c r="E855" s="13"/>
      <c r="F855" s="14" t="str">
        <f aca="false">IF(OR(B855="",C855="",D855=""),"",IFERROR(INDEX(CONFIG!$E$5:$E$14,MATCH(D855,CONFIG!$D$5:$D$14,0)),"?")&amp;RIGHT("0"&amp;DAY(B855),2)&amp;RIGHT("0"&amp;MONTH(B855),2)&amp;RIGHT(YEAR(B855),2)&amp;C855&amp;IF(E855="","","-"&amp;E855))</f>
        <v/>
      </c>
      <c r="G855" s="13"/>
      <c r="H855" s="13"/>
      <c r="I855" s="13"/>
      <c r="J855" s="13"/>
      <c r="K855" s="13"/>
      <c r="L855" s="13"/>
      <c r="M855" s="11" t="str">
        <f aca="false">IF(F855="","",COUNTIFS(ENSAYOS!$C$5:$C$3004,F855,ENSAYOS!$Q$5:$Q$3004,"&gt;0"))</f>
        <v/>
      </c>
      <c r="N855" s="15" t="str">
        <f aca="false">IF(N(M855)=0,"",_xlfn.MINIFS(ENSAYOS!$G$5:$G$3004,ENSAYOS!$C$5:$C$3004,F855,ENSAYOS!$Q$5:$Q$3004,"&gt;0"))</f>
        <v/>
      </c>
      <c r="O855" s="15" t="str">
        <f aca="false">IF(N(M855)=0,"",_xlfn.MAXIFS(ENSAYOS!$G$5:$G$3004,ENSAYOS!$C$5:$C$3004,F855,ENSAYOS!$Q$5:$Q$3004,"&gt;0"))</f>
        <v/>
      </c>
      <c r="P855" s="16" t="str">
        <f aca="false">IF(N(M855)=0,"",AVERAGEIFS(ENSAYOS!$Q$5:$Q$3004,ENSAYOS!$C$5:$C$3004,F855,ENSAYOS!$Q$5:$Q$3004,"&gt;0"))</f>
        <v/>
      </c>
      <c r="Q855" s="16" t="str">
        <f aca="false">IF(N(M855)=0,"",_xlfn.MINIFS(ENSAYOS!$Q$5:$Q$3004,ENSAYOS!$C$5:$C$3004,F855,ENSAYOS!$Q$5:$Q$3004,"&gt;0"))</f>
        <v/>
      </c>
      <c r="R855" s="16" t="str">
        <f aca="false">IF(N(M855)=0,"",_xlfn.MAXIFS(ENSAYOS!$Q$5:$Q$3004,ENSAYOS!$C$5:$C$3004,F855,ENSAYOS!$Q$5:$Q$3004,"&gt;0"))</f>
        <v/>
      </c>
      <c r="S855" s="16" t="str">
        <f aca="false">IF(N(M855)&lt;2,"",SQRT(MAX(0,(SUMIFS(ENSAYOS!$X$5:$X$3004,ENSAYOS!$C$5:$C$3004,F855,ENSAYOS!$Q$5:$Q$3004,"&gt;0")-M855*P855^2)/(M855-1))))</f>
        <v/>
      </c>
      <c r="T855" s="17" t="str">
        <f aca="false">IF(S855="","",S855/P855)</f>
        <v/>
      </c>
      <c r="U855" s="16" t="str">
        <f aca="false">IF(N(M855)=0,"",IF(N855&gt;=CONFIG!$B$27,"",AVERAGEIFS(ENSAYOS!$Q$5:$Q$3004,ENSAYOS!$C$5:$C$3004,F855,ENSAYOS!$Q$5:$Q$3004,"&gt;0",ENSAYOS!$G$5:$G$3004,N855)))</f>
        <v/>
      </c>
      <c r="V855" s="16" t="str">
        <f aca="false">IF(N(M855)=0,"",IF(COUNTIFS(ENSAYOS!$C$5:$C$3004,F855,ENSAYOS!$Q$5:$Q$3004,"&gt;0",ENSAYOS!$G$5:$G$3004,"&gt;="&amp;CONFIG!$B$27)=0,"",AVERAGEIFS(ENSAYOS!$Q$5:$Q$3004,ENSAYOS!$C$5:$C$3004,F855,ENSAYOS!$Q$5:$Q$3004,"&gt;0",ENSAYOS!$G$5:$G$3004,"&gt;="&amp;CONFIG!$B$27)))</f>
        <v/>
      </c>
      <c r="W855" s="18" t="str">
        <f aca="false">IF(AND(U855&lt;&gt;"",V855&lt;&gt;""),U855/V855,"")</f>
        <v/>
      </c>
      <c r="X855" s="18" t="str">
        <f aca="false">IF(U855="","",INDEX('CURVA EDAD'!$E$5:$E$32,MIN(28,MAX(1,N855))))</f>
        <v/>
      </c>
      <c r="Y855" s="16" t="str">
        <f aca="false">IF(V855&lt;&gt;"",V855,IF(U855="","",U855/X855))</f>
        <v/>
      </c>
      <c r="Z855" s="16" t="str">
        <f aca="false">IF(V855&lt;&gt;"",_xlfn.MINIFS(ENSAYOS!$Q$5:$Q$3004,ENSAYOS!$C$5:$C$3004,F855,ENSAYOS!$Q$5:$Q$3004,"&gt;0",ENSAYOS!$G$5:$G$3004,"&gt;="&amp;CONFIG!$B$27),IF(U855="","",_xlfn.MINIFS(ENSAYOS!$Q$5:$Q$3004,ENSAYOS!$C$5:$C$3004,F855,ENSAYOS!$Q$5:$Q$3004,"&gt;0",ENSAYOS!$G$5:$G$3004,N855)/X855))</f>
        <v/>
      </c>
      <c r="AA855" s="16" t="str">
        <f aca="false">IF(D855="","",IFERROR(1/(1/INDEX(CONFIG!$J$5:$J$14,MATCH(D855,CONFIG!$D$5:$D$14,0))),""))</f>
        <v/>
      </c>
      <c r="AB855" s="16" t="str">
        <f aca="false">IF(D855="","",IFERROR(1/(1/INDEX(CONFIG!$K$5:$K$14,MATCH(D855,CONFIG!$D$5:$D$14,0))),""))</f>
        <v/>
      </c>
      <c r="AC855" s="19" t="str">
        <f aca="false">IF(N(M855)=0,"",IF(AA855="","Sin spec",IF(AND(Y855&gt;=AA855,OR(AB855="",Z855&gt;=AB855)),"CUMPLE","NO CUMPLE")&amp;IF(V855=""," (est.)","")))</f>
        <v/>
      </c>
      <c r="AD855" s="20" t="str">
        <f aca="false">IF(F855="","",IF(COUNTIFS(ABSORCION!$C$5:$C$1004,F855,ABSORCION!$I$5:$I$1004,"&gt;0")=0,"",AVERAGEIFS(ABSORCION!$I$5:$I$1004,ABSORCION!$C$5:$C$1004,F855,ABSORCION!$I$5:$I$1004,"&gt;0")))</f>
        <v/>
      </c>
      <c r="AE855" s="20" t="str">
        <f aca="false">IF(F855="","",IF(COUNTIFS(ABSORCION!$C$5:$C$1004,F855,ABSORCION!$I$5:$I$1004,"&gt;0")=0,"",AVERAGEIFS(ABSORCION!$K$5:$K$1004,ABSORCION!$C$5:$C$1004,F855,ABSORCION!$I$5:$I$1004,"&gt;0")))</f>
        <v/>
      </c>
      <c r="AF855" s="20" t="str">
        <f aca="false">IF(AE855="","",IF(AE855&gt;=CONFIG!$E$21,CONFIG!$F$21,IF(AE855&gt;=CONFIG!$E$20,CONFIG!$F$20,CONFIG!$F$19)))</f>
        <v/>
      </c>
      <c r="AG855" s="21" t="str">
        <f aca="false">IF(F855="","",TRIM(IF(N(M855)=0,"Sin ensayos. ","")&amp;IF(AND(N(M855)&gt;0,N(M855)&lt;CONFIG!$B$26),"Menos de "&amp;CONFIG!$B$26&amp;" probetas. ","")&amp;IF(N(T855)&gt;CONFIG!$B$25,"CV alto. ","")&amp;IF(AND(N(AD855)&gt;0,N(AD855)&gt;N(AF855)),"Absorción alta. ","")))</f>
        <v/>
      </c>
      <c r="AH855" s="22" t="str">
        <f aca="false">IF(AND(N(M855)&gt;0,OR(CONTROL!$C$4="TODAS",C855=CONTROL!$C$4),D855=CONTROL!$C$5),MAX($AH$4:AH854)+1,"")</f>
        <v/>
      </c>
      <c r="AI855" s="22" t="str">
        <f aca="false">IF(AH855="","",P855^2)</f>
        <v/>
      </c>
    </row>
    <row r="856" customFormat="false" ht="15" hidden="false" customHeight="false" outlineLevel="0" collapsed="false">
      <c r="A856" s="11" t="str">
        <f aca="false">IF(B856="","",ROW()-4)</f>
        <v/>
      </c>
      <c r="B856" s="12"/>
      <c r="C856" s="13"/>
      <c r="D856" s="13"/>
      <c r="E856" s="13"/>
      <c r="F856" s="14" t="str">
        <f aca="false">IF(OR(B856="",C856="",D856=""),"",IFERROR(INDEX(CONFIG!$E$5:$E$14,MATCH(D856,CONFIG!$D$5:$D$14,0)),"?")&amp;RIGHT("0"&amp;DAY(B856),2)&amp;RIGHT("0"&amp;MONTH(B856),2)&amp;RIGHT(YEAR(B856),2)&amp;C856&amp;IF(E856="","","-"&amp;E856))</f>
        <v/>
      </c>
      <c r="G856" s="13"/>
      <c r="H856" s="13"/>
      <c r="I856" s="13"/>
      <c r="J856" s="13"/>
      <c r="K856" s="13"/>
      <c r="L856" s="13"/>
      <c r="M856" s="11" t="str">
        <f aca="false">IF(F856="","",COUNTIFS(ENSAYOS!$C$5:$C$3004,F856,ENSAYOS!$Q$5:$Q$3004,"&gt;0"))</f>
        <v/>
      </c>
      <c r="N856" s="15" t="str">
        <f aca="false">IF(N(M856)=0,"",_xlfn.MINIFS(ENSAYOS!$G$5:$G$3004,ENSAYOS!$C$5:$C$3004,F856,ENSAYOS!$Q$5:$Q$3004,"&gt;0"))</f>
        <v/>
      </c>
      <c r="O856" s="15" t="str">
        <f aca="false">IF(N(M856)=0,"",_xlfn.MAXIFS(ENSAYOS!$G$5:$G$3004,ENSAYOS!$C$5:$C$3004,F856,ENSAYOS!$Q$5:$Q$3004,"&gt;0"))</f>
        <v/>
      </c>
      <c r="P856" s="16" t="str">
        <f aca="false">IF(N(M856)=0,"",AVERAGEIFS(ENSAYOS!$Q$5:$Q$3004,ENSAYOS!$C$5:$C$3004,F856,ENSAYOS!$Q$5:$Q$3004,"&gt;0"))</f>
        <v/>
      </c>
      <c r="Q856" s="16" t="str">
        <f aca="false">IF(N(M856)=0,"",_xlfn.MINIFS(ENSAYOS!$Q$5:$Q$3004,ENSAYOS!$C$5:$C$3004,F856,ENSAYOS!$Q$5:$Q$3004,"&gt;0"))</f>
        <v/>
      </c>
      <c r="R856" s="16" t="str">
        <f aca="false">IF(N(M856)=0,"",_xlfn.MAXIFS(ENSAYOS!$Q$5:$Q$3004,ENSAYOS!$C$5:$C$3004,F856,ENSAYOS!$Q$5:$Q$3004,"&gt;0"))</f>
        <v/>
      </c>
      <c r="S856" s="16" t="str">
        <f aca="false">IF(N(M856)&lt;2,"",SQRT(MAX(0,(SUMIFS(ENSAYOS!$X$5:$X$3004,ENSAYOS!$C$5:$C$3004,F856,ENSAYOS!$Q$5:$Q$3004,"&gt;0")-M856*P856^2)/(M856-1))))</f>
        <v/>
      </c>
      <c r="T856" s="17" t="str">
        <f aca="false">IF(S856="","",S856/P856)</f>
        <v/>
      </c>
      <c r="U856" s="16" t="str">
        <f aca="false">IF(N(M856)=0,"",IF(N856&gt;=CONFIG!$B$27,"",AVERAGEIFS(ENSAYOS!$Q$5:$Q$3004,ENSAYOS!$C$5:$C$3004,F856,ENSAYOS!$Q$5:$Q$3004,"&gt;0",ENSAYOS!$G$5:$G$3004,N856)))</f>
        <v/>
      </c>
      <c r="V856" s="16" t="str">
        <f aca="false">IF(N(M856)=0,"",IF(COUNTIFS(ENSAYOS!$C$5:$C$3004,F856,ENSAYOS!$Q$5:$Q$3004,"&gt;0",ENSAYOS!$G$5:$G$3004,"&gt;="&amp;CONFIG!$B$27)=0,"",AVERAGEIFS(ENSAYOS!$Q$5:$Q$3004,ENSAYOS!$C$5:$C$3004,F856,ENSAYOS!$Q$5:$Q$3004,"&gt;0",ENSAYOS!$G$5:$G$3004,"&gt;="&amp;CONFIG!$B$27)))</f>
        <v/>
      </c>
      <c r="W856" s="18" t="str">
        <f aca="false">IF(AND(U856&lt;&gt;"",V856&lt;&gt;""),U856/V856,"")</f>
        <v/>
      </c>
      <c r="X856" s="18" t="str">
        <f aca="false">IF(U856="","",INDEX('CURVA EDAD'!$E$5:$E$32,MIN(28,MAX(1,N856))))</f>
        <v/>
      </c>
      <c r="Y856" s="16" t="str">
        <f aca="false">IF(V856&lt;&gt;"",V856,IF(U856="","",U856/X856))</f>
        <v/>
      </c>
      <c r="Z856" s="16" t="str">
        <f aca="false">IF(V856&lt;&gt;"",_xlfn.MINIFS(ENSAYOS!$Q$5:$Q$3004,ENSAYOS!$C$5:$C$3004,F856,ENSAYOS!$Q$5:$Q$3004,"&gt;0",ENSAYOS!$G$5:$G$3004,"&gt;="&amp;CONFIG!$B$27),IF(U856="","",_xlfn.MINIFS(ENSAYOS!$Q$5:$Q$3004,ENSAYOS!$C$5:$C$3004,F856,ENSAYOS!$Q$5:$Q$3004,"&gt;0",ENSAYOS!$G$5:$G$3004,N856)/X856))</f>
        <v/>
      </c>
      <c r="AA856" s="16" t="str">
        <f aca="false">IF(D856="","",IFERROR(1/(1/INDEX(CONFIG!$J$5:$J$14,MATCH(D856,CONFIG!$D$5:$D$14,0))),""))</f>
        <v/>
      </c>
      <c r="AB856" s="16" t="str">
        <f aca="false">IF(D856="","",IFERROR(1/(1/INDEX(CONFIG!$K$5:$K$14,MATCH(D856,CONFIG!$D$5:$D$14,0))),""))</f>
        <v/>
      </c>
      <c r="AC856" s="19" t="str">
        <f aca="false">IF(N(M856)=0,"",IF(AA856="","Sin spec",IF(AND(Y856&gt;=AA856,OR(AB856="",Z856&gt;=AB856)),"CUMPLE","NO CUMPLE")&amp;IF(V856=""," (est.)","")))</f>
        <v/>
      </c>
      <c r="AD856" s="20" t="str">
        <f aca="false">IF(F856="","",IF(COUNTIFS(ABSORCION!$C$5:$C$1004,F856,ABSORCION!$I$5:$I$1004,"&gt;0")=0,"",AVERAGEIFS(ABSORCION!$I$5:$I$1004,ABSORCION!$C$5:$C$1004,F856,ABSORCION!$I$5:$I$1004,"&gt;0")))</f>
        <v/>
      </c>
      <c r="AE856" s="20" t="str">
        <f aca="false">IF(F856="","",IF(COUNTIFS(ABSORCION!$C$5:$C$1004,F856,ABSORCION!$I$5:$I$1004,"&gt;0")=0,"",AVERAGEIFS(ABSORCION!$K$5:$K$1004,ABSORCION!$C$5:$C$1004,F856,ABSORCION!$I$5:$I$1004,"&gt;0")))</f>
        <v/>
      </c>
      <c r="AF856" s="20" t="str">
        <f aca="false">IF(AE856="","",IF(AE856&gt;=CONFIG!$E$21,CONFIG!$F$21,IF(AE856&gt;=CONFIG!$E$20,CONFIG!$F$20,CONFIG!$F$19)))</f>
        <v/>
      </c>
      <c r="AG856" s="21" t="str">
        <f aca="false">IF(F856="","",TRIM(IF(N(M856)=0,"Sin ensayos. ","")&amp;IF(AND(N(M856)&gt;0,N(M856)&lt;CONFIG!$B$26),"Menos de "&amp;CONFIG!$B$26&amp;" probetas. ","")&amp;IF(N(T856)&gt;CONFIG!$B$25,"CV alto. ","")&amp;IF(AND(N(AD856)&gt;0,N(AD856)&gt;N(AF856)),"Absorción alta. ","")))</f>
        <v/>
      </c>
      <c r="AH856" s="22" t="str">
        <f aca="false">IF(AND(N(M856)&gt;0,OR(CONTROL!$C$4="TODAS",C856=CONTROL!$C$4),D856=CONTROL!$C$5),MAX($AH$4:AH855)+1,"")</f>
        <v/>
      </c>
      <c r="AI856" s="22" t="str">
        <f aca="false">IF(AH856="","",P856^2)</f>
        <v/>
      </c>
    </row>
    <row r="857" customFormat="false" ht="15" hidden="false" customHeight="false" outlineLevel="0" collapsed="false">
      <c r="A857" s="11" t="str">
        <f aca="false">IF(B857="","",ROW()-4)</f>
        <v/>
      </c>
      <c r="B857" s="12"/>
      <c r="C857" s="13"/>
      <c r="D857" s="13"/>
      <c r="E857" s="13"/>
      <c r="F857" s="14" t="str">
        <f aca="false">IF(OR(B857="",C857="",D857=""),"",IFERROR(INDEX(CONFIG!$E$5:$E$14,MATCH(D857,CONFIG!$D$5:$D$14,0)),"?")&amp;RIGHT("0"&amp;DAY(B857),2)&amp;RIGHT("0"&amp;MONTH(B857),2)&amp;RIGHT(YEAR(B857),2)&amp;C857&amp;IF(E857="","","-"&amp;E857))</f>
        <v/>
      </c>
      <c r="G857" s="13"/>
      <c r="H857" s="13"/>
      <c r="I857" s="13"/>
      <c r="J857" s="13"/>
      <c r="K857" s="13"/>
      <c r="L857" s="13"/>
      <c r="M857" s="11" t="str">
        <f aca="false">IF(F857="","",COUNTIFS(ENSAYOS!$C$5:$C$3004,F857,ENSAYOS!$Q$5:$Q$3004,"&gt;0"))</f>
        <v/>
      </c>
      <c r="N857" s="15" t="str">
        <f aca="false">IF(N(M857)=0,"",_xlfn.MINIFS(ENSAYOS!$G$5:$G$3004,ENSAYOS!$C$5:$C$3004,F857,ENSAYOS!$Q$5:$Q$3004,"&gt;0"))</f>
        <v/>
      </c>
      <c r="O857" s="15" t="str">
        <f aca="false">IF(N(M857)=0,"",_xlfn.MAXIFS(ENSAYOS!$G$5:$G$3004,ENSAYOS!$C$5:$C$3004,F857,ENSAYOS!$Q$5:$Q$3004,"&gt;0"))</f>
        <v/>
      </c>
      <c r="P857" s="16" t="str">
        <f aca="false">IF(N(M857)=0,"",AVERAGEIFS(ENSAYOS!$Q$5:$Q$3004,ENSAYOS!$C$5:$C$3004,F857,ENSAYOS!$Q$5:$Q$3004,"&gt;0"))</f>
        <v/>
      </c>
      <c r="Q857" s="16" t="str">
        <f aca="false">IF(N(M857)=0,"",_xlfn.MINIFS(ENSAYOS!$Q$5:$Q$3004,ENSAYOS!$C$5:$C$3004,F857,ENSAYOS!$Q$5:$Q$3004,"&gt;0"))</f>
        <v/>
      </c>
      <c r="R857" s="16" t="str">
        <f aca="false">IF(N(M857)=0,"",_xlfn.MAXIFS(ENSAYOS!$Q$5:$Q$3004,ENSAYOS!$C$5:$C$3004,F857,ENSAYOS!$Q$5:$Q$3004,"&gt;0"))</f>
        <v/>
      </c>
      <c r="S857" s="16" t="str">
        <f aca="false">IF(N(M857)&lt;2,"",SQRT(MAX(0,(SUMIFS(ENSAYOS!$X$5:$X$3004,ENSAYOS!$C$5:$C$3004,F857,ENSAYOS!$Q$5:$Q$3004,"&gt;0")-M857*P857^2)/(M857-1))))</f>
        <v/>
      </c>
      <c r="T857" s="17" t="str">
        <f aca="false">IF(S857="","",S857/P857)</f>
        <v/>
      </c>
      <c r="U857" s="16" t="str">
        <f aca="false">IF(N(M857)=0,"",IF(N857&gt;=CONFIG!$B$27,"",AVERAGEIFS(ENSAYOS!$Q$5:$Q$3004,ENSAYOS!$C$5:$C$3004,F857,ENSAYOS!$Q$5:$Q$3004,"&gt;0",ENSAYOS!$G$5:$G$3004,N857)))</f>
        <v/>
      </c>
      <c r="V857" s="16" t="str">
        <f aca="false">IF(N(M857)=0,"",IF(COUNTIFS(ENSAYOS!$C$5:$C$3004,F857,ENSAYOS!$Q$5:$Q$3004,"&gt;0",ENSAYOS!$G$5:$G$3004,"&gt;="&amp;CONFIG!$B$27)=0,"",AVERAGEIFS(ENSAYOS!$Q$5:$Q$3004,ENSAYOS!$C$5:$C$3004,F857,ENSAYOS!$Q$5:$Q$3004,"&gt;0",ENSAYOS!$G$5:$G$3004,"&gt;="&amp;CONFIG!$B$27)))</f>
        <v/>
      </c>
      <c r="W857" s="18" t="str">
        <f aca="false">IF(AND(U857&lt;&gt;"",V857&lt;&gt;""),U857/V857,"")</f>
        <v/>
      </c>
      <c r="X857" s="18" t="str">
        <f aca="false">IF(U857="","",INDEX('CURVA EDAD'!$E$5:$E$32,MIN(28,MAX(1,N857))))</f>
        <v/>
      </c>
      <c r="Y857" s="16" t="str">
        <f aca="false">IF(V857&lt;&gt;"",V857,IF(U857="","",U857/X857))</f>
        <v/>
      </c>
      <c r="Z857" s="16" t="str">
        <f aca="false">IF(V857&lt;&gt;"",_xlfn.MINIFS(ENSAYOS!$Q$5:$Q$3004,ENSAYOS!$C$5:$C$3004,F857,ENSAYOS!$Q$5:$Q$3004,"&gt;0",ENSAYOS!$G$5:$G$3004,"&gt;="&amp;CONFIG!$B$27),IF(U857="","",_xlfn.MINIFS(ENSAYOS!$Q$5:$Q$3004,ENSAYOS!$C$5:$C$3004,F857,ENSAYOS!$Q$5:$Q$3004,"&gt;0",ENSAYOS!$G$5:$G$3004,N857)/X857))</f>
        <v/>
      </c>
      <c r="AA857" s="16" t="str">
        <f aca="false">IF(D857="","",IFERROR(1/(1/INDEX(CONFIG!$J$5:$J$14,MATCH(D857,CONFIG!$D$5:$D$14,0))),""))</f>
        <v/>
      </c>
      <c r="AB857" s="16" t="str">
        <f aca="false">IF(D857="","",IFERROR(1/(1/INDEX(CONFIG!$K$5:$K$14,MATCH(D857,CONFIG!$D$5:$D$14,0))),""))</f>
        <v/>
      </c>
      <c r="AC857" s="19" t="str">
        <f aca="false">IF(N(M857)=0,"",IF(AA857="","Sin spec",IF(AND(Y857&gt;=AA857,OR(AB857="",Z857&gt;=AB857)),"CUMPLE","NO CUMPLE")&amp;IF(V857=""," (est.)","")))</f>
        <v/>
      </c>
      <c r="AD857" s="20" t="str">
        <f aca="false">IF(F857="","",IF(COUNTIFS(ABSORCION!$C$5:$C$1004,F857,ABSORCION!$I$5:$I$1004,"&gt;0")=0,"",AVERAGEIFS(ABSORCION!$I$5:$I$1004,ABSORCION!$C$5:$C$1004,F857,ABSORCION!$I$5:$I$1004,"&gt;0")))</f>
        <v/>
      </c>
      <c r="AE857" s="20" t="str">
        <f aca="false">IF(F857="","",IF(COUNTIFS(ABSORCION!$C$5:$C$1004,F857,ABSORCION!$I$5:$I$1004,"&gt;0")=0,"",AVERAGEIFS(ABSORCION!$K$5:$K$1004,ABSORCION!$C$5:$C$1004,F857,ABSORCION!$I$5:$I$1004,"&gt;0")))</f>
        <v/>
      </c>
      <c r="AF857" s="20" t="str">
        <f aca="false">IF(AE857="","",IF(AE857&gt;=CONFIG!$E$21,CONFIG!$F$21,IF(AE857&gt;=CONFIG!$E$20,CONFIG!$F$20,CONFIG!$F$19)))</f>
        <v/>
      </c>
      <c r="AG857" s="21" t="str">
        <f aca="false">IF(F857="","",TRIM(IF(N(M857)=0,"Sin ensayos. ","")&amp;IF(AND(N(M857)&gt;0,N(M857)&lt;CONFIG!$B$26),"Menos de "&amp;CONFIG!$B$26&amp;" probetas. ","")&amp;IF(N(T857)&gt;CONFIG!$B$25,"CV alto. ","")&amp;IF(AND(N(AD857)&gt;0,N(AD857)&gt;N(AF857)),"Absorción alta. ","")))</f>
        <v/>
      </c>
      <c r="AH857" s="22" t="str">
        <f aca="false">IF(AND(N(M857)&gt;0,OR(CONTROL!$C$4="TODAS",C857=CONTROL!$C$4),D857=CONTROL!$C$5),MAX($AH$4:AH856)+1,"")</f>
        <v/>
      </c>
      <c r="AI857" s="22" t="str">
        <f aca="false">IF(AH857="","",P857^2)</f>
        <v/>
      </c>
    </row>
    <row r="858" customFormat="false" ht="15" hidden="false" customHeight="false" outlineLevel="0" collapsed="false">
      <c r="A858" s="11" t="str">
        <f aca="false">IF(B858="","",ROW()-4)</f>
        <v/>
      </c>
      <c r="B858" s="12"/>
      <c r="C858" s="13"/>
      <c r="D858" s="13"/>
      <c r="E858" s="13"/>
      <c r="F858" s="14" t="str">
        <f aca="false">IF(OR(B858="",C858="",D858=""),"",IFERROR(INDEX(CONFIG!$E$5:$E$14,MATCH(D858,CONFIG!$D$5:$D$14,0)),"?")&amp;RIGHT("0"&amp;DAY(B858),2)&amp;RIGHT("0"&amp;MONTH(B858),2)&amp;RIGHT(YEAR(B858),2)&amp;C858&amp;IF(E858="","","-"&amp;E858))</f>
        <v/>
      </c>
      <c r="G858" s="13"/>
      <c r="H858" s="13"/>
      <c r="I858" s="13"/>
      <c r="J858" s="13"/>
      <c r="K858" s="13"/>
      <c r="L858" s="13"/>
      <c r="M858" s="11" t="str">
        <f aca="false">IF(F858="","",COUNTIFS(ENSAYOS!$C$5:$C$3004,F858,ENSAYOS!$Q$5:$Q$3004,"&gt;0"))</f>
        <v/>
      </c>
      <c r="N858" s="15" t="str">
        <f aca="false">IF(N(M858)=0,"",_xlfn.MINIFS(ENSAYOS!$G$5:$G$3004,ENSAYOS!$C$5:$C$3004,F858,ENSAYOS!$Q$5:$Q$3004,"&gt;0"))</f>
        <v/>
      </c>
      <c r="O858" s="15" t="str">
        <f aca="false">IF(N(M858)=0,"",_xlfn.MAXIFS(ENSAYOS!$G$5:$G$3004,ENSAYOS!$C$5:$C$3004,F858,ENSAYOS!$Q$5:$Q$3004,"&gt;0"))</f>
        <v/>
      </c>
      <c r="P858" s="16" t="str">
        <f aca="false">IF(N(M858)=0,"",AVERAGEIFS(ENSAYOS!$Q$5:$Q$3004,ENSAYOS!$C$5:$C$3004,F858,ENSAYOS!$Q$5:$Q$3004,"&gt;0"))</f>
        <v/>
      </c>
      <c r="Q858" s="16" t="str">
        <f aca="false">IF(N(M858)=0,"",_xlfn.MINIFS(ENSAYOS!$Q$5:$Q$3004,ENSAYOS!$C$5:$C$3004,F858,ENSAYOS!$Q$5:$Q$3004,"&gt;0"))</f>
        <v/>
      </c>
      <c r="R858" s="16" t="str">
        <f aca="false">IF(N(M858)=0,"",_xlfn.MAXIFS(ENSAYOS!$Q$5:$Q$3004,ENSAYOS!$C$5:$C$3004,F858,ENSAYOS!$Q$5:$Q$3004,"&gt;0"))</f>
        <v/>
      </c>
      <c r="S858" s="16" t="str">
        <f aca="false">IF(N(M858)&lt;2,"",SQRT(MAX(0,(SUMIFS(ENSAYOS!$X$5:$X$3004,ENSAYOS!$C$5:$C$3004,F858,ENSAYOS!$Q$5:$Q$3004,"&gt;0")-M858*P858^2)/(M858-1))))</f>
        <v/>
      </c>
      <c r="T858" s="17" t="str">
        <f aca="false">IF(S858="","",S858/P858)</f>
        <v/>
      </c>
      <c r="U858" s="16" t="str">
        <f aca="false">IF(N(M858)=0,"",IF(N858&gt;=CONFIG!$B$27,"",AVERAGEIFS(ENSAYOS!$Q$5:$Q$3004,ENSAYOS!$C$5:$C$3004,F858,ENSAYOS!$Q$5:$Q$3004,"&gt;0",ENSAYOS!$G$5:$G$3004,N858)))</f>
        <v/>
      </c>
      <c r="V858" s="16" t="str">
        <f aca="false">IF(N(M858)=0,"",IF(COUNTIFS(ENSAYOS!$C$5:$C$3004,F858,ENSAYOS!$Q$5:$Q$3004,"&gt;0",ENSAYOS!$G$5:$G$3004,"&gt;="&amp;CONFIG!$B$27)=0,"",AVERAGEIFS(ENSAYOS!$Q$5:$Q$3004,ENSAYOS!$C$5:$C$3004,F858,ENSAYOS!$Q$5:$Q$3004,"&gt;0",ENSAYOS!$G$5:$G$3004,"&gt;="&amp;CONFIG!$B$27)))</f>
        <v/>
      </c>
      <c r="W858" s="18" t="str">
        <f aca="false">IF(AND(U858&lt;&gt;"",V858&lt;&gt;""),U858/V858,"")</f>
        <v/>
      </c>
      <c r="X858" s="18" t="str">
        <f aca="false">IF(U858="","",INDEX('CURVA EDAD'!$E$5:$E$32,MIN(28,MAX(1,N858))))</f>
        <v/>
      </c>
      <c r="Y858" s="16" t="str">
        <f aca="false">IF(V858&lt;&gt;"",V858,IF(U858="","",U858/X858))</f>
        <v/>
      </c>
      <c r="Z858" s="16" t="str">
        <f aca="false">IF(V858&lt;&gt;"",_xlfn.MINIFS(ENSAYOS!$Q$5:$Q$3004,ENSAYOS!$C$5:$C$3004,F858,ENSAYOS!$Q$5:$Q$3004,"&gt;0",ENSAYOS!$G$5:$G$3004,"&gt;="&amp;CONFIG!$B$27),IF(U858="","",_xlfn.MINIFS(ENSAYOS!$Q$5:$Q$3004,ENSAYOS!$C$5:$C$3004,F858,ENSAYOS!$Q$5:$Q$3004,"&gt;0",ENSAYOS!$G$5:$G$3004,N858)/X858))</f>
        <v/>
      </c>
      <c r="AA858" s="16" t="str">
        <f aca="false">IF(D858="","",IFERROR(1/(1/INDEX(CONFIG!$J$5:$J$14,MATCH(D858,CONFIG!$D$5:$D$14,0))),""))</f>
        <v/>
      </c>
      <c r="AB858" s="16" t="str">
        <f aca="false">IF(D858="","",IFERROR(1/(1/INDEX(CONFIG!$K$5:$K$14,MATCH(D858,CONFIG!$D$5:$D$14,0))),""))</f>
        <v/>
      </c>
      <c r="AC858" s="19" t="str">
        <f aca="false">IF(N(M858)=0,"",IF(AA858="","Sin spec",IF(AND(Y858&gt;=AA858,OR(AB858="",Z858&gt;=AB858)),"CUMPLE","NO CUMPLE")&amp;IF(V858=""," (est.)","")))</f>
        <v/>
      </c>
      <c r="AD858" s="20" t="str">
        <f aca="false">IF(F858="","",IF(COUNTIFS(ABSORCION!$C$5:$C$1004,F858,ABSORCION!$I$5:$I$1004,"&gt;0")=0,"",AVERAGEIFS(ABSORCION!$I$5:$I$1004,ABSORCION!$C$5:$C$1004,F858,ABSORCION!$I$5:$I$1004,"&gt;0")))</f>
        <v/>
      </c>
      <c r="AE858" s="20" t="str">
        <f aca="false">IF(F858="","",IF(COUNTIFS(ABSORCION!$C$5:$C$1004,F858,ABSORCION!$I$5:$I$1004,"&gt;0")=0,"",AVERAGEIFS(ABSORCION!$K$5:$K$1004,ABSORCION!$C$5:$C$1004,F858,ABSORCION!$I$5:$I$1004,"&gt;0")))</f>
        <v/>
      </c>
      <c r="AF858" s="20" t="str">
        <f aca="false">IF(AE858="","",IF(AE858&gt;=CONFIG!$E$21,CONFIG!$F$21,IF(AE858&gt;=CONFIG!$E$20,CONFIG!$F$20,CONFIG!$F$19)))</f>
        <v/>
      </c>
      <c r="AG858" s="21" t="str">
        <f aca="false">IF(F858="","",TRIM(IF(N(M858)=0,"Sin ensayos. ","")&amp;IF(AND(N(M858)&gt;0,N(M858)&lt;CONFIG!$B$26),"Menos de "&amp;CONFIG!$B$26&amp;" probetas. ","")&amp;IF(N(T858)&gt;CONFIG!$B$25,"CV alto. ","")&amp;IF(AND(N(AD858)&gt;0,N(AD858)&gt;N(AF858)),"Absorción alta. ","")))</f>
        <v/>
      </c>
      <c r="AH858" s="22" t="str">
        <f aca="false">IF(AND(N(M858)&gt;0,OR(CONTROL!$C$4="TODAS",C858=CONTROL!$C$4),D858=CONTROL!$C$5),MAX($AH$4:AH857)+1,"")</f>
        <v/>
      </c>
      <c r="AI858" s="22" t="str">
        <f aca="false">IF(AH858="","",P858^2)</f>
        <v/>
      </c>
    </row>
    <row r="859" customFormat="false" ht="15" hidden="false" customHeight="false" outlineLevel="0" collapsed="false">
      <c r="A859" s="11" t="str">
        <f aca="false">IF(B859="","",ROW()-4)</f>
        <v/>
      </c>
      <c r="B859" s="12"/>
      <c r="C859" s="13"/>
      <c r="D859" s="13"/>
      <c r="E859" s="13"/>
      <c r="F859" s="14" t="str">
        <f aca="false">IF(OR(B859="",C859="",D859=""),"",IFERROR(INDEX(CONFIG!$E$5:$E$14,MATCH(D859,CONFIG!$D$5:$D$14,0)),"?")&amp;RIGHT("0"&amp;DAY(B859),2)&amp;RIGHT("0"&amp;MONTH(B859),2)&amp;RIGHT(YEAR(B859),2)&amp;C859&amp;IF(E859="","","-"&amp;E859))</f>
        <v/>
      </c>
      <c r="G859" s="13"/>
      <c r="H859" s="13"/>
      <c r="I859" s="13"/>
      <c r="J859" s="13"/>
      <c r="K859" s="13"/>
      <c r="L859" s="13"/>
      <c r="M859" s="11" t="str">
        <f aca="false">IF(F859="","",COUNTIFS(ENSAYOS!$C$5:$C$3004,F859,ENSAYOS!$Q$5:$Q$3004,"&gt;0"))</f>
        <v/>
      </c>
      <c r="N859" s="15" t="str">
        <f aca="false">IF(N(M859)=0,"",_xlfn.MINIFS(ENSAYOS!$G$5:$G$3004,ENSAYOS!$C$5:$C$3004,F859,ENSAYOS!$Q$5:$Q$3004,"&gt;0"))</f>
        <v/>
      </c>
      <c r="O859" s="15" t="str">
        <f aca="false">IF(N(M859)=0,"",_xlfn.MAXIFS(ENSAYOS!$G$5:$G$3004,ENSAYOS!$C$5:$C$3004,F859,ENSAYOS!$Q$5:$Q$3004,"&gt;0"))</f>
        <v/>
      </c>
      <c r="P859" s="16" t="str">
        <f aca="false">IF(N(M859)=0,"",AVERAGEIFS(ENSAYOS!$Q$5:$Q$3004,ENSAYOS!$C$5:$C$3004,F859,ENSAYOS!$Q$5:$Q$3004,"&gt;0"))</f>
        <v/>
      </c>
      <c r="Q859" s="16" t="str">
        <f aca="false">IF(N(M859)=0,"",_xlfn.MINIFS(ENSAYOS!$Q$5:$Q$3004,ENSAYOS!$C$5:$C$3004,F859,ENSAYOS!$Q$5:$Q$3004,"&gt;0"))</f>
        <v/>
      </c>
      <c r="R859" s="16" t="str">
        <f aca="false">IF(N(M859)=0,"",_xlfn.MAXIFS(ENSAYOS!$Q$5:$Q$3004,ENSAYOS!$C$5:$C$3004,F859,ENSAYOS!$Q$5:$Q$3004,"&gt;0"))</f>
        <v/>
      </c>
      <c r="S859" s="16" t="str">
        <f aca="false">IF(N(M859)&lt;2,"",SQRT(MAX(0,(SUMIFS(ENSAYOS!$X$5:$X$3004,ENSAYOS!$C$5:$C$3004,F859,ENSAYOS!$Q$5:$Q$3004,"&gt;0")-M859*P859^2)/(M859-1))))</f>
        <v/>
      </c>
      <c r="T859" s="17" t="str">
        <f aca="false">IF(S859="","",S859/P859)</f>
        <v/>
      </c>
      <c r="U859" s="16" t="str">
        <f aca="false">IF(N(M859)=0,"",IF(N859&gt;=CONFIG!$B$27,"",AVERAGEIFS(ENSAYOS!$Q$5:$Q$3004,ENSAYOS!$C$5:$C$3004,F859,ENSAYOS!$Q$5:$Q$3004,"&gt;0",ENSAYOS!$G$5:$G$3004,N859)))</f>
        <v/>
      </c>
      <c r="V859" s="16" t="str">
        <f aca="false">IF(N(M859)=0,"",IF(COUNTIFS(ENSAYOS!$C$5:$C$3004,F859,ENSAYOS!$Q$5:$Q$3004,"&gt;0",ENSAYOS!$G$5:$G$3004,"&gt;="&amp;CONFIG!$B$27)=0,"",AVERAGEIFS(ENSAYOS!$Q$5:$Q$3004,ENSAYOS!$C$5:$C$3004,F859,ENSAYOS!$Q$5:$Q$3004,"&gt;0",ENSAYOS!$G$5:$G$3004,"&gt;="&amp;CONFIG!$B$27)))</f>
        <v/>
      </c>
      <c r="W859" s="18" t="str">
        <f aca="false">IF(AND(U859&lt;&gt;"",V859&lt;&gt;""),U859/V859,"")</f>
        <v/>
      </c>
      <c r="X859" s="18" t="str">
        <f aca="false">IF(U859="","",INDEX('CURVA EDAD'!$E$5:$E$32,MIN(28,MAX(1,N859))))</f>
        <v/>
      </c>
      <c r="Y859" s="16" t="str">
        <f aca="false">IF(V859&lt;&gt;"",V859,IF(U859="","",U859/X859))</f>
        <v/>
      </c>
      <c r="Z859" s="16" t="str">
        <f aca="false">IF(V859&lt;&gt;"",_xlfn.MINIFS(ENSAYOS!$Q$5:$Q$3004,ENSAYOS!$C$5:$C$3004,F859,ENSAYOS!$Q$5:$Q$3004,"&gt;0",ENSAYOS!$G$5:$G$3004,"&gt;="&amp;CONFIG!$B$27),IF(U859="","",_xlfn.MINIFS(ENSAYOS!$Q$5:$Q$3004,ENSAYOS!$C$5:$C$3004,F859,ENSAYOS!$Q$5:$Q$3004,"&gt;0",ENSAYOS!$G$5:$G$3004,N859)/X859))</f>
        <v/>
      </c>
      <c r="AA859" s="16" t="str">
        <f aca="false">IF(D859="","",IFERROR(1/(1/INDEX(CONFIG!$J$5:$J$14,MATCH(D859,CONFIG!$D$5:$D$14,0))),""))</f>
        <v/>
      </c>
      <c r="AB859" s="16" t="str">
        <f aca="false">IF(D859="","",IFERROR(1/(1/INDEX(CONFIG!$K$5:$K$14,MATCH(D859,CONFIG!$D$5:$D$14,0))),""))</f>
        <v/>
      </c>
      <c r="AC859" s="19" t="str">
        <f aca="false">IF(N(M859)=0,"",IF(AA859="","Sin spec",IF(AND(Y859&gt;=AA859,OR(AB859="",Z859&gt;=AB859)),"CUMPLE","NO CUMPLE")&amp;IF(V859=""," (est.)","")))</f>
        <v/>
      </c>
      <c r="AD859" s="20" t="str">
        <f aca="false">IF(F859="","",IF(COUNTIFS(ABSORCION!$C$5:$C$1004,F859,ABSORCION!$I$5:$I$1004,"&gt;0")=0,"",AVERAGEIFS(ABSORCION!$I$5:$I$1004,ABSORCION!$C$5:$C$1004,F859,ABSORCION!$I$5:$I$1004,"&gt;0")))</f>
        <v/>
      </c>
      <c r="AE859" s="20" t="str">
        <f aca="false">IF(F859="","",IF(COUNTIFS(ABSORCION!$C$5:$C$1004,F859,ABSORCION!$I$5:$I$1004,"&gt;0")=0,"",AVERAGEIFS(ABSORCION!$K$5:$K$1004,ABSORCION!$C$5:$C$1004,F859,ABSORCION!$I$5:$I$1004,"&gt;0")))</f>
        <v/>
      </c>
      <c r="AF859" s="20" t="str">
        <f aca="false">IF(AE859="","",IF(AE859&gt;=CONFIG!$E$21,CONFIG!$F$21,IF(AE859&gt;=CONFIG!$E$20,CONFIG!$F$20,CONFIG!$F$19)))</f>
        <v/>
      </c>
      <c r="AG859" s="21" t="str">
        <f aca="false">IF(F859="","",TRIM(IF(N(M859)=0,"Sin ensayos. ","")&amp;IF(AND(N(M859)&gt;0,N(M859)&lt;CONFIG!$B$26),"Menos de "&amp;CONFIG!$B$26&amp;" probetas. ","")&amp;IF(N(T859)&gt;CONFIG!$B$25,"CV alto. ","")&amp;IF(AND(N(AD859)&gt;0,N(AD859)&gt;N(AF859)),"Absorción alta. ","")))</f>
        <v/>
      </c>
      <c r="AH859" s="22" t="str">
        <f aca="false">IF(AND(N(M859)&gt;0,OR(CONTROL!$C$4="TODAS",C859=CONTROL!$C$4),D859=CONTROL!$C$5),MAX($AH$4:AH858)+1,"")</f>
        <v/>
      </c>
      <c r="AI859" s="22" t="str">
        <f aca="false">IF(AH859="","",P859^2)</f>
        <v/>
      </c>
    </row>
    <row r="860" customFormat="false" ht="15" hidden="false" customHeight="false" outlineLevel="0" collapsed="false">
      <c r="A860" s="11" t="str">
        <f aca="false">IF(B860="","",ROW()-4)</f>
        <v/>
      </c>
      <c r="B860" s="12"/>
      <c r="C860" s="13"/>
      <c r="D860" s="13"/>
      <c r="E860" s="13"/>
      <c r="F860" s="14" t="str">
        <f aca="false">IF(OR(B860="",C860="",D860=""),"",IFERROR(INDEX(CONFIG!$E$5:$E$14,MATCH(D860,CONFIG!$D$5:$D$14,0)),"?")&amp;RIGHT("0"&amp;DAY(B860),2)&amp;RIGHT("0"&amp;MONTH(B860),2)&amp;RIGHT(YEAR(B860),2)&amp;C860&amp;IF(E860="","","-"&amp;E860))</f>
        <v/>
      </c>
      <c r="G860" s="13"/>
      <c r="H860" s="13"/>
      <c r="I860" s="13"/>
      <c r="J860" s="13"/>
      <c r="K860" s="13"/>
      <c r="L860" s="13"/>
      <c r="M860" s="11" t="str">
        <f aca="false">IF(F860="","",COUNTIFS(ENSAYOS!$C$5:$C$3004,F860,ENSAYOS!$Q$5:$Q$3004,"&gt;0"))</f>
        <v/>
      </c>
      <c r="N860" s="15" t="str">
        <f aca="false">IF(N(M860)=0,"",_xlfn.MINIFS(ENSAYOS!$G$5:$G$3004,ENSAYOS!$C$5:$C$3004,F860,ENSAYOS!$Q$5:$Q$3004,"&gt;0"))</f>
        <v/>
      </c>
      <c r="O860" s="15" t="str">
        <f aca="false">IF(N(M860)=0,"",_xlfn.MAXIFS(ENSAYOS!$G$5:$G$3004,ENSAYOS!$C$5:$C$3004,F860,ENSAYOS!$Q$5:$Q$3004,"&gt;0"))</f>
        <v/>
      </c>
      <c r="P860" s="16" t="str">
        <f aca="false">IF(N(M860)=0,"",AVERAGEIFS(ENSAYOS!$Q$5:$Q$3004,ENSAYOS!$C$5:$C$3004,F860,ENSAYOS!$Q$5:$Q$3004,"&gt;0"))</f>
        <v/>
      </c>
      <c r="Q860" s="16" t="str">
        <f aca="false">IF(N(M860)=0,"",_xlfn.MINIFS(ENSAYOS!$Q$5:$Q$3004,ENSAYOS!$C$5:$C$3004,F860,ENSAYOS!$Q$5:$Q$3004,"&gt;0"))</f>
        <v/>
      </c>
      <c r="R860" s="16" t="str">
        <f aca="false">IF(N(M860)=0,"",_xlfn.MAXIFS(ENSAYOS!$Q$5:$Q$3004,ENSAYOS!$C$5:$C$3004,F860,ENSAYOS!$Q$5:$Q$3004,"&gt;0"))</f>
        <v/>
      </c>
      <c r="S860" s="16" t="str">
        <f aca="false">IF(N(M860)&lt;2,"",SQRT(MAX(0,(SUMIFS(ENSAYOS!$X$5:$X$3004,ENSAYOS!$C$5:$C$3004,F860,ENSAYOS!$Q$5:$Q$3004,"&gt;0")-M860*P860^2)/(M860-1))))</f>
        <v/>
      </c>
      <c r="T860" s="17" t="str">
        <f aca="false">IF(S860="","",S860/P860)</f>
        <v/>
      </c>
      <c r="U860" s="16" t="str">
        <f aca="false">IF(N(M860)=0,"",IF(N860&gt;=CONFIG!$B$27,"",AVERAGEIFS(ENSAYOS!$Q$5:$Q$3004,ENSAYOS!$C$5:$C$3004,F860,ENSAYOS!$Q$5:$Q$3004,"&gt;0",ENSAYOS!$G$5:$G$3004,N860)))</f>
        <v/>
      </c>
      <c r="V860" s="16" t="str">
        <f aca="false">IF(N(M860)=0,"",IF(COUNTIFS(ENSAYOS!$C$5:$C$3004,F860,ENSAYOS!$Q$5:$Q$3004,"&gt;0",ENSAYOS!$G$5:$G$3004,"&gt;="&amp;CONFIG!$B$27)=0,"",AVERAGEIFS(ENSAYOS!$Q$5:$Q$3004,ENSAYOS!$C$5:$C$3004,F860,ENSAYOS!$Q$5:$Q$3004,"&gt;0",ENSAYOS!$G$5:$G$3004,"&gt;="&amp;CONFIG!$B$27)))</f>
        <v/>
      </c>
      <c r="W860" s="18" t="str">
        <f aca="false">IF(AND(U860&lt;&gt;"",V860&lt;&gt;""),U860/V860,"")</f>
        <v/>
      </c>
      <c r="X860" s="18" t="str">
        <f aca="false">IF(U860="","",INDEX('CURVA EDAD'!$E$5:$E$32,MIN(28,MAX(1,N860))))</f>
        <v/>
      </c>
      <c r="Y860" s="16" t="str">
        <f aca="false">IF(V860&lt;&gt;"",V860,IF(U860="","",U860/X860))</f>
        <v/>
      </c>
      <c r="Z860" s="16" t="str">
        <f aca="false">IF(V860&lt;&gt;"",_xlfn.MINIFS(ENSAYOS!$Q$5:$Q$3004,ENSAYOS!$C$5:$C$3004,F860,ENSAYOS!$Q$5:$Q$3004,"&gt;0",ENSAYOS!$G$5:$G$3004,"&gt;="&amp;CONFIG!$B$27),IF(U860="","",_xlfn.MINIFS(ENSAYOS!$Q$5:$Q$3004,ENSAYOS!$C$5:$C$3004,F860,ENSAYOS!$Q$5:$Q$3004,"&gt;0",ENSAYOS!$G$5:$G$3004,N860)/X860))</f>
        <v/>
      </c>
      <c r="AA860" s="16" t="str">
        <f aca="false">IF(D860="","",IFERROR(1/(1/INDEX(CONFIG!$J$5:$J$14,MATCH(D860,CONFIG!$D$5:$D$14,0))),""))</f>
        <v/>
      </c>
      <c r="AB860" s="16" t="str">
        <f aca="false">IF(D860="","",IFERROR(1/(1/INDEX(CONFIG!$K$5:$K$14,MATCH(D860,CONFIG!$D$5:$D$14,0))),""))</f>
        <v/>
      </c>
      <c r="AC860" s="19" t="str">
        <f aca="false">IF(N(M860)=0,"",IF(AA860="","Sin spec",IF(AND(Y860&gt;=AA860,OR(AB860="",Z860&gt;=AB860)),"CUMPLE","NO CUMPLE")&amp;IF(V860=""," (est.)","")))</f>
        <v/>
      </c>
      <c r="AD860" s="20" t="str">
        <f aca="false">IF(F860="","",IF(COUNTIFS(ABSORCION!$C$5:$C$1004,F860,ABSORCION!$I$5:$I$1004,"&gt;0")=0,"",AVERAGEIFS(ABSORCION!$I$5:$I$1004,ABSORCION!$C$5:$C$1004,F860,ABSORCION!$I$5:$I$1004,"&gt;0")))</f>
        <v/>
      </c>
      <c r="AE860" s="20" t="str">
        <f aca="false">IF(F860="","",IF(COUNTIFS(ABSORCION!$C$5:$C$1004,F860,ABSORCION!$I$5:$I$1004,"&gt;0")=0,"",AVERAGEIFS(ABSORCION!$K$5:$K$1004,ABSORCION!$C$5:$C$1004,F860,ABSORCION!$I$5:$I$1004,"&gt;0")))</f>
        <v/>
      </c>
      <c r="AF860" s="20" t="str">
        <f aca="false">IF(AE860="","",IF(AE860&gt;=CONFIG!$E$21,CONFIG!$F$21,IF(AE860&gt;=CONFIG!$E$20,CONFIG!$F$20,CONFIG!$F$19)))</f>
        <v/>
      </c>
      <c r="AG860" s="21" t="str">
        <f aca="false">IF(F860="","",TRIM(IF(N(M860)=0,"Sin ensayos. ","")&amp;IF(AND(N(M860)&gt;0,N(M860)&lt;CONFIG!$B$26),"Menos de "&amp;CONFIG!$B$26&amp;" probetas. ","")&amp;IF(N(T860)&gt;CONFIG!$B$25,"CV alto. ","")&amp;IF(AND(N(AD860)&gt;0,N(AD860)&gt;N(AF860)),"Absorción alta. ","")))</f>
        <v/>
      </c>
      <c r="AH860" s="22" t="str">
        <f aca="false">IF(AND(N(M860)&gt;0,OR(CONTROL!$C$4="TODAS",C860=CONTROL!$C$4),D860=CONTROL!$C$5),MAX($AH$4:AH859)+1,"")</f>
        <v/>
      </c>
      <c r="AI860" s="22" t="str">
        <f aca="false">IF(AH860="","",P860^2)</f>
        <v/>
      </c>
    </row>
    <row r="861" customFormat="false" ht="15" hidden="false" customHeight="false" outlineLevel="0" collapsed="false">
      <c r="A861" s="11" t="str">
        <f aca="false">IF(B861="","",ROW()-4)</f>
        <v/>
      </c>
      <c r="B861" s="12"/>
      <c r="C861" s="13"/>
      <c r="D861" s="13"/>
      <c r="E861" s="13"/>
      <c r="F861" s="14" t="str">
        <f aca="false">IF(OR(B861="",C861="",D861=""),"",IFERROR(INDEX(CONFIG!$E$5:$E$14,MATCH(D861,CONFIG!$D$5:$D$14,0)),"?")&amp;RIGHT("0"&amp;DAY(B861),2)&amp;RIGHT("0"&amp;MONTH(B861),2)&amp;RIGHT(YEAR(B861),2)&amp;C861&amp;IF(E861="","","-"&amp;E861))</f>
        <v/>
      </c>
      <c r="G861" s="13"/>
      <c r="H861" s="13"/>
      <c r="I861" s="13"/>
      <c r="J861" s="13"/>
      <c r="K861" s="13"/>
      <c r="L861" s="13"/>
      <c r="M861" s="11" t="str">
        <f aca="false">IF(F861="","",COUNTIFS(ENSAYOS!$C$5:$C$3004,F861,ENSAYOS!$Q$5:$Q$3004,"&gt;0"))</f>
        <v/>
      </c>
      <c r="N861" s="15" t="str">
        <f aca="false">IF(N(M861)=0,"",_xlfn.MINIFS(ENSAYOS!$G$5:$G$3004,ENSAYOS!$C$5:$C$3004,F861,ENSAYOS!$Q$5:$Q$3004,"&gt;0"))</f>
        <v/>
      </c>
      <c r="O861" s="15" t="str">
        <f aca="false">IF(N(M861)=0,"",_xlfn.MAXIFS(ENSAYOS!$G$5:$G$3004,ENSAYOS!$C$5:$C$3004,F861,ENSAYOS!$Q$5:$Q$3004,"&gt;0"))</f>
        <v/>
      </c>
      <c r="P861" s="16" t="str">
        <f aca="false">IF(N(M861)=0,"",AVERAGEIFS(ENSAYOS!$Q$5:$Q$3004,ENSAYOS!$C$5:$C$3004,F861,ENSAYOS!$Q$5:$Q$3004,"&gt;0"))</f>
        <v/>
      </c>
      <c r="Q861" s="16" t="str">
        <f aca="false">IF(N(M861)=0,"",_xlfn.MINIFS(ENSAYOS!$Q$5:$Q$3004,ENSAYOS!$C$5:$C$3004,F861,ENSAYOS!$Q$5:$Q$3004,"&gt;0"))</f>
        <v/>
      </c>
      <c r="R861" s="16" t="str">
        <f aca="false">IF(N(M861)=0,"",_xlfn.MAXIFS(ENSAYOS!$Q$5:$Q$3004,ENSAYOS!$C$5:$C$3004,F861,ENSAYOS!$Q$5:$Q$3004,"&gt;0"))</f>
        <v/>
      </c>
      <c r="S861" s="16" t="str">
        <f aca="false">IF(N(M861)&lt;2,"",SQRT(MAX(0,(SUMIFS(ENSAYOS!$X$5:$X$3004,ENSAYOS!$C$5:$C$3004,F861,ENSAYOS!$Q$5:$Q$3004,"&gt;0")-M861*P861^2)/(M861-1))))</f>
        <v/>
      </c>
      <c r="T861" s="17" t="str">
        <f aca="false">IF(S861="","",S861/P861)</f>
        <v/>
      </c>
      <c r="U861" s="16" t="str">
        <f aca="false">IF(N(M861)=0,"",IF(N861&gt;=CONFIG!$B$27,"",AVERAGEIFS(ENSAYOS!$Q$5:$Q$3004,ENSAYOS!$C$5:$C$3004,F861,ENSAYOS!$Q$5:$Q$3004,"&gt;0",ENSAYOS!$G$5:$G$3004,N861)))</f>
        <v/>
      </c>
      <c r="V861" s="16" t="str">
        <f aca="false">IF(N(M861)=0,"",IF(COUNTIFS(ENSAYOS!$C$5:$C$3004,F861,ENSAYOS!$Q$5:$Q$3004,"&gt;0",ENSAYOS!$G$5:$G$3004,"&gt;="&amp;CONFIG!$B$27)=0,"",AVERAGEIFS(ENSAYOS!$Q$5:$Q$3004,ENSAYOS!$C$5:$C$3004,F861,ENSAYOS!$Q$5:$Q$3004,"&gt;0",ENSAYOS!$G$5:$G$3004,"&gt;="&amp;CONFIG!$B$27)))</f>
        <v/>
      </c>
      <c r="W861" s="18" t="str">
        <f aca="false">IF(AND(U861&lt;&gt;"",V861&lt;&gt;""),U861/V861,"")</f>
        <v/>
      </c>
      <c r="X861" s="18" t="str">
        <f aca="false">IF(U861="","",INDEX('CURVA EDAD'!$E$5:$E$32,MIN(28,MAX(1,N861))))</f>
        <v/>
      </c>
      <c r="Y861" s="16" t="str">
        <f aca="false">IF(V861&lt;&gt;"",V861,IF(U861="","",U861/X861))</f>
        <v/>
      </c>
      <c r="Z861" s="16" t="str">
        <f aca="false">IF(V861&lt;&gt;"",_xlfn.MINIFS(ENSAYOS!$Q$5:$Q$3004,ENSAYOS!$C$5:$C$3004,F861,ENSAYOS!$Q$5:$Q$3004,"&gt;0",ENSAYOS!$G$5:$G$3004,"&gt;="&amp;CONFIG!$B$27),IF(U861="","",_xlfn.MINIFS(ENSAYOS!$Q$5:$Q$3004,ENSAYOS!$C$5:$C$3004,F861,ENSAYOS!$Q$5:$Q$3004,"&gt;0",ENSAYOS!$G$5:$G$3004,N861)/X861))</f>
        <v/>
      </c>
      <c r="AA861" s="16" t="str">
        <f aca="false">IF(D861="","",IFERROR(1/(1/INDEX(CONFIG!$J$5:$J$14,MATCH(D861,CONFIG!$D$5:$D$14,0))),""))</f>
        <v/>
      </c>
      <c r="AB861" s="16" t="str">
        <f aca="false">IF(D861="","",IFERROR(1/(1/INDEX(CONFIG!$K$5:$K$14,MATCH(D861,CONFIG!$D$5:$D$14,0))),""))</f>
        <v/>
      </c>
      <c r="AC861" s="19" t="str">
        <f aca="false">IF(N(M861)=0,"",IF(AA861="","Sin spec",IF(AND(Y861&gt;=AA861,OR(AB861="",Z861&gt;=AB861)),"CUMPLE","NO CUMPLE")&amp;IF(V861=""," (est.)","")))</f>
        <v/>
      </c>
      <c r="AD861" s="20" t="str">
        <f aca="false">IF(F861="","",IF(COUNTIFS(ABSORCION!$C$5:$C$1004,F861,ABSORCION!$I$5:$I$1004,"&gt;0")=0,"",AVERAGEIFS(ABSORCION!$I$5:$I$1004,ABSORCION!$C$5:$C$1004,F861,ABSORCION!$I$5:$I$1004,"&gt;0")))</f>
        <v/>
      </c>
      <c r="AE861" s="20" t="str">
        <f aca="false">IF(F861="","",IF(COUNTIFS(ABSORCION!$C$5:$C$1004,F861,ABSORCION!$I$5:$I$1004,"&gt;0")=0,"",AVERAGEIFS(ABSORCION!$K$5:$K$1004,ABSORCION!$C$5:$C$1004,F861,ABSORCION!$I$5:$I$1004,"&gt;0")))</f>
        <v/>
      </c>
      <c r="AF861" s="20" t="str">
        <f aca="false">IF(AE861="","",IF(AE861&gt;=CONFIG!$E$21,CONFIG!$F$21,IF(AE861&gt;=CONFIG!$E$20,CONFIG!$F$20,CONFIG!$F$19)))</f>
        <v/>
      </c>
      <c r="AG861" s="21" t="str">
        <f aca="false">IF(F861="","",TRIM(IF(N(M861)=0,"Sin ensayos. ","")&amp;IF(AND(N(M861)&gt;0,N(M861)&lt;CONFIG!$B$26),"Menos de "&amp;CONFIG!$B$26&amp;" probetas. ","")&amp;IF(N(T861)&gt;CONFIG!$B$25,"CV alto. ","")&amp;IF(AND(N(AD861)&gt;0,N(AD861)&gt;N(AF861)),"Absorción alta. ","")))</f>
        <v/>
      </c>
      <c r="AH861" s="22" t="str">
        <f aca="false">IF(AND(N(M861)&gt;0,OR(CONTROL!$C$4="TODAS",C861=CONTROL!$C$4),D861=CONTROL!$C$5),MAX($AH$4:AH860)+1,"")</f>
        <v/>
      </c>
      <c r="AI861" s="22" t="str">
        <f aca="false">IF(AH861="","",P861^2)</f>
        <v/>
      </c>
    </row>
    <row r="862" customFormat="false" ht="15" hidden="false" customHeight="false" outlineLevel="0" collapsed="false">
      <c r="A862" s="11" t="str">
        <f aca="false">IF(B862="","",ROW()-4)</f>
        <v/>
      </c>
      <c r="B862" s="12"/>
      <c r="C862" s="13"/>
      <c r="D862" s="13"/>
      <c r="E862" s="13"/>
      <c r="F862" s="14" t="str">
        <f aca="false">IF(OR(B862="",C862="",D862=""),"",IFERROR(INDEX(CONFIG!$E$5:$E$14,MATCH(D862,CONFIG!$D$5:$D$14,0)),"?")&amp;RIGHT("0"&amp;DAY(B862),2)&amp;RIGHT("0"&amp;MONTH(B862),2)&amp;RIGHT(YEAR(B862),2)&amp;C862&amp;IF(E862="","","-"&amp;E862))</f>
        <v/>
      </c>
      <c r="G862" s="13"/>
      <c r="H862" s="13"/>
      <c r="I862" s="13"/>
      <c r="J862" s="13"/>
      <c r="K862" s="13"/>
      <c r="L862" s="13"/>
      <c r="M862" s="11" t="str">
        <f aca="false">IF(F862="","",COUNTIFS(ENSAYOS!$C$5:$C$3004,F862,ENSAYOS!$Q$5:$Q$3004,"&gt;0"))</f>
        <v/>
      </c>
      <c r="N862" s="15" t="str">
        <f aca="false">IF(N(M862)=0,"",_xlfn.MINIFS(ENSAYOS!$G$5:$G$3004,ENSAYOS!$C$5:$C$3004,F862,ENSAYOS!$Q$5:$Q$3004,"&gt;0"))</f>
        <v/>
      </c>
      <c r="O862" s="15" t="str">
        <f aca="false">IF(N(M862)=0,"",_xlfn.MAXIFS(ENSAYOS!$G$5:$G$3004,ENSAYOS!$C$5:$C$3004,F862,ENSAYOS!$Q$5:$Q$3004,"&gt;0"))</f>
        <v/>
      </c>
      <c r="P862" s="16" t="str">
        <f aca="false">IF(N(M862)=0,"",AVERAGEIFS(ENSAYOS!$Q$5:$Q$3004,ENSAYOS!$C$5:$C$3004,F862,ENSAYOS!$Q$5:$Q$3004,"&gt;0"))</f>
        <v/>
      </c>
      <c r="Q862" s="16" t="str">
        <f aca="false">IF(N(M862)=0,"",_xlfn.MINIFS(ENSAYOS!$Q$5:$Q$3004,ENSAYOS!$C$5:$C$3004,F862,ENSAYOS!$Q$5:$Q$3004,"&gt;0"))</f>
        <v/>
      </c>
      <c r="R862" s="16" t="str">
        <f aca="false">IF(N(M862)=0,"",_xlfn.MAXIFS(ENSAYOS!$Q$5:$Q$3004,ENSAYOS!$C$5:$C$3004,F862,ENSAYOS!$Q$5:$Q$3004,"&gt;0"))</f>
        <v/>
      </c>
      <c r="S862" s="16" t="str">
        <f aca="false">IF(N(M862)&lt;2,"",SQRT(MAX(0,(SUMIFS(ENSAYOS!$X$5:$X$3004,ENSAYOS!$C$5:$C$3004,F862,ENSAYOS!$Q$5:$Q$3004,"&gt;0")-M862*P862^2)/(M862-1))))</f>
        <v/>
      </c>
      <c r="T862" s="17" t="str">
        <f aca="false">IF(S862="","",S862/P862)</f>
        <v/>
      </c>
      <c r="U862" s="16" t="str">
        <f aca="false">IF(N(M862)=0,"",IF(N862&gt;=CONFIG!$B$27,"",AVERAGEIFS(ENSAYOS!$Q$5:$Q$3004,ENSAYOS!$C$5:$C$3004,F862,ENSAYOS!$Q$5:$Q$3004,"&gt;0",ENSAYOS!$G$5:$G$3004,N862)))</f>
        <v/>
      </c>
      <c r="V862" s="16" t="str">
        <f aca="false">IF(N(M862)=0,"",IF(COUNTIFS(ENSAYOS!$C$5:$C$3004,F862,ENSAYOS!$Q$5:$Q$3004,"&gt;0",ENSAYOS!$G$5:$G$3004,"&gt;="&amp;CONFIG!$B$27)=0,"",AVERAGEIFS(ENSAYOS!$Q$5:$Q$3004,ENSAYOS!$C$5:$C$3004,F862,ENSAYOS!$Q$5:$Q$3004,"&gt;0",ENSAYOS!$G$5:$G$3004,"&gt;="&amp;CONFIG!$B$27)))</f>
        <v/>
      </c>
      <c r="W862" s="18" t="str">
        <f aca="false">IF(AND(U862&lt;&gt;"",V862&lt;&gt;""),U862/V862,"")</f>
        <v/>
      </c>
      <c r="X862" s="18" t="str">
        <f aca="false">IF(U862="","",INDEX('CURVA EDAD'!$E$5:$E$32,MIN(28,MAX(1,N862))))</f>
        <v/>
      </c>
      <c r="Y862" s="16" t="str">
        <f aca="false">IF(V862&lt;&gt;"",V862,IF(U862="","",U862/X862))</f>
        <v/>
      </c>
      <c r="Z862" s="16" t="str">
        <f aca="false">IF(V862&lt;&gt;"",_xlfn.MINIFS(ENSAYOS!$Q$5:$Q$3004,ENSAYOS!$C$5:$C$3004,F862,ENSAYOS!$Q$5:$Q$3004,"&gt;0",ENSAYOS!$G$5:$G$3004,"&gt;="&amp;CONFIG!$B$27),IF(U862="","",_xlfn.MINIFS(ENSAYOS!$Q$5:$Q$3004,ENSAYOS!$C$5:$C$3004,F862,ENSAYOS!$Q$5:$Q$3004,"&gt;0",ENSAYOS!$G$5:$G$3004,N862)/X862))</f>
        <v/>
      </c>
      <c r="AA862" s="16" t="str">
        <f aca="false">IF(D862="","",IFERROR(1/(1/INDEX(CONFIG!$J$5:$J$14,MATCH(D862,CONFIG!$D$5:$D$14,0))),""))</f>
        <v/>
      </c>
      <c r="AB862" s="16" t="str">
        <f aca="false">IF(D862="","",IFERROR(1/(1/INDEX(CONFIG!$K$5:$K$14,MATCH(D862,CONFIG!$D$5:$D$14,0))),""))</f>
        <v/>
      </c>
      <c r="AC862" s="19" t="str">
        <f aca="false">IF(N(M862)=0,"",IF(AA862="","Sin spec",IF(AND(Y862&gt;=AA862,OR(AB862="",Z862&gt;=AB862)),"CUMPLE","NO CUMPLE")&amp;IF(V862=""," (est.)","")))</f>
        <v/>
      </c>
      <c r="AD862" s="20" t="str">
        <f aca="false">IF(F862="","",IF(COUNTIFS(ABSORCION!$C$5:$C$1004,F862,ABSORCION!$I$5:$I$1004,"&gt;0")=0,"",AVERAGEIFS(ABSORCION!$I$5:$I$1004,ABSORCION!$C$5:$C$1004,F862,ABSORCION!$I$5:$I$1004,"&gt;0")))</f>
        <v/>
      </c>
      <c r="AE862" s="20" t="str">
        <f aca="false">IF(F862="","",IF(COUNTIFS(ABSORCION!$C$5:$C$1004,F862,ABSORCION!$I$5:$I$1004,"&gt;0")=0,"",AVERAGEIFS(ABSORCION!$K$5:$K$1004,ABSORCION!$C$5:$C$1004,F862,ABSORCION!$I$5:$I$1004,"&gt;0")))</f>
        <v/>
      </c>
      <c r="AF862" s="20" t="str">
        <f aca="false">IF(AE862="","",IF(AE862&gt;=CONFIG!$E$21,CONFIG!$F$21,IF(AE862&gt;=CONFIG!$E$20,CONFIG!$F$20,CONFIG!$F$19)))</f>
        <v/>
      </c>
      <c r="AG862" s="21" t="str">
        <f aca="false">IF(F862="","",TRIM(IF(N(M862)=0,"Sin ensayos. ","")&amp;IF(AND(N(M862)&gt;0,N(M862)&lt;CONFIG!$B$26),"Menos de "&amp;CONFIG!$B$26&amp;" probetas. ","")&amp;IF(N(T862)&gt;CONFIG!$B$25,"CV alto. ","")&amp;IF(AND(N(AD862)&gt;0,N(AD862)&gt;N(AF862)),"Absorción alta. ","")))</f>
        <v/>
      </c>
      <c r="AH862" s="22" t="str">
        <f aca="false">IF(AND(N(M862)&gt;0,OR(CONTROL!$C$4="TODAS",C862=CONTROL!$C$4),D862=CONTROL!$C$5),MAX($AH$4:AH861)+1,"")</f>
        <v/>
      </c>
      <c r="AI862" s="22" t="str">
        <f aca="false">IF(AH862="","",P862^2)</f>
        <v/>
      </c>
    </row>
    <row r="863" customFormat="false" ht="15" hidden="false" customHeight="false" outlineLevel="0" collapsed="false">
      <c r="A863" s="11" t="str">
        <f aca="false">IF(B863="","",ROW()-4)</f>
        <v/>
      </c>
      <c r="B863" s="12"/>
      <c r="C863" s="13"/>
      <c r="D863" s="13"/>
      <c r="E863" s="13"/>
      <c r="F863" s="14" t="str">
        <f aca="false">IF(OR(B863="",C863="",D863=""),"",IFERROR(INDEX(CONFIG!$E$5:$E$14,MATCH(D863,CONFIG!$D$5:$D$14,0)),"?")&amp;RIGHT("0"&amp;DAY(B863),2)&amp;RIGHT("0"&amp;MONTH(B863),2)&amp;RIGHT(YEAR(B863),2)&amp;C863&amp;IF(E863="","","-"&amp;E863))</f>
        <v/>
      </c>
      <c r="G863" s="13"/>
      <c r="H863" s="13"/>
      <c r="I863" s="13"/>
      <c r="J863" s="13"/>
      <c r="K863" s="13"/>
      <c r="L863" s="13"/>
      <c r="M863" s="11" t="str">
        <f aca="false">IF(F863="","",COUNTIFS(ENSAYOS!$C$5:$C$3004,F863,ENSAYOS!$Q$5:$Q$3004,"&gt;0"))</f>
        <v/>
      </c>
      <c r="N863" s="15" t="str">
        <f aca="false">IF(N(M863)=0,"",_xlfn.MINIFS(ENSAYOS!$G$5:$G$3004,ENSAYOS!$C$5:$C$3004,F863,ENSAYOS!$Q$5:$Q$3004,"&gt;0"))</f>
        <v/>
      </c>
      <c r="O863" s="15" t="str">
        <f aca="false">IF(N(M863)=0,"",_xlfn.MAXIFS(ENSAYOS!$G$5:$G$3004,ENSAYOS!$C$5:$C$3004,F863,ENSAYOS!$Q$5:$Q$3004,"&gt;0"))</f>
        <v/>
      </c>
      <c r="P863" s="16" t="str">
        <f aca="false">IF(N(M863)=0,"",AVERAGEIFS(ENSAYOS!$Q$5:$Q$3004,ENSAYOS!$C$5:$C$3004,F863,ENSAYOS!$Q$5:$Q$3004,"&gt;0"))</f>
        <v/>
      </c>
      <c r="Q863" s="16" t="str">
        <f aca="false">IF(N(M863)=0,"",_xlfn.MINIFS(ENSAYOS!$Q$5:$Q$3004,ENSAYOS!$C$5:$C$3004,F863,ENSAYOS!$Q$5:$Q$3004,"&gt;0"))</f>
        <v/>
      </c>
      <c r="R863" s="16" t="str">
        <f aca="false">IF(N(M863)=0,"",_xlfn.MAXIFS(ENSAYOS!$Q$5:$Q$3004,ENSAYOS!$C$5:$C$3004,F863,ENSAYOS!$Q$5:$Q$3004,"&gt;0"))</f>
        <v/>
      </c>
      <c r="S863" s="16" t="str">
        <f aca="false">IF(N(M863)&lt;2,"",SQRT(MAX(0,(SUMIFS(ENSAYOS!$X$5:$X$3004,ENSAYOS!$C$5:$C$3004,F863,ENSAYOS!$Q$5:$Q$3004,"&gt;0")-M863*P863^2)/(M863-1))))</f>
        <v/>
      </c>
      <c r="T863" s="17" t="str">
        <f aca="false">IF(S863="","",S863/P863)</f>
        <v/>
      </c>
      <c r="U863" s="16" t="str">
        <f aca="false">IF(N(M863)=0,"",IF(N863&gt;=CONFIG!$B$27,"",AVERAGEIFS(ENSAYOS!$Q$5:$Q$3004,ENSAYOS!$C$5:$C$3004,F863,ENSAYOS!$Q$5:$Q$3004,"&gt;0",ENSAYOS!$G$5:$G$3004,N863)))</f>
        <v/>
      </c>
      <c r="V863" s="16" t="str">
        <f aca="false">IF(N(M863)=0,"",IF(COUNTIFS(ENSAYOS!$C$5:$C$3004,F863,ENSAYOS!$Q$5:$Q$3004,"&gt;0",ENSAYOS!$G$5:$G$3004,"&gt;="&amp;CONFIG!$B$27)=0,"",AVERAGEIFS(ENSAYOS!$Q$5:$Q$3004,ENSAYOS!$C$5:$C$3004,F863,ENSAYOS!$Q$5:$Q$3004,"&gt;0",ENSAYOS!$G$5:$G$3004,"&gt;="&amp;CONFIG!$B$27)))</f>
        <v/>
      </c>
      <c r="W863" s="18" t="str">
        <f aca="false">IF(AND(U863&lt;&gt;"",V863&lt;&gt;""),U863/V863,"")</f>
        <v/>
      </c>
      <c r="X863" s="18" t="str">
        <f aca="false">IF(U863="","",INDEX('CURVA EDAD'!$E$5:$E$32,MIN(28,MAX(1,N863))))</f>
        <v/>
      </c>
      <c r="Y863" s="16" t="str">
        <f aca="false">IF(V863&lt;&gt;"",V863,IF(U863="","",U863/X863))</f>
        <v/>
      </c>
      <c r="Z863" s="16" t="str">
        <f aca="false">IF(V863&lt;&gt;"",_xlfn.MINIFS(ENSAYOS!$Q$5:$Q$3004,ENSAYOS!$C$5:$C$3004,F863,ENSAYOS!$Q$5:$Q$3004,"&gt;0",ENSAYOS!$G$5:$G$3004,"&gt;="&amp;CONFIG!$B$27),IF(U863="","",_xlfn.MINIFS(ENSAYOS!$Q$5:$Q$3004,ENSAYOS!$C$5:$C$3004,F863,ENSAYOS!$Q$5:$Q$3004,"&gt;0",ENSAYOS!$G$5:$G$3004,N863)/X863))</f>
        <v/>
      </c>
      <c r="AA863" s="16" t="str">
        <f aca="false">IF(D863="","",IFERROR(1/(1/INDEX(CONFIG!$J$5:$J$14,MATCH(D863,CONFIG!$D$5:$D$14,0))),""))</f>
        <v/>
      </c>
      <c r="AB863" s="16" t="str">
        <f aca="false">IF(D863="","",IFERROR(1/(1/INDEX(CONFIG!$K$5:$K$14,MATCH(D863,CONFIG!$D$5:$D$14,0))),""))</f>
        <v/>
      </c>
      <c r="AC863" s="19" t="str">
        <f aca="false">IF(N(M863)=0,"",IF(AA863="","Sin spec",IF(AND(Y863&gt;=AA863,OR(AB863="",Z863&gt;=AB863)),"CUMPLE","NO CUMPLE")&amp;IF(V863=""," (est.)","")))</f>
        <v/>
      </c>
      <c r="AD863" s="20" t="str">
        <f aca="false">IF(F863="","",IF(COUNTIFS(ABSORCION!$C$5:$C$1004,F863,ABSORCION!$I$5:$I$1004,"&gt;0")=0,"",AVERAGEIFS(ABSORCION!$I$5:$I$1004,ABSORCION!$C$5:$C$1004,F863,ABSORCION!$I$5:$I$1004,"&gt;0")))</f>
        <v/>
      </c>
      <c r="AE863" s="20" t="str">
        <f aca="false">IF(F863="","",IF(COUNTIFS(ABSORCION!$C$5:$C$1004,F863,ABSORCION!$I$5:$I$1004,"&gt;0")=0,"",AVERAGEIFS(ABSORCION!$K$5:$K$1004,ABSORCION!$C$5:$C$1004,F863,ABSORCION!$I$5:$I$1004,"&gt;0")))</f>
        <v/>
      </c>
      <c r="AF863" s="20" t="str">
        <f aca="false">IF(AE863="","",IF(AE863&gt;=CONFIG!$E$21,CONFIG!$F$21,IF(AE863&gt;=CONFIG!$E$20,CONFIG!$F$20,CONFIG!$F$19)))</f>
        <v/>
      </c>
      <c r="AG863" s="21" t="str">
        <f aca="false">IF(F863="","",TRIM(IF(N(M863)=0,"Sin ensayos. ","")&amp;IF(AND(N(M863)&gt;0,N(M863)&lt;CONFIG!$B$26),"Menos de "&amp;CONFIG!$B$26&amp;" probetas. ","")&amp;IF(N(T863)&gt;CONFIG!$B$25,"CV alto. ","")&amp;IF(AND(N(AD863)&gt;0,N(AD863)&gt;N(AF863)),"Absorción alta. ","")))</f>
        <v/>
      </c>
      <c r="AH863" s="22" t="str">
        <f aca="false">IF(AND(N(M863)&gt;0,OR(CONTROL!$C$4="TODAS",C863=CONTROL!$C$4),D863=CONTROL!$C$5),MAX($AH$4:AH862)+1,"")</f>
        <v/>
      </c>
      <c r="AI863" s="22" t="str">
        <f aca="false">IF(AH863="","",P863^2)</f>
        <v/>
      </c>
    </row>
    <row r="864" customFormat="false" ht="15" hidden="false" customHeight="false" outlineLevel="0" collapsed="false">
      <c r="A864" s="11" t="str">
        <f aca="false">IF(B864="","",ROW()-4)</f>
        <v/>
      </c>
      <c r="B864" s="12"/>
      <c r="C864" s="13"/>
      <c r="D864" s="13"/>
      <c r="E864" s="13"/>
      <c r="F864" s="14" t="str">
        <f aca="false">IF(OR(B864="",C864="",D864=""),"",IFERROR(INDEX(CONFIG!$E$5:$E$14,MATCH(D864,CONFIG!$D$5:$D$14,0)),"?")&amp;RIGHT("0"&amp;DAY(B864),2)&amp;RIGHT("0"&amp;MONTH(B864),2)&amp;RIGHT(YEAR(B864),2)&amp;C864&amp;IF(E864="","","-"&amp;E864))</f>
        <v/>
      </c>
      <c r="G864" s="13"/>
      <c r="H864" s="13"/>
      <c r="I864" s="13"/>
      <c r="J864" s="13"/>
      <c r="K864" s="13"/>
      <c r="L864" s="13"/>
      <c r="M864" s="11" t="str">
        <f aca="false">IF(F864="","",COUNTIFS(ENSAYOS!$C$5:$C$3004,F864,ENSAYOS!$Q$5:$Q$3004,"&gt;0"))</f>
        <v/>
      </c>
      <c r="N864" s="15" t="str">
        <f aca="false">IF(N(M864)=0,"",_xlfn.MINIFS(ENSAYOS!$G$5:$G$3004,ENSAYOS!$C$5:$C$3004,F864,ENSAYOS!$Q$5:$Q$3004,"&gt;0"))</f>
        <v/>
      </c>
      <c r="O864" s="15" t="str">
        <f aca="false">IF(N(M864)=0,"",_xlfn.MAXIFS(ENSAYOS!$G$5:$G$3004,ENSAYOS!$C$5:$C$3004,F864,ENSAYOS!$Q$5:$Q$3004,"&gt;0"))</f>
        <v/>
      </c>
      <c r="P864" s="16" t="str">
        <f aca="false">IF(N(M864)=0,"",AVERAGEIFS(ENSAYOS!$Q$5:$Q$3004,ENSAYOS!$C$5:$C$3004,F864,ENSAYOS!$Q$5:$Q$3004,"&gt;0"))</f>
        <v/>
      </c>
      <c r="Q864" s="16" t="str">
        <f aca="false">IF(N(M864)=0,"",_xlfn.MINIFS(ENSAYOS!$Q$5:$Q$3004,ENSAYOS!$C$5:$C$3004,F864,ENSAYOS!$Q$5:$Q$3004,"&gt;0"))</f>
        <v/>
      </c>
      <c r="R864" s="16" t="str">
        <f aca="false">IF(N(M864)=0,"",_xlfn.MAXIFS(ENSAYOS!$Q$5:$Q$3004,ENSAYOS!$C$5:$C$3004,F864,ENSAYOS!$Q$5:$Q$3004,"&gt;0"))</f>
        <v/>
      </c>
      <c r="S864" s="16" t="str">
        <f aca="false">IF(N(M864)&lt;2,"",SQRT(MAX(0,(SUMIFS(ENSAYOS!$X$5:$X$3004,ENSAYOS!$C$5:$C$3004,F864,ENSAYOS!$Q$5:$Q$3004,"&gt;0")-M864*P864^2)/(M864-1))))</f>
        <v/>
      </c>
      <c r="T864" s="17" t="str">
        <f aca="false">IF(S864="","",S864/P864)</f>
        <v/>
      </c>
      <c r="U864" s="16" t="str">
        <f aca="false">IF(N(M864)=0,"",IF(N864&gt;=CONFIG!$B$27,"",AVERAGEIFS(ENSAYOS!$Q$5:$Q$3004,ENSAYOS!$C$5:$C$3004,F864,ENSAYOS!$Q$5:$Q$3004,"&gt;0",ENSAYOS!$G$5:$G$3004,N864)))</f>
        <v/>
      </c>
      <c r="V864" s="16" t="str">
        <f aca="false">IF(N(M864)=0,"",IF(COUNTIFS(ENSAYOS!$C$5:$C$3004,F864,ENSAYOS!$Q$5:$Q$3004,"&gt;0",ENSAYOS!$G$5:$G$3004,"&gt;="&amp;CONFIG!$B$27)=0,"",AVERAGEIFS(ENSAYOS!$Q$5:$Q$3004,ENSAYOS!$C$5:$C$3004,F864,ENSAYOS!$Q$5:$Q$3004,"&gt;0",ENSAYOS!$G$5:$G$3004,"&gt;="&amp;CONFIG!$B$27)))</f>
        <v/>
      </c>
      <c r="W864" s="18" t="str">
        <f aca="false">IF(AND(U864&lt;&gt;"",V864&lt;&gt;""),U864/V864,"")</f>
        <v/>
      </c>
      <c r="X864" s="18" t="str">
        <f aca="false">IF(U864="","",INDEX('CURVA EDAD'!$E$5:$E$32,MIN(28,MAX(1,N864))))</f>
        <v/>
      </c>
      <c r="Y864" s="16" t="str">
        <f aca="false">IF(V864&lt;&gt;"",V864,IF(U864="","",U864/X864))</f>
        <v/>
      </c>
      <c r="Z864" s="16" t="str">
        <f aca="false">IF(V864&lt;&gt;"",_xlfn.MINIFS(ENSAYOS!$Q$5:$Q$3004,ENSAYOS!$C$5:$C$3004,F864,ENSAYOS!$Q$5:$Q$3004,"&gt;0",ENSAYOS!$G$5:$G$3004,"&gt;="&amp;CONFIG!$B$27),IF(U864="","",_xlfn.MINIFS(ENSAYOS!$Q$5:$Q$3004,ENSAYOS!$C$5:$C$3004,F864,ENSAYOS!$Q$5:$Q$3004,"&gt;0",ENSAYOS!$G$5:$G$3004,N864)/X864))</f>
        <v/>
      </c>
      <c r="AA864" s="16" t="str">
        <f aca="false">IF(D864="","",IFERROR(1/(1/INDEX(CONFIG!$J$5:$J$14,MATCH(D864,CONFIG!$D$5:$D$14,0))),""))</f>
        <v/>
      </c>
      <c r="AB864" s="16" t="str">
        <f aca="false">IF(D864="","",IFERROR(1/(1/INDEX(CONFIG!$K$5:$K$14,MATCH(D864,CONFIG!$D$5:$D$14,0))),""))</f>
        <v/>
      </c>
      <c r="AC864" s="19" t="str">
        <f aca="false">IF(N(M864)=0,"",IF(AA864="","Sin spec",IF(AND(Y864&gt;=AA864,OR(AB864="",Z864&gt;=AB864)),"CUMPLE","NO CUMPLE")&amp;IF(V864=""," (est.)","")))</f>
        <v/>
      </c>
      <c r="AD864" s="20" t="str">
        <f aca="false">IF(F864="","",IF(COUNTIFS(ABSORCION!$C$5:$C$1004,F864,ABSORCION!$I$5:$I$1004,"&gt;0")=0,"",AVERAGEIFS(ABSORCION!$I$5:$I$1004,ABSORCION!$C$5:$C$1004,F864,ABSORCION!$I$5:$I$1004,"&gt;0")))</f>
        <v/>
      </c>
      <c r="AE864" s="20" t="str">
        <f aca="false">IF(F864="","",IF(COUNTIFS(ABSORCION!$C$5:$C$1004,F864,ABSORCION!$I$5:$I$1004,"&gt;0")=0,"",AVERAGEIFS(ABSORCION!$K$5:$K$1004,ABSORCION!$C$5:$C$1004,F864,ABSORCION!$I$5:$I$1004,"&gt;0")))</f>
        <v/>
      </c>
      <c r="AF864" s="20" t="str">
        <f aca="false">IF(AE864="","",IF(AE864&gt;=CONFIG!$E$21,CONFIG!$F$21,IF(AE864&gt;=CONFIG!$E$20,CONFIG!$F$20,CONFIG!$F$19)))</f>
        <v/>
      </c>
      <c r="AG864" s="21" t="str">
        <f aca="false">IF(F864="","",TRIM(IF(N(M864)=0,"Sin ensayos. ","")&amp;IF(AND(N(M864)&gt;0,N(M864)&lt;CONFIG!$B$26),"Menos de "&amp;CONFIG!$B$26&amp;" probetas. ","")&amp;IF(N(T864)&gt;CONFIG!$B$25,"CV alto. ","")&amp;IF(AND(N(AD864)&gt;0,N(AD864)&gt;N(AF864)),"Absorción alta. ","")))</f>
        <v/>
      </c>
      <c r="AH864" s="22" t="str">
        <f aca="false">IF(AND(N(M864)&gt;0,OR(CONTROL!$C$4="TODAS",C864=CONTROL!$C$4),D864=CONTROL!$C$5),MAX($AH$4:AH863)+1,"")</f>
        <v/>
      </c>
      <c r="AI864" s="22" t="str">
        <f aca="false">IF(AH864="","",P864^2)</f>
        <v/>
      </c>
    </row>
    <row r="865" customFormat="false" ht="15" hidden="false" customHeight="false" outlineLevel="0" collapsed="false">
      <c r="A865" s="11" t="str">
        <f aca="false">IF(B865="","",ROW()-4)</f>
        <v/>
      </c>
      <c r="B865" s="12"/>
      <c r="C865" s="13"/>
      <c r="D865" s="13"/>
      <c r="E865" s="13"/>
      <c r="F865" s="14" t="str">
        <f aca="false">IF(OR(B865="",C865="",D865=""),"",IFERROR(INDEX(CONFIG!$E$5:$E$14,MATCH(D865,CONFIG!$D$5:$D$14,0)),"?")&amp;RIGHT("0"&amp;DAY(B865),2)&amp;RIGHT("0"&amp;MONTH(B865),2)&amp;RIGHT(YEAR(B865),2)&amp;C865&amp;IF(E865="","","-"&amp;E865))</f>
        <v/>
      </c>
      <c r="G865" s="13"/>
      <c r="H865" s="13"/>
      <c r="I865" s="13"/>
      <c r="J865" s="13"/>
      <c r="K865" s="13"/>
      <c r="L865" s="13"/>
      <c r="M865" s="11" t="str">
        <f aca="false">IF(F865="","",COUNTIFS(ENSAYOS!$C$5:$C$3004,F865,ENSAYOS!$Q$5:$Q$3004,"&gt;0"))</f>
        <v/>
      </c>
      <c r="N865" s="15" t="str">
        <f aca="false">IF(N(M865)=0,"",_xlfn.MINIFS(ENSAYOS!$G$5:$G$3004,ENSAYOS!$C$5:$C$3004,F865,ENSAYOS!$Q$5:$Q$3004,"&gt;0"))</f>
        <v/>
      </c>
      <c r="O865" s="15" t="str">
        <f aca="false">IF(N(M865)=0,"",_xlfn.MAXIFS(ENSAYOS!$G$5:$G$3004,ENSAYOS!$C$5:$C$3004,F865,ENSAYOS!$Q$5:$Q$3004,"&gt;0"))</f>
        <v/>
      </c>
      <c r="P865" s="16" t="str">
        <f aca="false">IF(N(M865)=0,"",AVERAGEIFS(ENSAYOS!$Q$5:$Q$3004,ENSAYOS!$C$5:$C$3004,F865,ENSAYOS!$Q$5:$Q$3004,"&gt;0"))</f>
        <v/>
      </c>
      <c r="Q865" s="16" t="str">
        <f aca="false">IF(N(M865)=0,"",_xlfn.MINIFS(ENSAYOS!$Q$5:$Q$3004,ENSAYOS!$C$5:$C$3004,F865,ENSAYOS!$Q$5:$Q$3004,"&gt;0"))</f>
        <v/>
      </c>
      <c r="R865" s="16" t="str">
        <f aca="false">IF(N(M865)=0,"",_xlfn.MAXIFS(ENSAYOS!$Q$5:$Q$3004,ENSAYOS!$C$5:$C$3004,F865,ENSAYOS!$Q$5:$Q$3004,"&gt;0"))</f>
        <v/>
      </c>
      <c r="S865" s="16" t="str">
        <f aca="false">IF(N(M865)&lt;2,"",SQRT(MAX(0,(SUMIFS(ENSAYOS!$X$5:$X$3004,ENSAYOS!$C$5:$C$3004,F865,ENSAYOS!$Q$5:$Q$3004,"&gt;0")-M865*P865^2)/(M865-1))))</f>
        <v/>
      </c>
      <c r="T865" s="17" t="str">
        <f aca="false">IF(S865="","",S865/P865)</f>
        <v/>
      </c>
      <c r="U865" s="16" t="str">
        <f aca="false">IF(N(M865)=0,"",IF(N865&gt;=CONFIG!$B$27,"",AVERAGEIFS(ENSAYOS!$Q$5:$Q$3004,ENSAYOS!$C$5:$C$3004,F865,ENSAYOS!$Q$5:$Q$3004,"&gt;0",ENSAYOS!$G$5:$G$3004,N865)))</f>
        <v/>
      </c>
      <c r="V865" s="16" t="str">
        <f aca="false">IF(N(M865)=0,"",IF(COUNTIFS(ENSAYOS!$C$5:$C$3004,F865,ENSAYOS!$Q$5:$Q$3004,"&gt;0",ENSAYOS!$G$5:$G$3004,"&gt;="&amp;CONFIG!$B$27)=0,"",AVERAGEIFS(ENSAYOS!$Q$5:$Q$3004,ENSAYOS!$C$5:$C$3004,F865,ENSAYOS!$Q$5:$Q$3004,"&gt;0",ENSAYOS!$G$5:$G$3004,"&gt;="&amp;CONFIG!$B$27)))</f>
        <v/>
      </c>
      <c r="W865" s="18" t="str">
        <f aca="false">IF(AND(U865&lt;&gt;"",V865&lt;&gt;""),U865/V865,"")</f>
        <v/>
      </c>
      <c r="X865" s="18" t="str">
        <f aca="false">IF(U865="","",INDEX('CURVA EDAD'!$E$5:$E$32,MIN(28,MAX(1,N865))))</f>
        <v/>
      </c>
      <c r="Y865" s="16" t="str">
        <f aca="false">IF(V865&lt;&gt;"",V865,IF(U865="","",U865/X865))</f>
        <v/>
      </c>
      <c r="Z865" s="16" t="str">
        <f aca="false">IF(V865&lt;&gt;"",_xlfn.MINIFS(ENSAYOS!$Q$5:$Q$3004,ENSAYOS!$C$5:$C$3004,F865,ENSAYOS!$Q$5:$Q$3004,"&gt;0",ENSAYOS!$G$5:$G$3004,"&gt;="&amp;CONFIG!$B$27),IF(U865="","",_xlfn.MINIFS(ENSAYOS!$Q$5:$Q$3004,ENSAYOS!$C$5:$C$3004,F865,ENSAYOS!$Q$5:$Q$3004,"&gt;0",ENSAYOS!$G$5:$G$3004,N865)/X865))</f>
        <v/>
      </c>
      <c r="AA865" s="16" t="str">
        <f aca="false">IF(D865="","",IFERROR(1/(1/INDEX(CONFIG!$J$5:$J$14,MATCH(D865,CONFIG!$D$5:$D$14,0))),""))</f>
        <v/>
      </c>
      <c r="AB865" s="16" t="str">
        <f aca="false">IF(D865="","",IFERROR(1/(1/INDEX(CONFIG!$K$5:$K$14,MATCH(D865,CONFIG!$D$5:$D$14,0))),""))</f>
        <v/>
      </c>
      <c r="AC865" s="19" t="str">
        <f aca="false">IF(N(M865)=0,"",IF(AA865="","Sin spec",IF(AND(Y865&gt;=AA865,OR(AB865="",Z865&gt;=AB865)),"CUMPLE","NO CUMPLE")&amp;IF(V865=""," (est.)","")))</f>
        <v/>
      </c>
      <c r="AD865" s="20" t="str">
        <f aca="false">IF(F865="","",IF(COUNTIFS(ABSORCION!$C$5:$C$1004,F865,ABSORCION!$I$5:$I$1004,"&gt;0")=0,"",AVERAGEIFS(ABSORCION!$I$5:$I$1004,ABSORCION!$C$5:$C$1004,F865,ABSORCION!$I$5:$I$1004,"&gt;0")))</f>
        <v/>
      </c>
      <c r="AE865" s="20" t="str">
        <f aca="false">IF(F865="","",IF(COUNTIFS(ABSORCION!$C$5:$C$1004,F865,ABSORCION!$I$5:$I$1004,"&gt;0")=0,"",AVERAGEIFS(ABSORCION!$K$5:$K$1004,ABSORCION!$C$5:$C$1004,F865,ABSORCION!$I$5:$I$1004,"&gt;0")))</f>
        <v/>
      </c>
      <c r="AF865" s="20" t="str">
        <f aca="false">IF(AE865="","",IF(AE865&gt;=CONFIG!$E$21,CONFIG!$F$21,IF(AE865&gt;=CONFIG!$E$20,CONFIG!$F$20,CONFIG!$F$19)))</f>
        <v/>
      </c>
      <c r="AG865" s="21" t="str">
        <f aca="false">IF(F865="","",TRIM(IF(N(M865)=0,"Sin ensayos. ","")&amp;IF(AND(N(M865)&gt;0,N(M865)&lt;CONFIG!$B$26),"Menos de "&amp;CONFIG!$B$26&amp;" probetas. ","")&amp;IF(N(T865)&gt;CONFIG!$B$25,"CV alto. ","")&amp;IF(AND(N(AD865)&gt;0,N(AD865)&gt;N(AF865)),"Absorción alta. ","")))</f>
        <v/>
      </c>
      <c r="AH865" s="22" t="str">
        <f aca="false">IF(AND(N(M865)&gt;0,OR(CONTROL!$C$4="TODAS",C865=CONTROL!$C$4),D865=CONTROL!$C$5),MAX($AH$4:AH864)+1,"")</f>
        <v/>
      </c>
      <c r="AI865" s="22" t="str">
        <f aca="false">IF(AH865="","",P865^2)</f>
        <v/>
      </c>
    </row>
    <row r="866" customFormat="false" ht="15" hidden="false" customHeight="false" outlineLevel="0" collapsed="false">
      <c r="A866" s="11" t="str">
        <f aca="false">IF(B866="","",ROW()-4)</f>
        <v/>
      </c>
      <c r="B866" s="12"/>
      <c r="C866" s="13"/>
      <c r="D866" s="13"/>
      <c r="E866" s="13"/>
      <c r="F866" s="14" t="str">
        <f aca="false">IF(OR(B866="",C866="",D866=""),"",IFERROR(INDEX(CONFIG!$E$5:$E$14,MATCH(D866,CONFIG!$D$5:$D$14,0)),"?")&amp;RIGHT("0"&amp;DAY(B866),2)&amp;RIGHT("0"&amp;MONTH(B866),2)&amp;RIGHT(YEAR(B866),2)&amp;C866&amp;IF(E866="","","-"&amp;E866))</f>
        <v/>
      </c>
      <c r="G866" s="13"/>
      <c r="H866" s="13"/>
      <c r="I866" s="13"/>
      <c r="J866" s="13"/>
      <c r="K866" s="13"/>
      <c r="L866" s="13"/>
      <c r="M866" s="11" t="str">
        <f aca="false">IF(F866="","",COUNTIFS(ENSAYOS!$C$5:$C$3004,F866,ENSAYOS!$Q$5:$Q$3004,"&gt;0"))</f>
        <v/>
      </c>
      <c r="N866" s="15" t="str">
        <f aca="false">IF(N(M866)=0,"",_xlfn.MINIFS(ENSAYOS!$G$5:$G$3004,ENSAYOS!$C$5:$C$3004,F866,ENSAYOS!$Q$5:$Q$3004,"&gt;0"))</f>
        <v/>
      </c>
      <c r="O866" s="15" t="str">
        <f aca="false">IF(N(M866)=0,"",_xlfn.MAXIFS(ENSAYOS!$G$5:$G$3004,ENSAYOS!$C$5:$C$3004,F866,ENSAYOS!$Q$5:$Q$3004,"&gt;0"))</f>
        <v/>
      </c>
      <c r="P866" s="16" t="str">
        <f aca="false">IF(N(M866)=0,"",AVERAGEIFS(ENSAYOS!$Q$5:$Q$3004,ENSAYOS!$C$5:$C$3004,F866,ENSAYOS!$Q$5:$Q$3004,"&gt;0"))</f>
        <v/>
      </c>
      <c r="Q866" s="16" t="str">
        <f aca="false">IF(N(M866)=0,"",_xlfn.MINIFS(ENSAYOS!$Q$5:$Q$3004,ENSAYOS!$C$5:$C$3004,F866,ENSAYOS!$Q$5:$Q$3004,"&gt;0"))</f>
        <v/>
      </c>
      <c r="R866" s="16" t="str">
        <f aca="false">IF(N(M866)=0,"",_xlfn.MAXIFS(ENSAYOS!$Q$5:$Q$3004,ENSAYOS!$C$5:$C$3004,F866,ENSAYOS!$Q$5:$Q$3004,"&gt;0"))</f>
        <v/>
      </c>
      <c r="S866" s="16" t="str">
        <f aca="false">IF(N(M866)&lt;2,"",SQRT(MAX(0,(SUMIFS(ENSAYOS!$X$5:$X$3004,ENSAYOS!$C$5:$C$3004,F866,ENSAYOS!$Q$5:$Q$3004,"&gt;0")-M866*P866^2)/(M866-1))))</f>
        <v/>
      </c>
      <c r="T866" s="17" t="str">
        <f aca="false">IF(S866="","",S866/P866)</f>
        <v/>
      </c>
      <c r="U866" s="16" t="str">
        <f aca="false">IF(N(M866)=0,"",IF(N866&gt;=CONFIG!$B$27,"",AVERAGEIFS(ENSAYOS!$Q$5:$Q$3004,ENSAYOS!$C$5:$C$3004,F866,ENSAYOS!$Q$5:$Q$3004,"&gt;0",ENSAYOS!$G$5:$G$3004,N866)))</f>
        <v/>
      </c>
      <c r="V866" s="16" t="str">
        <f aca="false">IF(N(M866)=0,"",IF(COUNTIFS(ENSAYOS!$C$5:$C$3004,F866,ENSAYOS!$Q$5:$Q$3004,"&gt;0",ENSAYOS!$G$5:$G$3004,"&gt;="&amp;CONFIG!$B$27)=0,"",AVERAGEIFS(ENSAYOS!$Q$5:$Q$3004,ENSAYOS!$C$5:$C$3004,F866,ENSAYOS!$Q$5:$Q$3004,"&gt;0",ENSAYOS!$G$5:$G$3004,"&gt;="&amp;CONFIG!$B$27)))</f>
        <v/>
      </c>
      <c r="W866" s="18" t="str">
        <f aca="false">IF(AND(U866&lt;&gt;"",V866&lt;&gt;""),U866/V866,"")</f>
        <v/>
      </c>
      <c r="X866" s="18" t="str">
        <f aca="false">IF(U866="","",INDEX('CURVA EDAD'!$E$5:$E$32,MIN(28,MAX(1,N866))))</f>
        <v/>
      </c>
      <c r="Y866" s="16" t="str">
        <f aca="false">IF(V866&lt;&gt;"",V866,IF(U866="","",U866/X866))</f>
        <v/>
      </c>
      <c r="Z866" s="16" t="str">
        <f aca="false">IF(V866&lt;&gt;"",_xlfn.MINIFS(ENSAYOS!$Q$5:$Q$3004,ENSAYOS!$C$5:$C$3004,F866,ENSAYOS!$Q$5:$Q$3004,"&gt;0",ENSAYOS!$G$5:$G$3004,"&gt;="&amp;CONFIG!$B$27),IF(U866="","",_xlfn.MINIFS(ENSAYOS!$Q$5:$Q$3004,ENSAYOS!$C$5:$C$3004,F866,ENSAYOS!$Q$5:$Q$3004,"&gt;0",ENSAYOS!$G$5:$G$3004,N866)/X866))</f>
        <v/>
      </c>
      <c r="AA866" s="16" t="str">
        <f aca="false">IF(D866="","",IFERROR(1/(1/INDEX(CONFIG!$J$5:$J$14,MATCH(D866,CONFIG!$D$5:$D$14,0))),""))</f>
        <v/>
      </c>
      <c r="AB866" s="16" t="str">
        <f aca="false">IF(D866="","",IFERROR(1/(1/INDEX(CONFIG!$K$5:$K$14,MATCH(D866,CONFIG!$D$5:$D$14,0))),""))</f>
        <v/>
      </c>
      <c r="AC866" s="19" t="str">
        <f aca="false">IF(N(M866)=0,"",IF(AA866="","Sin spec",IF(AND(Y866&gt;=AA866,OR(AB866="",Z866&gt;=AB866)),"CUMPLE","NO CUMPLE")&amp;IF(V866=""," (est.)","")))</f>
        <v/>
      </c>
      <c r="AD866" s="20" t="str">
        <f aca="false">IF(F866="","",IF(COUNTIFS(ABSORCION!$C$5:$C$1004,F866,ABSORCION!$I$5:$I$1004,"&gt;0")=0,"",AVERAGEIFS(ABSORCION!$I$5:$I$1004,ABSORCION!$C$5:$C$1004,F866,ABSORCION!$I$5:$I$1004,"&gt;0")))</f>
        <v/>
      </c>
      <c r="AE866" s="20" t="str">
        <f aca="false">IF(F866="","",IF(COUNTIFS(ABSORCION!$C$5:$C$1004,F866,ABSORCION!$I$5:$I$1004,"&gt;0")=0,"",AVERAGEIFS(ABSORCION!$K$5:$K$1004,ABSORCION!$C$5:$C$1004,F866,ABSORCION!$I$5:$I$1004,"&gt;0")))</f>
        <v/>
      </c>
      <c r="AF866" s="20" t="str">
        <f aca="false">IF(AE866="","",IF(AE866&gt;=CONFIG!$E$21,CONFIG!$F$21,IF(AE866&gt;=CONFIG!$E$20,CONFIG!$F$20,CONFIG!$F$19)))</f>
        <v/>
      </c>
      <c r="AG866" s="21" t="str">
        <f aca="false">IF(F866="","",TRIM(IF(N(M866)=0,"Sin ensayos. ","")&amp;IF(AND(N(M866)&gt;0,N(M866)&lt;CONFIG!$B$26),"Menos de "&amp;CONFIG!$B$26&amp;" probetas. ","")&amp;IF(N(T866)&gt;CONFIG!$B$25,"CV alto. ","")&amp;IF(AND(N(AD866)&gt;0,N(AD866)&gt;N(AF866)),"Absorción alta. ","")))</f>
        <v/>
      </c>
      <c r="AH866" s="22" t="str">
        <f aca="false">IF(AND(N(M866)&gt;0,OR(CONTROL!$C$4="TODAS",C866=CONTROL!$C$4),D866=CONTROL!$C$5),MAX($AH$4:AH865)+1,"")</f>
        <v/>
      </c>
      <c r="AI866" s="22" t="str">
        <f aca="false">IF(AH866="","",P866^2)</f>
        <v/>
      </c>
    </row>
    <row r="867" customFormat="false" ht="15" hidden="false" customHeight="false" outlineLevel="0" collapsed="false">
      <c r="A867" s="11" t="str">
        <f aca="false">IF(B867="","",ROW()-4)</f>
        <v/>
      </c>
      <c r="B867" s="12"/>
      <c r="C867" s="13"/>
      <c r="D867" s="13"/>
      <c r="E867" s="13"/>
      <c r="F867" s="14" t="str">
        <f aca="false">IF(OR(B867="",C867="",D867=""),"",IFERROR(INDEX(CONFIG!$E$5:$E$14,MATCH(D867,CONFIG!$D$5:$D$14,0)),"?")&amp;RIGHT("0"&amp;DAY(B867),2)&amp;RIGHT("0"&amp;MONTH(B867),2)&amp;RIGHT(YEAR(B867),2)&amp;C867&amp;IF(E867="","","-"&amp;E867))</f>
        <v/>
      </c>
      <c r="G867" s="13"/>
      <c r="H867" s="13"/>
      <c r="I867" s="13"/>
      <c r="J867" s="13"/>
      <c r="K867" s="13"/>
      <c r="L867" s="13"/>
      <c r="M867" s="11" t="str">
        <f aca="false">IF(F867="","",COUNTIFS(ENSAYOS!$C$5:$C$3004,F867,ENSAYOS!$Q$5:$Q$3004,"&gt;0"))</f>
        <v/>
      </c>
      <c r="N867" s="15" t="str">
        <f aca="false">IF(N(M867)=0,"",_xlfn.MINIFS(ENSAYOS!$G$5:$G$3004,ENSAYOS!$C$5:$C$3004,F867,ENSAYOS!$Q$5:$Q$3004,"&gt;0"))</f>
        <v/>
      </c>
      <c r="O867" s="15" t="str">
        <f aca="false">IF(N(M867)=0,"",_xlfn.MAXIFS(ENSAYOS!$G$5:$G$3004,ENSAYOS!$C$5:$C$3004,F867,ENSAYOS!$Q$5:$Q$3004,"&gt;0"))</f>
        <v/>
      </c>
      <c r="P867" s="16" t="str">
        <f aca="false">IF(N(M867)=0,"",AVERAGEIFS(ENSAYOS!$Q$5:$Q$3004,ENSAYOS!$C$5:$C$3004,F867,ENSAYOS!$Q$5:$Q$3004,"&gt;0"))</f>
        <v/>
      </c>
      <c r="Q867" s="16" t="str">
        <f aca="false">IF(N(M867)=0,"",_xlfn.MINIFS(ENSAYOS!$Q$5:$Q$3004,ENSAYOS!$C$5:$C$3004,F867,ENSAYOS!$Q$5:$Q$3004,"&gt;0"))</f>
        <v/>
      </c>
      <c r="R867" s="16" t="str">
        <f aca="false">IF(N(M867)=0,"",_xlfn.MAXIFS(ENSAYOS!$Q$5:$Q$3004,ENSAYOS!$C$5:$C$3004,F867,ENSAYOS!$Q$5:$Q$3004,"&gt;0"))</f>
        <v/>
      </c>
      <c r="S867" s="16" t="str">
        <f aca="false">IF(N(M867)&lt;2,"",SQRT(MAX(0,(SUMIFS(ENSAYOS!$X$5:$X$3004,ENSAYOS!$C$5:$C$3004,F867,ENSAYOS!$Q$5:$Q$3004,"&gt;0")-M867*P867^2)/(M867-1))))</f>
        <v/>
      </c>
      <c r="T867" s="17" t="str">
        <f aca="false">IF(S867="","",S867/P867)</f>
        <v/>
      </c>
      <c r="U867" s="16" t="str">
        <f aca="false">IF(N(M867)=0,"",IF(N867&gt;=CONFIG!$B$27,"",AVERAGEIFS(ENSAYOS!$Q$5:$Q$3004,ENSAYOS!$C$5:$C$3004,F867,ENSAYOS!$Q$5:$Q$3004,"&gt;0",ENSAYOS!$G$5:$G$3004,N867)))</f>
        <v/>
      </c>
      <c r="V867" s="16" t="str">
        <f aca="false">IF(N(M867)=0,"",IF(COUNTIFS(ENSAYOS!$C$5:$C$3004,F867,ENSAYOS!$Q$5:$Q$3004,"&gt;0",ENSAYOS!$G$5:$G$3004,"&gt;="&amp;CONFIG!$B$27)=0,"",AVERAGEIFS(ENSAYOS!$Q$5:$Q$3004,ENSAYOS!$C$5:$C$3004,F867,ENSAYOS!$Q$5:$Q$3004,"&gt;0",ENSAYOS!$G$5:$G$3004,"&gt;="&amp;CONFIG!$B$27)))</f>
        <v/>
      </c>
      <c r="W867" s="18" t="str">
        <f aca="false">IF(AND(U867&lt;&gt;"",V867&lt;&gt;""),U867/V867,"")</f>
        <v/>
      </c>
      <c r="X867" s="18" t="str">
        <f aca="false">IF(U867="","",INDEX('CURVA EDAD'!$E$5:$E$32,MIN(28,MAX(1,N867))))</f>
        <v/>
      </c>
      <c r="Y867" s="16" t="str">
        <f aca="false">IF(V867&lt;&gt;"",V867,IF(U867="","",U867/X867))</f>
        <v/>
      </c>
      <c r="Z867" s="16" t="str">
        <f aca="false">IF(V867&lt;&gt;"",_xlfn.MINIFS(ENSAYOS!$Q$5:$Q$3004,ENSAYOS!$C$5:$C$3004,F867,ENSAYOS!$Q$5:$Q$3004,"&gt;0",ENSAYOS!$G$5:$G$3004,"&gt;="&amp;CONFIG!$B$27),IF(U867="","",_xlfn.MINIFS(ENSAYOS!$Q$5:$Q$3004,ENSAYOS!$C$5:$C$3004,F867,ENSAYOS!$Q$5:$Q$3004,"&gt;0",ENSAYOS!$G$5:$G$3004,N867)/X867))</f>
        <v/>
      </c>
      <c r="AA867" s="16" t="str">
        <f aca="false">IF(D867="","",IFERROR(1/(1/INDEX(CONFIG!$J$5:$J$14,MATCH(D867,CONFIG!$D$5:$D$14,0))),""))</f>
        <v/>
      </c>
      <c r="AB867" s="16" t="str">
        <f aca="false">IF(D867="","",IFERROR(1/(1/INDEX(CONFIG!$K$5:$K$14,MATCH(D867,CONFIG!$D$5:$D$14,0))),""))</f>
        <v/>
      </c>
      <c r="AC867" s="19" t="str">
        <f aca="false">IF(N(M867)=0,"",IF(AA867="","Sin spec",IF(AND(Y867&gt;=AA867,OR(AB867="",Z867&gt;=AB867)),"CUMPLE","NO CUMPLE")&amp;IF(V867=""," (est.)","")))</f>
        <v/>
      </c>
      <c r="AD867" s="20" t="str">
        <f aca="false">IF(F867="","",IF(COUNTIFS(ABSORCION!$C$5:$C$1004,F867,ABSORCION!$I$5:$I$1004,"&gt;0")=0,"",AVERAGEIFS(ABSORCION!$I$5:$I$1004,ABSORCION!$C$5:$C$1004,F867,ABSORCION!$I$5:$I$1004,"&gt;0")))</f>
        <v/>
      </c>
      <c r="AE867" s="20" t="str">
        <f aca="false">IF(F867="","",IF(COUNTIFS(ABSORCION!$C$5:$C$1004,F867,ABSORCION!$I$5:$I$1004,"&gt;0")=0,"",AVERAGEIFS(ABSORCION!$K$5:$K$1004,ABSORCION!$C$5:$C$1004,F867,ABSORCION!$I$5:$I$1004,"&gt;0")))</f>
        <v/>
      </c>
      <c r="AF867" s="20" t="str">
        <f aca="false">IF(AE867="","",IF(AE867&gt;=CONFIG!$E$21,CONFIG!$F$21,IF(AE867&gt;=CONFIG!$E$20,CONFIG!$F$20,CONFIG!$F$19)))</f>
        <v/>
      </c>
      <c r="AG867" s="21" t="str">
        <f aca="false">IF(F867="","",TRIM(IF(N(M867)=0,"Sin ensayos. ","")&amp;IF(AND(N(M867)&gt;0,N(M867)&lt;CONFIG!$B$26),"Menos de "&amp;CONFIG!$B$26&amp;" probetas. ","")&amp;IF(N(T867)&gt;CONFIG!$B$25,"CV alto. ","")&amp;IF(AND(N(AD867)&gt;0,N(AD867)&gt;N(AF867)),"Absorción alta. ","")))</f>
        <v/>
      </c>
      <c r="AH867" s="22" t="str">
        <f aca="false">IF(AND(N(M867)&gt;0,OR(CONTROL!$C$4="TODAS",C867=CONTROL!$C$4),D867=CONTROL!$C$5),MAX($AH$4:AH866)+1,"")</f>
        <v/>
      </c>
      <c r="AI867" s="22" t="str">
        <f aca="false">IF(AH867="","",P867^2)</f>
        <v/>
      </c>
    </row>
    <row r="868" customFormat="false" ht="15" hidden="false" customHeight="false" outlineLevel="0" collapsed="false">
      <c r="A868" s="11" t="str">
        <f aca="false">IF(B868="","",ROW()-4)</f>
        <v/>
      </c>
      <c r="B868" s="12"/>
      <c r="C868" s="13"/>
      <c r="D868" s="13"/>
      <c r="E868" s="13"/>
      <c r="F868" s="14" t="str">
        <f aca="false">IF(OR(B868="",C868="",D868=""),"",IFERROR(INDEX(CONFIG!$E$5:$E$14,MATCH(D868,CONFIG!$D$5:$D$14,0)),"?")&amp;RIGHT("0"&amp;DAY(B868),2)&amp;RIGHT("0"&amp;MONTH(B868),2)&amp;RIGHT(YEAR(B868),2)&amp;C868&amp;IF(E868="","","-"&amp;E868))</f>
        <v/>
      </c>
      <c r="G868" s="13"/>
      <c r="H868" s="13"/>
      <c r="I868" s="13"/>
      <c r="J868" s="13"/>
      <c r="K868" s="13"/>
      <c r="L868" s="13"/>
      <c r="M868" s="11" t="str">
        <f aca="false">IF(F868="","",COUNTIFS(ENSAYOS!$C$5:$C$3004,F868,ENSAYOS!$Q$5:$Q$3004,"&gt;0"))</f>
        <v/>
      </c>
      <c r="N868" s="15" t="str">
        <f aca="false">IF(N(M868)=0,"",_xlfn.MINIFS(ENSAYOS!$G$5:$G$3004,ENSAYOS!$C$5:$C$3004,F868,ENSAYOS!$Q$5:$Q$3004,"&gt;0"))</f>
        <v/>
      </c>
      <c r="O868" s="15" t="str">
        <f aca="false">IF(N(M868)=0,"",_xlfn.MAXIFS(ENSAYOS!$G$5:$G$3004,ENSAYOS!$C$5:$C$3004,F868,ENSAYOS!$Q$5:$Q$3004,"&gt;0"))</f>
        <v/>
      </c>
      <c r="P868" s="16" t="str">
        <f aca="false">IF(N(M868)=0,"",AVERAGEIFS(ENSAYOS!$Q$5:$Q$3004,ENSAYOS!$C$5:$C$3004,F868,ENSAYOS!$Q$5:$Q$3004,"&gt;0"))</f>
        <v/>
      </c>
      <c r="Q868" s="16" t="str">
        <f aca="false">IF(N(M868)=0,"",_xlfn.MINIFS(ENSAYOS!$Q$5:$Q$3004,ENSAYOS!$C$5:$C$3004,F868,ENSAYOS!$Q$5:$Q$3004,"&gt;0"))</f>
        <v/>
      </c>
      <c r="R868" s="16" t="str">
        <f aca="false">IF(N(M868)=0,"",_xlfn.MAXIFS(ENSAYOS!$Q$5:$Q$3004,ENSAYOS!$C$5:$C$3004,F868,ENSAYOS!$Q$5:$Q$3004,"&gt;0"))</f>
        <v/>
      </c>
      <c r="S868" s="16" t="str">
        <f aca="false">IF(N(M868)&lt;2,"",SQRT(MAX(0,(SUMIFS(ENSAYOS!$X$5:$X$3004,ENSAYOS!$C$5:$C$3004,F868,ENSAYOS!$Q$5:$Q$3004,"&gt;0")-M868*P868^2)/(M868-1))))</f>
        <v/>
      </c>
      <c r="T868" s="17" t="str">
        <f aca="false">IF(S868="","",S868/P868)</f>
        <v/>
      </c>
      <c r="U868" s="16" t="str">
        <f aca="false">IF(N(M868)=0,"",IF(N868&gt;=CONFIG!$B$27,"",AVERAGEIFS(ENSAYOS!$Q$5:$Q$3004,ENSAYOS!$C$5:$C$3004,F868,ENSAYOS!$Q$5:$Q$3004,"&gt;0",ENSAYOS!$G$5:$G$3004,N868)))</f>
        <v/>
      </c>
      <c r="V868" s="16" t="str">
        <f aca="false">IF(N(M868)=0,"",IF(COUNTIFS(ENSAYOS!$C$5:$C$3004,F868,ENSAYOS!$Q$5:$Q$3004,"&gt;0",ENSAYOS!$G$5:$G$3004,"&gt;="&amp;CONFIG!$B$27)=0,"",AVERAGEIFS(ENSAYOS!$Q$5:$Q$3004,ENSAYOS!$C$5:$C$3004,F868,ENSAYOS!$Q$5:$Q$3004,"&gt;0",ENSAYOS!$G$5:$G$3004,"&gt;="&amp;CONFIG!$B$27)))</f>
        <v/>
      </c>
      <c r="W868" s="18" t="str">
        <f aca="false">IF(AND(U868&lt;&gt;"",V868&lt;&gt;""),U868/V868,"")</f>
        <v/>
      </c>
      <c r="X868" s="18" t="str">
        <f aca="false">IF(U868="","",INDEX('CURVA EDAD'!$E$5:$E$32,MIN(28,MAX(1,N868))))</f>
        <v/>
      </c>
      <c r="Y868" s="16" t="str">
        <f aca="false">IF(V868&lt;&gt;"",V868,IF(U868="","",U868/X868))</f>
        <v/>
      </c>
      <c r="Z868" s="16" t="str">
        <f aca="false">IF(V868&lt;&gt;"",_xlfn.MINIFS(ENSAYOS!$Q$5:$Q$3004,ENSAYOS!$C$5:$C$3004,F868,ENSAYOS!$Q$5:$Q$3004,"&gt;0",ENSAYOS!$G$5:$G$3004,"&gt;="&amp;CONFIG!$B$27),IF(U868="","",_xlfn.MINIFS(ENSAYOS!$Q$5:$Q$3004,ENSAYOS!$C$5:$C$3004,F868,ENSAYOS!$Q$5:$Q$3004,"&gt;0",ENSAYOS!$G$5:$G$3004,N868)/X868))</f>
        <v/>
      </c>
      <c r="AA868" s="16" t="str">
        <f aca="false">IF(D868="","",IFERROR(1/(1/INDEX(CONFIG!$J$5:$J$14,MATCH(D868,CONFIG!$D$5:$D$14,0))),""))</f>
        <v/>
      </c>
      <c r="AB868" s="16" t="str">
        <f aca="false">IF(D868="","",IFERROR(1/(1/INDEX(CONFIG!$K$5:$K$14,MATCH(D868,CONFIG!$D$5:$D$14,0))),""))</f>
        <v/>
      </c>
      <c r="AC868" s="19" t="str">
        <f aca="false">IF(N(M868)=0,"",IF(AA868="","Sin spec",IF(AND(Y868&gt;=AA868,OR(AB868="",Z868&gt;=AB868)),"CUMPLE","NO CUMPLE")&amp;IF(V868=""," (est.)","")))</f>
        <v/>
      </c>
      <c r="AD868" s="20" t="str">
        <f aca="false">IF(F868="","",IF(COUNTIFS(ABSORCION!$C$5:$C$1004,F868,ABSORCION!$I$5:$I$1004,"&gt;0")=0,"",AVERAGEIFS(ABSORCION!$I$5:$I$1004,ABSORCION!$C$5:$C$1004,F868,ABSORCION!$I$5:$I$1004,"&gt;0")))</f>
        <v/>
      </c>
      <c r="AE868" s="20" t="str">
        <f aca="false">IF(F868="","",IF(COUNTIFS(ABSORCION!$C$5:$C$1004,F868,ABSORCION!$I$5:$I$1004,"&gt;0")=0,"",AVERAGEIFS(ABSORCION!$K$5:$K$1004,ABSORCION!$C$5:$C$1004,F868,ABSORCION!$I$5:$I$1004,"&gt;0")))</f>
        <v/>
      </c>
      <c r="AF868" s="20" t="str">
        <f aca="false">IF(AE868="","",IF(AE868&gt;=CONFIG!$E$21,CONFIG!$F$21,IF(AE868&gt;=CONFIG!$E$20,CONFIG!$F$20,CONFIG!$F$19)))</f>
        <v/>
      </c>
      <c r="AG868" s="21" t="str">
        <f aca="false">IF(F868="","",TRIM(IF(N(M868)=0,"Sin ensayos. ","")&amp;IF(AND(N(M868)&gt;0,N(M868)&lt;CONFIG!$B$26),"Menos de "&amp;CONFIG!$B$26&amp;" probetas. ","")&amp;IF(N(T868)&gt;CONFIG!$B$25,"CV alto. ","")&amp;IF(AND(N(AD868)&gt;0,N(AD868)&gt;N(AF868)),"Absorción alta. ","")))</f>
        <v/>
      </c>
      <c r="AH868" s="22" t="str">
        <f aca="false">IF(AND(N(M868)&gt;0,OR(CONTROL!$C$4="TODAS",C868=CONTROL!$C$4),D868=CONTROL!$C$5),MAX($AH$4:AH867)+1,"")</f>
        <v/>
      </c>
      <c r="AI868" s="22" t="str">
        <f aca="false">IF(AH868="","",P868^2)</f>
        <v/>
      </c>
    </row>
    <row r="869" customFormat="false" ht="15" hidden="false" customHeight="false" outlineLevel="0" collapsed="false">
      <c r="A869" s="11" t="str">
        <f aca="false">IF(B869="","",ROW()-4)</f>
        <v/>
      </c>
      <c r="B869" s="12"/>
      <c r="C869" s="13"/>
      <c r="D869" s="13"/>
      <c r="E869" s="13"/>
      <c r="F869" s="14" t="str">
        <f aca="false">IF(OR(B869="",C869="",D869=""),"",IFERROR(INDEX(CONFIG!$E$5:$E$14,MATCH(D869,CONFIG!$D$5:$D$14,0)),"?")&amp;RIGHT("0"&amp;DAY(B869),2)&amp;RIGHT("0"&amp;MONTH(B869),2)&amp;RIGHT(YEAR(B869),2)&amp;C869&amp;IF(E869="","","-"&amp;E869))</f>
        <v/>
      </c>
      <c r="G869" s="13"/>
      <c r="H869" s="13"/>
      <c r="I869" s="13"/>
      <c r="J869" s="13"/>
      <c r="K869" s="13"/>
      <c r="L869" s="13"/>
      <c r="M869" s="11" t="str">
        <f aca="false">IF(F869="","",COUNTIFS(ENSAYOS!$C$5:$C$3004,F869,ENSAYOS!$Q$5:$Q$3004,"&gt;0"))</f>
        <v/>
      </c>
      <c r="N869" s="15" t="str">
        <f aca="false">IF(N(M869)=0,"",_xlfn.MINIFS(ENSAYOS!$G$5:$G$3004,ENSAYOS!$C$5:$C$3004,F869,ENSAYOS!$Q$5:$Q$3004,"&gt;0"))</f>
        <v/>
      </c>
      <c r="O869" s="15" t="str">
        <f aca="false">IF(N(M869)=0,"",_xlfn.MAXIFS(ENSAYOS!$G$5:$G$3004,ENSAYOS!$C$5:$C$3004,F869,ENSAYOS!$Q$5:$Q$3004,"&gt;0"))</f>
        <v/>
      </c>
      <c r="P869" s="16" t="str">
        <f aca="false">IF(N(M869)=0,"",AVERAGEIFS(ENSAYOS!$Q$5:$Q$3004,ENSAYOS!$C$5:$C$3004,F869,ENSAYOS!$Q$5:$Q$3004,"&gt;0"))</f>
        <v/>
      </c>
      <c r="Q869" s="16" t="str">
        <f aca="false">IF(N(M869)=0,"",_xlfn.MINIFS(ENSAYOS!$Q$5:$Q$3004,ENSAYOS!$C$5:$C$3004,F869,ENSAYOS!$Q$5:$Q$3004,"&gt;0"))</f>
        <v/>
      </c>
      <c r="R869" s="16" t="str">
        <f aca="false">IF(N(M869)=0,"",_xlfn.MAXIFS(ENSAYOS!$Q$5:$Q$3004,ENSAYOS!$C$5:$C$3004,F869,ENSAYOS!$Q$5:$Q$3004,"&gt;0"))</f>
        <v/>
      </c>
      <c r="S869" s="16" t="str">
        <f aca="false">IF(N(M869)&lt;2,"",SQRT(MAX(0,(SUMIFS(ENSAYOS!$X$5:$X$3004,ENSAYOS!$C$5:$C$3004,F869,ENSAYOS!$Q$5:$Q$3004,"&gt;0")-M869*P869^2)/(M869-1))))</f>
        <v/>
      </c>
      <c r="T869" s="17" t="str">
        <f aca="false">IF(S869="","",S869/P869)</f>
        <v/>
      </c>
      <c r="U869" s="16" t="str">
        <f aca="false">IF(N(M869)=0,"",IF(N869&gt;=CONFIG!$B$27,"",AVERAGEIFS(ENSAYOS!$Q$5:$Q$3004,ENSAYOS!$C$5:$C$3004,F869,ENSAYOS!$Q$5:$Q$3004,"&gt;0",ENSAYOS!$G$5:$G$3004,N869)))</f>
        <v/>
      </c>
      <c r="V869" s="16" t="str">
        <f aca="false">IF(N(M869)=0,"",IF(COUNTIFS(ENSAYOS!$C$5:$C$3004,F869,ENSAYOS!$Q$5:$Q$3004,"&gt;0",ENSAYOS!$G$5:$G$3004,"&gt;="&amp;CONFIG!$B$27)=0,"",AVERAGEIFS(ENSAYOS!$Q$5:$Q$3004,ENSAYOS!$C$5:$C$3004,F869,ENSAYOS!$Q$5:$Q$3004,"&gt;0",ENSAYOS!$G$5:$G$3004,"&gt;="&amp;CONFIG!$B$27)))</f>
        <v/>
      </c>
      <c r="W869" s="18" t="str">
        <f aca="false">IF(AND(U869&lt;&gt;"",V869&lt;&gt;""),U869/V869,"")</f>
        <v/>
      </c>
      <c r="X869" s="18" t="str">
        <f aca="false">IF(U869="","",INDEX('CURVA EDAD'!$E$5:$E$32,MIN(28,MAX(1,N869))))</f>
        <v/>
      </c>
      <c r="Y869" s="16" t="str">
        <f aca="false">IF(V869&lt;&gt;"",V869,IF(U869="","",U869/X869))</f>
        <v/>
      </c>
      <c r="Z869" s="16" t="str">
        <f aca="false">IF(V869&lt;&gt;"",_xlfn.MINIFS(ENSAYOS!$Q$5:$Q$3004,ENSAYOS!$C$5:$C$3004,F869,ENSAYOS!$Q$5:$Q$3004,"&gt;0",ENSAYOS!$G$5:$G$3004,"&gt;="&amp;CONFIG!$B$27),IF(U869="","",_xlfn.MINIFS(ENSAYOS!$Q$5:$Q$3004,ENSAYOS!$C$5:$C$3004,F869,ENSAYOS!$Q$5:$Q$3004,"&gt;0",ENSAYOS!$G$5:$G$3004,N869)/X869))</f>
        <v/>
      </c>
      <c r="AA869" s="16" t="str">
        <f aca="false">IF(D869="","",IFERROR(1/(1/INDEX(CONFIG!$J$5:$J$14,MATCH(D869,CONFIG!$D$5:$D$14,0))),""))</f>
        <v/>
      </c>
      <c r="AB869" s="16" t="str">
        <f aca="false">IF(D869="","",IFERROR(1/(1/INDEX(CONFIG!$K$5:$K$14,MATCH(D869,CONFIG!$D$5:$D$14,0))),""))</f>
        <v/>
      </c>
      <c r="AC869" s="19" t="str">
        <f aca="false">IF(N(M869)=0,"",IF(AA869="","Sin spec",IF(AND(Y869&gt;=AA869,OR(AB869="",Z869&gt;=AB869)),"CUMPLE","NO CUMPLE")&amp;IF(V869=""," (est.)","")))</f>
        <v/>
      </c>
      <c r="AD869" s="20" t="str">
        <f aca="false">IF(F869="","",IF(COUNTIFS(ABSORCION!$C$5:$C$1004,F869,ABSORCION!$I$5:$I$1004,"&gt;0")=0,"",AVERAGEIFS(ABSORCION!$I$5:$I$1004,ABSORCION!$C$5:$C$1004,F869,ABSORCION!$I$5:$I$1004,"&gt;0")))</f>
        <v/>
      </c>
      <c r="AE869" s="20" t="str">
        <f aca="false">IF(F869="","",IF(COUNTIFS(ABSORCION!$C$5:$C$1004,F869,ABSORCION!$I$5:$I$1004,"&gt;0")=0,"",AVERAGEIFS(ABSORCION!$K$5:$K$1004,ABSORCION!$C$5:$C$1004,F869,ABSORCION!$I$5:$I$1004,"&gt;0")))</f>
        <v/>
      </c>
      <c r="AF869" s="20" t="str">
        <f aca="false">IF(AE869="","",IF(AE869&gt;=CONFIG!$E$21,CONFIG!$F$21,IF(AE869&gt;=CONFIG!$E$20,CONFIG!$F$20,CONFIG!$F$19)))</f>
        <v/>
      </c>
      <c r="AG869" s="21" t="str">
        <f aca="false">IF(F869="","",TRIM(IF(N(M869)=0,"Sin ensayos. ","")&amp;IF(AND(N(M869)&gt;0,N(M869)&lt;CONFIG!$B$26),"Menos de "&amp;CONFIG!$B$26&amp;" probetas. ","")&amp;IF(N(T869)&gt;CONFIG!$B$25,"CV alto. ","")&amp;IF(AND(N(AD869)&gt;0,N(AD869)&gt;N(AF869)),"Absorción alta. ","")))</f>
        <v/>
      </c>
      <c r="AH869" s="22" t="str">
        <f aca="false">IF(AND(N(M869)&gt;0,OR(CONTROL!$C$4="TODAS",C869=CONTROL!$C$4),D869=CONTROL!$C$5),MAX($AH$4:AH868)+1,"")</f>
        <v/>
      </c>
      <c r="AI869" s="22" t="str">
        <f aca="false">IF(AH869="","",P869^2)</f>
        <v/>
      </c>
    </row>
    <row r="870" customFormat="false" ht="15" hidden="false" customHeight="false" outlineLevel="0" collapsed="false">
      <c r="A870" s="11" t="str">
        <f aca="false">IF(B870="","",ROW()-4)</f>
        <v/>
      </c>
      <c r="B870" s="12"/>
      <c r="C870" s="13"/>
      <c r="D870" s="13"/>
      <c r="E870" s="13"/>
      <c r="F870" s="14" t="str">
        <f aca="false">IF(OR(B870="",C870="",D870=""),"",IFERROR(INDEX(CONFIG!$E$5:$E$14,MATCH(D870,CONFIG!$D$5:$D$14,0)),"?")&amp;RIGHT("0"&amp;DAY(B870),2)&amp;RIGHT("0"&amp;MONTH(B870),2)&amp;RIGHT(YEAR(B870),2)&amp;C870&amp;IF(E870="","","-"&amp;E870))</f>
        <v/>
      </c>
      <c r="G870" s="13"/>
      <c r="H870" s="13"/>
      <c r="I870" s="13"/>
      <c r="J870" s="13"/>
      <c r="K870" s="13"/>
      <c r="L870" s="13"/>
      <c r="M870" s="11" t="str">
        <f aca="false">IF(F870="","",COUNTIFS(ENSAYOS!$C$5:$C$3004,F870,ENSAYOS!$Q$5:$Q$3004,"&gt;0"))</f>
        <v/>
      </c>
      <c r="N870" s="15" t="str">
        <f aca="false">IF(N(M870)=0,"",_xlfn.MINIFS(ENSAYOS!$G$5:$G$3004,ENSAYOS!$C$5:$C$3004,F870,ENSAYOS!$Q$5:$Q$3004,"&gt;0"))</f>
        <v/>
      </c>
      <c r="O870" s="15" t="str">
        <f aca="false">IF(N(M870)=0,"",_xlfn.MAXIFS(ENSAYOS!$G$5:$G$3004,ENSAYOS!$C$5:$C$3004,F870,ENSAYOS!$Q$5:$Q$3004,"&gt;0"))</f>
        <v/>
      </c>
      <c r="P870" s="16" t="str">
        <f aca="false">IF(N(M870)=0,"",AVERAGEIFS(ENSAYOS!$Q$5:$Q$3004,ENSAYOS!$C$5:$C$3004,F870,ENSAYOS!$Q$5:$Q$3004,"&gt;0"))</f>
        <v/>
      </c>
      <c r="Q870" s="16" t="str">
        <f aca="false">IF(N(M870)=0,"",_xlfn.MINIFS(ENSAYOS!$Q$5:$Q$3004,ENSAYOS!$C$5:$C$3004,F870,ENSAYOS!$Q$5:$Q$3004,"&gt;0"))</f>
        <v/>
      </c>
      <c r="R870" s="16" t="str">
        <f aca="false">IF(N(M870)=0,"",_xlfn.MAXIFS(ENSAYOS!$Q$5:$Q$3004,ENSAYOS!$C$5:$C$3004,F870,ENSAYOS!$Q$5:$Q$3004,"&gt;0"))</f>
        <v/>
      </c>
      <c r="S870" s="16" t="str">
        <f aca="false">IF(N(M870)&lt;2,"",SQRT(MAX(0,(SUMIFS(ENSAYOS!$X$5:$X$3004,ENSAYOS!$C$5:$C$3004,F870,ENSAYOS!$Q$5:$Q$3004,"&gt;0")-M870*P870^2)/(M870-1))))</f>
        <v/>
      </c>
      <c r="T870" s="17" t="str">
        <f aca="false">IF(S870="","",S870/P870)</f>
        <v/>
      </c>
      <c r="U870" s="16" t="str">
        <f aca="false">IF(N(M870)=0,"",IF(N870&gt;=CONFIG!$B$27,"",AVERAGEIFS(ENSAYOS!$Q$5:$Q$3004,ENSAYOS!$C$5:$C$3004,F870,ENSAYOS!$Q$5:$Q$3004,"&gt;0",ENSAYOS!$G$5:$G$3004,N870)))</f>
        <v/>
      </c>
      <c r="V870" s="16" t="str">
        <f aca="false">IF(N(M870)=0,"",IF(COUNTIFS(ENSAYOS!$C$5:$C$3004,F870,ENSAYOS!$Q$5:$Q$3004,"&gt;0",ENSAYOS!$G$5:$G$3004,"&gt;="&amp;CONFIG!$B$27)=0,"",AVERAGEIFS(ENSAYOS!$Q$5:$Q$3004,ENSAYOS!$C$5:$C$3004,F870,ENSAYOS!$Q$5:$Q$3004,"&gt;0",ENSAYOS!$G$5:$G$3004,"&gt;="&amp;CONFIG!$B$27)))</f>
        <v/>
      </c>
      <c r="W870" s="18" t="str">
        <f aca="false">IF(AND(U870&lt;&gt;"",V870&lt;&gt;""),U870/V870,"")</f>
        <v/>
      </c>
      <c r="X870" s="18" t="str">
        <f aca="false">IF(U870="","",INDEX('CURVA EDAD'!$E$5:$E$32,MIN(28,MAX(1,N870))))</f>
        <v/>
      </c>
      <c r="Y870" s="16" t="str">
        <f aca="false">IF(V870&lt;&gt;"",V870,IF(U870="","",U870/X870))</f>
        <v/>
      </c>
      <c r="Z870" s="16" t="str">
        <f aca="false">IF(V870&lt;&gt;"",_xlfn.MINIFS(ENSAYOS!$Q$5:$Q$3004,ENSAYOS!$C$5:$C$3004,F870,ENSAYOS!$Q$5:$Q$3004,"&gt;0",ENSAYOS!$G$5:$G$3004,"&gt;="&amp;CONFIG!$B$27),IF(U870="","",_xlfn.MINIFS(ENSAYOS!$Q$5:$Q$3004,ENSAYOS!$C$5:$C$3004,F870,ENSAYOS!$Q$5:$Q$3004,"&gt;0",ENSAYOS!$G$5:$G$3004,N870)/X870))</f>
        <v/>
      </c>
      <c r="AA870" s="16" t="str">
        <f aca="false">IF(D870="","",IFERROR(1/(1/INDEX(CONFIG!$J$5:$J$14,MATCH(D870,CONFIG!$D$5:$D$14,0))),""))</f>
        <v/>
      </c>
      <c r="AB870" s="16" t="str">
        <f aca="false">IF(D870="","",IFERROR(1/(1/INDEX(CONFIG!$K$5:$K$14,MATCH(D870,CONFIG!$D$5:$D$14,0))),""))</f>
        <v/>
      </c>
      <c r="AC870" s="19" t="str">
        <f aca="false">IF(N(M870)=0,"",IF(AA870="","Sin spec",IF(AND(Y870&gt;=AA870,OR(AB870="",Z870&gt;=AB870)),"CUMPLE","NO CUMPLE")&amp;IF(V870=""," (est.)","")))</f>
        <v/>
      </c>
      <c r="AD870" s="20" t="str">
        <f aca="false">IF(F870="","",IF(COUNTIFS(ABSORCION!$C$5:$C$1004,F870,ABSORCION!$I$5:$I$1004,"&gt;0")=0,"",AVERAGEIFS(ABSORCION!$I$5:$I$1004,ABSORCION!$C$5:$C$1004,F870,ABSORCION!$I$5:$I$1004,"&gt;0")))</f>
        <v/>
      </c>
      <c r="AE870" s="20" t="str">
        <f aca="false">IF(F870="","",IF(COUNTIFS(ABSORCION!$C$5:$C$1004,F870,ABSORCION!$I$5:$I$1004,"&gt;0")=0,"",AVERAGEIFS(ABSORCION!$K$5:$K$1004,ABSORCION!$C$5:$C$1004,F870,ABSORCION!$I$5:$I$1004,"&gt;0")))</f>
        <v/>
      </c>
      <c r="AF870" s="20" t="str">
        <f aca="false">IF(AE870="","",IF(AE870&gt;=CONFIG!$E$21,CONFIG!$F$21,IF(AE870&gt;=CONFIG!$E$20,CONFIG!$F$20,CONFIG!$F$19)))</f>
        <v/>
      </c>
      <c r="AG870" s="21" t="str">
        <f aca="false">IF(F870="","",TRIM(IF(N(M870)=0,"Sin ensayos. ","")&amp;IF(AND(N(M870)&gt;0,N(M870)&lt;CONFIG!$B$26),"Menos de "&amp;CONFIG!$B$26&amp;" probetas. ","")&amp;IF(N(T870)&gt;CONFIG!$B$25,"CV alto. ","")&amp;IF(AND(N(AD870)&gt;0,N(AD870)&gt;N(AF870)),"Absorción alta. ","")))</f>
        <v/>
      </c>
      <c r="AH870" s="22" t="str">
        <f aca="false">IF(AND(N(M870)&gt;0,OR(CONTROL!$C$4="TODAS",C870=CONTROL!$C$4),D870=CONTROL!$C$5),MAX($AH$4:AH869)+1,"")</f>
        <v/>
      </c>
      <c r="AI870" s="22" t="str">
        <f aca="false">IF(AH870="","",P870^2)</f>
        <v/>
      </c>
    </row>
    <row r="871" customFormat="false" ht="15" hidden="false" customHeight="false" outlineLevel="0" collapsed="false">
      <c r="A871" s="11" t="str">
        <f aca="false">IF(B871="","",ROW()-4)</f>
        <v/>
      </c>
      <c r="B871" s="12"/>
      <c r="C871" s="13"/>
      <c r="D871" s="13"/>
      <c r="E871" s="13"/>
      <c r="F871" s="14" t="str">
        <f aca="false">IF(OR(B871="",C871="",D871=""),"",IFERROR(INDEX(CONFIG!$E$5:$E$14,MATCH(D871,CONFIG!$D$5:$D$14,0)),"?")&amp;RIGHT("0"&amp;DAY(B871),2)&amp;RIGHT("0"&amp;MONTH(B871),2)&amp;RIGHT(YEAR(B871),2)&amp;C871&amp;IF(E871="","","-"&amp;E871))</f>
        <v/>
      </c>
      <c r="G871" s="13"/>
      <c r="H871" s="13"/>
      <c r="I871" s="13"/>
      <c r="J871" s="13"/>
      <c r="K871" s="13"/>
      <c r="L871" s="13"/>
      <c r="M871" s="11" t="str">
        <f aca="false">IF(F871="","",COUNTIFS(ENSAYOS!$C$5:$C$3004,F871,ENSAYOS!$Q$5:$Q$3004,"&gt;0"))</f>
        <v/>
      </c>
      <c r="N871" s="15" t="str">
        <f aca="false">IF(N(M871)=0,"",_xlfn.MINIFS(ENSAYOS!$G$5:$G$3004,ENSAYOS!$C$5:$C$3004,F871,ENSAYOS!$Q$5:$Q$3004,"&gt;0"))</f>
        <v/>
      </c>
      <c r="O871" s="15" t="str">
        <f aca="false">IF(N(M871)=0,"",_xlfn.MAXIFS(ENSAYOS!$G$5:$G$3004,ENSAYOS!$C$5:$C$3004,F871,ENSAYOS!$Q$5:$Q$3004,"&gt;0"))</f>
        <v/>
      </c>
      <c r="P871" s="16" t="str">
        <f aca="false">IF(N(M871)=0,"",AVERAGEIFS(ENSAYOS!$Q$5:$Q$3004,ENSAYOS!$C$5:$C$3004,F871,ENSAYOS!$Q$5:$Q$3004,"&gt;0"))</f>
        <v/>
      </c>
      <c r="Q871" s="16" t="str">
        <f aca="false">IF(N(M871)=0,"",_xlfn.MINIFS(ENSAYOS!$Q$5:$Q$3004,ENSAYOS!$C$5:$C$3004,F871,ENSAYOS!$Q$5:$Q$3004,"&gt;0"))</f>
        <v/>
      </c>
      <c r="R871" s="16" t="str">
        <f aca="false">IF(N(M871)=0,"",_xlfn.MAXIFS(ENSAYOS!$Q$5:$Q$3004,ENSAYOS!$C$5:$C$3004,F871,ENSAYOS!$Q$5:$Q$3004,"&gt;0"))</f>
        <v/>
      </c>
      <c r="S871" s="16" t="str">
        <f aca="false">IF(N(M871)&lt;2,"",SQRT(MAX(0,(SUMIFS(ENSAYOS!$X$5:$X$3004,ENSAYOS!$C$5:$C$3004,F871,ENSAYOS!$Q$5:$Q$3004,"&gt;0")-M871*P871^2)/(M871-1))))</f>
        <v/>
      </c>
      <c r="T871" s="17" t="str">
        <f aca="false">IF(S871="","",S871/P871)</f>
        <v/>
      </c>
      <c r="U871" s="16" t="str">
        <f aca="false">IF(N(M871)=0,"",IF(N871&gt;=CONFIG!$B$27,"",AVERAGEIFS(ENSAYOS!$Q$5:$Q$3004,ENSAYOS!$C$5:$C$3004,F871,ENSAYOS!$Q$5:$Q$3004,"&gt;0",ENSAYOS!$G$5:$G$3004,N871)))</f>
        <v/>
      </c>
      <c r="V871" s="16" t="str">
        <f aca="false">IF(N(M871)=0,"",IF(COUNTIFS(ENSAYOS!$C$5:$C$3004,F871,ENSAYOS!$Q$5:$Q$3004,"&gt;0",ENSAYOS!$G$5:$G$3004,"&gt;="&amp;CONFIG!$B$27)=0,"",AVERAGEIFS(ENSAYOS!$Q$5:$Q$3004,ENSAYOS!$C$5:$C$3004,F871,ENSAYOS!$Q$5:$Q$3004,"&gt;0",ENSAYOS!$G$5:$G$3004,"&gt;="&amp;CONFIG!$B$27)))</f>
        <v/>
      </c>
      <c r="W871" s="18" t="str">
        <f aca="false">IF(AND(U871&lt;&gt;"",V871&lt;&gt;""),U871/V871,"")</f>
        <v/>
      </c>
      <c r="X871" s="18" t="str">
        <f aca="false">IF(U871="","",INDEX('CURVA EDAD'!$E$5:$E$32,MIN(28,MAX(1,N871))))</f>
        <v/>
      </c>
      <c r="Y871" s="16" t="str">
        <f aca="false">IF(V871&lt;&gt;"",V871,IF(U871="","",U871/X871))</f>
        <v/>
      </c>
      <c r="Z871" s="16" t="str">
        <f aca="false">IF(V871&lt;&gt;"",_xlfn.MINIFS(ENSAYOS!$Q$5:$Q$3004,ENSAYOS!$C$5:$C$3004,F871,ENSAYOS!$Q$5:$Q$3004,"&gt;0",ENSAYOS!$G$5:$G$3004,"&gt;="&amp;CONFIG!$B$27),IF(U871="","",_xlfn.MINIFS(ENSAYOS!$Q$5:$Q$3004,ENSAYOS!$C$5:$C$3004,F871,ENSAYOS!$Q$5:$Q$3004,"&gt;0",ENSAYOS!$G$5:$G$3004,N871)/X871))</f>
        <v/>
      </c>
      <c r="AA871" s="16" t="str">
        <f aca="false">IF(D871="","",IFERROR(1/(1/INDEX(CONFIG!$J$5:$J$14,MATCH(D871,CONFIG!$D$5:$D$14,0))),""))</f>
        <v/>
      </c>
      <c r="AB871" s="16" t="str">
        <f aca="false">IF(D871="","",IFERROR(1/(1/INDEX(CONFIG!$K$5:$K$14,MATCH(D871,CONFIG!$D$5:$D$14,0))),""))</f>
        <v/>
      </c>
      <c r="AC871" s="19" t="str">
        <f aca="false">IF(N(M871)=0,"",IF(AA871="","Sin spec",IF(AND(Y871&gt;=AA871,OR(AB871="",Z871&gt;=AB871)),"CUMPLE","NO CUMPLE")&amp;IF(V871=""," (est.)","")))</f>
        <v/>
      </c>
      <c r="AD871" s="20" t="str">
        <f aca="false">IF(F871="","",IF(COUNTIFS(ABSORCION!$C$5:$C$1004,F871,ABSORCION!$I$5:$I$1004,"&gt;0")=0,"",AVERAGEIFS(ABSORCION!$I$5:$I$1004,ABSORCION!$C$5:$C$1004,F871,ABSORCION!$I$5:$I$1004,"&gt;0")))</f>
        <v/>
      </c>
      <c r="AE871" s="20" t="str">
        <f aca="false">IF(F871="","",IF(COUNTIFS(ABSORCION!$C$5:$C$1004,F871,ABSORCION!$I$5:$I$1004,"&gt;0")=0,"",AVERAGEIFS(ABSORCION!$K$5:$K$1004,ABSORCION!$C$5:$C$1004,F871,ABSORCION!$I$5:$I$1004,"&gt;0")))</f>
        <v/>
      </c>
      <c r="AF871" s="20" t="str">
        <f aca="false">IF(AE871="","",IF(AE871&gt;=CONFIG!$E$21,CONFIG!$F$21,IF(AE871&gt;=CONFIG!$E$20,CONFIG!$F$20,CONFIG!$F$19)))</f>
        <v/>
      </c>
      <c r="AG871" s="21" t="str">
        <f aca="false">IF(F871="","",TRIM(IF(N(M871)=0,"Sin ensayos. ","")&amp;IF(AND(N(M871)&gt;0,N(M871)&lt;CONFIG!$B$26),"Menos de "&amp;CONFIG!$B$26&amp;" probetas. ","")&amp;IF(N(T871)&gt;CONFIG!$B$25,"CV alto. ","")&amp;IF(AND(N(AD871)&gt;0,N(AD871)&gt;N(AF871)),"Absorción alta. ","")))</f>
        <v/>
      </c>
      <c r="AH871" s="22" t="str">
        <f aca="false">IF(AND(N(M871)&gt;0,OR(CONTROL!$C$4="TODAS",C871=CONTROL!$C$4),D871=CONTROL!$C$5),MAX($AH$4:AH870)+1,"")</f>
        <v/>
      </c>
      <c r="AI871" s="22" t="str">
        <f aca="false">IF(AH871="","",P871^2)</f>
        <v/>
      </c>
    </row>
    <row r="872" customFormat="false" ht="15" hidden="false" customHeight="false" outlineLevel="0" collapsed="false">
      <c r="A872" s="11" t="str">
        <f aca="false">IF(B872="","",ROW()-4)</f>
        <v/>
      </c>
      <c r="B872" s="12"/>
      <c r="C872" s="13"/>
      <c r="D872" s="13"/>
      <c r="E872" s="13"/>
      <c r="F872" s="14" t="str">
        <f aca="false">IF(OR(B872="",C872="",D872=""),"",IFERROR(INDEX(CONFIG!$E$5:$E$14,MATCH(D872,CONFIG!$D$5:$D$14,0)),"?")&amp;RIGHT("0"&amp;DAY(B872),2)&amp;RIGHT("0"&amp;MONTH(B872),2)&amp;RIGHT(YEAR(B872),2)&amp;C872&amp;IF(E872="","","-"&amp;E872))</f>
        <v/>
      </c>
      <c r="G872" s="13"/>
      <c r="H872" s="13"/>
      <c r="I872" s="13"/>
      <c r="J872" s="13"/>
      <c r="K872" s="13"/>
      <c r="L872" s="13"/>
      <c r="M872" s="11" t="str">
        <f aca="false">IF(F872="","",COUNTIFS(ENSAYOS!$C$5:$C$3004,F872,ENSAYOS!$Q$5:$Q$3004,"&gt;0"))</f>
        <v/>
      </c>
      <c r="N872" s="15" t="str">
        <f aca="false">IF(N(M872)=0,"",_xlfn.MINIFS(ENSAYOS!$G$5:$G$3004,ENSAYOS!$C$5:$C$3004,F872,ENSAYOS!$Q$5:$Q$3004,"&gt;0"))</f>
        <v/>
      </c>
      <c r="O872" s="15" t="str">
        <f aca="false">IF(N(M872)=0,"",_xlfn.MAXIFS(ENSAYOS!$G$5:$G$3004,ENSAYOS!$C$5:$C$3004,F872,ENSAYOS!$Q$5:$Q$3004,"&gt;0"))</f>
        <v/>
      </c>
      <c r="P872" s="16" t="str">
        <f aca="false">IF(N(M872)=0,"",AVERAGEIFS(ENSAYOS!$Q$5:$Q$3004,ENSAYOS!$C$5:$C$3004,F872,ENSAYOS!$Q$5:$Q$3004,"&gt;0"))</f>
        <v/>
      </c>
      <c r="Q872" s="16" t="str">
        <f aca="false">IF(N(M872)=0,"",_xlfn.MINIFS(ENSAYOS!$Q$5:$Q$3004,ENSAYOS!$C$5:$C$3004,F872,ENSAYOS!$Q$5:$Q$3004,"&gt;0"))</f>
        <v/>
      </c>
      <c r="R872" s="16" t="str">
        <f aca="false">IF(N(M872)=0,"",_xlfn.MAXIFS(ENSAYOS!$Q$5:$Q$3004,ENSAYOS!$C$5:$C$3004,F872,ENSAYOS!$Q$5:$Q$3004,"&gt;0"))</f>
        <v/>
      </c>
      <c r="S872" s="16" t="str">
        <f aca="false">IF(N(M872)&lt;2,"",SQRT(MAX(0,(SUMIFS(ENSAYOS!$X$5:$X$3004,ENSAYOS!$C$5:$C$3004,F872,ENSAYOS!$Q$5:$Q$3004,"&gt;0")-M872*P872^2)/(M872-1))))</f>
        <v/>
      </c>
      <c r="T872" s="17" t="str">
        <f aca="false">IF(S872="","",S872/P872)</f>
        <v/>
      </c>
      <c r="U872" s="16" t="str">
        <f aca="false">IF(N(M872)=0,"",IF(N872&gt;=CONFIG!$B$27,"",AVERAGEIFS(ENSAYOS!$Q$5:$Q$3004,ENSAYOS!$C$5:$C$3004,F872,ENSAYOS!$Q$5:$Q$3004,"&gt;0",ENSAYOS!$G$5:$G$3004,N872)))</f>
        <v/>
      </c>
      <c r="V872" s="16" t="str">
        <f aca="false">IF(N(M872)=0,"",IF(COUNTIFS(ENSAYOS!$C$5:$C$3004,F872,ENSAYOS!$Q$5:$Q$3004,"&gt;0",ENSAYOS!$G$5:$G$3004,"&gt;="&amp;CONFIG!$B$27)=0,"",AVERAGEIFS(ENSAYOS!$Q$5:$Q$3004,ENSAYOS!$C$5:$C$3004,F872,ENSAYOS!$Q$5:$Q$3004,"&gt;0",ENSAYOS!$G$5:$G$3004,"&gt;="&amp;CONFIG!$B$27)))</f>
        <v/>
      </c>
      <c r="W872" s="18" t="str">
        <f aca="false">IF(AND(U872&lt;&gt;"",V872&lt;&gt;""),U872/V872,"")</f>
        <v/>
      </c>
      <c r="X872" s="18" t="str">
        <f aca="false">IF(U872="","",INDEX('CURVA EDAD'!$E$5:$E$32,MIN(28,MAX(1,N872))))</f>
        <v/>
      </c>
      <c r="Y872" s="16" t="str">
        <f aca="false">IF(V872&lt;&gt;"",V872,IF(U872="","",U872/X872))</f>
        <v/>
      </c>
      <c r="Z872" s="16" t="str">
        <f aca="false">IF(V872&lt;&gt;"",_xlfn.MINIFS(ENSAYOS!$Q$5:$Q$3004,ENSAYOS!$C$5:$C$3004,F872,ENSAYOS!$Q$5:$Q$3004,"&gt;0",ENSAYOS!$G$5:$G$3004,"&gt;="&amp;CONFIG!$B$27),IF(U872="","",_xlfn.MINIFS(ENSAYOS!$Q$5:$Q$3004,ENSAYOS!$C$5:$C$3004,F872,ENSAYOS!$Q$5:$Q$3004,"&gt;0",ENSAYOS!$G$5:$G$3004,N872)/X872))</f>
        <v/>
      </c>
      <c r="AA872" s="16" t="str">
        <f aca="false">IF(D872="","",IFERROR(1/(1/INDEX(CONFIG!$J$5:$J$14,MATCH(D872,CONFIG!$D$5:$D$14,0))),""))</f>
        <v/>
      </c>
      <c r="AB872" s="16" t="str">
        <f aca="false">IF(D872="","",IFERROR(1/(1/INDEX(CONFIG!$K$5:$K$14,MATCH(D872,CONFIG!$D$5:$D$14,0))),""))</f>
        <v/>
      </c>
      <c r="AC872" s="19" t="str">
        <f aca="false">IF(N(M872)=0,"",IF(AA872="","Sin spec",IF(AND(Y872&gt;=AA872,OR(AB872="",Z872&gt;=AB872)),"CUMPLE","NO CUMPLE")&amp;IF(V872=""," (est.)","")))</f>
        <v/>
      </c>
      <c r="AD872" s="20" t="str">
        <f aca="false">IF(F872="","",IF(COUNTIFS(ABSORCION!$C$5:$C$1004,F872,ABSORCION!$I$5:$I$1004,"&gt;0")=0,"",AVERAGEIFS(ABSORCION!$I$5:$I$1004,ABSORCION!$C$5:$C$1004,F872,ABSORCION!$I$5:$I$1004,"&gt;0")))</f>
        <v/>
      </c>
      <c r="AE872" s="20" t="str">
        <f aca="false">IF(F872="","",IF(COUNTIFS(ABSORCION!$C$5:$C$1004,F872,ABSORCION!$I$5:$I$1004,"&gt;0")=0,"",AVERAGEIFS(ABSORCION!$K$5:$K$1004,ABSORCION!$C$5:$C$1004,F872,ABSORCION!$I$5:$I$1004,"&gt;0")))</f>
        <v/>
      </c>
      <c r="AF872" s="20" t="str">
        <f aca="false">IF(AE872="","",IF(AE872&gt;=CONFIG!$E$21,CONFIG!$F$21,IF(AE872&gt;=CONFIG!$E$20,CONFIG!$F$20,CONFIG!$F$19)))</f>
        <v/>
      </c>
      <c r="AG872" s="21" t="str">
        <f aca="false">IF(F872="","",TRIM(IF(N(M872)=0,"Sin ensayos. ","")&amp;IF(AND(N(M872)&gt;0,N(M872)&lt;CONFIG!$B$26),"Menos de "&amp;CONFIG!$B$26&amp;" probetas. ","")&amp;IF(N(T872)&gt;CONFIG!$B$25,"CV alto. ","")&amp;IF(AND(N(AD872)&gt;0,N(AD872)&gt;N(AF872)),"Absorción alta. ","")))</f>
        <v/>
      </c>
      <c r="AH872" s="22" t="str">
        <f aca="false">IF(AND(N(M872)&gt;0,OR(CONTROL!$C$4="TODAS",C872=CONTROL!$C$4),D872=CONTROL!$C$5),MAX($AH$4:AH871)+1,"")</f>
        <v/>
      </c>
      <c r="AI872" s="22" t="str">
        <f aca="false">IF(AH872="","",P872^2)</f>
        <v/>
      </c>
    </row>
    <row r="873" customFormat="false" ht="15" hidden="false" customHeight="false" outlineLevel="0" collapsed="false">
      <c r="A873" s="11" t="str">
        <f aca="false">IF(B873="","",ROW()-4)</f>
        <v/>
      </c>
      <c r="B873" s="12"/>
      <c r="C873" s="13"/>
      <c r="D873" s="13"/>
      <c r="E873" s="13"/>
      <c r="F873" s="14" t="str">
        <f aca="false">IF(OR(B873="",C873="",D873=""),"",IFERROR(INDEX(CONFIG!$E$5:$E$14,MATCH(D873,CONFIG!$D$5:$D$14,0)),"?")&amp;RIGHT("0"&amp;DAY(B873),2)&amp;RIGHT("0"&amp;MONTH(B873),2)&amp;RIGHT(YEAR(B873),2)&amp;C873&amp;IF(E873="","","-"&amp;E873))</f>
        <v/>
      </c>
      <c r="G873" s="13"/>
      <c r="H873" s="13"/>
      <c r="I873" s="13"/>
      <c r="J873" s="13"/>
      <c r="K873" s="13"/>
      <c r="L873" s="13"/>
      <c r="M873" s="11" t="str">
        <f aca="false">IF(F873="","",COUNTIFS(ENSAYOS!$C$5:$C$3004,F873,ENSAYOS!$Q$5:$Q$3004,"&gt;0"))</f>
        <v/>
      </c>
      <c r="N873" s="15" t="str">
        <f aca="false">IF(N(M873)=0,"",_xlfn.MINIFS(ENSAYOS!$G$5:$G$3004,ENSAYOS!$C$5:$C$3004,F873,ENSAYOS!$Q$5:$Q$3004,"&gt;0"))</f>
        <v/>
      </c>
      <c r="O873" s="15" t="str">
        <f aca="false">IF(N(M873)=0,"",_xlfn.MAXIFS(ENSAYOS!$G$5:$G$3004,ENSAYOS!$C$5:$C$3004,F873,ENSAYOS!$Q$5:$Q$3004,"&gt;0"))</f>
        <v/>
      </c>
      <c r="P873" s="16" t="str">
        <f aca="false">IF(N(M873)=0,"",AVERAGEIFS(ENSAYOS!$Q$5:$Q$3004,ENSAYOS!$C$5:$C$3004,F873,ENSAYOS!$Q$5:$Q$3004,"&gt;0"))</f>
        <v/>
      </c>
      <c r="Q873" s="16" t="str">
        <f aca="false">IF(N(M873)=0,"",_xlfn.MINIFS(ENSAYOS!$Q$5:$Q$3004,ENSAYOS!$C$5:$C$3004,F873,ENSAYOS!$Q$5:$Q$3004,"&gt;0"))</f>
        <v/>
      </c>
      <c r="R873" s="16" t="str">
        <f aca="false">IF(N(M873)=0,"",_xlfn.MAXIFS(ENSAYOS!$Q$5:$Q$3004,ENSAYOS!$C$5:$C$3004,F873,ENSAYOS!$Q$5:$Q$3004,"&gt;0"))</f>
        <v/>
      </c>
      <c r="S873" s="16" t="str">
        <f aca="false">IF(N(M873)&lt;2,"",SQRT(MAX(0,(SUMIFS(ENSAYOS!$X$5:$X$3004,ENSAYOS!$C$5:$C$3004,F873,ENSAYOS!$Q$5:$Q$3004,"&gt;0")-M873*P873^2)/(M873-1))))</f>
        <v/>
      </c>
      <c r="T873" s="17" t="str">
        <f aca="false">IF(S873="","",S873/P873)</f>
        <v/>
      </c>
      <c r="U873" s="16" t="str">
        <f aca="false">IF(N(M873)=0,"",IF(N873&gt;=CONFIG!$B$27,"",AVERAGEIFS(ENSAYOS!$Q$5:$Q$3004,ENSAYOS!$C$5:$C$3004,F873,ENSAYOS!$Q$5:$Q$3004,"&gt;0",ENSAYOS!$G$5:$G$3004,N873)))</f>
        <v/>
      </c>
      <c r="V873" s="16" t="str">
        <f aca="false">IF(N(M873)=0,"",IF(COUNTIFS(ENSAYOS!$C$5:$C$3004,F873,ENSAYOS!$Q$5:$Q$3004,"&gt;0",ENSAYOS!$G$5:$G$3004,"&gt;="&amp;CONFIG!$B$27)=0,"",AVERAGEIFS(ENSAYOS!$Q$5:$Q$3004,ENSAYOS!$C$5:$C$3004,F873,ENSAYOS!$Q$5:$Q$3004,"&gt;0",ENSAYOS!$G$5:$G$3004,"&gt;="&amp;CONFIG!$B$27)))</f>
        <v/>
      </c>
      <c r="W873" s="18" t="str">
        <f aca="false">IF(AND(U873&lt;&gt;"",V873&lt;&gt;""),U873/V873,"")</f>
        <v/>
      </c>
      <c r="X873" s="18" t="str">
        <f aca="false">IF(U873="","",INDEX('CURVA EDAD'!$E$5:$E$32,MIN(28,MAX(1,N873))))</f>
        <v/>
      </c>
      <c r="Y873" s="16" t="str">
        <f aca="false">IF(V873&lt;&gt;"",V873,IF(U873="","",U873/X873))</f>
        <v/>
      </c>
      <c r="Z873" s="16" t="str">
        <f aca="false">IF(V873&lt;&gt;"",_xlfn.MINIFS(ENSAYOS!$Q$5:$Q$3004,ENSAYOS!$C$5:$C$3004,F873,ENSAYOS!$Q$5:$Q$3004,"&gt;0",ENSAYOS!$G$5:$G$3004,"&gt;="&amp;CONFIG!$B$27),IF(U873="","",_xlfn.MINIFS(ENSAYOS!$Q$5:$Q$3004,ENSAYOS!$C$5:$C$3004,F873,ENSAYOS!$Q$5:$Q$3004,"&gt;0",ENSAYOS!$G$5:$G$3004,N873)/X873))</f>
        <v/>
      </c>
      <c r="AA873" s="16" t="str">
        <f aca="false">IF(D873="","",IFERROR(1/(1/INDEX(CONFIG!$J$5:$J$14,MATCH(D873,CONFIG!$D$5:$D$14,0))),""))</f>
        <v/>
      </c>
      <c r="AB873" s="16" t="str">
        <f aca="false">IF(D873="","",IFERROR(1/(1/INDEX(CONFIG!$K$5:$K$14,MATCH(D873,CONFIG!$D$5:$D$14,0))),""))</f>
        <v/>
      </c>
      <c r="AC873" s="19" t="str">
        <f aca="false">IF(N(M873)=0,"",IF(AA873="","Sin spec",IF(AND(Y873&gt;=AA873,OR(AB873="",Z873&gt;=AB873)),"CUMPLE","NO CUMPLE")&amp;IF(V873=""," (est.)","")))</f>
        <v/>
      </c>
      <c r="AD873" s="20" t="str">
        <f aca="false">IF(F873="","",IF(COUNTIFS(ABSORCION!$C$5:$C$1004,F873,ABSORCION!$I$5:$I$1004,"&gt;0")=0,"",AVERAGEIFS(ABSORCION!$I$5:$I$1004,ABSORCION!$C$5:$C$1004,F873,ABSORCION!$I$5:$I$1004,"&gt;0")))</f>
        <v/>
      </c>
      <c r="AE873" s="20" t="str">
        <f aca="false">IF(F873="","",IF(COUNTIFS(ABSORCION!$C$5:$C$1004,F873,ABSORCION!$I$5:$I$1004,"&gt;0")=0,"",AVERAGEIFS(ABSORCION!$K$5:$K$1004,ABSORCION!$C$5:$C$1004,F873,ABSORCION!$I$5:$I$1004,"&gt;0")))</f>
        <v/>
      </c>
      <c r="AF873" s="20" t="str">
        <f aca="false">IF(AE873="","",IF(AE873&gt;=CONFIG!$E$21,CONFIG!$F$21,IF(AE873&gt;=CONFIG!$E$20,CONFIG!$F$20,CONFIG!$F$19)))</f>
        <v/>
      </c>
      <c r="AG873" s="21" t="str">
        <f aca="false">IF(F873="","",TRIM(IF(N(M873)=0,"Sin ensayos. ","")&amp;IF(AND(N(M873)&gt;0,N(M873)&lt;CONFIG!$B$26),"Menos de "&amp;CONFIG!$B$26&amp;" probetas. ","")&amp;IF(N(T873)&gt;CONFIG!$B$25,"CV alto. ","")&amp;IF(AND(N(AD873)&gt;0,N(AD873)&gt;N(AF873)),"Absorción alta. ","")))</f>
        <v/>
      </c>
      <c r="AH873" s="22" t="str">
        <f aca="false">IF(AND(N(M873)&gt;0,OR(CONTROL!$C$4="TODAS",C873=CONTROL!$C$4),D873=CONTROL!$C$5),MAX($AH$4:AH872)+1,"")</f>
        <v/>
      </c>
      <c r="AI873" s="22" t="str">
        <f aca="false">IF(AH873="","",P873^2)</f>
        <v/>
      </c>
    </row>
    <row r="874" customFormat="false" ht="15" hidden="false" customHeight="false" outlineLevel="0" collapsed="false">
      <c r="A874" s="11" t="str">
        <f aca="false">IF(B874="","",ROW()-4)</f>
        <v/>
      </c>
      <c r="B874" s="12"/>
      <c r="C874" s="13"/>
      <c r="D874" s="13"/>
      <c r="E874" s="13"/>
      <c r="F874" s="14" t="str">
        <f aca="false">IF(OR(B874="",C874="",D874=""),"",IFERROR(INDEX(CONFIG!$E$5:$E$14,MATCH(D874,CONFIG!$D$5:$D$14,0)),"?")&amp;RIGHT("0"&amp;DAY(B874),2)&amp;RIGHT("0"&amp;MONTH(B874),2)&amp;RIGHT(YEAR(B874),2)&amp;C874&amp;IF(E874="","","-"&amp;E874))</f>
        <v/>
      </c>
      <c r="G874" s="13"/>
      <c r="H874" s="13"/>
      <c r="I874" s="13"/>
      <c r="J874" s="13"/>
      <c r="K874" s="13"/>
      <c r="L874" s="13"/>
      <c r="M874" s="11" t="str">
        <f aca="false">IF(F874="","",COUNTIFS(ENSAYOS!$C$5:$C$3004,F874,ENSAYOS!$Q$5:$Q$3004,"&gt;0"))</f>
        <v/>
      </c>
      <c r="N874" s="15" t="str">
        <f aca="false">IF(N(M874)=0,"",_xlfn.MINIFS(ENSAYOS!$G$5:$G$3004,ENSAYOS!$C$5:$C$3004,F874,ENSAYOS!$Q$5:$Q$3004,"&gt;0"))</f>
        <v/>
      </c>
      <c r="O874" s="15" t="str">
        <f aca="false">IF(N(M874)=0,"",_xlfn.MAXIFS(ENSAYOS!$G$5:$G$3004,ENSAYOS!$C$5:$C$3004,F874,ENSAYOS!$Q$5:$Q$3004,"&gt;0"))</f>
        <v/>
      </c>
      <c r="P874" s="16" t="str">
        <f aca="false">IF(N(M874)=0,"",AVERAGEIFS(ENSAYOS!$Q$5:$Q$3004,ENSAYOS!$C$5:$C$3004,F874,ENSAYOS!$Q$5:$Q$3004,"&gt;0"))</f>
        <v/>
      </c>
      <c r="Q874" s="16" t="str">
        <f aca="false">IF(N(M874)=0,"",_xlfn.MINIFS(ENSAYOS!$Q$5:$Q$3004,ENSAYOS!$C$5:$C$3004,F874,ENSAYOS!$Q$5:$Q$3004,"&gt;0"))</f>
        <v/>
      </c>
      <c r="R874" s="16" t="str">
        <f aca="false">IF(N(M874)=0,"",_xlfn.MAXIFS(ENSAYOS!$Q$5:$Q$3004,ENSAYOS!$C$5:$C$3004,F874,ENSAYOS!$Q$5:$Q$3004,"&gt;0"))</f>
        <v/>
      </c>
      <c r="S874" s="16" t="str">
        <f aca="false">IF(N(M874)&lt;2,"",SQRT(MAX(0,(SUMIFS(ENSAYOS!$X$5:$X$3004,ENSAYOS!$C$5:$C$3004,F874,ENSAYOS!$Q$5:$Q$3004,"&gt;0")-M874*P874^2)/(M874-1))))</f>
        <v/>
      </c>
      <c r="T874" s="17" t="str">
        <f aca="false">IF(S874="","",S874/P874)</f>
        <v/>
      </c>
      <c r="U874" s="16" t="str">
        <f aca="false">IF(N(M874)=0,"",IF(N874&gt;=CONFIG!$B$27,"",AVERAGEIFS(ENSAYOS!$Q$5:$Q$3004,ENSAYOS!$C$5:$C$3004,F874,ENSAYOS!$Q$5:$Q$3004,"&gt;0",ENSAYOS!$G$5:$G$3004,N874)))</f>
        <v/>
      </c>
      <c r="V874" s="16" t="str">
        <f aca="false">IF(N(M874)=0,"",IF(COUNTIFS(ENSAYOS!$C$5:$C$3004,F874,ENSAYOS!$Q$5:$Q$3004,"&gt;0",ENSAYOS!$G$5:$G$3004,"&gt;="&amp;CONFIG!$B$27)=0,"",AVERAGEIFS(ENSAYOS!$Q$5:$Q$3004,ENSAYOS!$C$5:$C$3004,F874,ENSAYOS!$Q$5:$Q$3004,"&gt;0",ENSAYOS!$G$5:$G$3004,"&gt;="&amp;CONFIG!$B$27)))</f>
        <v/>
      </c>
      <c r="W874" s="18" t="str">
        <f aca="false">IF(AND(U874&lt;&gt;"",V874&lt;&gt;""),U874/V874,"")</f>
        <v/>
      </c>
      <c r="X874" s="18" t="str">
        <f aca="false">IF(U874="","",INDEX('CURVA EDAD'!$E$5:$E$32,MIN(28,MAX(1,N874))))</f>
        <v/>
      </c>
      <c r="Y874" s="16" t="str">
        <f aca="false">IF(V874&lt;&gt;"",V874,IF(U874="","",U874/X874))</f>
        <v/>
      </c>
      <c r="Z874" s="16" t="str">
        <f aca="false">IF(V874&lt;&gt;"",_xlfn.MINIFS(ENSAYOS!$Q$5:$Q$3004,ENSAYOS!$C$5:$C$3004,F874,ENSAYOS!$Q$5:$Q$3004,"&gt;0",ENSAYOS!$G$5:$G$3004,"&gt;="&amp;CONFIG!$B$27),IF(U874="","",_xlfn.MINIFS(ENSAYOS!$Q$5:$Q$3004,ENSAYOS!$C$5:$C$3004,F874,ENSAYOS!$Q$5:$Q$3004,"&gt;0",ENSAYOS!$G$5:$G$3004,N874)/X874))</f>
        <v/>
      </c>
      <c r="AA874" s="16" t="str">
        <f aca="false">IF(D874="","",IFERROR(1/(1/INDEX(CONFIG!$J$5:$J$14,MATCH(D874,CONFIG!$D$5:$D$14,0))),""))</f>
        <v/>
      </c>
      <c r="AB874" s="16" t="str">
        <f aca="false">IF(D874="","",IFERROR(1/(1/INDEX(CONFIG!$K$5:$K$14,MATCH(D874,CONFIG!$D$5:$D$14,0))),""))</f>
        <v/>
      </c>
      <c r="AC874" s="19" t="str">
        <f aca="false">IF(N(M874)=0,"",IF(AA874="","Sin spec",IF(AND(Y874&gt;=AA874,OR(AB874="",Z874&gt;=AB874)),"CUMPLE","NO CUMPLE")&amp;IF(V874=""," (est.)","")))</f>
        <v/>
      </c>
      <c r="AD874" s="20" t="str">
        <f aca="false">IF(F874="","",IF(COUNTIFS(ABSORCION!$C$5:$C$1004,F874,ABSORCION!$I$5:$I$1004,"&gt;0")=0,"",AVERAGEIFS(ABSORCION!$I$5:$I$1004,ABSORCION!$C$5:$C$1004,F874,ABSORCION!$I$5:$I$1004,"&gt;0")))</f>
        <v/>
      </c>
      <c r="AE874" s="20" t="str">
        <f aca="false">IF(F874="","",IF(COUNTIFS(ABSORCION!$C$5:$C$1004,F874,ABSORCION!$I$5:$I$1004,"&gt;0")=0,"",AVERAGEIFS(ABSORCION!$K$5:$K$1004,ABSORCION!$C$5:$C$1004,F874,ABSORCION!$I$5:$I$1004,"&gt;0")))</f>
        <v/>
      </c>
      <c r="AF874" s="20" t="str">
        <f aca="false">IF(AE874="","",IF(AE874&gt;=CONFIG!$E$21,CONFIG!$F$21,IF(AE874&gt;=CONFIG!$E$20,CONFIG!$F$20,CONFIG!$F$19)))</f>
        <v/>
      </c>
      <c r="AG874" s="21" t="str">
        <f aca="false">IF(F874="","",TRIM(IF(N(M874)=0,"Sin ensayos. ","")&amp;IF(AND(N(M874)&gt;0,N(M874)&lt;CONFIG!$B$26),"Menos de "&amp;CONFIG!$B$26&amp;" probetas. ","")&amp;IF(N(T874)&gt;CONFIG!$B$25,"CV alto. ","")&amp;IF(AND(N(AD874)&gt;0,N(AD874)&gt;N(AF874)),"Absorción alta. ","")))</f>
        <v/>
      </c>
      <c r="AH874" s="22" t="str">
        <f aca="false">IF(AND(N(M874)&gt;0,OR(CONTROL!$C$4="TODAS",C874=CONTROL!$C$4),D874=CONTROL!$C$5),MAX($AH$4:AH873)+1,"")</f>
        <v/>
      </c>
      <c r="AI874" s="22" t="str">
        <f aca="false">IF(AH874="","",P874^2)</f>
        <v/>
      </c>
    </row>
    <row r="875" customFormat="false" ht="15" hidden="false" customHeight="false" outlineLevel="0" collapsed="false">
      <c r="A875" s="11" t="str">
        <f aca="false">IF(B875="","",ROW()-4)</f>
        <v/>
      </c>
      <c r="B875" s="12"/>
      <c r="C875" s="13"/>
      <c r="D875" s="13"/>
      <c r="E875" s="13"/>
      <c r="F875" s="14" t="str">
        <f aca="false">IF(OR(B875="",C875="",D875=""),"",IFERROR(INDEX(CONFIG!$E$5:$E$14,MATCH(D875,CONFIG!$D$5:$D$14,0)),"?")&amp;RIGHT("0"&amp;DAY(B875),2)&amp;RIGHT("0"&amp;MONTH(B875),2)&amp;RIGHT(YEAR(B875),2)&amp;C875&amp;IF(E875="","","-"&amp;E875))</f>
        <v/>
      </c>
      <c r="G875" s="13"/>
      <c r="H875" s="13"/>
      <c r="I875" s="13"/>
      <c r="J875" s="13"/>
      <c r="K875" s="13"/>
      <c r="L875" s="13"/>
      <c r="M875" s="11" t="str">
        <f aca="false">IF(F875="","",COUNTIFS(ENSAYOS!$C$5:$C$3004,F875,ENSAYOS!$Q$5:$Q$3004,"&gt;0"))</f>
        <v/>
      </c>
      <c r="N875" s="15" t="str">
        <f aca="false">IF(N(M875)=0,"",_xlfn.MINIFS(ENSAYOS!$G$5:$G$3004,ENSAYOS!$C$5:$C$3004,F875,ENSAYOS!$Q$5:$Q$3004,"&gt;0"))</f>
        <v/>
      </c>
      <c r="O875" s="15" t="str">
        <f aca="false">IF(N(M875)=0,"",_xlfn.MAXIFS(ENSAYOS!$G$5:$G$3004,ENSAYOS!$C$5:$C$3004,F875,ENSAYOS!$Q$5:$Q$3004,"&gt;0"))</f>
        <v/>
      </c>
      <c r="P875" s="16" t="str">
        <f aca="false">IF(N(M875)=0,"",AVERAGEIFS(ENSAYOS!$Q$5:$Q$3004,ENSAYOS!$C$5:$C$3004,F875,ENSAYOS!$Q$5:$Q$3004,"&gt;0"))</f>
        <v/>
      </c>
      <c r="Q875" s="16" t="str">
        <f aca="false">IF(N(M875)=0,"",_xlfn.MINIFS(ENSAYOS!$Q$5:$Q$3004,ENSAYOS!$C$5:$C$3004,F875,ENSAYOS!$Q$5:$Q$3004,"&gt;0"))</f>
        <v/>
      </c>
      <c r="R875" s="16" t="str">
        <f aca="false">IF(N(M875)=0,"",_xlfn.MAXIFS(ENSAYOS!$Q$5:$Q$3004,ENSAYOS!$C$5:$C$3004,F875,ENSAYOS!$Q$5:$Q$3004,"&gt;0"))</f>
        <v/>
      </c>
      <c r="S875" s="16" t="str">
        <f aca="false">IF(N(M875)&lt;2,"",SQRT(MAX(0,(SUMIFS(ENSAYOS!$X$5:$X$3004,ENSAYOS!$C$5:$C$3004,F875,ENSAYOS!$Q$5:$Q$3004,"&gt;0")-M875*P875^2)/(M875-1))))</f>
        <v/>
      </c>
      <c r="T875" s="17" t="str">
        <f aca="false">IF(S875="","",S875/P875)</f>
        <v/>
      </c>
      <c r="U875" s="16" t="str">
        <f aca="false">IF(N(M875)=0,"",IF(N875&gt;=CONFIG!$B$27,"",AVERAGEIFS(ENSAYOS!$Q$5:$Q$3004,ENSAYOS!$C$5:$C$3004,F875,ENSAYOS!$Q$5:$Q$3004,"&gt;0",ENSAYOS!$G$5:$G$3004,N875)))</f>
        <v/>
      </c>
      <c r="V875" s="16" t="str">
        <f aca="false">IF(N(M875)=0,"",IF(COUNTIFS(ENSAYOS!$C$5:$C$3004,F875,ENSAYOS!$Q$5:$Q$3004,"&gt;0",ENSAYOS!$G$5:$G$3004,"&gt;="&amp;CONFIG!$B$27)=0,"",AVERAGEIFS(ENSAYOS!$Q$5:$Q$3004,ENSAYOS!$C$5:$C$3004,F875,ENSAYOS!$Q$5:$Q$3004,"&gt;0",ENSAYOS!$G$5:$G$3004,"&gt;="&amp;CONFIG!$B$27)))</f>
        <v/>
      </c>
      <c r="W875" s="18" t="str">
        <f aca="false">IF(AND(U875&lt;&gt;"",V875&lt;&gt;""),U875/V875,"")</f>
        <v/>
      </c>
      <c r="X875" s="18" t="str">
        <f aca="false">IF(U875="","",INDEX('CURVA EDAD'!$E$5:$E$32,MIN(28,MAX(1,N875))))</f>
        <v/>
      </c>
      <c r="Y875" s="16" t="str">
        <f aca="false">IF(V875&lt;&gt;"",V875,IF(U875="","",U875/X875))</f>
        <v/>
      </c>
      <c r="Z875" s="16" t="str">
        <f aca="false">IF(V875&lt;&gt;"",_xlfn.MINIFS(ENSAYOS!$Q$5:$Q$3004,ENSAYOS!$C$5:$C$3004,F875,ENSAYOS!$Q$5:$Q$3004,"&gt;0",ENSAYOS!$G$5:$G$3004,"&gt;="&amp;CONFIG!$B$27),IF(U875="","",_xlfn.MINIFS(ENSAYOS!$Q$5:$Q$3004,ENSAYOS!$C$5:$C$3004,F875,ENSAYOS!$Q$5:$Q$3004,"&gt;0",ENSAYOS!$G$5:$G$3004,N875)/X875))</f>
        <v/>
      </c>
      <c r="AA875" s="16" t="str">
        <f aca="false">IF(D875="","",IFERROR(1/(1/INDEX(CONFIG!$J$5:$J$14,MATCH(D875,CONFIG!$D$5:$D$14,0))),""))</f>
        <v/>
      </c>
      <c r="AB875" s="16" t="str">
        <f aca="false">IF(D875="","",IFERROR(1/(1/INDEX(CONFIG!$K$5:$K$14,MATCH(D875,CONFIG!$D$5:$D$14,0))),""))</f>
        <v/>
      </c>
      <c r="AC875" s="19" t="str">
        <f aca="false">IF(N(M875)=0,"",IF(AA875="","Sin spec",IF(AND(Y875&gt;=AA875,OR(AB875="",Z875&gt;=AB875)),"CUMPLE","NO CUMPLE")&amp;IF(V875=""," (est.)","")))</f>
        <v/>
      </c>
      <c r="AD875" s="20" t="str">
        <f aca="false">IF(F875="","",IF(COUNTIFS(ABSORCION!$C$5:$C$1004,F875,ABSORCION!$I$5:$I$1004,"&gt;0")=0,"",AVERAGEIFS(ABSORCION!$I$5:$I$1004,ABSORCION!$C$5:$C$1004,F875,ABSORCION!$I$5:$I$1004,"&gt;0")))</f>
        <v/>
      </c>
      <c r="AE875" s="20" t="str">
        <f aca="false">IF(F875="","",IF(COUNTIFS(ABSORCION!$C$5:$C$1004,F875,ABSORCION!$I$5:$I$1004,"&gt;0")=0,"",AVERAGEIFS(ABSORCION!$K$5:$K$1004,ABSORCION!$C$5:$C$1004,F875,ABSORCION!$I$5:$I$1004,"&gt;0")))</f>
        <v/>
      </c>
      <c r="AF875" s="20" t="str">
        <f aca="false">IF(AE875="","",IF(AE875&gt;=CONFIG!$E$21,CONFIG!$F$21,IF(AE875&gt;=CONFIG!$E$20,CONFIG!$F$20,CONFIG!$F$19)))</f>
        <v/>
      </c>
      <c r="AG875" s="21" t="str">
        <f aca="false">IF(F875="","",TRIM(IF(N(M875)=0,"Sin ensayos. ","")&amp;IF(AND(N(M875)&gt;0,N(M875)&lt;CONFIG!$B$26),"Menos de "&amp;CONFIG!$B$26&amp;" probetas. ","")&amp;IF(N(T875)&gt;CONFIG!$B$25,"CV alto. ","")&amp;IF(AND(N(AD875)&gt;0,N(AD875)&gt;N(AF875)),"Absorción alta. ","")))</f>
        <v/>
      </c>
      <c r="AH875" s="22" t="str">
        <f aca="false">IF(AND(N(M875)&gt;0,OR(CONTROL!$C$4="TODAS",C875=CONTROL!$C$4),D875=CONTROL!$C$5),MAX($AH$4:AH874)+1,"")</f>
        <v/>
      </c>
      <c r="AI875" s="22" t="str">
        <f aca="false">IF(AH875="","",P875^2)</f>
        <v/>
      </c>
    </row>
    <row r="876" customFormat="false" ht="15" hidden="false" customHeight="false" outlineLevel="0" collapsed="false">
      <c r="A876" s="11" t="str">
        <f aca="false">IF(B876="","",ROW()-4)</f>
        <v/>
      </c>
      <c r="B876" s="12"/>
      <c r="C876" s="13"/>
      <c r="D876" s="13"/>
      <c r="E876" s="13"/>
      <c r="F876" s="14" t="str">
        <f aca="false">IF(OR(B876="",C876="",D876=""),"",IFERROR(INDEX(CONFIG!$E$5:$E$14,MATCH(D876,CONFIG!$D$5:$D$14,0)),"?")&amp;RIGHT("0"&amp;DAY(B876),2)&amp;RIGHT("0"&amp;MONTH(B876),2)&amp;RIGHT(YEAR(B876),2)&amp;C876&amp;IF(E876="","","-"&amp;E876))</f>
        <v/>
      </c>
      <c r="G876" s="13"/>
      <c r="H876" s="13"/>
      <c r="I876" s="13"/>
      <c r="J876" s="13"/>
      <c r="K876" s="13"/>
      <c r="L876" s="13"/>
      <c r="M876" s="11" t="str">
        <f aca="false">IF(F876="","",COUNTIFS(ENSAYOS!$C$5:$C$3004,F876,ENSAYOS!$Q$5:$Q$3004,"&gt;0"))</f>
        <v/>
      </c>
      <c r="N876" s="15" t="str">
        <f aca="false">IF(N(M876)=0,"",_xlfn.MINIFS(ENSAYOS!$G$5:$G$3004,ENSAYOS!$C$5:$C$3004,F876,ENSAYOS!$Q$5:$Q$3004,"&gt;0"))</f>
        <v/>
      </c>
      <c r="O876" s="15" t="str">
        <f aca="false">IF(N(M876)=0,"",_xlfn.MAXIFS(ENSAYOS!$G$5:$G$3004,ENSAYOS!$C$5:$C$3004,F876,ENSAYOS!$Q$5:$Q$3004,"&gt;0"))</f>
        <v/>
      </c>
      <c r="P876" s="16" t="str">
        <f aca="false">IF(N(M876)=0,"",AVERAGEIFS(ENSAYOS!$Q$5:$Q$3004,ENSAYOS!$C$5:$C$3004,F876,ENSAYOS!$Q$5:$Q$3004,"&gt;0"))</f>
        <v/>
      </c>
      <c r="Q876" s="16" t="str">
        <f aca="false">IF(N(M876)=0,"",_xlfn.MINIFS(ENSAYOS!$Q$5:$Q$3004,ENSAYOS!$C$5:$C$3004,F876,ENSAYOS!$Q$5:$Q$3004,"&gt;0"))</f>
        <v/>
      </c>
      <c r="R876" s="16" t="str">
        <f aca="false">IF(N(M876)=0,"",_xlfn.MAXIFS(ENSAYOS!$Q$5:$Q$3004,ENSAYOS!$C$5:$C$3004,F876,ENSAYOS!$Q$5:$Q$3004,"&gt;0"))</f>
        <v/>
      </c>
      <c r="S876" s="16" t="str">
        <f aca="false">IF(N(M876)&lt;2,"",SQRT(MAX(0,(SUMIFS(ENSAYOS!$X$5:$X$3004,ENSAYOS!$C$5:$C$3004,F876,ENSAYOS!$Q$5:$Q$3004,"&gt;0")-M876*P876^2)/(M876-1))))</f>
        <v/>
      </c>
      <c r="T876" s="17" t="str">
        <f aca="false">IF(S876="","",S876/P876)</f>
        <v/>
      </c>
      <c r="U876" s="16" t="str">
        <f aca="false">IF(N(M876)=0,"",IF(N876&gt;=CONFIG!$B$27,"",AVERAGEIFS(ENSAYOS!$Q$5:$Q$3004,ENSAYOS!$C$5:$C$3004,F876,ENSAYOS!$Q$5:$Q$3004,"&gt;0",ENSAYOS!$G$5:$G$3004,N876)))</f>
        <v/>
      </c>
      <c r="V876" s="16" t="str">
        <f aca="false">IF(N(M876)=0,"",IF(COUNTIFS(ENSAYOS!$C$5:$C$3004,F876,ENSAYOS!$Q$5:$Q$3004,"&gt;0",ENSAYOS!$G$5:$G$3004,"&gt;="&amp;CONFIG!$B$27)=0,"",AVERAGEIFS(ENSAYOS!$Q$5:$Q$3004,ENSAYOS!$C$5:$C$3004,F876,ENSAYOS!$Q$5:$Q$3004,"&gt;0",ENSAYOS!$G$5:$G$3004,"&gt;="&amp;CONFIG!$B$27)))</f>
        <v/>
      </c>
      <c r="W876" s="18" t="str">
        <f aca="false">IF(AND(U876&lt;&gt;"",V876&lt;&gt;""),U876/V876,"")</f>
        <v/>
      </c>
      <c r="X876" s="18" t="str">
        <f aca="false">IF(U876="","",INDEX('CURVA EDAD'!$E$5:$E$32,MIN(28,MAX(1,N876))))</f>
        <v/>
      </c>
      <c r="Y876" s="16" t="str">
        <f aca="false">IF(V876&lt;&gt;"",V876,IF(U876="","",U876/X876))</f>
        <v/>
      </c>
      <c r="Z876" s="16" t="str">
        <f aca="false">IF(V876&lt;&gt;"",_xlfn.MINIFS(ENSAYOS!$Q$5:$Q$3004,ENSAYOS!$C$5:$C$3004,F876,ENSAYOS!$Q$5:$Q$3004,"&gt;0",ENSAYOS!$G$5:$G$3004,"&gt;="&amp;CONFIG!$B$27),IF(U876="","",_xlfn.MINIFS(ENSAYOS!$Q$5:$Q$3004,ENSAYOS!$C$5:$C$3004,F876,ENSAYOS!$Q$5:$Q$3004,"&gt;0",ENSAYOS!$G$5:$G$3004,N876)/X876))</f>
        <v/>
      </c>
      <c r="AA876" s="16" t="str">
        <f aca="false">IF(D876="","",IFERROR(1/(1/INDEX(CONFIG!$J$5:$J$14,MATCH(D876,CONFIG!$D$5:$D$14,0))),""))</f>
        <v/>
      </c>
      <c r="AB876" s="16" t="str">
        <f aca="false">IF(D876="","",IFERROR(1/(1/INDEX(CONFIG!$K$5:$K$14,MATCH(D876,CONFIG!$D$5:$D$14,0))),""))</f>
        <v/>
      </c>
      <c r="AC876" s="19" t="str">
        <f aca="false">IF(N(M876)=0,"",IF(AA876="","Sin spec",IF(AND(Y876&gt;=AA876,OR(AB876="",Z876&gt;=AB876)),"CUMPLE","NO CUMPLE")&amp;IF(V876=""," (est.)","")))</f>
        <v/>
      </c>
      <c r="AD876" s="20" t="str">
        <f aca="false">IF(F876="","",IF(COUNTIFS(ABSORCION!$C$5:$C$1004,F876,ABSORCION!$I$5:$I$1004,"&gt;0")=0,"",AVERAGEIFS(ABSORCION!$I$5:$I$1004,ABSORCION!$C$5:$C$1004,F876,ABSORCION!$I$5:$I$1004,"&gt;0")))</f>
        <v/>
      </c>
      <c r="AE876" s="20" t="str">
        <f aca="false">IF(F876="","",IF(COUNTIFS(ABSORCION!$C$5:$C$1004,F876,ABSORCION!$I$5:$I$1004,"&gt;0")=0,"",AVERAGEIFS(ABSORCION!$K$5:$K$1004,ABSORCION!$C$5:$C$1004,F876,ABSORCION!$I$5:$I$1004,"&gt;0")))</f>
        <v/>
      </c>
      <c r="AF876" s="20" t="str">
        <f aca="false">IF(AE876="","",IF(AE876&gt;=CONFIG!$E$21,CONFIG!$F$21,IF(AE876&gt;=CONFIG!$E$20,CONFIG!$F$20,CONFIG!$F$19)))</f>
        <v/>
      </c>
      <c r="AG876" s="21" t="str">
        <f aca="false">IF(F876="","",TRIM(IF(N(M876)=0,"Sin ensayos. ","")&amp;IF(AND(N(M876)&gt;0,N(M876)&lt;CONFIG!$B$26),"Menos de "&amp;CONFIG!$B$26&amp;" probetas. ","")&amp;IF(N(T876)&gt;CONFIG!$B$25,"CV alto. ","")&amp;IF(AND(N(AD876)&gt;0,N(AD876)&gt;N(AF876)),"Absorción alta. ","")))</f>
        <v/>
      </c>
      <c r="AH876" s="22" t="str">
        <f aca="false">IF(AND(N(M876)&gt;0,OR(CONTROL!$C$4="TODAS",C876=CONTROL!$C$4),D876=CONTROL!$C$5),MAX($AH$4:AH875)+1,"")</f>
        <v/>
      </c>
      <c r="AI876" s="22" t="str">
        <f aca="false">IF(AH876="","",P876^2)</f>
        <v/>
      </c>
    </row>
    <row r="877" customFormat="false" ht="15" hidden="false" customHeight="false" outlineLevel="0" collapsed="false">
      <c r="A877" s="11" t="str">
        <f aca="false">IF(B877="","",ROW()-4)</f>
        <v/>
      </c>
      <c r="B877" s="12"/>
      <c r="C877" s="13"/>
      <c r="D877" s="13"/>
      <c r="E877" s="13"/>
      <c r="F877" s="14" t="str">
        <f aca="false">IF(OR(B877="",C877="",D877=""),"",IFERROR(INDEX(CONFIG!$E$5:$E$14,MATCH(D877,CONFIG!$D$5:$D$14,0)),"?")&amp;RIGHT("0"&amp;DAY(B877),2)&amp;RIGHT("0"&amp;MONTH(B877),2)&amp;RIGHT(YEAR(B877),2)&amp;C877&amp;IF(E877="","","-"&amp;E877))</f>
        <v/>
      </c>
      <c r="G877" s="13"/>
      <c r="H877" s="13"/>
      <c r="I877" s="13"/>
      <c r="J877" s="13"/>
      <c r="K877" s="13"/>
      <c r="L877" s="13"/>
      <c r="M877" s="11" t="str">
        <f aca="false">IF(F877="","",COUNTIFS(ENSAYOS!$C$5:$C$3004,F877,ENSAYOS!$Q$5:$Q$3004,"&gt;0"))</f>
        <v/>
      </c>
      <c r="N877" s="15" t="str">
        <f aca="false">IF(N(M877)=0,"",_xlfn.MINIFS(ENSAYOS!$G$5:$G$3004,ENSAYOS!$C$5:$C$3004,F877,ENSAYOS!$Q$5:$Q$3004,"&gt;0"))</f>
        <v/>
      </c>
      <c r="O877" s="15" t="str">
        <f aca="false">IF(N(M877)=0,"",_xlfn.MAXIFS(ENSAYOS!$G$5:$G$3004,ENSAYOS!$C$5:$C$3004,F877,ENSAYOS!$Q$5:$Q$3004,"&gt;0"))</f>
        <v/>
      </c>
      <c r="P877" s="16" t="str">
        <f aca="false">IF(N(M877)=0,"",AVERAGEIFS(ENSAYOS!$Q$5:$Q$3004,ENSAYOS!$C$5:$C$3004,F877,ENSAYOS!$Q$5:$Q$3004,"&gt;0"))</f>
        <v/>
      </c>
      <c r="Q877" s="16" t="str">
        <f aca="false">IF(N(M877)=0,"",_xlfn.MINIFS(ENSAYOS!$Q$5:$Q$3004,ENSAYOS!$C$5:$C$3004,F877,ENSAYOS!$Q$5:$Q$3004,"&gt;0"))</f>
        <v/>
      </c>
      <c r="R877" s="16" t="str">
        <f aca="false">IF(N(M877)=0,"",_xlfn.MAXIFS(ENSAYOS!$Q$5:$Q$3004,ENSAYOS!$C$5:$C$3004,F877,ENSAYOS!$Q$5:$Q$3004,"&gt;0"))</f>
        <v/>
      </c>
      <c r="S877" s="16" t="str">
        <f aca="false">IF(N(M877)&lt;2,"",SQRT(MAX(0,(SUMIFS(ENSAYOS!$X$5:$X$3004,ENSAYOS!$C$5:$C$3004,F877,ENSAYOS!$Q$5:$Q$3004,"&gt;0")-M877*P877^2)/(M877-1))))</f>
        <v/>
      </c>
      <c r="T877" s="17" t="str">
        <f aca="false">IF(S877="","",S877/P877)</f>
        <v/>
      </c>
      <c r="U877" s="16" t="str">
        <f aca="false">IF(N(M877)=0,"",IF(N877&gt;=CONFIG!$B$27,"",AVERAGEIFS(ENSAYOS!$Q$5:$Q$3004,ENSAYOS!$C$5:$C$3004,F877,ENSAYOS!$Q$5:$Q$3004,"&gt;0",ENSAYOS!$G$5:$G$3004,N877)))</f>
        <v/>
      </c>
      <c r="V877" s="16" t="str">
        <f aca="false">IF(N(M877)=0,"",IF(COUNTIFS(ENSAYOS!$C$5:$C$3004,F877,ENSAYOS!$Q$5:$Q$3004,"&gt;0",ENSAYOS!$G$5:$G$3004,"&gt;="&amp;CONFIG!$B$27)=0,"",AVERAGEIFS(ENSAYOS!$Q$5:$Q$3004,ENSAYOS!$C$5:$C$3004,F877,ENSAYOS!$Q$5:$Q$3004,"&gt;0",ENSAYOS!$G$5:$G$3004,"&gt;="&amp;CONFIG!$B$27)))</f>
        <v/>
      </c>
      <c r="W877" s="18" t="str">
        <f aca="false">IF(AND(U877&lt;&gt;"",V877&lt;&gt;""),U877/V877,"")</f>
        <v/>
      </c>
      <c r="X877" s="18" t="str">
        <f aca="false">IF(U877="","",INDEX('CURVA EDAD'!$E$5:$E$32,MIN(28,MAX(1,N877))))</f>
        <v/>
      </c>
      <c r="Y877" s="16" t="str">
        <f aca="false">IF(V877&lt;&gt;"",V877,IF(U877="","",U877/X877))</f>
        <v/>
      </c>
      <c r="Z877" s="16" t="str">
        <f aca="false">IF(V877&lt;&gt;"",_xlfn.MINIFS(ENSAYOS!$Q$5:$Q$3004,ENSAYOS!$C$5:$C$3004,F877,ENSAYOS!$Q$5:$Q$3004,"&gt;0",ENSAYOS!$G$5:$G$3004,"&gt;="&amp;CONFIG!$B$27),IF(U877="","",_xlfn.MINIFS(ENSAYOS!$Q$5:$Q$3004,ENSAYOS!$C$5:$C$3004,F877,ENSAYOS!$Q$5:$Q$3004,"&gt;0",ENSAYOS!$G$5:$G$3004,N877)/X877))</f>
        <v/>
      </c>
      <c r="AA877" s="16" t="str">
        <f aca="false">IF(D877="","",IFERROR(1/(1/INDEX(CONFIG!$J$5:$J$14,MATCH(D877,CONFIG!$D$5:$D$14,0))),""))</f>
        <v/>
      </c>
      <c r="AB877" s="16" t="str">
        <f aca="false">IF(D877="","",IFERROR(1/(1/INDEX(CONFIG!$K$5:$K$14,MATCH(D877,CONFIG!$D$5:$D$14,0))),""))</f>
        <v/>
      </c>
      <c r="AC877" s="19" t="str">
        <f aca="false">IF(N(M877)=0,"",IF(AA877="","Sin spec",IF(AND(Y877&gt;=AA877,OR(AB877="",Z877&gt;=AB877)),"CUMPLE","NO CUMPLE")&amp;IF(V877=""," (est.)","")))</f>
        <v/>
      </c>
      <c r="AD877" s="20" t="str">
        <f aca="false">IF(F877="","",IF(COUNTIFS(ABSORCION!$C$5:$C$1004,F877,ABSORCION!$I$5:$I$1004,"&gt;0")=0,"",AVERAGEIFS(ABSORCION!$I$5:$I$1004,ABSORCION!$C$5:$C$1004,F877,ABSORCION!$I$5:$I$1004,"&gt;0")))</f>
        <v/>
      </c>
      <c r="AE877" s="20" t="str">
        <f aca="false">IF(F877="","",IF(COUNTIFS(ABSORCION!$C$5:$C$1004,F877,ABSORCION!$I$5:$I$1004,"&gt;0")=0,"",AVERAGEIFS(ABSORCION!$K$5:$K$1004,ABSORCION!$C$5:$C$1004,F877,ABSORCION!$I$5:$I$1004,"&gt;0")))</f>
        <v/>
      </c>
      <c r="AF877" s="20" t="str">
        <f aca="false">IF(AE877="","",IF(AE877&gt;=CONFIG!$E$21,CONFIG!$F$21,IF(AE877&gt;=CONFIG!$E$20,CONFIG!$F$20,CONFIG!$F$19)))</f>
        <v/>
      </c>
      <c r="AG877" s="21" t="str">
        <f aca="false">IF(F877="","",TRIM(IF(N(M877)=0,"Sin ensayos. ","")&amp;IF(AND(N(M877)&gt;0,N(M877)&lt;CONFIG!$B$26),"Menos de "&amp;CONFIG!$B$26&amp;" probetas. ","")&amp;IF(N(T877)&gt;CONFIG!$B$25,"CV alto. ","")&amp;IF(AND(N(AD877)&gt;0,N(AD877)&gt;N(AF877)),"Absorción alta. ","")))</f>
        <v/>
      </c>
      <c r="AH877" s="22" t="str">
        <f aca="false">IF(AND(N(M877)&gt;0,OR(CONTROL!$C$4="TODAS",C877=CONTROL!$C$4),D877=CONTROL!$C$5),MAX($AH$4:AH876)+1,"")</f>
        <v/>
      </c>
      <c r="AI877" s="22" t="str">
        <f aca="false">IF(AH877="","",P877^2)</f>
        <v/>
      </c>
    </row>
    <row r="878" customFormat="false" ht="15" hidden="false" customHeight="false" outlineLevel="0" collapsed="false">
      <c r="A878" s="11" t="str">
        <f aca="false">IF(B878="","",ROW()-4)</f>
        <v/>
      </c>
      <c r="B878" s="12"/>
      <c r="C878" s="13"/>
      <c r="D878" s="13"/>
      <c r="E878" s="13"/>
      <c r="F878" s="14" t="str">
        <f aca="false">IF(OR(B878="",C878="",D878=""),"",IFERROR(INDEX(CONFIG!$E$5:$E$14,MATCH(D878,CONFIG!$D$5:$D$14,0)),"?")&amp;RIGHT("0"&amp;DAY(B878),2)&amp;RIGHT("0"&amp;MONTH(B878),2)&amp;RIGHT(YEAR(B878),2)&amp;C878&amp;IF(E878="","","-"&amp;E878))</f>
        <v/>
      </c>
      <c r="G878" s="13"/>
      <c r="H878" s="13"/>
      <c r="I878" s="13"/>
      <c r="J878" s="13"/>
      <c r="K878" s="13"/>
      <c r="L878" s="13"/>
      <c r="M878" s="11" t="str">
        <f aca="false">IF(F878="","",COUNTIFS(ENSAYOS!$C$5:$C$3004,F878,ENSAYOS!$Q$5:$Q$3004,"&gt;0"))</f>
        <v/>
      </c>
      <c r="N878" s="15" t="str">
        <f aca="false">IF(N(M878)=0,"",_xlfn.MINIFS(ENSAYOS!$G$5:$G$3004,ENSAYOS!$C$5:$C$3004,F878,ENSAYOS!$Q$5:$Q$3004,"&gt;0"))</f>
        <v/>
      </c>
      <c r="O878" s="15" t="str">
        <f aca="false">IF(N(M878)=0,"",_xlfn.MAXIFS(ENSAYOS!$G$5:$G$3004,ENSAYOS!$C$5:$C$3004,F878,ENSAYOS!$Q$5:$Q$3004,"&gt;0"))</f>
        <v/>
      </c>
      <c r="P878" s="16" t="str">
        <f aca="false">IF(N(M878)=0,"",AVERAGEIFS(ENSAYOS!$Q$5:$Q$3004,ENSAYOS!$C$5:$C$3004,F878,ENSAYOS!$Q$5:$Q$3004,"&gt;0"))</f>
        <v/>
      </c>
      <c r="Q878" s="16" t="str">
        <f aca="false">IF(N(M878)=0,"",_xlfn.MINIFS(ENSAYOS!$Q$5:$Q$3004,ENSAYOS!$C$5:$C$3004,F878,ENSAYOS!$Q$5:$Q$3004,"&gt;0"))</f>
        <v/>
      </c>
      <c r="R878" s="16" t="str">
        <f aca="false">IF(N(M878)=0,"",_xlfn.MAXIFS(ENSAYOS!$Q$5:$Q$3004,ENSAYOS!$C$5:$C$3004,F878,ENSAYOS!$Q$5:$Q$3004,"&gt;0"))</f>
        <v/>
      </c>
      <c r="S878" s="16" t="str">
        <f aca="false">IF(N(M878)&lt;2,"",SQRT(MAX(0,(SUMIFS(ENSAYOS!$X$5:$X$3004,ENSAYOS!$C$5:$C$3004,F878,ENSAYOS!$Q$5:$Q$3004,"&gt;0")-M878*P878^2)/(M878-1))))</f>
        <v/>
      </c>
      <c r="T878" s="17" t="str">
        <f aca="false">IF(S878="","",S878/P878)</f>
        <v/>
      </c>
      <c r="U878" s="16" t="str">
        <f aca="false">IF(N(M878)=0,"",IF(N878&gt;=CONFIG!$B$27,"",AVERAGEIFS(ENSAYOS!$Q$5:$Q$3004,ENSAYOS!$C$5:$C$3004,F878,ENSAYOS!$Q$5:$Q$3004,"&gt;0",ENSAYOS!$G$5:$G$3004,N878)))</f>
        <v/>
      </c>
      <c r="V878" s="16" t="str">
        <f aca="false">IF(N(M878)=0,"",IF(COUNTIFS(ENSAYOS!$C$5:$C$3004,F878,ENSAYOS!$Q$5:$Q$3004,"&gt;0",ENSAYOS!$G$5:$G$3004,"&gt;="&amp;CONFIG!$B$27)=0,"",AVERAGEIFS(ENSAYOS!$Q$5:$Q$3004,ENSAYOS!$C$5:$C$3004,F878,ENSAYOS!$Q$5:$Q$3004,"&gt;0",ENSAYOS!$G$5:$G$3004,"&gt;="&amp;CONFIG!$B$27)))</f>
        <v/>
      </c>
      <c r="W878" s="18" t="str">
        <f aca="false">IF(AND(U878&lt;&gt;"",V878&lt;&gt;""),U878/V878,"")</f>
        <v/>
      </c>
      <c r="X878" s="18" t="str">
        <f aca="false">IF(U878="","",INDEX('CURVA EDAD'!$E$5:$E$32,MIN(28,MAX(1,N878))))</f>
        <v/>
      </c>
      <c r="Y878" s="16" t="str">
        <f aca="false">IF(V878&lt;&gt;"",V878,IF(U878="","",U878/X878))</f>
        <v/>
      </c>
      <c r="Z878" s="16" t="str">
        <f aca="false">IF(V878&lt;&gt;"",_xlfn.MINIFS(ENSAYOS!$Q$5:$Q$3004,ENSAYOS!$C$5:$C$3004,F878,ENSAYOS!$Q$5:$Q$3004,"&gt;0",ENSAYOS!$G$5:$G$3004,"&gt;="&amp;CONFIG!$B$27),IF(U878="","",_xlfn.MINIFS(ENSAYOS!$Q$5:$Q$3004,ENSAYOS!$C$5:$C$3004,F878,ENSAYOS!$Q$5:$Q$3004,"&gt;0",ENSAYOS!$G$5:$G$3004,N878)/X878))</f>
        <v/>
      </c>
      <c r="AA878" s="16" t="str">
        <f aca="false">IF(D878="","",IFERROR(1/(1/INDEX(CONFIG!$J$5:$J$14,MATCH(D878,CONFIG!$D$5:$D$14,0))),""))</f>
        <v/>
      </c>
      <c r="AB878" s="16" t="str">
        <f aca="false">IF(D878="","",IFERROR(1/(1/INDEX(CONFIG!$K$5:$K$14,MATCH(D878,CONFIG!$D$5:$D$14,0))),""))</f>
        <v/>
      </c>
      <c r="AC878" s="19" t="str">
        <f aca="false">IF(N(M878)=0,"",IF(AA878="","Sin spec",IF(AND(Y878&gt;=AA878,OR(AB878="",Z878&gt;=AB878)),"CUMPLE","NO CUMPLE")&amp;IF(V878=""," (est.)","")))</f>
        <v/>
      </c>
      <c r="AD878" s="20" t="str">
        <f aca="false">IF(F878="","",IF(COUNTIFS(ABSORCION!$C$5:$C$1004,F878,ABSORCION!$I$5:$I$1004,"&gt;0")=0,"",AVERAGEIFS(ABSORCION!$I$5:$I$1004,ABSORCION!$C$5:$C$1004,F878,ABSORCION!$I$5:$I$1004,"&gt;0")))</f>
        <v/>
      </c>
      <c r="AE878" s="20" t="str">
        <f aca="false">IF(F878="","",IF(COUNTIFS(ABSORCION!$C$5:$C$1004,F878,ABSORCION!$I$5:$I$1004,"&gt;0")=0,"",AVERAGEIFS(ABSORCION!$K$5:$K$1004,ABSORCION!$C$5:$C$1004,F878,ABSORCION!$I$5:$I$1004,"&gt;0")))</f>
        <v/>
      </c>
      <c r="AF878" s="20" t="str">
        <f aca="false">IF(AE878="","",IF(AE878&gt;=CONFIG!$E$21,CONFIG!$F$21,IF(AE878&gt;=CONFIG!$E$20,CONFIG!$F$20,CONFIG!$F$19)))</f>
        <v/>
      </c>
      <c r="AG878" s="21" t="str">
        <f aca="false">IF(F878="","",TRIM(IF(N(M878)=0,"Sin ensayos. ","")&amp;IF(AND(N(M878)&gt;0,N(M878)&lt;CONFIG!$B$26),"Menos de "&amp;CONFIG!$B$26&amp;" probetas. ","")&amp;IF(N(T878)&gt;CONFIG!$B$25,"CV alto. ","")&amp;IF(AND(N(AD878)&gt;0,N(AD878)&gt;N(AF878)),"Absorción alta. ","")))</f>
        <v/>
      </c>
      <c r="AH878" s="22" t="str">
        <f aca="false">IF(AND(N(M878)&gt;0,OR(CONTROL!$C$4="TODAS",C878=CONTROL!$C$4),D878=CONTROL!$C$5),MAX($AH$4:AH877)+1,"")</f>
        <v/>
      </c>
      <c r="AI878" s="22" t="str">
        <f aca="false">IF(AH878="","",P878^2)</f>
        <v/>
      </c>
    </row>
    <row r="879" customFormat="false" ht="15" hidden="false" customHeight="false" outlineLevel="0" collapsed="false">
      <c r="A879" s="11" t="str">
        <f aca="false">IF(B879="","",ROW()-4)</f>
        <v/>
      </c>
      <c r="B879" s="12"/>
      <c r="C879" s="13"/>
      <c r="D879" s="13"/>
      <c r="E879" s="13"/>
      <c r="F879" s="14" t="str">
        <f aca="false">IF(OR(B879="",C879="",D879=""),"",IFERROR(INDEX(CONFIG!$E$5:$E$14,MATCH(D879,CONFIG!$D$5:$D$14,0)),"?")&amp;RIGHT("0"&amp;DAY(B879),2)&amp;RIGHT("0"&amp;MONTH(B879),2)&amp;RIGHT(YEAR(B879),2)&amp;C879&amp;IF(E879="","","-"&amp;E879))</f>
        <v/>
      </c>
      <c r="G879" s="13"/>
      <c r="H879" s="13"/>
      <c r="I879" s="13"/>
      <c r="J879" s="13"/>
      <c r="K879" s="13"/>
      <c r="L879" s="13"/>
      <c r="M879" s="11" t="str">
        <f aca="false">IF(F879="","",COUNTIFS(ENSAYOS!$C$5:$C$3004,F879,ENSAYOS!$Q$5:$Q$3004,"&gt;0"))</f>
        <v/>
      </c>
      <c r="N879" s="15" t="str">
        <f aca="false">IF(N(M879)=0,"",_xlfn.MINIFS(ENSAYOS!$G$5:$G$3004,ENSAYOS!$C$5:$C$3004,F879,ENSAYOS!$Q$5:$Q$3004,"&gt;0"))</f>
        <v/>
      </c>
      <c r="O879" s="15" t="str">
        <f aca="false">IF(N(M879)=0,"",_xlfn.MAXIFS(ENSAYOS!$G$5:$G$3004,ENSAYOS!$C$5:$C$3004,F879,ENSAYOS!$Q$5:$Q$3004,"&gt;0"))</f>
        <v/>
      </c>
      <c r="P879" s="16" t="str">
        <f aca="false">IF(N(M879)=0,"",AVERAGEIFS(ENSAYOS!$Q$5:$Q$3004,ENSAYOS!$C$5:$C$3004,F879,ENSAYOS!$Q$5:$Q$3004,"&gt;0"))</f>
        <v/>
      </c>
      <c r="Q879" s="16" t="str">
        <f aca="false">IF(N(M879)=0,"",_xlfn.MINIFS(ENSAYOS!$Q$5:$Q$3004,ENSAYOS!$C$5:$C$3004,F879,ENSAYOS!$Q$5:$Q$3004,"&gt;0"))</f>
        <v/>
      </c>
      <c r="R879" s="16" t="str">
        <f aca="false">IF(N(M879)=0,"",_xlfn.MAXIFS(ENSAYOS!$Q$5:$Q$3004,ENSAYOS!$C$5:$C$3004,F879,ENSAYOS!$Q$5:$Q$3004,"&gt;0"))</f>
        <v/>
      </c>
      <c r="S879" s="16" t="str">
        <f aca="false">IF(N(M879)&lt;2,"",SQRT(MAX(0,(SUMIFS(ENSAYOS!$X$5:$X$3004,ENSAYOS!$C$5:$C$3004,F879,ENSAYOS!$Q$5:$Q$3004,"&gt;0")-M879*P879^2)/(M879-1))))</f>
        <v/>
      </c>
      <c r="T879" s="17" t="str">
        <f aca="false">IF(S879="","",S879/P879)</f>
        <v/>
      </c>
      <c r="U879" s="16" t="str">
        <f aca="false">IF(N(M879)=0,"",IF(N879&gt;=CONFIG!$B$27,"",AVERAGEIFS(ENSAYOS!$Q$5:$Q$3004,ENSAYOS!$C$5:$C$3004,F879,ENSAYOS!$Q$5:$Q$3004,"&gt;0",ENSAYOS!$G$5:$G$3004,N879)))</f>
        <v/>
      </c>
      <c r="V879" s="16" t="str">
        <f aca="false">IF(N(M879)=0,"",IF(COUNTIFS(ENSAYOS!$C$5:$C$3004,F879,ENSAYOS!$Q$5:$Q$3004,"&gt;0",ENSAYOS!$G$5:$G$3004,"&gt;="&amp;CONFIG!$B$27)=0,"",AVERAGEIFS(ENSAYOS!$Q$5:$Q$3004,ENSAYOS!$C$5:$C$3004,F879,ENSAYOS!$Q$5:$Q$3004,"&gt;0",ENSAYOS!$G$5:$G$3004,"&gt;="&amp;CONFIG!$B$27)))</f>
        <v/>
      </c>
      <c r="W879" s="18" t="str">
        <f aca="false">IF(AND(U879&lt;&gt;"",V879&lt;&gt;""),U879/V879,"")</f>
        <v/>
      </c>
      <c r="X879" s="18" t="str">
        <f aca="false">IF(U879="","",INDEX('CURVA EDAD'!$E$5:$E$32,MIN(28,MAX(1,N879))))</f>
        <v/>
      </c>
      <c r="Y879" s="16" t="str">
        <f aca="false">IF(V879&lt;&gt;"",V879,IF(U879="","",U879/X879))</f>
        <v/>
      </c>
      <c r="Z879" s="16" t="str">
        <f aca="false">IF(V879&lt;&gt;"",_xlfn.MINIFS(ENSAYOS!$Q$5:$Q$3004,ENSAYOS!$C$5:$C$3004,F879,ENSAYOS!$Q$5:$Q$3004,"&gt;0",ENSAYOS!$G$5:$G$3004,"&gt;="&amp;CONFIG!$B$27),IF(U879="","",_xlfn.MINIFS(ENSAYOS!$Q$5:$Q$3004,ENSAYOS!$C$5:$C$3004,F879,ENSAYOS!$Q$5:$Q$3004,"&gt;0",ENSAYOS!$G$5:$G$3004,N879)/X879))</f>
        <v/>
      </c>
      <c r="AA879" s="16" t="str">
        <f aca="false">IF(D879="","",IFERROR(1/(1/INDEX(CONFIG!$J$5:$J$14,MATCH(D879,CONFIG!$D$5:$D$14,0))),""))</f>
        <v/>
      </c>
      <c r="AB879" s="16" t="str">
        <f aca="false">IF(D879="","",IFERROR(1/(1/INDEX(CONFIG!$K$5:$K$14,MATCH(D879,CONFIG!$D$5:$D$14,0))),""))</f>
        <v/>
      </c>
      <c r="AC879" s="19" t="str">
        <f aca="false">IF(N(M879)=0,"",IF(AA879="","Sin spec",IF(AND(Y879&gt;=AA879,OR(AB879="",Z879&gt;=AB879)),"CUMPLE","NO CUMPLE")&amp;IF(V879=""," (est.)","")))</f>
        <v/>
      </c>
      <c r="AD879" s="20" t="str">
        <f aca="false">IF(F879="","",IF(COUNTIFS(ABSORCION!$C$5:$C$1004,F879,ABSORCION!$I$5:$I$1004,"&gt;0")=0,"",AVERAGEIFS(ABSORCION!$I$5:$I$1004,ABSORCION!$C$5:$C$1004,F879,ABSORCION!$I$5:$I$1004,"&gt;0")))</f>
        <v/>
      </c>
      <c r="AE879" s="20" t="str">
        <f aca="false">IF(F879="","",IF(COUNTIFS(ABSORCION!$C$5:$C$1004,F879,ABSORCION!$I$5:$I$1004,"&gt;0")=0,"",AVERAGEIFS(ABSORCION!$K$5:$K$1004,ABSORCION!$C$5:$C$1004,F879,ABSORCION!$I$5:$I$1004,"&gt;0")))</f>
        <v/>
      </c>
      <c r="AF879" s="20" t="str">
        <f aca="false">IF(AE879="","",IF(AE879&gt;=CONFIG!$E$21,CONFIG!$F$21,IF(AE879&gt;=CONFIG!$E$20,CONFIG!$F$20,CONFIG!$F$19)))</f>
        <v/>
      </c>
      <c r="AG879" s="21" t="str">
        <f aca="false">IF(F879="","",TRIM(IF(N(M879)=0,"Sin ensayos. ","")&amp;IF(AND(N(M879)&gt;0,N(M879)&lt;CONFIG!$B$26),"Menos de "&amp;CONFIG!$B$26&amp;" probetas. ","")&amp;IF(N(T879)&gt;CONFIG!$B$25,"CV alto. ","")&amp;IF(AND(N(AD879)&gt;0,N(AD879)&gt;N(AF879)),"Absorción alta. ","")))</f>
        <v/>
      </c>
      <c r="AH879" s="22" t="str">
        <f aca="false">IF(AND(N(M879)&gt;0,OR(CONTROL!$C$4="TODAS",C879=CONTROL!$C$4),D879=CONTROL!$C$5),MAX($AH$4:AH878)+1,"")</f>
        <v/>
      </c>
      <c r="AI879" s="22" t="str">
        <f aca="false">IF(AH879="","",P879^2)</f>
        <v/>
      </c>
    </row>
    <row r="880" customFormat="false" ht="15" hidden="false" customHeight="false" outlineLevel="0" collapsed="false">
      <c r="A880" s="11" t="str">
        <f aca="false">IF(B880="","",ROW()-4)</f>
        <v/>
      </c>
      <c r="B880" s="12"/>
      <c r="C880" s="13"/>
      <c r="D880" s="13"/>
      <c r="E880" s="13"/>
      <c r="F880" s="14" t="str">
        <f aca="false">IF(OR(B880="",C880="",D880=""),"",IFERROR(INDEX(CONFIG!$E$5:$E$14,MATCH(D880,CONFIG!$D$5:$D$14,0)),"?")&amp;RIGHT("0"&amp;DAY(B880),2)&amp;RIGHT("0"&amp;MONTH(B880),2)&amp;RIGHT(YEAR(B880),2)&amp;C880&amp;IF(E880="","","-"&amp;E880))</f>
        <v/>
      </c>
      <c r="G880" s="13"/>
      <c r="H880" s="13"/>
      <c r="I880" s="13"/>
      <c r="J880" s="13"/>
      <c r="K880" s="13"/>
      <c r="L880" s="13"/>
      <c r="M880" s="11" t="str">
        <f aca="false">IF(F880="","",COUNTIFS(ENSAYOS!$C$5:$C$3004,F880,ENSAYOS!$Q$5:$Q$3004,"&gt;0"))</f>
        <v/>
      </c>
      <c r="N880" s="15" t="str">
        <f aca="false">IF(N(M880)=0,"",_xlfn.MINIFS(ENSAYOS!$G$5:$G$3004,ENSAYOS!$C$5:$C$3004,F880,ENSAYOS!$Q$5:$Q$3004,"&gt;0"))</f>
        <v/>
      </c>
      <c r="O880" s="15" t="str">
        <f aca="false">IF(N(M880)=0,"",_xlfn.MAXIFS(ENSAYOS!$G$5:$G$3004,ENSAYOS!$C$5:$C$3004,F880,ENSAYOS!$Q$5:$Q$3004,"&gt;0"))</f>
        <v/>
      </c>
      <c r="P880" s="16" t="str">
        <f aca="false">IF(N(M880)=0,"",AVERAGEIFS(ENSAYOS!$Q$5:$Q$3004,ENSAYOS!$C$5:$C$3004,F880,ENSAYOS!$Q$5:$Q$3004,"&gt;0"))</f>
        <v/>
      </c>
      <c r="Q880" s="16" t="str">
        <f aca="false">IF(N(M880)=0,"",_xlfn.MINIFS(ENSAYOS!$Q$5:$Q$3004,ENSAYOS!$C$5:$C$3004,F880,ENSAYOS!$Q$5:$Q$3004,"&gt;0"))</f>
        <v/>
      </c>
      <c r="R880" s="16" t="str">
        <f aca="false">IF(N(M880)=0,"",_xlfn.MAXIFS(ENSAYOS!$Q$5:$Q$3004,ENSAYOS!$C$5:$C$3004,F880,ENSAYOS!$Q$5:$Q$3004,"&gt;0"))</f>
        <v/>
      </c>
      <c r="S880" s="16" t="str">
        <f aca="false">IF(N(M880)&lt;2,"",SQRT(MAX(0,(SUMIFS(ENSAYOS!$X$5:$X$3004,ENSAYOS!$C$5:$C$3004,F880,ENSAYOS!$Q$5:$Q$3004,"&gt;0")-M880*P880^2)/(M880-1))))</f>
        <v/>
      </c>
      <c r="T880" s="17" t="str">
        <f aca="false">IF(S880="","",S880/P880)</f>
        <v/>
      </c>
      <c r="U880" s="16" t="str">
        <f aca="false">IF(N(M880)=0,"",IF(N880&gt;=CONFIG!$B$27,"",AVERAGEIFS(ENSAYOS!$Q$5:$Q$3004,ENSAYOS!$C$5:$C$3004,F880,ENSAYOS!$Q$5:$Q$3004,"&gt;0",ENSAYOS!$G$5:$G$3004,N880)))</f>
        <v/>
      </c>
      <c r="V880" s="16" t="str">
        <f aca="false">IF(N(M880)=0,"",IF(COUNTIFS(ENSAYOS!$C$5:$C$3004,F880,ENSAYOS!$Q$5:$Q$3004,"&gt;0",ENSAYOS!$G$5:$G$3004,"&gt;="&amp;CONFIG!$B$27)=0,"",AVERAGEIFS(ENSAYOS!$Q$5:$Q$3004,ENSAYOS!$C$5:$C$3004,F880,ENSAYOS!$Q$5:$Q$3004,"&gt;0",ENSAYOS!$G$5:$G$3004,"&gt;="&amp;CONFIG!$B$27)))</f>
        <v/>
      </c>
      <c r="W880" s="18" t="str">
        <f aca="false">IF(AND(U880&lt;&gt;"",V880&lt;&gt;""),U880/V880,"")</f>
        <v/>
      </c>
      <c r="X880" s="18" t="str">
        <f aca="false">IF(U880="","",INDEX('CURVA EDAD'!$E$5:$E$32,MIN(28,MAX(1,N880))))</f>
        <v/>
      </c>
      <c r="Y880" s="16" t="str">
        <f aca="false">IF(V880&lt;&gt;"",V880,IF(U880="","",U880/X880))</f>
        <v/>
      </c>
      <c r="Z880" s="16" t="str">
        <f aca="false">IF(V880&lt;&gt;"",_xlfn.MINIFS(ENSAYOS!$Q$5:$Q$3004,ENSAYOS!$C$5:$C$3004,F880,ENSAYOS!$Q$5:$Q$3004,"&gt;0",ENSAYOS!$G$5:$G$3004,"&gt;="&amp;CONFIG!$B$27),IF(U880="","",_xlfn.MINIFS(ENSAYOS!$Q$5:$Q$3004,ENSAYOS!$C$5:$C$3004,F880,ENSAYOS!$Q$5:$Q$3004,"&gt;0",ENSAYOS!$G$5:$G$3004,N880)/X880))</f>
        <v/>
      </c>
      <c r="AA880" s="16" t="str">
        <f aca="false">IF(D880="","",IFERROR(1/(1/INDEX(CONFIG!$J$5:$J$14,MATCH(D880,CONFIG!$D$5:$D$14,0))),""))</f>
        <v/>
      </c>
      <c r="AB880" s="16" t="str">
        <f aca="false">IF(D880="","",IFERROR(1/(1/INDEX(CONFIG!$K$5:$K$14,MATCH(D880,CONFIG!$D$5:$D$14,0))),""))</f>
        <v/>
      </c>
      <c r="AC880" s="19" t="str">
        <f aca="false">IF(N(M880)=0,"",IF(AA880="","Sin spec",IF(AND(Y880&gt;=AA880,OR(AB880="",Z880&gt;=AB880)),"CUMPLE","NO CUMPLE")&amp;IF(V880=""," (est.)","")))</f>
        <v/>
      </c>
      <c r="AD880" s="20" t="str">
        <f aca="false">IF(F880="","",IF(COUNTIFS(ABSORCION!$C$5:$C$1004,F880,ABSORCION!$I$5:$I$1004,"&gt;0")=0,"",AVERAGEIFS(ABSORCION!$I$5:$I$1004,ABSORCION!$C$5:$C$1004,F880,ABSORCION!$I$5:$I$1004,"&gt;0")))</f>
        <v/>
      </c>
      <c r="AE880" s="20" t="str">
        <f aca="false">IF(F880="","",IF(COUNTIFS(ABSORCION!$C$5:$C$1004,F880,ABSORCION!$I$5:$I$1004,"&gt;0")=0,"",AVERAGEIFS(ABSORCION!$K$5:$K$1004,ABSORCION!$C$5:$C$1004,F880,ABSORCION!$I$5:$I$1004,"&gt;0")))</f>
        <v/>
      </c>
      <c r="AF880" s="20" t="str">
        <f aca="false">IF(AE880="","",IF(AE880&gt;=CONFIG!$E$21,CONFIG!$F$21,IF(AE880&gt;=CONFIG!$E$20,CONFIG!$F$20,CONFIG!$F$19)))</f>
        <v/>
      </c>
      <c r="AG880" s="21" t="str">
        <f aca="false">IF(F880="","",TRIM(IF(N(M880)=0,"Sin ensayos. ","")&amp;IF(AND(N(M880)&gt;0,N(M880)&lt;CONFIG!$B$26),"Menos de "&amp;CONFIG!$B$26&amp;" probetas. ","")&amp;IF(N(T880)&gt;CONFIG!$B$25,"CV alto. ","")&amp;IF(AND(N(AD880)&gt;0,N(AD880)&gt;N(AF880)),"Absorción alta. ","")))</f>
        <v/>
      </c>
      <c r="AH880" s="22" t="str">
        <f aca="false">IF(AND(N(M880)&gt;0,OR(CONTROL!$C$4="TODAS",C880=CONTROL!$C$4),D880=CONTROL!$C$5),MAX($AH$4:AH879)+1,"")</f>
        <v/>
      </c>
      <c r="AI880" s="22" t="str">
        <f aca="false">IF(AH880="","",P880^2)</f>
        <v/>
      </c>
    </row>
    <row r="881" customFormat="false" ht="15" hidden="false" customHeight="false" outlineLevel="0" collapsed="false">
      <c r="A881" s="11" t="str">
        <f aca="false">IF(B881="","",ROW()-4)</f>
        <v/>
      </c>
      <c r="B881" s="12"/>
      <c r="C881" s="13"/>
      <c r="D881" s="13"/>
      <c r="E881" s="13"/>
      <c r="F881" s="14" t="str">
        <f aca="false">IF(OR(B881="",C881="",D881=""),"",IFERROR(INDEX(CONFIG!$E$5:$E$14,MATCH(D881,CONFIG!$D$5:$D$14,0)),"?")&amp;RIGHT("0"&amp;DAY(B881),2)&amp;RIGHT("0"&amp;MONTH(B881),2)&amp;RIGHT(YEAR(B881),2)&amp;C881&amp;IF(E881="","","-"&amp;E881))</f>
        <v/>
      </c>
      <c r="G881" s="13"/>
      <c r="H881" s="13"/>
      <c r="I881" s="13"/>
      <c r="J881" s="13"/>
      <c r="K881" s="13"/>
      <c r="L881" s="13"/>
      <c r="M881" s="11" t="str">
        <f aca="false">IF(F881="","",COUNTIFS(ENSAYOS!$C$5:$C$3004,F881,ENSAYOS!$Q$5:$Q$3004,"&gt;0"))</f>
        <v/>
      </c>
      <c r="N881" s="15" t="str">
        <f aca="false">IF(N(M881)=0,"",_xlfn.MINIFS(ENSAYOS!$G$5:$G$3004,ENSAYOS!$C$5:$C$3004,F881,ENSAYOS!$Q$5:$Q$3004,"&gt;0"))</f>
        <v/>
      </c>
      <c r="O881" s="15" t="str">
        <f aca="false">IF(N(M881)=0,"",_xlfn.MAXIFS(ENSAYOS!$G$5:$G$3004,ENSAYOS!$C$5:$C$3004,F881,ENSAYOS!$Q$5:$Q$3004,"&gt;0"))</f>
        <v/>
      </c>
      <c r="P881" s="16" t="str">
        <f aca="false">IF(N(M881)=0,"",AVERAGEIFS(ENSAYOS!$Q$5:$Q$3004,ENSAYOS!$C$5:$C$3004,F881,ENSAYOS!$Q$5:$Q$3004,"&gt;0"))</f>
        <v/>
      </c>
      <c r="Q881" s="16" t="str">
        <f aca="false">IF(N(M881)=0,"",_xlfn.MINIFS(ENSAYOS!$Q$5:$Q$3004,ENSAYOS!$C$5:$C$3004,F881,ENSAYOS!$Q$5:$Q$3004,"&gt;0"))</f>
        <v/>
      </c>
      <c r="R881" s="16" t="str">
        <f aca="false">IF(N(M881)=0,"",_xlfn.MAXIFS(ENSAYOS!$Q$5:$Q$3004,ENSAYOS!$C$5:$C$3004,F881,ENSAYOS!$Q$5:$Q$3004,"&gt;0"))</f>
        <v/>
      </c>
      <c r="S881" s="16" t="str">
        <f aca="false">IF(N(M881)&lt;2,"",SQRT(MAX(0,(SUMIFS(ENSAYOS!$X$5:$X$3004,ENSAYOS!$C$5:$C$3004,F881,ENSAYOS!$Q$5:$Q$3004,"&gt;0")-M881*P881^2)/(M881-1))))</f>
        <v/>
      </c>
      <c r="T881" s="17" t="str">
        <f aca="false">IF(S881="","",S881/P881)</f>
        <v/>
      </c>
      <c r="U881" s="16" t="str">
        <f aca="false">IF(N(M881)=0,"",IF(N881&gt;=CONFIG!$B$27,"",AVERAGEIFS(ENSAYOS!$Q$5:$Q$3004,ENSAYOS!$C$5:$C$3004,F881,ENSAYOS!$Q$5:$Q$3004,"&gt;0",ENSAYOS!$G$5:$G$3004,N881)))</f>
        <v/>
      </c>
      <c r="V881" s="16" t="str">
        <f aca="false">IF(N(M881)=0,"",IF(COUNTIFS(ENSAYOS!$C$5:$C$3004,F881,ENSAYOS!$Q$5:$Q$3004,"&gt;0",ENSAYOS!$G$5:$G$3004,"&gt;="&amp;CONFIG!$B$27)=0,"",AVERAGEIFS(ENSAYOS!$Q$5:$Q$3004,ENSAYOS!$C$5:$C$3004,F881,ENSAYOS!$Q$5:$Q$3004,"&gt;0",ENSAYOS!$G$5:$G$3004,"&gt;="&amp;CONFIG!$B$27)))</f>
        <v/>
      </c>
      <c r="W881" s="18" t="str">
        <f aca="false">IF(AND(U881&lt;&gt;"",V881&lt;&gt;""),U881/V881,"")</f>
        <v/>
      </c>
      <c r="X881" s="18" t="str">
        <f aca="false">IF(U881="","",INDEX('CURVA EDAD'!$E$5:$E$32,MIN(28,MAX(1,N881))))</f>
        <v/>
      </c>
      <c r="Y881" s="16" t="str">
        <f aca="false">IF(V881&lt;&gt;"",V881,IF(U881="","",U881/X881))</f>
        <v/>
      </c>
      <c r="Z881" s="16" t="str">
        <f aca="false">IF(V881&lt;&gt;"",_xlfn.MINIFS(ENSAYOS!$Q$5:$Q$3004,ENSAYOS!$C$5:$C$3004,F881,ENSAYOS!$Q$5:$Q$3004,"&gt;0",ENSAYOS!$G$5:$G$3004,"&gt;="&amp;CONFIG!$B$27),IF(U881="","",_xlfn.MINIFS(ENSAYOS!$Q$5:$Q$3004,ENSAYOS!$C$5:$C$3004,F881,ENSAYOS!$Q$5:$Q$3004,"&gt;0",ENSAYOS!$G$5:$G$3004,N881)/X881))</f>
        <v/>
      </c>
      <c r="AA881" s="16" t="str">
        <f aca="false">IF(D881="","",IFERROR(1/(1/INDEX(CONFIG!$J$5:$J$14,MATCH(D881,CONFIG!$D$5:$D$14,0))),""))</f>
        <v/>
      </c>
      <c r="AB881" s="16" t="str">
        <f aca="false">IF(D881="","",IFERROR(1/(1/INDEX(CONFIG!$K$5:$K$14,MATCH(D881,CONFIG!$D$5:$D$14,0))),""))</f>
        <v/>
      </c>
      <c r="AC881" s="19" t="str">
        <f aca="false">IF(N(M881)=0,"",IF(AA881="","Sin spec",IF(AND(Y881&gt;=AA881,OR(AB881="",Z881&gt;=AB881)),"CUMPLE","NO CUMPLE")&amp;IF(V881=""," (est.)","")))</f>
        <v/>
      </c>
      <c r="AD881" s="20" t="str">
        <f aca="false">IF(F881="","",IF(COUNTIFS(ABSORCION!$C$5:$C$1004,F881,ABSORCION!$I$5:$I$1004,"&gt;0")=0,"",AVERAGEIFS(ABSORCION!$I$5:$I$1004,ABSORCION!$C$5:$C$1004,F881,ABSORCION!$I$5:$I$1004,"&gt;0")))</f>
        <v/>
      </c>
      <c r="AE881" s="20" t="str">
        <f aca="false">IF(F881="","",IF(COUNTIFS(ABSORCION!$C$5:$C$1004,F881,ABSORCION!$I$5:$I$1004,"&gt;0")=0,"",AVERAGEIFS(ABSORCION!$K$5:$K$1004,ABSORCION!$C$5:$C$1004,F881,ABSORCION!$I$5:$I$1004,"&gt;0")))</f>
        <v/>
      </c>
      <c r="AF881" s="20" t="str">
        <f aca="false">IF(AE881="","",IF(AE881&gt;=CONFIG!$E$21,CONFIG!$F$21,IF(AE881&gt;=CONFIG!$E$20,CONFIG!$F$20,CONFIG!$F$19)))</f>
        <v/>
      </c>
      <c r="AG881" s="21" t="str">
        <f aca="false">IF(F881="","",TRIM(IF(N(M881)=0,"Sin ensayos. ","")&amp;IF(AND(N(M881)&gt;0,N(M881)&lt;CONFIG!$B$26),"Menos de "&amp;CONFIG!$B$26&amp;" probetas. ","")&amp;IF(N(T881)&gt;CONFIG!$B$25,"CV alto. ","")&amp;IF(AND(N(AD881)&gt;0,N(AD881)&gt;N(AF881)),"Absorción alta. ","")))</f>
        <v/>
      </c>
      <c r="AH881" s="22" t="str">
        <f aca="false">IF(AND(N(M881)&gt;0,OR(CONTROL!$C$4="TODAS",C881=CONTROL!$C$4),D881=CONTROL!$C$5),MAX($AH$4:AH880)+1,"")</f>
        <v/>
      </c>
      <c r="AI881" s="22" t="str">
        <f aca="false">IF(AH881="","",P881^2)</f>
        <v/>
      </c>
    </row>
    <row r="882" customFormat="false" ht="15" hidden="false" customHeight="false" outlineLevel="0" collapsed="false">
      <c r="A882" s="11" t="str">
        <f aca="false">IF(B882="","",ROW()-4)</f>
        <v/>
      </c>
      <c r="B882" s="12"/>
      <c r="C882" s="13"/>
      <c r="D882" s="13"/>
      <c r="E882" s="13"/>
      <c r="F882" s="14" t="str">
        <f aca="false">IF(OR(B882="",C882="",D882=""),"",IFERROR(INDEX(CONFIG!$E$5:$E$14,MATCH(D882,CONFIG!$D$5:$D$14,0)),"?")&amp;RIGHT("0"&amp;DAY(B882),2)&amp;RIGHT("0"&amp;MONTH(B882),2)&amp;RIGHT(YEAR(B882),2)&amp;C882&amp;IF(E882="","","-"&amp;E882))</f>
        <v/>
      </c>
      <c r="G882" s="13"/>
      <c r="H882" s="13"/>
      <c r="I882" s="13"/>
      <c r="J882" s="13"/>
      <c r="K882" s="13"/>
      <c r="L882" s="13"/>
      <c r="M882" s="11" t="str">
        <f aca="false">IF(F882="","",COUNTIFS(ENSAYOS!$C$5:$C$3004,F882,ENSAYOS!$Q$5:$Q$3004,"&gt;0"))</f>
        <v/>
      </c>
      <c r="N882" s="15" t="str">
        <f aca="false">IF(N(M882)=0,"",_xlfn.MINIFS(ENSAYOS!$G$5:$G$3004,ENSAYOS!$C$5:$C$3004,F882,ENSAYOS!$Q$5:$Q$3004,"&gt;0"))</f>
        <v/>
      </c>
      <c r="O882" s="15" t="str">
        <f aca="false">IF(N(M882)=0,"",_xlfn.MAXIFS(ENSAYOS!$G$5:$G$3004,ENSAYOS!$C$5:$C$3004,F882,ENSAYOS!$Q$5:$Q$3004,"&gt;0"))</f>
        <v/>
      </c>
      <c r="P882" s="16" t="str">
        <f aca="false">IF(N(M882)=0,"",AVERAGEIFS(ENSAYOS!$Q$5:$Q$3004,ENSAYOS!$C$5:$C$3004,F882,ENSAYOS!$Q$5:$Q$3004,"&gt;0"))</f>
        <v/>
      </c>
      <c r="Q882" s="16" t="str">
        <f aca="false">IF(N(M882)=0,"",_xlfn.MINIFS(ENSAYOS!$Q$5:$Q$3004,ENSAYOS!$C$5:$C$3004,F882,ENSAYOS!$Q$5:$Q$3004,"&gt;0"))</f>
        <v/>
      </c>
      <c r="R882" s="16" t="str">
        <f aca="false">IF(N(M882)=0,"",_xlfn.MAXIFS(ENSAYOS!$Q$5:$Q$3004,ENSAYOS!$C$5:$C$3004,F882,ENSAYOS!$Q$5:$Q$3004,"&gt;0"))</f>
        <v/>
      </c>
      <c r="S882" s="16" t="str">
        <f aca="false">IF(N(M882)&lt;2,"",SQRT(MAX(0,(SUMIFS(ENSAYOS!$X$5:$X$3004,ENSAYOS!$C$5:$C$3004,F882,ENSAYOS!$Q$5:$Q$3004,"&gt;0")-M882*P882^2)/(M882-1))))</f>
        <v/>
      </c>
      <c r="T882" s="17" t="str">
        <f aca="false">IF(S882="","",S882/P882)</f>
        <v/>
      </c>
      <c r="U882" s="16" t="str">
        <f aca="false">IF(N(M882)=0,"",IF(N882&gt;=CONFIG!$B$27,"",AVERAGEIFS(ENSAYOS!$Q$5:$Q$3004,ENSAYOS!$C$5:$C$3004,F882,ENSAYOS!$Q$5:$Q$3004,"&gt;0",ENSAYOS!$G$5:$G$3004,N882)))</f>
        <v/>
      </c>
      <c r="V882" s="16" t="str">
        <f aca="false">IF(N(M882)=0,"",IF(COUNTIFS(ENSAYOS!$C$5:$C$3004,F882,ENSAYOS!$Q$5:$Q$3004,"&gt;0",ENSAYOS!$G$5:$G$3004,"&gt;="&amp;CONFIG!$B$27)=0,"",AVERAGEIFS(ENSAYOS!$Q$5:$Q$3004,ENSAYOS!$C$5:$C$3004,F882,ENSAYOS!$Q$5:$Q$3004,"&gt;0",ENSAYOS!$G$5:$G$3004,"&gt;="&amp;CONFIG!$B$27)))</f>
        <v/>
      </c>
      <c r="W882" s="18" t="str">
        <f aca="false">IF(AND(U882&lt;&gt;"",V882&lt;&gt;""),U882/V882,"")</f>
        <v/>
      </c>
      <c r="X882" s="18" t="str">
        <f aca="false">IF(U882="","",INDEX('CURVA EDAD'!$E$5:$E$32,MIN(28,MAX(1,N882))))</f>
        <v/>
      </c>
      <c r="Y882" s="16" t="str">
        <f aca="false">IF(V882&lt;&gt;"",V882,IF(U882="","",U882/X882))</f>
        <v/>
      </c>
      <c r="Z882" s="16" t="str">
        <f aca="false">IF(V882&lt;&gt;"",_xlfn.MINIFS(ENSAYOS!$Q$5:$Q$3004,ENSAYOS!$C$5:$C$3004,F882,ENSAYOS!$Q$5:$Q$3004,"&gt;0",ENSAYOS!$G$5:$G$3004,"&gt;="&amp;CONFIG!$B$27),IF(U882="","",_xlfn.MINIFS(ENSAYOS!$Q$5:$Q$3004,ENSAYOS!$C$5:$C$3004,F882,ENSAYOS!$Q$5:$Q$3004,"&gt;0",ENSAYOS!$G$5:$G$3004,N882)/X882))</f>
        <v/>
      </c>
      <c r="AA882" s="16" t="str">
        <f aca="false">IF(D882="","",IFERROR(1/(1/INDEX(CONFIG!$J$5:$J$14,MATCH(D882,CONFIG!$D$5:$D$14,0))),""))</f>
        <v/>
      </c>
      <c r="AB882" s="16" t="str">
        <f aca="false">IF(D882="","",IFERROR(1/(1/INDEX(CONFIG!$K$5:$K$14,MATCH(D882,CONFIG!$D$5:$D$14,0))),""))</f>
        <v/>
      </c>
      <c r="AC882" s="19" t="str">
        <f aca="false">IF(N(M882)=0,"",IF(AA882="","Sin spec",IF(AND(Y882&gt;=AA882,OR(AB882="",Z882&gt;=AB882)),"CUMPLE","NO CUMPLE")&amp;IF(V882=""," (est.)","")))</f>
        <v/>
      </c>
      <c r="AD882" s="20" t="str">
        <f aca="false">IF(F882="","",IF(COUNTIFS(ABSORCION!$C$5:$C$1004,F882,ABSORCION!$I$5:$I$1004,"&gt;0")=0,"",AVERAGEIFS(ABSORCION!$I$5:$I$1004,ABSORCION!$C$5:$C$1004,F882,ABSORCION!$I$5:$I$1004,"&gt;0")))</f>
        <v/>
      </c>
      <c r="AE882" s="20" t="str">
        <f aca="false">IF(F882="","",IF(COUNTIFS(ABSORCION!$C$5:$C$1004,F882,ABSORCION!$I$5:$I$1004,"&gt;0")=0,"",AVERAGEIFS(ABSORCION!$K$5:$K$1004,ABSORCION!$C$5:$C$1004,F882,ABSORCION!$I$5:$I$1004,"&gt;0")))</f>
        <v/>
      </c>
      <c r="AF882" s="20" t="str">
        <f aca="false">IF(AE882="","",IF(AE882&gt;=CONFIG!$E$21,CONFIG!$F$21,IF(AE882&gt;=CONFIG!$E$20,CONFIG!$F$20,CONFIG!$F$19)))</f>
        <v/>
      </c>
      <c r="AG882" s="21" t="str">
        <f aca="false">IF(F882="","",TRIM(IF(N(M882)=0,"Sin ensayos. ","")&amp;IF(AND(N(M882)&gt;0,N(M882)&lt;CONFIG!$B$26),"Menos de "&amp;CONFIG!$B$26&amp;" probetas. ","")&amp;IF(N(T882)&gt;CONFIG!$B$25,"CV alto. ","")&amp;IF(AND(N(AD882)&gt;0,N(AD882)&gt;N(AF882)),"Absorción alta. ","")))</f>
        <v/>
      </c>
      <c r="AH882" s="22" t="str">
        <f aca="false">IF(AND(N(M882)&gt;0,OR(CONTROL!$C$4="TODAS",C882=CONTROL!$C$4),D882=CONTROL!$C$5),MAX($AH$4:AH881)+1,"")</f>
        <v/>
      </c>
      <c r="AI882" s="22" t="str">
        <f aca="false">IF(AH882="","",P882^2)</f>
        <v/>
      </c>
    </row>
    <row r="883" customFormat="false" ht="15" hidden="false" customHeight="false" outlineLevel="0" collapsed="false">
      <c r="A883" s="11" t="str">
        <f aca="false">IF(B883="","",ROW()-4)</f>
        <v/>
      </c>
      <c r="B883" s="12"/>
      <c r="C883" s="13"/>
      <c r="D883" s="13"/>
      <c r="E883" s="13"/>
      <c r="F883" s="14" t="str">
        <f aca="false">IF(OR(B883="",C883="",D883=""),"",IFERROR(INDEX(CONFIG!$E$5:$E$14,MATCH(D883,CONFIG!$D$5:$D$14,0)),"?")&amp;RIGHT("0"&amp;DAY(B883),2)&amp;RIGHT("0"&amp;MONTH(B883),2)&amp;RIGHT(YEAR(B883),2)&amp;C883&amp;IF(E883="","","-"&amp;E883))</f>
        <v/>
      </c>
      <c r="G883" s="13"/>
      <c r="H883" s="13"/>
      <c r="I883" s="13"/>
      <c r="J883" s="13"/>
      <c r="K883" s="13"/>
      <c r="L883" s="13"/>
      <c r="M883" s="11" t="str">
        <f aca="false">IF(F883="","",COUNTIFS(ENSAYOS!$C$5:$C$3004,F883,ENSAYOS!$Q$5:$Q$3004,"&gt;0"))</f>
        <v/>
      </c>
      <c r="N883" s="15" t="str">
        <f aca="false">IF(N(M883)=0,"",_xlfn.MINIFS(ENSAYOS!$G$5:$G$3004,ENSAYOS!$C$5:$C$3004,F883,ENSAYOS!$Q$5:$Q$3004,"&gt;0"))</f>
        <v/>
      </c>
      <c r="O883" s="15" t="str">
        <f aca="false">IF(N(M883)=0,"",_xlfn.MAXIFS(ENSAYOS!$G$5:$G$3004,ENSAYOS!$C$5:$C$3004,F883,ENSAYOS!$Q$5:$Q$3004,"&gt;0"))</f>
        <v/>
      </c>
      <c r="P883" s="16" t="str">
        <f aca="false">IF(N(M883)=0,"",AVERAGEIFS(ENSAYOS!$Q$5:$Q$3004,ENSAYOS!$C$5:$C$3004,F883,ENSAYOS!$Q$5:$Q$3004,"&gt;0"))</f>
        <v/>
      </c>
      <c r="Q883" s="16" t="str">
        <f aca="false">IF(N(M883)=0,"",_xlfn.MINIFS(ENSAYOS!$Q$5:$Q$3004,ENSAYOS!$C$5:$C$3004,F883,ENSAYOS!$Q$5:$Q$3004,"&gt;0"))</f>
        <v/>
      </c>
      <c r="R883" s="16" t="str">
        <f aca="false">IF(N(M883)=0,"",_xlfn.MAXIFS(ENSAYOS!$Q$5:$Q$3004,ENSAYOS!$C$5:$C$3004,F883,ENSAYOS!$Q$5:$Q$3004,"&gt;0"))</f>
        <v/>
      </c>
      <c r="S883" s="16" t="str">
        <f aca="false">IF(N(M883)&lt;2,"",SQRT(MAX(0,(SUMIFS(ENSAYOS!$X$5:$X$3004,ENSAYOS!$C$5:$C$3004,F883,ENSAYOS!$Q$5:$Q$3004,"&gt;0")-M883*P883^2)/(M883-1))))</f>
        <v/>
      </c>
      <c r="T883" s="17" t="str">
        <f aca="false">IF(S883="","",S883/P883)</f>
        <v/>
      </c>
      <c r="U883" s="16" t="str">
        <f aca="false">IF(N(M883)=0,"",IF(N883&gt;=CONFIG!$B$27,"",AVERAGEIFS(ENSAYOS!$Q$5:$Q$3004,ENSAYOS!$C$5:$C$3004,F883,ENSAYOS!$Q$5:$Q$3004,"&gt;0",ENSAYOS!$G$5:$G$3004,N883)))</f>
        <v/>
      </c>
      <c r="V883" s="16" t="str">
        <f aca="false">IF(N(M883)=0,"",IF(COUNTIFS(ENSAYOS!$C$5:$C$3004,F883,ENSAYOS!$Q$5:$Q$3004,"&gt;0",ENSAYOS!$G$5:$G$3004,"&gt;="&amp;CONFIG!$B$27)=0,"",AVERAGEIFS(ENSAYOS!$Q$5:$Q$3004,ENSAYOS!$C$5:$C$3004,F883,ENSAYOS!$Q$5:$Q$3004,"&gt;0",ENSAYOS!$G$5:$G$3004,"&gt;="&amp;CONFIG!$B$27)))</f>
        <v/>
      </c>
      <c r="W883" s="18" t="str">
        <f aca="false">IF(AND(U883&lt;&gt;"",V883&lt;&gt;""),U883/V883,"")</f>
        <v/>
      </c>
      <c r="X883" s="18" t="str">
        <f aca="false">IF(U883="","",INDEX('CURVA EDAD'!$E$5:$E$32,MIN(28,MAX(1,N883))))</f>
        <v/>
      </c>
      <c r="Y883" s="16" t="str">
        <f aca="false">IF(V883&lt;&gt;"",V883,IF(U883="","",U883/X883))</f>
        <v/>
      </c>
      <c r="Z883" s="16" t="str">
        <f aca="false">IF(V883&lt;&gt;"",_xlfn.MINIFS(ENSAYOS!$Q$5:$Q$3004,ENSAYOS!$C$5:$C$3004,F883,ENSAYOS!$Q$5:$Q$3004,"&gt;0",ENSAYOS!$G$5:$G$3004,"&gt;="&amp;CONFIG!$B$27),IF(U883="","",_xlfn.MINIFS(ENSAYOS!$Q$5:$Q$3004,ENSAYOS!$C$5:$C$3004,F883,ENSAYOS!$Q$5:$Q$3004,"&gt;0",ENSAYOS!$G$5:$G$3004,N883)/X883))</f>
        <v/>
      </c>
      <c r="AA883" s="16" t="str">
        <f aca="false">IF(D883="","",IFERROR(1/(1/INDEX(CONFIG!$J$5:$J$14,MATCH(D883,CONFIG!$D$5:$D$14,0))),""))</f>
        <v/>
      </c>
      <c r="AB883" s="16" t="str">
        <f aca="false">IF(D883="","",IFERROR(1/(1/INDEX(CONFIG!$K$5:$K$14,MATCH(D883,CONFIG!$D$5:$D$14,0))),""))</f>
        <v/>
      </c>
      <c r="AC883" s="19" t="str">
        <f aca="false">IF(N(M883)=0,"",IF(AA883="","Sin spec",IF(AND(Y883&gt;=AA883,OR(AB883="",Z883&gt;=AB883)),"CUMPLE","NO CUMPLE")&amp;IF(V883=""," (est.)","")))</f>
        <v/>
      </c>
      <c r="AD883" s="20" t="str">
        <f aca="false">IF(F883="","",IF(COUNTIFS(ABSORCION!$C$5:$C$1004,F883,ABSORCION!$I$5:$I$1004,"&gt;0")=0,"",AVERAGEIFS(ABSORCION!$I$5:$I$1004,ABSORCION!$C$5:$C$1004,F883,ABSORCION!$I$5:$I$1004,"&gt;0")))</f>
        <v/>
      </c>
      <c r="AE883" s="20" t="str">
        <f aca="false">IF(F883="","",IF(COUNTIFS(ABSORCION!$C$5:$C$1004,F883,ABSORCION!$I$5:$I$1004,"&gt;0")=0,"",AVERAGEIFS(ABSORCION!$K$5:$K$1004,ABSORCION!$C$5:$C$1004,F883,ABSORCION!$I$5:$I$1004,"&gt;0")))</f>
        <v/>
      </c>
      <c r="AF883" s="20" t="str">
        <f aca="false">IF(AE883="","",IF(AE883&gt;=CONFIG!$E$21,CONFIG!$F$21,IF(AE883&gt;=CONFIG!$E$20,CONFIG!$F$20,CONFIG!$F$19)))</f>
        <v/>
      </c>
      <c r="AG883" s="21" t="str">
        <f aca="false">IF(F883="","",TRIM(IF(N(M883)=0,"Sin ensayos. ","")&amp;IF(AND(N(M883)&gt;0,N(M883)&lt;CONFIG!$B$26),"Menos de "&amp;CONFIG!$B$26&amp;" probetas. ","")&amp;IF(N(T883)&gt;CONFIG!$B$25,"CV alto. ","")&amp;IF(AND(N(AD883)&gt;0,N(AD883)&gt;N(AF883)),"Absorción alta. ","")))</f>
        <v/>
      </c>
      <c r="AH883" s="22" t="str">
        <f aca="false">IF(AND(N(M883)&gt;0,OR(CONTROL!$C$4="TODAS",C883=CONTROL!$C$4),D883=CONTROL!$C$5),MAX($AH$4:AH882)+1,"")</f>
        <v/>
      </c>
      <c r="AI883" s="22" t="str">
        <f aca="false">IF(AH883="","",P883^2)</f>
        <v/>
      </c>
    </row>
    <row r="884" customFormat="false" ht="15" hidden="false" customHeight="false" outlineLevel="0" collapsed="false">
      <c r="A884" s="11" t="str">
        <f aca="false">IF(B884="","",ROW()-4)</f>
        <v/>
      </c>
      <c r="B884" s="12"/>
      <c r="C884" s="13"/>
      <c r="D884" s="13"/>
      <c r="E884" s="13"/>
      <c r="F884" s="14" t="str">
        <f aca="false">IF(OR(B884="",C884="",D884=""),"",IFERROR(INDEX(CONFIG!$E$5:$E$14,MATCH(D884,CONFIG!$D$5:$D$14,0)),"?")&amp;RIGHT("0"&amp;DAY(B884),2)&amp;RIGHT("0"&amp;MONTH(B884),2)&amp;RIGHT(YEAR(B884),2)&amp;C884&amp;IF(E884="","","-"&amp;E884))</f>
        <v/>
      </c>
      <c r="G884" s="13"/>
      <c r="H884" s="13"/>
      <c r="I884" s="13"/>
      <c r="J884" s="13"/>
      <c r="K884" s="13"/>
      <c r="L884" s="13"/>
      <c r="M884" s="11" t="str">
        <f aca="false">IF(F884="","",COUNTIFS(ENSAYOS!$C$5:$C$3004,F884,ENSAYOS!$Q$5:$Q$3004,"&gt;0"))</f>
        <v/>
      </c>
      <c r="N884" s="15" t="str">
        <f aca="false">IF(N(M884)=0,"",_xlfn.MINIFS(ENSAYOS!$G$5:$G$3004,ENSAYOS!$C$5:$C$3004,F884,ENSAYOS!$Q$5:$Q$3004,"&gt;0"))</f>
        <v/>
      </c>
      <c r="O884" s="15" t="str">
        <f aca="false">IF(N(M884)=0,"",_xlfn.MAXIFS(ENSAYOS!$G$5:$G$3004,ENSAYOS!$C$5:$C$3004,F884,ENSAYOS!$Q$5:$Q$3004,"&gt;0"))</f>
        <v/>
      </c>
      <c r="P884" s="16" t="str">
        <f aca="false">IF(N(M884)=0,"",AVERAGEIFS(ENSAYOS!$Q$5:$Q$3004,ENSAYOS!$C$5:$C$3004,F884,ENSAYOS!$Q$5:$Q$3004,"&gt;0"))</f>
        <v/>
      </c>
      <c r="Q884" s="16" t="str">
        <f aca="false">IF(N(M884)=0,"",_xlfn.MINIFS(ENSAYOS!$Q$5:$Q$3004,ENSAYOS!$C$5:$C$3004,F884,ENSAYOS!$Q$5:$Q$3004,"&gt;0"))</f>
        <v/>
      </c>
      <c r="R884" s="16" t="str">
        <f aca="false">IF(N(M884)=0,"",_xlfn.MAXIFS(ENSAYOS!$Q$5:$Q$3004,ENSAYOS!$C$5:$C$3004,F884,ENSAYOS!$Q$5:$Q$3004,"&gt;0"))</f>
        <v/>
      </c>
      <c r="S884" s="16" t="str">
        <f aca="false">IF(N(M884)&lt;2,"",SQRT(MAX(0,(SUMIFS(ENSAYOS!$X$5:$X$3004,ENSAYOS!$C$5:$C$3004,F884,ENSAYOS!$Q$5:$Q$3004,"&gt;0")-M884*P884^2)/(M884-1))))</f>
        <v/>
      </c>
      <c r="T884" s="17" t="str">
        <f aca="false">IF(S884="","",S884/P884)</f>
        <v/>
      </c>
      <c r="U884" s="16" t="str">
        <f aca="false">IF(N(M884)=0,"",IF(N884&gt;=CONFIG!$B$27,"",AVERAGEIFS(ENSAYOS!$Q$5:$Q$3004,ENSAYOS!$C$5:$C$3004,F884,ENSAYOS!$Q$5:$Q$3004,"&gt;0",ENSAYOS!$G$5:$G$3004,N884)))</f>
        <v/>
      </c>
      <c r="V884" s="16" t="str">
        <f aca="false">IF(N(M884)=0,"",IF(COUNTIFS(ENSAYOS!$C$5:$C$3004,F884,ENSAYOS!$Q$5:$Q$3004,"&gt;0",ENSAYOS!$G$5:$G$3004,"&gt;="&amp;CONFIG!$B$27)=0,"",AVERAGEIFS(ENSAYOS!$Q$5:$Q$3004,ENSAYOS!$C$5:$C$3004,F884,ENSAYOS!$Q$5:$Q$3004,"&gt;0",ENSAYOS!$G$5:$G$3004,"&gt;="&amp;CONFIG!$B$27)))</f>
        <v/>
      </c>
      <c r="W884" s="18" t="str">
        <f aca="false">IF(AND(U884&lt;&gt;"",V884&lt;&gt;""),U884/V884,"")</f>
        <v/>
      </c>
      <c r="X884" s="18" t="str">
        <f aca="false">IF(U884="","",INDEX('CURVA EDAD'!$E$5:$E$32,MIN(28,MAX(1,N884))))</f>
        <v/>
      </c>
      <c r="Y884" s="16" t="str">
        <f aca="false">IF(V884&lt;&gt;"",V884,IF(U884="","",U884/X884))</f>
        <v/>
      </c>
      <c r="Z884" s="16" t="str">
        <f aca="false">IF(V884&lt;&gt;"",_xlfn.MINIFS(ENSAYOS!$Q$5:$Q$3004,ENSAYOS!$C$5:$C$3004,F884,ENSAYOS!$Q$5:$Q$3004,"&gt;0",ENSAYOS!$G$5:$G$3004,"&gt;="&amp;CONFIG!$B$27),IF(U884="","",_xlfn.MINIFS(ENSAYOS!$Q$5:$Q$3004,ENSAYOS!$C$5:$C$3004,F884,ENSAYOS!$Q$5:$Q$3004,"&gt;0",ENSAYOS!$G$5:$G$3004,N884)/X884))</f>
        <v/>
      </c>
      <c r="AA884" s="16" t="str">
        <f aca="false">IF(D884="","",IFERROR(1/(1/INDEX(CONFIG!$J$5:$J$14,MATCH(D884,CONFIG!$D$5:$D$14,0))),""))</f>
        <v/>
      </c>
      <c r="AB884" s="16" t="str">
        <f aca="false">IF(D884="","",IFERROR(1/(1/INDEX(CONFIG!$K$5:$K$14,MATCH(D884,CONFIG!$D$5:$D$14,0))),""))</f>
        <v/>
      </c>
      <c r="AC884" s="19" t="str">
        <f aca="false">IF(N(M884)=0,"",IF(AA884="","Sin spec",IF(AND(Y884&gt;=AA884,OR(AB884="",Z884&gt;=AB884)),"CUMPLE","NO CUMPLE")&amp;IF(V884=""," (est.)","")))</f>
        <v/>
      </c>
      <c r="AD884" s="20" t="str">
        <f aca="false">IF(F884="","",IF(COUNTIFS(ABSORCION!$C$5:$C$1004,F884,ABSORCION!$I$5:$I$1004,"&gt;0")=0,"",AVERAGEIFS(ABSORCION!$I$5:$I$1004,ABSORCION!$C$5:$C$1004,F884,ABSORCION!$I$5:$I$1004,"&gt;0")))</f>
        <v/>
      </c>
      <c r="AE884" s="20" t="str">
        <f aca="false">IF(F884="","",IF(COUNTIFS(ABSORCION!$C$5:$C$1004,F884,ABSORCION!$I$5:$I$1004,"&gt;0")=0,"",AVERAGEIFS(ABSORCION!$K$5:$K$1004,ABSORCION!$C$5:$C$1004,F884,ABSORCION!$I$5:$I$1004,"&gt;0")))</f>
        <v/>
      </c>
      <c r="AF884" s="20" t="str">
        <f aca="false">IF(AE884="","",IF(AE884&gt;=CONFIG!$E$21,CONFIG!$F$21,IF(AE884&gt;=CONFIG!$E$20,CONFIG!$F$20,CONFIG!$F$19)))</f>
        <v/>
      </c>
      <c r="AG884" s="21" t="str">
        <f aca="false">IF(F884="","",TRIM(IF(N(M884)=0,"Sin ensayos. ","")&amp;IF(AND(N(M884)&gt;0,N(M884)&lt;CONFIG!$B$26),"Menos de "&amp;CONFIG!$B$26&amp;" probetas. ","")&amp;IF(N(T884)&gt;CONFIG!$B$25,"CV alto. ","")&amp;IF(AND(N(AD884)&gt;0,N(AD884)&gt;N(AF884)),"Absorción alta. ","")))</f>
        <v/>
      </c>
      <c r="AH884" s="22" t="str">
        <f aca="false">IF(AND(N(M884)&gt;0,OR(CONTROL!$C$4="TODAS",C884=CONTROL!$C$4),D884=CONTROL!$C$5),MAX($AH$4:AH883)+1,"")</f>
        <v/>
      </c>
      <c r="AI884" s="22" t="str">
        <f aca="false">IF(AH884="","",P884^2)</f>
        <v/>
      </c>
    </row>
    <row r="885" customFormat="false" ht="15" hidden="false" customHeight="false" outlineLevel="0" collapsed="false">
      <c r="A885" s="11" t="str">
        <f aca="false">IF(B885="","",ROW()-4)</f>
        <v/>
      </c>
      <c r="B885" s="12"/>
      <c r="C885" s="13"/>
      <c r="D885" s="13"/>
      <c r="E885" s="13"/>
      <c r="F885" s="14" t="str">
        <f aca="false">IF(OR(B885="",C885="",D885=""),"",IFERROR(INDEX(CONFIG!$E$5:$E$14,MATCH(D885,CONFIG!$D$5:$D$14,0)),"?")&amp;RIGHT("0"&amp;DAY(B885),2)&amp;RIGHT("0"&amp;MONTH(B885),2)&amp;RIGHT(YEAR(B885),2)&amp;C885&amp;IF(E885="","","-"&amp;E885))</f>
        <v/>
      </c>
      <c r="G885" s="13"/>
      <c r="H885" s="13"/>
      <c r="I885" s="13"/>
      <c r="J885" s="13"/>
      <c r="K885" s="13"/>
      <c r="L885" s="13"/>
      <c r="M885" s="11" t="str">
        <f aca="false">IF(F885="","",COUNTIFS(ENSAYOS!$C$5:$C$3004,F885,ENSAYOS!$Q$5:$Q$3004,"&gt;0"))</f>
        <v/>
      </c>
      <c r="N885" s="15" t="str">
        <f aca="false">IF(N(M885)=0,"",_xlfn.MINIFS(ENSAYOS!$G$5:$G$3004,ENSAYOS!$C$5:$C$3004,F885,ENSAYOS!$Q$5:$Q$3004,"&gt;0"))</f>
        <v/>
      </c>
      <c r="O885" s="15" t="str">
        <f aca="false">IF(N(M885)=0,"",_xlfn.MAXIFS(ENSAYOS!$G$5:$G$3004,ENSAYOS!$C$5:$C$3004,F885,ENSAYOS!$Q$5:$Q$3004,"&gt;0"))</f>
        <v/>
      </c>
      <c r="P885" s="16" t="str">
        <f aca="false">IF(N(M885)=0,"",AVERAGEIFS(ENSAYOS!$Q$5:$Q$3004,ENSAYOS!$C$5:$C$3004,F885,ENSAYOS!$Q$5:$Q$3004,"&gt;0"))</f>
        <v/>
      </c>
      <c r="Q885" s="16" t="str">
        <f aca="false">IF(N(M885)=0,"",_xlfn.MINIFS(ENSAYOS!$Q$5:$Q$3004,ENSAYOS!$C$5:$C$3004,F885,ENSAYOS!$Q$5:$Q$3004,"&gt;0"))</f>
        <v/>
      </c>
      <c r="R885" s="16" t="str">
        <f aca="false">IF(N(M885)=0,"",_xlfn.MAXIFS(ENSAYOS!$Q$5:$Q$3004,ENSAYOS!$C$5:$C$3004,F885,ENSAYOS!$Q$5:$Q$3004,"&gt;0"))</f>
        <v/>
      </c>
      <c r="S885" s="16" t="str">
        <f aca="false">IF(N(M885)&lt;2,"",SQRT(MAX(0,(SUMIFS(ENSAYOS!$X$5:$X$3004,ENSAYOS!$C$5:$C$3004,F885,ENSAYOS!$Q$5:$Q$3004,"&gt;0")-M885*P885^2)/(M885-1))))</f>
        <v/>
      </c>
      <c r="T885" s="17" t="str">
        <f aca="false">IF(S885="","",S885/P885)</f>
        <v/>
      </c>
      <c r="U885" s="16" t="str">
        <f aca="false">IF(N(M885)=0,"",IF(N885&gt;=CONFIG!$B$27,"",AVERAGEIFS(ENSAYOS!$Q$5:$Q$3004,ENSAYOS!$C$5:$C$3004,F885,ENSAYOS!$Q$5:$Q$3004,"&gt;0",ENSAYOS!$G$5:$G$3004,N885)))</f>
        <v/>
      </c>
      <c r="V885" s="16" t="str">
        <f aca="false">IF(N(M885)=0,"",IF(COUNTIFS(ENSAYOS!$C$5:$C$3004,F885,ENSAYOS!$Q$5:$Q$3004,"&gt;0",ENSAYOS!$G$5:$G$3004,"&gt;="&amp;CONFIG!$B$27)=0,"",AVERAGEIFS(ENSAYOS!$Q$5:$Q$3004,ENSAYOS!$C$5:$C$3004,F885,ENSAYOS!$Q$5:$Q$3004,"&gt;0",ENSAYOS!$G$5:$G$3004,"&gt;="&amp;CONFIG!$B$27)))</f>
        <v/>
      </c>
      <c r="W885" s="18" t="str">
        <f aca="false">IF(AND(U885&lt;&gt;"",V885&lt;&gt;""),U885/V885,"")</f>
        <v/>
      </c>
      <c r="X885" s="18" t="str">
        <f aca="false">IF(U885="","",INDEX('CURVA EDAD'!$E$5:$E$32,MIN(28,MAX(1,N885))))</f>
        <v/>
      </c>
      <c r="Y885" s="16" t="str">
        <f aca="false">IF(V885&lt;&gt;"",V885,IF(U885="","",U885/X885))</f>
        <v/>
      </c>
      <c r="Z885" s="16" t="str">
        <f aca="false">IF(V885&lt;&gt;"",_xlfn.MINIFS(ENSAYOS!$Q$5:$Q$3004,ENSAYOS!$C$5:$C$3004,F885,ENSAYOS!$Q$5:$Q$3004,"&gt;0",ENSAYOS!$G$5:$G$3004,"&gt;="&amp;CONFIG!$B$27),IF(U885="","",_xlfn.MINIFS(ENSAYOS!$Q$5:$Q$3004,ENSAYOS!$C$5:$C$3004,F885,ENSAYOS!$Q$5:$Q$3004,"&gt;0",ENSAYOS!$G$5:$G$3004,N885)/X885))</f>
        <v/>
      </c>
      <c r="AA885" s="16" t="str">
        <f aca="false">IF(D885="","",IFERROR(1/(1/INDEX(CONFIG!$J$5:$J$14,MATCH(D885,CONFIG!$D$5:$D$14,0))),""))</f>
        <v/>
      </c>
      <c r="AB885" s="16" t="str">
        <f aca="false">IF(D885="","",IFERROR(1/(1/INDEX(CONFIG!$K$5:$K$14,MATCH(D885,CONFIG!$D$5:$D$14,0))),""))</f>
        <v/>
      </c>
      <c r="AC885" s="19" t="str">
        <f aca="false">IF(N(M885)=0,"",IF(AA885="","Sin spec",IF(AND(Y885&gt;=AA885,OR(AB885="",Z885&gt;=AB885)),"CUMPLE","NO CUMPLE")&amp;IF(V885=""," (est.)","")))</f>
        <v/>
      </c>
      <c r="AD885" s="20" t="str">
        <f aca="false">IF(F885="","",IF(COUNTIFS(ABSORCION!$C$5:$C$1004,F885,ABSORCION!$I$5:$I$1004,"&gt;0")=0,"",AVERAGEIFS(ABSORCION!$I$5:$I$1004,ABSORCION!$C$5:$C$1004,F885,ABSORCION!$I$5:$I$1004,"&gt;0")))</f>
        <v/>
      </c>
      <c r="AE885" s="20" t="str">
        <f aca="false">IF(F885="","",IF(COUNTIFS(ABSORCION!$C$5:$C$1004,F885,ABSORCION!$I$5:$I$1004,"&gt;0")=0,"",AVERAGEIFS(ABSORCION!$K$5:$K$1004,ABSORCION!$C$5:$C$1004,F885,ABSORCION!$I$5:$I$1004,"&gt;0")))</f>
        <v/>
      </c>
      <c r="AF885" s="20" t="str">
        <f aca="false">IF(AE885="","",IF(AE885&gt;=CONFIG!$E$21,CONFIG!$F$21,IF(AE885&gt;=CONFIG!$E$20,CONFIG!$F$20,CONFIG!$F$19)))</f>
        <v/>
      </c>
      <c r="AG885" s="21" t="str">
        <f aca="false">IF(F885="","",TRIM(IF(N(M885)=0,"Sin ensayos. ","")&amp;IF(AND(N(M885)&gt;0,N(M885)&lt;CONFIG!$B$26),"Menos de "&amp;CONFIG!$B$26&amp;" probetas. ","")&amp;IF(N(T885)&gt;CONFIG!$B$25,"CV alto. ","")&amp;IF(AND(N(AD885)&gt;0,N(AD885)&gt;N(AF885)),"Absorción alta. ","")))</f>
        <v/>
      </c>
      <c r="AH885" s="22" t="str">
        <f aca="false">IF(AND(N(M885)&gt;0,OR(CONTROL!$C$4="TODAS",C885=CONTROL!$C$4),D885=CONTROL!$C$5),MAX($AH$4:AH884)+1,"")</f>
        <v/>
      </c>
      <c r="AI885" s="22" t="str">
        <f aca="false">IF(AH885="","",P885^2)</f>
        <v/>
      </c>
    </row>
    <row r="886" customFormat="false" ht="15" hidden="false" customHeight="false" outlineLevel="0" collapsed="false">
      <c r="A886" s="11" t="str">
        <f aca="false">IF(B886="","",ROW()-4)</f>
        <v/>
      </c>
      <c r="B886" s="12"/>
      <c r="C886" s="13"/>
      <c r="D886" s="13"/>
      <c r="E886" s="13"/>
      <c r="F886" s="14" t="str">
        <f aca="false">IF(OR(B886="",C886="",D886=""),"",IFERROR(INDEX(CONFIG!$E$5:$E$14,MATCH(D886,CONFIG!$D$5:$D$14,0)),"?")&amp;RIGHT("0"&amp;DAY(B886),2)&amp;RIGHT("0"&amp;MONTH(B886),2)&amp;RIGHT(YEAR(B886),2)&amp;C886&amp;IF(E886="","","-"&amp;E886))</f>
        <v/>
      </c>
      <c r="G886" s="13"/>
      <c r="H886" s="13"/>
      <c r="I886" s="13"/>
      <c r="J886" s="13"/>
      <c r="K886" s="13"/>
      <c r="L886" s="13"/>
      <c r="M886" s="11" t="str">
        <f aca="false">IF(F886="","",COUNTIFS(ENSAYOS!$C$5:$C$3004,F886,ENSAYOS!$Q$5:$Q$3004,"&gt;0"))</f>
        <v/>
      </c>
      <c r="N886" s="15" t="str">
        <f aca="false">IF(N(M886)=0,"",_xlfn.MINIFS(ENSAYOS!$G$5:$G$3004,ENSAYOS!$C$5:$C$3004,F886,ENSAYOS!$Q$5:$Q$3004,"&gt;0"))</f>
        <v/>
      </c>
      <c r="O886" s="15" t="str">
        <f aca="false">IF(N(M886)=0,"",_xlfn.MAXIFS(ENSAYOS!$G$5:$G$3004,ENSAYOS!$C$5:$C$3004,F886,ENSAYOS!$Q$5:$Q$3004,"&gt;0"))</f>
        <v/>
      </c>
      <c r="P886" s="16" t="str">
        <f aca="false">IF(N(M886)=0,"",AVERAGEIFS(ENSAYOS!$Q$5:$Q$3004,ENSAYOS!$C$5:$C$3004,F886,ENSAYOS!$Q$5:$Q$3004,"&gt;0"))</f>
        <v/>
      </c>
      <c r="Q886" s="16" t="str">
        <f aca="false">IF(N(M886)=0,"",_xlfn.MINIFS(ENSAYOS!$Q$5:$Q$3004,ENSAYOS!$C$5:$C$3004,F886,ENSAYOS!$Q$5:$Q$3004,"&gt;0"))</f>
        <v/>
      </c>
      <c r="R886" s="16" t="str">
        <f aca="false">IF(N(M886)=0,"",_xlfn.MAXIFS(ENSAYOS!$Q$5:$Q$3004,ENSAYOS!$C$5:$C$3004,F886,ENSAYOS!$Q$5:$Q$3004,"&gt;0"))</f>
        <v/>
      </c>
      <c r="S886" s="16" t="str">
        <f aca="false">IF(N(M886)&lt;2,"",SQRT(MAX(0,(SUMIFS(ENSAYOS!$X$5:$X$3004,ENSAYOS!$C$5:$C$3004,F886,ENSAYOS!$Q$5:$Q$3004,"&gt;0")-M886*P886^2)/(M886-1))))</f>
        <v/>
      </c>
      <c r="T886" s="17" t="str">
        <f aca="false">IF(S886="","",S886/P886)</f>
        <v/>
      </c>
      <c r="U886" s="16" t="str">
        <f aca="false">IF(N(M886)=0,"",IF(N886&gt;=CONFIG!$B$27,"",AVERAGEIFS(ENSAYOS!$Q$5:$Q$3004,ENSAYOS!$C$5:$C$3004,F886,ENSAYOS!$Q$5:$Q$3004,"&gt;0",ENSAYOS!$G$5:$G$3004,N886)))</f>
        <v/>
      </c>
      <c r="V886" s="16" t="str">
        <f aca="false">IF(N(M886)=0,"",IF(COUNTIFS(ENSAYOS!$C$5:$C$3004,F886,ENSAYOS!$Q$5:$Q$3004,"&gt;0",ENSAYOS!$G$5:$G$3004,"&gt;="&amp;CONFIG!$B$27)=0,"",AVERAGEIFS(ENSAYOS!$Q$5:$Q$3004,ENSAYOS!$C$5:$C$3004,F886,ENSAYOS!$Q$5:$Q$3004,"&gt;0",ENSAYOS!$G$5:$G$3004,"&gt;="&amp;CONFIG!$B$27)))</f>
        <v/>
      </c>
      <c r="W886" s="18" t="str">
        <f aca="false">IF(AND(U886&lt;&gt;"",V886&lt;&gt;""),U886/V886,"")</f>
        <v/>
      </c>
      <c r="X886" s="18" t="str">
        <f aca="false">IF(U886="","",INDEX('CURVA EDAD'!$E$5:$E$32,MIN(28,MAX(1,N886))))</f>
        <v/>
      </c>
      <c r="Y886" s="16" t="str">
        <f aca="false">IF(V886&lt;&gt;"",V886,IF(U886="","",U886/X886))</f>
        <v/>
      </c>
      <c r="Z886" s="16" t="str">
        <f aca="false">IF(V886&lt;&gt;"",_xlfn.MINIFS(ENSAYOS!$Q$5:$Q$3004,ENSAYOS!$C$5:$C$3004,F886,ENSAYOS!$Q$5:$Q$3004,"&gt;0",ENSAYOS!$G$5:$G$3004,"&gt;="&amp;CONFIG!$B$27),IF(U886="","",_xlfn.MINIFS(ENSAYOS!$Q$5:$Q$3004,ENSAYOS!$C$5:$C$3004,F886,ENSAYOS!$Q$5:$Q$3004,"&gt;0",ENSAYOS!$G$5:$G$3004,N886)/X886))</f>
        <v/>
      </c>
      <c r="AA886" s="16" t="str">
        <f aca="false">IF(D886="","",IFERROR(1/(1/INDEX(CONFIG!$J$5:$J$14,MATCH(D886,CONFIG!$D$5:$D$14,0))),""))</f>
        <v/>
      </c>
      <c r="AB886" s="16" t="str">
        <f aca="false">IF(D886="","",IFERROR(1/(1/INDEX(CONFIG!$K$5:$K$14,MATCH(D886,CONFIG!$D$5:$D$14,0))),""))</f>
        <v/>
      </c>
      <c r="AC886" s="19" t="str">
        <f aca="false">IF(N(M886)=0,"",IF(AA886="","Sin spec",IF(AND(Y886&gt;=AA886,OR(AB886="",Z886&gt;=AB886)),"CUMPLE","NO CUMPLE")&amp;IF(V886=""," (est.)","")))</f>
        <v/>
      </c>
      <c r="AD886" s="20" t="str">
        <f aca="false">IF(F886="","",IF(COUNTIFS(ABSORCION!$C$5:$C$1004,F886,ABSORCION!$I$5:$I$1004,"&gt;0")=0,"",AVERAGEIFS(ABSORCION!$I$5:$I$1004,ABSORCION!$C$5:$C$1004,F886,ABSORCION!$I$5:$I$1004,"&gt;0")))</f>
        <v/>
      </c>
      <c r="AE886" s="20" t="str">
        <f aca="false">IF(F886="","",IF(COUNTIFS(ABSORCION!$C$5:$C$1004,F886,ABSORCION!$I$5:$I$1004,"&gt;0")=0,"",AVERAGEIFS(ABSORCION!$K$5:$K$1004,ABSORCION!$C$5:$C$1004,F886,ABSORCION!$I$5:$I$1004,"&gt;0")))</f>
        <v/>
      </c>
      <c r="AF886" s="20" t="str">
        <f aca="false">IF(AE886="","",IF(AE886&gt;=CONFIG!$E$21,CONFIG!$F$21,IF(AE886&gt;=CONFIG!$E$20,CONFIG!$F$20,CONFIG!$F$19)))</f>
        <v/>
      </c>
      <c r="AG886" s="21" t="str">
        <f aca="false">IF(F886="","",TRIM(IF(N(M886)=0,"Sin ensayos. ","")&amp;IF(AND(N(M886)&gt;0,N(M886)&lt;CONFIG!$B$26),"Menos de "&amp;CONFIG!$B$26&amp;" probetas. ","")&amp;IF(N(T886)&gt;CONFIG!$B$25,"CV alto. ","")&amp;IF(AND(N(AD886)&gt;0,N(AD886)&gt;N(AF886)),"Absorción alta. ","")))</f>
        <v/>
      </c>
      <c r="AH886" s="22" t="str">
        <f aca="false">IF(AND(N(M886)&gt;0,OR(CONTROL!$C$4="TODAS",C886=CONTROL!$C$4),D886=CONTROL!$C$5),MAX($AH$4:AH885)+1,"")</f>
        <v/>
      </c>
      <c r="AI886" s="22" t="str">
        <f aca="false">IF(AH886="","",P886^2)</f>
        <v/>
      </c>
    </row>
    <row r="887" customFormat="false" ht="15" hidden="false" customHeight="false" outlineLevel="0" collapsed="false">
      <c r="A887" s="11" t="str">
        <f aca="false">IF(B887="","",ROW()-4)</f>
        <v/>
      </c>
      <c r="B887" s="12"/>
      <c r="C887" s="13"/>
      <c r="D887" s="13"/>
      <c r="E887" s="13"/>
      <c r="F887" s="14" t="str">
        <f aca="false">IF(OR(B887="",C887="",D887=""),"",IFERROR(INDEX(CONFIG!$E$5:$E$14,MATCH(D887,CONFIG!$D$5:$D$14,0)),"?")&amp;RIGHT("0"&amp;DAY(B887),2)&amp;RIGHT("0"&amp;MONTH(B887),2)&amp;RIGHT(YEAR(B887),2)&amp;C887&amp;IF(E887="","","-"&amp;E887))</f>
        <v/>
      </c>
      <c r="G887" s="13"/>
      <c r="H887" s="13"/>
      <c r="I887" s="13"/>
      <c r="J887" s="13"/>
      <c r="K887" s="13"/>
      <c r="L887" s="13"/>
      <c r="M887" s="11" t="str">
        <f aca="false">IF(F887="","",COUNTIFS(ENSAYOS!$C$5:$C$3004,F887,ENSAYOS!$Q$5:$Q$3004,"&gt;0"))</f>
        <v/>
      </c>
      <c r="N887" s="15" t="str">
        <f aca="false">IF(N(M887)=0,"",_xlfn.MINIFS(ENSAYOS!$G$5:$G$3004,ENSAYOS!$C$5:$C$3004,F887,ENSAYOS!$Q$5:$Q$3004,"&gt;0"))</f>
        <v/>
      </c>
      <c r="O887" s="15" t="str">
        <f aca="false">IF(N(M887)=0,"",_xlfn.MAXIFS(ENSAYOS!$G$5:$G$3004,ENSAYOS!$C$5:$C$3004,F887,ENSAYOS!$Q$5:$Q$3004,"&gt;0"))</f>
        <v/>
      </c>
      <c r="P887" s="16" t="str">
        <f aca="false">IF(N(M887)=0,"",AVERAGEIFS(ENSAYOS!$Q$5:$Q$3004,ENSAYOS!$C$5:$C$3004,F887,ENSAYOS!$Q$5:$Q$3004,"&gt;0"))</f>
        <v/>
      </c>
      <c r="Q887" s="16" t="str">
        <f aca="false">IF(N(M887)=0,"",_xlfn.MINIFS(ENSAYOS!$Q$5:$Q$3004,ENSAYOS!$C$5:$C$3004,F887,ENSAYOS!$Q$5:$Q$3004,"&gt;0"))</f>
        <v/>
      </c>
      <c r="R887" s="16" t="str">
        <f aca="false">IF(N(M887)=0,"",_xlfn.MAXIFS(ENSAYOS!$Q$5:$Q$3004,ENSAYOS!$C$5:$C$3004,F887,ENSAYOS!$Q$5:$Q$3004,"&gt;0"))</f>
        <v/>
      </c>
      <c r="S887" s="16" t="str">
        <f aca="false">IF(N(M887)&lt;2,"",SQRT(MAX(0,(SUMIFS(ENSAYOS!$X$5:$X$3004,ENSAYOS!$C$5:$C$3004,F887,ENSAYOS!$Q$5:$Q$3004,"&gt;0")-M887*P887^2)/(M887-1))))</f>
        <v/>
      </c>
      <c r="T887" s="17" t="str">
        <f aca="false">IF(S887="","",S887/P887)</f>
        <v/>
      </c>
      <c r="U887" s="16" t="str">
        <f aca="false">IF(N(M887)=0,"",IF(N887&gt;=CONFIG!$B$27,"",AVERAGEIFS(ENSAYOS!$Q$5:$Q$3004,ENSAYOS!$C$5:$C$3004,F887,ENSAYOS!$Q$5:$Q$3004,"&gt;0",ENSAYOS!$G$5:$G$3004,N887)))</f>
        <v/>
      </c>
      <c r="V887" s="16" t="str">
        <f aca="false">IF(N(M887)=0,"",IF(COUNTIFS(ENSAYOS!$C$5:$C$3004,F887,ENSAYOS!$Q$5:$Q$3004,"&gt;0",ENSAYOS!$G$5:$G$3004,"&gt;="&amp;CONFIG!$B$27)=0,"",AVERAGEIFS(ENSAYOS!$Q$5:$Q$3004,ENSAYOS!$C$5:$C$3004,F887,ENSAYOS!$Q$5:$Q$3004,"&gt;0",ENSAYOS!$G$5:$G$3004,"&gt;="&amp;CONFIG!$B$27)))</f>
        <v/>
      </c>
      <c r="W887" s="18" t="str">
        <f aca="false">IF(AND(U887&lt;&gt;"",V887&lt;&gt;""),U887/V887,"")</f>
        <v/>
      </c>
      <c r="X887" s="18" t="str">
        <f aca="false">IF(U887="","",INDEX('CURVA EDAD'!$E$5:$E$32,MIN(28,MAX(1,N887))))</f>
        <v/>
      </c>
      <c r="Y887" s="16" t="str">
        <f aca="false">IF(V887&lt;&gt;"",V887,IF(U887="","",U887/X887))</f>
        <v/>
      </c>
      <c r="Z887" s="16" t="str">
        <f aca="false">IF(V887&lt;&gt;"",_xlfn.MINIFS(ENSAYOS!$Q$5:$Q$3004,ENSAYOS!$C$5:$C$3004,F887,ENSAYOS!$Q$5:$Q$3004,"&gt;0",ENSAYOS!$G$5:$G$3004,"&gt;="&amp;CONFIG!$B$27),IF(U887="","",_xlfn.MINIFS(ENSAYOS!$Q$5:$Q$3004,ENSAYOS!$C$5:$C$3004,F887,ENSAYOS!$Q$5:$Q$3004,"&gt;0",ENSAYOS!$G$5:$G$3004,N887)/X887))</f>
        <v/>
      </c>
      <c r="AA887" s="16" t="str">
        <f aca="false">IF(D887="","",IFERROR(1/(1/INDEX(CONFIG!$J$5:$J$14,MATCH(D887,CONFIG!$D$5:$D$14,0))),""))</f>
        <v/>
      </c>
      <c r="AB887" s="16" t="str">
        <f aca="false">IF(D887="","",IFERROR(1/(1/INDEX(CONFIG!$K$5:$K$14,MATCH(D887,CONFIG!$D$5:$D$14,0))),""))</f>
        <v/>
      </c>
      <c r="AC887" s="19" t="str">
        <f aca="false">IF(N(M887)=0,"",IF(AA887="","Sin spec",IF(AND(Y887&gt;=AA887,OR(AB887="",Z887&gt;=AB887)),"CUMPLE","NO CUMPLE")&amp;IF(V887=""," (est.)","")))</f>
        <v/>
      </c>
      <c r="AD887" s="20" t="str">
        <f aca="false">IF(F887="","",IF(COUNTIFS(ABSORCION!$C$5:$C$1004,F887,ABSORCION!$I$5:$I$1004,"&gt;0")=0,"",AVERAGEIFS(ABSORCION!$I$5:$I$1004,ABSORCION!$C$5:$C$1004,F887,ABSORCION!$I$5:$I$1004,"&gt;0")))</f>
        <v/>
      </c>
      <c r="AE887" s="20" t="str">
        <f aca="false">IF(F887="","",IF(COUNTIFS(ABSORCION!$C$5:$C$1004,F887,ABSORCION!$I$5:$I$1004,"&gt;0")=0,"",AVERAGEIFS(ABSORCION!$K$5:$K$1004,ABSORCION!$C$5:$C$1004,F887,ABSORCION!$I$5:$I$1004,"&gt;0")))</f>
        <v/>
      </c>
      <c r="AF887" s="20" t="str">
        <f aca="false">IF(AE887="","",IF(AE887&gt;=CONFIG!$E$21,CONFIG!$F$21,IF(AE887&gt;=CONFIG!$E$20,CONFIG!$F$20,CONFIG!$F$19)))</f>
        <v/>
      </c>
      <c r="AG887" s="21" t="str">
        <f aca="false">IF(F887="","",TRIM(IF(N(M887)=0,"Sin ensayos. ","")&amp;IF(AND(N(M887)&gt;0,N(M887)&lt;CONFIG!$B$26),"Menos de "&amp;CONFIG!$B$26&amp;" probetas. ","")&amp;IF(N(T887)&gt;CONFIG!$B$25,"CV alto. ","")&amp;IF(AND(N(AD887)&gt;0,N(AD887)&gt;N(AF887)),"Absorción alta. ","")))</f>
        <v/>
      </c>
      <c r="AH887" s="22" t="str">
        <f aca="false">IF(AND(N(M887)&gt;0,OR(CONTROL!$C$4="TODAS",C887=CONTROL!$C$4),D887=CONTROL!$C$5),MAX($AH$4:AH886)+1,"")</f>
        <v/>
      </c>
      <c r="AI887" s="22" t="str">
        <f aca="false">IF(AH887="","",P887^2)</f>
        <v/>
      </c>
    </row>
    <row r="888" customFormat="false" ht="15" hidden="false" customHeight="false" outlineLevel="0" collapsed="false">
      <c r="A888" s="11" t="str">
        <f aca="false">IF(B888="","",ROW()-4)</f>
        <v/>
      </c>
      <c r="B888" s="12"/>
      <c r="C888" s="13"/>
      <c r="D888" s="13"/>
      <c r="E888" s="13"/>
      <c r="F888" s="14" t="str">
        <f aca="false">IF(OR(B888="",C888="",D888=""),"",IFERROR(INDEX(CONFIG!$E$5:$E$14,MATCH(D888,CONFIG!$D$5:$D$14,0)),"?")&amp;RIGHT("0"&amp;DAY(B888),2)&amp;RIGHT("0"&amp;MONTH(B888),2)&amp;RIGHT(YEAR(B888),2)&amp;C888&amp;IF(E888="","","-"&amp;E888))</f>
        <v/>
      </c>
      <c r="G888" s="13"/>
      <c r="H888" s="13"/>
      <c r="I888" s="13"/>
      <c r="J888" s="13"/>
      <c r="K888" s="13"/>
      <c r="L888" s="13"/>
      <c r="M888" s="11" t="str">
        <f aca="false">IF(F888="","",COUNTIFS(ENSAYOS!$C$5:$C$3004,F888,ENSAYOS!$Q$5:$Q$3004,"&gt;0"))</f>
        <v/>
      </c>
      <c r="N888" s="15" t="str">
        <f aca="false">IF(N(M888)=0,"",_xlfn.MINIFS(ENSAYOS!$G$5:$G$3004,ENSAYOS!$C$5:$C$3004,F888,ENSAYOS!$Q$5:$Q$3004,"&gt;0"))</f>
        <v/>
      </c>
      <c r="O888" s="15" t="str">
        <f aca="false">IF(N(M888)=0,"",_xlfn.MAXIFS(ENSAYOS!$G$5:$G$3004,ENSAYOS!$C$5:$C$3004,F888,ENSAYOS!$Q$5:$Q$3004,"&gt;0"))</f>
        <v/>
      </c>
      <c r="P888" s="16" t="str">
        <f aca="false">IF(N(M888)=0,"",AVERAGEIFS(ENSAYOS!$Q$5:$Q$3004,ENSAYOS!$C$5:$C$3004,F888,ENSAYOS!$Q$5:$Q$3004,"&gt;0"))</f>
        <v/>
      </c>
      <c r="Q888" s="16" t="str">
        <f aca="false">IF(N(M888)=0,"",_xlfn.MINIFS(ENSAYOS!$Q$5:$Q$3004,ENSAYOS!$C$5:$C$3004,F888,ENSAYOS!$Q$5:$Q$3004,"&gt;0"))</f>
        <v/>
      </c>
      <c r="R888" s="16" t="str">
        <f aca="false">IF(N(M888)=0,"",_xlfn.MAXIFS(ENSAYOS!$Q$5:$Q$3004,ENSAYOS!$C$5:$C$3004,F888,ENSAYOS!$Q$5:$Q$3004,"&gt;0"))</f>
        <v/>
      </c>
      <c r="S888" s="16" t="str">
        <f aca="false">IF(N(M888)&lt;2,"",SQRT(MAX(0,(SUMIFS(ENSAYOS!$X$5:$X$3004,ENSAYOS!$C$5:$C$3004,F888,ENSAYOS!$Q$5:$Q$3004,"&gt;0")-M888*P888^2)/(M888-1))))</f>
        <v/>
      </c>
      <c r="T888" s="17" t="str">
        <f aca="false">IF(S888="","",S888/P888)</f>
        <v/>
      </c>
      <c r="U888" s="16" t="str">
        <f aca="false">IF(N(M888)=0,"",IF(N888&gt;=CONFIG!$B$27,"",AVERAGEIFS(ENSAYOS!$Q$5:$Q$3004,ENSAYOS!$C$5:$C$3004,F888,ENSAYOS!$Q$5:$Q$3004,"&gt;0",ENSAYOS!$G$5:$G$3004,N888)))</f>
        <v/>
      </c>
      <c r="V888" s="16" t="str">
        <f aca="false">IF(N(M888)=0,"",IF(COUNTIFS(ENSAYOS!$C$5:$C$3004,F888,ENSAYOS!$Q$5:$Q$3004,"&gt;0",ENSAYOS!$G$5:$G$3004,"&gt;="&amp;CONFIG!$B$27)=0,"",AVERAGEIFS(ENSAYOS!$Q$5:$Q$3004,ENSAYOS!$C$5:$C$3004,F888,ENSAYOS!$Q$5:$Q$3004,"&gt;0",ENSAYOS!$G$5:$G$3004,"&gt;="&amp;CONFIG!$B$27)))</f>
        <v/>
      </c>
      <c r="W888" s="18" t="str">
        <f aca="false">IF(AND(U888&lt;&gt;"",V888&lt;&gt;""),U888/V888,"")</f>
        <v/>
      </c>
      <c r="X888" s="18" t="str">
        <f aca="false">IF(U888="","",INDEX('CURVA EDAD'!$E$5:$E$32,MIN(28,MAX(1,N888))))</f>
        <v/>
      </c>
      <c r="Y888" s="16" t="str">
        <f aca="false">IF(V888&lt;&gt;"",V888,IF(U888="","",U888/X888))</f>
        <v/>
      </c>
      <c r="Z888" s="16" t="str">
        <f aca="false">IF(V888&lt;&gt;"",_xlfn.MINIFS(ENSAYOS!$Q$5:$Q$3004,ENSAYOS!$C$5:$C$3004,F888,ENSAYOS!$Q$5:$Q$3004,"&gt;0",ENSAYOS!$G$5:$G$3004,"&gt;="&amp;CONFIG!$B$27),IF(U888="","",_xlfn.MINIFS(ENSAYOS!$Q$5:$Q$3004,ENSAYOS!$C$5:$C$3004,F888,ENSAYOS!$Q$5:$Q$3004,"&gt;0",ENSAYOS!$G$5:$G$3004,N888)/X888))</f>
        <v/>
      </c>
      <c r="AA888" s="16" t="str">
        <f aca="false">IF(D888="","",IFERROR(1/(1/INDEX(CONFIG!$J$5:$J$14,MATCH(D888,CONFIG!$D$5:$D$14,0))),""))</f>
        <v/>
      </c>
      <c r="AB888" s="16" t="str">
        <f aca="false">IF(D888="","",IFERROR(1/(1/INDEX(CONFIG!$K$5:$K$14,MATCH(D888,CONFIG!$D$5:$D$14,0))),""))</f>
        <v/>
      </c>
      <c r="AC888" s="19" t="str">
        <f aca="false">IF(N(M888)=0,"",IF(AA888="","Sin spec",IF(AND(Y888&gt;=AA888,OR(AB888="",Z888&gt;=AB888)),"CUMPLE","NO CUMPLE")&amp;IF(V888=""," (est.)","")))</f>
        <v/>
      </c>
      <c r="AD888" s="20" t="str">
        <f aca="false">IF(F888="","",IF(COUNTIFS(ABSORCION!$C$5:$C$1004,F888,ABSORCION!$I$5:$I$1004,"&gt;0")=0,"",AVERAGEIFS(ABSORCION!$I$5:$I$1004,ABSORCION!$C$5:$C$1004,F888,ABSORCION!$I$5:$I$1004,"&gt;0")))</f>
        <v/>
      </c>
      <c r="AE888" s="20" t="str">
        <f aca="false">IF(F888="","",IF(COUNTIFS(ABSORCION!$C$5:$C$1004,F888,ABSORCION!$I$5:$I$1004,"&gt;0")=0,"",AVERAGEIFS(ABSORCION!$K$5:$K$1004,ABSORCION!$C$5:$C$1004,F888,ABSORCION!$I$5:$I$1004,"&gt;0")))</f>
        <v/>
      </c>
      <c r="AF888" s="20" t="str">
        <f aca="false">IF(AE888="","",IF(AE888&gt;=CONFIG!$E$21,CONFIG!$F$21,IF(AE888&gt;=CONFIG!$E$20,CONFIG!$F$20,CONFIG!$F$19)))</f>
        <v/>
      </c>
      <c r="AG888" s="21" t="str">
        <f aca="false">IF(F888="","",TRIM(IF(N(M888)=0,"Sin ensayos. ","")&amp;IF(AND(N(M888)&gt;0,N(M888)&lt;CONFIG!$B$26),"Menos de "&amp;CONFIG!$B$26&amp;" probetas. ","")&amp;IF(N(T888)&gt;CONFIG!$B$25,"CV alto. ","")&amp;IF(AND(N(AD888)&gt;0,N(AD888)&gt;N(AF888)),"Absorción alta. ","")))</f>
        <v/>
      </c>
      <c r="AH888" s="22" t="str">
        <f aca="false">IF(AND(N(M888)&gt;0,OR(CONTROL!$C$4="TODAS",C888=CONTROL!$C$4),D888=CONTROL!$C$5),MAX($AH$4:AH887)+1,"")</f>
        <v/>
      </c>
      <c r="AI888" s="22" t="str">
        <f aca="false">IF(AH888="","",P888^2)</f>
        <v/>
      </c>
    </row>
    <row r="889" customFormat="false" ht="15" hidden="false" customHeight="false" outlineLevel="0" collapsed="false">
      <c r="A889" s="11" t="str">
        <f aca="false">IF(B889="","",ROW()-4)</f>
        <v/>
      </c>
      <c r="B889" s="12"/>
      <c r="C889" s="13"/>
      <c r="D889" s="13"/>
      <c r="E889" s="13"/>
      <c r="F889" s="14" t="str">
        <f aca="false">IF(OR(B889="",C889="",D889=""),"",IFERROR(INDEX(CONFIG!$E$5:$E$14,MATCH(D889,CONFIG!$D$5:$D$14,0)),"?")&amp;RIGHT("0"&amp;DAY(B889),2)&amp;RIGHT("0"&amp;MONTH(B889),2)&amp;RIGHT(YEAR(B889),2)&amp;C889&amp;IF(E889="","","-"&amp;E889))</f>
        <v/>
      </c>
      <c r="G889" s="13"/>
      <c r="H889" s="13"/>
      <c r="I889" s="13"/>
      <c r="J889" s="13"/>
      <c r="K889" s="13"/>
      <c r="L889" s="13"/>
      <c r="M889" s="11" t="str">
        <f aca="false">IF(F889="","",COUNTIFS(ENSAYOS!$C$5:$C$3004,F889,ENSAYOS!$Q$5:$Q$3004,"&gt;0"))</f>
        <v/>
      </c>
      <c r="N889" s="15" t="str">
        <f aca="false">IF(N(M889)=0,"",_xlfn.MINIFS(ENSAYOS!$G$5:$G$3004,ENSAYOS!$C$5:$C$3004,F889,ENSAYOS!$Q$5:$Q$3004,"&gt;0"))</f>
        <v/>
      </c>
      <c r="O889" s="15" t="str">
        <f aca="false">IF(N(M889)=0,"",_xlfn.MAXIFS(ENSAYOS!$G$5:$G$3004,ENSAYOS!$C$5:$C$3004,F889,ENSAYOS!$Q$5:$Q$3004,"&gt;0"))</f>
        <v/>
      </c>
      <c r="P889" s="16" t="str">
        <f aca="false">IF(N(M889)=0,"",AVERAGEIFS(ENSAYOS!$Q$5:$Q$3004,ENSAYOS!$C$5:$C$3004,F889,ENSAYOS!$Q$5:$Q$3004,"&gt;0"))</f>
        <v/>
      </c>
      <c r="Q889" s="16" t="str">
        <f aca="false">IF(N(M889)=0,"",_xlfn.MINIFS(ENSAYOS!$Q$5:$Q$3004,ENSAYOS!$C$5:$C$3004,F889,ENSAYOS!$Q$5:$Q$3004,"&gt;0"))</f>
        <v/>
      </c>
      <c r="R889" s="16" t="str">
        <f aca="false">IF(N(M889)=0,"",_xlfn.MAXIFS(ENSAYOS!$Q$5:$Q$3004,ENSAYOS!$C$5:$C$3004,F889,ENSAYOS!$Q$5:$Q$3004,"&gt;0"))</f>
        <v/>
      </c>
      <c r="S889" s="16" t="str">
        <f aca="false">IF(N(M889)&lt;2,"",SQRT(MAX(0,(SUMIFS(ENSAYOS!$X$5:$X$3004,ENSAYOS!$C$5:$C$3004,F889,ENSAYOS!$Q$5:$Q$3004,"&gt;0")-M889*P889^2)/(M889-1))))</f>
        <v/>
      </c>
      <c r="T889" s="17" t="str">
        <f aca="false">IF(S889="","",S889/P889)</f>
        <v/>
      </c>
      <c r="U889" s="16" t="str">
        <f aca="false">IF(N(M889)=0,"",IF(N889&gt;=CONFIG!$B$27,"",AVERAGEIFS(ENSAYOS!$Q$5:$Q$3004,ENSAYOS!$C$5:$C$3004,F889,ENSAYOS!$Q$5:$Q$3004,"&gt;0",ENSAYOS!$G$5:$G$3004,N889)))</f>
        <v/>
      </c>
      <c r="V889" s="16" t="str">
        <f aca="false">IF(N(M889)=0,"",IF(COUNTIFS(ENSAYOS!$C$5:$C$3004,F889,ENSAYOS!$Q$5:$Q$3004,"&gt;0",ENSAYOS!$G$5:$G$3004,"&gt;="&amp;CONFIG!$B$27)=0,"",AVERAGEIFS(ENSAYOS!$Q$5:$Q$3004,ENSAYOS!$C$5:$C$3004,F889,ENSAYOS!$Q$5:$Q$3004,"&gt;0",ENSAYOS!$G$5:$G$3004,"&gt;="&amp;CONFIG!$B$27)))</f>
        <v/>
      </c>
      <c r="W889" s="18" t="str">
        <f aca="false">IF(AND(U889&lt;&gt;"",V889&lt;&gt;""),U889/V889,"")</f>
        <v/>
      </c>
      <c r="X889" s="18" t="str">
        <f aca="false">IF(U889="","",INDEX('CURVA EDAD'!$E$5:$E$32,MIN(28,MAX(1,N889))))</f>
        <v/>
      </c>
      <c r="Y889" s="16" t="str">
        <f aca="false">IF(V889&lt;&gt;"",V889,IF(U889="","",U889/X889))</f>
        <v/>
      </c>
      <c r="Z889" s="16" t="str">
        <f aca="false">IF(V889&lt;&gt;"",_xlfn.MINIFS(ENSAYOS!$Q$5:$Q$3004,ENSAYOS!$C$5:$C$3004,F889,ENSAYOS!$Q$5:$Q$3004,"&gt;0",ENSAYOS!$G$5:$G$3004,"&gt;="&amp;CONFIG!$B$27),IF(U889="","",_xlfn.MINIFS(ENSAYOS!$Q$5:$Q$3004,ENSAYOS!$C$5:$C$3004,F889,ENSAYOS!$Q$5:$Q$3004,"&gt;0",ENSAYOS!$G$5:$G$3004,N889)/X889))</f>
        <v/>
      </c>
      <c r="AA889" s="16" t="str">
        <f aca="false">IF(D889="","",IFERROR(1/(1/INDEX(CONFIG!$J$5:$J$14,MATCH(D889,CONFIG!$D$5:$D$14,0))),""))</f>
        <v/>
      </c>
      <c r="AB889" s="16" t="str">
        <f aca="false">IF(D889="","",IFERROR(1/(1/INDEX(CONFIG!$K$5:$K$14,MATCH(D889,CONFIG!$D$5:$D$14,0))),""))</f>
        <v/>
      </c>
      <c r="AC889" s="19" t="str">
        <f aca="false">IF(N(M889)=0,"",IF(AA889="","Sin spec",IF(AND(Y889&gt;=AA889,OR(AB889="",Z889&gt;=AB889)),"CUMPLE","NO CUMPLE")&amp;IF(V889=""," (est.)","")))</f>
        <v/>
      </c>
      <c r="AD889" s="20" t="str">
        <f aca="false">IF(F889="","",IF(COUNTIFS(ABSORCION!$C$5:$C$1004,F889,ABSORCION!$I$5:$I$1004,"&gt;0")=0,"",AVERAGEIFS(ABSORCION!$I$5:$I$1004,ABSORCION!$C$5:$C$1004,F889,ABSORCION!$I$5:$I$1004,"&gt;0")))</f>
        <v/>
      </c>
      <c r="AE889" s="20" t="str">
        <f aca="false">IF(F889="","",IF(COUNTIFS(ABSORCION!$C$5:$C$1004,F889,ABSORCION!$I$5:$I$1004,"&gt;0")=0,"",AVERAGEIFS(ABSORCION!$K$5:$K$1004,ABSORCION!$C$5:$C$1004,F889,ABSORCION!$I$5:$I$1004,"&gt;0")))</f>
        <v/>
      </c>
      <c r="AF889" s="20" t="str">
        <f aca="false">IF(AE889="","",IF(AE889&gt;=CONFIG!$E$21,CONFIG!$F$21,IF(AE889&gt;=CONFIG!$E$20,CONFIG!$F$20,CONFIG!$F$19)))</f>
        <v/>
      </c>
      <c r="AG889" s="21" t="str">
        <f aca="false">IF(F889="","",TRIM(IF(N(M889)=0,"Sin ensayos. ","")&amp;IF(AND(N(M889)&gt;0,N(M889)&lt;CONFIG!$B$26),"Menos de "&amp;CONFIG!$B$26&amp;" probetas. ","")&amp;IF(N(T889)&gt;CONFIG!$B$25,"CV alto. ","")&amp;IF(AND(N(AD889)&gt;0,N(AD889)&gt;N(AF889)),"Absorción alta. ","")))</f>
        <v/>
      </c>
      <c r="AH889" s="22" t="str">
        <f aca="false">IF(AND(N(M889)&gt;0,OR(CONTROL!$C$4="TODAS",C889=CONTROL!$C$4),D889=CONTROL!$C$5),MAX($AH$4:AH888)+1,"")</f>
        <v/>
      </c>
      <c r="AI889" s="22" t="str">
        <f aca="false">IF(AH889="","",P889^2)</f>
        <v/>
      </c>
    </row>
    <row r="890" customFormat="false" ht="15" hidden="false" customHeight="false" outlineLevel="0" collapsed="false">
      <c r="A890" s="11" t="str">
        <f aca="false">IF(B890="","",ROW()-4)</f>
        <v/>
      </c>
      <c r="B890" s="12"/>
      <c r="C890" s="13"/>
      <c r="D890" s="13"/>
      <c r="E890" s="13"/>
      <c r="F890" s="14" t="str">
        <f aca="false">IF(OR(B890="",C890="",D890=""),"",IFERROR(INDEX(CONFIG!$E$5:$E$14,MATCH(D890,CONFIG!$D$5:$D$14,0)),"?")&amp;RIGHT("0"&amp;DAY(B890),2)&amp;RIGHT("0"&amp;MONTH(B890),2)&amp;RIGHT(YEAR(B890),2)&amp;C890&amp;IF(E890="","","-"&amp;E890))</f>
        <v/>
      </c>
      <c r="G890" s="13"/>
      <c r="H890" s="13"/>
      <c r="I890" s="13"/>
      <c r="J890" s="13"/>
      <c r="K890" s="13"/>
      <c r="L890" s="13"/>
      <c r="M890" s="11" t="str">
        <f aca="false">IF(F890="","",COUNTIFS(ENSAYOS!$C$5:$C$3004,F890,ENSAYOS!$Q$5:$Q$3004,"&gt;0"))</f>
        <v/>
      </c>
      <c r="N890" s="15" t="str">
        <f aca="false">IF(N(M890)=0,"",_xlfn.MINIFS(ENSAYOS!$G$5:$G$3004,ENSAYOS!$C$5:$C$3004,F890,ENSAYOS!$Q$5:$Q$3004,"&gt;0"))</f>
        <v/>
      </c>
      <c r="O890" s="15" t="str">
        <f aca="false">IF(N(M890)=0,"",_xlfn.MAXIFS(ENSAYOS!$G$5:$G$3004,ENSAYOS!$C$5:$C$3004,F890,ENSAYOS!$Q$5:$Q$3004,"&gt;0"))</f>
        <v/>
      </c>
      <c r="P890" s="16" t="str">
        <f aca="false">IF(N(M890)=0,"",AVERAGEIFS(ENSAYOS!$Q$5:$Q$3004,ENSAYOS!$C$5:$C$3004,F890,ENSAYOS!$Q$5:$Q$3004,"&gt;0"))</f>
        <v/>
      </c>
      <c r="Q890" s="16" t="str">
        <f aca="false">IF(N(M890)=0,"",_xlfn.MINIFS(ENSAYOS!$Q$5:$Q$3004,ENSAYOS!$C$5:$C$3004,F890,ENSAYOS!$Q$5:$Q$3004,"&gt;0"))</f>
        <v/>
      </c>
      <c r="R890" s="16" t="str">
        <f aca="false">IF(N(M890)=0,"",_xlfn.MAXIFS(ENSAYOS!$Q$5:$Q$3004,ENSAYOS!$C$5:$C$3004,F890,ENSAYOS!$Q$5:$Q$3004,"&gt;0"))</f>
        <v/>
      </c>
      <c r="S890" s="16" t="str">
        <f aca="false">IF(N(M890)&lt;2,"",SQRT(MAX(0,(SUMIFS(ENSAYOS!$X$5:$X$3004,ENSAYOS!$C$5:$C$3004,F890,ENSAYOS!$Q$5:$Q$3004,"&gt;0")-M890*P890^2)/(M890-1))))</f>
        <v/>
      </c>
      <c r="T890" s="17" t="str">
        <f aca="false">IF(S890="","",S890/P890)</f>
        <v/>
      </c>
      <c r="U890" s="16" t="str">
        <f aca="false">IF(N(M890)=0,"",IF(N890&gt;=CONFIG!$B$27,"",AVERAGEIFS(ENSAYOS!$Q$5:$Q$3004,ENSAYOS!$C$5:$C$3004,F890,ENSAYOS!$Q$5:$Q$3004,"&gt;0",ENSAYOS!$G$5:$G$3004,N890)))</f>
        <v/>
      </c>
      <c r="V890" s="16" t="str">
        <f aca="false">IF(N(M890)=0,"",IF(COUNTIFS(ENSAYOS!$C$5:$C$3004,F890,ENSAYOS!$Q$5:$Q$3004,"&gt;0",ENSAYOS!$G$5:$G$3004,"&gt;="&amp;CONFIG!$B$27)=0,"",AVERAGEIFS(ENSAYOS!$Q$5:$Q$3004,ENSAYOS!$C$5:$C$3004,F890,ENSAYOS!$Q$5:$Q$3004,"&gt;0",ENSAYOS!$G$5:$G$3004,"&gt;="&amp;CONFIG!$B$27)))</f>
        <v/>
      </c>
      <c r="W890" s="18" t="str">
        <f aca="false">IF(AND(U890&lt;&gt;"",V890&lt;&gt;""),U890/V890,"")</f>
        <v/>
      </c>
      <c r="X890" s="18" t="str">
        <f aca="false">IF(U890="","",INDEX('CURVA EDAD'!$E$5:$E$32,MIN(28,MAX(1,N890))))</f>
        <v/>
      </c>
      <c r="Y890" s="16" t="str">
        <f aca="false">IF(V890&lt;&gt;"",V890,IF(U890="","",U890/X890))</f>
        <v/>
      </c>
      <c r="Z890" s="16" t="str">
        <f aca="false">IF(V890&lt;&gt;"",_xlfn.MINIFS(ENSAYOS!$Q$5:$Q$3004,ENSAYOS!$C$5:$C$3004,F890,ENSAYOS!$Q$5:$Q$3004,"&gt;0",ENSAYOS!$G$5:$G$3004,"&gt;="&amp;CONFIG!$B$27),IF(U890="","",_xlfn.MINIFS(ENSAYOS!$Q$5:$Q$3004,ENSAYOS!$C$5:$C$3004,F890,ENSAYOS!$Q$5:$Q$3004,"&gt;0",ENSAYOS!$G$5:$G$3004,N890)/X890))</f>
        <v/>
      </c>
      <c r="AA890" s="16" t="str">
        <f aca="false">IF(D890="","",IFERROR(1/(1/INDEX(CONFIG!$J$5:$J$14,MATCH(D890,CONFIG!$D$5:$D$14,0))),""))</f>
        <v/>
      </c>
      <c r="AB890" s="16" t="str">
        <f aca="false">IF(D890="","",IFERROR(1/(1/INDEX(CONFIG!$K$5:$K$14,MATCH(D890,CONFIG!$D$5:$D$14,0))),""))</f>
        <v/>
      </c>
      <c r="AC890" s="19" t="str">
        <f aca="false">IF(N(M890)=0,"",IF(AA890="","Sin spec",IF(AND(Y890&gt;=AA890,OR(AB890="",Z890&gt;=AB890)),"CUMPLE","NO CUMPLE")&amp;IF(V890=""," (est.)","")))</f>
        <v/>
      </c>
      <c r="AD890" s="20" t="str">
        <f aca="false">IF(F890="","",IF(COUNTIFS(ABSORCION!$C$5:$C$1004,F890,ABSORCION!$I$5:$I$1004,"&gt;0")=0,"",AVERAGEIFS(ABSORCION!$I$5:$I$1004,ABSORCION!$C$5:$C$1004,F890,ABSORCION!$I$5:$I$1004,"&gt;0")))</f>
        <v/>
      </c>
      <c r="AE890" s="20" t="str">
        <f aca="false">IF(F890="","",IF(COUNTIFS(ABSORCION!$C$5:$C$1004,F890,ABSORCION!$I$5:$I$1004,"&gt;0")=0,"",AVERAGEIFS(ABSORCION!$K$5:$K$1004,ABSORCION!$C$5:$C$1004,F890,ABSORCION!$I$5:$I$1004,"&gt;0")))</f>
        <v/>
      </c>
      <c r="AF890" s="20" t="str">
        <f aca="false">IF(AE890="","",IF(AE890&gt;=CONFIG!$E$21,CONFIG!$F$21,IF(AE890&gt;=CONFIG!$E$20,CONFIG!$F$20,CONFIG!$F$19)))</f>
        <v/>
      </c>
      <c r="AG890" s="21" t="str">
        <f aca="false">IF(F890="","",TRIM(IF(N(M890)=0,"Sin ensayos. ","")&amp;IF(AND(N(M890)&gt;0,N(M890)&lt;CONFIG!$B$26),"Menos de "&amp;CONFIG!$B$26&amp;" probetas. ","")&amp;IF(N(T890)&gt;CONFIG!$B$25,"CV alto. ","")&amp;IF(AND(N(AD890)&gt;0,N(AD890)&gt;N(AF890)),"Absorción alta. ","")))</f>
        <v/>
      </c>
      <c r="AH890" s="22" t="str">
        <f aca="false">IF(AND(N(M890)&gt;0,OR(CONTROL!$C$4="TODAS",C890=CONTROL!$C$4),D890=CONTROL!$C$5),MAX($AH$4:AH889)+1,"")</f>
        <v/>
      </c>
      <c r="AI890" s="22" t="str">
        <f aca="false">IF(AH890="","",P890^2)</f>
        <v/>
      </c>
    </row>
    <row r="891" customFormat="false" ht="15" hidden="false" customHeight="false" outlineLevel="0" collapsed="false">
      <c r="A891" s="11" t="str">
        <f aca="false">IF(B891="","",ROW()-4)</f>
        <v/>
      </c>
      <c r="B891" s="12"/>
      <c r="C891" s="13"/>
      <c r="D891" s="13"/>
      <c r="E891" s="13"/>
      <c r="F891" s="14" t="str">
        <f aca="false">IF(OR(B891="",C891="",D891=""),"",IFERROR(INDEX(CONFIG!$E$5:$E$14,MATCH(D891,CONFIG!$D$5:$D$14,0)),"?")&amp;RIGHT("0"&amp;DAY(B891),2)&amp;RIGHT("0"&amp;MONTH(B891),2)&amp;RIGHT(YEAR(B891),2)&amp;C891&amp;IF(E891="","","-"&amp;E891))</f>
        <v/>
      </c>
      <c r="G891" s="13"/>
      <c r="H891" s="13"/>
      <c r="I891" s="13"/>
      <c r="J891" s="13"/>
      <c r="K891" s="13"/>
      <c r="L891" s="13"/>
      <c r="M891" s="11" t="str">
        <f aca="false">IF(F891="","",COUNTIFS(ENSAYOS!$C$5:$C$3004,F891,ENSAYOS!$Q$5:$Q$3004,"&gt;0"))</f>
        <v/>
      </c>
      <c r="N891" s="15" t="str">
        <f aca="false">IF(N(M891)=0,"",_xlfn.MINIFS(ENSAYOS!$G$5:$G$3004,ENSAYOS!$C$5:$C$3004,F891,ENSAYOS!$Q$5:$Q$3004,"&gt;0"))</f>
        <v/>
      </c>
      <c r="O891" s="15" t="str">
        <f aca="false">IF(N(M891)=0,"",_xlfn.MAXIFS(ENSAYOS!$G$5:$G$3004,ENSAYOS!$C$5:$C$3004,F891,ENSAYOS!$Q$5:$Q$3004,"&gt;0"))</f>
        <v/>
      </c>
      <c r="P891" s="16" t="str">
        <f aca="false">IF(N(M891)=0,"",AVERAGEIFS(ENSAYOS!$Q$5:$Q$3004,ENSAYOS!$C$5:$C$3004,F891,ENSAYOS!$Q$5:$Q$3004,"&gt;0"))</f>
        <v/>
      </c>
      <c r="Q891" s="16" t="str">
        <f aca="false">IF(N(M891)=0,"",_xlfn.MINIFS(ENSAYOS!$Q$5:$Q$3004,ENSAYOS!$C$5:$C$3004,F891,ENSAYOS!$Q$5:$Q$3004,"&gt;0"))</f>
        <v/>
      </c>
      <c r="R891" s="16" t="str">
        <f aca="false">IF(N(M891)=0,"",_xlfn.MAXIFS(ENSAYOS!$Q$5:$Q$3004,ENSAYOS!$C$5:$C$3004,F891,ENSAYOS!$Q$5:$Q$3004,"&gt;0"))</f>
        <v/>
      </c>
      <c r="S891" s="16" t="str">
        <f aca="false">IF(N(M891)&lt;2,"",SQRT(MAX(0,(SUMIFS(ENSAYOS!$X$5:$X$3004,ENSAYOS!$C$5:$C$3004,F891,ENSAYOS!$Q$5:$Q$3004,"&gt;0")-M891*P891^2)/(M891-1))))</f>
        <v/>
      </c>
      <c r="T891" s="17" t="str">
        <f aca="false">IF(S891="","",S891/P891)</f>
        <v/>
      </c>
      <c r="U891" s="16" t="str">
        <f aca="false">IF(N(M891)=0,"",IF(N891&gt;=CONFIG!$B$27,"",AVERAGEIFS(ENSAYOS!$Q$5:$Q$3004,ENSAYOS!$C$5:$C$3004,F891,ENSAYOS!$Q$5:$Q$3004,"&gt;0",ENSAYOS!$G$5:$G$3004,N891)))</f>
        <v/>
      </c>
      <c r="V891" s="16" t="str">
        <f aca="false">IF(N(M891)=0,"",IF(COUNTIFS(ENSAYOS!$C$5:$C$3004,F891,ENSAYOS!$Q$5:$Q$3004,"&gt;0",ENSAYOS!$G$5:$G$3004,"&gt;="&amp;CONFIG!$B$27)=0,"",AVERAGEIFS(ENSAYOS!$Q$5:$Q$3004,ENSAYOS!$C$5:$C$3004,F891,ENSAYOS!$Q$5:$Q$3004,"&gt;0",ENSAYOS!$G$5:$G$3004,"&gt;="&amp;CONFIG!$B$27)))</f>
        <v/>
      </c>
      <c r="W891" s="18" t="str">
        <f aca="false">IF(AND(U891&lt;&gt;"",V891&lt;&gt;""),U891/V891,"")</f>
        <v/>
      </c>
      <c r="X891" s="18" t="str">
        <f aca="false">IF(U891="","",INDEX('CURVA EDAD'!$E$5:$E$32,MIN(28,MAX(1,N891))))</f>
        <v/>
      </c>
      <c r="Y891" s="16" t="str">
        <f aca="false">IF(V891&lt;&gt;"",V891,IF(U891="","",U891/X891))</f>
        <v/>
      </c>
      <c r="Z891" s="16" t="str">
        <f aca="false">IF(V891&lt;&gt;"",_xlfn.MINIFS(ENSAYOS!$Q$5:$Q$3004,ENSAYOS!$C$5:$C$3004,F891,ENSAYOS!$Q$5:$Q$3004,"&gt;0",ENSAYOS!$G$5:$G$3004,"&gt;="&amp;CONFIG!$B$27),IF(U891="","",_xlfn.MINIFS(ENSAYOS!$Q$5:$Q$3004,ENSAYOS!$C$5:$C$3004,F891,ENSAYOS!$Q$5:$Q$3004,"&gt;0",ENSAYOS!$G$5:$G$3004,N891)/X891))</f>
        <v/>
      </c>
      <c r="AA891" s="16" t="str">
        <f aca="false">IF(D891="","",IFERROR(1/(1/INDEX(CONFIG!$J$5:$J$14,MATCH(D891,CONFIG!$D$5:$D$14,0))),""))</f>
        <v/>
      </c>
      <c r="AB891" s="16" t="str">
        <f aca="false">IF(D891="","",IFERROR(1/(1/INDEX(CONFIG!$K$5:$K$14,MATCH(D891,CONFIG!$D$5:$D$14,0))),""))</f>
        <v/>
      </c>
      <c r="AC891" s="19" t="str">
        <f aca="false">IF(N(M891)=0,"",IF(AA891="","Sin spec",IF(AND(Y891&gt;=AA891,OR(AB891="",Z891&gt;=AB891)),"CUMPLE","NO CUMPLE")&amp;IF(V891=""," (est.)","")))</f>
        <v/>
      </c>
      <c r="AD891" s="20" t="str">
        <f aca="false">IF(F891="","",IF(COUNTIFS(ABSORCION!$C$5:$C$1004,F891,ABSORCION!$I$5:$I$1004,"&gt;0")=0,"",AVERAGEIFS(ABSORCION!$I$5:$I$1004,ABSORCION!$C$5:$C$1004,F891,ABSORCION!$I$5:$I$1004,"&gt;0")))</f>
        <v/>
      </c>
      <c r="AE891" s="20" t="str">
        <f aca="false">IF(F891="","",IF(COUNTIFS(ABSORCION!$C$5:$C$1004,F891,ABSORCION!$I$5:$I$1004,"&gt;0")=0,"",AVERAGEIFS(ABSORCION!$K$5:$K$1004,ABSORCION!$C$5:$C$1004,F891,ABSORCION!$I$5:$I$1004,"&gt;0")))</f>
        <v/>
      </c>
      <c r="AF891" s="20" t="str">
        <f aca="false">IF(AE891="","",IF(AE891&gt;=CONFIG!$E$21,CONFIG!$F$21,IF(AE891&gt;=CONFIG!$E$20,CONFIG!$F$20,CONFIG!$F$19)))</f>
        <v/>
      </c>
      <c r="AG891" s="21" t="str">
        <f aca="false">IF(F891="","",TRIM(IF(N(M891)=0,"Sin ensayos. ","")&amp;IF(AND(N(M891)&gt;0,N(M891)&lt;CONFIG!$B$26),"Menos de "&amp;CONFIG!$B$26&amp;" probetas. ","")&amp;IF(N(T891)&gt;CONFIG!$B$25,"CV alto. ","")&amp;IF(AND(N(AD891)&gt;0,N(AD891)&gt;N(AF891)),"Absorción alta. ","")))</f>
        <v/>
      </c>
      <c r="AH891" s="22" t="str">
        <f aca="false">IF(AND(N(M891)&gt;0,OR(CONTROL!$C$4="TODAS",C891=CONTROL!$C$4),D891=CONTROL!$C$5),MAX($AH$4:AH890)+1,"")</f>
        <v/>
      </c>
      <c r="AI891" s="22" t="str">
        <f aca="false">IF(AH891="","",P891^2)</f>
        <v/>
      </c>
    </row>
    <row r="892" customFormat="false" ht="15" hidden="false" customHeight="false" outlineLevel="0" collapsed="false">
      <c r="A892" s="11" t="str">
        <f aca="false">IF(B892="","",ROW()-4)</f>
        <v/>
      </c>
      <c r="B892" s="12"/>
      <c r="C892" s="13"/>
      <c r="D892" s="13"/>
      <c r="E892" s="13"/>
      <c r="F892" s="14" t="str">
        <f aca="false">IF(OR(B892="",C892="",D892=""),"",IFERROR(INDEX(CONFIG!$E$5:$E$14,MATCH(D892,CONFIG!$D$5:$D$14,0)),"?")&amp;RIGHT("0"&amp;DAY(B892),2)&amp;RIGHT("0"&amp;MONTH(B892),2)&amp;RIGHT(YEAR(B892),2)&amp;C892&amp;IF(E892="","","-"&amp;E892))</f>
        <v/>
      </c>
      <c r="G892" s="13"/>
      <c r="H892" s="13"/>
      <c r="I892" s="13"/>
      <c r="J892" s="13"/>
      <c r="K892" s="13"/>
      <c r="L892" s="13"/>
      <c r="M892" s="11" t="str">
        <f aca="false">IF(F892="","",COUNTIFS(ENSAYOS!$C$5:$C$3004,F892,ENSAYOS!$Q$5:$Q$3004,"&gt;0"))</f>
        <v/>
      </c>
      <c r="N892" s="15" t="str">
        <f aca="false">IF(N(M892)=0,"",_xlfn.MINIFS(ENSAYOS!$G$5:$G$3004,ENSAYOS!$C$5:$C$3004,F892,ENSAYOS!$Q$5:$Q$3004,"&gt;0"))</f>
        <v/>
      </c>
      <c r="O892" s="15" t="str">
        <f aca="false">IF(N(M892)=0,"",_xlfn.MAXIFS(ENSAYOS!$G$5:$G$3004,ENSAYOS!$C$5:$C$3004,F892,ENSAYOS!$Q$5:$Q$3004,"&gt;0"))</f>
        <v/>
      </c>
      <c r="P892" s="16" t="str">
        <f aca="false">IF(N(M892)=0,"",AVERAGEIFS(ENSAYOS!$Q$5:$Q$3004,ENSAYOS!$C$5:$C$3004,F892,ENSAYOS!$Q$5:$Q$3004,"&gt;0"))</f>
        <v/>
      </c>
      <c r="Q892" s="16" t="str">
        <f aca="false">IF(N(M892)=0,"",_xlfn.MINIFS(ENSAYOS!$Q$5:$Q$3004,ENSAYOS!$C$5:$C$3004,F892,ENSAYOS!$Q$5:$Q$3004,"&gt;0"))</f>
        <v/>
      </c>
      <c r="R892" s="16" t="str">
        <f aca="false">IF(N(M892)=0,"",_xlfn.MAXIFS(ENSAYOS!$Q$5:$Q$3004,ENSAYOS!$C$5:$C$3004,F892,ENSAYOS!$Q$5:$Q$3004,"&gt;0"))</f>
        <v/>
      </c>
      <c r="S892" s="16" t="str">
        <f aca="false">IF(N(M892)&lt;2,"",SQRT(MAX(0,(SUMIFS(ENSAYOS!$X$5:$X$3004,ENSAYOS!$C$5:$C$3004,F892,ENSAYOS!$Q$5:$Q$3004,"&gt;0")-M892*P892^2)/(M892-1))))</f>
        <v/>
      </c>
      <c r="T892" s="17" t="str">
        <f aca="false">IF(S892="","",S892/P892)</f>
        <v/>
      </c>
      <c r="U892" s="16" t="str">
        <f aca="false">IF(N(M892)=0,"",IF(N892&gt;=CONFIG!$B$27,"",AVERAGEIFS(ENSAYOS!$Q$5:$Q$3004,ENSAYOS!$C$5:$C$3004,F892,ENSAYOS!$Q$5:$Q$3004,"&gt;0",ENSAYOS!$G$5:$G$3004,N892)))</f>
        <v/>
      </c>
      <c r="V892" s="16" t="str">
        <f aca="false">IF(N(M892)=0,"",IF(COUNTIFS(ENSAYOS!$C$5:$C$3004,F892,ENSAYOS!$Q$5:$Q$3004,"&gt;0",ENSAYOS!$G$5:$G$3004,"&gt;="&amp;CONFIG!$B$27)=0,"",AVERAGEIFS(ENSAYOS!$Q$5:$Q$3004,ENSAYOS!$C$5:$C$3004,F892,ENSAYOS!$Q$5:$Q$3004,"&gt;0",ENSAYOS!$G$5:$G$3004,"&gt;="&amp;CONFIG!$B$27)))</f>
        <v/>
      </c>
      <c r="W892" s="18" t="str">
        <f aca="false">IF(AND(U892&lt;&gt;"",V892&lt;&gt;""),U892/V892,"")</f>
        <v/>
      </c>
      <c r="X892" s="18" t="str">
        <f aca="false">IF(U892="","",INDEX('CURVA EDAD'!$E$5:$E$32,MIN(28,MAX(1,N892))))</f>
        <v/>
      </c>
      <c r="Y892" s="16" t="str">
        <f aca="false">IF(V892&lt;&gt;"",V892,IF(U892="","",U892/X892))</f>
        <v/>
      </c>
      <c r="Z892" s="16" t="str">
        <f aca="false">IF(V892&lt;&gt;"",_xlfn.MINIFS(ENSAYOS!$Q$5:$Q$3004,ENSAYOS!$C$5:$C$3004,F892,ENSAYOS!$Q$5:$Q$3004,"&gt;0",ENSAYOS!$G$5:$G$3004,"&gt;="&amp;CONFIG!$B$27),IF(U892="","",_xlfn.MINIFS(ENSAYOS!$Q$5:$Q$3004,ENSAYOS!$C$5:$C$3004,F892,ENSAYOS!$Q$5:$Q$3004,"&gt;0",ENSAYOS!$G$5:$G$3004,N892)/X892))</f>
        <v/>
      </c>
      <c r="AA892" s="16" t="str">
        <f aca="false">IF(D892="","",IFERROR(1/(1/INDEX(CONFIG!$J$5:$J$14,MATCH(D892,CONFIG!$D$5:$D$14,0))),""))</f>
        <v/>
      </c>
      <c r="AB892" s="16" t="str">
        <f aca="false">IF(D892="","",IFERROR(1/(1/INDEX(CONFIG!$K$5:$K$14,MATCH(D892,CONFIG!$D$5:$D$14,0))),""))</f>
        <v/>
      </c>
      <c r="AC892" s="19" t="str">
        <f aca="false">IF(N(M892)=0,"",IF(AA892="","Sin spec",IF(AND(Y892&gt;=AA892,OR(AB892="",Z892&gt;=AB892)),"CUMPLE","NO CUMPLE")&amp;IF(V892=""," (est.)","")))</f>
        <v/>
      </c>
      <c r="AD892" s="20" t="str">
        <f aca="false">IF(F892="","",IF(COUNTIFS(ABSORCION!$C$5:$C$1004,F892,ABSORCION!$I$5:$I$1004,"&gt;0")=0,"",AVERAGEIFS(ABSORCION!$I$5:$I$1004,ABSORCION!$C$5:$C$1004,F892,ABSORCION!$I$5:$I$1004,"&gt;0")))</f>
        <v/>
      </c>
      <c r="AE892" s="20" t="str">
        <f aca="false">IF(F892="","",IF(COUNTIFS(ABSORCION!$C$5:$C$1004,F892,ABSORCION!$I$5:$I$1004,"&gt;0")=0,"",AVERAGEIFS(ABSORCION!$K$5:$K$1004,ABSORCION!$C$5:$C$1004,F892,ABSORCION!$I$5:$I$1004,"&gt;0")))</f>
        <v/>
      </c>
      <c r="AF892" s="20" t="str">
        <f aca="false">IF(AE892="","",IF(AE892&gt;=CONFIG!$E$21,CONFIG!$F$21,IF(AE892&gt;=CONFIG!$E$20,CONFIG!$F$20,CONFIG!$F$19)))</f>
        <v/>
      </c>
      <c r="AG892" s="21" t="str">
        <f aca="false">IF(F892="","",TRIM(IF(N(M892)=0,"Sin ensayos. ","")&amp;IF(AND(N(M892)&gt;0,N(M892)&lt;CONFIG!$B$26),"Menos de "&amp;CONFIG!$B$26&amp;" probetas. ","")&amp;IF(N(T892)&gt;CONFIG!$B$25,"CV alto. ","")&amp;IF(AND(N(AD892)&gt;0,N(AD892)&gt;N(AF892)),"Absorción alta. ","")))</f>
        <v/>
      </c>
      <c r="AH892" s="22" t="str">
        <f aca="false">IF(AND(N(M892)&gt;0,OR(CONTROL!$C$4="TODAS",C892=CONTROL!$C$4),D892=CONTROL!$C$5),MAX($AH$4:AH891)+1,"")</f>
        <v/>
      </c>
      <c r="AI892" s="22" t="str">
        <f aca="false">IF(AH892="","",P892^2)</f>
        <v/>
      </c>
    </row>
    <row r="893" customFormat="false" ht="15" hidden="false" customHeight="false" outlineLevel="0" collapsed="false">
      <c r="A893" s="11" t="str">
        <f aca="false">IF(B893="","",ROW()-4)</f>
        <v/>
      </c>
      <c r="B893" s="12"/>
      <c r="C893" s="13"/>
      <c r="D893" s="13"/>
      <c r="E893" s="13"/>
      <c r="F893" s="14" t="str">
        <f aca="false">IF(OR(B893="",C893="",D893=""),"",IFERROR(INDEX(CONFIG!$E$5:$E$14,MATCH(D893,CONFIG!$D$5:$D$14,0)),"?")&amp;RIGHT("0"&amp;DAY(B893),2)&amp;RIGHT("0"&amp;MONTH(B893),2)&amp;RIGHT(YEAR(B893),2)&amp;C893&amp;IF(E893="","","-"&amp;E893))</f>
        <v/>
      </c>
      <c r="G893" s="13"/>
      <c r="H893" s="13"/>
      <c r="I893" s="13"/>
      <c r="J893" s="13"/>
      <c r="K893" s="13"/>
      <c r="L893" s="13"/>
      <c r="M893" s="11" t="str">
        <f aca="false">IF(F893="","",COUNTIFS(ENSAYOS!$C$5:$C$3004,F893,ENSAYOS!$Q$5:$Q$3004,"&gt;0"))</f>
        <v/>
      </c>
      <c r="N893" s="15" t="str">
        <f aca="false">IF(N(M893)=0,"",_xlfn.MINIFS(ENSAYOS!$G$5:$G$3004,ENSAYOS!$C$5:$C$3004,F893,ENSAYOS!$Q$5:$Q$3004,"&gt;0"))</f>
        <v/>
      </c>
      <c r="O893" s="15" t="str">
        <f aca="false">IF(N(M893)=0,"",_xlfn.MAXIFS(ENSAYOS!$G$5:$G$3004,ENSAYOS!$C$5:$C$3004,F893,ENSAYOS!$Q$5:$Q$3004,"&gt;0"))</f>
        <v/>
      </c>
      <c r="P893" s="16" t="str">
        <f aca="false">IF(N(M893)=0,"",AVERAGEIFS(ENSAYOS!$Q$5:$Q$3004,ENSAYOS!$C$5:$C$3004,F893,ENSAYOS!$Q$5:$Q$3004,"&gt;0"))</f>
        <v/>
      </c>
      <c r="Q893" s="16" t="str">
        <f aca="false">IF(N(M893)=0,"",_xlfn.MINIFS(ENSAYOS!$Q$5:$Q$3004,ENSAYOS!$C$5:$C$3004,F893,ENSAYOS!$Q$5:$Q$3004,"&gt;0"))</f>
        <v/>
      </c>
      <c r="R893" s="16" t="str">
        <f aca="false">IF(N(M893)=0,"",_xlfn.MAXIFS(ENSAYOS!$Q$5:$Q$3004,ENSAYOS!$C$5:$C$3004,F893,ENSAYOS!$Q$5:$Q$3004,"&gt;0"))</f>
        <v/>
      </c>
      <c r="S893" s="16" t="str">
        <f aca="false">IF(N(M893)&lt;2,"",SQRT(MAX(0,(SUMIFS(ENSAYOS!$X$5:$X$3004,ENSAYOS!$C$5:$C$3004,F893,ENSAYOS!$Q$5:$Q$3004,"&gt;0")-M893*P893^2)/(M893-1))))</f>
        <v/>
      </c>
      <c r="T893" s="17" t="str">
        <f aca="false">IF(S893="","",S893/P893)</f>
        <v/>
      </c>
      <c r="U893" s="16" t="str">
        <f aca="false">IF(N(M893)=0,"",IF(N893&gt;=CONFIG!$B$27,"",AVERAGEIFS(ENSAYOS!$Q$5:$Q$3004,ENSAYOS!$C$5:$C$3004,F893,ENSAYOS!$Q$5:$Q$3004,"&gt;0",ENSAYOS!$G$5:$G$3004,N893)))</f>
        <v/>
      </c>
      <c r="V893" s="16" t="str">
        <f aca="false">IF(N(M893)=0,"",IF(COUNTIFS(ENSAYOS!$C$5:$C$3004,F893,ENSAYOS!$Q$5:$Q$3004,"&gt;0",ENSAYOS!$G$5:$G$3004,"&gt;="&amp;CONFIG!$B$27)=0,"",AVERAGEIFS(ENSAYOS!$Q$5:$Q$3004,ENSAYOS!$C$5:$C$3004,F893,ENSAYOS!$Q$5:$Q$3004,"&gt;0",ENSAYOS!$G$5:$G$3004,"&gt;="&amp;CONFIG!$B$27)))</f>
        <v/>
      </c>
      <c r="W893" s="18" t="str">
        <f aca="false">IF(AND(U893&lt;&gt;"",V893&lt;&gt;""),U893/V893,"")</f>
        <v/>
      </c>
      <c r="X893" s="18" t="str">
        <f aca="false">IF(U893="","",INDEX('CURVA EDAD'!$E$5:$E$32,MIN(28,MAX(1,N893))))</f>
        <v/>
      </c>
      <c r="Y893" s="16" t="str">
        <f aca="false">IF(V893&lt;&gt;"",V893,IF(U893="","",U893/X893))</f>
        <v/>
      </c>
      <c r="Z893" s="16" t="str">
        <f aca="false">IF(V893&lt;&gt;"",_xlfn.MINIFS(ENSAYOS!$Q$5:$Q$3004,ENSAYOS!$C$5:$C$3004,F893,ENSAYOS!$Q$5:$Q$3004,"&gt;0",ENSAYOS!$G$5:$G$3004,"&gt;="&amp;CONFIG!$B$27),IF(U893="","",_xlfn.MINIFS(ENSAYOS!$Q$5:$Q$3004,ENSAYOS!$C$5:$C$3004,F893,ENSAYOS!$Q$5:$Q$3004,"&gt;0",ENSAYOS!$G$5:$G$3004,N893)/X893))</f>
        <v/>
      </c>
      <c r="AA893" s="16" t="str">
        <f aca="false">IF(D893="","",IFERROR(1/(1/INDEX(CONFIG!$J$5:$J$14,MATCH(D893,CONFIG!$D$5:$D$14,0))),""))</f>
        <v/>
      </c>
      <c r="AB893" s="16" t="str">
        <f aca="false">IF(D893="","",IFERROR(1/(1/INDEX(CONFIG!$K$5:$K$14,MATCH(D893,CONFIG!$D$5:$D$14,0))),""))</f>
        <v/>
      </c>
      <c r="AC893" s="19" t="str">
        <f aca="false">IF(N(M893)=0,"",IF(AA893="","Sin spec",IF(AND(Y893&gt;=AA893,OR(AB893="",Z893&gt;=AB893)),"CUMPLE","NO CUMPLE")&amp;IF(V893=""," (est.)","")))</f>
        <v/>
      </c>
      <c r="AD893" s="20" t="str">
        <f aca="false">IF(F893="","",IF(COUNTIFS(ABSORCION!$C$5:$C$1004,F893,ABSORCION!$I$5:$I$1004,"&gt;0")=0,"",AVERAGEIFS(ABSORCION!$I$5:$I$1004,ABSORCION!$C$5:$C$1004,F893,ABSORCION!$I$5:$I$1004,"&gt;0")))</f>
        <v/>
      </c>
      <c r="AE893" s="20" t="str">
        <f aca="false">IF(F893="","",IF(COUNTIFS(ABSORCION!$C$5:$C$1004,F893,ABSORCION!$I$5:$I$1004,"&gt;0")=0,"",AVERAGEIFS(ABSORCION!$K$5:$K$1004,ABSORCION!$C$5:$C$1004,F893,ABSORCION!$I$5:$I$1004,"&gt;0")))</f>
        <v/>
      </c>
      <c r="AF893" s="20" t="str">
        <f aca="false">IF(AE893="","",IF(AE893&gt;=CONFIG!$E$21,CONFIG!$F$21,IF(AE893&gt;=CONFIG!$E$20,CONFIG!$F$20,CONFIG!$F$19)))</f>
        <v/>
      </c>
      <c r="AG893" s="21" t="str">
        <f aca="false">IF(F893="","",TRIM(IF(N(M893)=0,"Sin ensayos. ","")&amp;IF(AND(N(M893)&gt;0,N(M893)&lt;CONFIG!$B$26),"Menos de "&amp;CONFIG!$B$26&amp;" probetas. ","")&amp;IF(N(T893)&gt;CONFIG!$B$25,"CV alto. ","")&amp;IF(AND(N(AD893)&gt;0,N(AD893)&gt;N(AF893)),"Absorción alta. ","")))</f>
        <v/>
      </c>
      <c r="AH893" s="22" t="str">
        <f aca="false">IF(AND(N(M893)&gt;0,OR(CONTROL!$C$4="TODAS",C893=CONTROL!$C$4),D893=CONTROL!$C$5),MAX($AH$4:AH892)+1,"")</f>
        <v/>
      </c>
      <c r="AI893" s="22" t="str">
        <f aca="false">IF(AH893="","",P893^2)</f>
        <v/>
      </c>
    </row>
    <row r="894" customFormat="false" ht="15" hidden="false" customHeight="false" outlineLevel="0" collapsed="false">
      <c r="A894" s="11" t="str">
        <f aca="false">IF(B894="","",ROW()-4)</f>
        <v/>
      </c>
      <c r="B894" s="12"/>
      <c r="C894" s="13"/>
      <c r="D894" s="13"/>
      <c r="E894" s="13"/>
      <c r="F894" s="14" t="str">
        <f aca="false">IF(OR(B894="",C894="",D894=""),"",IFERROR(INDEX(CONFIG!$E$5:$E$14,MATCH(D894,CONFIG!$D$5:$D$14,0)),"?")&amp;RIGHT("0"&amp;DAY(B894),2)&amp;RIGHT("0"&amp;MONTH(B894),2)&amp;RIGHT(YEAR(B894),2)&amp;C894&amp;IF(E894="","","-"&amp;E894))</f>
        <v/>
      </c>
      <c r="G894" s="13"/>
      <c r="H894" s="13"/>
      <c r="I894" s="13"/>
      <c r="J894" s="13"/>
      <c r="K894" s="13"/>
      <c r="L894" s="13"/>
      <c r="M894" s="11" t="str">
        <f aca="false">IF(F894="","",COUNTIFS(ENSAYOS!$C$5:$C$3004,F894,ENSAYOS!$Q$5:$Q$3004,"&gt;0"))</f>
        <v/>
      </c>
      <c r="N894" s="15" t="str">
        <f aca="false">IF(N(M894)=0,"",_xlfn.MINIFS(ENSAYOS!$G$5:$G$3004,ENSAYOS!$C$5:$C$3004,F894,ENSAYOS!$Q$5:$Q$3004,"&gt;0"))</f>
        <v/>
      </c>
      <c r="O894" s="15" t="str">
        <f aca="false">IF(N(M894)=0,"",_xlfn.MAXIFS(ENSAYOS!$G$5:$G$3004,ENSAYOS!$C$5:$C$3004,F894,ENSAYOS!$Q$5:$Q$3004,"&gt;0"))</f>
        <v/>
      </c>
      <c r="P894" s="16" t="str">
        <f aca="false">IF(N(M894)=0,"",AVERAGEIFS(ENSAYOS!$Q$5:$Q$3004,ENSAYOS!$C$5:$C$3004,F894,ENSAYOS!$Q$5:$Q$3004,"&gt;0"))</f>
        <v/>
      </c>
      <c r="Q894" s="16" t="str">
        <f aca="false">IF(N(M894)=0,"",_xlfn.MINIFS(ENSAYOS!$Q$5:$Q$3004,ENSAYOS!$C$5:$C$3004,F894,ENSAYOS!$Q$5:$Q$3004,"&gt;0"))</f>
        <v/>
      </c>
      <c r="R894" s="16" t="str">
        <f aca="false">IF(N(M894)=0,"",_xlfn.MAXIFS(ENSAYOS!$Q$5:$Q$3004,ENSAYOS!$C$5:$C$3004,F894,ENSAYOS!$Q$5:$Q$3004,"&gt;0"))</f>
        <v/>
      </c>
      <c r="S894" s="16" t="str">
        <f aca="false">IF(N(M894)&lt;2,"",SQRT(MAX(0,(SUMIFS(ENSAYOS!$X$5:$X$3004,ENSAYOS!$C$5:$C$3004,F894,ENSAYOS!$Q$5:$Q$3004,"&gt;0")-M894*P894^2)/(M894-1))))</f>
        <v/>
      </c>
      <c r="T894" s="17" t="str">
        <f aca="false">IF(S894="","",S894/P894)</f>
        <v/>
      </c>
      <c r="U894" s="16" t="str">
        <f aca="false">IF(N(M894)=0,"",IF(N894&gt;=CONFIG!$B$27,"",AVERAGEIFS(ENSAYOS!$Q$5:$Q$3004,ENSAYOS!$C$5:$C$3004,F894,ENSAYOS!$Q$5:$Q$3004,"&gt;0",ENSAYOS!$G$5:$G$3004,N894)))</f>
        <v/>
      </c>
      <c r="V894" s="16" t="str">
        <f aca="false">IF(N(M894)=0,"",IF(COUNTIFS(ENSAYOS!$C$5:$C$3004,F894,ENSAYOS!$Q$5:$Q$3004,"&gt;0",ENSAYOS!$G$5:$G$3004,"&gt;="&amp;CONFIG!$B$27)=0,"",AVERAGEIFS(ENSAYOS!$Q$5:$Q$3004,ENSAYOS!$C$5:$C$3004,F894,ENSAYOS!$Q$5:$Q$3004,"&gt;0",ENSAYOS!$G$5:$G$3004,"&gt;="&amp;CONFIG!$B$27)))</f>
        <v/>
      </c>
      <c r="W894" s="18" t="str">
        <f aca="false">IF(AND(U894&lt;&gt;"",V894&lt;&gt;""),U894/V894,"")</f>
        <v/>
      </c>
      <c r="X894" s="18" t="str">
        <f aca="false">IF(U894="","",INDEX('CURVA EDAD'!$E$5:$E$32,MIN(28,MAX(1,N894))))</f>
        <v/>
      </c>
      <c r="Y894" s="16" t="str">
        <f aca="false">IF(V894&lt;&gt;"",V894,IF(U894="","",U894/X894))</f>
        <v/>
      </c>
      <c r="Z894" s="16" t="str">
        <f aca="false">IF(V894&lt;&gt;"",_xlfn.MINIFS(ENSAYOS!$Q$5:$Q$3004,ENSAYOS!$C$5:$C$3004,F894,ENSAYOS!$Q$5:$Q$3004,"&gt;0",ENSAYOS!$G$5:$G$3004,"&gt;="&amp;CONFIG!$B$27),IF(U894="","",_xlfn.MINIFS(ENSAYOS!$Q$5:$Q$3004,ENSAYOS!$C$5:$C$3004,F894,ENSAYOS!$Q$5:$Q$3004,"&gt;0",ENSAYOS!$G$5:$G$3004,N894)/X894))</f>
        <v/>
      </c>
      <c r="AA894" s="16" t="str">
        <f aca="false">IF(D894="","",IFERROR(1/(1/INDEX(CONFIG!$J$5:$J$14,MATCH(D894,CONFIG!$D$5:$D$14,0))),""))</f>
        <v/>
      </c>
      <c r="AB894" s="16" t="str">
        <f aca="false">IF(D894="","",IFERROR(1/(1/INDEX(CONFIG!$K$5:$K$14,MATCH(D894,CONFIG!$D$5:$D$14,0))),""))</f>
        <v/>
      </c>
      <c r="AC894" s="19" t="str">
        <f aca="false">IF(N(M894)=0,"",IF(AA894="","Sin spec",IF(AND(Y894&gt;=AA894,OR(AB894="",Z894&gt;=AB894)),"CUMPLE","NO CUMPLE")&amp;IF(V894=""," (est.)","")))</f>
        <v/>
      </c>
      <c r="AD894" s="20" t="str">
        <f aca="false">IF(F894="","",IF(COUNTIFS(ABSORCION!$C$5:$C$1004,F894,ABSORCION!$I$5:$I$1004,"&gt;0")=0,"",AVERAGEIFS(ABSORCION!$I$5:$I$1004,ABSORCION!$C$5:$C$1004,F894,ABSORCION!$I$5:$I$1004,"&gt;0")))</f>
        <v/>
      </c>
      <c r="AE894" s="20" t="str">
        <f aca="false">IF(F894="","",IF(COUNTIFS(ABSORCION!$C$5:$C$1004,F894,ABSORCION!$I$5:$I$1004,"&gt;0")=0,"",AVERAGEIFS(ABSORCION!$K$5:$K$1004,ABSORCION!$C$5:$C$1004,F894,ABSORCION!$I$5:$I$1004,"&gt;0")))</f>
        <v/>
      </c>
      <c r="AF894" s="20" t="str">
        <f aca="false">IF(AE894="","",IF(AE894&gt;=CONFIG!$E$21,CONFIG!$F$21,IF(AE894&gt;=CONFIG!$E$20,CONFIG!$F$20,CONFIG!$F$19)))</f>
        <v/>
      </c>
      <c r="AG894" s="21" t="str">
        <f aca="false">IF(F894="","",TRIM(IF(N(M894)=0,"Sin ensayos. ","")&amp;IF(AND(N(M894)&gt;0,N(M894)&lt;CONFIG!$B$26),"Menos de "&amp;CONFIG!$B$26&amp;" probetas. ","")&amp;IF(N(T894)&gt;CONFIG!$B$25,"CV alto. ","")&amp;IF(AND(N(AD894)&gt;0,N(AD894)&gt;N(AF894)),"Absorción alta. ","")))</f>
        <v/>
      </c>
      <c r="AH894" s="22" t="str">
        <f aca="false">IF(AND(N(M894)&gt;0,OR(CONTROL!$C$4="TODAS",C894=CONTROL!$C$4),D894=CONTROL!$C$5),MAX($AH$4:AH893)+1,"")</f>
        <v/>
      </c>
      <c r="AI894" s="22" t="str">
        <f aca="false">IF(AH894="","",P894^2)</f>
        <v/>
      </c>
    </row>
    <row r="895" customFormat="false" ht="15" hidden="false" customHeight="false" outlineLevel="0" collapsed="false">
      <c r="A895" s="11" t="str">
        <f aca="false">IF(B895="","",ROW()-4)</f>
        <v/>
      </c>
      <c r="B895" s="12"/>
      <c r="C895" s="13"/>
      <c r="D895" s="13"/>
      <c r="E895" s="13"/>
      <c r="F895" s="14" t="str">
        <f aca="false">IF(OR(B895="",C895="",D895=""),"",IFERROR(INDEX(CONFIG!$E$5:$E$14,MATCH(D895,CONFIG!$D$5:$D$14,0)),"?")&amp;RIGHT("0"&amp;DAY(B895),2)&amp;RIGHT("0"&amp;MONTH(B895),2)&amp;RIGHT(YEAR(B895),2)&amp;C895&amp;IF(E895="","","-"&amp;E895))</f>
        <v/>
      </c>
      <c r="G895" s="13"/>
      <c r="H895" s="13"/>
      <c r="I895" s="13"/>
      <c r="J895" s="13"/>
      <c r="K895" s="13"/>
      <c r="L895" s="13"/>
      <c r="M895" s="11" t="str">
        <f aca="false">IF(F895="","",COUNTIFS(ENSAYOS!$C$5:$C$3004,F895,ENSAYOS!$Q$5:$Q$3004,"&gt;0"))</f>
        <v/>
      </c>
      <c r="N895" s="15" t="str">
        <f aca="false">IF(N(M895)=0,"",_xlfn.MINIFS(ENSAYOS!$G$5:$G$3004,ENSAYOS!$C$5:$C$3004,F895,ENSAYOS!$Q$5:$Q$3004,"&gt;0"))</f>
        <v/>
      </c>
      <c r="O895" s="15" t="str">
        <f aca="false">IF(N(M895)=0,"",_xlfn.MAXIFS(ENSAYOS!$G$5:$G$3004,ENSAYOS!$C$5:$C$3004,F895,ENSAYOS!$Q$5:$Q$3004,"&gt;0"))</f>
        <v/>
      </c>
      <c r="P895" s="16" t="str">
        <f aca="false">IF(N(M895)=0,"",AVERAGEIFS(ENSAYOS!$Q$5:$Q$3004,ENSAYOS!$C$5:$C$3004,F895,ENSAYOS!$Q$5:$Q$3004,"&gt;0"))</f>
        <v/>
      </c>
      <c r="Q895" s="16" t="str">
        <f aca="false">IF(N(M895)=0,"",_xlfn.MINIFS(ENSAYOS!$Q$5:$Q$3004,ENSAYOS!$C$5:$C$3004,F895,ENSAYOS!$Q$5:$Q$3004,"&gt;0"))</f>
        <v/>
      </c>
      <c r="R895" s="16" t="str">
        <f aca="false">IF(N(M895)=0,"",_xlfn.MAXIFS(ENSAYOS!$Q$5:$Q$3004,ENSAYOS!$C$5:$C$3004,F895,ENSAYOS!$Q$5:$Q$3004,"&gt;0"))</f>
        <v/>
      </c>
      <c r="S895" s="16" t="str">
        <f aca="false">IF(N(M895)&lt;2,"",SQRT(MAX(0,(SUMIFS(ENSAYOS!$X$5:$X$3004,ENSAYOS!$C$5:$C$3004,F895,ENSAYOS!$Q$5:$Q$3004,"&gt;0")-M895*P895^2)/(M895-1))))</f>
        <v/>
      </c>
      <c r="T895" s="17" t="str">
        <f aca="false">IF(S895="","",S895/P895)</f>
        <v/>
      </c>
      <c r="U895" s="16" t="str">
        <f aca="false">IF(N(M895)=0,"",IF(N895&gt;=CONFIG!$B$27,"",AVERAGEIFS(ENSAYOS!$Q$5:$Q$3004,ENSAYOS!$C$5:$C$3004,F895,ENSAYOS!$Q$5:$Q$3004,"&gt;0",ENSAYOS!$G$5:$G$3004,N895)))</f>
        <v/>
      </c>
      <c r="V895" s="16" t="str">
        <f aca="false">IF(N(M895)=0,"",IF(COUNTIFS(ENSAYOS!$C$5:$C$3004,F895,ENSAYOS!$Q$5:$Q$3004,"&gt;0",ENSAYOS!$G$5:$G$3004,"&gt;="&amp;CONFIG!$B$27)=0,"",AVERAGEIFS(ENSAYOS!$Q$5:$Q$3004,ENSAYOS!$C$5:$C$3004,F895,ENSAYOS!$Q$5:$Q$3004,"&gt;0",ENSAYOS!$G$5:$G$3004,"&gt;="&amp;CONFIG!$B$27)))</f>
        <v/>
      </c>
      <c r="W895" s="18" t="str">
        <f aca="false">IF(AND(U895&lt;&gt;"",V895&lt;&gt;""),U895/V895,"")</f>
        <v/>
      </c>
      <c r="X895" s="18" t="str">
        <f aca="false">IF(U895="","",INDEX('CURVA EDAD'!$E$5:$E$32,MIN(28,MAX(1,N895))))</f>
        <v/>
      </c>
      <c r="Y895" s="16" t="str">
        <f aca="false">IF(V895&lt;&gt;"",V895,IF(U895="","",U895/X895))</f>
        <v/>
      </c>
      <c r="Z895" s="16" t="str">
        <f aca="false">IF(V895&lt;&gt;"",_xlfn.MINIFS(ENSAYOS!$Q$5:$Q$3004,ENSAYOS!$C$5:$C$3004,F895,ENSAYOS!$Q$5:$Q$3004,"&gt;0",ENSAYOS!$G$5:$G$3004,"&gt;="&amp;CONFIG!$B$27),IF(U895="","",_xlfn.MINIFS(ENSAYOS!$Q$5:$Q$3004,ENSAYOS!$C$5:$C$3004,F895,ENSAYOS!$Q$5:$Q$3004,"&gt;0",ENSAYOS!$G$5:$G$3004,N895)/X895))</f>
        <v/>
      </c>
      <c r="AA895" s="16" t="str">
        <f aca="false">IF(D895="","",IFERROR(1/(1/INDEX(CONFIG!$J$5:$J$14,MATCH(D895,CONFIG!$D$5:$D$14,0))),""))</f>
        <v/>
      </c>
      <c r="AB895" s="16" t="str">
        <f aca="false">IF(D895="","",IFERROR(1/(1/INDEX(CONFIG!$K$5:$K$14,MATCH(D895,CONFIG!$D$5:$D$14,0))),""))</f>
        <v/>
      </c>
      <c r="AC895" s="19" t="str">
        <f aca="false">IF(N(M895)=0,"",IF(AA895="","Sin spec",IF(AND(Y895&gt;=AA895,OR(AB895="",Z895&gt;=AB895)),"CUMPLE","NO CUMPLE")&amp;IF(V895=""," (est.)","")))</f>
        <v/>
      </c>
      <c r="AD895" s="20" t="str">
        <f aca="false">IF(F895="","",IF(COUNTIFS(ABSORCION!$C$5:$C$1004,F895,ABSORCION!$I$5:$I$1004,"&gt;0")=0,"",AVERAGEIFS(ABSORCION!$I$5:$I$1004,ABSORCION!$C$5:$C$1004,F895,ABSORCION!$I$5:$I$1004,"&gt;0")))</f>
        <v/>
      </c>
      <c r="AE895" s="20" t="str">
        <f aca="false">IF(F895="","",IF(COUNTIFS(ABSORCION!$C$5:$C$1004,F895,ABSORCION!$I$5:$I$1004,"&gt;0")=0,"",AVERAGEIFS(ABSORCION!$K$5:$K$1004,ABSORCION!$C$5:$C$1004,F895,ABSORCION!$I$5:$I$1004,"&gt;0")))</f>
        <v/>
      </c>
      <c r="AF895" s="20" t="str">
        <f aca="false">IF(AE895="","",IF(AE895&gt;=CONFIG!$E$21,CONFIG!$F$21,IF(AE895&gt;=CONFIG!$E$20,CONFIG!$F$20,CONFIG!$F$19)))</f>
        <v/>
      </c>
      <c r="AG895" s="21" t="str">
        <f aca="false">IF(F895="","",TRIM(IF(N(M895)=0,"Sin ensayos. ","")&amp;IF(AND(N(M895)&gt;0,N(M895)&lt;CONFIG!$B$26),"Menos de "&amp;CONFIG!$B$26&amp;" probetas. ","")&amp;IF(N(T895)&gt;CONFIG!$B$25,"CV alto. ","")&amp;IF(AND(N(AD895)&gt;0,N(AD895)&gt;N(AF895)),"Absorción alta. ","")))</f>
        <v/>
      </c>
      <c r="AH895" s="22" t="str">
        <f aca="false">IF(AND(N(M895)&gt;0,OR(CONTROL!$C$4="TODAS",C895=CONTROL!$C$4),D895=CONTROL!$C$5),MAX($AH$4:AH894)+1,"")</f>
        <v/>
      </c>
      <c r="AI895" s="22" t="str">
        <f aca="false">IF(AH895="","",P895^2)</f>
        <v/>
      </c>
    </row>
    <row r="896" customFormat="false" ht="15" hidden="false" customHeight="false" outlineLevel="0" collapsed="false">
      <c r="A896" s="11" t="str">
        <f aca="false">IF(B896="","",ROW()-4)</f>
        <v/>
      </c>
      <c r="B896" s="12"/>
      <c r="C896" s="13"/>
      <c r="D896" s="13"/>
      <c r="E896" s="13"/>
      <c r="F896" s="14" t="str">
        <f aca="false">IF(OR(B896="",C896="",D896=""),"",IFERROR(INDEX(CONFIG!$E$5:$E$14,MATCH(D896,CONFIG!$D$5:$D$14,0)),"?")&amp;RIGHT("0"&amp;DAY(B896),2)&amp;RIGHT("0"&amp;MONTH(B896),2)&amp;RIGHT(YEAR(B896),2)&amp;C896&amp;IF(E896="","","-"&amp;E896))</f>
        <v/>
      </c>
      <c r="G896" s="13"/>
      <c r="H896" s="13"/>
      <c r="I896" s="13"/>
      <c r="J896" s="13"/>
      <c r="K896" s="13"/>
      <c r="L896" s="13"/>
      <c r="M896" s="11" t="str">
        <f aca="false">IF(F896="","",COUNTIFS(ENSAYOS!$C$5:$C$3004,F896,ENSAYOS!$Q$5:$Q$3004,"&gt;0"))</f>
        <v/>
      </c>
      <c r="N896" s="15" t="str">
        <f aca="false">IF(N(M896)=0,"",_xlfn.MINIFS(ENSAYOS!$G$5:$G$3004,ENSAYOS!$C$5:$C$3004,F896,ENSAYOS!$Q$5:$Q$3004,"&gt;0"))</f>
        <v/>
      </c>
      <c r="O896" s="15" t="str">
        <f aca="false">IF(N(M896)=0,"",_xlfn.MAXIFS(ENSAYOS!$G$5:$G$3004,ENSAYOS!$C$5:$C$3004,F896,ENSAYOS!$Q$5:$Q$3004,"&gt;0"))</f>
        <v/>
      </c>
      <c r="P896" s="16" t="str">
        <f aca="false">IF(N(M896)=0,"",AVERAGEIFS(ENSAYOS!$Q$5:$Q$3004,ENSAYOS!$C$5:$C$3004,F896,ENSAYOS!$Q$5:$Q$3004,"&gt;0"))</f>
        <v/>
      </c>
      <c r="Q896" s="16" t="str">
        <f aca="false">IF(N(M896)=0,"",_xlfn.MINIFS(ENSAYOS!$Q$5:$Q$3004,ENSAYOS!$C$5:$C$3004,F896,ENSAYOS!$Q$5:$Q$3004,"&gt;0"))</f>
        <v/>
      </c>
      <c r="R896" s="16" t="str">
        <f aca="false">IF(N(M896)=0,"",_xlfn.MAXIFS(ENSAYOS!$Q$5:$Q$3004,ENSAYOS!$C$5:$C$3004,F896,ENSAYOS!$Q$5:$Q$3004,"&gt;0"))</f>
        <v/>
      </c>
      <c r="S896" s="16" t="str">
        <f aca="false">IF(N(M896)&lt;2,"",SQRT(MAX(0,(SUMIFS(ENSAYOS!$X$5:$X$3004,ENSAYOS!$C$5:$C$3004,F896,ENSAYOS!$Q$5:$Q$3004,"&gt;0")-M896*P896^2)/(M896-1))))</f>
        <v/>
      </c>
      <c r="T896" s="17" t="str">
        <f aca="false">IF(S896="","",S896/P896)</f>
        <v/>
      </c>
      <c r="U896" s="16" t="str">
        <f aca="false">IF(N(M896)=0,"",IF(N896&gt;=CONFIG!$B$27,"",AVERAGEIFS(ENSAYOS!$Q$5:$Q$3004,ENSAYOS!$C$5:$C$3004,F896,ENSAYOS!$Q$5:$Q$3004,"&gt;0",ENSAYOS!$G$5:$G$3004,N896)))</f>
        <v/>
      </c>
      <c r="V896" s="16" t="str">
        <f aca="false">IF(N(M896)=0,"",IF(COUNTIFS(ENSAYOS!$C$5:$C$3004,F896,ENSAYOS!$Q$5:$Q$3004,"&gt;0",ENSAYOS!$G$5:$G$3004,"&gt;="&amp;CONFIG!$B$27)=0,"",AVERAGEIFS(ENSAYOS!$Q$5:$Q$3004,ENSAYOS!$C$5:$C$3004,F896,ENSAYOS!$Q$5:$Q$3004,"&gt;0",ENSAYOS!$G$5:$G$3004,"&gt;="&amp;CONFIG!$B$27)))</f>
        <v/>
      </c>
      <c r="W896" s="18" t="str">
        <f aca="false">IF(AND(U896&lt;&gt;"",V896&lt;&gt;""),U896/V896,"")</f>
        <v/>
      </c>
      <c r="X896" s="18" t="str">
        <f aca="false">IF(U896="","",INDEX('CURVA EDAD'!$E$5:$E$32,MIN(28,MAX(1,N896))))</f>
        <v/>
      </c>
      <c r="Y896" s="16" t="str">
        <f aca="false">IF(V896&lt;&gt;"",V896,IF(U896="","",U896/X896))</f>
        <v/>
      </c>
      <c r="Z896" s="16" t="str">
        <f aca="false">IF(V896&lt;&gt;"",_xlfn.MINIFS(ENSAYOS!$Q$5:$Q$3004,ENSAYOS!$C$5:$C$3004,F896,ENSAYOS!$Q$5:$Q$3004,"&gt;0",ENSAYOS!$G$5:$G$3004,"&gt;="&amp;CONFIG!$B$27),IF(U896="","",_xlfn.MINIFS(ENSAYOS!$Q$5:$Q$3004,ENSAYOS!$C$5:$C$3004,F896,ENSAYOS!$Q$5:$Q$3004,"&gt;0",ENSAYOS!$G$5:$G$3004,N896)/X896))</f>
        <v/>
      </c>
      <c r="AA896" s="16" t="str">
        <f aca="false">IF(D896="","",IFERROR(1/(1/INDEX(CONFIG!$J$5:$J$14,MATCH(D896,CONFIG!$D$5:$D$14,0))),""))</f>
        <v/>
      </c>
      <c r="AB896" s="16" t="str">
        <f aca="false">IF(D896="","",IFERROR(1/(1/INDEX(CONFIG!$K$5:$K$14,MATCH(D896,CONFIG!$D$5:$D$14,0))),""))</f>
        <v/>
      </c>
      <c r="AC896" s="19" t="str">
        <f aca="false">IF(N(M896)=0,"",IF(AA896="","Sin spec",IF(AND(Y896&gt;=AA896,OR(AB896="",Z896&gt;=AB896)),"CUMPLE","NO CUMPLE")&amp;IF(V896=""," (est.)","")))</f>
        <v/>
      </c>
      <c r="AD896" s="20" t="str">
        <f aca="false">IF(F896="","",IF(COUNTIFS(ABSORCION!$C$5:$C$1004,F896,ABSORCION!$I$5:$I$1004,"&gt;0")=0,"",AVERAGEIFS(ABSORCION!$I$5:$I$1004,ABSORCION!$C$5:$C$1004,F896,ABSORCION!$I$5:$I$1004,"&gt;0")))</f>
        <v/>
      </c>
      <c r="AE896" s="20" t="str">
        <f aca="false">IF(F896="","",IF(COUNTIFS(ABSORCION!$C$5:$C$1004,F896,ABSORCION!$I$5:$I$1004,"&gt;0")=0,"",AVERAGEIFS(ABSORCION!$K$5:$K$1004,ABSORCION!$C$5:$C$1004,F896,ABSORCION!$I$5:$I$1004,"&gt;0")))</f>
        <v/>
      </c>
      <c r="AF896" s="20" t="str">
        <f aca="false">IF(AE896="","",IF(AE896&gt;=CONFIG!$E$21,CONFIG!$F$21,IF(AE896&gt;=CONFIG!$E$20,CONFIG!$F$20,CONFIG!$F$19)))</f>
        <v/>
      </c>
      <c r="AG896" s="21" t="str">
        <f aca="false">IF(F896="","",TRIM(IF(N(M896)=0,"Sin ensayos. ","")&amp;IF(AND(N(M896)&gt;0,N(M896)&lt;CONFIG!$B$26),"Menos de "&amp;CONFIG!$B$26&amp;" probetas. ","")&amp;IF(N(T896)&gt;CONFIG!$B$25,"CV alto. ","")&amp;IF(AND(N(AD896)&gt;0,N(AD896)&gt;N(AF896)),"Absorción alta. ","")))</f>
        <v/>
      </c>
      <c r="AH896" s="22" t="str">
        <f aca="false">IF(AND(N(M896)&gt;0,OR(CONTROL!$C$4="TODAS",C896=CONTROL!$C$4),D896=CONTROL!$C$5),MAX($AH$4:AH895)+1,"")</f>
        <v/>
      </c>
      <c r="AI896" s="22" t="str">
        <f aca="false">IF(AH896="","",P896^2)</f>
        <v/>
      </c>
    </row>
    <row r="897" customFormat="false" ht="15" hidden="false" customHeight="false" outlineLevel="0" collapsed="false">
      <c r="A897" s="11" t="str">
        <f aca="false">IF(B897="","",ROW()-4)</f>
        <v/>
      </c>
      <c r="B897" s="12"/>
      <c r="C897" s="13"/>
      <c r="D897" s="13"/>
      <c r="E897" s="13"/>
      <c r="F897" s="14" t="str">
        <f aca="false">IF(OR(B897="",C897="",D897=""),"",IFERROR(INDEX(CONFIG!$E$5:$E$14,MATCH(D897,CONFIG!$D$5:$D$14,0)),"?")&amp;RIGHT("0"&amp;DAY(B897),2)&amp;RIGHT("0"&amp;MONTH(B897),2)&amp;RIGHT(YEAR(B897),2)&amp;C897&amp;IF(E897="","","-"&amp;E897))</f>
        <v/>
      </c>
      <c r="G897" s="13"/>
      <c r="H897" s="13"/>
      <c r="I897" s="13"/>
      <c r="J897" s="13"/>
      <c r="K897" s="13"/>
      <c r="L897" s="13"/>
      <c r="M897" s="11" t="str">
        <f aca="false">IF(F897="","",COUNTIFS(ENSAYOS!$C$5:$C$3004,F897,ENSAYOS!$Q$5:$Q$3004,"&gt;0"))</f>
        <v/>
      </c>
      <c r="N897" s="15" t="str">
        <f aca="false">IF(N(M897)=0,"",_xlfn.MINIFS(ENSAYOS!$G$5:$G$3004,ENSAYOS!$C$5:$C$3004,F897,ENSAYOS!$Q$5:$Q$3004,"&gt;0"))</f>
        <v/>
      </c>
      <c r="O897" s="15" t="str">
        <f aca="false">IF(N(M897)=0,"",_xlfn.MAXIFS(ENSAYOS!$G$5:$G$3004,ENSAYOS!$C$5:$C$3004,F897,ENSAYOS!$Q$5:$Q$3004,"&gt;0"))</f>
        <v/>
      </c>
      <c r="P897" s="16" t="str">
        <f aca="false">IF(N(M897)=0,"",AVERAGEIFS(ENSAYOS!$Q$5:$Q$3004,ENSAYOS!$C$5:$C$3004,F897,ENSAYOS!$Q$5:$Q$3004,"&gt;0"))</f>
        <v/>
      </c>
      <c r="Q897" s="16" t="str">
        <f aca="false">IF(N(M897)=0,"",_xlfn.MINIFS(ENSAYOS!$Q$5:$Q$3004,ENSAYOS!$C$5:$C$3004,F897,ENSAYOS!$Q$5:$Q$3004,"&gt;0"))</f>
        <v/>
      </c>
      <c r="R897" s="16" t="str">
        <f aca="false">IF(N(M897)=0,"",_xlfn.MAXIFS(ENSAYOS!$Q$5:$Q$3004,ENSAYOS!$C$5:$C$3004,F897,ENSAYOS!$Q$5:$Q$3004,"&gt;0"))</f>
        <v/>
      </c>
      <c r="S897" s="16" t="str">
        <f aca="false">IF(N(M897)&lt;2,"",SQRT(MAX(0,(SUMIFS(ENSAYOS!$X$5:$X$3004,ENSAYOS!$C$5:$C$3004,F897,ENSAYOS!$Q$5:$Q$3004,"&gt;0")-M897*P897^2)/(M897-1))))</f>
        <v/>
      </c>
      <c r="T897" s="17" t="str">
        <f aca="false">IF(S897="","",S897/P897)</f>
        <v/>
      </c>
      <c r="U897" s="16" t="str">
        <f aca="false">IF(N(M897)=0,"",IF(N897&gt;=CONFIG!$B$27,"",AVERAGEIFS(ENSAYOS!$Q$5:$Q$3004,ENSAYOS!$C$5:$C$3004,F897,ENSAYOS!$Q$5:$Q$3004,"&gt;0",ENSAYOS!$G$5:$G$3004,N897)))</f>
        <v/>
      </c>
      <c r="V897" s="16" t="str">
        <f aca="false">IF(N(M897)=0,"",IF(COUNTIFS(ENSAYOS!$C$5:$C$3004,F897,ENSAYOS!$Q$5:$Q$3004,"&gt;0",ENSAYOS!$G$5:$G$3004,"&gt;="&amp;CONFIG!$B$27)=0,"",AVERAGEIFS(ENSAYOS!$Q$5:$Q$3004,ENSAYOS!$C$5:$C$3004,F897,ENSAYOS!$Q$5:$Q$3004,"&gt;0",ENSAYOS!$G$5:$G$3004,"&gt;="&amp;CONFIG!$B$27)))</f>
        <v/>
      </c>
      <c r="W897" s="18" t="str">
        <f aca="false">IF(AND(U897&lt;&gt;"",V897&lt;&gt;""),U897/V897,"")</f>
        <v/>
      </c>
      <c r="X897" s="18" t="str">
        <f aca="false">IF(U897="","",INDEX('CURVA EDAD'!$E$5:$E$32,MIN(28,MAX(1,N897))))</f>
        <v/>
      </c>
      <c r="Y897" s="16" t="str">
        <f aca="false">IF(V897&lt;&gt;"",V897,IF(U897="","",U897/X897))</f>
        <v/>
      </c>
      <c r="Z897" s="16" t="str">
        <f aca="false">IF(V897&lt;&gt;"",_xlfn.MINIFS(ENSAYOS!$Q$5:$Q$3004,ENSAYOS!$C$5:$C$3004,F897,ENSAYOS!$Q$5:$Q$3004,"&gt;0",ENSAYOS!$G$5:$G$3004,"&gt;="&amp;CONFIG!$B$27),IF(U897="","",_xlfn.MINIFS(ENSAYOS!$Q$5:$Q$3004,ENSAYOS!$C$5:$C$3004,F897,ENSAYOS!$Q$5:$Q$3004,"&gt;0",ENSAYOS!$G$5:$G$3004,N897)/X897))</f>
        <v/>
      </c>
      <c r="AA897" s="16" t="str">
        <f aca="false">IF(D897="","",IFERROR(1/(1/INDEX(CONFIG!$J$5:$J$14,MATCH(D897,CONFIG!$D$5:$D$14,0))),""))</f>
        <v/>
      </c>
      <c r="AB897" s="16" t="str">
        <f aca="false">IF(D897="","",IFERROR(1/(1/INDEX(CONFIG!$K$5:$K$14,MATCH(D897,CONFIG!$D$5:$D$14,0))),""))</f>
        <v/>
      </c>
      <c r="AC897" s="19" t="str">
        <f aca="false">IF(N(M897)=0,"",IF(AA897="","Sin spec",IF(AND(Y897&gt;=AA897,OR(AB897="",Z897&gt;=AB897)),"CUMPLE","NO CUMPLE")&amp;IF(V897=""," (est.)","")))</f>
        <v/>
      </c>
      <c r="AD897" s="20" t="str">
        <f aca="false">IF(F897="","",IF(COUNTIFS(ABSORCION!$C$5:$C$1004,F897,ABSORCION!$I$5:$I$1004,"&gt;0")=0,"",AVERAGEIFS(ABSORCION!$I$5:$I$1004,ABSORCION!$C$5:$C$1004,F897,ABSORCION!$I$5:$I$1004,"&gt;0")))</f>
        <v/>
      </c>
      <c r="AE897" s="20" t="str">
        <f aca="false">IF(F897="","",IF(COUNTIFS(ABSORCION!$C$5:$C$1004,F897,ABSORCION!$I$5:$I$1004,"&gt;0")=0,"",AVERAGEIFS(ABSORCION!$K$5:$K$1004,ABSORCION!$C$5:$C$1004,F897,ABSORCION!$I$5:$I$1004,"&gt;0")))</f>
        <v/>
      </c>
      <c r="AF897" s="20" t="str">
        <f aca="false">IF(AE897="","",IF(AE897&gt;=CONFIG!$E$21,CONFIG!$F$21,IF(AE897&gt;=CONFIG!$E$20,CONFIG!$F$20,CONFIG!$F$19)))</f>
        <v/>
      </c>
      <c r="AG897" s="21" t="str">
        <f aca="false">IF(F897="","",TRIM(IF(N(M897)=0,"Sin ensayos. ","")&amp;IF(AND(N(M897)&gt;0,N(M897)&lt;CONFIG!$B$26),"Menos de "&amp;CONFIG!$B$26&amp;" probetas. ","")&amp;IF(N(T897)&gt;CONFIG!$B$25,"CV alto. ","")&amp;IF(AND(N(AD897)&gt;0,N(AD897)&gt;N(AF897)),"Absorción alta. ","")))</f>
        <v/>
      </c>
      <c r="AH897" s="22" t="str">
        <f aca="false">IF(AND(N(M897)&gt;0,OR(CONTROL!$C$4="TODAS",C897=CONTROL!$C$4),D897=CONTROL!$C$5),MAX($AH$4:AH896)+1,"")</f>
        <v/>
      </c>
      <c r="AI897" s="22" t="str">
        <f aca="false">IF(AH897="","",P897^2)</f>
        <v/>
      </c>
    </row>
    <row r="898" customFormat="false" ht="15" hidden="false" customHeight="false" outlineLevel="0" collapsed="false">
      <c r="A898" s="11" t="str">
        <f aca="false">IF(B898="","",ROW()-4)</f>
        <v/>
      </c>
      <c r="B898" s="12"/>
      <c r="C898" s="13"/>
      <c r="D898" s="13"/>
      <c r="E898" s="13"/>
      <c r="F898" s="14" t="str">
        <f aca="false">IF(OR(B898="",C898="",D898=""),"",IFERROR(INDEX(CONFIG!$E$5:$E$14,MATCH(D898,CONFIG!$D$5:$D$14,0)),"?")&amp;RIGHT("0"&amp;DAY(B898),2)&amp;RIGHT("0"&amp;MONTH(B898),2)&amp;RIGHT(YEAR(B898),2)&amp;C898&amp;IF(E898="","","-"&amp;E898))</f>
        <v/>
      </c>
      <c r="G898" s="13"/>
      <c r="H898" s="13"/>
      <c r="I898" s="13"/>
      <c r="J898" s="13"/>
      <c r="K898" s="13"/>
      <c r="L898" s="13"/>
      <c r="M898" s="11" t="str">
        <f aca="false">IF(F898="","",COUNTIFS(ENSAYOS!$C$5:$C$3004,F898,ENSAYOS!$Q$5:$Q$3004,"&gt;0"))</f>
        <v/>
      </c>
      <c r="N898" s="15" t="str">
        <f aca="false">IF(N(M898)=0,"",_xlfn.MINIFS(ENSAYOS!$G$5:$G$3004,ENSAYOS!$C$5:$C$3004,F898,ENSAYOS!$Q$5:$Q$3004,"&gt;0"))</f>
        <v/>
      </c>
      <c r="O898" s="15" t="str">
        <f aca="false">IF(N(M898)=0,"",_xlfn.MAXIFS(ENSAYOS!$G$5:$G$3004,ENSAYOS!$C$5:$C$3004,F898,ENSAYOS!$Q$5:$Q$3004,"&gt;0"))</f>
        <v/>
      </c>
      <c r="P898" s="16" t="str">
        <f aca="false">IF(N(M898)=0,"",AVERAGEIFS(ENSAYOS!$Q$5:$Q$3004,ENSAYOS!$C$5:$C$3004,F898,ENSAYOS!$Q$5:$Q$3004,"&gt;0"))</f>
        <v/>
      </c>
      <c r="Q898" s="16" t="str">
        <f aca="false">IF(N(M898)=0,"",_xlfn.MINIFS(ENSAYOS!$Q$5:$Q$3004,ENSAYOS!$C$5:$C$3004,F898,ENSAYOS!$Q$5:$Q$3004,"&gt;0"))</f>
        <v/>
      </c>
      <c r="R898" s="16" t="str">
        <f aca="false">IF(N(M898)=0,"",_xlfn.MAXIFS(ENSAYOS!$Q$5:$Q$3004,ENSAYOS!$C$5:$C$3004,F898,ENSAYOS!$Q$5:$Q$3004,"&gt;0"))</f>
        <v/>
      </c>
      <c r="S898" s="16" t="str">
        <f aca="false">IF(N(M898)&lt;2,"",SQRT(MAX(0,(SUMIFS(ENSAYOS!$X$5:$X$3004,ENSAYOS!$C$5:$C$3004,F898,ENSAYOS!$Q$5:$Q$3004,"&gt;0")-M898*P898^2)/(M898-1))))</f>
        <v/>
      </c>
      <c r="T898" s="17" t="str">
        <f aca="false">IF(S898="","",S898/P898)</f>
        <v/>
      </c>
      <c r="U898" s="16" t="str">
        <f aca="false">IF(N(M898)=0,"",IF(N898&gt;=CONFIG!$B$27,"",AVERAGEIFS(ENSAYOS!$Q$5:$Q$3004,ENSAYOS!$C$5:$C$3004,F898,ENSAYOS!$Q$5:$Q$3004,"&gt;0",ENSAYOS!$G$5:$G$3004,N898)))</f>
        <v/>
      </c>
      <c r="V898" s="16" t="str">
        <f aca="false">IF(N(M898)=0,"",IF(COUNTIFS(ENSAYOS!$C$5:$C$3004,F898,ENSAYOS!$Q$5:$Q$3004,"&gt;0",ENSAYOS!$G$5:$G$3004,"&gt;="&amp;CONFIG!$B$27)=0,"",AVERAGEIFS(ENSAYOS!$Q$5:$Q$3004,ENSAYOS!$C$5:$C$3004,F898,ENSAYOS!$Q$5:$Q$3004,"&gt;0",ENSAYOS!$G$5:$G$3004,"&gt;="&amp;CONFIG!$B$27)))</f>
        <v/>
      </c>
      <c r="W898" s="18" t="str">
        <f aca="false">IF(AND(U898&lt;&gt;"",V898&lt;&gt;""),U898/V898,"")</f>
        <v/>
      </c>
      <c r="X898" s="18" t="str">
        <f aca="false">IF(U898="","",INDEX('CURVA EDAD'!$E$5:$E$32,MIN(28,MAX(1,N898))))</f>
        <v/>
      </c>
      <c r="Y898" s="16" t="str">
        <f aca="false">IF(V898&lt;&gt;"",V898,IF(U898="","",U898/X898))</f>
        <v/>
      </c>
      <c r="Z898" s="16" t="str">
        <f aca="false">IF(V898&lt;&gt;"",_xlfn.MINIFS(ENSAYOS!$Q$5:$Q$3004,ENSAYOS!$C$5:$C$3004,F898,ENSAYOS!$Q$5:$Q$3004,"&gt;0",ENSAYOS!$G$5:$G$3004,"&gt;="&amp;CONFIG!$B$27),IF(U898="","",_xlfn.MINIFS(ENSAYOS!$Q$5:$Q$3004,ENSAYOS!$C$5:$C$3004,F898,ENSAYOS!$Q$5:$Q$3004,"&gt;0",ENSAYOS!$G$5:$G$3004,N898)/X898))</f>
        <v/>
      </c>
      <c r="AA898" s="16" t="str">
        <f aca="false">IF(D898="","",IFERROR(1/(1/INDEX(CONFIG!$J$5:$J$14,MATCH(D898,CONFIG!$D$5:$D$14,0))),""))</f>
        <v/>
      </c>
      <c r="AB898" s="16" t="str">
        <f aca="false">IF(D898="","",IFERROR(1/(1/INDEX(CONFIG!$K$5:$K$14,MATCH(D898,CONFIG!$D$5:$D$14,0))),""))</f>
        <v/>
      </c>
      <c r="AC898" s="19" t="str">
        <f aca="false">IF(N(M898)=0,"",IF(AA898="","Sin spec",IF(AND(Y898&gt;=AA898,OR(AB898="",Z898&gt;=AB898)),"CUMPLE","NO CUMPLE")&amp;IF(V898=""," (est.)","")))</f>
        <v/>
      </c>
      <c r="AD898" s="20" t="str">
        <f aca="false">IF(F898="","",IF(COUNTIFS(ABSORCION!$C$5:$C$1004,F898,ABSORCION!$I$5:$I$1004,"&gt;0")=0,"",AVERAGEIFS(ABSORCION!$I$5:$I$1004,ABSORCION!$C$5:$C$1004,F898,ABSORCION!$I$5:$I$1004,"&gt;0")))</f>
        <v/>
      </c>
      <c r="AE898" s="20" t="str">
        <f aca="false">IF(F898="","",IF(COUNTIFS(ABSORCION!$C$5:$C$1004,F898,ABSORCION!$I$5:$I$1004,"&gt;0")=0,"",AVERAGEIFS(ABSORCION!$K$5:$K$1004,ABSORCION!$C$5:$C$1004,F898,ABSORCION!$I$5:$I$1004,"&gt;0")))</f>
        <v/>
      </c>
      <c r="AF898" s="20" t="str">
        <f aca="false">IF(AE898="","",IF(AE898&gt;=CONFIG!$E$21,CONFIG!$F$21,IF(AE898&gt;=CONFIG!$E$20,CONFIG!$F$20,CONFIG!$F$19)))</f>
        <v/>
      </c>
      <c r="AG898" s="21" t="str">
        <f aca="false">IF(F898="","",TRIM(IF(N(M898)=0,"Sin ensayos. ","")&amp;IF(AND(N(M898)&gt;0,N(M898)&lt;CONFIG!$B$26),"Menos de "&amp;CONFIG!$B$26&amp;" probetas. ","")&amp;IF(N(T898)&gt;CONFIG!$B$25,"CV alto. ","")&amp;IF(AND(N(AD898)&gt;0,N(AD898)&gt;N(AF898)),"Absorción alta. ","")))</f>
        <v/>
      </c>
      <c r="AH898" s="22" t="str">
        <f aca="false">IF(AND(N(M898)&gt;0,OR(CONTROL!$C$4="TODAS",C898=CONTROL!$C$4),D898=CONTROL!$C$5),MAX($AH$4:AH897)+1,"")</f>
        <v/>
      </c>
      <c r="AI898" s="22" t="str">
        <f aca="false">IF(AH898="","",P898^2)</f>
        <v/>
      </c>
    </row>
    <row r="899" customFormat="false" ht="15" hidden="false" customHeight="false" outlineLevel="0" collapsed="false">
      <c r="A899" s="11" t="str">
        <f aca="false">IF(B899="","",ROW()-4)</f>
        <v/>
      </c>
      <c r="B899" s="12"/>
      <c r="C899" s="13"/>
      <c r="D899" s="13"/>
      <c r="E899" s="13"/>
      <c r="F899" s="14" t="str">
        <f aca="false">IF(OR(B899="",C899="",D899=""),"",IFERROR(INDEX(CONFIG!$E$5:$E$14,MATCH(D899,CONFIG!$D$5:$D$14,0)),"?")&amp;RIGHT("0"&amp;DAY(B899),2)&amp;RIGHT("0"&amp;MONTH(B899),2)&amp;RIGHT(YEAR(B899),2)&amp;C899&amp;IF(E899="","","-"&amp;E899))</f>
        <v/>
      </c>
      <c r="G899" s="13"/>
      <c r="H899" s="13"/>
      <c r="I899" s="13"/>
      <c r="J899" s="13"/>
      <c r="K899" s="13"/>
      <c r="L899" s="13"/>
      <c r="M899" s="11" t="str">
        <f aca="false">IF(F899="","",COUNTIFS(ENSAYOS!$C$5:$C$3004,F899,ENSAYOS!$Q$5:$Q$3004,"&gt;0"))</f>
        <v/>
      </c>
      <c r="N899" s="15" t="str">
        <f aca="false">IF(N(M899)=0,"",_xlfn.MINIFS(ENSAYOS!$G$5:$G$3004,ENSAYOS!$C$5:$C$3004,F899,ENSAYOS!$Q$5:$Q$3004,"&gt;0"))</f>
        <v/>
      </c>
      <c r="O899" s="15" t="str">
        <f aca="false">IF(N(M899)=0,"",_xlfn.MAXIFS(ENSAYOS!$G$5:$G$3004,ENSAYOS!$C$5:$C$3004,F899,ENSAYOS!$Q$5:$Q$3004,"&gt;0"))</f>
        <v/>
      </c>
      <c r="P899" s="16" t="str">
        <f aca="false">IF(N(M899)=0,"",AVERAGEIFS(ENSAYOS!$Q$5:$Q$3004,ENSAYOS!$C$5:$C$3004,F899,ENSAYOS!$Q$5:$Q$3004,"&gt;0"))</f>
        <v/>
      </c>
      <c r="Q899" s="16" t="str">
        <f aca="false">IF(N(M899)=0,"",_xlfn.MINIFS(ENSAYOS!$Q$5:$Q$3004,ENSAYOS!$C$5:$C$3004,F899,ENSAYOS!$Q$5:$Q$3004,"&gt;0"))</f>
        <v/>
      </c>
      <c r="R899" s="16" t="str">
        <f aca="false">IF(N(M899)=0,"",_xlfn.MAXIFS(ENSAYOS!$Q$5:$Q$3004,ENSAYOS!$C$5:$C$3004,F899,ENSAYOS!$Q$5:$Q$3004,"&gt;0"))</f>
        <v/>
      </c>
      <c r="S899" s="16" t="str">
        <f aca="false">IF(N(M899)&lt;2,"",SQRT(MAX(0,(SUMIFS(ENSAYOS!$X$5:$X$3004,ENSAYOS!$C$5:$C$3004,F899,ENSAYOS!$Q$5:$Q$3004,"&gt;0")-M899*P899^2)/(M899-1))))</f>
        <v/>
      </c>
      <c r="T899" s="17" t="str">
        <f aca="false">IF(S899="","",S899/P899)</f>
        <v/>
      </c>
      <c r="U899" s="16" t="str">
        <f aca="false">IF(N(M899)=0,"",IF(N899&gt;=CONFIG!$B$27,"",AVERAGEIFS(ENSAYOS!$Q$5:$Q$3004,ENSAYOS!$C$5:$C$3004,F899,ENSAYOS!$Q$5:$Q$3004,"&gt;0",ENSAYOS!$G$5:$G$3004,N899)))</f>
        <v/>
      </c>
      <c r="V899" s="16" t="str">
        <f aca="false">IF(N(M899)=0,"",IF(COUNTIFS(ENSAYOS!$C$5:$C$3004,F899,ENSAYOS!$Q$5:$Q$3004,"&gt;0",ENSAYOS!$G$5:$G$3004,"&gt;="&amp;CONFIG!$B$27)=0,"",AVERAGEIFS(ENSAYOS!$Q$5:$Q$3004,ENSAYOS!$C$5:$C$3004,F899,ENSAYOS!$Q$5:$Q$3004,"&gt;0",ENSAYOS!$G$5:$G$3004,"&gt;="&amp;CONFIG!$B$27)))</f>
        <v/>
      </c>
      <c r="W899" s="18" t="str">
        <f aca="false">IF(AND(U899&lt;&gt;"",V899&lt;&gt;""),U899/V899,"")</f>
        <v/>
      </c>
      <c r="X899" s="18" t="str">
        <f aca="false">IF(U899="","",INDEX('CURVA EDAD'!$E$5:$E$32,MIN(28,MAX(1,N899))))</f>
        <v/>
      </c>
      <c r="Y899" s="16" t="str">
        <f aca="false">IF(V899&lt;&gt;"",V899,IF(U899="","",U899/X899))</f>
        <v/>
      </c>
      <c r="Z899" s="16" t="str">
        <f aca="false">IF(V899&lt;&gt;"",_xlfn.MINIFS(ENSAYOS!$Q$5:$Q$3004,ENSAYOS!$C$5:$C$3004,F899,ENSAYOS!$Q$5:$Q$3004,"&gt;0",ENSAYOS!$G$5:$G$3004,"&gt;="&amp;CONFIG!$B$27),IF(U899="","",_xlfn.MINIFS(ENSAYOS!$Q$5:$Q$3004,ENSAYOS!$C$5:$C$3004,F899,ENSAYOS!$Q$5:$Q$3004,"&gt;0",ENSAYOS!$G$5:$G$3004,N899)/X899))</f>
        <v/>
      </c>
      <c r="AA899" s="16" t="str">
        <f aca="false">IF(D899="","",IFERROR(1/(1/INDEX(CONFIG!$J$5:$J$14,MATCH(D899,CONFIG!$D$5:$D$14,0))),""))</f>
        <v/>
      </c>
      <c r="AB899" s="16" t="str">
        <f aca="false">IF(D899="","",IFERROR(1/(1/INDEX(CONFIG!$K$5:$K$14,MATCH(D899,CONFIG!$D$5:$D$14,0))),""))</f>
        <v/>
      </c>
      <c r="AC899" s="19" t="str">
        <f aca="false">IF(N(M899)=0,"",IF(AA899="","Sin spec",IF(AND(Y899&gt;=AA899,OR(AB899="",Z899&gt;=AB899)),"CUMPLE","NO CUMPLE")&amp;IF(V899=""," (est.)","")))</f>
        <v/>
      </c>
      <c r="AD899" s="20" t="str">
        <f aca="false">IF(F899="","",IF(COUNTIFS(ABSORCION!$C$5:$C$1004,F899,ABSORCION!$I$5:$I$1004,"&gt;0")=0,"",AVERAGEIFS(ABSORCION!$I$5:$I$1004,ABSORCION!$C$5:$C$1004,F899,ABSORCION!$I$5:$I$1004,"&gt;0")))</f>
        <v/>
      </c>
      <c r="AE899" s="20" t="str">
        <f aca="false">IF(F899="","",IF(COUNTIFS(ABSORCION!$C$5:$C$1004,F899,ABSORCION!$I$5:$I$1004,"&gt;0")=0,"",AVERAGEIFS(ABSORCION!$K$5:$K$1004,ABSORCION!$C$5:$C$1004,F899,ABSORCION!$I$5:$I$1004,"&gt;0")))</f>
        <v/>
      </c>
      <c r="AF899" s="20" t="str">
        <f aca="false">IF(AE899="","",IF(AE899&gt;=CONFIG!$E$21,CONFIG!$F$21,IF(AE899&gt;=CONFIG!$E$20,CONFIG!$F$20,CONFIG!$F$19)))</f>
        <v/>
      </c>
      <c r="AG899" s="21" t="str">
        <f aca="false">IF(F899="","",TRIM(IF(N(M899)=0,"Sin ensayos. ","")&amp;IF(AND(N(M899)&gt;0,N(M899)&lt;CONFIG!$B$26),"Menos de "&amp;CONFIG!$B$26&amp;" probetas. ","")&amp;IF(N(T899)&gt;CONFIG!$B$25,"CV alto. ","")&amp;IF(AND(N(AD899)&gt;0,N(AD899)&gt;N(AF899)),"Absorción alta. ","")))</f>
        <v/>
      </c>
      <c r="AH899" s="22" t="str">
        <f aca="false">IF(AND(N(M899)&gt;0,OR(CONTROL!$C$4="TODAS",C899=CONTROL!$C$4),D899=CONTROL!$C$5),MAX($AH$4:AH898)+1,"")</f>
        <v/>
      </c>
      <c r="AI899" s="22" t="str">
        <f aca="false">IF(AH899="","",P899^2)</f>
        <v/>
      </c>
    </row>
    <row r="900" customFormat="false" ht="15" hidden="false" customHeight="false" outlineLevel="0" collapsed="false">
      <c r="A900" s="11" t="str">
        <f aca="false">IF(B900="","",ROW()-4)</f>
        <v/>
      </c>
      <c r="B900" s="12"/>
      <c r="C900" s="13"/>
      <c r="D900" s="13"/>
      <c r="E900" s="13"/>
      <c r="F900" s="14" t="str">
        <f aca="false">IF(OR(B900="",C900="",D900=""),"",IFERROR(INDEX(CONFIG!$E$5:$E$14,MATCH(D900,CONFIG!$D$5:$D$14,0)),"?")&amp;RIGHT("0"&amp;DAY(B900),2)&amp;RIGHT("0"&amp;MONTH(B900),2)&amp;RIGHT(YEAR(B900),2)&amp;C900&amp;IF(E900="","","-"&amp;E900))</f>
        <v/>
      </c>
      <c r="G900" s="13"/>
      <c r="H900" s="13"/>
      <c r="I900" s="13"/>
      <c r="J900" s="13"/>
      <c r="K900" s="13"/>
      <c r="L900" s="13"/>
      <c r="M900" s="11" t="str">
        <f aca="false">IF(F900="","",COUNTIFS(ENSAYOS!$C$5:$C$3004,F900,ENSAYOS!$Q$5:$Q$3004,"&gt;0"))</f>
        <v/>
      </c>
      <c r="N900" s="15" t="str">
        <f aca="false">IF(N(M900)=0,"",_xlfn.MINIFS(ENSAYOS!$G$5:$G$3004,ENSAYOS!$C$5:$C$3004,F900,ENSAYOS!$Q$5:$Q$3004,"&gt;0"))</f>
        <v/>
      </c>
      <c r="O900" s="15" t="str">
        <f aca="false">IF(N(M900)=0,"",_xlfn.MAXIFS(ENSAYOS!$G$5:$G$3004,ENSAYOS!$C$5:$C$3004,F900,ENSAYOS!$Q$5:$Q$3004,"&gt;0"))</f>
        <v/>
      </c>
      <c r="P900" s="16" t="str">
        <f aca="false">IF(N(M900)=0,"",AVERAGEIFS(ENSAYOS!$Q$5:$Q$3004,ENSAYOS!$C$5:$C$3004,F900,ENSAYOS!$Q$5:$Q$3004,"&gt;0"))</f>
        <v/>
      </c>
      <c r="Q900" s="16" t="str">
        <f aca="false">IF(N(M900)=0,"",_xlfn.MINIFS(ENSAYOS!$Q$5:$Q$3004,ENSAYOS!$C$5:$C$3004,F900,ENSAYOS!$Q$5:$Q$3004,"&gt;0"))</f>
        <v/>
      </c>
      <c r="R900" s="16" t="str">
        <f aca="false">IF(N(M900)=0,"",_xlfn.MAXIFS(ENSAYOS!$Q$5:$Q$3004,ENSAYOS!$C$5:$C$3004,F900,ENSAYOS!$Q$5:$Q$3004,"&gt;0"))</f>
        <v/>
      </c>
      <c r="S900" s="16" t="str">
        <f aca="false">IF(N(M900)&lt;2,"",SQRT(MAX(0,(SUMIFS(ENSAYOS!$X$5:$X$3004,ENSAYOS!$C$5:$C$3004,F900,ENSAYOS!$Q$5:$Q$3004,"&gt;0")-M900*P900^2)/(M900-1))))</f>
        <v/>
      </c>
      <c r="T900" s="17" t="str">
        <f aca="false">IF(S900="","",S900/P900)</f>
        <v/>
      </c>
      <c r="U900" s="16" t="str">
        <f aca="false">IF(N(M900)=0,"",IF(N900&gt;=CONFIG!$B$27,"",AVERAGEIFS(ENSAYOS!$Q$5:$Q$3004,ENSAYOS!$C$5:$C$3004,F900,ENSAYOS!$Q$5:$Q$3004,"&gt;0",ENSAYOS!$G$5:$G$3004,N900)))</f>
        <v/>
      </c>
      <c r="V900" s="16" t="str">
        <f aca="false">IF(N(M900)=0,"",IF(COUNTIFS(ENSAYOS!$C$5:$C$3004,F900,ENSAYOS!$Q$5:$Q$3004,"&gt;0",ENSAYOS!$G$5:$G$3004,"&gt;="&amp;CONFIG!$B$27)=0,"",AVERAGEIFS(ENSAYOS!$Q$5:$Q$3004,ENSAYOS!$C$5:$C$3004,F900,ENSAYOS!$Q$5:$Q$3004,"&gt;0",ENSAYOS!$G$5:$G$3004,"&gt;="&amp;CONFIG!$B$27)))</f>
        <v/>
      </c>
      <c r="W900" s="18" t="str">
        <f aca="false">IF(AND(U900&lt;&gt;"",V900&lt;&gt;""),U900/V900,"")</f>
        <v/>
      </c>
      <c r="X900" s="18" t="str">
        <f aca="false">IF(U900="","",INDEX('CURVA EDAD'!$E$5:$E$32,MIN(28,MAX(1,N900))))</f>
        <v/>
      </c>
      <c r="Y900" s="16" t="str">
        <f aca="false">IF(V900&lt;&gt;"",V900,IF(U900="","",U900/X900))</f>
        <v/>
      </c>
      <c r="Z900" s="16" t="str">
        <f aca="false">IF(V900&lt;&gt;"",_xlfn.MINIFS(ENSAYOS!$Q$5:$Q$3004,ENSAYOS!$C$5:$C$3004,F900,ENSAYOS!$Q$5:$Q$3004,"&gt;0",ENSAYOS!$G$5:$G$3004,"&gt;="&amp;CONFIG!$B$27),IF(U900="","",_xlfn.MINIFS(ENSAYOS!$Q$5:$Q$3004,ENSAYOS!$C$5:$C$3004,F900,ENSAYOS!$Q$5:$Q$3004,"&gt;0",ENSAYOS!$G$5:$G$3004,N900)/X900))</f>
        <v/>
      </c>
      <c r="AA900" s="16" t="str">
        <f aca="false">IF(D900="","",IFERROR(1/(1/INDEX(CONFIG!$J$5:$J$14,MATCH(D900,CONFIG!$D$5:$D$14,0))),""))</f>
        <v/>
      </c>
      <c r="AB900" s="16" t="str">
        <f aca="false">IF(D900="","",IFERROR(1/(1/INDEX(CONFIG!$K$5:$K$14,MATCH(D900,CONFIG!$D$5:$D$14,0))),""))</f>
        <v/>
      </c>
      <c r="AC900" s="19" t="str">
        <f aca="false">IF(N(M900)=0,"",IF(AA900="","Sin spec",IF(AND(Y900&gt;=AA900,OR(AB900="",Z900&gt;=AB900)),"CUMPLE","NO CUMPLE")&amp;IF(V900=""," (est.)","")))</f>
        <v/>
      </c>
      <c r="AD900" s="20" t="str">
        <f aca="false">IF(F900="","",IF(COUNTIFS(ABSORCION!$C$5:$C$1004,F900,ABSORCION!$I$5:$I$1004,"&gt;0")=0,"",AVERAGEIFS(ABSORCION!$I$5:$I$1004,ABSORCION!$C$5:$C$1004,F900,ABSORCION!$I$5:$I$1004,"&gt;0")))</f>
        <v/>
      </c>
      <c r="AE900" s="20" t="str">
        <f aca="false">IF(F900="","",IF(COUNTIFS(ABSORCION!$C$5:$C$1004,F900,ABSORCION!$I$5:$I$1004,"&gt;0")=0,"",AVERAGEIFS(ABSORCION!$K$5:$K$1004,ABSORCION!$C$5:$C$1004,F900,ABSORCION!$I$5:$I$1004,"&gt;0")))</f>
        <v/>
      </c>
      <c r="AF900" s="20" t="str">
        <f aca="false">IF(AE900="","",IF(AE900&gt;=CONFIG!$E$21,CONFIG!$F$21,IF(AE900&gt;=CONFIG!$E$20,CONFIG!$F$20,CONFIG!$F$19)))</f>
        <v/>
      </c>
      <c r="AG900" s="21" t="str">
        <f aca="false">IF(F900="","",TRIM(IF(N(M900)=0,"Sin ensayos. ","")&amp;IF(AND(N(M900)&gt;0,N(M900)&lt;CONFIG!$B$26),"Menos de "&amp;CONFIG!$B$26&amp;" probetas. ","")&amp;IF(N(T900)&gt;CONFIG!$B$25,"CV alto. ","")&amp;IF(AND(N(AD900)&gt;0,N(AD900)&gt;N(AF900)),"Absorción alta. ","")))</f>
        <v/>
      </c>
      <c r="AH900" s="22" t="str">
        <f aca="false">IF(AND(N(M900)&gt;0,OR(CONTROL!$C$4="TODAS",C900=CONTROL!$C$4),D900=CONTROL!$C$5),MAX($AH$4:AH899)+1,"")</f>
        <v/>
      </c>
      <c r="AI900" s="22" t="str">
        <f aca="false">IF(AH900="","",P900^2)</f>
        <v/>
      </c>
    </row>
    <row r="901" customFormat="false" ht="15" hidden="false" customHeight="false" outlineLevel="0" collapsed="false">
      <c r="A901" s="11" t="str">
        <f aca="false">IF(B901="","",ROW()-4)</f>
        <v/>
      </c>
      <c r="B901" s="12"/>
      <c r="C901" s="13"/>
      <c r="D901" s="13"/>
      <c r="E901" s="13"/>
      <c r="F901" s="14" t="str">
        <f aca="false">IF(OR(B901="",C901="",D901=""),"",IFERROR(INDEX(CONFIG!$E$5:$E$14,MATCH(D901,CONFIG!$D$5:$D$14,0)),"?")&amp;RIGHT("0"&amp;DAY(B901),2)&amp;RIGHT("0"&amp;MONTH(B901),2)&amp;RIGHT(YEAR(B901),2)&amp;C901&amp;IF(E901="","","-"&amp;E901))</f>
        <v/>
      </c>
      <c r="G901" s="13"/>
      <c r="H901" s="13"/>
      <c r="I901" s="13"/>
      <c r="J901" s="13"/>
      <c r="K901" s="13"/>
      <c r="L901" s="13"/>
      <c r="M901" s="11" t="str">
        <f aca="false">IF(F901="","",COUNTIFS(ENSAYOS!$C$5:$C$3004,F901,ENSAYOS!$Q$5:$Q$3004,"&gt;0"))</f>
        <v/>
      </c>
      <c r="N901" s="15" t="str">
        <f aca="false">IF(N(M901)=0,"",_xlfn.MINIFS(ENSAYOS!$G$5:$G$3004,ENSAYOS!$C$5:$C$3004,F901,ENSAYOS!$Q$5:$Q$3004,"&gt;0"))</f>
        <v/>
      </c>
      <c r="O901" s="15" t="str">
        <f aca="false">IF(N(M901)=0,"",_xlfn.MAXIFS(ENSAYOS!$G$5:$G$3004,ENSAYOS!$C$5:$C$3004,F901,ENSAYOS!$Q$5:$Q$3004,"&gt;0"))</f>
        <v/>
      </c>
      <c r="P901" s="16" t="str">
        <f aca="false">IF(N(M901)=0,"",AVERAGEIFS(ENSAYOS!$Q$5:$Q$3004,ENSAYOS!$C$5:$C$3004,F901,ENSAYOS!$Q$5:$Q$3004,"&gt;0"))</f>
        <v/>
      </c>
      <c r="Q901" s="16" t="str">
        <f aca="false">IF(N(M901)=0,"",_xlfn.MINIFS(ENSAYOS!$Q$5:$Q$3004,ENSAYOS!$C$5:$C$3004,F901,ENSAYOS!$Q$5:$Q$3004,"&gt;0"))</f>
        <v/>
      </c>
      <c r="R901" s="16" t="str">
        <f aca="false">IF(N(M901)=0,"",_xlfn.MAXIFS(ENSAYOS!$Q$5:$Q$3004,ENSAYOS!$C$5:$C$3004,F901,ENSAYOS!$Q$5:$Q$3004,"&gt;0"))</f>
        <v/>
      </c>
      <c r="S901" s="16" t="str">
        <f aca="false">IF(N(M901)&lt;2,"",SQRT(MAX(0,(SUMIFS(ENSAYOS!$X$5:$X$3004,ENSAYOS!$C$5:$C$3004,F901,ENSAYOS!$Q$5:$Q$3004,"&gt;0")-M901*P901^2)/(M901-1))))</f>
        <v/>
      </c>
      <c r="T901" s="17" t="str">
        <f aca="false">IF(S901="","",S901/P901)</f>
        <v/>
      </c>
      <c r="U901" s="16" t="str">
        <f aca="false">IF(N(M901)=0,"",IF(N901&gt;=CONFIG!$B$27,"",AVERAGEIFS(ENSAYOS!$Q$5:$Q$3004,ENSAYOS!$C$5:$C$3004,F901,ENSAYOS!$Q$5:$Q$3004,"&gt;0",ENSAYOS!$G$5:$G$3004,N901)))</f>
        <v/>
      </c>
      <c r="V901" s="16" t="str">
        <f aca="false">IF(N(M901)=0,"",IF(COUNTIFS(ENSAYOS!$C$5:$C$3004,F901,ENSAYOS!$Q$5:$Q$3004,"&gt;0",ENSAYOS!$G$5:$G$3004,"&gt;="&amp;CONFIG!$B$27)=0,"",AVERAGEIFS(ENSAYOS!$Q$5:$Q$3004,ENSAYOS!$C$5:$C$3004,F901,ENSAYOS!$Q$5:$Q$3004,"&gt;0",ENSAYOS!$G$5:$G$3004,"&gt;="&amp;CONFIG!$B$27)))</f>
        <v/>
      </c>
      <c r="W901" s="18" t="str">
        <f aca="false">IF(AND(U901&lt;&gt;"",V901&lt;&gt;""),U901/V901,"")</f>
        <v/>
      </c>
      <c r="X901" s="18" t="str">
        <f aca="false">IF(U901="","",INDEX('CURVA EDAD'!$E$5:$E$32,MIN(28,MAX(1,N901))))</f>
        <v/>
      </c>
      <c r="Y901" s="16" t="str">
        <f aca="false">IF(V901&lt;&gt;"",V901,IF(U901="","",U901/X901))</f>
        <v/>
      </c>
      <c r="Z901" s="16" t="str">
        <f aca="false">IF(V901&lt;&gt;"",_xlfn.MINIFS(ENSAYOS!$Q$5:$Q$3004,ENSAYOS!$C$5:$C$3004,F901,ENSAYOS!$Q$5:$Q$3004,"&gt;0",ENSAYOS!$G$5:$G$3004,"&gt;="&amp;CONFIG!$B$27),IF(U901="","",_xlfn.MINIFS(ENSAYOS!$Q$5:$Q$3004,ENSAYOS!$C$5:$C$3004,F901,ENSAYOS!$Q$5:$Q$3004,"&gt;0",ENSAYOS!$G$5:$G$3004,N901)/X901))</f>
        <v/>
      </c>
      <c r="AA901" s="16" t="str">
        <f aca="false">IF(D901="","",IFERROR(1/(1/INDEX(CONFIG!$J$5:$J$14,MATCH(D901,CONFIG!$D$5:$D$14,0))),""))</f>
        <v/>
      </c>
      <c r="AB901" s="16" t="str">
        <f aca="false">IF(D901="","",IFERROR(1/(1/INDEX(CONFIG!$K$5:$K$14,MATCH(D901,CONFIG!$D$5:$D$14,0))),""))</f>
        <v/>
      </c>
      <c r="AC901" s="19" t="str">
        <f aca="false">IF(N(M901)=0,"",IF(AA901="","Sin spec",IF(AND(Y901&gt;=AA901,OR(AB901="",Z901&gt;=AB901)),"CUMPLE","NO CUMPLE")&amp;IF(V901=""," (est.)","")))</f>
        <v/>
      </c>
      <c r="AD901" s="20" t="str">
        <f aca="false">IF(F901="","",IF(COUNTIFS(ABSORCION!$C$5:$C$1004,F901,ABSORCION!$I$5:$I$1004,"&gt;0")=0,"",AVERAGEIFS(ABSORCION!$I$5:$I$1004,ABSORCION!$C$5:$C$1004,F901,ABSORCION!$I$5:$I$1004,"&gt;0")))</f>
        <v/>
      </c>
      <c r="AE901" s="20" t="str">
        <f aca="false">IF(F901="","",IF(COUNTIFS(ABSORCION!$C$5:$C$1004,F901,ABSORCION!$I$5:$I$1004,"&gt;0")=0,"",AVERAGEIFS(ABSORCION!$K$5:$K$1004,ABSORCION!$C$5:$C$1004,F901,ABSORCION!$I$5:$I$1004,"&gt;0")))</f>
        <v/>
      </c>
      <c r="AF901" s="20" t="str">
        <f aca="false">IF(AE901="","",IF(AE901&gt;=CONFIG!$E$21,CONFIG!$F$21,IF(AE901&gt;=CONFIG!$E$20,CONFIG!$F$20,CONFIG!$F$19)))</f>
        <v/>
      </c>
      <c r="AG901" s="21" t="str">
        <f aca="false">IF(F901="","",TRIM(IF(N(M901)=0,"Sin ensayos. ","")&amp;IF(AND(N(M901)&gt;0,N(M901)&lt;CONFIG!$B$26),"Menos de "&amp;CONFIG!$B$26&amp;" probetas. ","")&amp;IF(N(T901)&gt;CONFIG!$B$25,"CV alto. ","")&amp;IF(AND(N(AD901)&gt;0,N(AD901)&gt;N(AF901)),"Absorción alta. ","")))</f>
        <v/>
      </c>
      <c r="AH901" s="22" t="str">
        <f aca="false">IF(AND(N(M901)&gt;0,OR(CONTROL!$C$4="TODAS",C901=CONTROL!$C$4),D901=CONTROL!$C$5),MAX($AH$4:AH900)+1,"")</f>
        <v/>
      </c>
      <c r="AI901" s="22" t="str">
        <f aca="false">IF(AH901="","",P901^2)</f>
        <v/>
      </c>
    </row>
    <row r="902" customFormat="false" ht="15" hidden="false" customHeight="false" outlineLevel="0" collapsed="false">
      <c r="A902" s="11" t="str">
        <f aca="false">IF(B902="","",ROW()-4)</f>
        <v/>
      </c>
      <c r="B902" s="12"/>
      <c r="C902" s="13"/>
      <c r="D902" s="13"/>
      <c r="E902" s="13"/>
      <c r="F902" s="14" t="str">
        <f aca="false">IF(OR(B902="",C902="",D902=""),"",IFERROR(INDEX(CONFIG!$E$5:$E$14,MATCH(D902,CONFIG!$D$5:$D$14,0)),"?")&amp;RIGHT("0"&amp;DAY(B902),2)&amp;RIGHT("0"&amp;MONTH(B902),2)&amp;RIGHT(YEAR(B902),2)&amp;C902&amp;IF(E902="","","-"&amp;E902))</f>
        <v/>
      </c>
      <c r="G902" s="13"/>
      <c r="H902" s="13"/>
      <c r="I902" s="13"/>
      <c r="J902" s="13"/>
      <c r="K902" s="13"/>
      <c r="L902" s="13"/>
      <c r="M902" s="11" t="str">
        <f aca="false">IF(F902="","",COUNTIFS(ENSAYOS!$C$5:$C$3004,F902,ENSAYOS!$Q$5:$Q$3004,"&gt;0"))</f>
        <v/>
      </c>
      <c r="N902" s="15" t="str">
        <f aca="false">IF(N(M902)=0,"",_xlfn.MINIFS(ENSAYOS!$G$5:$G$3004,ENSAYOS!$C$5:$C$3004,F902,ENSAYOS!$Q$5:$Q$3004,"&gt;0"))</f>
        <v/>
      </c>
      <c r="O902" s="15" t="str">
        <f aca="false">IF(N(M902)=0,"",_xlfn.MAXIFS(ENSAYOS!$G$5:$G$3004,ENSAYOS!$C$5:$C$3004,F902,ENSAYOS!$Q$5:$Q$3004,"&gt;0"))</f>
        <v/>
      </c>
      <c r="P902" s="16" t="str">
        <f aca="false">IF(N(M902)=0,"",AVERAGEIFS(ENSAYOS!$Q$5:$Q$3004,ENSAYOS!$C$5:$C$3004,F902,ENSAYOS!$Q$5:$Q$3004,"&gt;0"))</f>
        <v/>
      </c>
      <c r="Q902" s="16" t="str">
        <f aca="false">IF(N(M902)=0,"",_xlfn.MINIFS(ENSAYOS!$Q$5:$Q$3004,ENSAYOS!$C$5:$C$3004,F902,ENSAYOS!$Q$5:$Q$3004,"&gt;0"))</f>
        <v/>
      </c>
      <c r="R902" s="16" t="str">
        <f aca="false">IF(N(M902)=0,"",_xlfn.MAXIFS(ENSAYOS!$Q$5:$Q$3004,ENSAYOS!$C$5:$C$3004,F902,ENSAYOS!$Q$5:$Q$3004,"&gt;0"))</f>
        <v/>
      </c>
      <c r="S902" s="16" t="str">
        <f aca="false">IF(N(M902)&lt;2,"",SQRT(MAX(0,(SUMIFS(ENSAYOS!$X$5:$X$3004,ENSAYOS!$C$5:$C$3004,F902,ENSAYOS!$Q$5:$Q$3004,"&gt;0")-M902*P902^2)/(M902-1))))</f>
        <v/>
      </c>
      <c r="T902" s="17" t="str">
        <f aca="false">IF(S902="","",S902/P902)</f>
        <v/>
      </c>
      <c r="U902" s="16" t="str">
        <f aca="false">IF(N(M902)=0,"",IF(N902&gt;=CONFIG!$B$27,"",AVERAGEIFS(ENSAYOS!$Q$5:$Q$3004,ENSAYOS!$C$5:$C$3004,F902,ENSAYOS!$Q$5:$Q$3004,"&gt;0",ENSAYOS!$G$5:$G$3004,N902)))</f>
        <v/>
      </c>
      <c r="V902" s="16" t="str">
        <f aca="false">IF(N(M902)=0,"",IF(COUNTIFS(ENSAYOS!$C$5:$C$3004,F902,ENSAYOS!$Q$5:$Q$3004,"&gt;0",ENSAYOS!$G$5:$G$3004,"&gt;="&amp;CONFIG!$B$27)=0,"",AVERAGEIFS(ENSAYOS!$Q$5:$Q$3004,ENSAYOS!$C$5:$C$3004,F902,ENSAYOS!$Q$5:$Q$3004,"&gt;0",ENSAYOS!$G$5:$G$3004,"&gt;="&amp;CONFIG!$B$27)))</f>
        <v/>
      </c>
      <c r="W902" s="18" t="str">
        <f aca="false">IF(AND(U902&lt;&gt;"",V902&lt;&gt;""),U902/V902,"")</f>
        <v/>
      </c>
      <c r="X902" s="18" t="str">
        <f aca="false">IF(U902="","",INDEX('CURVA EDAD'!$E$5:$E$32,MIN(28,MAX(1,N902))))</f>
        <v/>
      </c>
      <c r="Y902" s="16" t="str">
        <f aca="false">IF(V902&lt;&gt;"",V902,IF(U902="","",U902/X902))</f>
        <v/>
      </c>
      <c r="Z902" s="16" t="str">
        <f aca="false">IF(V902&lt;&gt;"",_xlfn.MINIFS(ENSAYOS!$Q$5:$Q$3004,ENSAYOS!$C$5:$C$3004,F902,ENSAYOS!$Q$5:$Q$3004,"&gt;0",ENSAYOS!$G$5:$G$3004,"&gt;="&amp;CONFIG!$B$27),IF(U902="","",_xlfn.MINIFS(ENSAYOS!$Q$5:$Q$3004,ENSAYOS!$C$5:$C$3004,F902,ENSAYOS!$Q$5:$Q$3004,"&gt;0",ENSAYOS!$G$5:$G$3004,N902)/X902))</f>
        <v/>
      </c>
      <c r="AA902" s="16" t="str">
        <f aca="false">IF(D902="","",IFERROR(1/(1/INDEX(CONFIG!$J$5:$J$14,MATCH(D902,CONFIG!$D$5:$D$14,0))),""))</f>
        <v/>
      </c>
      <c r="AB902" s="16" t="str">
        <f aca="false">IF(D902="","",IFERROR(1/(1/INDEX(CONFIG!$K$5:$K$14,MATCH(D902,CONFIG!$D$5:$D$14,0))),""))</f>
        <v/>
      </c>
      <c r="AC902" s="19" t="str">
        <f aca="false">IF(N(M902)=0,"",IF(AA902="","Sin spec",IF(AND(Y902&gt;=AA902,OR(AB902="",Z902&gt;=AB902)),"CUMPLE","NO CUMPLE")&amp;IF(V902=""," (est.)","")))</f>
        <v/>
      </c>
      <c r="AD902" s="20" t="str">
        <f aca="false">IF(F902="","",IF(COUNTIFS(ABSORCION!$C$5:$C$1004,F902,ABSORCION!$I$5:$I$1004,"&gt;0")=0,"",AVERAGEIFS(ABSORCION!$I$5:$I$1004,ABSORCION!$C$5:$C$1004,F902,ABSORCION!$I$5:$I$1004,"&gt;0")))</f>
        <v/>
      </c>
      <c r="AE902" s="20" t="str">
        <f aca="false">IF(F902="","",IF(COUNTIFS(ABSORCION!$C$5:$C$1004,F902,ABSORCION!$I$5:$I$1004,"&gt;0")=0,"",AVERAGEIFS(ABSORCION!$K$5:$K$1004,ABSORCION!$C$5:$C$1004,F902,ABSORCION!$I$5:$I$1004,"&gt;0")))</f>
        <v/>
      </c>
      <c r="AF902" s="20" t="str">
        <f aca="false">IF(AE902="","",IF(AE902&gt;=CONFIG!$E$21,CONFIG!$F$21,IF(AE902&gt;=CONFIG!$E$20,CONFIG!$F$20,CONFIG!$F$19)))</f>
        <v/>
      </c>
      <c r="AG902" s="21" t="str">
        <f aca="false">IF(F902="","",TRIM(IF(N(M902)=0,"Sin ensayos. ","")&amp;IF(AND(N(M902)&gt;0,N(M902)&lt;CONFIG!$B$26),"Menos de "&amp;CONFIG!$B$26&amp;" probetas. ","")&amp;IF(N(T902)&gt;CONFIG!$B$25,"CV alto. ","")&amp;IF(AND(N(AD902)&gt;0,N(AD902)&gt;N(AF902)),"Absorción alta. ","")))</f>
        <v/>
      </c>
      <c r="AH902" s="22" t="str">
        <f aca="false">IF(AND(N(M902)&gt;0,OR(CONTROL!$C$4="TODAS",C902=CONTROL!$C$4),D902=CONTROL!$C$5),MAX($AH$4:AH901)+1,"")</f>
        <v/>
      </c>
      <c r="AI902" s="22" t="str">
        <f aca="false">IF(AH902="","",P902^2)</f>
        <v/>
      </c>
    </row>
    <row r="903" customFormat="false" ht="15" hidden="false" customHeight="false" outlineLevel="0" collapsed="false">
      <c r="A903" s="11" t="str">
        <f aca="false">IF(B903="","",ROW()-4)</f>
        <v/>
      </c>
      <c r="B903" s="12"/>
      <c r="C903" s="13"/>
      <c r="D903" s="13"/>
      <c r="E903" s="13"/>
      <c r="F903" s="14" t="str">
        <f aca="false">IF(OR(B903="",C903="",D903=""),"",IFERROR(INDEX(CONFIG!$E$5:$E$14,MATCH(D903,CONFIG!$D$5:$D$14,0)),"?")&amp;RIGHT("0"&amp;DAY(B903),2)&amp;RIGHT("0"&amp;MONTH(B903),2)&amp;RIGHT(YEAR(B903),2)&amp;C903&amp;IF(E903="","","-"&amp;E903))</f>
        <v/>
      </c>
      <c r="G903" s="13"/>
      <c r="H903" s="13"/>
      <c r="I903" s="13"/>
      <c r="J903" s="13"/>
      <c r="K903" s="13"/>
      <c r="L903" s="13"/>
      <c r="M903" s="11" t="str">
        <f aca="false">IF(F903="","",COUNTIFS(ENSAYOS!$C$5:$C$3004,F903,ENSAYOS!$Q$5:$Q$3004,"&gt;0"))</f>
        <v/>
      </c>
      <c r="N903" s="15" t="str">
        <f aca="false">IF(N(M903)=0,"",_xlfn.MINIFS(ENSAYOS!$G$5:$G$3004,ENSAYOS!$C$5:$C$3004,F903,ENSAYOS!$Q$5:$Q$3004,"&gt;0"))</f>
        <v/>
      </c>
      <c r="O903" s="15" t="str">
        <f aca="false">IF(N(M903)=0,"",_xlfn.MAXIFS(ENSAYOS!$G$5:$G$3004,ENSAYOS!$C$5:$C$3004,F903,ENSAYOS!$Q$5:$Q$3004,"&gt;0"))</f>
        <v/>
      </c>
      <c r="P903" s="16" t="str">
        <f aca="false">IF(N(M903)=0,"",AVERAGEIFS(ENSAYOS!$Q$5:$Q$3004,ENSAYOS!$C$5:$C$3004,F903,ENSAYOS!$Q$5:$Q$3004,"&gt;0"))</f>
        <v/>
      </c>
      <c r="Q903" s="16" t="str">
        <f aca="false">IF(N(M903)=0,"",_xlfn.MINIFS(ENSAYOS!$Q$5:$Q$3004,ENSAYOS!$C$5:$C$3004,F903,ENSAYOS!$Q$5:$Q$3004,"&gt;0"))</f>
        <v/>
      </c>
      <c r="R903" s="16" t="str">
        <f aca="false">IF(N(M903)=0,"",_xlfn.MAXIFS(ENSAYOS!$Q$5:$Q$3004,ENSAYOS!$C$5:$C$3004,F903,ENSAYOS!$Q$5:$Q$3004,"&gt;0"))</f>
        <v/>
      </c>
      <c r="S903" s="16" t="str">
        <f aca="false">IF(N(M903)&lt;2,"",SQRT(MAX(0,(SUMIFS(ENSAYOS!$X$5:$X$3004,ENSAYOS!$C$5:$C$3004,F903,ENSAYOS!$Q$5:$Q$3004,"&gt;0")-M903*P903^2)/(M903-1))))</f>
        <v/>
      </c>
      <c r="T903" s="17" t="str">
        <f aca="false">IF(S903="","",S903/P903)</f>
        <v/>
      </c>
      <c r="U903" s="16" t="str">
        <f aca="false">IF(N(M903)=0,"",IF(N903&gt;=CONFIG!$B$27,"",AVERAGEIFS(ENSAYOS!$Q$5:$Q$3004,ENSAYOS!$C$5:$C$3004,F903,ENSAYOS!$Q$5:$Q$3004,"&gt;0",ENSAYOS!$G$5:$G$3004,N903)))</f>
        <v/>
      </c>
      <c r="V903" s="16" t="str">
        <f aca="false">IF(N(M903)=0,"",IF(COUNTIFS(ENSAYOS!$C$5:$C$3004,F903,ENSAYOS!$Q$5:$Q$3004,"&gt;0",ENSAYOS!$G$5:$G$3004,"&gt;="&amp;CONFIG!$B$27)=0,"",AVERAGEIFS(ENSAYOS!$Q$5:$Q$3004,ENSAYOS!$C$5:$C$3004,F903,ENSAYOS!$Q$5:$Q$3004,"&gt;0",ENSAYOS!$G$5:$G$3004,"&gt;="&amp;CONFIG!$B$27)))</f>
        <v/>
      </c>
      <c r="W903" s="18" t="str">
        <f aca="false">IF(AND(U903&lt;&gt;"",V903&lt;&gt;""),U903/V903,"")</f>
        <v/>
      </c>
      <c r="X903" s="18" t="str">
        <f aca="false">IF(U903="","",INDEX('CURVA EDAD'!$E$5:$E$32,MIN(28,MAX(1,N903))))</f>
        <v/>
      </c>
      <c r="Y903" s="16" t="str">
        <f aca="false">IF(V903&lt;&gt;"",V903,IF(U903="","",U903/X903))</f>
        <v/>
      </c>
      <c r="Z903" s="16" t="str">
        <f aca="false">IF(V903&lt;&gt;"",_xlfn.MINIFS(ENSAYOS!$Q$5:$Q$3004,ENSAYOS!$C$5:$C$3004,F903,ENSAYOS!$Q$5:$Q$3004,"&gt;0",ENSAYOS!$G$5:$G$3004,"&gt;="&amp;CONFIG!$B$27),IF(U903="","",_xlfn.MINIFS(ENSAYOS!$Q$5:$Q$3004,ENSAYOS!$C$5:$C$3004,F903,ENSAYOS!$Q$5:$Q$3004,"&gt;0",ENSAYOS!$G$5:$G$3004,N903)/X903))</f>
        <v/>
      </c>
      <c r="AA903" s="16" t="str">
        <f aca="false">IF(D903="","",IFERROR(1/(1/INDEX(CONFIG!$J$5:$J$14,MATCH(D903,CONFIG!$D$5:$D$14,0))),""))</f>
        <v/>
      </c>
      <c r="AB903" s="16" t="str">
        <f aca="false">IF(D903="","",IFERROR(1/(1/INDEX(CONFIG!$K$5:$K$14,MATCH(D903,CONFIG!$D$5:$D$14,0))),""))</f>
        <v/>
      </c>
      <c r="AC903" s="19" t="str">
        <f aca="false">IF(N(M903)=0,"",IF(AA903="","Sin spec",IF(AND(Y903&gt;=AA903,OR(AB903="",Z903&gt;=AB903)),"CUMPLE","NO CUMPLE")&amp;IF(V903=""," (est.)","")))</f>
        <v/>
      </c>
      <c r="AD903" s="20" t="str">
        <f aca="false">IF(F903="","",IF(COUNTIFS(ABSORCION!$C$5:$C$1004,F903,ABSORCION!$I$5:$I$1004,"&gt;0")=0,"",AVERAGEIFS(ABSORCION!$I$5:$I$1004,ABSORCION!$C$5:$C$1004,F903,ABSORCION!$I$5:$I$1004,"&gt;0")))</f>
        <v/>
      </c>
      <c r="AE903" s="20" t="str">
        <f aca="false">IF(F903="","",IF(COUNTIFS(ABSORCION!$C$5:$C$1004,F903,ABSORCION!$I$5:$I$1004,"&gt;0")=0,"",AVERAGEIFS(ABSORCION!$K$5:$K$1004,ABSORCION!$C$5:$C$1004,F903,ABSORCION!$I$5:$I$1004,"&gt;0")))</f>
        <v/>
      </c>
      <c r="AF903" s="20" t="str">
        <f aca="false">IF(AE903="","",IF(AE903&gt;=CONFIG!$E$21,CONFIG!$F$21,IF(AE903&gt;=CONFIG!$E$20,CONFIG!$F$20,CONFIG!$F$19)))</f>
        <v/>
      </c>
      <c r="AG903" s="21" t="str">
        <f aca="false">IF(F903="","",TRIM(IF(N(M903)=0,"Sin ensayos. ","")&amp;IF(AND(N(M903)&gt;0,N(M903)&lt;CONFIG!$B$26),"Menos de "&amp;CONFIG!$B$26&amp;" probetas. ","")&amp;IF(N(T903)&gt;CONFIG!$B$25,"CV alto. ","")&amp;IF(AND(N(AD903)&gt;0,N(AD903)&gt;N(AF903)),"Absorción alta. ","")))</f>
        <v/>
      </c>
      <c r="AH903" s="22" t="str">
        <f aca="false">IF(AND(N(M903)&gt;0,OR(CONTROL!$C$4="TODAS",C903=CONTROL!$C$4),D903=CONTROL!$C$5),MAX($AH$4:AH902)+1,"")</f>
        <v/>
      </c>
      <c r="AI903" s="22" t="str">
        <f aca="false">IF(AH903="","",P903^2)</f>
        <v/>
      </c>
    </row>
    <row r="904" customFormat="false" ht="15" hidden="false" customHeight="false" outlineLevel="0" collapsed="false">
      <c r="A904" s="11" t="str">
        <f aca="false">IF(B904="","",ROW()-4)</f>
        <v/>
      </c>
      <c r="B904" s="12"/>
      <c r="C904" s="13"/>
      <c r="D904" s="13"/>
      <c r="E904" s="13"/>
      <c r="F904" s="14" t="str">
        <f aca="false">IF(OR(B904="",C904="",D904=""),"",IFERROR(INDEX(CONFIG!$E$5:$E$14,MATCH(D904,CONFIG!$D$5:$D$14,0)),"?")&amp;RIGHT("0"&amp;DAY(B904),2)&amp;RIGHT("0"&amp;MONTH(B904),2)&amp;RIGHT(YEAR(B904),2)&amp;C904&amp;IF(E904="","","-"&amp;E904))</f>
        <v/>
      </c>
      <c r="G904" s="13"/>
      <c r="H904" s="13"/>
      <c r="I904" s="13"/>
      <c r="J904" s="13"/>
      <c r="K904" s="13"/>
      <c r="L904" s="13"/>
      <c r="M904" s="11" t="str">
        <f aca="false">IF(F904="","",COUNTIFS(ENSAYOS!$C$5:$C$3004,F904,ENSAYOS!$Q$5:$Q$3004,"&gt;0"))</f>
        <v/>
      </c>
      <c r="N904" s="15" t="str">
        <f aca="false">IF(N(M904)=0,"",_xlfn.MINIFS(ENSAYOS!$G$5:$G$3004,ENSAYOS!$C$5:$C$3004,F904,ENSAYOS!$Q$5:$Q$3004,"&gt;0"))</f>
        <v/>
      </c>
      <c r="O904" s="15" t="str">
        <f aca="false">IF(N(M904)=0,"",_xlfn.MAXIFS(ENSAYOS!$G$5:$G$3004,ENSAYOS!$C$5:$C$3004,F904,ENSAYOS!$Q$5:$Q$3004,"&gt;0"))</f>
        <v/>
      </c>
      <c r="P904" s="16" t="str">
        <f aca="false">IF(N(M904)=0,"",AVERAGEIFS(ENSAYOS!$Q$5:$Q$3004,ENSAYOS!$C$5:$C$3004,F904,ENSAYOS!$Q$5:$Q$3004,"&gt;0"))</f>
        <v/>
      </c>
      <c r="Q904" s="16" t="str">
        <f aca="false">IF(N(M904)=0,"",_xlfn.MINIFS(ENSAYOS!$Q$5:$Q$3004,ENSAYOS!$C$5:$C$3004,F904,ENSAYOS!$Q$5:$Q$3004,"&gt;0"))</f>
        <v/>
      </c>
      <c r="R904" s="16" t="str">
        <f aca="false">IF(N(M904)=0,"",_xlfn.MAXIFS(ENSAYOS!$Q$5:$Q$3004,ENSAYOS!$C$5:$C$3004,F904,ENSAYOS!$Q$5:$Q$3004,"&gt;0"))</f>
        <v/>
      </c>
      <c r="S904" s="16" t="str">
        <f aca="false">IF(N(M904)&lt;2,"",SQRT(MAX(0,(SUMIFS(ENSAYOS!$X$5:$X$3004,ENSAYOS!$C$5:$C$3004,F904,ENSAYOS!$Q$5:$Q$3004,"&gt;0")-M904*P904^2)/(M904-1))))</f>
        <v/>
      </c>
      <c r="T904" s="17" t="str">
        <f aca="false">IF(S904="","",S904/P904)</f>
        <v/>
      </c>
      <c r="U904" s="16" t="str">
        <f aca="false">IF(N(M904)=0,"",IF(N904&gt;=CONFIG!$B$27,"",AVERAGEIFS(ENSAYOS!$Q$5:$Q$3004,ENSAYOS!$C$5:$C$3004,F904,ENSAYOS!$Q$5:$Q$3004,"&gt;0",ENSAYOS!$G$5:$G$3004,N904)))</f>
        <v/>
      </c>
      <c r="V904" s="16" t="str">
        <f aca="false">IF(N(M904)=0,"",IF(COUNTIFS(ENSAYOS!$C$5:$C$3004,F904,ENSAYOS!$Q$5:$Q$3004,"&gt;0",ENSAYOS!$G$5:$G$3004,"&gt;="&amp;CONFIG!$B$27)=0,"",AVERAGEIFS(ENSAYOS!$Q$5:$Q$3004,ENSAYOS!$C$5:$C$3004,F904,ENSAYOS!$Q$5:$Q$3004,"&gt;0",ENSAYOS!$G$5:$G$3004,"&gt;="&amp;CONFIG!$B$27)))</f>
        <v/>
      </c>
      <c r="W904" s="18" t="str">
        <f aca="false">IF(AND(U904&lt;&gt;"",V904&lt;&gt;""),U904/V904,"")</f>
        <v/>
      </c>
      <c r="X904" s="18" t="str">
        <f aca="false">IF(U904="","",INDEX('CURVA EDAD'!$E$5:$E$32,MIN(28,MAX(1,N904))))</f>
        <v/>
      </c>
      <c r="Y904" s="16" t="str">
        <f aca="false">IF(V904&lt;&gt;"",V904,IF(U904="","",U904/X904))</f>
        <v/>
      </c>
      <c r="Z904" s="16" t="str">
        <f aca="false">IF(V904&lt;&gt;"",_xlfn.MINIFS(ENSAYOS!$Q$5:$Q$3004,ENSAYOS!$C$5:$C$3004,F904,ENSAYOS!$Q$5:$Q$3004,"&gt;0",ENSAYOS!$G$5:$G$3004,"&gt;="&amp;CONFIG!$B$27),IF(U904="","",_xlfn.MINIFS(ENSAYOS!$Q$5:$Q$3004,ENSAYOS!$C$5:$C$3004,F904,ENSAYOS!$Q$5:$Q$3004,"&gt;0",ENSAYOS!$G$5:$G$3004,N904)/X904))</f>
        <v/>
      </c>
      <c r="AA904" s="16" t="str">
        <f aca="false">IF(D904="","",IFERROR(1/(1/INDEX(CONFIG!$J$5:$J$14,MATCH(D904,CONFIG!$D$5:$D$14,0))),""))</f>
        <v/>
      </c>
      <c r="AB904" s="16" t="str">
        <f aca="false">IF(D904="","",IFERROR(1/(1/INDEX(CONFIG!$K$5:$K$14,MATCH(D904,CONFIG!$D$5:$D$14,0))),""))</f>
        <v/>
      </c>
      <c r="AC904" s="19" t="str">
        <f aca="false">IF(N(M904)=0,"",IF(AA904="","Sin spec",IF(AND(Y904&gt;=AA904,OR(AB904="",Z904&gt;=AB904)),"CUMPLE","NO CUMPLE")&amp;IF(V904=""," (est.)","")))</f>
        <v/>
      </c>
      <c r="AD904" s="20" t="str">
        <f aca="false">IF(F904="","",IF(COUNTIFS(ABSORCION!$C$5:$C$1004,F904,ABSORCION!$I$5:$I$1004,"&gt;0")=0,"",AVERAGEIFS(ABSORCION!$I$5:$I$1004,ABSORCION!$C$5:$C$1004,F904,ABSORCION!$I$5:$I$1004,"&gt;0")))</f>
        <v/>
      </c>
      <c r="AE904" s="20" t="str">
        <f aca="false">IF(F904="","",IF(COUNTIFS(ABSORCION!$C$5:$C$1004,F904,ABSORCION!$I$5:$I$1004,"&gt;0")=0,"",AVERAGEIFS(ABSORCION!$K$5:$K$1004,ABSORCION!$C$5:$C$1004,F904,ABSORCION!$I$5:$I$1004,"&gt;0")))</f>
        <v/>
      </c>
      <c r="AF904" s="20" t="str">
        <f aca="false">IF(AE904="","",IF(AE904&gt;=CONFIG!$E$21,CONFIG!$F$21,IF(AE904&gt;=CONFIG!$E$20,CONFIG!$F$20,CONFIG!$F$19)))</f>
        <v/>
      </c>
      <c r="AG904" s="21" t="str">
        <f aca="false">IF(F904="","",TRIM(IF(N(M904)=0,"Sin ensayos. ","")&amp;IF(AND(N(M904)&gt;0,N(M904)&lt;CONFIG!$B$26),"Menos de "&amp;CONFIG!$B$26&amp;" probetas. ","")&amp;IF(N(T904)&gt;CONFIG!$B$25,"CV alto. ","")&amp;IF(AND(N(AD904)&gt;0,N(AD904)&gt;N(AF904)),"Absorción alta. ","")))</f>
        <v/>
      </c>
      <c r="AH904" s="22" t="str">
        <f aca="false">IF(AND(N(M904)&gt;0,OR(CONTROL!$C$4="TODAS",C904=CONTROL!$C$4),D904=CONTROL!$C$5),MAX($AH$4:AH903)+1,"")</f>
        <v/>
      </c>
      <c r="AI904" s="22" t="str">
        <f aca="false">IF(AH904="","",P904^2)</f>
        <v/>
      </c>
    </row>
    <row r="905" customFormat="false" ht="15" hidden="false" customHeight="false" outlineLevel="0" collapsed="false">
      <c r="A905" s="11" t="str">
        <f aca="false">IF(B905="","",ROW()-4)</f>
        <v/>
      </c>
      <c r="B905" s="12"/>
      <c r="C905" s="13"/>
      <c r="D905" s="13"/>
      <c r="E905" s="13"/>
      <c r="F905" s="14" t="str">
        <f aca="false">IF(OR(B905="",C905="",D905=""),"",IFERROR(INDEX(CONFIG!$E$5:$E$14,MATCH(D905,CONFIG!$D$5:$D$14,0)),"?")&amp;RIGHT("0"&amp;DAY(B905),2)&amp;RIGHT("0"&amp;MONTH(B905),2)&amp;RIGHT(YEAR(B905),2)&amp;C905&amp;IF(E905="","","-"&amp;E905))</f>
        <v/>
      </c>
      <c r="G905" s="13"/>
      <c r="H905" s="13"/>
      <c r="I905" s="13"/>
      <c r="J905" s="13"/>
      <c r="K905" s="13"/>
      <c r="L905" s="13"/>
      <c r="M905" s="11" t="str">
        <f aca="false">IF(F905="","",COUNTIFS(ENSAYOS!$C$5:$C$3004,F905,ENSAYOS!$Q$5:$Q$3004,"&gt;0"))</f>
        <v/>
      </c>
      <c r="N905" s="15" t="str">
        <f aca="false">IF(N(M905)=0,"",_xlfn.MINIFS(ENSAYOS!$G$5:$G$3004,ENSAYOS!$C$5:$C$3004,F905,ENSAYOS!$Q$5:$Q$3004,"&gt;0"))</f>
        <v/>
      </c>
      <c r="O905" s="15" t="str">
        <f aca="false">IF(N(M905)=0,"",_xlfn.MAXIFS(ENSAYOS!$G$5:$G$3004,ENSAYOS!$C$5:$C$3004,F905,ENSAYOS!$Q$5:$Q$3004,"&gt;0"))</f>
        <v/>
      </c>
      <c r="P905" s="16" t="str">
        <f aca="false">IF(N(M905)=0,"",AVERAGEIFS(ENSAYOS!$Q$5:$Q$3004,ENSAYOS!$C$5:$C$3004,F905,ENSAYOS!$Q$5:$Q$3004,"&gt;0"))</f>
        <v/>
      </c>
      <c r="Q905" s="16" t="str">
        <f aca="false">IF(N(M905)=0,"",_xlfn.MINIFS(ENSAYOS!$Q$5:$Q$3004,ENSAYOS!$C$5:$C$3004,F905,ENSAYOS!$Q$5:$Q$3004,"&gt;0"))</f>
        <v/>
      </c>
      <c r="R905" s="16" t="str">
        <f aca="false">IF(N(M905)=0,"",_xlfn.MAXIFS(ENSAYOS!$Q$5:$Q$3004,ENSAYOS!$C$5:$C$3004,F905,ENSAYOS!$Q$5:$Q$3004,"&gt;0"))</f>
        <v/>
      </c>
      <c r="S905" s="16" t="str">
        <f aca="false">IF(N(M905)&lt;2,"",SQRT(MAX(0,(SUMIFS(ENSAYOS!$X$5:$X$3004,ENSAYOS!$C$5:$C$3004,F905,ENSAYOS!$Q$5:$Q$3004,"&gt;0")-M905*P905^2)/(M905-1))))</f>
        <v/>
      </c>
      <c r="T905" s="17" t="str">
        <f aca="false">IF(S905="","",S905/P905)</f>
        <v/>
      </c>
      <c r="U905" s="16" t="str">
        <f aca="false">IF(N(M905)=0,"",IF(N905&gt;=CONFIG!$B$27,"",AVERAGEIFS(ENSAYOS!$Q$5:$Q$3004,ENSAYOS!$C$5:$C$3004,F905,ENSAYOS!$Q$5:$Q$3004,"&gt;0",ENSAYOS!$G$5:$G$3004,N905)))</f>
        <v/>
      </c>
      <c r="V905" s="16" t="str">
        <f aca="false">IF(N(M905)=0,"",IF(COUNTIFS(ENSAYOS!$C$5:$C$3004,F905,ENSAYOS!$Q$5:$Q$3004,"&gt;0",ENSAYOS!$G$5:$G$3004,"&gt;="&amp;CONFIG!$B$27)=0,"",AVERAGEIFS(ENSAYOS!$Q$5:$Q$3004,ENSAYOS!$C$5:$C$3004,F905,ENSAYOS!$Q$5:$Q$3004,"&gt;0",ENSAYOS!$G$5:$G$3004,"&gt;="&amp;CONFIG!$B$27)))</f>
        <v/>
      </c>
      <c r="W905" s="18" t="str">
        <f aca="false">IF(AND(U905&lt;&gt;"",V905&lt;&gt;""),U905/V905,"")</f>
        <v/>
      </c>
      <c r="X905" s="18" t="str">
        <f aca="false">IF(U905="","",INDEX('CURVA EDAD'!$E$5:$E$32,MIN(28,MAX(1,N905))))</f>
        <v/>
      </c>
      <c r="Y905" s="16" t="str">
        <f aca="false">IF(V905&lt;&gt;"",V905,IF(U905="","",U905/X905))</f>
        <v/>
      </c>
      <c r="Z905" s="16" t="str">
        <f aca="false">IF(V905&lt;&gt;"",_xlfn.MINIFS(ENSAYOS!$Q$5:$Q$3004,ENSAYOS!$C$5:$C$3004,F905,ENSAYOS!$Q$5:$Q$3004,"&gt;0",ENSAYOS!$G$5:$G$3004,"&gt;="&amp;CONFIG!$B$27),IF(U905="","",_xlfn.MINIFS(ENSAYOS!$Q$5:$Q$3004,ENSAYOS!$C$5:$C$3004,F905,ENSAYOS!$Q$5:$Q$3004,"&gt;0",ENSAYOS!$G$5:$G$3004,N905)/X905))</f>
        <v/>
      </c>
      <c r="AA905" s="16" t="str">
        <f aca="false">IF(D905="","",IFERROR(1/(1/INDEX(CONFIG!$J$5:$J$14,MATCH(D905,CONFIG!$D$5:$D$14,0))),""))</f>
        <v/>
      </c>
      <c r="AB905" s="16" t="str">
        <f aca="false">IF(D905="","",IFERROR(1/(1/INDEX(CONFIG!$K$5:$K$14,MATCH(D905,CONFIG!$D$5:$D$14,0))),""))</f>
        <v/>
      </c>
      <c r="AC905" s="19" t="str">
        <f aca="false">IF(N(M905)=0,"",IF(AA905="","Sin spec",IF(AND(Y905&gt;=AA905,OR(AB905="",Z905&gt;=AB905)),"CUMPLE","NO CUMPLE")&amp;IF(V905=""," (est.)","")))</f>
        <v/>
      </c>
      <c r="AD905" s="20" t="str">
        <f aca="false">IF(F905="","",IF(COUNTIFS(ABSORCION!$C$5:$C$1004,F905,ABSORCION!$I$5:$I$1004,"&gt;0")=0,"",AVERAGEIFS(ABSORCION!$I$5:$I$1004,ABSORCION!$C$5:$C$1004,F905,ABSORCION!$I$5:$I$1004,"&gt;0")))</f>
        <v/>
      </c>
      <c r="AE905" s="20" t="str">
        <f aca="false">IF(F905="","",IF(COUNTIFS(ABSORCION!$C$5:$C$1004,F905,ABSORCION!$I$5:$I$1004,"&gt;0")=0,"",AVERAGEIFS(ABSORCION!$K$5:$K$1004,ABSORCION!$C$5:$C$1004,F905,ABSORCION!$I$5:$I$1004,"&gt;0")))</f>
        <v/>
      </c>
      <c r="AF905" s="20" t="str">
        <f aca="false">IF(AE905="","",IF(AE905&gt;=CONFIG!$E$21,CONFIG!$F$21,IF(AE905&gt;=CONFIG!$E$20,CONFIG!$F$20,CONFIG!$F$19)))</f>
        <v/>
      </c>
      <c r="AG905" s="21" t="str">
        <f aca="false">IF(F905="","",TRIM(IF(N(M905)=0,"Sin ensayos. ","")&amp;IF(AND(N(M905)&gt;0,N(M905)&lt;CONFIG!$B$26),"Menos de "&amp;CONFIG!$B$26&amp;" probetas. ","")&amp;IF(N(T905)&gt;CONFIG!$B$25,"CV alto. ","")&amp;IF(AND(N(AD905)&gt;0,N(AD905)&gt;N(AF905)),"Absorción alta. ","")))</f>
        <v/>
      </c>
      <c r="AH905" s="22" t="str">
        <f aca="false">IF(AND(N(M905)&gt;0,OR(CONTROL!$C$4="TODAS",C905=CONTROL!$C$4),D905=CONTROL!$C$5),MAX($AH$4:AH904)+1,"")</f>
        <v/>
      </c>
      <c r="AI905" s="22" t="str">
        <f aca="false">IF(AH905="","",P905^2)</f>
        <v/>
      </c>
    </row>
    <row r="906" customFormat="false" ht="15" hidden="false" customHeight="false" outlineLevel="0" collapsed="false">
      <c r="A906" s="11" t="str">
        <f aca="false">IF(B906="","",ROW()-4)</f>
        <v/>
      </c>
      <c r="B906" s="12"/>
      <c r="C906" s="13"/>
      <c r="D906" s="13"/>
      <c r="E906" s="13"/>
      <c r="F906" s="14" t="str">
        <f aca="false">IF(OR(B906="",C906="",D906=""),"",IFERROR(INDEX(CONFIG!$E$5:$E$14,MATCH(D906,CONFIG!$D$5:$D$14,0)),"?")&amp;RIGHT("0"&amp;DAY(B906),2)&amp;RIGHT("0"&amp;MONTH(B906),2)&amp;RIGHT(YEAR(B906),2)&amp;C906&amp;IF(E906="","","-"&amp;E906))</f>
        <v/>
      </c>
      <c r="G906" s="13"/>
      <c r="H906" s="13"/>
      <c r="I906" s="13"/>
      <c r="J906" s="13"/>
      <c r="K906" s="13"/>
      <c r="L906" s="13"/>
      <c r="M906" s="11" t="str">
        <f aca="false">IF(F906="","",COUNTIFS(ENSAYOS!$C$5:$C$3004,F906,ENSAYOS!$Q$5:$Q$3004,"&gt;0"))</f>
        <v/>
      </c>
      <c r="N906" s="15" t="str">
        <f aca="false">IF(N(M906)=0,"",_xlfn.MINIFS(ENSAYOS!$G$5:$G$3004,ENSAYOS!$C$5:$C$3004,F906,ENSAYOS!$Q$5:$Q$3004,"&gt;0"))</f>
        <v/>
      </c>
      <c r="O906" s="15" t="str">
        <f aca="false">IF(N(M906)=0,"",_xlfn.MAXIFS(ENSAYOS!$G$5:$G$3004,ENSAYOS!$C$5:$C$3004,F906,ENSAYOS!$Q$5:$Q$3004,"&gt;0"))</f>
        <v/>
      </c>
      <c r="P906" s="16" t="str">
        <f aca="false">IF(N(M906)=0,"",AVERAGEIFS(ENSAYOS!$Q$5:$Q$3004,ENSAYOS!$C$5:$C$3004,F906,ENSAYOS!$Q$5:$Q$3004,"&gt;0"))</f>
        <v/>
      </c>
      <c r="Q906" s="16" t="str">
        <f aca="false">IF(N(M906)=0,"",_xlfn.MINIFS(ENSAYOS!$Q$5:$Q$3004,ENSAYOS!$C$5:$C$3004,F906,ENSAYOS!$Q$5:$Q$3004,"&gt;0"))</f>
        <v/>
      </c>
      <c r="R906" s="16" t="str">
        <f aca="false">IF(N(M906)=0,"",_xlfn.MAXIFS(ENSAYOS!$Q$5:$Q$3004,ENSAYOS!$C$5:$C$3004,F906,ENSAYOS!$Q$5:$Q$3004,"&gt;0"))</f>
        <v/>
      </c>
      <c r="S906" s="16" t="str">
        <f aca="false">IF(N(M906)&lt;2,"",SQRT(MAX(0,(SUMIFS(ENSAYOS!$X$5:$X$3004,ENSAYOS!$C$5:$C$3004,F906,ENSAYOS!$Q$5:$Q$3004,"&gt;0")-M906*P906^2)/(M906-1))))</f>
        <v/>
      </c>
      <c r="T906" s="17" t="str">
        <f aca="false">IF(S906="","",S906/P906)</f>
        <v/>
      </c>
      <c r="U906" s="16" t="str">
        <f aca="false">IF(N(M906)=0,"",IF(N906&gt;=CONFIG!$B$27,"",AVERAGEIFS(ENSAYOS!$Q$5:$Q$3004,ENSAYOS!$C$5:$C$3004,F906,ENSAYOS!$Q$5:$Q$3004,"&gt;0",ENSAYOS!$G$5:$G$3004,N906)))</f>
        <v/>
      </c>
      <c r="V906" s="16" t="str">
        <f aca="false">IF(N(M906)=0,"",IF(COUNTIFS(ENSAYOS!$C$5:$C$3004,F906,ENSAYOS!$Q$5:$Q$3004,"&gt;0",ENSAYOS!$G$5:$G$3004,"&gt;="&amp;CONFIG!$B$27)=0,"",AVERAGEIFS(ENSAYOS!$Q$5:$Q$3004,ENSAYOS!$C$5:$C$3004,F906,ENSAYOS!$Q$5:$Q$3004,"&gt;0",ENSAYOS!$G$5:$G$3004,"&gt;="&amp;CONFIG!$B$27)))</f>
        <v/>
      </c>
      <c r="W906" s="18" t="str">
        <f aca="false">IF(AND(U906&lt;&gt;"",V906&lt;&gt;""),U906/V906,"")</f>
        <v/>
      </c>
      <c r="X906" s="18" t="str">
        <f aca="false">IF(U906="","",INDEX('CURVA EDAD'!$E$5:$E$32,MIN(28,MAX(1,N906))))</f>
        <v/>
      </c>
      <c r="Y906" s="16" t="str">
        <f aca="false">IF(V906&lt;&gt;"",V906,IF(U906="","",U906/X906))</f>
        <v/>
      </c>
      <c r="Z906" s="16" t="str">
        <f aca="false">IF(V906&lt;&gt;"",_xlfn.MINIFS(ENSAYOS!$Q$5:$Q$3004,ENSAYOS!$C$5:$C$3004,F906,ENSAYOS!$Q$5:$Q$3004,"&gt;0",ENSAYOS!$G$5:$G$3004,"&gt;="&amp;CONFIG!$B$27),IF(U906="","",_xlfn.MINIFS(ENSAYOS!$Q$5:$Q$3004,ENSAYOS!$C$5:$C$3004,F906,ENSAYOS!$Q$5:$Q$3004,"&gt;0",ENSAYOS!$G$5:$G$3004,N906)/X906))</f>
        <v/>
      </c>
      <c r="AA906" s="16" t="str">
        <f aca="false">IF(D906="","",IFERROR(1/(1/INDEX(CONFIG!$J$5:$J$14,MATCH(D906,CONFIG!$D$5:$D$14,0))),""))</f>
        <v/>
      </c>
      <c r="AB906" s="16" t="str">
        <f aca="false">IF(D906="","",IFERROR(1/(1/INDEX(CONFIG!$K$5:$K$14,MATCH(D906,CONFIG!$D$5:$D$14,0))),""))</f>
        <v/>
      </c>
      <c r="AC906" s="19" t="str">
        <f aca="false">IF(N(M906)=0,"",IF(AA906="","Sin spec",IF(AND(Y906&gt;=AA906,OR(AB906="",Z906&gt;=AB906)),"CUMPLE","NO CUMPLE")&amp;IF(V906=""," (est.)","")))</f>
        <v/>
      </c>
      <c r="AD906" s="20" t="str">
        <f aca="false">IF(F906="","",IF(COUNTIFS(ABSORCION!$C$5:$C$1004,F906,ABSORCION!$I$5:$I$1004,"&gt;0")=0,"",AVERAGEIFS(ABSORCION!$I$5:$I$1004,ABSORCION!$C$5:$C$1004,F906,ABSORCION!$I$5:$I$1004,"&gt;0")))</f>
        <v/>
      </c>
      <c r="AE906" s="20" t="str">
        <f aca="false">IF(F906="","",IF(COUNTIFS(ABSORCION!$C$5:$C$1004,F906,ABSORCION!$I$5:$I$1004,"&gt;0")=0,"",AVERAGEIFS(ABSORCION!$K$5:$K$1004,ABSORCION!$C$5:$C$1004,F906,ABSORCION!$I$5:$I$1004,"&gt;0")))</f>
        <v/>
      </c>
      <c r="AF906" s="20" t="str">
        <f aca="false">IF(AE906="","",IF(AE906&gt;=CONFIG!$E$21,CONFIG!$F$21,IF(AE906&gt;=CONFIG!$E$20,CONFIG!$F$20,CONFIG!$F$19)))</f>
        <v/>
      </c>
      <c r="AG906" s="21" t="str">
        <f aca="false">IF(F906="","",TRIM(IF(N(M906)=0,"Sin ensayos. ","")&amp;IF(AND(N(M906)&gt;0,N(M906)&lt;CONFIG!$B$26),"Menos de "&amp;CONFIG!$B$26&amp;" probetas. ","")&amp;IF(N(T906)&gt;CONFIG!$B$25,"CV alto. ","")&amp;IF(AND(N(AD906)&gt;0,N(AD906)&gt;N(AF906)),"Absorción alta. ","")))</f>
        <v/>
      </c>
      <c r="AH906" s="22" t="str">
        <f aca="false">IF(AND(N(M906)&gt;0,OR(CONTROL!$C$4="TODAS",C906=CONTROL!$C$4),D906=CONTROL!$C$5),MAX($AH$4:AH905)+1,"")</f>
        <v/>
      </c>
      <c r="AI906" s="22" t="str">
        <f aca="false">IF(AH906="","",P906^2)</f>
        <v/>
      </c>
    </row>
    <row r="907" customFormat="false" ht="15" hidden="false" customHeight="false" outlineLevel="0" collapsed="false">
      <c r="A907" s="11" t="str">
        <f aca="false">IF(B907="","",ROW()-4)</f>
        <v/>
      </c>
      <c r="B907" s="12"/>
      <c r="C907" s="13"/>
      <c r="D907" s="13"/>
      <c r="E907" s="13"/>
      <c r="F907" s="14" t="str">
        <f aca="false">IF(OR(B907="",C907="",D907=""),"",IFERROR(INDEX(CONFIG!$E$5:$E$14,MATCH(D907,CONFIG!$D$5:$D$14,0)),"?")&amp;RIGHT("0"&amp;DAY(B907),2)&amp;RIGHT("0"&amp;MONTH(B907),2)&amp;RIGHT(YEAR(B907),2)&amp;C907&amp;IF(E907="","","-"&amp;E907))</f>
        <v/>
      </c>
      <c r="G907" s="13"/>
      <c r="H907" s="13"/>
      <c r="I907" s="13"/>
      <c r="J907" s="13"/>
      <c r="K907" s="13"/>
      <c r="L907" s="13"/>
      <c r="M907" s="11" t="str">
        <f aca="false">IF(F907="","",COUNTIFS(ENSAYOS!$C$5:$C$3004,F907,ENSAYOS!$Q$5:$Q$3004,"&gt;0"))</f>
        <v/>
      </c>
      <c r="N907" s="15" t="str">
        <f aca="false">IF(N(M907)=0,"",_xlfn.MINIFS(ENSAYOS!$G$5:$G$3004,ENSAYOS!$C$5:$C$3004,F907,ENSAYOS!$Q$5:$Q$3004,"&gt;0"))</f>
        <v/>
      </c>
      <c r="O907" s="15" t="str">
        <f aca="false">IF(N(M907)=0,"",_xlfn.MAXIFS(ENSAYOS!$G$5:$G$3004,ENSAYOS!$C$5:$C$3004,F907,ENSAYOS!$Q$5:$Q$3004,"&gt;0"))</f>
        <v/>
      </c>
      <c r="P907" s="16" t="str">
        <f aca="false">IF(N(M907)=0,"",AVERAGEIFS(ENSAYOS!$Q$5:$Q$3004,ENSAYOS!$C$5:$C$3004,F907,ENSAYOS!$Q$5:$Q$3004,"&gt;0"))</f>
        <v/>
      </c>
      <c r="Q907" s="16" t="str">
        <f aca="false">IF(N(M907)=0,"",_xlfn.MINIFS(ENSAYOS!$Q$5:$Q$3004,ENSAYOS!$C$5:$C$3004,F907,ENSAYOS!$Q$5:$Q$3004,"&gt;0"))</f>
        <v/>
      </c>
      <c r="R907" s="16" t="str">
        <f aca="false">IF(N(M907)=0,"",_xlfn.MAXIFS(ENSAYOS!$Q$5:$Q$3004,ENSAYOS!$C$5:$C$3004,F907,ENSAYOS!$Q$5:$Q$3004,"&gt;0"))</f>
        <v/>
      </c>
      <c r="S907" s="16" t="str">
        <f aca="false">IF(N(M907)&lt;2,"",SQRT(MAX(0,(SUMIFS(ENSAYOS!$X$5:$X$3004,ENSAYOS!$C$5:$C$3004,F907,ENSAYOS!$Q$5:$Q$3004,"&gt;0")-M907*P907^2)/(M907-1))))</f>
        <v/>
      </c>
      <c r="T907" s="17" t="str">
        <f aca="false">IF(S907="","",S907/P907)</f>
        <v/>
      </c>
      <c r="U907" s="16" t="str">
        <f aca="false">IF(N(M907)=0,"",IF(N907&gt;=CONFIG!$B$27,"",AVERAGEIFS(ENSAYOS!$Q$5:$Q$3004,ENSAYOS!$C$5:$C$3004,F907,ENSAYOS!$Q$5:$Q$3004,"&gt;0",ENSAYOS!$G$5:$G$3004,N907)))</f>
        <v/>
      </c>
      <c r="V907" s="16" t="str">
        <f aca="false">IF(N(M907)=0,"",IF(COUNTIFS(ENSAYOS!$C$5:$C$3004,F907,ENSAYOS!$Q$5:$Q$3004,"&gt;0",ENSAYOS!$G$5:$G$3004,"&gt;="&amp;CONFIG!$B$27)=0,"",AVERAGEIFS(ENSAYOS!$Q$5:$Q$3004,ENSAYOS!$C$5:$C$3004,F907,ENSAYOS!$Q$5:$Q$3004,"&gt;0",ENSAYOS!$G$5:$G$3004,"&gt;="&amp;CONFIG!$B$27)))</f>
        <v/>
      </c>
      <c r="W907" s="18" t="str">
        <f aca="false">IF(AND(U907&lt;&gt;"",V907&lt;&gt;""),U907/V907,"")</f>
        <v/>
      </c>
      <c r="X907" s="18" t="str">
        <f aca="false">IF(U907="","",INDEX('CURVA EDAD'!$E$5:$E$32,MIN(28,MAX(1,N907))))</f>
        <v/>
      </c>
      <c r="Y907" s="16" t="str">
        <f aca="false">IF(V907&lt;&gt;"",V907,IF(U907="","",U907/X907))</f>
        <v/>
      </c>
      <c r="Z907" s="16" t="str">
        <f aca="false">IF(V907&lt;&gt;"",_xlfn.MINIFS(ENSAYOS!$Q$5:$Q$3004,ENSAYOS!$C$5:$C$3004,F907,ENSAYOS!$Q$5:$Q$3004,"&gt;0",ENSAYOS!$G$5:$G$3004,"&gt;="&amp;CONFIG!$B$27),IF(U907="","",_xlfn.MINIFS(ENSAYOS!$Q$5:$Q$3004,ENSAYOS!$C$5:$C$3004,F907,ENSAYOS!$Q$5:$Q$3004,"&gt;0",ENSAYOS!$G$5:$G$3004,N907)/X907))</f>
        <v/>
      </c>
      <c r="AA907" s="16" t="str">
        <f aca="false">IF(D907="","",IFERROR(1/(1/INDEX(CONFIG!$J$5:$J$14,MATCH(D907,CONFIG!$D$5:$D$14,0))),""))</f>
        <v/>
      </c>
      <c r="AB907" s="16" t="str">
        <f aca="false">IF(D907="","",IFERROR(1/(1/INDEX(CONFIG!$K$5:$K$14,MATCH(D907,CONFIG!$D$5:$D$14,0))),""))</f>
        <v/>
      </c>
      <c r="AC907" s="19" t="str">
        <f aca="false">IF(N(M907)=0,"",IF(AA907="","Sin spec",IF(AND(Y907&gt;=AA907,OR(AB907="",Z907&gt;=AB907)),"CUMPLE","NO CUMPLE")&amp;IF(V907=""," (est.)","")))</f>
        <v/>
      </c>
      <c r="AD907" s="20" t="str">
        <f aca="false">IF(F907="","",IF(COUNTIFS(ABSORCION!$C$5:$C$1004,F907,ABSORCION!$I$5:$I$1004,"&gt;0")=0,"",AVERAGEIFS(ABSORCION!$I$5:$I$1004,ABSORCION!$C$5:$C$1004,F907,ABSORCION!$I$5:$I$1004,"&gt;0")))</f>
        <v/>
      </c>
      <c r="AE907" s="20" t="str">
        <f aca="false">IF(F907="","",IF(COUNTIFS(ABSORCION!$C$5:$C$1004,F907,ABSORCION!$I$5:$I$1004,"&gt;0")=0,"",AVERAGEIFS(ABSORCION!$K$5:$K$1004,ABSORCION!$C$5:$C$1004,F907,ABSORCION!$I$5:$I$1004,"&gt;0")))</f>
        <v/>
      </c>
      <c r="AF907" s="20" t="str">
        <f aca="false">IF(AE907="","",IF(AE907&gt;=CONFIG!$E$21,CONFIG!$F$21,IF(AE907&gt;=CONFIG!$E$20,CONFIG!$F$20,CONFIG!$F$19)))</f>
        <v/>
      </c>
      <c r="AG907" s="21" t="str">
        <f aca="false">IF(F907="","",TRIM(IF(N(M907)=0,"Sin ensayos. ","")&amp;IF(AND(N(M907)&gt;0,N(M907)&lt;CONFIG!$B$26),"Menos de "&amp;CONFIG!$B$26&amp;" probetas. ","")&amp;IF(N(T907)&gt;CONFIG!$B$25,"CV alto. ","")&amp;IF(AND(N(AD907)&gt;0,N(AD907)&gt;N(AF907)),"Absorción alta. ","")))</f>
        <v/>
      </c>
      <c r="AH907" s="22" t="str">
        <f aca="false">IF(AND(N(M907)&gt;0,OR(CONTROL!$C$4="TODAS",C907=CONTROL!$C$4),D907=CONTROL!$C$5),MAX($AH$4:AH906)+1,"")</f>
        <v/>
      </c>
      <c r="AI907" s="22" t="str">
        <f aca="false">IF(AH907="","",P907^2)</f>
        <v/>
      </c>
    </row>
    <row r="908" customFormat="false" ht="15" hidden="false" customHeight="false" outlineLevel="0" collapsed="false">
      <c r="A908" s="11" t="str">
        <f aca="false">IF(B908="","",ROW()-4)</f>
        <v/>
      </c>
      <c r="B908" s="12"/>
      <c r="C908" s="13"/>
      <c r="D908" s="13"/>
      <c r="E908" s="13"/>
      <c r="F908" s="14" t="str">
        <f aca="false">IF(OR(B908="",C908="",D908=""),"",IFERROR(INDEX(CONFIG!$E$5:$E$14,MATCH(D908,CONFIG!$D$5:$D$14,0)),"?")&amp;RIGHT("0"&amp;DAY(B908),2)&amp;RIGHT("0"&amp;MONTH(B908),2)&amp;RIGHT(YEAR(B908),2)&amp;C908&amp;IF(E908="","","-"&amp;E908))</f>
        <v/>
      </c>
      <c r="G908" s="13"/>
      <c r="H908" s="13"/>
      <c r="I908" s="13"/>
      <c r="J908" s="13"/>
      <c r="K908" s="13"/>
      <c r="L908" s="13"/>
      <c r="M908" s="11" t="str">
        <f aca="false">IF(F908="","",COUNTIFS(ENSAYOS!$C$5:$C$3004,F908,ENSAYOS!$Q$5:$Q$3004,"&gt;0"))</f>
        <v/>
      </c>
      <c r="N908" s="15" t="str">
        <f aca="false">IF(N(M908)=0,"",_xlfn.MINIFS(ENSAYOS!$G$5:$G$3004,ENSAYOS!$C$5:$C$3004,F908,ENSAYOS!$Q$5:$Q$3004,"&gt;0"))</f>
        <v/>
      </c>
      <c r="O908" s="15" t="str">
        <f aca="false">IF(N(M908)=0,"",_xlfn.MAXIFS(ENSAYOS!$G$5:$G$3004,ENSAYOS!$C$5:$C$3004,F908,ENSAYOS!$Q$5:$Q$3004,"&gt;0"))</f>
        <v/>
      </c>
      <c r="P908" s="16" t="str">
        <f aca="false">IF(N(M908)=0,"",AVERAGEIFS(ENSAYOS!$Q$5:$Q$3004,ENSAYOS!$C$5:$C$3004,F908,ENSAYOS!$Q$5:$Q$3004,"&gt;0"))</f>
        <v/>
      </c>
      <c r="Q908" s="16" t="str">
        <f aca="false">IF(N(M908)=0,"",_xlfn.MINIFS(ENSAYOS!$Q$5:$Q$3004,ENSAYOS!$C$5:$C$3004,F908,ENSAYOS!$Q$5:$Q$3004,"&gt;0"))</f>
        <v/>
      </c>
      <c r="R908" s="16" t="str">
        <f aca="false">IF(N(M908)=0,"",_xlfn.MAXIFS(ENSAYOS!$Q$5:$Q$3004,ENSAYOS!$C$5:$C$3004,F908,ENSAYOS!$Q$5:$Q$3004,"&gt;0"))</f>
        <v/>
      </c>
      <c r="S908" s="16" t="str">
        <f aca="false">IF(N(M908)&lt;2,"",SQRT(MAX(0,(SUMIFS(ENSAYOS!$X$5:$X$3004,ENSAYOS!$C$5:$C$3004,F908,ENSAYOS!$Q$5:$Q$3004,"&gt;0")-M908*P908^2)/(M908-1))))</f>
        <v/>
      </c>
      <c r="T908" s="17" t="str">
        <f aca="false">IF(S908="","",S908/P908)</f>
        <v/>
      </c>
      <c r="U908" s="16" t="str">
        <f aca="false">IF(N(M908)=0,"",IF(N908&gt;=CONFIG!$B$27,"",AVERAGEIFS(ENSAYOS!$Q$5:$Q$3004,ENSAYOS!$C$5:$C$3004,F908,ENSAYOS!$Q$5:$Q$3004,"&gt;0",ENSAYOS!$G$5:$G$3004,N908)))</f>
        <v/>
      </c>
      <c r="V908" s="16" t="str">
        <f aca="false">IF(N(M908)=0,"",IF(COUNTIFS(ENSAYOS!$C$5:$C$3004,F908,ENSAYOS!$Q$5:$Q$3004,"&gt;0",ENSAYOS!$G$5:$G$3004,"&gt;="&amp;CONFIG!$B$27)=0,"",AVERAGEIFS(ENSAYOS!$Q$5:$Q$3004,ENSAYOS!$C$5:$C$3004,F908,ENSAYOS!$Q$5:$Q$3004,"&gt;0",ENSAYOS!$G$5:$G$3004,"&gt;="&amp;CONFIG!$B$27)))</f>
        <v/>
      </c>
      <c r="W908" s="18" t="str">
        <f aca="false">IF(AND(U908&lt;&gt;"",V908&lt;&gt;""),U908/V908,"")</f>
        <v/>
      </c>
      <c r="X908" s="18" t="str">
        <f aca="false">IF(U908="","",INDEX('CURVA EDAD'!$E$5:$E$32,MIN(28,MAX(1,N908))))</f>
        <v/>
      </c>
      <c r="Y908" s="16" t="str">
        <f aca="false">IF(V908&lt;&gt;"",V908,IF(U908="","",U908/X908))</f>
        <v/>
      </c>
      <c r="Z908" s="16" t="str">
        <f aca="false">IF(V908&lt;&gt;"",_xlfn.MINIFS(ENSAYOS!$Q$5:$Q$3004,ENSAYOS!$C$5:$C$3004,F908,ENSAYOS!$Q$5:$Q$3004,"&gt;0",ENSAYOS!$G$5:$G$3004,"&gt;="&amp;CONFIG!$B$27),IF(U908="","",_xlfn.MINIFS(ENSAYOS!$Q$5:$Q$3004,ENSAYOS!$C$5:$C$3004,F908,ENSAYOS!$Q$5:$Q$3004,"&gt;0",ENSAYOS!$G$5:$G$3004,N908)/X908))</f>
        <v/>
      </c>
      <c r="AA908" s="16" t="str">
        <f aca="false">IF(D908="","",IFERROR(1/(1/INDEX(CONFIG!$J$5:$J$14,MATCH(D908,CONFIG!$D$5:$D$14,0))),""))</f>
        <v/>
      </c>
      <c r="AB908" s="16" t="str">
        <f aca="false">IF(D908="","",IFERROR(1/(1/INDEX(CONFIG!$K$5:$K$14,MATCH(D908,CONFIG!$D$5:$D$14,0))),""))</f>
        <v/>
      </c>
      <c r="AC908" s="19" t="str">
        <f aca="false">IF(N(M908)=0,"",IF(AA908="","Sin spec",IF(AND(Y908&gt;=AA908,OR(AB908="",Z908&gt;=AB908)),"CUMPLE","NO CUMPLE")&amp;IF(V908=""," (est.)","")))</f>
        <v/>
      </c>
      <c r="AD908" s="20" t="str">
        <f aca="false">IF(F908="","",IF(COUNTIFS(ABSORCION!$C$5:$C$1004,F908,ABSORCION!$I$5:$I$1004,"&gt;0")=0,"",AVERAGEIFS(ABSORCION!$I$5:$I$1004,ABSORCION!$C$5:$C$1004,F908,ABSORCION!$I$5:$I$1004,"&gt;0")))</f>
        <v/>
      </c>
      <c r="AE908" s="20" t="str">
        <f aca="false">IF(F908="","",IF(COUNTIFS(ABSORCION!$C$5:$C$1004,F908,ABSORCION!$I$5:$I$1004,"&gt;0")=0,"",AVERAGEIFS(ABSORCION!$K$5:$K$1004,ABSORCION!$C$5:$C$1004,F908,ABSORCION!$I$5:$I$1004,"&gt;0")))</f>
        <v/>
      </c>
      <c r="AF908" s="20" t="str">
        <f aca="false">IF(AE908="","",IF(AE908&gt;=CONFIG!$E$21,CONFIG!$F$21,IF(AE908&gt;=CONFIG!$E$20,CONFIG!$F$20,CONFIG!$F$19)))</f>
        <v/>
      </c>
      <c r="AG908" s="21" t="str">
        <f aca="false">IF(F908="","",TRIM(IF(N(M908)=0,"Sin ensayos. ","")&amp;IF(AND(N(M908)&gt;0,N(M908)&lt;CONFIG!$B$26),"Menos de "&amp;CONFIG!$B$26&amp;" probetas. ","")&amp;IF(N(T908)&gt;CONFIG!$B$25,"CV alto. ","")&amp;IF(AND(N(AD908)&gt;0,N(AD908)&gt;N(AF908)),"Absorción alta. ","")))</f>
        <v/>
      </c>
      <c r="AH908" s="22" t="str">
        <f aca="false">IF(AND(N(M908)&gt;0,OR(CONTROL!$C$4="TODAS",C908=CONTROL!$C$4),D908=CONTROL!$C$5),MAX($AH$4:AH907)+1,"")</f>
        <v/>
      </c>
      <c r="AI908" s="22" t="str">
        <f aca="false">IF(AH908="","",P908^2)</f>
        <v/>
      </c>
    </row>
    <row r="909" customFormat="false" ht="15" hidden="false" customHeight="false" outlineLevel="0" collapsed="false">
      <c r="A909" s="11" t="str">
        <f aca="false">IF(B909="","",ROW()-4)</f>
        <v/>
      </c>
      <c r="B909" s="12"/>
      <c r="C909" s="13"/>
      <c r="D909" s="13"/>
      <c r="E909" s="13"/>
      <c r="F909" s="14" t="str">
        <f aca="false">IF(OR(B909="",C909="",D909=""),"",IFERROR(INDEX(CONFIG!$E$5:$E$14,MATCH(D909,CONFIG!$D$5:$D$14,0)),"?")&amp;RIGHT("0"&amp;DAY(B909),2)&amp;RIGHT("0"&amp;MONTH(B909),2)&amp;RIGHT(YEAR(B909),2)&amp;C909&amp;IF(E909="","","-"&amp;E909))</f>
        <v/>
      </c>
      <c r="G909" s="13"/>
      <c r="H909" s="13"/>
      <c r="I909" s="13"/>
      <c r="J909" s="13"/>
      <c r="K909" s="13"/>
      <c r="L909" s="13"/>
      <c r="M909" s="11" t="str">
        <f aca="false">IF(F909="","",COUNTIFS(ENSAYOS!$C$5:$C$3004,F909,ENSAYOS!$Q$5:$Q$3004,"&gt;0"))</f>
        <v/>
      </c>
      <c r="N909" s="15" t="str">
        <f aca="false">IF(N(M909)=0,"",_xlfn.MINIFS(ENSAYOS!$G$5:$G$3004,ENSAYOS!$C$5:$C$3004,F909,ENSAYOS!$Q$5:$Q$3004,"&gt;0"))</f>
        <v/>
      </c>
      <c r="O909" s="15" t="str">
        <f aca="false">IF(N(M909)=0,"",_xlfn.MAXIFS(ENSAYOS!$G$5:$G$3004,ENSAYOS!$C$5:$C$3004,F909,ENSAYOS!$Q$5:$Q$3004,"&gt;0"))</f>
        <v/>
      </c>
      <c r="P909" s="16" t="str">
        <f aca="false">IF(N(M909)=0,"",AVERAGEIFS(ENSAYOS!$Q$5:$Q$3004,ENSAYOS!$C$5:$C$3004,F909,ENSAYOS!$Q$5:$Q$3004,"&gt;0"))</f>
        <v/>
      </c>
      <c r="Q909" s="16" t="str">
        <f aca="false">IF(N(M909)=0,"",_xlfn.MINIFS(ENSAYOS!$Q$5:$Q$3004,ENSAYOS!$C$5:$C$3004,F909,ENSAYOS!$Q$5:$Q$3004,"&gt;0"))</f>
        <v/>
      </c>
      <c r="R909" s="16" t="str">
        <f aca="false">IF(N(M909)=0,"",_xlfn.MAXIFS(ENSAYOS!$Q$5:$Q$3004,ENSAYOS!$C$5:$C$3004,F909,ENSAYOS!$Q$5:$Q$3004,"&gt;0"))</f>
        <v/>
      </c>
      <c r="S909" s="16" t="str">
        <f aca="false">IF(N(M909)&lt;2,"",SQRT(MAX(0,(SUMIFS(ENSAYOS!$X$5:$X$3004,ENSAYOS!$C$5:$C$3004,F909,ENSAYOS!$Q$5:$Q$3004,"&gt;0")-M909*P909^2)/(M909-1))))</f>
        <v/>
      </c>
      <c r="T909" s="17" t="str">
        <f aca="false">IF(S909="","",S909/P909)</f>
        <v/>
      </c>
      <c r="U909" s="16" t="str">
        <f aca="false">IF(N(M909)=0,"",IF(N909&gt;=CONFIG!$B$27,"",AVERAGEIFS(ENSAYOS!$Q$5:$Q$3004,ENSAYOS!$C$5:$C$3004,F909,ENSAYOS!$Q$5:$Q$3004,"&gt;0",ENSAYOS!$G$5:$G$3004,N909)))</f>
        <v/>
      </c>
      <c r="V909" s="16" t="str">
        <f aca="false">IF(N(M909)=0,"",IF(COUNTIFS(ENSAYOS!$C$5:$C$3004,F909,ENSAYOS!$Q$5:$Q$3004,"&gt;0",ENSAYOS!$G$5:$G$3004,"&gt;="&amp;CONFIG!$B$27)=0,"",AVERAGEIFS(ENSAYOS!$Q$5:$Q$3004,ENSAYOS!$C$5:$C$3004,F909,ENSAYOS!$Q$5:$Q$3004,"&gt;0",ENSAYOS!$G$5:$G$3004,"&gt;="&amp;CONFIG!$B$27)))</f>
        <v/>
      </c>
      <c r="W909" s="18" t="str">
        <f aca="false">IF(AND(U909&lt;&gt;"",V909&lt;&gt;""),U909/V909,"")</f>
        <v/>
      </c>
      <c r="X909" s="18" t="str">
        <f aca="false">IF(U909="","",INDEX('CURVA EDAD'!$E$5:$E$32,MIN(28,MAX(1,N909))))</f>
        <v/>
      </c>
      <c r="Y909" s="16" t="str">
        <f aca="false">IF(V909&lt;&gt;"",V909,IF(U909="","",U909/X909))</f>
        <v/>
      </c>
      <c r="Z909" s="16" t="str">
        <f aca="false">IF(V909&lt;&gt;"",_xlfn.MINIFS(ENSAYOS!$Q$5:$Q$3004,ENSAYOS!$C$5:$C$3004,F909,ENSAYOS!$Q$5:$Q$3004,"&gt;0",ENSAYOS!$G$5:$G$3004,"&gt;="&amp;CONFIG!$B$27),IF(U909="","",_xlfn.MINIFS(ENSAYOS!$Q$5:$Q$3004,ENSAYOS!$C$5:$C$3004,F909,ENSAYOS!$Q$5:$Q$3004,"&gt;0",ENSAYOS!$G$5:$G$3004,N909)/X909))</f>
        <v/>
      </c>
      <c r="AA909" s="16" t="str">
        <f aca="false">IF(D909="","",IFERROR(1/(1/INDEX(CONFIG!$J$5:$J$14,MATCH(D909,CONFIG!$D$5:$D$14,0))),""))</f>
        <v/>
      </c>
      <c r="AB909" s="16" t="str">
        <f aca="false">IF(D909="","",IFERROR(1/(1/INDEX(CONFIG!$K$5:$K$14,MATCH(D909,CONFIG!$D$5:$D$14,0))),""))</f>
        <v/>
      </c>
      <c r="AC909" s="19" t="str">
        <f aca="false">IF(N(M909)=0,"",IF(AA909="","Sin spec",IF(AND(Y909&gt;=AA909,OR(AB909="",Z909&gt;=AB909)),"CUMPLE","NO CUMPLE")&amp;IF(V909=""," (est.)","")))</f>
        <v/>
      </c>
      <c r="AD909" s="20" t="str">
        <f aca="false">IF(F909="","",IF(COUNTIFS(ABSORCION!$C$5:$C$1004,F909,ABSORCION!$I$5:$I$1004,"&gt;0")=0,"",AVERAGEIFS(ABSORCION!$I$5:$I$1004,ABSORCION!$C$5:$C$1004,F909,ABSORCION!$I$5:$I$1004,"&gt;0")))</f>
        <v/>
      </c>
      <c r="AE909" s="20" t="str">
        <f aca="false">IF(F909="","",IF(COUNTIFS(ABSORCION!$C$5:$C$1004,F909,ABSORCION!$I$5:$I$1004,"&gt;0")=0,"",AVERAGEIFS(ABSORCION!$K$5:$K$1004,ABSORCION!$C$5:$C$1004,F909,ABSORCION!$I$5:$I$1004,"&gt;0")))</f>
        <v/>
      </c>
      <c r="AF909" s="20" t="str">
        <f aca="false">IF(AE909="","",IF(AE909&gt;=CONFIG!$E$21,CONFIG!$F$21,IF(AE909&gt;=CONFIG!$E$20,CONFIG!$F$20,CONFIG!$F$19)))</f>
        <v/>
      </c>
      <c r="AG909" s="21" t="str">
        <f aca="false">IF(F909="","",TRIM(IF(N(M909)=0,"Sin ensayos. ","")&amp;IF(AND(N(M909)&gt;0,N(M909)&lt;CONFIG!$B$26),"Menos de "&amp;CONFIG!$B$26&amp;" probetas. ","")&amp;IF(N(T909)&gt;CONFIG!$B$25,"CV alto. ","")&amp;IF(AND(N(AD909)&gt;0,N(AD909)&gt;N(AF909)),"Absorción alta. ","")))</f>
        <v/>
      </c>
      <c r="AH909" s="22" t="str">
        <f aca="false">IF(AND(N(M909)&gt;0,OR(CONTROL!$C$4="TODAS",C909=CONTROL!$C$4),D909=CONTROL!$C$5),MAX($AH$4:AH908)+1,"")</f>
        <v/>
      </c>
      <c r="AI909" s="22" t="str">
        <f aca="false">IF(AH909="","",P909^2)</f>
        <v/>
      </c>
    </row>
    <row r="910" customFormat="false" ht="15" hidden="false" customHeight="false" outlineLevel="0" collapsed="false">
      <c r="A910" s="11" t="str">
        <f aca="false">IF(B910="","",ROW()-4)</f>
        <v/>
      </c>
      <c r="B910" s="12"/>
      <c r="C910" s="13"/>
      <c r="D910" s="13"/>
      <c r="E910" s="13"/>
      <c r="F910" s="14" t="str">
        <f aca="false">IF(OR(B910="",C910="",D910=""),"",IFERROR(INDEX(CONFIG!$E$5:$E$14,MATCH(D910,CONFIG!$D$5:$D$14,0)),"?")&amp;RIGHT("0"&amp;DAY(B910),2)&amp;RIGHT("0"&amp;MONTH(B910),2)&amp;RIGHT(YEAR(B910),2)&amp;C910&amp;IF(E910="","","-"&amp;E910))</f>
        <v/>
      </c>
      <c r="G910" s="13"/>
      <c r="H910" s="13"/>
      <c r="I910" s="13"/>
      <c r="J910" s="13"/>
      <c r="K910" s="13"/>
      <c r="L910" s="13"/>
      <c r="M910" s="11" t="str">
        <f aca="false">IF(F910="","",COUNTIFS(ENSAYOS!$C$5:$C$3004,F910,ENSAYOS!$Q$5:$Q$3004,"&gt;0"))</f>
        <v/>
      </c>
      <c r="N910" s="15" t="str">
        <f aca="false">IF(N(M910)=0,"",_xlfn.MINIFS(ENSAYOS!$G$5:$G$3004,ENSAYOS!$C$5:$C$3004,F910,ENSAYOS!$Q$5:$Q$3004,"&gt;0"))</f>
        <v/>
      </c>
      <c r="O910" s="15" t="str">
        <f aca="false">IF(N(M910)=0,"",_xlfn.MAXIFS(ENSAYOS!$G$5:$G$3004,ENSAYOS!$C$5:$C$3004,F910,ENSAYOS!$Q$5:$Q$3004,"&gt;0"))</f>
        <v/>
      </c>
      <c r="P910" s="16" t="str">
        <f aca="false">IF(N(M910)=0,"",AVERAGEIFS(ENSAYOS!$Q$5:$Q$3004,ENSAYOS!$C$5:$C$3004,F910,ENSAYOS!$Q$5:$Q$3004,"&gt;0"))</f>
        <v/>
      </c>
      <c r="Q910" s="16" t="str">
        <f aca="false">IF(N(M910)=0,"",_xlfn.MINIFS(ENSAYOS!$Q$5:$Q$3004,ENSAYOS!$C$5:$C$3004,F910,ENSAYOS!$Q$5:$Q$3004,"&gt;0"))</f>
        <v/>
      </c>
      <c r="R910" s="16" t="str">
        <f aca="false">IF(N(M910)=0,"",_xlfn.MAXIFS(ENSAYOS!$Q$5:$Q$3004,ENSAYOS!$C$5:$C$3004,F910,ENSAYOS!$Q$5:$Q$3004,"&gt;0"))</f>
        <v/>
      </c>
      <c r="S910" s="16" t="str">
        <f aca="false">IF(N(M910)&lt;2,"",SQRT(MAX(0,(SUMIFS(ENSAYOS!$X$5:$X$3004,ENSAYOS!$C$5:$C$3004,F910,ENSAYOS!$Q$5:$Q$3004,"&gt;0")-M910*P910^2)/(M910-1))))</f>
        <v/>
      </c>
      <c r="T910" s="17" t="str">
        <f aca="false">IF(S910="","",S910/P910)</f>
        <v/>
      </c>
      <c r="U910" s="16" t="str">
        <f aca="false">IF(N(M910)=0,"",IF(N910&gt;=CONFIG!$B$27,"",AVERAGEIFS(ENSAYOS!$Q$5:$Q$3004,ENSAYOS!$C$5:$C$3004,F910,ENSAYOS!$Q$5:$Q$3004,"&gt;0",ENSAYOS!$G$5:$G$3004,N910)))</f>
        <v/>
      </c>
      <c r="V910" s="16" t="str">
        <f aca="false">IF(N(M910)=0,"",IF(COUNTIFS(ENSAYOS!$C$5:$C$3004,F910,ENSAYOS!$Q$5:$Q$3004,"&gt;0",ENSAYOS!$G$5:$G$3004,"&gt;="&amp;CONFIG!$B$27)=0,"",AVERAGEIFS(ENSAYOS!$Q$5:$Q$3004,ENSAYOS!$C$5:$C$3004,F910,ENSAYOS!$Q$5:$Q$3004,"&gt;0",ENSAYOS!$G$5:$G$3004,"&gt;="&amp;CONFIG!$B$27)))</f>
        <v/>
      </c>
      <c r="W910" s="18" t="str">
        <f aca="false">IF(AND(U910&lt;&gt;"",V910&lt;&gt;""),U910/V910,"")</f>
        <v/>
      </c>
      <c r="X910" s="18" t="str">
        <f aca="false">IF(U910="","",INDEX('CURVA EDAD'!$E$5:$E$32,MIN(28,MAX(1,N910))))</f>
        <v/>
      </c>
      <c r="Y910" s="16" t="str">
        <f aca="false">IF(V910&lt;&gt;"",V910,IF(U910="","",U910/X910))</f>
        <v/>
      </c>
      <c r="Z910" s="16" t="str">
        <f aca="false">IF(V910&lt;&gt;"",_xlfn.MINIFS(ENSAYOS!$Q$5:$Q$3004,ENSAYOS!$C$5:$C$3004,F910,ENSAYOS!$Q$5:$Q$3004,"&gt;0",ENSAYOS!$G$5:$G$3004,"&gt;="&amp;CONFIG!$B$27),IF(U910="","",_xlfn.MINIFS(ENSAYOS!$Q$5:$Q$3004,ENSAYOS!$C$5:$C$3004,F910,ENSAYOS!$Q$5:$Q$3004,"&gt;0",ENSAYOS!$G$5:$G$3004,N910)/X910))</f>
        <v/>
      </c>
      <c r="AA910" s="16" t="str">
        <f aca="false">IF(D910="","",IFERROR(1/(1/INDEX(CONFIG!$J$5:$J$14,MATCH(D910,CONFIG!$D$5:$D$14,0))),""))</f>
        <v/>
      </c>
      <c r="AB910" s="16" t="str">
        <f aca="false">IF(D910="","",IFERROR(1/(1/INDEX(CONFIG!$K$5:$K$14,MATCH(D910,CONFIG!$D$5:$D$14,0))),""))</f>
        <v/>
      </c>
      <c r="AC910" s="19" t="str">
        <f aca="false">IF(N(M910)=0,"",IF(AA910="","Sin spec",IF(AND(Y910&gt;=AA910,OR(AB910="",Z910&gt;=AB910)),"CUMPLE","NO CUMPLE")&amp;IF(V910=""," (est.)","")))</f>
        <v/>
      </c>
      <c r="AD910" s="20" t="str">
        <f aca="false">IF(F910="","",IF(COUNTIFS(ABSORCION!$C$5:$C$1004,F910,ABSORCION!$I$5:$I$1004,"&gt;0")=0,"",AVERAGEIFS(ABSORCION!$I$5:$I$1004,ABSORCION!$C$5:$C$1004,F910,ABSORCION!$I$5:$I$1004,"&gt;0")))</f>
        <v/>
      </c>
      <c r="AE910" s="20" t="str">
        <f aca="false">IF(F910="","",IF(COUNTIFS(ABSORCION!$C$5:$C$1004,F910,ABSORCION!$I$5:$I$1004,"&gt;0")=0,"",AVERAGEIFS(ABSORCION!$K$5:$K$1004,ABSORCION!$C$5:$C$1004,F910,ABSORCION!$I$5:$I$1004,"&gt;0")))</f>
        <v/>
      </c>
      <c r="AF910" s="20" t="str">
        <f aca="false">IF(AE910="","",IF(AE910&gt;=CONFIG!$E$21,CONFIG!$F$21,IF(AE910&gt;=CONFIG!$E$20,CONFIG!$F$20,CONFIG!$F$19)))</f>
        <v/>
      </c>
      <c r="AG910" s="21" t="str">
        <f aca="false">IF(F910="","",TRIM(IF(N(M910)=0,"Sin ensayos. ","")&amp;IF(AND(N(M910)&gt;0,N(M910)&lt;CONFIG!$B$26),"Menos de "&amp;CONFIG!$B$26&amp;" probetas. ","")&amp;IF(N(T910)&gt;CONFIG!$B$25,"CV alto. ","")&amp;IF(AND(N(AD910)&gt;0,N(AD910)&gt;N(AF910)),"Absorción alta. ","")))</f>
        <v/>
      </c>
      <c r="AH910" s="22" t="str">
        <f aca="false">IF(AND(N(M910)&gt;0,OR(CONTROL!$C$4="TODAS",C910=CONTROL!$C$4),D910=CONTROL!$C$5),MAX($AH$4:AH909)+1,"")</f>
        <v/>
      </c>
      <c r="AI910" s="22" t="str">
        <f aca="false">IF(AH910="","",P910^2)</f>
        <v/>
      </c>
    </row>
    <row r="911" customFormat="false" ht="15" hidden="false" customHeight="false" outlineLevel="0" collapsed="false">
      <c r="A911" s="11" t="str">
        <f aca="false">IF(B911="","",ROW()-4)</f>
        <v/>
      </c>
      <c r="B911" s="12"/>
      <c r="C911" s="13"/>
      <c r="D911" s="13"/>
      <c r="E911" s="13"/>
      <c r="F911" s="14" t="str">
        <f aca="false">IF(OR(B911="",C911="",D911=""),"",IFERROR(INDEX(CONFIG!$E$5:$E$14,MATCH(D911,CONFIG!$D$5:$D$14,0)),"?")&amp;RIGHT("0"&amp;DAY(B911),2)&amp;RIGHT("0"&amp;MONTH(B911),2)&amp;RIGHT(YEAR(B911),2)&amp;C911&amp;IF(E911="","","-"&amp;E911))</f>
        <v/>
      </c>
      <c r="G911" s="13"/>
      <c r="H911" s="13"/>
      <c r="I911" s="13"/>
      <c r="J911" s="13"/>
      <c r="K911" s="13"/>
      <c r="L911" s="13"/>
      <c r="M911" s="11" t="str">
        <f aca="false">IF(F911="","",COUNTIFS(ENSAYOS!$C$5:$C$3004,F911,ENSAYOS!$Q$5:$Q$3004,"&gt;0"))</f>
        <v/>
      </c>
      <c r="N911" s="15" t="str">
        <f aca="false">IF(N(M911)=0,"",_xlfn.MINIFS(ENSAYOS!$G$5:$G$3004,ENSAYOS!$C$5:$C$3004,F911,ENSAYOS!$Q$5:$Q$3004,"&gt;0"))</f>
        <v/>
      </c>
      <c r="O911" s="15" t="str">
        <f aca="false">IF(N(M911)=0,"",_xlfn.MAXIFS(ENSAYOS!$G$5:$G$3004,ENSAYOS!$C$5:$C$3004,F911,ENSAYOS!$Q$5:$Q$3004,"&gt;0"))</f>
        <v/>
      </c>
      <c r="P911" s="16" t="str">
        <f aca="false">IF(N(M911)=0,"",AVERAGEIFS(ENSAYOS!$Q$5:$Q$3004,ENSAYOS!$C$5:$C$3004,F911,ENSAYOS!$Q$5:$Q$3004,"&gt;0"))</f>
        <v/>
      </c>
      <c r="Q911" s="16" t="str">
        <f aca="false">IF(N(M911)=0,"",_xlfn.MINIFS(ENSAYOS!$Q$5:$Q$3004,ENSAYOS!$C$5:$C$3004,F911,ENSAYOS!$Q$5:$Q$3004,"&gt;0"))</f>
        <v/>
      </c>
      <c r="R911" s="16" t="str">
        <f aca="false">IF(N(M911)=0,"",_xlfn.MAXIFS(ENSAYOS!$Q$5:$Q$3004,ENSAYOS!$C$5:$C$3004,F911,ENSAYOS!$Q$5:$Q$3004,"&gt;0"))</f>
        <v/>
      </c>
      <c r="S911" s="16" t="str">
        <f aca="false">IF(N(M911)&lt;2,"",SQRT(MAX(0,(SUMIFS(ENSAYOS!$X$5:$X$3004,ENSAYOS!$C$5:$C$3004,F911,ENSAYOS!$Q$5:$Q$3004,"&gt;0")-M911*P911^2)/(M911-1))))</f>
        <v/>
      </c>
      <c r="T911" s="17" t="str">
        <f aca="false">IF(S911="","",S911/P911)</f>
        <v/>
      </c>
      <c r="U911" s="16" t="str">
        <f aca="false">IF(N(M911)=0,"",IF(N911&gt;=CONFIG!$B$27,"",AVERAGEIFS(ENSAYOS!$Q$5:$Q$3004,ENSAYOS!$C$5:$C$3004,F911,ENSAYOS!$Q$5:$Q$3004,"&gt;0",ENSAYOS!$G$5:$G$3004,N911)))</f>
        <v/>
      </c>
      <c r="V911" s="16" t="str">
        <f aca="false">IF(N(M911)=0,"",IF(COUNTIFS(ENSAYOS!$C$5:$C$3004,F911,ENSAYOS!$Q$5:$Q$3004,"&gt;0",ENSAYOS!$G$5:$G$3004,"&gt;="&amp;CONFIG!$B$27)=0,"",AVERAGEIFS(ENSAYOS!$Q$5:$Q$3004,ENSAYOS!$C$5:$C$3004,F911,ENSAYOS!$Q$5:$Q$3004,"&gt;0",ENSAYOS!$G$5:$G$3004,"&gt;="&amp;CONFIG!$B$27)))</f>
        <v/>
      </c>
      <c r="W911" s="18" t="str">
        <f aca="false">IF(AND(U911&lt;&gt;"",V911&lt;&gt;""),U911/V911,"")</f>
        <v/>
      </c>
      <c r="X911" s="18" t="str">
        <f aca="false">IF(U911="","",INDEX('CURVA EDAD'!$E$5:$E$32,MIN(28,MAX(1,N911))))</f>
        <v/>
      </c>
      <c r="Y911" s="16" t="str">
        <f aca="false">IF(V911&lt;&gt;"",V911,IF(U911="","",U911/X911))</f>
        <v/>
      </c>
      <c r="Z911" s="16" t="str">
        <f aca="false">IF(V911&lt;&gt;"",_xlfn.MINIFS(ENSAYOS!$Q$5:$Q$3004,ENSAYOS!$C$5:$C$3004,F911,ENSAYOS!$Q$5:$Q$3004,"&gt;0",ENSAYOS!$G$5:$G$3004,"&gt;="&amp;CONFIG!$B$27),IF(U911="","",_xlfn.MINIFS(ENSAYOS!$Q$5:$Q$3004,ENSAYOS!$C$5:$C$3004,F911,ENSAYOS!$Q$5:$Q$3004,"&gt;0",ENSAYOS!$G$5:$G$3004,N911)/X911))</f>
        <v/>
      </c>
      <c r="AA911" s="16" t="str">
        <f aca="false">IF(D911="","",IFERROR(1/(1/INDEX(CONFIG!$J$5:$J$14,MATCH(D911,CONFIG!$D$5:$D$14,0))),""))</f>
        <v/>
      </c>
      <c r="AB911" s="16" t="str">
        <f aca="false">IF(D911="","",IFERROR(1/(1/INDEX(CONFIG!$K$5:$K$14,MATCH(D911,CONFIG!$D$5:$D$14,0))),""))</f>
        <v/>
      </c>
      <c r="AC911" s="19" t="str">
        <f aca="false">IF(N(M911)=0,"",IF(AA911="","Sin spec",IF(AND(Y911&gt;=AA911,OR(AB911="",Z911&gt;=AB911)),"CUMPLE","NO CUMPLE")&amp;IF(V911=""," (est.)","")))</f>
        <v/>
      </c>
      <c r="AD911" s="20" t="str">
        <f aca="false">IF(F911="","",IF(COUNTIFS(ABSORCION!$C$5:$C$1004,F911,ABSORCION!$I$5:$I$1004,"&gt;0")=0,"",AVERAGEIFS(ABSORCION!$I$5:$I$1004,ABSORCION!$C$5:$C$1004,F911,ABSORCION!$I$5:$I$1004,"&gt;0")))</f>
        <v/>
      </c>
      <c r="AE911" s="20" t="str">
        <f aca="false">IF(F911="","",IF(COUNTIFS(ABSORCION!$C$5:$C$1004,F911,ABSORCION!$I$5:$I$1004,"&gt;0")=0,"",AVERAGEIFS(ABSORCION!$K$5:$K$1004,ABSORCION!$C$5:$C$1004,F911,ABSORCION!$I$5:$I$1004,"&gt;0")))</f>
        <v/>
      </c>
      <c r="AF911" s="20" t="str">
        <f aca="false">IF(AE911="","",IF(AE911&gt;=CONFIG!$E$21,CONFIG!$F$21,IF(AE911&gt;=CONFIG!$E$20,CONFIG!$F$20,CONFIG!$F$19)))</f>
        <v/>
      </c>
      <c r="AG911" s="21" t="str">
        <f aca="false">IF(F911="","",TRIM(IF(N(M911)=0,"Sin ensayos. ","")&amp;IF(AND(N(M911)&gt;0,N(M911)&lt;CONFIG!$B$26),"Menos de "&amp;CONFIG!$B$26&amp;" probetas. ","")&amp;IF(N(T911)&gt;CONFIG!$B$25,"CV alto. ","")&amp;IF(AND(N(AD911)&gt;0,N(AD911)&gt;N(AF911)),"Absorción alta. ","")))</f>
        <v/>
      </c>
      <c r="AH911" s="22" t="str">
        <f aca="false">IF(AND(N(M911)&gt;0,OR(CONTROL!$C$4="TODAS",C911=CONTROL!$C$4),D911=CONTROL!$C$5),MAX($AH$4:AH910)+1,"")</f>
        <v/>
      </c>
      <c r="AI911" s="22" t="str">
        <f aca="false">IF(AH911="","",P911^2)</f>
        <v/>
      </c>
    </row>
    <row r="912" customFormat="false" ht="15" hidden="false" customHeight="false" outlineLevel="0" collapsed="false">
      <c r="A912" s="11" t="str">
        <f aca="false">IF(B912="","",ROW()-4)</f>
        <v/>
      </c>
      <c r="B912" s="12"/>
      <c r="C912" s="13"/>
      <c r="D912" s="13"/>
      <c r="E912" s="13"/>
      <c r="F912" s="14" t="str">
        <f aca="false">IF(OR(B912="",C912="",D912=""),"",IFERROR(INDEX(CONFIG!$E$5:$E$14,MATCH(D912,CONFIG!$D$5:$D$14,0)),"?")&amp;RIGHT("0"&amp;DAY(B912),2)&amp;RIGHT("0"&amp;MONTH(B912),2)&amp;RIGHT(YEAR(B912),2)&amp;C912&amp;IF(E912="","","-"&amp;E912))</f>
        <v/>
      </c>
      <c r="G912" s="13"/>
      <c r="H912" s="13"/>
      <c r="I912" s="13"/>
      <c r="J912" s="13"/>
      <c r="K912" s="13"/>
      <c r="L912" s="13"/>
      <c r="M912" s="11" t="str">
        <f aca="false">IF(F912="","",COUNTIFS(ENSAYOS!$C$5:$C$3004,F912,ENSAYOS!$Q$5:$Q$3004,"&gt;0"))</f>
        <v/>
      </c>
      <c r="N912" s="15" t="str">
        <f aca="false">IF(N(M912)=0,"",_xlfn.MINIFS(ENSAYOS!$G$5:$G$3004,ENSAYOS!$C$5:$C$3004,F912,ENSAYOS!$Q$5:$Q$3004,"&gt;0"))</f>
        <v/>
      </c>
      <c r="O912" s="15" t="str">
        <f aca="false">IF(N(M912)=0,"",_xlfn.MAXIFS(ENSAYOS!$G$5:$G$3004,ENSAYOS!$C$5:$C$3004,F912,ENSAYOS!$Q$5:$Q$3004,"&gt;0"))</f>
        <v/>
      </c>
      <c r="P912" s="16" t="str">
        <f aca="false">IF(N(M912)=0,"",AVERAGEIFS(ENSAYOS!$Q$5:$Q$3004,ENSAYOS!$C$5:$C$3004,F912,ENSAYOS!$Q$5:$Q$3004,"&gt;0"))</f>
        <v/>
      </c>
      <c r="Q912" s="16" t="str">
        <f aca="false">IF(N(M912)=0,"",_xlfn.MINIFS(ENSAYOS!$Q$5:$Q$3004,ENSAYOS!$C$5:$C$3004,F912,ENSAYOS!$Q$5:$Q$3004,"&gt;0"))</f>
        <v/>
      </c>
      <c r="R912" s="16" t="str">
        <f aca="false">IF(N(M912)=0,"",_xlfn.MAXIFS(ENSAYOS!$Q$5:$Q$3004,ENSAYOS!$C$5:$C$3004,F912,ENSAYOS!$Q$5:$Q$3004,"&gt;0"))</f>
        <v/>
      </c>
      <c r="S912" s="16" t="str">
        <f aca="false">IF(N(M912)&lt;2,"",SQRT(MAX(0,(SUMIFS(ENSAYOS!$X$5:$X$3004,ENSAYOS!$C$5:$C$3004,F912,ENSAYOS!$Q$5:$Q$3004,"&gt;0")-M912*P912^2)/(M912-1))))</f>
        <v/>
      </c>
      <c r="T912" s="17" t="str">
        <f aca="false">IF(S912="","",S912/P912)</f>
        <v/>
      </c>
      <c r="U912" s="16" t="str">
        <f aca="false">IF(N(M912)=0,"",IF(N912&gt;=CONFIG!$B$27,"",AVERAGEIFS(ENSAYOS!$Q$5:$Q$3004,ENSAYOS!$C$5:$C$3004,F912,ENSAYOS!$Q$5:$Q$3004,"&gt;0",ENSAYOS!$G$5:$G$3004,N912)))</f>
        <v/>
      </c>
      <c r="V912" s="16" t="str">
        <f aca="false">IF(N(M912)=0,"",IF(COUNTIFS(ENSAYOS!$C$5:$C$3004,F912,ENSAYOS!$Q$5:$Q$3004,"&gt;0",ENSAYOS!$G$5:$G$3004,"&gt;="&amp;CONFIG!$B$27)=0,"",AVERAGEIFS(ENSAYOS!$Q$5:$Q$3004,ENSAYOS!$C$5:$C$3004,F912,ENSAYOS!$Q$5:$Q$3004,"&gt;0",ENSAYOS!$G$5:$G$3004,"&gt;="&amp;CONFIG!$B$27)))</f>
        <v/>
      </c>
      <c r="W912" s="18" t="str">
        <f aca="false">IF(AND(U912&lt;&gt;"",V912&lt;&gt;""),U912/V912,"")</f>
        <v/>
      </c>
      <c r="X912" s="18" t="str">
        <f aca="false">IF(U912="","",INDEX('CURVA EDAD'!$E$5:$E$32,MIN(28,MAX(1,N912))))</f>
        <v/>
      </c>
      <c r="Y912" s="16" t="str">
        <f aca="false">IF(V912&lt;&gt;"",V912,IF(U912="","",U912/X912))</f>
        <v/>
      </c>
      <c r="Z912" s="16" t="str">
        <f aca="false">IF(V912&lt;&gt;"",_xlfn.MINIFS(ENSAYOS!$Q$5:$Q$3004,ENSAYOS!$C$5:$C$3004,F912,ENSAYOS!$Q$5:$Q$3004,"&gt;0",ENSAYOS!$G$5:$G$3004,"&gt;="&amp;CONFIG!$B$27),IF(U912="","",_xlfn.MINIFS(ENSAYOS!$Q$5:$Q$3004,ENSAYOS!$C$5:$C$3004,F912,ENSAYOS!$Q$5:$Q$3004,"&gt;0",ENSAYOS!$G$5:$G$3004,N912)/X912))</f>
        <v/>
      </c>
      <c r="AA912" s="16" t="str">
        <f aca="false">IF(D912="","",IFERROR(1/(1/INDEX(CONFIG!$J$5:$J$14,MATCH(D912,CONFIG!$D$5:$D$14,0))),""))</f>
        <v/>
      </c>
      <c r="AB912" s="16" t="str">
        <f aca="false">IF(D912="","",IFERROR(1/(1/INDEX(CONFIG!$K$5:$K$14,MATCH(D912,CONFIG!$D$5:$D$14,0))),""))</f>
        <v/>
      </c>
      <c r="AC912" s="19" t="str">
        <f aca="false">IF(N(M912)=0,"",IF(AA912="","Sin spec",IF(AND(Y912&gt;=AA912,OR(AB912="",Z912&gt;=AB912)),"CUMPLE","NO CUMPLE")&amp;IF(V912=""," (est.)","")))</f>
        <v/>
      </c>
      <c r="AD912" s="20" t="str">
        <f aca="false">IF(F912="","",IF(COUNTIFS(ABSORCION!$C$5:$C$1004,F912,ABSORCION!$I$5:$I$1004,"&gt;0")=0,"",AVERAGEIFS(ABSORCION!$I$5:$I$1004,ABSORCION!$C$5:$C$1004,F912,ABSORCION!$I$5:$I$1004,"&gt;0")))</f>
        <v/>
      </c>
      <c r="AE912" s="20" t="str">
        <f aca="false">IF(F912="","",IF(COUNTIFS(ABSORCION!$C$5:$C$1004,F912,ABSORCION!$I$5:$I$1004,"&gt;0")=0,"",AVERAGEIFS(ABSORCION!$K$5:$K$1004,ABSORCION!$C$5:$C$1004,F912,ABSORCION!$I$5:$I$1004,"&gt;0")))</f>
        <v/>
      </c>
      <c r="AF912" s="20" t="str">
        <f aca="false">IF(AE912="","",IF(AE912&gt;=CONFIG!$E$21,CONFIG!$F$21,IF(AE912&gt;=CONFIG!$E$20,CONFIG!$F$20,CONFIG!$F$19)))</f>
        <v/>
      </c>
      <c r="AG912" s="21" t="str">
        <f aca="false">IF(F912="","",TRIM(IF(N(M912)=0,"Sin ensayos. ","")&amp;IF(AND(N(M912)&gt;0,N(M912)&lt;CONFIG!$B$26),"Menos de "&amp;CONFIG!$B$26&amp;" probetas. ","")&amp;IF(N(T912)&gt;CONFIG!$B$25,"CV alto. ","")&amp;IF(AND(N(AD912)&gt;0,N(AD912)&gt;N(AF912)),"Absorción alta. ","")))</f>
        <v/>
      </c>
      <c r="AH912" s="22" t="str">
        <f aca="false">IF(AND(N(M912)&gt;0,OR(CONTROL!$C$4="TODAS",C912=CONTROL!$C$4),D912=CONTROL!$C$5),MAX($AH$4:AH911)+1,"")</f>
        <v/>
      </c>
      <c r="AI912" s="22" t="str">
        <f aca="false">IF(AH912="","",P912^2)</f>
        <v/>
      </c>
    </row>
    <row r="913" customFormat="false" ht="15" hidden="false" customHeight="false" outlineLevel="0" collapsed="false">
      <c r="A913" s="11" t="str">
        <f aca="false">IF(B913="","",ROW()-4)</f>
        <v/>
      </c>
      <c r="B913" s="12"/>
      <c r="C913" s="13"/>
      <c r="D913" s="13"/>
      <c r="E913" s="13"/>
      <c r="F913" s="14" t="str">
        <f aca="false">IF(OR(B913="",C913="",D913=""),"",IFERROR(INDEX(CONFIG!$E$5:$E$14,MATCH(D913,CONFIG!$D$5:$D$14,0)),"?")&amp;RIGHT("0"&amp;DAY(B913),2)&amp;RIGHT("0"&amp;MONTH(B913),2)&amp;RIGHT(YEAR(B913),2)&amp;C913&amp;IF(E913="","","-"&amp;E913))</f>
        <v/>
      </c>
      <c r="G913" s="13"/>
      <c r="H913" s="13"/>
      <c r="I913" s="13"/>
      <c r="J913" s="13"/>
      <c r="K913" s="13"/>
      <c r="L913" s="13"/>
      <c r="M913" s="11" t="str">
        <f aca="false">IF(F913="","",COUNTIFS(ENSAYOS!$C$5:$C$3004,F913,ENSAYOS!$Q$5:$Q$3004,"&gt;0"))</f>
        <v/>
      </c>
      <c r="N913" s="15" t="str">
        <f aca="false">IF(N(M913)=0,"",_xlfn.MINIFS(ENSAYOS!$G$5:$G$3004,ENSAYOS!$C$5:$C$3004,F913,ENSAYOS!$Q$5:$Q$3004,"&gt;0"))</f>
        <v/>
      </c>
      <c r="O913" s="15" t="str">
        <f aca="false">IF(N(M913)=0,"",_xlfn.MAXIFS(ENSAYOS!$G$5:$G$3004,ENSAYOS!$C$5:$C$3004,F913,ENSAYOS!$Q$5:$Q$3004,"&gt;0"))</f>
        <v/>
      </c>
      <c r="P913" s="16" t="str">
        <f aca="false">IF(N(M913)=0,"",AVERAGEIFS(ENSAYOS!$Q$5:$Q$3004,ENSAYOS!$C$5:$C$3004,F913,ENSAYOS!$Q$5:$Q$3004,"&gt;0"))</f>
        <v/>
      </c>
      <c r="Q913" s="16" t="str">
        <f aca="false">IF(N(M913)=0,"",_xlfn.MINIFS(ENSAYOS!$Q$5:$Q$3004,ENSAYOS!$C$5:$C$3004,F913,ENSAYOS!$Q$5:$Q$3004,"&gt;0"))</f>
        <v/>
      </c>
      <c r="R913" s="16" t="str">
        <f aca="false">IF(N(M913)=0,"",_xlfn.MAXIFS(ENSAYOS!$Q$5:$Q$3004,ENSAYOS!$C$5:$C$3004,F913,ENSAYOS!$Q$5:$Q$3004,"&gt;0"))</f>
        <v/>
      </c>
      <c r="S913" s="16" t="str">
        <f aca="false">IF(N(M913)&lt;2,"",SQRT(MAX(0,(SUMIFS(ENSAYOS!$X$5:$X$3004,ENSAYOS!$C$5:$C$3004,F913,ENSAYOS!$Q$5:$Q$3004,"&gt;0")-M913*P913^2)/(M913-1))))</f>
        <v/>
      </c>
      <c r="T913" s="17" t="str">
        <f aca="false">IF(S913="","",S913/P913)</f>
        <v/>
      </c>
      <c r="U913" s="16" t="str">
        <f aca="false">IF(N(M913)=0,"",IF(N913&gt;=CONFIG!$B$27,"",AVERAGEIFS(ENSAYOS!$Q$5:$Q$3004,ENSAYOS!$C$5:$C$3004,F913,ENSAYOS!$Q$5:$Q$3004,"&gt;0",ENSAYOS!$G$5:$G$3004,N913)))</f>
        <v/>
      </c>
      <c r="V913" s="16" t="str">
        <f aca="false">IF(N(M913)=0,"",IF(COUNTIFS(ENSAYOS!$C$5:$C$3004,F913,ENSAYOS!$Q$5:$Q$3004,"&gt;0",ENSAYOS!$G$5:$G$3004,"&gt;="&amp;CONFIG!$B$27)=0,"",AVERAGEIFS(ENSAYOS!$Q$5:$Q$3004,ENSAYOS!$C$5:$C$3004,F913,ENSAYOS!$Q$5:$Q$3004,"&gt;0",ENSAYOS!$G$5:$G$3004,"&gt;="&amp;CONFIG!$B$27)))</f>
        <v/>
      </c>
      <c r="W913" s="18" t="str">
        <f aca="false">IF(AND(U913&lt;&gt;"",V913&lt;&gt;""),U913/V913,"")</f>
        <v/>
      </c>
      <c r="X913" s="18" t="str">
        <f aca="false">IF(U913="","",INDEX('CURVA EDAD'!$E$5:$E$32,MIN(28,MAX(1,N913))))</f>
        <v/>
      </c>
      <c r="Y913" s="16" t="str">
        <f aca="false">IF(V913&lt;&gt;"",V913,IF(U913="","",U913/X913))</f>
        <v/>
      </c>
      <c r="Z913" s="16" t="str">
        <f aca="false">IF(V913&lt;&gt;"",_xlfn.MINIFS(ENSAYOS!$Q$5:$Q$3004,ENSAYOS!$C$5:$C$3004,F913,ENSAYOS!$Q$5:$Q$3004,"&gt;0",ENSAYOS!$G$5:$G$3004,"&gt;="&amp;CONFIG!$B$27),IF(U913="","",_xlfn.MINIFS(ENSAYOS!$Q$5:$Q$3004,ENSAYOS!$C$5:$C$3004,F913,ENSAYOS!$Q$5:$Q$3004,"&gt;0",ENSAYOS!$G$5:$G$3004,N913)/X913))</f>
        <v/>
      </c>
      <c r="AA913" s="16" t="str">
        <f aca="false">IF(D913="","",IFERROR(1/(1/INDEX(CONFIG!$J$5:$J$14,MATCH(D913,CONFIG!$D$5:$D$14,0))),""))</f>
        <v/>
      </c>
      <c r="AB913" s="16" t="str">
        <f aca="false">IF(D913="","",IFERROR(1/(1/INDEX(CONFIG!$K$5:$K$14,MATCH(D913,CONFIG!$D$5:$D$14,0))),""))</f>
        <v/>
      </c>
      <c r="AC913" s="19" t="str">
        <f aca="false">IF(N(M913)=0,"",IF(AA913="","Sin spec",IF(AND(Y913&gt;=AA913,OR(AB913="",Z913&gt;=AB913)),"CUMPLE","NO CUMPLE")&amp;IF(V913=""," (est.)","")))</f>
        <v/>
      </c>
      <c r="AD913" s="20" t="str">
        <f aca="false">IF(F913="","",IF(COUNTIFS(ABSORCION!$C$5:$C$1004,F913,ABSORCION!$I$5:$I$1004,"&gt;0")=0,"",AVERAGEIFS(ABSORCION!$I$5:$I$1004,ABSORCION!$C$5:$C$1004,F913,ABSORCION!$I$5:$I$1004,"&gt;0")))</f>
        <v/>
      </c>
      <c r="AE913" s="20" t="str">
        <f aca="false">IF(F913="","",IF(COUNTIFS(ABSORCION!$C$5:$C$1004,F913,ABSORCION!$I$5:$I$1004,"&gt;0")=0,"",AVERAGEIFS(ABSORCION!$K$5:$K$1004,ABSORCION!$C$5:$C$1004,F913,ABSORCION!$I$5:$I$1004,"&gt;0")))</f>
        <v/>
      </c>
      <c r="AF913" s="20" t="str">
        <f aca="false">IF(AE913="","",IF(AE913&gt;=CONFIG!$E$21,CONFIG!$F$21,IF(AE913&gt;=CONFIG!$E$20,CONFIG!$F$20,CONFIG!$F$19)))</f>
        <v/>
      </c>
      <c r="AG913" s="21" t="str">
        <f aca="false">IF(F913="","",TRIM(IF(N(M913)=0,"Sin ensayos. ","")&amp;IF(AND(N(M913)&gt;0,N(M913)&lt;CONFIG!$B$26),"Menos de "&amp;CONFIG!$B$26&amp;" probetas. ","")&amp;IF(N(T913)&gt;CONFIG!$B$25,"CV alto. ","")&amp;IF(AND(N(AD913)&gt;0,N(AD913)&gt;N(AF913)),"Absorción alta. ","")))</f>
        <v/>
      </c>
      <c r="AH913" s="22" t="str">
        <f aca="false">IF(AND(N(M913)&gt;0,OR(CONTROL!$C$4="TODAS",C913=CONTROL!$C$4),D913=CONTROL!$C$5),MAX($AH$4:AH912)+1,"")</f>
        <v/>
      </c>
      <c r="AI913" s="22" t="str">
        <f aca="false">IF(AH913="","",P913^2)</f>
        <v/>
      </c>
    </row>
    <row r="914" customFormat="false" ht="15" hidden="false" customHeight="false" outlineLevel="0" collapsed="false">
      <c r="A914" s="11" t="str">
        <f aca="false">IF(B914="","",ROW()-4)</f>
        <v/>
      </c>
      <c r="B914" s="12"/>
      <c r="C914" s="13"/>
      <c r="D914" s="13"/>
      <c r="E914" s="13"/>
      <c r="F914" s="14" t="str">
        <f aca="false">IF(OR(B914="",C914="",D914=""),"",IFERROR(INDEX(CONFIG!$E$5:$E$14,MATCH(D914,CONFIG!$D$5:$D$14,0)),"?")&amp;RIGHT("0"&amp;DAY(B914),2)&amp;RIGHT("0"&amp;MONTH(B914),2)&amp;RIGHT(YEAR(B914),2)&amp;C914&amp;IF(E914="","","-"&amp;E914))</f>
        <v/>
      </c>
      <c r="G914" s="13"/>
      <c r="H914" s="13"/>
      <c r="I914" s="13"/>
      <c r="J914" s="13"/>
      <c r="K914" s="13"/>
      <c r="L914" s="13"/>
      <c r="M914" s="11" t="str">
        <f aca="false">IF(F914="","",COUNTIFS(ENSAYOS!$C$5:$C$3004,F914,ENSAYOS!$Q$5:$Q$3004,"&gt;0"))</f>
        <v/>
      </c>
      <c r="N914" s="15" t="str">
        <f aca="false">IF(N(M914)=0,"",_xlfn.MINIFS(ENSAYOS!$G$5:$G$3004,ENSAYOS!$C$5:$C$3004,F914,ENSAYOS!$Q$5:$Q$3004,"&gt;0"))</f>
        <v/>
      </c>
      <c r="O914" s="15" t="str">
        <f aca="false">IF(N(M914)=0,"",_xlfn.MAXIFS(ENSAYOS!$G$5:$G$3004,ENSAYOS!$C$5:$C$3004,F914,ENSAYOS!$Q$5:$Q$3004,"&gt;0"))</f>
        <v/>
      </c>
      <c r="P914" s="16" t="str">
        <f aca="false">IF(N(M914)=0,"",AVERAGEIFS(ENSAYOS!$Q$5:$Q$3004,ENSAYOS!$C$5:$C$3004,F914,ENSAYOS!$Q$5:$Q$3004,"&gt;0"))</f>
        <v/>
      </c>
      <c r="Q914" s="16" t="str">
        <f aca="false">IF(N(M914)=0,"",_xlfn.MINIFS(ENSAYOS!$Q$5:$Q$3004,ENSAYOS!$C$5:$C$3004,F914,ENSAYOS!$Q$5:$Q$3004,"&gt;0"))</f>
        <v/>
      </c>
      <c r="R914" s="16" t="str">
        <f aca="false">IF(N(M914)=0,"",_xlfn.MAXIFS(ENSAYOS!$Q$5:$Q$3004,ENSAYOS!$C$5:$C$3004,F914,ENSAYOS!$Q$5:$Q$3004,"&gt;0"))</f>
        <v/>
      </c>
      <c r="S914" s="16" t="str">
        <f aca="false">IF(N(M914)&lt;2,"",SQRT(MAX(0,(SUMIFS(ENSAYOS!$X$5:$X$3004,ENSAYOS!$C$5:$C$3004,F914,ENSAYOS!$Q$5:$Q$3004,"&gt;0")-M914*P914^2)/(M914-1))))</f>
        <v/>
      </c>
      <c r="T914" s="17" t="str">
        <f aca="false">IF(S914="","",S914/P914)</f>
        <v/>
      </c>
      <c r="U914" s="16" t="str">
        <f aca="false">IF(N(M914)=0,"",IF(N914&gt;=CONFIG!$B$27,"",AVERAGEIFS(ENSAYOS!$Q$5:$Q$3004,ENSAYOS!$C$5:$C$3004,F914,ENSAYOS!$Q$5:$Q$3004,"&gt;0",ENSAYOS!$G$5:$G$3004,N914)))</f>
        <v/>
      </c>
      <c r="V914" s="16" t="str">
        <f aca="false">IF(N(M914)=0,"",IF(COUNTIFS(ENSAYOS!$C$5:$C$3004,F914,ENSAYOS!$Q$5:$Q$3004,"&gt;0",ENSAYOS!$G$5:$G$3004,"&gt;="&amp;CONFIG!$B$27)=0,"",AVERAGEIFS(ENSAYOS!$Q$5:$Q$3004,ENSAYOS!$C$5:$C$3004,F914,ENSAYOS!$Q$5:$Q$3004,"&gt;0",ENSAYOS!$G$5:$G$3004,"&gt;="&amp;CONFIG!$B$27)))</f>
        <v/>
      </c>
      <c r="W914" s="18" t="str">
        <f aca="false">IF(AND(U914&lt;&gt;"",V914&lt;&gt;""),U914/V914,"")</f>
        <v/>
      </c>
      <c r="X914" s="18" t="str">
        <f aca="false">IF(U914="","",INDEX('CURVA EDAD'!$E$5:$E$32,MIN(28,MAX(1,N914))))</f>
        <v/>
      </c>
      <c r="Y914" s="16" t="str">
        <f aca="false">IF(V914&lt;&gt;"",V914,IF(U914="","",U914/X914))</f>
        <v/>
      </c>
      <c r="Z914" s="16" t="str">
        <f aca="false">IF(V914&lt;&gt;"",_xlfn.MINIFS(ENSAYOS!$Q$5:$Q$3004,ENSAYOS!$C$5:$C$3004,F914,ENSAYOS!$Q$5:$Q$3004,"&gt;0",ENSAYOS!$G$5:$G$3004,"&gt;="&amp;CONFIG!$B$27),IF(U914="","",_xlfn.MINIFS(ENSAYOS!$Q$5:$Q$3004,ENSAYOS!$C$5:$C$3004,F914,ENSAYOS!$Q$5:$Q$3004,"&gt;0",ENSAYOS!$G$5:$G$3004,N914)/X914))</f>
        <v/>
      </c>
      <c r="AA914" s="16" t="str">
        <f aca="false">IF(D914="","",IFERROR(1/(1/INDEX(CONFIG!$J$5:$J$14,MATCH(D914,CONFIG!$D$5:$D$14,0))),""))</f>
        <v/>
      </c>
      <c r="AB914" s="16" t="str">
        <f aca="false">IF(D914="","",IFERROR(1/(1/INDEX(CONFIG!$K$5:$K$14,MATCH(D914,CONFIG!$D$5:$D$14,0))),""))</f>
        <v/>
      </c>
      <c r="AC914" s="19" t="str">
        <f aca="false">IF(N(M914)=0,"",IF(AA914="","Sin spec",IF(AND(Y914&gt;=AA914,OR(AB914="",Z914&gt;=AB914)),"CUMPLE","NO CUMPLE")&amp;IF(V914=""," (est.)","")))</f>
        <v/>
      </c>
      <c r="AD914" s="20" t="str">
        <f aca="false">IF(F914="","",IF(COUNTIFS(ABSORCION!$C$5:$C$1004,F914,ABSORCION!$I$5:$I$1004,"&gt;0")=0,"",AVERAGEIFS(ABSORCION!$I$5:$I$1004,ABSORCION!$C$5:$C$1004,F914,ABSORCION!$I$5:$I$1004,"&gt;0")))</f>
        <v/>
      </c>
      <c r="AE914" s="20" t="str">
        <f aca="false">IF(F914="","",IF(COUNTIFS(ABSORCION!$C$5:$C$1004,F914,ABSORCION!$I$5:$I$1004,"&gt;0")=0,"",AVERAGEIFS(ABSORCION!$K$5:$K$1004,ABSORCION!$C$5:$C$1004,F914,ABSORCION!$I$5:$I$1004,"&gt;0")))</f>
        <v/>
      </c>
      <c r="AF914" s="20" t="str">
        <f aca="false">IF(AE914="","",IF(AE914&gt;=CONFIG!$E$21,CONFIG!$F$21,IF(AE914&gt;=CONFIG!$E$20,CONFIG!$F$20,CONFIG!$F$19)))</f>
        <v/>
      </c>
      <c r="AG914" s="21" t="str">
        <f aca="false">IF(F914="","",TRIM(IF(N(M914)=0,"Sin ensayos. ","")&amp;IF(AND(N(M914)&gt;0,N(M914)&lt;CONFIG!$B$26),"Menos de "&amp;CONFIG!$B$26&amp;" probetas. ","")&amp;IF(N(T914)&gt;CONFIG!$B$25,"CV alto. ","")&amp;IF(AND(N(AD914)&gt;0,N(AD914)&gt;N(AF914)),"Absorción alta. ","")))</f>
        <v/>
      </c>
      <c r="AH914" s="22" t="str">
        <f aca="false">IF(AND(N(M914)&gt;0,OR(CONTROL!$C$4="TODAS",C914=CONTROL!$C$4),D914=CONTROL!$C$5),MAX($AH$4:AH913)+1,"")</f>
        <v/>
      </c>
      <c r="AI914" s="22" t="str">
        <f aca="false">IF(AH914="","",P914^2)</f>
        <v/>
      </c>
    </row>
    <row r="915" customFormat="false" ht="15" hidden="false" customHeight="false" outlineLevel="0" collapsed="false">
      <c r="A915" s="11" t="str">
        <f aca="false">IF(B915="","",ROW()-4)</f>
        <v/>
      </c>
      <c r="B915" s="12"/>
      <c r="C915" s="13"/>
      <c r="D915" s="13"/>
      <c r="E915" s="13"/>
      <c r="F915" s="14" t="str">
        <f aca="false">IF(OR(B915="",C915="",D915=""),"",IFERROR(INDEX(CONFIG!$E$5:$E$14,MATCH(D915,CONFIG!$D$5:$D$14,0)),"?")&amp;RIGHT("0"&amp;DAY(B915),2)&amp;RIGHT("0"&amp;MONTH(B915),2)&amp;RIGHT(YEAR(B915),2)&amp;C915&amp;IF(E915="","","-"&amp;E915))</f>
        <v/>
      </c>
      <c r="G915" s="13"/>
      <c r="H915" s="13"/>
      <c r="I915" s="13"/>
      <c r="J915" s="13"/>
      <c r="K915" s="13"/>
      <c r="L915" s="13"/>
      <c r="M915" s="11" t="str">
        <f aca="false">IF(F915="","",COUNTIFS(ENSAYOS!$C$5:$C$3004,F915,ENSAYOS!$Q$5:$Q$3004,"&gt;0"))</f>
        <v/>
      </c>
      <c r="N915" s="15" t="str">
        <f aca="false">IF(N(M915)=0,"",_xlfn.MINIFS(ENSAYOS!$G$5:$G$3004,ENSAYOS!$C$5:$C$3004,F915,ENSAYOS!$Q$5:$Q$3004,"&gt;0"))</f>
        <v/>
      </c>
      <c r="O915" s="15" t="str">
        <f aca="false">IF(N(M915)=0,"",_xlfn.MAXIFS(ENSAYOS!$G$5:$G$3004,ENSAYOS!$C$5:$C$3004,F915,ENSAYOS!$Q$5:$Q$3004,"&gt;0"))</f>
        <v/>
      </c>
      <c r="P915" s="16" t="str">
        <f aca="false">IF(N(M915)=0,"",AVERAGEIFS(ENSAYOS!$Q$5:$Q$3004,ENSAYOS!$C$5:$C$3004,F915,ENSAYOS!$Q$5:$Q$3004,"&gt;0"))</f>
        <v/>
      </c>
      <c r="Q915" s="16" t="str">
        <f aca="false">IF(N(M915)=0,"",_xlfn.MINIFS(ENSAYOS!$Q$5:$Q$3004,ENSAYOS!$C$5:$C$3004,F915,ENSAYOS!$Q$5:$Q$3004,"&gt;0"))</f>
        <v/>
      </c>
      <c r="R915" s="16" t="str">
        <f aca="false">IF(N(M915)=0,"",_xlfn.MAXIFS(ENSAYOS!$Q$5:$Q$3004,ENSAYOS!$C$5:$C$3004,F915,ENSAYOS!$Q$5:$Q$3004,"&gt;0"))</f>
        <v/>
      </c>
      <c r="S915" s="16" t="str">
        <f aca="false">IF(N(M915)&lt;2,"",SQRT(MAX(0,(SUMIFS(ENSAYOS!$X$5:$X$3004,ENSAYOS!$C$5:$C$3004,F915,ENSAYOS!$Q$5:$Q$3004,"&gt;0")-M915*P915^2)/(M915-1))))</f>
        <v/>
      </c>
      <c r="T915" s="17" t="str">
        <f aca="false">IF(S915="","",S915/P915)</f>
        <v/>
      </c>
      <c r="U915" s="16" t="str">
        <f aca="false">IF(N(M915)=0,"",IF(N915&gt;=CONFIG!$B$27,"",AVERAGEIFS(ENSAYOS!$Q$5:$Q$3004,ENSAYOS!$C$5:$C$3004,F915,ENSAYOS!$Q$5:$Q$3004,"&gt;0",ENSAYOS!$G$5:$G$3004,N915)))</f>
        <v/>
      </c>
      <c r="V915" s="16" t="str">
        <f aca="false">IF(N(M915)=0,"",IF(COUNTIFS(ENSAYOS!$C$5:$C$3004,F915,ENSAYOS!$Q$5:$Q$3004,"&gt;0",ENSAYOS!$G$5:$G$3004,"&gt;="&amp;CONFIG!$B$27)=0,"",AVERAGEIFS(ENSAYOS!$Q$5:$Q$3004,ENSAYOS!$C$5:$C$3004,F915,ENSAYOS!$Q$5:$Q$3004,"&gt;0",ENSAYOS!$G$5:$G$3004,"&gt;="&amp;CONFIG!$B$27)))</f>
        <v/>
      </c>
      <c r="W915" s="18" t="str">
        <f aca="false">IF(AND(U915&lt;&gt;"",V915&lt;&gt;""),U915/V915,"")</f>
        <v/>
      </c>
      <c r="X915" s="18" t="str">
        <f aca="false">IF(U915="","",INDEX('CURVA EDAD'!$E$5:$E$32,MIN(28,MAX(1,N915))))</f>
        <v/>
      </c>
      <c r="Y915" s="16" t="str">
        <f aca="false">IF(V915&lt;&gt;"",V915,IF(U915="","",U915/X915))</f>
        <v/>
      </c>
      <c r="Z915" s="16" t="str">
        <f aca="false">IF(V915&lt;&gt;"",_xlfn.MINIFS(ENSAYOS!$Q$5:$Q$3004,ENSAYOS!$C$5:$C$3004,F915,ENSAYOS!$Q$5:$Q$3004,"&gt;0",ENSAYOS!$G$5:$G$3004,"&gt;="&amp;CONFIG!$B$27),IF(U915="","",_xlfn.MINIFS(ENSAYOS!$Q$5:$Q$3004,ENSAYOS!$C$5:$C$3004,F915,ENSAYOS!$Q$5:$Q$3004,"&gt;0",ENSAYOS!$G$5:$G$3004,N915)/X915))</f>
        <v/>
      </c>
      <c r="AA915" s="16" t="str">
        <f aca="false">IF(D915="","",IFERROR(1/(1/INDEX(CONFIG!$J$5:$J$14,MATCH(D915,CONFIG!$D$5:$D$14,0))),""))</f>
        <v/>
      </c>
      <c r="AB915" s="16" t="str">
        <f aca="false">IF(D915="","",IFERROR(1/(1/INDEX(CONFIG!$K$5:$K$14,MATCH(D915,CONFIG!$D$5:$D$14,0))),""))</f>
        <v/>
      </c>
      <c r="AC915" s="19" t="str">
        <f aca="false">IF(N(M915)=0,"",IF(AA915="","Sin spec",IF(AND(Y915&gt;=AA915,OR(AB915="",Z915&gt;=AB915)),"CUMPLE","NO CUMPLE")&amp;IF(V915=""," (est.)","")))</f>
        <v/>
      </c>
      <c r="AD915" s="20" t="str">
        <f aca="false">IF(F915="","",IF(COUNTIFS(ABSORCION!$C$5:$C$1004,F915,ABSORCION!$I$5:$I$1004,"&gt;0")=0,"",AVERAGEIFS(ABSORCION!$I$5:$I$1004,ABSORCION!$C$5:$C$1004,F915,ABSORCION!$I$5:$I$1004,"&gt;0")))</f>
        <v/>
      </c>
      <c r="AE915" s="20" t="str">
        <f aca="false">IF(F915="","",IF(COUNTIFS(ABSORCION!$C$5:$C$1004,F915,ABSORCION!$I$5:$I$1004,"&gt;0")=0,"",AVERAGEIFS(ABSORCION!$K$5:$K$1004,ABSORCION!$C$5:$C$1004,F915,ABSORCION!$I$5:$I$1004,"&gt;0")))</f>
        <v/>
      </c>
      <c r="AF915" s="20" t="str">
        <f aca="false">IF(AE915="","",IF(AE915&gt;=CONFIG!$E$21,CONFIG!$F$21,IF(AE915&gt;=CONFIG!$E$20,CONFIG!$F$20,CONFIG!$F$19)))</f>
        <v/>
      </c>
      <c r="AG915" s="21" t="str">
        <f aca="false">IF(F915="","",TRIM(IF(N(M915)=0,"Sin ensayos. ","")&amp;IF(AND(N(M915)&gt;0,N(M915)&lt;CONFIG!$B$26),"Menos de "&amp;CONFIG!$B$26&amp;" probetas. ","")&amp;IF(N(T915)&gt;CONFIG!$B$25,"CV alto. ","")&amp;IF(AND(N(AD915)&gt;0,N(AD915)&gt;N(AF915)),"Absorción alta. ","")))</f>
        <v/>
      </c>
      <c r="AH915" s="22" t="str">
        <f aca="false">IF(AND(N(M915)&gt;0,OR(CONTROL!$C$4="TODAS",C915=CONTROL!$C$4),D915=CONTROL!$C$5),MAX($AH$4:AH914)+1,"")</f>
        <v/>
      </c>
      <c r="AI915" s="22" t="str">
        <f aca="false">IF(AH915="","",P915^2)</f>
        <v/>
      </c>
    </row>
    <row r="916" customFormat="false" ht="15" hidden="false" customHeight="false" outlineLevel="0" collapsed="false">
      <c r="A916" s="11" t="str">
        <f aca="false">IF(B916="","",ROW()-4)</f>
        <v/>
      </c>
      <c r="B916" s="12"/>
      <c r="C916" s="13"/>
      <c r="D916" s="13"/>
      <c r="E916" s="13"/>
      <c r="F916" s="14" t="str">
        <f aca="false">IF(OR(B916="",C916="",D916=""),"",IFERROR(INDEX(CONFIG!$E$5:$E$14,MATCH(D916,CONFIG!$D$5:$D$14,0)),"?")&amp;RIGHT("0"&amp;DAY(B916),2)&amp;RIGHT("0"&amp;MONTH(B916),2)&amp;RIGHT(YEAR(B916),2)&amp;C916&amp;IF(E916="","","-"&amp;E916))</f>
        <v/>
      </c>
      <c r="G916" s="13"/>
      <c r="H916" s="13"/>
      <c r="I916" s="13"/>
      <c r="J916" s="13"/>
      <c r="K916" s="13"/>
      <c r="L916" s="13"/>
      <c r="M916" s="11" t="str">
        <f aca="false">IF(F916="","",COUNTIFS(ENSAYOS!$C$5:$C$3004,F916,ENSAYOS!$Q$5:$Q$3004,"&gt;0"))</f>
        <v/>
      </c>
      <c r="N916" s="15" t="str">
        <f aca="false">IF(N(M916)=0,"",_xlfn.MINIFS(ENSAYOS!$G$5:$G$3004,ENSAYOS!$C$5:$C$3004,F916,ENSAYOS!$Q$5:$Q$3004,"&gt;0"))</f>
        <v/>
      </c>
      <c r="O916" s="15" t="str">
        <f aca="false">IF(N(M916)=0,"",_xlfn.MAXIFS(ENSAYOS!$G$5:$G$3004,ENSAYOS!$C$5:$C$3004,F916,ENSAYOS!$Q$5:$Q$3004,"&gt;0"))</f>
        <v/>
      </c>
      <c r="P916" s="16" t="str">
        <f aca="false">IF(N(M916)=0,"",AVERAGEIFS(ENSAYOS!$Q$5:$Q$3004,ENSAYOS!$C$5:$C$3004,F916,ENSAYOS!$Q$5:$Q$3004,"&gt;0"))</f>
        <v/>
      </c>
      <c r="Q916" s="16" t="str">
        <f aca="false">IF(N(M916)=0,"",_xlfn.MINIFS(ENSAYOS!$Q$5:$Q$3004,ENSAYOS!$C$5:$C$3004,F916,ENSAYOS!$Q$5:$Q$3004,"&gt;0"))</f>
        <v/>
      </c>
      <c r="R916" s="16" t="str">
        <f aca="false">IF(N(M916)=0,"",_xlfn.MAXIFS(ENSAYOS!$Q$5:$Q$3004,ENSAYOS!$C$5:$C$3004,F916,ENSAYOS!$Q$5:$Q$3004,"&gt;0"))</f>
        <v/>
      </c>
      <c r="S916" s="16" t="str">
        <f aca="false">IF(N(M916)&lt;2,"",SQRT(MAX(0,(SUMIFS(ENSAYOS!$X$5:$X$3004,ENSAYOS!$C$5:$C$3004,F916,ENSAYOS!$Q$5:$Q$3004,"&gt;0")-M916*P916^2)/(M916-1))))</f>
        <v/>
      </c>
      <c r="T916" s="17" t="str">
        <f aca="false">IF(S916="","",S916/P916)</f>
        <v/>
      </c>
      <c r="U916" s="16" t="str">
        <f aca="false">IF(N(M916)=0,"",IF(N916&gt;=CONFIG!$B$27,"",AVERAGEIFS(ENSAYOS!$Q$5:$Q$3004,ENSAYOS!$C$5:$C$3004,F916,ENSAYOS!$Q$5:$Q$3004,"&gt;0",ENSAYOS!$G$5:$G$3004,N916)))</f>
        <v/>
      </c>
      <c r="V916" s="16" t="str">
        <f aca="false">IF(N(M916)=0,"",IF(COUNTIFS(ENSAYOS!$C$5:$C$3004,F916,ENSAYOS!$Q$5:$Q$3004,"&gt;0",ENSAYOS!$G$5:$G$3004,"&gt;="&amp;CONFIG!$B$27)=0,"",AVERAGEIFS(ENSAYOS!$Q$5:$Q$3004,ENSAYOS!$C$5:$C$3004,F916,ENSAYOS!$Q$5:$Q$3004,"&gt;0",ENSAYOS!$G$5:$G$3004,"&gt;="&amp;CONFIG!$B$27)))</f>
        <v/>
      </c>
      <c r="W916" s="18" t="str">
        <f aca="false">IF(AND(U916&lt;&gt;"",V916&lt;&gt;""),U916/V916,"")</f>
        <v/>
      </c>
      <c r="X916" s="18" t="str">
        <f aca="false">IF(U916="","",INDEX('CURVA EDAD'!$E$5:$E$32,MIN(28,MAX(1,N916))))</f>
        <v/>
      </c>
      <c r="Y916" s="16" t="str">
        <f aca="false">IF(V916&lt;&gt;"",V916,IF(U916="","",U916/X916))</f>
        <v/>
      </c>
      <c r="Z916" s="16" t="str">
        <f aca="false">IF(V916&lt;&gt;"",_xlfn.MINIFS(ENSAYOS!$Q$5:$Q$3004,ENSAYOS!$C$5:$C$3004,F916,ENSAYOS!$Q$5:$Q$3004,"&gt;0",ENSAYOS!$G$5:$G$3004,"&gt;="&amp;CONFIG!$B$27),IF(U916="","",_xlfn.MINIFS(ENSAYOS!$Q$5:$Q$3004,ENSAYOS!$C$5:$C$3004,F916,ENSAYOS!$Q$5:$Q$3004,"&gt;0",ENSAYOS!$G$5:$G$3004,N916)/X916))</f>
        <v/>
      </c>
      <c r="AA916" s="16" t="str">
        <f aca="false">IF(D916="","",IFERROR(1/(1/INDEX(CONFIG!$J$5:$J$14,MATCH(D916,CONFIG!$D$5:$D$14,0))),""))</f>
        <v/>
      </c>
      <c r="AB916" s="16" t="str">
        <f aca="false">IF(D916="","",IFERROR(1/(1/INDEX(CONFIG!$K$5:$K$14,MATCH(D916,CONFIG!$D$5:$D$14,0))),""))</f>
        <v/>
      </c>
      <c r="AC916" s="19" t="str">
        <f aca="false">IF(N(M916)=0,"",IF(AA916="","Sin spec",IF(AND(Y916&gt;=AA916,OR(AB916="",Z916&gt;=AB916)),"CUMPLE","NO CUMPLE")&amp;IF(V916=""," (est.)","")))</f>
        <v/>
      </c>
      <c r="AD916" s="20" t="str">
        <f aca="false">IF(F916="","",IF(COUNTIFS(ABSORCION!$C$5:$C$1004,F916,ABSORCION!$I$5:$I$1004,"&gt;0")=0,"",AVERAGEIFS(ABSORCION!$I$5:$I$1004,ABSORCION!$C$5:$C$1004,F916,ABSORCION!$I$5:$I$1004,"&gt;0")))</f>
        <v/>
      </c>
      <c r="AE916" s="20" t="str">
        <f aca="false">IF(F916="","",IF(COUNTIFS(ABSORCION!$C$5:$C$1004,F916,ABSORCION!$I$5:$I$1004,"&gt;0")=0,"",AVERAGEIFS(ABSORCION!$K$5:$K$1004,ABSORCION!$C$5:$C$1004,F916,ABSORCION!$I$5:$I$1004,"&gt;0")))</f>
        <v/>
      </c>
      <c r="AF916" s="20" t="str">
        <f aca="false">IF(AE916="","",IF(AE916&gt;=CONFIG!$E$21,CONFIG!$F$21,IF(AE916&gt;=CONFIG!$E$20,CONFIG!$F$20,CONFIG!$F$19)))</f>
        <v/>
      </c>
      <c r="AG916" s="21" t="str">
        <f aca="false">IF(F916="","",TRIM(IF(N(M916)=0,"Sin ensayos. ","")&amp;IF(AND(N(M916)&gt;0,N(M916)&lt;CONFIG!$B$26),"Menos de "&amp;CONFIG!$B$26&amp;" probetas. ","")&amp;IF(N(T916)&gt;CONFIG!$B$25,"CV alto. ","")&amp;IF(AND(N(AD916)&gt;0,N(AD916)&gt;N(AF916)),"Absorción alta. ","")))</f>
        <v/>
      </c>
      <c r="AH916" s="22" t="str">
        <f aca="false">IF(AND(N(M916)&gt;0,OR(CONTROL!$C$4="TODAS",C916=CONTROL!$C$4),D916=CONTROL!$C$5),MAX($AH$4:AH915)+1,"")</f>
        <v/>
      </c>
      <c r="AI916" s="22" t="str">
        <f aca="false">IF(AH916="","",P916^2)</f>
        <v/>
      </c>
    </row>
    <row r="917" customFormat="false" ht="15" hidden="false" customHeight="false" outlineLevel="0" collapsed="false">
      <c r="A917" s="11" t="str">
        <f aca="false">IF(B917="","",ROW()-4)</f>
        <v/>
      </c>
      <c r="B917" s="12"/>
      <c r="C917" s="13"/>
      <c r="D917" s="13"/>
      <c r="E917" s="13"/>
      <c r="F917" s="14" t="str">
        <f aca="false">IF(OR(B917="",C917="",D917=""),"",IFERROR(INDEX(CONFIG!$E$5:$E$14,MATCH(D917,CONFIG!$D$5:$D$14,0)),"?")&amp;RIGHT("0"&amp;DAY(B917),2)&amp;RIGHT("0"&amp;MONTH(B917),2)&amp;RIGHT(YEAR(B917),2)&amp;C917&amp;IF(E917="","","-"&amp;E917))</f>
        <v/>
      </c>
      <c r="G917" s="13"/>
      <c r="H917" s="13"/>
      <c r="I917" s="13"/>
      <c r="J917" s="13"/>
      <c r="K917" s="13"/>
      <c r="L917" s="13"/>
      <c r="M917" s="11" t="str">
        <f aca="false">IF(F917="","",COUNTIFS(ENSAYOS!$C$5:$C$3004,F917,ENSAYOS!$Q$5:$Q$3004,"&gt;0"))</f>
        <v/>
      </c>
      <c r="N917" s="15" t="str">
        <f aca="false">IF(N(M917)=0,"",_xlfn.MINIFS(ENSAYOS!$G$5:$G$3004,ENSAYOS!$C$5:$C$3004,F917,ENSAYOS!$Q$5:$Q$3004,"&gt;0"))</f>
        <v/>
      </c>
      <c r="O917" s="15" t="str">
        <f aca="false">IF(N(M917)=0,"",_xlfn.MAXIFS(ENSAYOS!$G$5:$G$3004,ENSAYOS!$C$5:$C$3004,F917,ENSAYOS!$Q$5:$Q$3004,"&gt;0"))</f>
        <v/>
      </c>
      <c r="P917" s="16" t="str">
        <f aca="false">IF(N(M917)=0,"",AVERAGEIFS(ENSAYOS!$Q$5:$Q$3004,ENSAYOS!$C$5:$C$3004,F917,ENSAYOS!$Q$5:$Q$3004,"&gt;0"))</f>
        <v/>
      </c>
      <c r="Q917" s="16" t="str">
        <f aca="false">IF(N(M917)=0,"",_xlfn.MINIFS(ENSAYOS!$Q$5:$Q$3004,ENSAYOS!$C$5:$C$3004,F917,ENSAYOS!$Q$5:$Q$3004,"&gt;0"))</f>
        <v/>
      </c>
      <c r="R917" s="16" t="str">
        <f aca="false">IF(N(M917)=0,"",_xlfn.MAXIFS(ENSAYOS!$Q$5:$Q$3004,ENSAYOS!$C$5:$C$3004,F917,ENSAYOS!$Q$5:$Q$3004,"&gt;0"))</f>
        <v/>
      </c>
      <c r="S917" s="16" t="str">
        <f aca="false">IF(N(M917)&lt;2,"",SQRT(MAX(0,(SUMIFS(ENSAYOS!$X$5:$X$3004,ENSAYOS!$C$5:$C$3004,F917,ENSAYOS!$Q$5:$Q$3004,"&gt;0")-M917*P917^2)/(M917-1))))</f>
        <v/>
      </c>
      <c r="T917" s="17" t="str">
        <f aca="false">IF(S917="","",S917/P917)</f>
        <v/>
      </c>
      <c r="U917" s="16" t="str">
        <f aca="false">IF(N(M917)=0,"",IF(N917&gt;=CONFIG!$B$27,"",AVERAGEIFS(ENSAYOS!$Q$5:$Q$3004,ENSAYOS!$C$5:$C$3004,F917,ENSAYOS!$Q$5:$Q$3004,"&gt;0",ENSAYOS!$G$5:$G$3004,N917)))</f>
        <v/>
      </c>
      <c r="V917" s="16" t="str">
        <f aca="false">IF(N(M917)=0,"",IF(COUNTIFS(ENSAYOS!$C$5:$C$3004,F917,ENSAYOS!$Q$5:$Q$3004,"&gt;0",ENSAYOS!$G$5:$G$3004,"&gt;="&amp;CONFIG!$B$27)=0,"",AVERAGEIFS(ENSAYOS!$Q$5:$Q$3004,ENSAYOS!$C$5:$C$3004,F917,ENSAYOS!$Q$5:$Q$3004,"&gt;0",ENSAYOS!$G$5:$G$3004,"&gt;="&amp;CONFIG!$B$27)))</f>
        <v/>
      </c>
      <c r="W917" s="18" t="str">
        <f aca="false">IF(AND(U917&lt;&gt;"",V917&lt;&gt;""),U917/V917,"")</f>
        <v/>
      </c>
      <c r="X917" s="18" t="str">
        <f aca="false">IF(U917="","",INDEX('CURVA EDAD'!$E$5:$E$32,MIN(28,MAX(1,N917))))</f>
        <v/>
      </c>
      <c r="Y917" s="16" t="str">
        <f aca="false">IF(V917&lt;&gt;"",V917,IF(U917="","",U917/X917))</f>
        <v/>
      </c>
      <c r="Z917" s="16" t="str">
        <f aca="false">IF(V917&lt;&gt;"",_xlfn.MINIFS(ENSAYOS!$Q$5:$Q$3004,ENSAYOS!$C$5:$C$3004,F917,ENSAYOS!$Q$5:$Q$3004,"&gt;0",ENSAYOS!$G$5:$G$3004,"&gt;="&amp;CONFIG!$B$27),IF(U917="","",_xlfn.MINIFS(ENSAYOS!$Q$5:$Q$3004,ENSAYOS!$C$5:$C$3004,F917,ENSAYOS!$Q$5:$Q$3004,"&gt;0",ENSAYOS!$G$5:$G$3004,N917)/X917))</f>
        <v/>
      </c>
      <c r="AA917" s="16" t="str">
        <f aca="false">IF(D917="","",IFERROR(1/(1/INDEX(CONFIG!$J$5:$J$14,MATCH(D917,CONFIG!$D$5:$D$14,0))),""))</f>
        <v/>
      </c>
      <c r="AB917" s="16" t="str">
        <f aca="false">IF(D917="","",IFERROR(1/(1/INDEX(CONFIG!$K$5:$K$14,MATCH(D917,CONFIG!$D$5:$D$14,0))),""))</f>
        <v/>
      </c>
      <c r="AC917" s="19" t="str">
        <f aca="false">IF(N(M917)=0,"",IF(AA917="","Sin spec",IF(AND(Y917&gt;=AA917,OR(AB917="",Z917&gt;=AB917)),"CUMPLE","NO CUMPLE")&amp;IF(V917=""," (est.)","")))</f>
        <v/>
      </c>
      <c r="AD917" s="20" t="str">
        <f aca="false">IF(F917="","",IF(COUNTIFS(ABSORCION!$C$5:$C$1004,F917,ABSORCION!$I$5:$I$1004,"&gt;0")=0,"",AVERAGEIFS(ABSORCION!$I$5:$I$1004,ABSORCION!$C$5:$C$1004,F917,ABSORCION!$I$5:$I$1004,"&gt;0")))</f>
        <v/>
      </c>
      <c r="AE917" s="20" t="str">
        <f aca="false">IF(F917="","",IF(COUNTIFS(ABSORCION!$C$5:$C$1004,F917,ABSORCION!$I$5:$I$1004,"&gt;0")=0,"",AVERAGEIFS(ABSORCION!$K$5:$K$1004,ABSORCION!$C$5:$C$1004,F917,ABSORCION!$I$5:$I$1004,"&gt;0")))</f>
        <v/>
      </c>
      <c r="AF917" s="20" t="str">
        <f aca="false">IF(AE917="","",IF(AE917&gt;=CONFIG!$E$21,CONFIG!$F$21,IF(AE917&gt;=CONFIG!$E$20,CONFIG!$F$20,CONFIG!$F$19)))</f>
        <v/>
      </c>
      <c r="AG917" s="21" t="str">
        <f aca="false">IF(F917="","",TRIM(IF(N(M917)=0,"Sin ensayos. ","")&amp;IF(AND(N(M917)&gt;0,N(M917)&lt;CONFIG!$B$26),"Menos de "&amp;CONFIG!$B$26&amp;" probetas. ","")&amp;IF(N(T917)&gt;CONFIG!$B$25,"CV alto. ","")&amp;IF(AND(N(AD917)&gt;0,N(AD917)&gt;N(AF917)),"Absorción alta. ","")))</f>
        <v/>
      </c>
      <c r="AH917" s="22" t="str">
        <f aca="false">IF(AND(N(M917)&gt;0,OR(CONTROL!$C$4="TODAS",C917=CONTROL!$C$4),D917=CONTROL!$C$5),MAX($AH$4:AH916)+1,"")</f>
        <v/>
      </c>
      <c r="AI917" s="22" t="str">
        <f aca="false">IF(AH917="","",P917^2)</f>
        <v/>
      </c>
    </row>
    <row r="918" customFormat="false" ht="15" hidden="false" customHeight="false" outlineLevel="0" collapsed="false">
      <c r="A918" s="11" t="str">
        <f aca="false">IF(B918="","",ROW()-4)</f>
        <v/>
      </c>
      <c r="B918" s="12"/>
      <c r="C918" s="13"/>
      <c r="D918" s="13"/>
      <c r="E918" s="13"/>
      <c r="F918" s="14" t="str">
        <f aca="false">IF(OR(B918="",C918="",D918=""),"",IFERROR(INDEX(CONFIG!$E$5:$E$14,MATCH(D918,CONFIG!$D$5:$D$14,0)),"?")&amp;RIGHT("0"&amp;DAY(B918),2)&amp;RIGHT("0"&amp;MONTH(B918),2)&amp;RIGHT(YEAR(B918),2)&amp;C918&amp;IF(E918="","","-"&amp;E918))</f>
        <v/>
      </c>
      <c r="G918" s="13"/>
      <c r="H918" s="13"/>
      <c r="I918" s="13"/>
      <c r="J918" s="13"/>
      <c r="K918" s="13"/>
      <c r="L918" s="13"/>
      <c r="M918" s="11" t="str">
        <f aca="false">IF(F918="","",COUNTIFS(ENSAYOS!$C$5:$C$3004,F918,ENSAYOS!$Q$5:$Q$3004,"&gt;0"))</f>
        <v/>
      </c>
      <c r="N918" s="15" t="str">
        <f aca="false">IF(N(M918)=0,"",_xlfn.MINIFS(ENSAYOS!$G$5:$G$3004,ENSAYOS!$C$5:$C$3004,F918,ENSAYOS!$Q$5:$Q$3004,"&gt;0"))</f>
        <v/>
      </c>
      <c r="O918" s="15" t="str">
        <f aca="false">IF(N(M918)=0,"",_xlfn.MAXIFS(ENSAYOS!$G$5:$G$3004,ENSAYOS!$C$5:$C$3004,F918,ENSAYOS!$Q$5:$Q$3004,"&gt;0"))</f>
        <v/>
      </c>
      <c r="P918" s="16" t="str">
        <f aca="false">IF(N(M918)=0,"",AVERAGEIFS(ENSAYOS!$Q$5:$Q$3004,ENSAYOS!$C$5:$C$3004,F918,ENSAYOS!$Q$5:$Q$3004,"&gt;0"))</f>
        <v/>
      </c>
      <c r="Q918" s="16" t="str">
        <f aca="false">IF(N(M918)=0,"",_xlfn.MINIFS(ENSAYOS!$Q$5:$Q$3004,ENSAYOS!$C$5:$C$3004,F918,ENSAYOS!$Q$5:$Q$3004,"&gt;0"))</f>
        <v/>
      </c>
      <c r="R918" s="16" t="str">
        <f aca="false">IF(N(M918)=0,"",_xlfn.MAXIFS(ENSAYOS!$Q$5:$Q$3004,ENSAYOS!$C$5:$C$3004,F918,ENSAYOS!$Q$5:$Q$3004,"&gt;0"))</f>
        <v/>
      </c>
      <c r="S918" s="16" t="str">
        <f aca="false">IF(N(M918)&lt;2,"",SQRT(MAX(0,(SUMIFS(ENSAYOS!$X$5:$X$3004,ENSAYOS!$C$5:$C$3004,F918,ENSAYOS!$Q$5:$Q$3004,"&gt;0")-M918*P918^2)/(M918-1))))</f>
        <v/>
      </c>
      <c r="T918" s="17" t="str">
        <f aca="false">IF(S918="","",S918/P918)</f>
        <v/>
      </c>
      <c r="U918" s="16" t="str">
        <f aca="false">IF(N(M918)=0,"",IF(N918&gt;=CONFIG!$B$27,"",AVERAGEIFS(ENSAYOS!$Q$5:$Q$3004,ENSAYOS!$C$5:$C$3004,F918,ENSAYOS!$Q$5:$Q$3004,"&gt;0",ENSAYOS!$G$5:$G$3004,N918)))</f>
        <v/>
      </c>
      <c r="V918" s="16" t="str">
        <f aca="false">IF(N(M918)=0,"",IF(COUNTIFS(ENSAYOS!$C$5:$C$3004,F918,ENSAYOS!$Q$5:$Q$3004,"&gt;0",ENSAYOS!$G$5:$G$3004,"&gt;="&amp;CONFIG!$B$27)=0,"",AVERAGEIFS(ENSAYOS!$Q$5:$Q$3004,ENSAYOS!$C$5:$C$3004,F918,ENSAYOS!$Q$5:$Q$3004,"&gt;0",ENSAYOS!$G$5:$G$3004,"&gt;="&amp;CONFIG!$B$27)))</f>
        <v/>
      </c>
      <c r="W918" s="18" t="str">
        <f aca="false">IF(AND(U918&lt;&gt;"",V918&lt;&gt;""),U918/V918,"")</f>
        <v/>
      </c>
      <c r="X918" s="18" t="str">
        <f aca="false">IF(U918="","",INDEX('CURVA EDAD'!$E$5:$E$32,MIN(28,MAX(1,N918))))</f>
        <v/>
      </c>
      <c r="Y918" s="16" t="str">
        <f aca="false">IF(V918&lt;&gt;"",V918,IF(U918="","",U918/X918))</f>
        <v/>
      </c>
      <c r="Z918" s="16" t="str">
        <f aca="false">IF(V918&lt;&gt;"",_xlfn.MINIFS(ENSAYOS!$Q$5:$Q$3004,ENSAYOS!$C$5:$C$3004,F918,ENSAYOS!$Q$5:$Q$3004,"&gt;0",ENSAYOS!$G$5:$G$3004,"&gt;="&amp;CONFIG!$B$27),IF(U918="","",_xlfn.MINIFS(ENSAYOS!$Q$5:$Q$3004,ENSAYOS!$C$5:$C$3004,F918,ENSAYOS!$Q$5:$Q$3004,"&gt;0",ENSAYOS!$G$5:$G$3004,N918)/X918))</f>
        <v/>
      </c>
      <c r="AA918" s="16" t="str">
        <f aca="false">IF(D918="","",IFERROR(1/(1/INDEX(CONFIG!$J$5:$J$14,MATCH(D918,CONFIG!$D$5:$D$14,0))),""))</f>
        <v/>
      </c>
      <c r="AB918" s="16" t="str">
        <f aca="false">IF(D918="","",IFERROR(1/(1/INDEX(CONFIG!$K$5:$K$14,MATCH(D918,CONFIG!$D$5:$D$14,0))),""))</f>
        <v/>
      </c>
      <c r="AC918" s="19" t="str">
        <f aca="false">IF(N(M918)=0,"",IF(AA918="","Sin spec",IF(AND(Y918&gt;=AA918,OR(AB918="",Z918&gt;=AB918)),"CUMPLE","NO CUMPLE")&amp;IF(V918=""," (est.)","")))</f>
        <v/>
      </c>
      <c r="AD918" s="20" t="str">
        <f aca="false">IF(F918="","",IF(COUNTIFS(ABSORCION!$C$5:$C$1004,F918,ABSORCION!$I$5:$I$1004,"&gt;0")=0,"",AVERAGEIFS(ABSORCION!$I$5:$I$1004,ABSORCION!$C$5:$C$1004,F918,ABSORCION!$I$5:$I$1004,"&gt;0")))</f>
        <v/>
      </c>
      <c r="AE918" s="20" t="str">
        <f aca="false">IF(F918="","",IF(COUNTIFS(ABSORCION!$C$5:$C$1004,F918,ABSORCION!$I$5:$I$1004,"&gt;0")=0,"",AVERAGEIFS(ABSORCION!$K$5:$K$1004,ABSORCION!$C$5:$C$1004,F918,ABSORCION!$I$5:$I$1004,"&gt;0")))</f>
        <v/>
      </c>
      <c r="AF918" s="20" t="str">
        <f aca="false">IF(AE918="","",IF(AE918&gt;=CONFIG!$E$21,CONFIG!$F$21,IF(AE918&gt;=CONFIG!$E$20,CONFIG!$F$20,CONFIG!$F$19)))</f>
        <v/>
      </c>
      <c r="AG918" s="21" t="str">
        <f aca="false">IF(F918="","",TRIM(IF(N(M918)=0,"Sin ensayos. ","")&amp;IF(AND(N(M918)&gt;0,N(M918)&lt;CONFIG!$B$26),"Menos de "&amp;CONFIG!$B$26&amp;" probetas. ","")&amp;IF(N(T918)&gt;CONFIG!$B$25,"CV alto. ","")&amp;IF(AND(N(AD918)&gt;0,N(AD918)&gt;N(AF918)),"Absorción alta. ","")))</f>
        <v/>
      </c>
      <c r="AH918" s="22" t="str">
        <f aca="false">IF(AND(N(M918)&gt;0,OR(CONTROL!$C$4="TODAS",C918=CONTROL!$C$4),D918=CONTROL!$C$5),MAX($AH$4:AH917)+1,"")</f>
        <v/>
      </c>
      <c r="AI918" s="22" t="str">
        <f aca="false">IF(AH918="","",P918^2)</f>
        <v/>
      </c>
    </row>
    <row r="919" customFormat="false" ht="15" hidden="false" customHeight="false" outlineLevel="0" collapsed="false">
      <c r="A919" s="11" t="str">
        <f aca="false">IF(B919="","",ROW()-4)</f>
        <v/>
      </c>
      <c r="B919" s="12"/>
      <c r="C919" s="13"/>
      <c r="D919" s="13"/>
      <c r="E919" s="13"/>
      <c r="F919" s="14" t="str">
        <f aca="false">IF(OR(B919="",C919="",D919=""),"",IFERROR(INDEX(CONFIG!$E$5:$E$14,MATCH(D919,CONFIG!$D$5:$D$14,0)),"?")&amp;RIGHT("0"&amp;DAY(B919),2)&amp;RIGHT("0"&amp;MONTH(B919),2)&amp;RIGHT(YEAR(B919),2)&amp;C919&amp;IF(E919="","","-"&amp;E919))</f>
        <v/>
      </c>
      <c r="G919" s="13"/>
      <c r="H919" s="13"/>
      <c r="I919" s="13"/>
      <c r="J919" s="13"/>
      <c r="K919" s="13"/>
      <c r="L919" s="13"/>
      <c r="M919" s="11" t="str">
        <f aca="false">IF(F919="","",COUNTIFS(ENSAYOS!$C$5:$C$3004,F919,ENSAYOS!$Q$5:$Q$3004,"&gt;0"))</f>
        <v/>
      </c>
      <c r="N919" s="15" t="str">
        <f aca="false">IF(N(M919)=0,"",_xlfn.MINIFS(ENSAYOS!$G$5:$G$3004,ENSAYOS!$C$5:$C$3004,F919,ENSAYOS!$Q$5:$Q$3004,"&gt;0"))</f>
        <v/>
      </c>
      <c r="O919" s="15" t="str">
        <f aca="false">IF(N(M919)=0,"",_xlfn.MAXIFS(ENSAYOS!$G$5:$G$3004,ENSAYOS!$C$5:$C$3004,F919,ENSAYOS!$Q$5:$Q$3004,"&gt;0"))</f>
        <v/>
      </c>
      <c r="P919" s="16" t="str">
        <f aca="false">IF(N(M919)=0,"",AVERAGEIFS(ENSAYOS!$Q$5:$Q$3004,ENSAYOS!$C$5:$C$3004,F919,ENSAYOS!$Q$5:$Q$3004,"&gt;0"))</f>
        <v/>
      </c>
      <c r="Q919" s="16" t="str">
        <f aca="false">IF(N(M919)=0,"",_xlfn.MINIFS(ENSAYOS!$Q$5:$Q$3004,ENSAYOS!$C$5:$C$3004,F919,ENSAYOS!$Q$5:$Q$3004,"&gt;0"))</f>
        <v/>
      </c>
      <c r="R919" s="16" t="str">
        <f aca="false">IF(N(M919)=0,"",_xlfn.MAXIFS(ENSAYOS!$Q$5:$Q$3004,ENSAYOS!$C$5:$C$3004,F919,ENSAYOS!$Q$5:$Q$3004,"&gt;0"))</f>
        <v/>
      </c>
      <c r="S919" s="16" t="str">
        <f aca="false">IF(N(M919)&lt;2,"",SQRT(MAX(0,(SUMIFS(ENSAYOS!$X$5:$X$3004,ENSAYOS!$C$5:$C$3004,F919,ENSAYOS!$Q$5:$Q$3004,"&gt;0")-M919*P919^2)/(M919-1))))</f>
        <v/>
      </c>
      <c r="T919" s="17" t="str">
        <f aca="false">IF(S919="","",S919/P919)</f>
        <v/>
      </c>
      <c r="U919" s="16" t="str">
        <f aca="false">IF(N(M919)=0,"",IF(N919&gt;=CONFIG!$B$27,"",AVERAGEIFS(ENSAYOS!$Q$5:$Q$3004,ENSAYOS!$C$5:$C$3004,F919,ENSAYOS!$Q$5:$Q$3004,"&gt;0",ENSAYOS!$G$5:$G$3004,N919)))</f>
        <v/>
      </c>
      <c r="V919" s="16" t="str">
        <f aca="false">IF(N(M919)=0,"",IF(COUNTIFS(ENSAYOS!$C$5:$C$3004,F919,ENSAYOS!$Q$5:$Q$3004,"&gt;0",ENSAYOS!$G$5:$G$3004,"&gt;="&amp;CONFIG!$B$27)=0,"",AVERAGEIFS(ENSAYOS!$Q$5:$Q$3004,ENSAYOS!$C$5:$C$3004,F919,ENSAYOS!$Q$5:$Q$3004,"&gt;0",ENSAYOS!$G$5:$G$3004,"&gt;="&amp;CONFIG!$B$27)))</f>
        <v/>
      </c>
      <c r="W919" s="18" t="str">
        <f aca="false">IF(AND(U919&lt;&gt;"",V919&lt;&gt;""),U919/V919,"")</f>
        <v/>
      </c>
      <c r="X919" s="18" t="str">
        <f aca="false">IF(U919="","",INDEX('CURVA EDAD'!$E$5:$E$32,MIN(28,MAX(1,N919))))</f>
        <v/>
      </c>
      <c r="Y919" s="16" t="str">
        <f aca="false">IF(V919&lt;&gt;"",V919,IF(U919="","",U919/X919))</f>
        <v/>
      </c>
      <c r="Z919" s="16" t="str">
        <f aca="false">IF(V919&lt;&gt;"",_xlfn.MINIFS(ENSAYOS!$Q$5:$Q$3004,ENSAYOS!$C$5:$C$3004,F919,ENSAYOS!$Q$5:$Q$3004,"&gt;0",ENSAYOS!$G$5:$G$3004,"&gt;="&amp;CONFIG!$B$27),IF(U919="","",_xlfn.MINIFS(ENSAYOS!$Q$5:$Q$3004,ENSAYOS!$C$5:$C$3004,F919,ENSAYOS!$Q$5:$Q$3004,"&gt;0",ENSAYOS!$G$5:$G$3004,N919)/X919))</f>
        <v/>
      </c>
      <c r="AA919" s="16" t="str">
        <f aca="false">IF(D919="","",IFERROR(1/(1/INDEX(CONFIG!$J$5:$J$14,MATCH(D919,CONFIG!$D$5:$D$14,0))),""))</f>
        <v/>
      </c>
      <c r="AB919" s="16" t="str">
        <f aca="false">IF(D919="","",IFERROR(1/(1/INDEX(CONFIG!$K$5:$K$14,MATCH(D919,CONFIG!$D$5:$D$14,0))),""))</f>
        <v/>
      </c>
      <c r="AC919" s="19" t="str">
        <f aca="false">IF(N(M919)=0,"",IF(AA919="","Sin spec",IF(AND(Y919&gt;=AA919,OR(AB919="",Z919&gt;=AB919)),"CUMPLE","NO CUMPLE")&amp;IF(V919=""," (est.)","")))</f>
        <v/>
      </c>
      <c r="AD919" s="20" t="str">
        <f aca="false">IF(F919="","",IF(COUNTIFS(ABSORCION!$C$5:$C$1004,F919,ABSORCION!$I$5:$I$1004,"&gt;0")=0,"",AVERAGEIFS(ABSORCION!$I$5:$I$1004,ABSORCION!$C$5:$C$1004,F919,ABSORCION!$I$5:$I$1004,"&gt;0")))</f>
        <v/>
      </c>
      <c r="AE919" s="20" t="str">
        <f aca="false">IF(F919="","",IF(COUNTIFS(ABSORCION!$C$5:$C$1004,F919,ABSORCION!$I$5:$I$1004,"&gt;0")=0,"",AVERAGEIFS(ABSORCION!$K$5:$K$1004,ABSORCION!$C$5:$C$1004,F919,ABSORCION!$I$5:$I$1004,"&gt;0")))</f>
        <v/>
      </c>
      <c r="AF919" s="20" t="str">
        <f aca="false">IF(AE919="","",IF(AE919&gt;=CONFIG!$E$21,CONFIG!$F$21,IF(AE919&gt;=CONFIG!$E$20,CONFIG!$F$20,CONFIG!$F$19)))</f>
        <v/>
      </c>
      <c r="AG919" s="21" t="str">
        <f aca="false">IF(F919="","",TRIM(IF(N(M919)=0,"Sin ensayos. ","")&amp;IF(AND(N(M919)&gt;0,N(M919)&lt;CONFIG!$B$26),"Menos de "&amp;CONFIG!$B$26&amp;" probetas. ","")&amp;IF(N(T919)&gt;CONFIG!$B$25,"CV alto. ","")&amp;IF(AND(N(AD919)&gt;0,N(AD919)&gt;N(AF919)),"Absorción alta. ","")))</f>
        <v/>
      </c>
      <c r="AH919" s="22" t="str">
        <f aca="false">IF(AND(N(M919)&gt;0,OR(CONTROL!$C$4="TODAS",C919=CONTROL!$C$4),D919=CONTROL!$C$5),MAX($AH$4:AH918)+1,"")</f>
        <v/>
      </c>
      <c r="AI919" s="22" t="str">
        <f aca="false">IF(AH919="","",P919^2)</f>
        <v/>
      </c>
    </row>
    <row r="920" customFormat="false" ht="15" hidden="false" customHeight="false" outlineLevel="0" collapsed="false">
      <c r="A920" s="11" t="str">
        <f aca="false">IF(B920="","",ROW()-4)</f>
        <v/>
      </c>
      <c r="B920" s="12"/>
      <c r="C920" s="13"/>
      <c r="D920" s="13"/>
      <c r="E920" s="13"/>
      <c r="F920" s="14" t="str">
        <f aca="false">IF(OR(B920="",C920="",D920=""),"",IFERROR(INDEX(CONFIG!$E$5:$E$14,MATCH(D920,CONFIG!$D$5:$D$14,0)),"?")&amp;RIGHT("0"&amp;DAY(B920),2)&amp;RIGHT("0"&amp;MONTH(B920),2)&amp;RIGHT(YEAR(B920),2)&amp;C920&amp;IF(E920="","","-"&amp;E920))</f>
        <v/>
      </c>
      <c r="G920" s="13"/>
      <c r="H920" s="13"/>
      <c r="I920" s="13"/>
      <c r="J920" s="13"/>
      <c r="K920" s="13"/>
      <c r="L920" s="13"/>
      <c r="M920" s="11" t="str">
        <f aca="false">IF(F920="","",COUNTIFS(ENSAYOS!$C$5:$C$3004,F920,ENSAYOS!$Q$5:$Q$3004,"&gt;0"))</f>
        <v/>
      </c>
      <c r="N920" s="15" t="str">
        <f aca="false">IF(N(M920)=0,"",_xlfn.MINIFS(ENSAYOS!$G$5:$G$3004,ENSAYOS!$C$5:$C$3004,F920,ENSAYOS!$Q$5:$Q$3004,"&gt;0"))</f>
        <v/>
      </c>
      <c r="O920" s="15" t="str">
        <f aca="false">IF(N(M920)=0,"",_xlfn.MAXIFS(ENSAYOS!$G$5:$G$3004,ENSAYOS!$C$5:$C$3004,F920,ENSAYOS!$Q$5:$Q$3004,"&gt;0"))</f>
        <v/>
      </c>
      <c r="P920" s="16" t="str">
        <f aca="false">IF(N(M920)=0,"",AVERAGEIFS(ENSAYOS!$Q$5:$Q$3004,ENSAYOS!$C$5:$C$3004,F920,ENSAYOS!$Q$5:$Q$3004,"&gt;0"))</f>
        <v/>
      </c>
      <c r="Q920" s="16" t="str">
        <f aca="false">IF(N(M920)=0,"",_xlfn.MINIFS(ENSAYOS!$Q$5:$Q$3004,ENSAYOS!$C$5:$C$3004,F920,ENSAYOS!$Q$5:$Q$3004,"&gt;0"))</f>
        <v/>
      </c>
      <c r="R920" s="16" t="str">
        <f aca="false">IF(N(M920)=0,"",_xlfn.MAXIFS(ENSAYOS!$Q$5:$Q$3004,ENSAYOS!$C$5:$C$3004,F920,ENSAYOS!$Q$5:$Q$3004,"&gt;0"))</f>
        <v/>
      </c>
      <c r="S920" s="16" t="str">
        <f aca="false">IF(N(M920)&lt;2,"",SQRT(MAX(0,(SUMIFS(ENSAYOS!$X$5:$X$3004,ENSAYOS!$C$5:$C$3004,F920,ENSAYOS!$Q$5:$Q$3004,"&gt;0")-M920*P920^2)/(M920-1))))</f>
        <v/>
      </c>
      <c r="T920" s="17" t="str">
        <f aca="false">IF(S920="","",S920/P920)</f>
        <v/>
      </c>
      <c r="U920" s="16" t="str">
        <f aca="false">IF(N(M920)=0,"",IF(N920&gt;=CONFIG!$B$27,"",AVERAGEIFS(ENSAYOS!$Q$5:$Q$3004,ENSAYOS!$C$5:$C$3004,F920,ENSAYOS!$Q$5:$Q$3004,"&gt;0",ENSAYOS!$G$5:$G$3004,N920)))</f>
        <v/>
      </c>
      <c r="V920" s="16" t="str">
        <f aca="false">IF(N(M920)=0,"",IF(COUNTIFS(ENSAYOS!$C$5:$C$3004,F920,ENSAYOS!$Q$5:$Q$3004,"&gt;0",ENSAYOS!$G$5:$G$3004,"&gt;="&amp;CONFIG!$B$27)=0,"",AVERAGEIFS(ENSAYOS!$Q$5:$Q$3004,ENSAYOS!$C$5:$C$3004,F920,ENSAYOS!$Q$5:$Q$3004,"&gt;0",ENSAYOS!$G$5:$G$3004,"&gt;="&amp;CONFIG!$B$27)))</f>
        <v/>
      </c>
      <c r="W920" s="18" t="str">
        <f aca="false">IF(AND(U920&lt;&gt;"",V920&lt;&gt;""),U920/V920,"")</f>
        <v/>
      </c>
      <c r="X920" s="18" t="str">
        <f aca="false">IF(U920="","",INDEX('CURVA EDAD'!$E$5:$E$32,MIN(28,MAX(1,N920))))</f>
        <v/>
      </c>
      <c r="Y920" s="16" t="str">
        <f aca="false">IF(V920&lt;&gt;"",V920,IF(U920="","",U920/X920))</f>
        <v/>
      </c>
      <c r="Z920" s="16" t="str">
        <f aca="false">IF(V920&lt;&gt;"",_xlfn.MINIFS(ENSAYOS!$Q$5:$Q$3004,ENSAYOS!$C$5:$C$3004,F920,ENSAYOS!$Q$5:$Q$3004,"&gt;0",ENSAYOS!$G$5:$G$3004,"&gt;="&amp;CONFIG!$B$27),IF(U920="","",_xlfn.MINIFS(ENSAYOS!$Q$5:$Q$3004,ENSAYOS!$C$5:$C$3004,F920,ENSAYOS!$Q$5:$Q$3004,"&gt;0",ENSAYOS!$G$5:$G$3004,N920)/X920))</f>
        <v/>
      </c>
      <c r="AA920" s="16" t="str">
        <f aca="false">IF(D920="","",IFERROR(1/(1/INDEX(CONFIG!$J$5:$J$14,MATCH(D920,CONFIG!$D$5:$D$14,0))),""))</f>
        <v/>
      </c>
      <c r="AB920" s="16" t="str">
        <f aca="false">IF(D920="","",IFERROR(1/(1/INDEX(CONFIG!$K$5:$K$14,MATCH(D920,CONFIG!$D$5:$D$14,0))),""))</f>
        <v/>
      </c>
      <c r="AC920" s="19" t="str">
        <f aca="false">IF(N(M920)=0,"",IF(AA920="","Sin spec",IF(AND(Y920&gt;=AA920,OR(AB920="",Z920&gt;=AB920)),"CUMPLE","NO CUMPLE")&amp;IF(V920=""," (est.)","")))</f>
        <v/>
      </c>
      <c r="AD920" s="20" t="str">
        <f aca="false">IF(F920="","",IF(COUNTIFS(ABSORCION!$C$5:$C$1004,F920,ABSORCION!$I$5:$I$1004,"&gt;0")=0,"",AVERAGEIFS(ABSORCION!$I$5:$I$1004,ABSORCION!$C$5:$C$1004,F920,ABSORCION!$I$5:$I$1004,"&gt;0")))</f>
        <v/>
      </c>
      <c r="AE920" s="20" t="str">
        <f aca="false">IF(F920="","",IF(COUNTIFS(ABSORCION!$C$5:$C$1004,F920,ABSORCION!$I$5:$I$1004,"&gt;0")=0,"",AVERAGEIFS(ABSORCION!$K$5:$K$1004,ABSORCION!$C$5:$C$1004,F920,ABSORCION!$I$5:$I$1004,"&gt;0")))</f>
        <v/>
      </c>
      <c r="AF920" s="20" t="str">
        <f aca="false">IF(AE920="","",IF(AE920&gt;=CONFIG!$E$21,CONFIG!$F$21,IF(AE920&gt;=CONFIG!$E$20,CONFIG!$F$20,CONFIG!$F$19)))</f>
        <v/>
      </c>
      <c r="AG920" s="21" t="str">
        <f aca="false">IF(F920="","",TRIM(IF(N(M920)=0,"Sin ensayos. ","")&amp;IF(AND(N(M920)&gt;0,N(M920)&lt;CONFIG!$B$26),"Menos de "&amp;CONFIG!$B$26&amp;" probetas. ","")&amp;IF(N(T920)&gt;CONFIG!$B$25,"CV alto. ","")&amp;IF(AND(N(AD920)&gt;0,N(AD920)&gt;N(AF920)),"Absorción alta. ","")))</f>
        <v/>
      </c>
      <c r="AH920" s="22" t="str">
        <f aca="false">IF(AND(N(M920)&gt;0,OR(CONTROL!$C$4="TODAS",C920=CONTROL!$C$4),D920=CONTROL!$C$5),MAX($AH$4:AH919)+1,"")</f>
        <v/>
      </c>
      <c r="AI920" s="22" t="str">
        <f aca="false">IF(AH920="","",P920^2)</f>
        <v/>
      </c>
    </row>
    <row r="921" customFormat="false" ht="15" hidden="false" customHeight="false" outlineLevel="0" collapsed="false">
      <c r="A921" s="11" t="str">
        <f aca="false">IF(B921="","",ROW()-4)</f>
        <v/>
      </c>
      <c r="B921" s="12"/>
      <c r="C921" s="13"/>
      <c r="D921" s="13"/>
      <c r="E921" s="13"/>
      <c r="F921" s="14" t="str">
        <f aca="false">IF(OR(B921="",C921="",D921=""),"",IFERROR(INDEX(CONFIG!$E$5:$E$14,MATCH(D921,CONFIG!$D$5:$D$14,0)),"?")&amp;RIGHT("0"&amp;DAY(B921),2)&amp;RIGHT("0"&amp;MONTH(B921),2)&amp;RIGHT(YEAR(B921),2)&amp;C921&amp;IF(E921="","","-"&amp;E921))</f>
        <v/>
      </c>
      <c r="G921" s="13"/>
      <c r="H921" s="13"/>
      <c r="I921" s="13"/>
      <c r="J921" s="13"/>
      <c r="K921" s="13"/>
      <c r="L921" s="13"/>
      <c r="M921" s="11" t="str">
        <f aca="false">IF(F921="","",COUNTIFS(ENSAYOS!$C$5:$C$3004,F921,ENSAYOS!$Q$5:$Q$3004,"&gt;0"))</f>
        <v/>
      </c>
      <c r="N921" s="15" t="str">
        <f aca="false">IF(N(M921)=0,"",_xlfn.MINIFS(ENSAYOS!$G$5:$G$3004,ENSAYOS!$C$5:$C$3004,F921,ENSAYOS!$Q$5:$Q$3004,"&gt;0"))</f>
        <v/>
      </c>
      <c r="O921" s="15" t="str">
        <f aca="false">IF(N(M921)=0,"",_xlfn.MAXIFS(ENSAYOS!$G$5:$G$3004,ENSAYOS!$C$5:$C$3004,F921,ENSAYOS!$Q$5:$Q$3004,"&gt;0"))</f>
        <v/>
      </c>
      <c r="P921" s="16" t="str">
        <f aca="false">IF(N(M921)=0,"",AVERAGEIFS(ENSAYOS!$Q$5:$Q$3004,ENSAYOS!$C$5:$C$3004,F921,ENSAYOS!$Q$5:$Q$3004,"&gt;0"))</f>
        <v/>
      </c>
      <c r="Q921" s="16" t="str">
        <f aca="false">IF(N(M921)=0,"",_xlfn.MINIFS(ENSAYOS!$Q$5:$Q$3004,ENSAYOS!$C$5:$C$3004,F921,ENSAYOS!$Q$5:$Q$3004,"&gt;0"))</f>
        <v/>
      </c>
      <c r="R921" s="16" t="str">
        <f aca="false">IF(N(M921)=0,"",_xlfn.MAXIFS(ENSAYOS!$Q$5:$Q$3004,ENSAYOS!$C$5:$C$3004,F921,ENSAYOS!$Q$5:$Q$3004,"&gt;0"))</f>
        <v/>
      </c>
      <c r="S921" s="16" t="str">
        <f aca="false">IF(N(M921)&lt;2,"",SQRT(MAX(0,(SUMIFS(ENSAYOS!$X$5:$X$3004,ENSAYOS!$C$5:$C$3004,F921,ENSAYOS!$Q$5:$Q$3004,"&gt;0")-M921*P921^2)/(M921-1))))</f>
        <v/>
      </c>
      <c r="T921" s="17" t="str">
        <f aca="false">IF(S921="","",S921/P921)</f>
        <v/>
      </c>
      <c r="U921" s="16" t="str">
        <f aca="false">IF(N(M921)=0,"",IF(N921&gt;=CONFIG!$B$27,"",AVERAGEIFS(ENSAYOS!$Q$5:$Q$3004,ENSAYOS!$C$5:$C$3004,F921,ENSAYOS!$Q$5:$Q$3004,"&gt;0",ENSAYOS!$G$5:$G$3004,N921)))</f>
        <v/>
      </c>
      <c r="V921" s="16" t="str">
        <f aca="false">IF(N(M921)=0,"",IF(COUNTIFS(ENSAYOS!$C$5:$C$3004,F921,ENSAYOS!$Q$5:$Q$3004,"&gt;0",ENSAYOS!$G$5:$G$3004,"&gt;="&amp;CONFIG!$B$27)=0,"",AVERAGEIFS(ENSAYOS!$Q$5:$Q$3004,ENSAYOS!$C$5:$C$3004,F921,ENSAYOS!$Q$5:$Q$3004,"&gt;0",ENSAYOS!$G$5:$G$3004,"&gt;="&amp;CONFIG!$B$27)))</f>
        <v/>
      </c>
      <c r="W921" s="18" t="str">
        <f aca="false">IF(AND(U921&lt;&gt;"",V921&lt;&gt;""),U921/V921,"")</f>
        <v/>
      </c>
      <c r="X921" s="18" t="str">
        <f aca="false">IF(U921="","",INDEX('CURVA EDAD'!$E$5:$E$32,MIN(28,MAX(1,N921))))</f>
        <v/>
      </c>
      <c r="Y921" s="16" t="str">
        <f aca="false">IF(V921&lt;&gt;"",V921,IF(U921="","",U921/X921))</f>
        <v/>
      </c>
      <c r="Z921" s="16" t="str">
        <f aca="false">IF(V921&lt;&gt;"",_xlfn.MINIFS(ENSAYOS!$Q$5:$Q$3004,ENSAYOS!$C$5:$C$3004,F921,ENSAYOS!$Q$5:$Q$3004,"&gt;0",ENSAYOS!$G$5:$G$3004,"&gt;="&amp;CONFIG!$B$27),IF(U921="","",_xlfn.MINIFS(ENSAYOS!$Q$5:$Q$3004,ENSAYOS!$C$5:$C$3004,F921,ENSAYOS!$Q$5:$Q$3004,"&gt;0",ENSAYOS!$G$5:$G$3004,N921)/X921))</f>
        <v/>
      </c>
      <c r="AA921" s="16" t="str">
        <f aca="false">IF(D921="","",IFERROR(1/(1/INDEX(CONFIG!$J$5:$J$14,MATCH(D921,CONFIG!$D$5:$D$14,0))),""))</f>
        <v/>
      </c>
      <c r="AB921" s="16" t="str">
        <f aca="false">IF(D921="","",IFERROR(1/(1/INDEX(CONFIG!$K$5:$K$14,MATCH(D921,CONFIG!$D$5:$D$14,0))),""))</f>
        <v/>
      </c>
      <c r="AC921" s="19" t="str">
        <f aca="false">IF(N(M921)=0,"",IF(AA921="","Sin spec",IF(AND(Y921&gt;=AA921,OR(AB921="",Z921&gt;=AB921)),"CUMPLE","NO CUMPLE")&amp;IF(V921=""," (est.)","")))</f>
        <v/>
      </c>
      <c r="AD921" s="20" t="str">
        <f aca="false">IF(F921="","",IF(COUNTIFS(ABSORCION!$C$5:$C$1004,F921,ABSORCION!$I$5:$I$1004,"&gt;0")=0,"",AVERAGEIFS(ABSORCION!$I$5:$I$1004,ABSORCION!$C$5:$C$1004,F921,ABSORCION!$I$5:$I$1004,"&gt;0")))</f>
        <v/>
      </c>
      <c r="AE921" s="20" t="str">
        <f aca="false">IF(F921="","",IF(COUNTIFS(ABSORCION!$C$5:$C$1004,F921,ABSORCION!$I$5:$I$1004,"&gt;0")=0,"",AVERAGEIFS(ABSORCION!$K$5:$K$1004,ABSORCION!$C$5:$C$1004,F921,ABSORCION!$I$5:$I$1004,"&gt;0")))</f>
        <v/>
      </c>
      <c r="AF921" s="20" t="str">
        <f aca="false">IF(AE921="","",IF(AE921&gt;=CONFIG!$E$21,CONFIG!$F$21,IF(AE921&gt;=CONFIG!$E$20,CONFIG!$F$20,CONFIG!$F$19)))</f>
        <v/>
      </c>
      <c r="AG921" s="21" t="str">
        <f aca="false">IF(F921="","",TRIM(IF(N(M921)=0,"Sin ensayos. ","")&amp;IF(AND(N(M921)&gt;0,N(M921)&lt;CONFIG!$B$26),"Menos de "&amp;CONFIG!$B$26&amp;" probetas. ","")&amp;IF(N(T921)&gt;CONFIG!$B$25,"CV alto. ","")&amp;IF(AND(N(AD921)&gt;0,N(AD921)&gt;N(AF921)),"Absorción alta. ","")))</f>
        <v/>
      </c>
      <c r="AH921" s="22" t="str">
        <f aca="false">IF(AND(N(M921)&gt;0,OR(CONTROL!$C$4="TODAS",C921=CONTROL!$C$4),D921=CONTROL!$C$5),MAX($AH$4:AH920)+1,"")</f>
        <v/>
      </c>
      <c r="AI921" s="22" t="str">
        <f aca="false">IF(AH921="","",P921^2)</f>
        <v/>
      </c>
    </row>
    <row r="922" customFormat="false" ht="15" hidden="false" customHeight="false" outlineLevel="0" collapsed="false">
      <c r="A922" s="11" t="str">
        <f aca="false">IF(B922="","",ROW()-4)</f>
        <v/>
      </c>
      <c r="B922" s="12"/>
      <c r="C922" s="13"/>
      <c r="D922" s="13"/>
      <c r="E922" s="13"/>
      <c r="F922" s="14" t="str">
        <f aca="false">IF(OR(B922="",C922="",D922=""),"",IFERROR(INDEX(CONFIG!$E$5:$E$14,MATCH(D922,CONFIG!$D$5:$D$14,0)),"?")&amp;RIGHT("0"&amp;DAY(B922),2)&amp;RIGHT("0"&amp;MONTH(B922),2)&amp;RIGHT(YEAR(B922),2)&amp;C922&amp;IF(E922="","","-"&amp;E922))</f>
        <v/>
      </c>
      <c r="G922" s="13"/>
      <c r="H922" s="13"/>
      <c r="I922" s="13"/>
      <c r="J922" s="13"/>
      <c r="K922" s="13"/>
      <c r="L922" s="13"/>
      <c r="M922" s="11" t="str">
        <f aca="false">IF(F922="","",COUNTIFS(ENSAYOS!$C$5:$C$3004,F922,ENSAYOS!$Q$5:$Q$3004,"&gt;0"))</f>
        <v/>
      </c>
      <c r="N922" s="15" t="str">
        <f aca="false">IF(N(M922)=0,"",_xlfn.MINIFS(ENSAYOS!$G$5:$G$3004,ENSAYOS!$C$5:$C$3004,F922,ENSAYOS!$Q$5:$Q$3004,"&gt;0"))</f>
        <v/>
      </c>
      <c r="O922" s="15" t="str">
        <f aca="false">IF(N(M922)=0,"",_xlfn.MAXIFS(ENSAYOS!$G$5:$G$3004,ENSAYOS!$C$5:$C$3004,F922,ENSAYOS!$Q$5:$Q$3004,"&gt;0"))</f>
        <v/>
      </c>
      <c r="P922" s="16" t="str">
        <f aca="false">IF(N(M922)=0,"",AVERAGEIFS(ENSAYOS!$Q$5:$Q$3004,ENSAYOS!$C$5:$C$3004,F922,ENSAYOS!$Q$5:$Q$3004,"&gt;0"))</f>
        <v/>
      </c>
      <c r="Q922" s="16" t="str">
        <f aca="false">IF(N(M922)=0,"",_xlfn.MINIFS(ENSAYOS!$Q$5:$Q$3004,ENSAYOS!$C$5:$C$3004,F922,ENSAYOS!$Q$5:$Q$3004,"&gt;0"))</f>
        <v/>
      </c>
      <c r="R922" s="16" t="str">
        <f aca="false">IF(N(M922)=0,"",_xlfn.MAXIFS(ENSAYOS!$Q$5:$Q$3004,ENSAYOS!$C$5:$C$3004,F922,ENSAYOS!$Q$5:$Q$3004,"&gt;0"))</f>
        <v/>
      </c>
      <c r="S922" s="16" t="str">
        <f aca="false">IF(N(M922)&lt;2,"",SQRT(MAX(0,(SUMIFS(ENSAYOS!$X$5:$X$3004,ENSAYOS!$C$5:$C$3004,F922,ENSAYOS!$Q$5:$Q$3004,"&gt;0")-M922*P922^2)/(M922-1))))</f>
        <v/>
      </c>
      <c r="T922" s="17" t="str">
        <f aca="false">IF(S922="","",S922/P922)</f>
        <v/>
      </c>
      <c r="U922" s="16" t="str">
        <f aca="false">IF(N(M922)=0,"",IF(N922&gt;=CONFIG!$B$27,"",AVERAGEIFS(ENSAYOS!$Q$5:$Q$3004,ENSAYOS!$C$5:$C$3004,F922,ENSAYOS!$Q$5:$Q$3004,"&gt;0",ENSAYOS!$G$5:$G$3004,N922)))</f>
        <v/>
      </c>
      <c r="V922" s="16" t="str">
        <f aca="false">IF(N(M922)=0,"",IF(COUNTIFS(ENSAYOS!$C$5:$C$3004,F922,ENSAYOS!$Q$5:$Q$3004,"&gt;0",ENSAYOS!$G$5:$G$3004,"&gt;="&amp;CONFIG!$B$27)=0,"",AVERAGEIFS(ENSAYOS!$Q$5:$Q$3004,ENSAYOS!$C$5:$C$3004,F922,ENSAYOS!$Q$5:$Q$3004,"&gt;0",ENSAYOS!$G$5:$G$3004,"&gt;="&amp;CONFIG!$B$27)))</f>
        <v/>
      </c>
      <c r="W922" s="18" t="str">
        <f aca="false">IF(AND(U922&lt;&gt;"",V922&lt;&gt;""),U922/V922,"")</f>
        <v/>
      </c>
      <c r="X922" s="18" t="str">
        <f aca="false">IF(U922="","",INDEX('CURVA EDAD'!$E$5:$E$32,MIN(28,MAX(1,N922))))</f>
        <v/>
      </c>
      <c r="Y922" s="16" t="str">
        <f aca="false">IF(V922&lt;&gt;"",V922,IF(U922="","",U922/X922))</f>
        <v/>
      </c>
      <c r="Z922" s="16" t="str">
        <f aca="false">IF(V922&lt;&gt;"",_xlfn.MINIFS(ENSAYOS!$Q$5:$Q$3004,ENSAYOS!$C$5:$C$3004,F922,ENSAYOS!$Q$5:$Q$3004,"&gt;0",ENSAYOS!$G$5:$G$3004,"&gt;="&amp;CONFIG!$B$27),IF(U922="","",_xlfn.MINIFS(ENSAYOS!$Q$5:$Q$3004,ENSAYOS!$C$5:$C$3004,F922,ENSAYOS!$Q$5:$Q$3004,"&gt;0",ENSAYOS!$G$5:$G$3004,N922)/X922))</f>
        <v/>
      </c>
      <c r="AA922" s="16" t="str">
        <f aca="false">IF(D922="","",IFERROR(1/(1/INDEX(CONFIG!$J$5:$J$14,MATCH(D922,CONFIG!$D$5:$D$14,0))),""))</f>
        <v/>
      </c>
      <c r="AB922" s="16" t="str">
        <f aca="false">IF(D922="","",IFERROR(1/(1/INDEX(CONFIG!$K$5:$K$14,MATCH(D922,CONFIG!$D$5:$D$14,0))),""))</f>
        <v/>
      </c>
      <c r="AC922" s="19" t="str">
        <f aca="false">IF(N(M922)=0,"",IF(AA922="","Sin spec",IF(AND(Y922&gt;=AA922,OR(AB922="",Z922&gt;=AB922)),"CUMPLE","NO CUMPLE")&amp;IF(V922=""," (est.)","")))</f>
        <v/>
      </c>
      <c r="AD922" s="20" t="str">
        <f aca="false">IF(F922="","",IF(COUNTIFS(ABSORCION!$C$5:$C$1004,F922,ABSORCION!$I$5:$I$1004,"&gt;0")=0,"",AVERAGEIFS(ABSORCION!$I$5:$I$1004,ABSORCION!$C$5:$C$1004,F922,ABSORCION!$I$5:$I$1004,"&gt;0")))</f>
        <v/>
      </c>
      <c r="AE922" s="20" t="str">
        <f aca="false">IF(F922="","",IF(COUNTIFS(ABSORCION!$C$5:$C$1004,F922,ABSORCION!$I$5:$I$1004,"&gt;0")=0,"",AVERAGEIFS(ABSORCION!$K$5:$K$1004,ABSORCION!$C$5:$C$1004,F922,ABSORCION!$I$5:$I$1004,"&gt;0")))</f>
        <v/>
      </c>
      <c r="AF922" s="20" t="str">
        <f aca="false">IF(AE922="","",IF(AE922&gt;=CONFIG!$E$21,CONFIG!$F$21,IF(AE922&gt;=CONFIG!$E$20,CONFIG!$F$20,CONFIG!$F$19)))</f>
        <v/>
      </c>
      <c r="AG922" s="21" t="str">
        <f aca="false">IF(F922="","",TRIM(IF(N(M922)=0,"Sin ensayos. ","")&amp;IF(AND(N(M922)&gt;0,N(M922)&lt;CONFIG!$B$26),"Menos de "&amp;CONFIG!$B$26&amp;" probetas. ","")&amp;IF(N(T922)&gt;CONFIG!$B$25,"CV alto. ","")&amp;IF(AND(N(AD922)&gt;0,N(AD922)&gt;N(AF922)),"Absorción alta. ","")))</f>
        <v/>
      </c>
      <c r="AH922" s="22" t="str">
        <f aca="false">IF(AND(N(M922)&gt;0,OR(CONTROL!$C$4="TODAS",C922=CONTROL!$C$4),D922=CONTROL!$C$5),MAX($AH$4:AH921)+1,"")</f>
        <v/>
      </c>
      <c r="AI922" s="22" t="str">
        <f aca="false">IF(AH922="","",P922^2)</f>
        <v/>
      </c>
    </row>
    <row r="923" customFormat="false" ht="15" hidden="false" customHeight="false" outlineLevel="0" collapsed="false">
      <c r="A923" s="11" t="str">
        <f aca="false">IF(B923="","",ROW()-4)</f>
        <v/>
      </c>
      <c r="B923" s="12"/>
      <c r="C923" s="13"/>
      <c r="D923" s="13"/>
      <c r="E923" s="13"/>
      <c r="F923" s="14" t="str">
        <f aca="false">IF(OR(B923="",C923="",D923=""),"",IFERROR(INDEX(CONFIG!$E$5:$E$14,MATCH(D923,CONFIG!$D$5:$D$14,0)),"?")&amp;RIGHT("0"&amp;DAY(B923),2)&amp;RIGHT("0"&amp;MONTH(B923),2)&amp;RIGHT(YEAR(B923),2)&amp;C923&amp;IF(E923="","","-"&amp;E923))</f>
        <v/>
      </c>
      <c r="G923" s="13"/>
      <c r="H923" s="13"/>
      <c r="I923" s="13"/>
      <c r="J923" s="13"/>
      <c r="K923" s="13"/>
      <c r="L923" s="13"/>
      <c r="M923" s="11" t="str">
        <f aca="false">IF(F923="","",COUNTIFS(ENSAYOS!$C$5:$C$3004,F923,ENSAYOS!$Q$5:$Q$3004,"&gt;0"))</f>
        <v/>
      </c>
      <c r="N923" s="15" t="str">
        <f aca="false">IF(N(M923)=0,"",_xlfn.MINIFS(ENSAYOS!$G$5:$G$3004,ENSAYOS!$C$5:$C$3004,F923,ENSAYOS!$Q$5:$Q$3004,"&gt;0"))</f>
        <v/>
      </c>
      <c r="O923" s="15" t="str">
        <f aca="false">IF(N(M923)=0,"",_xlfn.MAXIFS(ENSAYOS!$G$5:$G$3004,ENSAYOS!$C$5:$C$3004,F923,ENSAYOS!$Q$5:$Q$3004,"&gt;0"))</f>
        <v/>
      </c>
      <c r="P923" s="16" t="str">
        <f aca="false">IF(N(M923)=0,"",AVERAGEIFS(ENSAYOS!$Q$5:$Q$3004,ENSAYOS!$C$5:$C$3004,F923,ENSAYOS!$Q$5:$Q$3004,"&gt;0"))</f>
        <v/>
      </c>
      <c r="Q923" s="16" t="str">
        <f aca="false">IF(N(M923)=0,"",_xlfn.MINIFS(ENSAYOS!$Q$5:$Q$3004,ENSAYOS!$C$5:$C$3004,F923,ENSAYOS!$Q$5:$Q$3004,"&gt;0"))</f>
        <v/>
      </c>
      <c r="R923" s="16" t="str">
        <f aca="false">IF(N(M923)=0,"",_xlfn.MAXIFS(ENSAYOS!$Q$5:$Q$3004,ENSAYOS!$C$5:$C$3004,F923,ENSAYOS!$Q$5:$Q$3004,"&gt;0"))</f>
        <v/>
      </c>
      <c r="S923" s="16" t="str">
        <f aca="false">IF(N(M923)&lt;2,"",SQRT(MAX(0,(SUMIFS(ENSAYOS!$X$5:$X$3004,ENSAYOS!$C$5:$C$3004,F923,ENSAYOS!$Q$5:$Q$3004,"&gt;0")-M923*P923^2)/(M923-1))))</f>
        <v/>
      </c>
      <c r="T923" s="17" t="str">
        <f aca="false">IF(S923="","",S923/P923)</f>
        <v/>
      </c>
      <c r="U923" s="16" t="str">
        <f aca="false">IF(N(M923)=0,"",IF(N923&gt;=CONFIG!$B$27,"",AVERAGEIFS(ENSAYOS!$Q$5:$Q$3004,ENSAYOS!$C$5:$C$3004,F923,ENSAYOS!$Q$5:$Q$3004,"&gt;0",ENSAYOS!$G$5:$G$3004,N923)))</f>
        <v/>
      </c>
      <c r="V923" s="16" t="str">
        <f aca="false">IF(N(M923)=0,"",IF(COUNTIFS(ENSAYOS!$C$5:$C$3004,F923,ENSAYOS!$Q$5:$Q$3004,"&gt;0",ENSAYOS!$G$5:$G$3004,"&gt;="&amp;CONFIG!$B$27)=0,"",AVERAGEIFS(ENSAYOS!$Q$5:$Q$3004,ENSAYOS!$C$5:$C$3004,F923,ENSAYOS!$Q$5:$Q$3004,"&gt;0",ENSAYOS!$G$5:$G$3004,"&gt;="&amp;CONFIG!$B$27)))</f>
        <v/>
      </c>
      <c r="W923" s="18" t="str">
        <f aca="false">IF(AND(U923&lt;&gt;"",V923&lt;&gt;""),U923/V923,"")</f>
        <v/>
      </c>
      <c r="X923" s="18" t="str">
        <f aca="false">IF(U923="","",INDEX('CURVA EDAD'!$E$5:$E$32,MIN(28,MAX(1,N923))))</f>
        <v/>
      </c>
      <c r="Y923" s="16" t="str">
        <f aca="false">IF(V923&lt;&gt;"",V923,IF(U923="","",U923/X923))</f>
        <v/>
      </c>
      <c r="Z923" s="16" t="str">
        <f aca="false">IF(V923&lt;&gt;"",_xlfn.MINIFS(ENSAYOS!$Q$5:$Q$3004,ENSAYOS!$C$5:$C$3004,F923,ENSAYOS!$Q$5:$Q$3004,"&gt;0",ENSAYOS!$G$5:$G$3004,"&gt;="&amp;CONFIG!$B$27),IF(U923="","",_xlfn.MINIFS(ENSAYOS!$Q$5:$Q$3004,ENSAYOS!$C$5:$C$3004,F923,ENSAYOS!$Q$5:$Q$3004,"&gt;0",ENSAYOS!$G$5:$G$3004,N923)/X923))</f>
        <v/>
      </c>
      <c r="AA923" s="16" t="str">
        <f aca="false">IF(D923="","",IFERROR(1/(1/INDEX(CONFIG!$J$5:$J$14,MATCH(D923,CONFIG!$D$5:$D$14,0))),""))</f>
        <v/>
      </c>
      <c r="AB923" s="16" t="str">
        <f aca="false">IF(D923="","",IFERROR(1/(1/INDEX(CONFIG!$K$5:$K$14,MATCH(D923,CONFIG!$D$5:$D$14,0))),""))</f>
        <v/>
      </c>
      <c r="AC923" s="19" t="str">
        <f aca="false">IF(N(M923)=0,"",IF(AA923="","Sin spec",IF(AND(Y923&gt;=AA923,OR(AB923="",Z923&gt;=AB923)),"CUMPLE","NO CUMPLE")&amp;IF(V923=""," (est.)","")))</f>
        <v/>
      </c>
      <c r="AD923" s="20" t="str">
        <f aca="false">IF(F923="","",IF(COUNTIFS(ABSORCION!$C$5:$C$1004,F923,ABSORCION!$I$5:$I$1004,"&gt;0")=0,"",AVERAGEIFS(ABSORCION!$I$5:$I$1004,ABSORCION!$C$5:$C$1004,F923,ABSORCION!$I$5:$I$1004,"&gt;0")))</f>
        <v/>
      </c>
      <c r="AE923" s="20" t="str">
        <f aca="false">IF(F923="","",IF(COUNTIFS(ABSORCION!$C$5:$C$1004,F923,ABSORCION!$I$5:$I$1004,"&gt;0")=0,"",AVERAGEIFS(ABSORCION!$K$5:$K$1004,ABSORCION!$C$5:$C$1004,F923,ABSORCION!$I$5:$I$1004,"&gt;0")))</f>
        <v/>
      </c>
      <c r="AF923" s="20" t="str">
        <f aca="false">IF(AE923="","",IF(AE923&gt;=CONFIG!$E$21,CONFIG!$F$21,IF(AE923&gt;=CONFIG!$E$20,CONFIG!$F$20,CONFIG!$F$19)))</f>
        <v/>
      </c>
      <c r="AG923" s="21" t="str">
        <f aca="false">IF(F923="","",TRIM(IF(N(M923)=0,"Sin ensayos. ","")&amp;IF(AND(N(M923)&gt;0,N(M923)&lt;CONFIG!$B$26),"Menos de "&amp;CONFIG!$B$26&amp;" probetas. ","")&amp;IF(N(T923)&gt;CONFIG!$B$25,"CV alto. ","")&amp;IF(AND(N(AD923)&gt;0,N(AD923)&gt;N(AF923)),"Absorción alta. ","")))</f>
        <v/>
      </c>
      <c r="AH923" s="22" t="str">
        <f aca="false">IF(AND(N(M923)&gt;0,OR(CONTROL!$C$4="TODAS",C923=CONTROL!$C$4),D923=CONTROL!$C$5),MAX($AH$4:AH922)+1,"")</f>
        <v/>
      </c>
      <c r="AI923" s="22" t="str">
        <f aca="false">IF(AH923="","",P923^2)</f>
        <v/>
      </c>
    </row>
    <row r="924" customFormat="false" ht="15" hidden="false" customHeight="false" outlineLevel="0" collapsed="false">
      <c r="A924" s="11" t="str">
        <f aca="false">IF(B924="","",ROW()-4)</f>
        <v/>
      </c>
      <c r="B924" s="12"/>
      <c r="C924" s="13"/>
      <c r="D924" s="13"/>
      <c r="E924" s="13"/>
      <c r="F924" s="14" t="str">
        <f aca="false">IF(OR(B924="",C924="",D924=""),"",IFERROR(INDEX(CONFIG!$E$5:$E$14,MATCH(D924,CONFIG!$D$5:$D$14,0)),"?")&amp;RIGHT("0"&amp;DAY(B924),2)&amp;RIGHT("0"&amp;MONTH(B924),2)&amp;RIGHT(YEAR(B924),2)&amp;C924&amp;IF(E924="","","-"&amp;E924))</f>
        <v/>
      </c>
      <c r="G924" s="13"/>
      <c r="H924" s="13"/>
      <c r="I924" s="13"/>
      <c r="J924" s="13"/>
      <c r="K924" s="13"/>
      <c r="L924" s="13"/>
      <c r="M924" s="11" t="str">
        <f aca="false">IF(F924="","",COUNTIFS(ENSAYOS!$C$5:$C$3004,F924,ENSAYOS!$Q$5:$Q$3004,"&gt;0"))</f>
        <v/>
      </c>
      <c r="N924" s="15" t="str">
        <f aca="false">IF(N(M924)=0,"",_xlfn.MINIFS(ENSAYOS!$G$5:$G$3004,ENSAYOS!$C$5:$C$3004,F924,ENSAYOS!$Q$5:$Q$3004,"&gt;0"))</f>
        <v/>
      </c>
      <c r="O924" s="15" t="str">
        <f aca="false">IF(N(M924)=0,"",_xlfn.MAXIFS(ENSAYOS!$G$5:$G$3004,ENSAYOS!$C$5:$C$3004,F924,ENSAYOS!$Q$5:$Q$3004,"&gt;0"))</f>
        <v/>
      </c>
      <c r="P924" s="16" t="str">
        <f aca="false">IF(N(M924)=0,"",AVERAGEIFS(ENSAYOS!$Q$5:$Q$3004,ENSAYOS!$C$5:$C$3004,F924,ENSAYOS!$Q$5:$Q$3004,"&gt;0"))</f>
        <v/>
      </c>
      <c r="Q924" s="16" t="str">
        <f aca="false">IF(N(M924)=0,"",_xlfn.MINIFS(ENSAYOS!$Q$5:$Q$3004,ENSAYOS!$C$5:$C$3004,F924,ENSAYOS!$Q$5:$Q$3004,"&gt;0"))</f>
        <v/>
      </c>
      <c r="R924" s="16" t="str">
        <f aca="false">IF(N(M924)=0,"",_xlfn.MAXIFS(ENSAYOS!$Q$5:$Q$3004,ENSAYOS!$C$5:$C$3004,F924,ENSAYOS!$Q$5:$Q$3004,"&gt;0"))</f>
        <v/>
      </c>
      <c r="S924" s="16" t="str">
        <f aca="false">IF(N(M924)&lt;2,"",SQRT(MAX(0,(SUMIFS(ENSAYOS!$X$5:$X$3004,ENSAYOS!$C$5:$C$3004,F924,ENSAYOS!$Q$5:$Q$3004,"&gt;0")-M924*P924^2)/(M924-1))))</f>
        <v/>
      </c>
      <c r="T924" s="17" t="str">
        <f aca="false">IF(S924="","",S924/P924)</f>
        <v/>
      </c>
      <c r="U924" s="16" t="str">
        <f aca="false">IF(N(M924)=0,"",IF(N924&gt;=CONFIG!$B$27,"",AVERAGEIFS(ENSAYOS!$Q$5:$Q$3004,ENSAYOS!$C$5:$C$3004,F924,ENSAYOS!$Q$5:$Q$3004,"&gt;0",ENSAYOS!$G$5:$G$3004,N924)))</f>
        <v/>
      </c>
      <c r="V924" s="16" t="str">
        <f aca="false">IF(N(M924)=0,"",IF(COUNTIFS(ENSAYOS!$C$5:$C$3004,F924,ENSAYOS!$Q$5:$Q$3004,"&gt;0",ENSAYOS!$G$5:$G$3004,"&gt;="&amp;CONFIG!$B$27)=0,"",AVERAGEIFS(ENSAYOS!$Q$5:$Q$3004,ENSAYOS!$C$5:$C$3004,F924,ENSAYOS!$Q$5:$Q$3004,"&gt;0",ENSAYOS!$G$5:$G$3004,"&gt;="&amp;CONFIG!$B$27)))</f>
        <v/>
      </c>
      <c r="W924" s="18" t="str">
        <f aca="false">IF(AND(U924&lt;&gt;"",V924&lt;&gt;""),U924/V924,"")</f>
        <v/>
      </c>
      <c r="X924" s="18" t="str">
        <f aca="false">IF(U924="","",INDEX('CURVA EDAD'!$E$5:$E$32,MIN(28,MAX(1,N924))))</f>
        <v/>
      </c>
      <c r="Y924" s="16" t="str">
        <f aca="false">IF(V924&lt;&gt;"",V924,IF(U924="","",U924/X924))</f>
        <v/>
      </c>
      <c r="Z924" s="16" t="str">
        <f aca="false">IF(V924&lt;&gt;"",_xlfn.MINIFS(ENSAYOS!$Q$5:$Q$3004,ENSAYOS!$C$5:$C$3004,F924,ENSAYOS!$Q$5:$Q$3004,"&gt;0",ENSAYOS!$G$5:$G$3004,"&gt;="&amp;CONFIG!$B$27),IF(U924="","",_xlfn.MINIFS(ENSAYOS!$Q$5:$Q$3004,ENSAYOS!$C$5:$C$3004,F924,ENSAYOS!$Q$5:$Q$3004,"&gt;0",ENSAYOS!$G$5:$G$3004,N924)/X924))</f>
        <v/>
      </c>
      <c r="AA924" s="16" t="str">
        <f aca="false">IF(D924="","",IFERROR(1/(1/INDEX(CONFIG!$J$5:$J$14,MATCH(D924,CONFIG!$D$5:$D$14,0))),""))</f>
        <v/>
      </c>
      <c r="AB924" s="16" t="str">
        <f aca="false">IF(D924="","",IFERROR(1/(1/INDEX(CONFIG!$K$5:$K$14,MATCH(D924,CONFIG!$D$5:$D$14,0))),""))</f>
        <v/>
      </c>
      <c r="AC924" s="19" t="str">
        <f aca="false">IF(N(M924)=0,"",IF(AA924="","Sin spec",IF(AND(Y924&gt;=AA924,OR(AB924="",Z924&gt;=AB924)),"CUMPLE","NO CUMPLE")&amp;IF(V924=""," (est.)","")))</f>
        <v/>
      </c>
      <c r="AD924" s="20" t="str">
        <f aca="false">IF(F924="","",IF(COUNTIFS(ABSORCION!$C$5:$C$1004,F924,ABSORCION!$I$5:$I$1004,"&gt;0")=0,"",AVERAGEIFS(ABSORCION!$I$5:$I$1004,ABSORCION!$C$5:$C$1004,F924,ABSORCION!$I$5:$I$1004,"&gt;0")))</f>
        <v/>
      </c>
      <c r="AE924" s="20" t="str">
        <f aca="false">IF(F924="","",IF(COUNTIFS(ABSORCION!$C$5:$C$1004,F924,ABSORCION!$I$5:$I$1004,"&gt;0")=0,"",AVERAGEIFS(ABSORCION!$K$5:$K$1004,ABSORCION!$C$5:$C$1004,F924,ABSORCION!$I$5:$I$1004,"&gt;0")))</f>
        <v/>
      </c>
      <c r="AF924" s="20" t="str">
        <f aca="false">IF(AE924="","",IF(AE924&gt;=CONFIG!$E$21,CONFIG!$F$21,IF(AE924&gt;=CONFIG!$E$20,CONFIG!$F$20,CONFIG!$F$19)))</f>
        <v/>
      </c>
      <c r="AG924" s="21" t="str">
        <f aca="false">IF(F924="","",TRIM(IF(N(M924)=0,"Sin ensayos. ","")&amp;IF(AND(N(M924)&gt;0,N(M924)&lt;CONFIG!$B$26),"Menos de "&amp;CONFIG!$B$26&amp;" probetas. ","")&amp;IF(N(T924)&gt;CONFIG!$B$25,"CV alto. ","")&amp;IF(AND(N(AD924)&gt;0,N(AD924)&gt;N(AF924)),"Absorción alta. ","")))</f>
        <v/>
      </c>
      <c r="AH924" s="22" t="str">
        <f aca="false">IF(AND(N(M924)&gt;0,OR(CONTROL!$C$4="TODAS",C924=CONTROL!$C$4),D924=CONTROL!$C$5),MAX($AH$4:AH923)+1,"")</f>
        <v/>
      </c>
      <c r="AI924" s="22" t="str">
        <f aca="false">IF(AH924="","",P924^2)</f>
        <v/>
      </c>
    </row>
    <row r="925" customFormat="false" ht="15" hidden="false" customHeight="false" outlineLevel="0" collapsed="false">
      <c r="A925" s="11" t="str">
        <f aca="false">IF(B925="","",ROW()-4)</f>
        <v/>
      </c>
      <c r="B925" s="12"/>
      <c r="C925" s="13"/>
      <c r="D925" s="13"/>
      <c r="E925" s="13"/>
      <c r="F925" s="14" t="str">
        <f aca="false">IF(OR(B925="",C925="",D925=""),"",IFERROR(INDEX(CONFIG!$E$5:$E$14,MATCH(D925,CONFIG!$D$5:$D$14,0)),"?")&amp;RIGHT("0"&amp;DAY(B925),2)&amp;RIGHT("0"&amp;MONTH(B925),2)&amp;RIGHT(YEAR(B925),2)&amp;C925&amp;IF(E925="","","-"&amp;E925))</f>
        <v/>
      </c>
      <c r="G925" s="13"/>
      <c r="H925" s="13"/>
      <c r="I925" s="13"/>
      <c r="J925" s="13"/>
      <c r="K925" s="13"/>
      <c r="L925" s="13"/>
      <c r="M925" s="11" t="str">
        <f aca="false">IF(F925="","",COUNTIFS(ENSAYOS!$C$5:$C$3004,F925,ENSAYOS!$Q$5:$Q$3004,"&gt;0"))</f>
        <v/>
      </c>
      <c r="N925" s="15" t="str">
        <f aca="false">IF(N(M925)=0,"",_xlfn.MINIFS(ENSAYOS!$G$5:$G$3004,ENSAYOS!$C$5:$C$3004,F925,ENSAYOS!$Q$5:$Q$3004,"&gt;0"))</f>
        <v/>
      </c>
      <c r="O925" s="15" t="str">
        <f aca="false">IF(N(M925)=0,"",_xlfn.MAXIFS(ENSAYOS!$G$5:$G$3004,ENSAYOS!$C$5:$C$3004,F925,ENSAYOS!$Q$5:$Q$3004,"&gt;0"))</f>
        <v/>
      </c>
      <c r="P925" s="16" t="str">
        <f aca="false">IF(N(M925)=0,"",AVERAGEIFS(ENSAYOS!$Q$5:$Q$3004,ENSAYOS!$C$5:$C$3004,F925,ENSAYOS!$Q$5:$Q$3004,"&gt;0"))</f>
        <v/>
      </c>
      <c r="Q925" s="16" t="str">
        <f aca="false">IF(N(M925)=0,"",_xlfn.MINIFS(ENSAYOS!$Q$5:$Q$3004,ENSAYOS!$C$5:$C$3004,F925,ENSAYOS!$Q$5:$Q$3004,"&gt;0"))</f>
        <v/>
      </c>
      <c r="R925" s="16" t="str">
        <f aca="false">IF(N(M925)=0,"",_xlfn.MAXIFS(ENSAYOS!$Q$5:$Q$3004,ENSAYOS!$C$5:$C$3004,F925,ENSAYOS!$Q$5:$Q$3004,"&gt;0"))</f>
        <v/>
      </c>
      <c r="S925" s="16" t="str">
        <f aca="false">IF(N(M925)&lt;2,"",SQRT(MAX(0,(SUMIFS(ENSAYOS!$X$5:$X$3004,ENSAYOS!$C$5:$C$3004,F925,ENSAYOS!$Q$5:$Q$3004,"&gt;0")-M925*P925^2)/(M925-1))))</f>
        <v/>
      </c>
      <c r="T925" s="17" t="str">
        <f aca="false">IF(S925="","",S925/P925)</f>
        <v/>
      </c>
      <c r="U925" s="16" t="str">
        <f aca="false">IF(N(M925)=0,"",IF(N925&gt;=CONFIG!$B$27,"",AVERAGEIFS(ENSAYOS!$Q$5:$Q$3004,ENSAYOS!$C$5:$C$3004,F925,ENSAYOS!$Q$5:$Q$3004,"&gt;0",ENSAYOS!$G$5:$G$3004,N925)))</f>
        <v/>
      </c>
      <c r="V925" s="16" t="str">
        <f aca="false">IF(N(M925)=0,"",IF(COUNTIFS(ENSAYOS!$C$5:$C$3004,F925,ENSAYOS!$Q$5:$Q$3004,"&gt;0",ENSAYOS!$G$5:$G$3004,"&gt;="&amp;CONFIG!$B$27)=0,"",AVERAGEIFS(ENSAYOS!$Q$5:$Q$3004,ENSAYOS!$C$5:$C$3004,F925,ENSAYOS!$Q$5:$Q$3004,"&gt;0",ENSAYOS!$G$5:$G$3004,"&gt;="&amp;CONFIG!$B$27)))</f>
        <v/>
      </c>
      <c r="W925" s="18" t="str">
        <f aca="false">IF(AND(U925&lt;&gt;"",V925&lt;&gt;""),U925/V925,"")</f>
        <v/>
      </c>
      <c r="X925" s="18" t="str">
        <f aca="false">IF(U925="","",INDEX('CURVA EDAD'!$E$5:$E$32,MIN(28,MAX(1,N925))))</f>
        <v/>
      </c>
      <c r="Y925" s="16" t="str">
        <f aca="false">IF(V925&lt;&gt;"",V925,IF(U925="","",U925/X925))</f>
        <v/>
      </c>
      <c r="Z925" s="16" t="str">
        <f aca="false">IF(V925&lt;&gt;"",_xlfn.MINIFS(ENSAYOS!$Q$5:$Q$3004,ENSAYOS!$C$5:$C$3004,F925,ENSAYOS!$Q$5:$Q$3004,"&gt;0",ENSAYOS!$G$5:$G$3004,"&gt;="&amp;CONFIG!$B$27),IF(U925="","",_xlfn.MINIFS(ENSAYOS!$Q$5:$Q$3004,ENSAYOS!$C$5:$C$3004,F925,ENSAYOS!$Q$5:$Q$3004,"&gt;0",ENSAYOS!$G$5:$G$3004,N925)/X925))</f>
        <v/>
      </c>
      <c r="AA925" s="16" t="str">
        <f aca="false">IF(D925="","",IFERROR(1/(1/INDEX(CONFIG!$J$5:$J$14,MATCH(D925,CONFIG!$D$5:$D$14,0))),""))</f>
        <v/>
      </c>
      <c r="AB925" s="16" t="str">
        <f aca="false">IF(D925="","",IFERROR(1/(1/INDEX(CONFIG!$K$5:$K$14,MATCH(D925,CONFIG!$D$5:$D$14,0))),""))</f>
        <v/>
      </c>
      <c r="AC925" s="19" t="str">
        <f aca="false">IF(N(M925)=0,"",IF(AA925="","Sin spec",IF(AND(Y925&gt;=AA925,OR(AB925="",Z925&gt;=AB925)),"CUMPLE","NO CUMPLE")&amp;IF(V925=""," (est.)","")))</f>
        <v/>
      </c>
      <c r="AD925" s="20" t="str">
        <f aca="false">IF(F925="","",IF(COUNTIFS(ABSORCION!$C$5:$C$1004,F925,ABSORCION!$I$5:$I$1004,"&gt;0")=0,"",AVERAGEIFS(ABSORCION!$I$5:$I$1004,ABSORCION!$C$5:$C$1004,F925,ABSORCION!$I$5:$I$1004,"&gt;0")))</f>
        <v/>
      </c>
      <c r="AE925" s="20" t="str">
        <f aca="false">IF(F925="","",IF(COUNTIFS(ABSORCION!$C$5:$C$1004,F925,ABSORCION!$I$5:$I$1004,"&gt;0")=0,"",AVERAGEIFS(ABSORCION!$K$5:$K$1004,ABSORCION!$C$5:$C$1004,F925,ABSORCION!$I$5:$I$1004,"&gt;0")))</f>
        <v/>
      </c>
      <c r="AF925" s="20" t="str">
        <f aca="false">IF(AE925="","",IF(AE925&gt;=CONFIG!$E$21,CONFIG!$F$21,IF(AE925&gt;=CONFIG!$E$20,CONFIG!$F$20,CONFIG!$F$19)))</f>
        <v/>
      </c>
      <c r="AG925" s="21" t="str">
        <f aca="false">IF(F925="","",TRIM(IF(N(M925)=0,"Sin ensayos. ","")&amp;IF(AND(N(M925)&gt;0,N(M925)&lt;CONFIG!$B$26),"Menos de "&amp;CONFIG!$B$26&amp;" probetas. ","")&amp;IF(N(T925)&gt;CONFIG!$B$25,"CV alto. ","")&amp;IF(AND(N(AD925)&gt;0,N(AD925)&gt;N(AF925)),"Absorción alta. ","")))</f>
        <v/>
      </c>
      <c r="AH925" s="22" t="str">
        <f aca="false">IF(AND(N(M925)&gt;0,OR(CONTROL!$C$4="TODAS",C925=CONTROL!$C$4),D925=CONTROL!$C$5),MAX($AH$4:AH924)+1,"")</f>
        <v/>
      </c>
      <c r="AI925" s="22" t="str">
        <f aca="false">IF(AH925="","",P925^2)</f>
        <v/>
      </c>
    </row>
    <row r="926" customFormat="false" ht="15" hidden="false" customHeight="false" outlineLevel="0" collapsed="false">
      <c r="A926" s="11" t="str">
        <f aca="false">IF(B926="","",ROW()-4)</f>
        <v/>
      </c>
      <c r="B926" s="12"/>
      <c r="C926" s="13"/>
      <c r="D926" s="13"/>
      <c r="E926" s="13"/>
      <c r="F926" s="14" t="str">
        <f aca="false">IF(OR(B926="",C926="",D926=""),"",IFERROR(INDEX(CONFIG!$E$5:$E$14,MATCH(D926,CONFIG!$D$5:$D$14,0)),"?")&amp;RIGHT("0"&amp;DAY(B926),2)&amp;RIGHT("0"&amp;MONTH(B926),2)&amp;RIGHT(YEAR(B926),2)&amp;C926&amp;IF(E926="","","-"&amp;E926))</f>
        <v/>
      </c>
      <c r="G926" s="13"/>
      <c r="H926" s="13"/>
      <c r="I926" s="13"/>
      <c r="J926" s="13"/>
      <c r="K926" s="13"/>
      <c r="L926" s="13"/>
      <c r="M926" s="11" t="str">
        <f aca="false">IF(F926="","",COUNTIFS(ENSAYOS!$C$5:$C$3004,F926,ENSAYOS!$Q$5:$Q$3004,"&gt;0"))</f>
        <v/>
      </c>
      <c r="N926" s="15" t="str">
        <f aca="false">IF(N(M926)=0,"",_xlfn.MINIFS(ENSAYOS!$G$5:$G$3004,ENSAYOS!$C$5:$C$3004,F926,ENSAYOS!$Q$5:$Q$3004,"&gt;0"))</f>
        <v/>
      </c>
      <c r="O926" s="15" t="str">
        <f aca="false">IF(N(M926)=0,"",_xlfn.MAXIFS(ENSAYOS!$G$5:$G$3004,ENSAYOS!$C$5:$C$3004,F926,ENSAYOS!$Q$5:$Q$3004,"&gt;0"))</f>
        <v/>
      </c>
      <c r="P926" s="16" t="str">
        <f aca="false">IF(N(M926)=0,"",AVERAGEIFS(ENSAYOS!$Q$5:$Q$3004,ENSAYOS!$C$5:$C$3004,F926,ENSAYOS!$Q$5:$Q$3004,"&gt;0"))</f>
        <v/>
      </c>
      <c r="Q926" s="16" t="str">
        <f aca="false">IF(N(M926)=0,"",_xlfn.MINIFS(ENSAYOS!$Q$5:$Q$3004,ENSAYOS!$C$5:$C$3004,F926,ENSAYOS!$Q$5:$Q$3004,"&gt;0"))</f>
        <v/>
      </c>
      <c r="R926" s="16" t="str">
        <f aca="false">IF(N(M926)=0,"",_xlfn.MAXIFS(ENSAYOS!$Q$5:$Q$3004,ENSAYOS!$C$5:$C$3004,F926,ENSAYOS!$Q$5:$Q$3004,"&gt;0"))</f>
        <v/>
      </c>
      <c r="S926" s="16" t="str">
        <f aca="false">IF(N(M926)&lt;2,"",SQRT(MAX(0,(SUMIFS(ENSAYOS!$X$5:$X$3004,ENSAYOS!$C$5:$C$3004,F926,ENSAYOS!$Q$5:$Q$3004,"&gt;0")-M926*P926^2)/(M926-1))))</f>
        <v/>
      </c>
      <c r="T926" s="17" t="str">
        <f aca="false">IF(S926="","",S926/P926)</f>
        <v/>
      </c>
      <c r="U926" s="16" t="str">
        <f aca="false">IF(N(M926)=0,"",IF(N926&gt;=CONFIG!$B$27,"",AVERAGEIFS(ENSAYOS!$Q$5:$Q$3004,ENSAYOS!$C$5:$C$3004,F926,ENSAYOS!$Q$5:$Q$3004,"&gt;0",ENSAYOS!$G$5:$G$3004,N926)))</f>
        <v/>
      </c>
      <c r="V926" s="16" t="str">
        <f aca="false">IF(N(M926)=0,"",IF(COUNTIFS(ENSAYOS!$C$5:$C$3004,F926,ENSAYOS!$Q$5:$Q$3004,"&gt;0",ENSAYOS!$G$5:$G$3004,"&gt;="&amp;CONFIG!$B$27)=0,"",AVERAGEIFS(ENSAYOS!$Q$5:$Q$3004,ENSAYOS!$C$5:$C$3004,F926,ENSAYOS!$Q$5:$Q$3004,"&gt;0",ENSAYOS!$G$5:$G$3004,"&gt;="&amp;CONFIG!$B$27)))</f>
        <v/>
      </c>
      <c r="W926" s="18" t="str">
        <f aca="false">IF(AND(U926&lt;&gt;"",V926&lt;&gt;""),U926/V926,"")</f>
        <v/>
      </c>
      <c r="X926" s="18" t="str">
        <f aca="false">IF(U926="","",INDEX('CURVA EDAD'!$E$5:$E$32,MIN(28,MAX(1,N926))))</f>
        <v/>
      </c>
      <c r="Y926" s="16" t="str">
        <f aca="false">IF(V926&lt;&gt;"",V926,IF(U926="","",U926/X926))</f>
        <v/>
      </c>
      <c r="Z926" s="16" t="str">
        <f aca="false">IF(V926&lt;&gt;"",_xlfn.MINIFS(ENSAYOS!$Q$5:$Q$3004,ENSAYOS!$C$5:$C$3004,F926,ENSAYOS!$Q$5:$Q$3004,"&gt;0",ENSAYOS!$G$5:$G$3004,"&gt;="&amp;CONFIG!$B$27),IF(U926="","",_xlfn.MINIFS(ENSAYOS!$Q$5:$Q$3004,ENSAYOS!$C$5:$C$3004,F926,ENSAYOS!$Q$5:$Q$3004,"&gt;0",ENSAYOS!$G$5:$G$3004,N926)/X926))</f>
        <v/>
      </c>
      <c r="AA926" s="16" t="str">
        <f aca="false">IF(D926="","",IFERROR(1/(1/INDEX(CONFIG!$J$5:$J$14,MATCH(D926,CONFIG!$D$5:$D$14,0))),""))</f>
        <v/>
      </c>
      <c r="AB926" s="16" t="str">
        <f aca="false">IF(D926="","",IFERROR(1/(1/INDEX(CONFIG!$K$5:$K$14,MATCH(D926,CONFIG!$D$5:$D$14,0))),""))</f>
        <v/>
      </c>
      <c r="AC926" s="19" t="str">
        <f aca="false">IF(N(M926)=0,"",IF(AA926="","Sin spec",IF(AND(Y926&gt;=AA926,OR(AB926="",Z926&gt;=AB926)),"CUMPLE","NO CUMPLE")&amp;IF(V926=""," (est.)","")))</f>
        <v/>
      </c>
      <c r="AD926" s="20" t="str">
        <f aca="false">IF(F926="","",IF(COUNTIFS(ABSORCION!$C$5:$C$1004,F926,ABSORCION!$I$5:$I$1004,"&gt;0")=0,"",AVERAGEIFS(ABSORCION!$I$5:$I$1004,ABSORCION!$C$5:$C$1004,F926,ABSORCION!$I$5:$I$1004,"&gt;0")))</f>
        <v/>
      </c>
      <c r="AE926" s="20" t="str">
        <f aca="false">IF(F926="","",IF(COUNTIFS(ABSORCION!$C$5:$C$1004,F926,ABSORCION!$I$5:$I$1004,"&gt;0")=0,"",AVERAGEIFS(ABSORCION!$K$5:$K$1004,ABSORCION!$C$5:$C$1004,F926,ABSORCION!$I$5:$I$1004,"&gt;0")))</f>
        <v/>
      </c>
      <c r="AF926" s="20" t="str">
        <f aca="false">IF(AE926="","",IF(AE926&gt;=CONFIG!$E$21,CONFIG!$F$21,IF(AE926&gt;=CONFIG!$E$20,CONFIG!$F$20,CONFIG!$F$19)))</f>
        <v/>
      </c>
      <c r="AG926" s="21" t="str">
        <f aca="false">IF(F926="","",TRIM(IF(N(M926)=0,"Sin ensayos. ","")&amp;IF(AND(N(M926)&gt;0,N(M926)&lt;CONFIG!$B$26),"Menos de "&amp;CONFIG!$B$26&amp;" probetas. ","")&amp;IF(N(T926)&gt;CONFIG!$B$25,"CV alto. ","")&amp;IF(AND(N(AD926)&gt;0,N(AD926)&gt;N(AF926)),"Absorción alta. ","")))</f>
        <v/>
      </c>
      <c r="AH926" s="22" t="str">
        <f aca="false">IF(AND(N(M926)&gt;0,OR(CONTROL!$C$4="TODAS",C926=CONTROL!$C$4),D926=CONTROL!$C$5),MAX($AH$4:AH925)+1,"")</f>
        <v/>
      </c>
      <c r="AI926" s="22" t="str">
        <f aca="false">IF(AH926="","",P926^2)</f>
        <v/>
      </c>
    </row>
    <row r="927" customFormat="false" ht="15" hidden="false" customHeight="false" outlineLevel="0" collapsed="false">
      <c r="A927" s="11" t="str">
        <f aca="false">IF(B927="","",ROW()-4)</f>
        <v/>
      </c>
      <c r="B927" s="12"/>
      <c r="C927" s="13"/>
      <c r="D927" s="13"/>
      <c r="E927" s="13"/>
      <c r="F927" s="14" t="str">
        <f aca="false">IF(OR(B927="",C927="",D927=""),"",IFERROR(INDEX(CONFIG!$E$5:$E$14,MATCH(D927,CONFIG!$D$5:$D$14,0)),"?")&amp;RIGHT("0"&amp;DAY(B927),2)&amp;RIGHT("0"&amp;MONTH(B927),2)&amp;RIGHT(YEAR(B927),2)&amp;C927&amp;IF(E927="","","-"&amp;E927))</f>
        <v/>
      </c>
      <c r="G927" s="13"/>
      <c r="H927" s="13"/>
      <c r="I927" s="13"/>
      <c r="J927" s="13"/>
      <c r="K927" s="13"/>
      <c r="L927" s="13"/>
      <c r="M927" s="11" t="str">
        <f aca="false">IF(F927="","",COUNTIFS(ENSAYOS!$C$5:$C$3004,F927,ENSAYOS!$Q$5:$Q$3004,"&gt;0"))</f>
        <v/>
      </c>
      <c r="N927" s="15" t="str">
        <f aca="false">IF(N(M927)=0,"",_xlfn.MINIFS(ENSAYOS!$G$5:$G$3004,ENSAYOS!$C$5:$C$3004,F927,ENSAYOS!$Q$5:$Q$3004,"&gt;0"))</f>
        <v/>
      </c>
      <c r="O927" s="15" t="str">
        <f aca="false">IF(N(M927)=0,"",_xlfn.MAXIFS(ENSAYOS!$G$5:$G$3004,ENSAYOS!$C$5:$C$3004,F927,ENSAYOS!$Q$5:$Q$3004,"&gt;0"))</f>
        <v/>
      </c>
      <c r="P927" s="16" t="str">
        <f aca="false">IF(N(M927)=0,"",AVERAGEIFS(ENSAYOS!$Q$5:$Q$3004,ENSAYOS!$C$5:$C$3004,F927,ENSAYOS!$Q$5:$Q$3004,"&gt;0"))</f>
        <v/>
      </c>
      <c r="Q927" s="16" t="str">
        <f aca="false">IF(N(M927)=0,"",_xlfn.MINIFS(ENSAYOS!$Q$5:$Q$3004,ENSAYOS!$C$5:$C$3004,F927,ENSAYOS!$Q$5:$Q$3004,"&gt;0"))</f>
        <v/>
      </c>
      <c r="R927" s="16" t="str">
        <f aca="false">IF(N(M927)=0,"",_xlfn.MAXIFS(ENSAYOS!$Q$5:$Q$3004,ENSAYOS!$C$5:$C$3004,F927,ENSAYOS!$Q$5:$Q$3004,"&gt;0"))</f>
        <v/>
      </c>
      <c r="S927" s="16" t="str">
        <f aca="false">IF(N(M927)&lt;2,"",SQRT(MAX(0,(SUMIFS(ENSAYOS!$X$5:$X$3004,ENSAYOS!$C$5:$C$3004,F927,ENSAYOS!$Q$5:$Q$3004,"&gt;0")-M927*P927^2)/(M927-1))))</f>
        <v/>
      </c>
      <c r="T927" s="17" t="str">
        <f aca="false">IF(S927="","",S927/P927)</f>
        <v/>
      </c>
      <c r="U927" s="16" t="str">
        <f aca="false">IF(N(M927)=0,"",IF(N927&gt;=CONFIG!$B$27,"",AVERAGEIFS(ENSAYOS!$Q$5:$Q$3004,ENSAYOS!$C$5:$C$3004,F927,ENSAYOS!$Q$5:$Q$3004,"&gt;0",ENSAYOS!$G$5:$G$3004,N927)))</f>
        <v/>
      </c>
      <c r="V927" s="16" t="str">
        <f aca="false">IF(N(M927)=0,"",IF(COUNTIFS(ENSAYOS!$C$5:$C$3004,F927,ENSAYOS!$Q$5:$Q$3004,"&gt;0",ENSAYOS!$G$5:$G$3004,"&gt;="&amp;CONFIG!$B$27)=0,"",AVERAGEIFS(ENSAYOS!$Q$5:$Q$3004,ENSAYOS!$C$5:$C$3004,F927,ENSAYOS!$Q$5:$Q$3004,"&gt;0",ENSAYOS!$G$5:$G$3004,"&gt;="&amp;CONFIG!$B$27)))</f>
        <v/>
      </c>
      <c r="W927" s="18" t="str">
        <f aca="false">IF(AND(U927&lt;&gt;"",V927&lt;&gt;""),U927/V927,"")</f>
        <v/>
      </c>
      <c r="X927" s="18" t="str">
        <f aca="false">IF(U927="","",INDEX('CURVA EDAD'!$E$5:$E$32,MIN(28,MAX(1,N927))))</f>
        <v/>
      </c>
      <c r="Y927" s="16" t="str">
        <f aca="false">IF(V927&lt;&gt;"",V927,IF(U927="","",U927/X927))</f>
        <v/>
      </c>
      <c r="Z927" s="16" t="str">
        <f aca="false">IF(V927&lt;&gt;"",_xlfn.MINIFS(ENSAYOS!$Q$5:$Q$3004,ENSAYOS!$C$5:$C$3004,F927,ENSAYOS!$Q$5:$Q$3004,"&gt;0",ENSAYOS!$G$5:$G$3004,"&gt;="&amp;CONFIG!$B$27),IF(U927="","",_xlfn.MINIFS(ENSAYOS!$Q$5:$Q$3004,ENSAYOS!$C$5:$C$3004,F927,ENSAYOS!$Q$5:$Q$3004,"&gt;0",ENSAYOS!$G$5:$G$3004,N927)/X927))</f>
        <v/>
      </c>
      <c r="AA927" s="16" t="str">
        <f aca="false">IF(D927="","",IFERROR(1/(1/INDEX(CONFIG!$J$5:$J$14,MATCH(D927,CONFIG!$D$5:$D$14,0))),""))</f>
        <v/>
      </c>
      <c r="AB927" s="16" t="str">
        <f aca="false">IF(D927="","",IFERROR(1/(1/INDEX(CONFIG!$K$5:$K$14,MATCH(D927,CONFIG!$D$5:$D$14,0))),""))</f>
        <v/>
      </c>
      <c r="AC927" s="19" t="str">
        <f aca="false">IF(N(M927)=0,"",IF(AA927="","Sin spec",IF(AND(Y927&gt;=AA927,OR(AB927="",Z927&gt;=AB927)),"CUMPLE","NO CUMPLE")&amp;IF(V927=""," (est.)","")))</f>
        <v/>
      </c>
      <c r="AD927" s="20" t="str">
        <f aca="false">IF(F927="","",IF(COUNTIFS(ABSORCION!$C$5:$C$1004,F927,ABSORCION!$I$5:$I$1004,"&gt;0")=0,"",AVERAGEIFS(ABSORCION!$I$5:$I$1004,ABSORCION!$C$5:$C$1004,F927,ABSORCION!$I$5:$I$1004,"&gt;0")))</f>
        <v/>
      </c>
      <c r="AE927" s="20" t="str">
        <f aca="false">IF(F927="","",IF(COUNTIFS(ABSORCION!$C$5:$C$1004,F927,ABSORCION!$I$5:$I$1004,"&gt;0")=0,"",AVERAGEIFS(ABSORCION!$K$5:$K$1004,ABSORCION!$C$5:$C$1004,F927,ABSORCION!$I$5:$I$1004,"&gt;0")))</f>
        <v/>
      </c>
      <c r="AF927" s="20" t="str">
        <f aca="false">IF(AE927="","",IF(AE927&gt;=CONFIG!$E$21,CONFIG!$F$21,IF(AE927&gt;=CONFIG!$E$20,CONFIG!$F$20,CONFIG!$F$19)))</f>
        <v/>
      </c>
      <c r="AG927" s="21" t="str">
        <f aca="false">IF(F927="","",TRIM(IF(N(M927)=0,"Sin ensayos. ","")&amp;IF(AND(N(M927)&gt;0,N(M927)&lt;CONFIG!$B$26),"Menos de "&amp;CONFIG!$B$26&amp;" probetas. ","")&amp;IF(N(T927)&gt;CONFIG!$B$25,"CV alto. ","")&amp;IF(AND(N(AD927)&gt;0,N(AD927)&gt;N(AF927)),"Absorción alta. ","")))</f>
        <v/>
      </c>
      <c r="AH927" s="22" t="str">
        <f aca="false">IF(AND(N(M927)&gt;0,OR(CONTROL!$C$4="TODAS",C927=CONTROL!$C$4),D927=CONTROL!$C$5),MAX($AH$4:AH926)+1,"")</f>
        <v/>
      </c>
      <c r="AI927" s="22" t="str">
        <f aca="false">IF(AH927="","",P927^2)</f>
        <v/>
      </c>
    </row>
    <row r="928" customFormat="false" ht="15" hidden="false" customHeight="false" outlineLevel="0" collapsed="false">
      <c r="A928" s="11" t="str">
        <f aca="false">IF(B928="","",ROW()-4)</f>
        <v/>
      </c>
      <c r="B928" s="12"/>
      <c r="C928" s="13"/>
      <c r="D928" s="13"/>
      <c r="E928" s="13"/>
      <c r="F928" s="14" t="str">
        <f aca="false">IF(OR(B928="",C928="",D928=""),"",IFERROR(INDEX(CONFIG!$E$5:$E$14,MATCH(D928,CONFIG!$D$5:$D$14,0)),"?")&amp;RIGHT("0"&amp;DAY(B928),2)&amp;RIGHT("0"&amp;MONTH(B928),2)&amp;RIGHT(YEAR(B928),2)&amp;C928&amp;IF(E928="","","-"&amp;E928))</f>
        <v/>
      </c>
      <c r="G928" s="13"/>
      <c r="H928" s="13"/>
      <c r="I928" s="13"/>
      <c r="J928" s="13"/>
      <c r="K928" s="13"/>
      <c r="L928" s="13"/>
      <c r="M928" s="11" t="str">
        <f aca="false">IF(F928="","",COUNTIFS(ENSAYOS!$C$5:$C$3004,F928,ENSAYOS!$Q$5:$Q$3004,"&gt;0"))</f>
        <v/>
      </c>
      <c r="N928" s="15" t="str">
        <f aca="false">IF(N(M928)=0,"",_xlfn.MINIFS(ENSAYOS!$G$5:$G$3004,ENSAYOS!$C$5:$C$3004,F928,ENSAYOS!$Q$5:$Q$3004,"&gt;0"))</f>
        <v/>
      </c>
      <c r="O928" s="15" t="str">
        <f aca="false">IF(N(M928)=0,"",_xlfn.MAXIFS(ENSAYOS!$G$5:$G$3004,ENSAYOS!$C$5:$C$3004,F928,ENSAYOS!$Q$5:$Q$3004,"&gt;0"))</f>
        <v/>
      </c>
      <c r="P928" s="16" t="str">
        <f aca="false">IF(N(M928)=0,"",AVERAGEIFS(ENSAYOS!$Q$5:$Q$3004,ENSAYOS!$C$5:$C$3004,F928,ENSAYOS!$Q$5:$Q$3004,"&gt;0"))</f>
        <v/>
      </c>
      <c r="Q928" s="16" t="str">
        <f aca="false">IF(N(M928)=0,"",_xlfn.MINIFS(ENSAYOS!$Q$5:$Q$3004,ENSAYOS!$C$5:$C$3004,F928,ENSAYOS!$Q$5:$Q$3004,"&gt;0"))</f>
        <v/>
      </c>
      <c r="R928" s="16" t="str">
        <f aca="false">IF(N(M928)=0,"",_xlfn.MAXIFS(ENSAYOS!$Q$5:$Q$3004,ENSAYOS!$C$5:$C$3004,F928,ENSAYOS!$Q$5:$Q$3004,"&gt;0"))</f>
        <v/>
      </c>
      <c r="S928" s="16" t="str">
        <f aca="false">IF(N(M928)&lt;2,"",SQRT(MAX(0,(SUMIFS(ENSAYOS!$X$5:$X$3004,ENSAYOS!$C$5:$C$3004,F928,ENSAYOS!$Q$5:$Q$3004,"&gt;0")-M928*P928^2)/(M928-1))))</f>
        <v/>
      </c>
      <c r="T928" s="17" t="str">
        <f aca="false">IF(S928="","",S928/P928)</f>
        <v/>
      </c>
      <c r="U928" s="16" t="str">
        <f aca="false">IF(N(M928)=0,"",IF(N928&gt;=CONFIG!$B$27,"",AVERAGEIFS(ENSAYOS!$Q$5:$Q$3004,ENSAYOS!$C$5:$C$3004,F928,ENSAYOS!$Q$5:$Q$3004,"&gt;0",ENSAYOS!$G$5:$G$3004,N928)))</f>
        <v/>
      </c>
      <c r="V928" s="16" t="str">
        <f aca="false">IF(N(M928)=0,"",IF(COUNTIFS(ENSAYOS!$C$5:$C$3004,F928,ENSAYOS!$Q$5:$Q$3004,"&gt;0",ENSAYOS!$G$5:$G$3004,"&gt;="&amp;CONFIG!$B$27)=0,"",AVERAGEIFS(ENSAYOS!$Q$5:$Q$3004,ENSAYOS!$C$5:$C$3004,F928,ENSAYOS!$Q$5:$Q$3004,"&gt;0",ENSAYOS!$G$5:$G$3004,"&gt;="&amp;CONFIG!$B$27)))</f>
        <v/>
      </c>
      <c r="W928" s="18" t="str">
        <f aca="false">IF(AND(U928&lt;&gt;"",V928&lt;&gt;""),U928/V928,"")</f>
        <v/>
      </c>
      <c r="X928" s="18" t="str">
        <f aca="false">IF(U928="","",INDEX('CURVA EDAD'!$E$5:$E$32,MIN(28,MAX(1,N928))))</f>
        <v/>
      </c>
      <c r="Y928" s="16" t="str">
        <f aca="false">IF(V928&lt;&gt;"",V928,IF(U928="","",U928/X928))</f>
        <v/>
      </c>
      <c r="Z928" s="16" t="str">
        <f aca="false">IF(V928&lt;&gt;"",_xlfn.MINIFS(ENSAYOS!$Q$5:$Q$3004,ENSAYOS!$C$5:$C$3004,F928,ENSAYOS!$Q$5:$Q$3004,"&gt;0",ENSAYOS!$G$5:$G$3004,"&gt;="&amp;CONFIG!$B$27),IF(U928="","",_xlfn.MINIFS(ENSAYOS!$Q$5:$Q$3004,ENSAYOS!$C$5:$C$3004,F928,ENSAYOS!$Q$5:$Q$3004,"&gt;0",ENSAYOS!$G$5:$G$3004,N928)/X928))</f>
        <v/>
      </c>
      <c r="AA928" s="16" t="str">
        <f aca="false">IF(D928="","",IFERROR(1/(1/INDEX(CONFIG!$J$5:$J$14,MATCH(D928,CONFIG!$D$5:$D$14,0))),""))</f>
        <v/>
      </c>
      <c r="AB928" s="16" t="str">
        <f aca="false">IF(D928="","",IFERROR(1/(1/INDEX(CONFIG!$K$5:$K$14,MATCH(D928,CONFIG!$D$5:$D$14,0))),""))</f>
        <v/>
      </c>
      <c r="AC928" s="19" t="str">
        <f aca="false">IF(N(M928)=0,"",IF(AA928="","Sin spec",IF(AND(Y928&gt;=AA928,OR(AB928="",Z928&gt;=AB928)),"CUMPLE","NO CUMPLE")&amp;IF(V928=""," (est.)","")))</f>
        <v/>
      </c>
      <c r="AD928" s="20" t="str">
        <f aca="false">IF(F928="","",IF(COUNTIFS(ABSORCION!$C$5:$C$1004,F928,ABSORCION!$I$5:$I$1004,"&gt;0")=0,"",AVERAGEIFS(ABSORCION!$I$5:$I$1004,ABSORCION!$C$5:$C$1004,F928,ABSORCION!$I$5:$I$1004,"&gt;0")))</f>
        <v/>
      </c>
      <c r="AE928" s="20" t="str">
        <f aca="false">IF(F928="","",IF(COUNTIFS(ABSORCION!$C$5:$C$1004,F928,ABSORCION!$I$5:$I$1004,"&gt;0")=0,"",AVERAGEIFS(ABSORCION!$K$5:$K$1004,ABSORCION!$C$5:$C$1004,F928,ABSORCION!$I$5:$I$1004,"&gt;0")))</f>
        <v/>
      </c>
      <c r="AF928" s="20" t="str">
        <f aca="false">IF(AE928="","",IF(AE928&gt;=CONFIG!$E$21,CONFIG!$F$21,IF(AE928&gt;=CONFIG!$E$20,CONFIG!$F$20,CONFIG!$F$19)))</f>
        <v/>
      </c>
      <c r="AG928" s="21" t="str">
        <f aca="false">IF(F928="","",TRIM(IF(N(M928)=0,"Sin ensayos. ","")&amp;IF(AND(N(M928)&gt;0,N(M928)&lt;CONFIG!$B$26),"Menos de "&amp;CONFIG!$B$26&amp;" probetas. ","")&amp;IF(N(T928)&gt;CONFIG!$B$25,"CV alto. ","")&amp;IF(AND(N(AD928)&gt;0,N(AD928)&gt;N(AF928)),"Absorción alta. ","")))</f>
        <v/>
      </c>
      <c r="AH928" s="22" t="str">
        <f aca="false">IF(AND(N(M928)&gt;0,OR(CONTROL!$C$4="TODAS",C928=CONTROL!$C$4),D928=CONTROL!$C$5),MAX($AH$4:AH927)+1,"")</f>
        <v/>
      </c>
      <c r="AI928" s="22" t="str">
        <f aca="false">IF(AH928="","",P928^2)</f>
        <v/>
      </c>
    </row>
    <row r="929" customFormat="false" ht="15" hidden="false" customHeight="false" outlineLevel="0" collapsed="false">
      <c r="A929" s="11" t="str">
        <f aca="false">IF(B929="","",ROW()-4)</f>
        <v/>
      </c>
      <c r="B929" s="12"/>
      <c r="C929" s="13"/>
      <c r="D929" s="13"/>
      <c r="E929" s="13"/>
      <c r="F929" s="14" t="str">
        <f aca="false">IF(OR(B929="",C929="",D929=""),"",IFERROR(INDEX(CONFIG!$E$5:$E$14,MATCH(D929,CONFIG!$D$5:$D$14,0)),"?")&amp;RIGHT("0"&amp;DAY(B929),2)&amp;RIGHT("0"&amp;MONTH(B929),2)&amp;RIGHT(YEAR(B929),2)&amp;C929&amp;IF(E929="","","-"&amp;E929))</f>
        <v/>
      </c>
      <c r="G929" s="13"/>
      <c r="H929" s="13"/>
      <c r="I929" s="13"/>
      <c r="J929" s="13"/>
      <c r="K929" s="13"/>
      <c r="L929" s="13"/>
      <c r="M929" s="11" t="str">
        <f aca="false">IF(F929="","",COUNTIFS(ENSAYOS!$C$5:$C$3004,F929,ENSAYOS!$Q$5:$Q$3004,"&gt;0"))</f>
        <v/>
      </c>
      <c r="N929" s="15" t="str">
        <f aca="false">IF(N(M929)=0,"",_xlfn.MINIFS(ENSAYOS!$G$5:$G$3004,ENSAYOS!$C$5:$C$3004,F929,ENSAYOS!$Q$5:$Q$3004,"&gt;0"))</f>
        <v/>
      </c>
      <c r="O929" s="15" t="str">
        <f aca="false">IF(N(M929)=0,"",_xlfn.MAXIFS(ENSAYOS!$G$5:$G$3004,ENSAYOS!$C$5:$C$3004,F929,ENSAYOS!$Q$5:$Q$3004,"&gt;0"))</f>
        <v/>
      </c>
      <c r="P929" s="16" t="str">
        <f aca="false">IF(N(M929)=0,"",AVERAGEIFS(ENSAYOS!$Q$5:$Q$3004,ENSAYOS!$C$5:$C$3004,F929,ENSAYOS!$Q$5:$Q$3004,"&gt;0"))</f>
        <v/>
      </c>
      <c r="Q929" s="16" t="str">
        <f aca="false">IF(N(M929)=0,"",_xlfn.MINIFS(ENSAYOS!$Q$5:$Q$3004,ENSAYOS!$C$5:$C$3004,F929,ENSAYOS!$Q$5:$Q$3004,"&gt;0"))</f>
        <v/>
      </c>
      <c r="R929" s="16" t="str">
        <f aca="false">IF(N(M929)=0,"",_xlfn.MAXIFS(ENSAYOS!$Q$5:$Q$3004,ENSAYOS!$C$5:$C$3004,F929,ENSAYOS!$Q$5:$Q$3004,"&gt;0"))</f>
        <v/>
      </c>
      <c r="S929" s="16" t="str">
        <f aca="false">IF(N(M929)&lt;2,"",SQRT(MAX(0,(SUMIFS(ENSAYOS!$X$5:$X$3004,ENSAYOS!$C$5:$C$3004,F929,ENSAYOS!$Q$5:$Q$3004,"&gt;0")-M929*P929^2)/(M929-1))))</f>
        <v/>
      </c>
      <c r="T929" s="17" t="str">
        <f aca="false">IF(S929="","",S929/P929)</f>
        <v/>
      </c>
      <c r="U929" s="16" t="str">
        <f aca="false">IF(N(M929)=0,"",IF(N929&gt;=CONFIG!$B$27,"",AVERAGEIFS(ENSAYOS!$Q$5:$Q$3004,ENSAYOS!$C$5:$C$3004,F929,ENSAYOS!$Q$5:$Q$3004,"&gt;0",ENSAYOS!$G$5:$G$3004,N929)))</f>
        <v/>
      </c>
      <c r="V929" s="16" t="str">
        <f aca="false">IF(N(M929)=0,"",IF(COUNTIFS(ENSAYOS!$C$5:$C$3004,F929,ENSAYOS!$Q$5:$Q$3004,"&gt;0",ENSAYOS!$G$5:$G$3004,"&gt;="&amp;CONFIG!$B$27)=0,"",AVERAGEIFS(ENSAYOS!$Q$5:$Q$3004,ENSAYOS!$C$5:$C$3004,F929,ENSAYOS!$Q$5:$Q$3004,"&gt;0",ENSAYOS!$G$5:$G$3004,"&gt;="&amp;CONFIG!$B$27)))</f>
        <v/>
      </c>
      <c r="W929" s="18" t="str">
        <f aca="false">IF(AND(U929&lt;&gt;"",V929&lt;&gt;""),U929/V929,"")</f>
        <v/>
      </c>
      <c r="X929" s="18" t="str">
        <f aca="false">IF(U929="","",INDEX('CURVA EDAD'!$E$5:$E$32,MIN(28,MAX(1,N929))))</f>
        <v/>
      </c>
      <c r="Y929" s="16" t="str">
        <f aca="false">IF(V929&lt;&gt;"",V929,IF(U929="","",U929/X929))</f>
        <v/>
      </c>
      <c r="Z929" s="16" t="str">
        <f aca="false">IF(V929&lt;&gt;"",_xlfn.MINIFS(ENSAYOS!$Q$5:$Q$3004,ENSAYOS!$C$5:$C$3004,F929,ENSAYOS!$Q$5:$Q$3004,"&gt;0",ENSAYOS!$G$5:$G$3004,"&gt;="&amp;CONFIG!$B$27),IF(U929="","",_xlfn.MINIFS(ENSAYOS!$Q$5:$Q$3004,ENSAYOS!$C$5:$C$3004,F929,ENSAYOS!$Q$5:$Q$3004,"&gt;0",ENSAYOS!$G$5:$G$3004,N929)/X929))</f>
        <v/>
      </c>
      <c r="AA929" s="16" t="str">
        <f aca="false">IF(D929="","",IFERROR(1/(1/INDEX(CONFIG!$J$5:$J$14,MATCH(D929,CONFIG!$D$5:$D$14,0))),""))</f>
        <v/>
      </c>
      <c r="AB929" s="16" t="str">
        <f aca="false">IF(D929="","",IFERROR(1/(1/INDEX(CONFIG!$K$5:$K$14,MATCH(D929,CONFIG!$D$5:$D$14,0))),""))</f>
        <v/>
      </c>
      <c r="AC929" s="19" t="str">
        <f aca="false">IF(N(M929)=0,"",IF(AA929="","Sin spec",IF(AND(Y929&gt;=AA929,OR(AB929="",Z929&gt;=AB929)),"CUMPLE","NO CUMPLE")&amp;IF(V929=""," (est.)","")))</f>
        <v/>
      </c>
      <c r="AD929" s="20" t="str">
        <f aca="false">IF(F929="","",IF(COUNTIFS(ABSORCION!$C$5:$C$1004,F929,ABSORCION!$I$5:$I$1004,"&gt;0")=0,"",AVERAGEIFS(ABSORCION!$I$5:$I$1004,ABSORCION!$C$5:$C$1004,F929,ABSORCION!$I$5:$I$1004,"&gt;0")))</f>
        <v/>
      </c>
      <c r="AE929" s="20" t="str">
        <f aca="false">IF(F929="","",IF(COUNTIFS(ABSORCION!$C$5:$C$1004,F929,ABSORCION!$I$5:$I$1004,"&gt;0")=0,"",AVERAGEIFS(ABSORCION!$K$5:$K$1004,ABSORCION!$C$5:$C$1004,F929,ABSORCION!$I$5:$I$1004,"&gt;0")))</f>
        <v/>
      </c>
      <c r="AF929" s="20" t="str">
        <f aca="false">IF(AE929="","",IF(AE929&gt;=CONFIG!$E$21,CONFIG!$F$21,IF(AE929&gt;=CONFIG!$E$20,CONFIG!$F$20,CONFIG!$F$19)))</f>
        <v/>
      </c>
      <c r="AG929" s="21" t="str">
        <f aca="false">IF(F929="","",TRIM(IF(N(M929)=0,"Sin ensayos. ","")&amp;IF(AND(N(M929)&gt;0,N(M929)&lt;CONFIG!$B$26),"Menos de "&amp;CONFIG!$B$26&amp;" probetas. ","")&amp;IF(N(T929)&gt;CONFIG!$B$25,"CV alto. ","")&amp;IF(AND(N(AD929)&gt;0,N(AD929)&gt;N(AF929)),"Absorción alta. ","")))</f>
        <v/>
      </c>
      <c r="AH929" s="22" t="str">
        <f aca="false">IF(AND(N(M929)&gt;0,OR(CONTROL!$C$4="TODAS",C929=CONTROL!$C$4),D929=CONTROL!$C$5),MAX($AH$4:AH928)+1,"")</f>
        <v/>
      </c>
      <c r="AI929" s="22" t="str">
        <f aca="false">IF(AH929="","",P929^2)</f>
        <v/>
      </c>
    </row>
    <row r="930" customFormat="false" ht="15" hidden="false" customHeight="false" outlineLevel="0" collapsed="false">
      <c r="A930" s="11" t="str">
        <f aca="false">IF(B930="","",ROW()-4)</f>
        <v/>
      </c>
      <c r="B930" s="12"/>
      <c r="C930" s="13"/>
      <c r="D930" s="13"/>
      <c r="E930" s="13"/>
      <c r="F930" s="14" t="str">
        <f aca="false">IF(OR(B930="",C930="",D930=""),"",IFERROR(INDEX(CONFIG!$E$5:$E$14,MATCH(D930,CONFIG!$D$5:$D$14,0)),"?")&amp;RIGHT("0"&amp;DAY(B930),2)&amp;RIGHT("0"&amp;MONTH(B930),2)&amp;RIGHT(YEAR(B930),2)&amp;C930&amp;IF(E930="","","-"&amp;E930))</f>
        <v/>
      </c>
      <c r="G930" s="13"/>
      <c r="H930" s="13"/>
      <c r="I930" s="13"/>
      <c r="J930" s="13"/>
      <c r="K930" s="13"/>
      <c r="L930" s="13"/>
      <c r="M930" s="11" t="str">
        <f aca="false">IF(F930="","",COUNTIFS(ENSAYOS!$C$5:$C$3004,F930,ENSAYOS!$Q$5:$Q$3004,"&gt;0"))</f>
        <v/>
      </c>
      <c r="N930" s="15" t="str">
        <f aca="false">IF(N(M930)=0,"",_xlfn.MINIFS(ENSAYOS!$G$5:$G$3004,ENSAYOS!$C$5:$C$3004,F930,ENSAYOS!$Q$5:$Q$3004,"&gt;0"))</f>
        <v/>
      </c>
      <c r="O930" s="15" t="str">
        <f aca="false">IF(N(M930)=0,"",_xlfn.MAXIFS(ENSAYOS!$G$5:$G$3004,ENSAYOS!$C$5:$C$3004,F930,ENSAYOS!$Q$5:$Q$3004,"&gt;0"))</f>
        <v/>
      </c>
      <c r="P930" s="16" t="str">
        <f aca="false">IF(N(M930)=0,"",AVERAGEIFS(ENSAYOS!$Q$5:$Q$3004,ENSAYOS!$C$5:$C$3004,F930,ENSAYOS!$Q$5:$Q$3004,"&gt;0"))</f>
        <v/>
      </c>
      <c r="Q930" s="16" t="str">
        <f aca="false">IF(N(M930)=0,"",_xlfn.MINIFS(ENSAYOS!$Q$5:$Q$3004,ENSAYOS!$C$5:$C$3004,F930,ENSAYOS!$Q$5:$Q$3004,"&gt;0"))</f>
        <v/>
      </c>
      <c r="R930" s="16" t="str">
        <f aca="false">IF(N(M930)=0,"",_xlfn.MAXIFS(ENSAYOS!$Q$5:$Q$3004,ENSAYOS!$C$5:$C$3004,F930,ENSAYOS!$Q$5:$Q$3004,"&gt;0"))</f>
        <v/>
      </c>
      <c r="S930" s="16" t="str">
        <f aca="false">IF(N(M930)&lt;2,"",SQRT(MAX(0,(SUMIFS(ENSAYOS!$X$5:$X$3004,ENSAYOS!$C$5:$C$3004,F930,ENSAYOS!$Q$5:$Q$3004,"&gt;0")-M930*P930^2)/(M930-1))))</f>
        <v/>
      </c>
      <c r="T930" s="17" t="str">
        <f aca="false">IF(S930="","",S930/P930)</f>
        <v/>
      </c>
      <c r="U930" s="16" t="str">
        <f aca="false">IF(N(M930)=0,"",IF(N930&gt;=CONFIG!$B$27,"",AVERAGEIFS(ENSAYOS!$Q$5:$Q$3004,ENSAYOS!$C$5:$C$3004,F930,ENSAYOS!$Q$5:$Q$3004,"&gt;0",ENSAYOS!$G$5:$G$3004,N930)))</f>
        <v/>
      </c>
      <c r="V930" s="16" t="str">
        <f aca="false">IF(N(M930)=0,"",IF(COUNTIFS(ENSAYOS!$C$5:$C$3004,F930,ENSAYOS!$Q$5:$Q$3004,"&gt;0",ENSAYOS!$G$5:$G$3004,"&gt;="&amp;CONFIG!$B$27)=0,"",AVERAGEIFS(ENSAYOS!$Q$5:$Q$3004,ENSAYOS!$C$5:$C$3004,F930,ENSAYOS!$Q$5:$Q$3004,"&gt;0",ENSAYOS!$G$5:$G$3004,"&gt;="&amp;CONFIG!$B$27)))</f>
        <v/>
      </c>
      <c r="W930" s="18" t="str">
        <f aca="false">IF(AND(U930&lt;&gt;"",V930&lt;&gt;""),U930/V930,"")</f>
        <v/>
      </c>
      <c r="X930" s="18" t="str">
        <f aca="false">IF(U930="","",INDEX('CURVA EDAD'!$E$5:$E$32,MIN(28,MAX(1,N930))))</f>
        <v/>
      </c>
      <c r="Y930" s="16" t="str">
        <f aca="false">IF(V930&lt;&gt;"",V930,IF(U930="","",U930/X930))</f>
        <v/>
      </c>
      <c r="Z930" s="16" t="str">
        <f aca="false">IF(V930&lt;&gt;"",_xlfn.MINIFS(ENSAYOS!$Q$5:$Q$3004,ENSAYOS!$C$5:$C$3004,F930,ENSAYOS!$Q$5:$Q$3004,"&gt;0",ENSAYOS!$G$5:$G$3004,"&gt;="&amp;CONFIG!$B$27),IF(U930="","",_xlfn.MINIFS(ENSAYOS!$Q$5:$Q$3004,ENSAYOS!$C$5:$C$3004,F930,ENSAYOS!$Q$5:$Q$3004,"&gt;0",ENSAYOS!$G$5:$G$3004,N930)/X930))</f>
        <v/>
      </c>
      <c r="AA930" s="16" t="str">
        <f aca="false">IF(D930="","",IFERROR(1/(1/INDEX(CONFIG!$J$5:$J$14,MATCH(D930,CONFIG!$D$5:$D$14,0))),""))</f>
        <v/>
      </c>
      <c r="AB930" s="16" t="str">
        <f aca="false">IF(D930="","",IFERROR(1/(1/INDEX(CONFIG!$K$5:$K$14,MATCH(D930,CONFIG!$D$5:$D$14,0))),""))</f>
        <v/>
      </c>
      <c r="AC930" s="19" t="str">
        <f aca="false">IF(N(M930)=0,"",IF(AA930="","Sin spec",IF(AND(Y930&gt;=AA930,OR(AB930="",Z930&gt;=AB930)),"CUMPLE","NO CUMPLE")&amp;IF(V930=""," (est.)","")))</f>
        <v/>
      </c>
      <c r="AD930" s="20" t="str">
        <f aca="false">IF(F930="","",IF(COUNTIFS(ABSORCION!$C$5:$C$1004,F930,ABSORCION!$I$5:$I$1004,"&gt;0")=0,"",AVERAGEIFS(ABSORCION!$I$5:$I$1004,ABSORCION!$C$5:$C$1004,F930,ABSORCION!$I$5:$I$1004,"&gt;0")))</f>
        <v/>
      </c>
      <c r="AE930" s="20" t="str">
        <f aca="false">IF(F930="","",IF(COUNTIFS(ABSORCION!$C$5:$C$1004,F930,ABSORCION!$I$5:$I$1004,"&gt;0")=0,"",AVERAGEIFS(ABSORCION!$K$5:$K$1004,ABSORCION!$C$5:$C$1004,F930,ABSORCION!$I$5:$I$1004,"&gt;0")))</f>
        <v/>
      </c>
      <c r="AF930" s="20" t="str">
        <f aca="false">IF(AE930="","",IF(AE930&gt;=CONFIG!$E$21,CONFIG!$F$21,IF(AE930&gt;=CONFIG!$E$20,CONFIG!$F$20,CONFIG!$F$19)))</f>
        <v/>
      </c>
      <c r="AG930" s="21" t="str">
        <f aca="false">IF(F930="","",TRIM(IF(N(M930)=0,"Sin ensayos. ","")&amp;IF(AND(N(M930)&gt;0,N(M930)&lt;CONFIG!$B$26),"Menos de "&amp;CONFIG!$B$26&amp;" probetas. ","")&amp;IF(N(T930)&gt;CONFIG!$B$25,"CV alto. ","")&amp;IF(AND(N(AD930)&gt;0,N(AD930)&gt;N(AF930)),"Absorción alta. ","")))</f>
        <v/>
      </c>
      <c r="AH930" s="22" t="str">
        <f aca="false">IF(AND(N(M930)&gt;0,OR(CONTROL!$C$4="TODAS",C930=CONTROL!$C$4),D930=CONTROL!$C$5),MAX($AH$4:AH929)+1,"")</f>
        <v/>
      </c>
      <c r="AI930" s="22" t="str">
        <f aca="false">IF(AH930="","",P930^2)</f>
        <v/>
      </c>
    </row>
    <row r="931" customFormat="false" ht="15" hidden="false" customHeight="false" outlineLevel="0" collapsed="false">
      <c r="A931" s="11" t="str">
        <f aca="false">IF(B931="","",ROW()-4)</f>
        <v/>
      </c>
      <c r="B931" s="12"/>
      <c r="C931" s="13"/>
      <c r="D931" s="13"/>
      <c r="E931" s="13"/>
      <c r="F931" s="14" t="str">
        <f aca="false">IF(OR(B931="",C931="",D931=""),"",IFERROR(INDEX(CONFIG!$E$5:$E$14,MATCH(D931,CONFIG!$D$5:$D$14,0)),"?")&amp;RIGHT("0"&amp;DAY(B931),2)&amp;RIGHT("0"&amp;MONTH(B931),2)&amp;RIGHT(YEAR(B931),2)&amp;C931&amp;IF(E931="","","-"&amp;E931))</f>
        <v/>
      </c>
      <c r="G931" s="13"/>
      <c r="H931" s="13"/>
      <c r="I931" s="13"/>
      <c r="J931" s="13"/>
      <c r="K931" s="13"/>
      <c r="L931" s="13"/>
      <c r="M931" s="11" t="str">
        <f aca="false">IF(F931="","",COUNTIFS(ENSAYOS!$C$5:$C$3004,F931,ENSAYOS!$Q$5:$Q$3004,"&gt;0"))</f>
        <v/>
      </c>
      <c r="N931" s="15" t="str">
        <f aca="false">IF(N(M931)=0,"",_xlfn.MINIFS(ENSAYOS!$G$5:$G$3004,ENSAYOS!$C$5:$C$3004,F931,ENSAYOS!$Q$5:$Q$3004,"&gt;0"))</f>
        <v/>
      </c>
      <c r="O931" s="15" t="str">
        <f aca="false">IF(N(M931)=0,"",_xlfn.MAXIFS(ENSAYOS!$G$5:$G$3004,ENSAYOS!$C$5:$C$3004,F931,ENSAYOS!$Q$5:$Q$3004,"&gt;0"))</f>
        <v/>
      </c>
      <c r="P931" s="16" t="str">
        <f aca="false">IF(N(M931)=0,"",AVERAGEIFS(ENSAYOS!$Q$5:$Q$3004,ENSAYOS!$C$5:$C$3004,F931,ENSAYOS!$Q$5:$Q$3004,"&gt;0"))</f>
        <v/>
      </c>
      <c r="Q931" s="16" t="str">
        <f aca="false">IF(N(M931)=0,"",_xlfn.MINIFS(ENSAYOS!$Q$5:$Q$3004,ENSAYOS!$C$5:$C$3004,F931,ENSAYOS!$Q$5:$Q$3004,"&gt;0"))</f>
        <v/>
      </c>
      <c r="R931" s="16" t="str">
        <f aca="false">IF(N(M931)=0,"",_xlfn.MAXIFS(ENSAYOS!$Q$5:$Q$3004,ENSAYOS!$C$5:$C$3004,F931,ENSAYOS!$Q$5:$Q$3004,"&gt;0"))</f>
        <v/>
      </c>
      <c r="S931" s="16" t="str">
        <f aca="false">IF(N(M931)&lt;2,"",SQRT(MAX(0,(SUMIFS(ENSAYOS!$X$5:$X$3004,ENSAYOS!$C$5:$C$3004,F931,ENSAYOS!$Q$5:$Q$3004,"&gt;0")-M931*P931^2)/(M931-1))))</f>
        <v/>
      </c>
      <c r="T931" s="17" t="str">
        <f aca="false">IF(S931="","",S931/P931)</f>
        <v/>
      </c>
      <c r="U931" s="16" t="str">
        <f aca="false">IF(N(M931)=0,"",IF(N931&gt;=CONFIG!$B$27,"",AVERAGEIFS(ENSAYOS!$Q$5:$Q$3004,ENSAYOS!$C$5:$C$3004,F931,ENSAYOS!$Q$5:$Q$3004,"&gt;0",ENSAYOS!$G$5:$G$3004,N931)))</f>
        <v/>
      </c>
      <c r="V931" s="16" t="str">
        <f aca="false">IF(N(M931)=0,"",IF(COUNTIFS(ENSAYOS!$C$5:$C$3004,F931,ENSAYOS!$Q$5:$Q$3004,"&gt;0",ENSAYOS!$G$5:$G$3004,"&gt;="&amp;CONFIG!$B$27)=0,"",AVERAGEIFS(ENSAYOS!$Q$5:$Q$3004,ENSAYOS!$C$5:$C$3004,F931,ENSAYOS!$Q$5:$Q$3004,"&gt;0",ENSAYOS!$G$5:$G$3004,"&gt;="&amp;CONFIG!$B$27)))</f>
        <v/>
      </c>
      <c r="W931" s="18" t="str">
        <f aca="false">IF(AND(U931&lt;&gt;"",V931&lt;&gt;""),U931/V931,"")</f>
        <v/>
      </c>
      <c r="X931" s="18" t="str">
        <f aca="false">IF(U931="","",INDEX('CURVA EDAD'!$E$5:$E$32,MIN(28,MAX(1,N931))))</f>
        <v/>
      </c>
      <c r="Y931" s="16" t="str">
        <f aca="false">IF(V931&lt;&gt;"",V931,IF(U931="","",U931/X931))</f>
        <v/>
      </c>
      <c r="Z931" s="16" t="str">
        <f aca="false">IF(V931&lt;&gt;"",_xlfn.MINIFS(ENSAYOS!$Q$5:$Q$3004,ENSAYOS!$C$5:$C$3004,F931,ENSAYOS!$Q$5:$Q$3004,"&gt;0",ENSAYOS!$G$5:$G$3004,"&gt;="&amp;CONFIG!$B$27),IF(U931="","",_xlfn.MINIFS(ENSAYOS!$Q$5:$Q$3004,ENSAYOS!$C$5:$C$3004,F931,ENSAYOS!$Q$5:$Q$3004,"&gt;0",ENSAYOS!$G$5:$G$3004,N931)/X931))</f>
        <v/>
      </c>
      <c r="AA931" s="16" t="str">
        <f aca="false">IF(D931="","",IFERROR(1/(1/INDEX(CONFIG!$J$5:$J$14,MATCH(D931,CONFIG!$D$5:$D$14,0))),""))</f>
        <v/>
      </c>
      <c r="AB931" s="16" t="str">
        <f aca="false">IF(D931="","",IFERROR(1/(1/INDEX(CONFIG!$K$5:$K$14,MATCH(D931,CONFIG!$D$5:$D$14,0))),""))</f>
        <v/>
      </c>
      <c r="AC931" s="19" t="str">
        <f aca="false">IF(N(M931)=0,"",IF(AA931="","Sin spec",IF(AND(Y931&gt;=AA931,OR(AB931="",Z931&gt;=AB931)),"CUMPLE","NO CUMPLE")&amp;IF(V931=""," (est.)","")))</f>
        <v/>
      </c>
      <c r="AD931" s="20" t="str">
        <f aca="false">IF(F931="","",IF(COUNTIFS(ABSORCION!$C$5:$C$1004,F931,ABSORCION!$I$5:$I$1004,"&gt;0")=0,"",AVERAGEIFS(ABSORCION!$I$5:$I$1004,ABSORCION!$C$5:$C$1004,F931,ABSORCION!$I$5:$I$1004,"&gt;0")))</f>
        <v/>
      </c>
      <c r="AE931" s="20" t="str">
        <f aca="false">IF(F931="","",IF(COUNTIFS(ABSORCION!$C$5:$C$1004,F931,ABSORCION!$I$5:$I$1004,"&gt;0")=0,"",AVERAGEIFS(ABSORCION!$K$5:$K$1004,ABSORCION!$C$5:$C$1004,F931,ABSORCION!$I$5:$I$1004,"&gt;0")))</f>
        <v/>
      </c>
      <c r="AF931" s="20" t="str">
        <f aca="false">IF(AE931="","",IF(AE931&gt;=CONFIG!$E$21,CONFIG!$F$21,IF(AE931&gt;=CONFIG!$E$20,CONFIG!$F$20,CONFIG!$F$19)))</f>
        <v/>
      </c>
      <c r="AG931" s="21" t="str">
        <f aca="false">IF(F931="","",TRIM(IF(N(M931)=0,"Sin ensayos. ","")&amp;IF(AND(N(M931)&gt;0,N(M931)&lt;CONFIG!$B$26),"Menos de "&amp;CONFIG!$B$26&amp;" probetas. ","")&amp;IF(N(T931)&gt;CONFIG!$B$25,"CV alto. ","")&amp;IF(AND(N(AD931)&gt;0,N(AD931)&gt;N(AF931)),"Absorción alta. ","")))</f>
        <v/>
      </c>
      <c r="AH931" s="22" t="str">
        <f aca="false">IF(AND(N(M931)&gt;0,OR(CONTROL!$C$4="TODAS",C931=CONTROL!$C$4),D931=CONTROL!$C$5),MAX($AH$4:AH930)+1,"")</f>
        <v/>
      </c>
      <c r="AI931" s="22" t="str">
        <f aca="false">IF(AH931="","",P931^2)</f>
        <v/>
      </c>
    </row>
    <row r="932" customFormat="false" ht="15" hidden="false" customHeight="false" outlineLevel="0" collapsed="false">
      <c r="A932" s="11" t="str">
        <f aca="false">IF(B932="","",ROW()-4)</f>
        <v/>
      </c>
      <c r="B932" s="12"/>
      <c r="C932" s="13"/>
      <c r="D932" s="13"/>
      <c r="E932" s="13"/>
      <c r="F932" s="14" t="str">
        <f aca="false">IF(OR(B932="",C932="",D932=""),"",IFERROR(INDEX(CONFIG!$E$5:$E$14,MATCH(D932,CONFIG!$D$5:$D$14,0)),"?")&amp;RIGHT("0"&amp;DAY(B932),2)&amp;RIGHT("0"&amp;MONTH(B932),2)&amp;RIGHT(YEAR(B932),2)&amp;C932&amp;IF(E932="","","-"&amp;E932))</f>
        <v/>
      </c>
      <c r="G932" s="13"/>
      <c r="H932" s="13"/>
      <c r="I932" s="13"/>
      <c r="J932" s="13"/>
      <c r="K932" s="13"/>
      <c r="L932" s="13"/>
      <c r="M932" s="11" t="str">
        <f aca="false">IF(F932="","",COUNTIFS(ENSAYOS!$C$5:$C$3004,F932,ENSAYOS!$Q$5:$Q$3004,"&gt;0"))</f>
        <v/>
      </c>
      <c r="N932" s="15" t="str">
        <f aca="false">IF(N(M932)=0,"",_xlfn.MINIFS(ENSAYOS!$G$5:$G$3004,ENSAYOS!$C$5:$C$3004,F932,ENSAYOS!$Q$5:$Q$3004,"&gt;0"))</f>
        <v/>
      </c>
      <c r="O932" s="15" t="str">
        <f aca="false">IF(N(M932)=0,"",_xlfn.MAXIFS(ENSAYOS!$G$5:$G$3004,ENSAYOS!$C$5:$C$3004,F932,ENSAYOS!$Q$5:$Q$3004,"&gt;0"))</f>
        <v/>
      </c>
      <c r="P932" s="16" t="str">
        <f aca="false">IF(N(M932)=0,"",AVERAGEIFS(ENSAYOS!$Q$5:$Q$3004,ENSAYOS!$C$5:$C$3004,F932,ENSAYOS!$Q$5:$Q$3004,"&gt;0"))</f>
        <v/>
      </c>
      <c r="Q932" s="16" t="str">
        <f aca="false">IF(N(M932)=0,"",_xlfn.MINIFS(ENSAYOS!$Q$5:$Q$3004,ENSAYOS!$C$5:$C$3004,F932,ENSAYOS!$Q$5:$Q$3004,"&gt;0"))</f>
        <v/>
      </c>
      <c r="R932" s="16" t="str">
        <f aca="false">IF(N(M932)=0,"",_xlfn.MAXIFS(ENSAYOS!$Q$5:$Q$3004,ENSAYOS!$C$5:$C$3004,F932,ENSAYOS!$Q$5:$Q$3004,"&gt;0"))</f>
        <v/>
      </c>
      <c r="S932" s="16" t="str">
        <f aca="false">IF(N(M932)&lt;2,"",SQRT(MAX(0,(SUMIFS(ENSAYOS!$X$5:$X$3004,ENSAYOS!$C$5:$C$3004,F932,ENSAYOS!$Q$5:$Q$3004,"&gt;0")-M932*P932^2)/(M932-1))))</f>
        <v/>
      </c>
      <c r="T932" s="17" t="str">
        <f aca="false">IF(S932="","",S932/P932)</f>
        <v/>
      </c>
      <c r="U932" s="16" t="str">
        <f aca="false">IF(N(M932)=0,"",IF(N932&gt;=CONFIG!$B$27,"",AVERAGEIFS(ENSAYOS!$Q$5:$Q$3004,ENSAYOS!$C$5:$C$3004,F932,ENSAYOS!$Q$5:$Q$3004,"&gt;0",ENSAYOS!$G$5:$G$3004,N932)))</f>
        <v/>
      </c>
      <c r="V932" s="16" t="str">
        <f aca="false">IF(N(M932)=0,"",IF(COUNTIFS(ENSAYOS!$C$5:$C$3004,F932,ENSAYOS!$Q$5:$Q$3004,"&gt;0",ENSAYOS!$G$5:$G$3004,"&gt;="&amp;CONFIG!$B$27)=0,"",AVERAGEIFS(ENSAYOS!$Q$5:$Q$3004,ENSAYOS!$C$5:$C$3004,F932,ENSAYOS!$Q$5:$Q$3004,"&gt;0",ENSAYOS!$G$5:$G$3004,"&gt;="&amp;CONFIG!$B$27)))</f>
        <v/>
      </c>
      <c r="W932" s="18" t="str">
        <f aca="false">IF(AND(U932&lt;&gt;"",V932&lt;&gt;""),U932/V932,"")</f>
        <v/>
      </c>
      <c r="X932" s="18" t="str">
        <f aca="false">IF(U932="","",INDEX('CURVA EDAD'!$E$5:$E$32,MIN(28,MAX(1,N932))))</f>
        <v/>
      </c>
      <c r="Y932" s="16" t="str">
        <f aca="false">IF(V932&lt;&gt;"",V932,IF(U932="","",U932/X932))</f>
        <v/>
      </c>
      <c r="Z932" s="16" t="str">
        <f aca="false">IF(V932&lt;&gt;"",_xlfn.MINIFS(ENSAYOS!$Q$5:$Q$3004,ENSAYOS!$C$5:$C$3004,F932,ENSAYOS!$Q$5:$Q$3004,"&gt;0",ENSAYOS!$G$5:$G$3004,"&gt;="&amp;CONFIG!$B$27),IF(U932="","",_xlfn.MINIFS(ENSAYOS!$Q$5:$Q$3004,ENSAYOS!$C$5:$C$3004,F932,ENSAYOS!$Q$5:$Q$3004,"&gt;0",ENSAYOS!$G$5:$G$3004,N932)/X932))</f>
        <v/>
      </c>
      <c r="AA932" s="16" t="str">
        <f aca="false">IF(D932="","",IFERROR(1/(1/INDEX(CONFIG!$J$5:$J$14,MATCH(D932,CONFIG!$D$5:$D$14,0))),""))</f>
        <v/>
      </c>
      <c r="AB932" s="16" t="str">
        <f aca="false">IF(D932="","",IFERROR(1/(1/INDEX(CONFIG!$K$5:$K$14,MATCH(D932,CONFIG!$D$5:$D$14,0))),""))</f>
        <v/>
      </c>
      <c r="AC932" s="19" t="str">
        <f aca="false">IF(N(M932)=0,"",IF(AA932="","Sin spec",IF(AND(Y932&gt;=AA932,OR(AB932="",Z932&gt;=AB932)),"CUMPLE","NO CUMPLE")&amp;IF(V932=""," (est.)","")))</f>
        <v/>
      </c>
      <c r="AD932" s="20" t="str">
        <f aca="false">IF(F932="","",IF(COUNTIFS(ABSORCION!$C$5:$C$1004,F932,ABSORCION!$I$5:$I$1004,"&gt;0")=0,"",AVERAGEIFS(ABSORCION!$I$5:$I$1004,ABSORCION!$C$5:$C$1004,F932,ABSORCION!$I$5:$I$1004,"&gt;0")))</f>
        <v/>
      </c>
      <c r="AE932" s="20" t="str">
        <f aca="false">IF(F932="","",IF(COUNTIFS(ABSORCION!$C$5:$C$1004,F932,ABSORCION!$I$5:$I$1004,"&gt;0")=0,"",AVERAGEIFS(ABSORCION!$K$5:$K$1004,ABSORCION!$C$5:$C$1004,F932,ABSORCION!$I$5:$I$1004,"&gt;0")))</f>
        <v/>
      </c>
      <c r="AF932" s="20" t="str">
        <f aca="false">IF(AE932="","",IF(AE932&gt;=CONFIG!$E$21,CONFIG!$F$21,IF(AE932&gt;=CONFIG!$E$20,CONFIG!$F$20,CONFIG!$F$19)))</f>
        <v/>
      </c>
      <c r="AG932" s="21" t="str">
        <f aca="false">IF(F932="","",TRIM(IF(N(M932)=0,"Sin ensayos. ","")&amp;IF(AND(N(M932)&gt;0,N(M932)&lt;CONFIG!$B$26),"Menos de "&amp;CONFIG!$B$26&amp;" probetas. ","")&amp;IF(N(T932)&gt;CONFIG!$B$25,"CV alto. ","")&amp;IF(AND(N(AD932)&gt;0,N(AD932)&gt;N(AF932)),"Absorción alta. ","")))</f>
        <v/>
      </c>
      <c r="AH932" s="22" t="str">
        <f aca="false">IF(AND(N(M932)&gt;0,OR(CONTROL!$C$4="TODAS",C932=CONTROL!$C$4),D932=CONTROL!$C$5),MAX($AH$4:AH931)+1,"")</f>
        <v/>
      </c>
      <c r="AI932" s="22" t="str">
        <f aca="false">IF(AH932="","",P932^2)</f>
        <v/>
      </c>
    </row>
    <row r="933" customFormat="false" ht="15" hidden="false" customHeight="false" outlineLevel="0" collapsed="false">
      <c r="A933" s="11" t="str">
        <f aca="false">IF(B933="","",ROW()-4)</f>
        <v/>
      </c>
      <c r="B933" s="12"/>
      <c r="C933" s="13"/>
      <c r="D933" s="13"/>
      <c r="E933" s="13"/>
      <c r="F933" s="14" t="str">
        <f aca="false">IF(OR(B933="",C933="",D933=""),"",IFERROR(INDEX(CONFIG!$E$5:$E$14,MATCH(D933,CONFIG!$D$5:$D$14,0)),"?")&amp;RIGHT("0"&amp;DAY(B933),2)&amp;RIGHT("0"&amp;MONTH(B933),2)&amp;RIGHT(YEAR(B933),2)&amp;C933&amp;IF(E933="","","-"&amp;E933))</f>
        <v/>
      </c>
      <c r="G933" s="13"/>
      <c r="H933" s="13"/>
      <c r="I933" s="13"/>
      <c r="J933" s="13"/>
      <c r="K933" s="13"/>
      <c r="L933" s="13"/>
      <c r="M933" s="11" t="str">
        <f aca="false">IF(F933="","",COUNTIFS(ENSAYOS!$C$5:$C$3004,F933,ENSAYOS!$Q$5:$Q$3004,"&gt;0"))</f>
        <v/>
      </c>
      <c r="N933" s="15" t="str">
        <f aca="false">IF(N(M933)=0,"",_xlfn.MINIFS(ENSAYOS!$G$5:$G$3004,ENSAYOS!$C$5:$C$3004,F933,ENSAYOS!$Q$5:$Q$3004,"&gt;0"))</f>
        <v/>
      </c>
      <c r="O933" s="15" t="str">
        <f aca="false">IF(N(M933)=0,"",_xlfn.MAXIFS(ENSAYOS!$G$5:$G$3004,ENSAYOS!$C$5:$C$3004,F933,ENSAYOS!$Q$5:$Q$3004,"&gt;0"))</f>
        <v/>
      </c>
      <c r="P933" s="16" t="str">
        <f aca="false">IF(N(M933)=0,"",AVERAGEIFS(ENSAYOS!$Q$5:$Q$3004,ENSAYOS!$C$5:$C$3004,F933,ENSAYOS!$Q$5:$Q$3004,"&gt;0"))</f>
        <v/>
      </c>
      <c r="Q933" s="16" t="str">
        <f aca="false">IF(N(M933)=0,"",_xlfn.MINIFS(ENSAYOS!$Q$5:$Q$3004,ENSAYOS!$C$5:$C$3004,F933,ENSAYOS!$Q$5:$Q$3004,"&gt;0"))</f>
        <v/>
      </c>
      <c r="R933" s="16" t="str">
        <f aca="false">IF(N(M933)=0,"",_xlfn.MAXIFS(ENSAYOS!$Q$5:$Q$3004,ENSAYOS!$C$5:$C$3004,F933,ENSAYOS!$Q$5:$Q$3004,"&gt;0"))</f>
        <v/>
      </c>
      <c r="S933" s="16" t="str">
        <f aca="false">IF(N(M933)&lt;2,"",SQRT(MAX(0,(SUMIFS(ENSAYOS!$X$5:$X$3004,ENSAYOS!$C$5:$C$3004,F933,ENSAYOS!$Q$5:$Q$3004,"&gt;0")-M933*P933^2)/(M933-1))))</f>
        <v/>
      </c>
      <c r="T933" s="17" t="str">
        <f aca="false">IF(S933="","",S933/P933)</f>
        <v/>
      </c>
      <c r="U933" s="16" t="str">
        <f aca="false">IF(N(M933)=0,"",IF(N933&gt;=CONFIG!$B$27,"",AVERAGEIFS(ENSAYOS!$Q$5:$Q$3004,ENSAYOS!$C$5:$C$3004,F933,ENSAYOS!$Q$5:$Q$3004,"&gt;0",ENSAYOS!$G$5:$G$3004,N933)))</f>
        <v/>
      </c>
      <c r="V933" s="16" t="str">
        <f aca="false">IF(N(M933)=0,"",IF(COUNTIFS(ENSAYOS!$C$5:$C$3004,F933,ENSAYOS!$Q$5:$Q$3004,"&gt;0",ENSAYOS!$G$5:$G$3004,"&gt;="&amp;CONFIG!$B$27)=0,"",AVERAGEIFS(ENSAYOS!$Q$5:$Q$3004,ENSAYOS!$C$5:$C$3004,F933,ENSAYOS!$Q$5:$Q$3004,"&gt;0",ENSAYOS!$G$5:$G$3004,"&gt;="&amp;CONFIG!$B$27)))</f>
        <v/>
      </c>
      <c r="W933" s="18" t="str">
        <f aca="false">IF(AND(U933&lt;&gt;"",V933&lt;&gt;""),U933/V933,"")</f>
        <v/>
      </c>
      <c r="X933" s="18" t="str">
        <f aca="false">IF(U933="","",INDEX('CURVA EDAD'!$E$5:$E$32,MIN(28,MAX(1,N933))))</f>
        <v/>
      </c>
      <c r="Y933" s="16" t="str">
        <f aca="false">IF(V933&lt;&gt;"",V933,IF(U933="","",U933/X933))</f>
        <v/>
      </c>
      <c r="Z933" s="16" t="str">
        <f aca="false">IF(V933&lt;&gt;"",_xlfn.MINIFS(ENSAYOS!$Q$5:$Q$3004,ENSAYOS!$C$5:$C$3004,F933,ENSAYOS!$Q$5:$Q$3004,"&gt;0",ENSAYOS!$G$5:$G$3004,"&gt;="&amp;CONFIG!$B$27),IF(U933="","",_xlfn.MINIFS(ENSAYOS!$Q$5:$Q$3004,ENSAYOS!$C$5:$C$3004,F933,ENSAYOS!$Q$5:$Q$3004,"&gt;0",ENSAYOS!$G$5:$G$3004,N933)/X933))</f>
        <v/>
      </c>
      <c r="AA933" s="16" t="str">
        <f aca="false">IF(D933="","",IFERROR(1/(1/INDEX(CONFIG!$J$5:$J$14,MATCH(D933,CONFIG!$D$5:$D$14,0))),""))</f>
        <v/>
      </c>
      <c r="AB933" s="16" t="str">
        <f aca="false">IF(D933="","",IFERROR(1/(1/INDEX(CONFIG!$K$5:$K$14,MATCH(D933,CONFIG!$D$5:$D$14,0))),""))</f>
        <v/>
      </c>
      <c r="AC933" s="19" t="str">
        <f aca="false">IF(N(M933)=0,"",IF(AA933="","Sin spec",IF(AND(Y933&gt;=AA933,OR(AB933="",Z933&gt;=AB933)),"CUMPLE","NO CUMPLE")&amp;IF(V933=""," (est.)","")))</f>
        <v/>
      </c>
      <c r="AD933" s="20" t="str">
        <f aca="false">IF(F933="","",IF(COUNTIFS(ABSORCION!$C$5:$C$1004,F933,ABSORCION!$I$5:$I$1004,"&gt;0")=0,"",AVERAGEIFS(ABSORCION!$I$5:$I$1004,ABSORCION!$C$5:$C$1004,F933,ABSORCION!$I$5:$I$1004,"&gt;0")))</f>
        <v/>
      </c>
      <c r="AE933" s="20" t="str">
        <f aca="false">IF(F933="","",IF(COUNTIFS(ABSORCION!$C$5:$C$1004,F933,ABSORCION!$I$5:$I$1004,"&gt;0")=0,"",AVERAGEIFS(ABSORCION!$K$5:$K$1004,ABSORCION!$C$5:$C$1004,F933,ABSORCION!$I$5:$I$1004,"&gt;0")))</f>
        <v/>
      </c>
      <c r="AF933" s="20" t="str">
        <f aca="false">IF(AE933="","",IF(AE933&gt;=CONFIG!$E$21,CONFIG!$F$21,IF(AE933&gt;=CONFIG!$E$20,CONFIG!$F$20,CONFIG!$F$19)))</f>
        <v/>
      </c>
      <c r="AG933" s="21" t="str">
        <f aca="false">IF(F933="","",TRIM(IF(N(M933)=0,"Sin ensayos. ","")&amp;IF(AND(N(M933)&gt;0,N(M933)&lt;CONFIG!$B$26),"Menos de "&amp;CONFIG!$B$26&amp;" probetas. ","")&amp;IF(N(T933)&gt;CONFIG!$B$25,"CV alto. ","")&amp;IF(AND(N(AD933)&gt;0,N(AD933)&gt;N(AF933)),"Absorción alta. ","")))</f>
        <v/>
      </c>
      <c r="AH933" s="22" t="str">
        <f aca="false">IF(AND(N(M933)&gt;0,OR(CONTROL!$C$4="TODAS",C933=CONTROL!$C$4),D933=CONTROL!$C$5),MAX($AH$4:AH932)+1,"")</f>
        <v/>
      </c>
      <c r="AI933" s="22" t="str">
        <f aca="false">IF(AH933="","",P933^2)</f>
        <v/>
      </c>
    </row>
    <row r="934" customFormat="false" ht="15" hidden="false" customHeight="false" outlineLevel="0" collapsed="false">
      <c r="A934" s="11" t="str">
        <f aca="false">IF(B934="","",ROW()-4)</f>
        <v/>
      </c>
      <c r="B934" s="12"/>
      <c r="C934" s="13"/>
      <c r="D934" s="13"/>
      <c r="E934" s="13"/>
      <c r="F934" s="14" t="str">
        <f aca="false">IF(OR(B934="",C934="",D934=""),"",IFERROR(INDEX(CONFIG!$E$5:$E$14,MATCH(D934,CONFIG!$D$5:$D$14,0)),"?")&amp;RIGHT("0"&amp;DAY(B934),2)&amp;RIGHT("0"&amp;MONTH(B934),2)&amp;RIGHT(YEAR(B934),2)&amp;C934&amp;IF(E934="","","-"&amp;E934))</f>
        <v/>
      </c>
      <c r="G934" s="13"/>
      <c r="H934" s="13"/>
      <c r="I934" s="13"/>
      <c r="J934" s="13"/>
      <c r="K934" s="13"/>
      <c r="L934" s="13"/>
      <c r="M934" s="11" t="str">
        <f aca="false">IF(F934="","",COUNTIFS(ENSAYOS!$C$5:$C$3004,F934,ENSAYOS!$Q$5:$Q$3004,"&gt;0"))</f>
        <v/>
      </c>
      <c r="N934" s="15" t="str">
        <f aca="false">IF(N(M934)=0,"",_xlfn.MINIFS(ENSAYOS!$G$5:$G$3004,ENSAYOS!$C$5:$C$3004,F934,ENSAYOS!$Q$5:$Q$3004,"&gt;0"))</f>
        <v/>
      </c>
      <c r="O934" s="15" t="str">
        <f aca="false">IF(N(M934)=0,"",_xlfn.MAXIFS(ENSAYOS!$G$5:$G$3004,ENSAYOS!$C$5:$C$3004,F934,ENSAYOS!$Q$5:$Q$3004,"&gt;0"))</f>
        <v/>
      </c>
      <c r="P934" s="16" t="str">
        <f aca="false">IF(N(M934)=0,"",AVERAGEIFS(ENSAYOS!$Q$5:$Q$3004,ENSAYOS!$C$5:$C$3004,F934,ENSAYOS!$Q$5:$Q$3004,"&gt;0"))</f>
        <v/>
      </c>
      <c r="Q934" s="16" t="str">
        <f aca="false">IF(N(M934)=0,"",_xlfn.MINIFS(ENSAYOS!$Q$5:$Q$3004,ENSAYOS!$C$5:$C$3004,F934,ENSAYOS!$Q$5:$Q$3004,"&gt;0"))</f>
        <v/>
      </c>
      <c r="R934" s="16" t="str">
        <f aca="false">IF(N(M934)=0,"",_xlfn.MAXIFS(ENSAYOS!$Q$5:$Q$3004,ENSAYOS!$C$5:$C$3004,F934,ENSAYOS!$Q$5:$Q$3004,"&gt;0"))</f>
        <v/>
      </c>
      <c r="S934" s="16" t="str">
        <f aca="false">IF(N(M934)&lt;2,"",SQRT(MAX(0,(SUMIFS(ENSAYOS!$X$5:$X$3004,ENSAYOS!$C$5:$C$3004,F934,ENSAYOS!$Q$5:$Q$3004,"&gt;0")-M934*P934^2)/(M934-1))))</f>
        <v/>
      </c>
      <c r="T934" s="17" t="str">
        <f aca="false">IF(S934="","",S934/P934)</f>
        <v/>
      </c>
      <c r="U934" s="16" t="str">
        <f aca="false">IF(N(M934)=0,"",IF(N934&gt;=CONFIG!$B$27,"",AVERAGEIFS(ENSAYOS!$Q$5:$Q$3004,ENSAYOS!$C$5:$C$3004,F934,ENSAYOS!$Q$5:$Q$3004,"&gt;0",ENSAYOS!$G$5:$G$3004,N934)))</f>
        <v/>
      </c>
      <c r="V934" s="16" t="str">
        <f aca="false">IF(N(M934)=0,"",IF(COUNTIFS(ENSAYOS!$C$5:$C$3004,F934,ENSAYOS!$Q$5:$Q$3004,"&gt;0",ENSAYOS!$G$5:$G$3004,"&gt;="&amp;CONFIG!$B$27)=0,"",AVERAGEIFS(ENSAYOS!$Q$5:$Q$3004,ENSAYOS!$C$5:$C$3004,F934,ENSAYOS!$Q$5:$Q$3004,"&gt;0",ENSAYOS!$G$5:$G$3004,"&gt;="&amp;CONFIG!$B$27)))</f>
        <v/>
      </c>
      <c r="W934" s="18" t="str">
        <f aca="false">IF(AND(U934&lt;&gt;"",V934&lt;&gt;""),U934/V934,"")</f>
        <v/>
      </c>
      <c r="X934" s="18" t="str">
        <f aca="false">IF(U934="","",INDEX('CURVA EDAD'!$E$5:$E$32,MIN(28,MAX(1,N934))))</f>
        <v/>
      </c>
      <c r="Y934" s="16" t="str">
        <f aca="false">IF(V934&lt;&gt;"",V934,IF(U934="","",U934/X934))</f>
        <v/>
      </c>
      <c r="Z934" s="16" t="str">
        <f aca="false">IF(V934&lt;&gt;"",_xlfn.MINIFS(ENSAYOS!$Q$5:$Q$3004,ENSAYOS!$C$5:$C$3004,F934,ENSAYOS!$Q$5:$Q$3004,"&gt;0",ENSAYOS!$G$5:$G$3004,"&gt;="&amp;CONFIG!$B$27),IF(U934="","",_xlfn.MINIFS(ENSAYOS!$Q$5:$Q$3004,ENSAYOS!$C$5:$C$3004,F934,ENSAYOS!$Q$5:$Q$3004,"&gt;0",ENSAYOS!$G$5:$G$3004,N934)/X934))</f>
        <v/>
      </c>
      <c r="AA934" s="16" t="str">
        <f aca="false">IF(D934="","",IFERROR(1/(1/INDEX(CONFIG!$J$5:$J$14,MATCH(D934,CONFIG!$D$5:$D$14,0))),""))</f>
        <v/>
      </c>
      <c r="AB934" s="16" t="str">
        <f aca="false">IF(D934="","",IFERROR(1/(1/INDEX(CONFIG!$K$5:$K$14,MATCH(D934,CONFIG!$D$5:$D$14,0))),""))</f>
        <v/>
      </c>
      <c r="AC934" s="19" t="str">
        <f aca="false">IF(N(M934)=0,"",IF(AA934="","Sin spec",IF(AND(Y934&gt;=AA934,OR(AB934="",Z934&gt;=AB934)),"CUMPLE","NO CUMPLE")&amp;IF(V934=""," (est.)","")))</f>
        <v/>
      </c>
      <c r="AD934" s="20" t="str">
        <f aca="false">IF(F934="","",IF(COUNTIFS(ABSORCION!$C$5:$C$1004,F934,ABSORCION!$I$5:$I$1004,"&gt;0")=0,"",AVERAGEIFS(ABSORCION!$I$5:$I$1004,ABSORCION!$C$5:$C$1004,F934,ABSORCION!$I$5:$I$1004,"&gt;0")))</f>
        <v/>
      </c>
      <c r="AE934" s="20" t="str">
        <f aca="false">IF(F934="","",IF(COUNTIFS(ABSORCION!$C$5:$C$1004,F934,ABSORCION!$I$5:$I$1004,"&gt;0")=0,"",AVERAGEIFS(ABSORCION!$K$5:$K$1004,ABSORCION!$C$5:$C$1004,F934,ABSORCION!$I$5:$I$1004,"&gt;0")))</f>
        <v/>
      </c>
      <c r="AF934" s="20" t="str">
        <f aca="false">IF(AE934="","",IF(AE934&gt;=CONFIG!$E$21,CONFIG!$F$21,IF(AE934&gt;=CONFIG!$E$20,CONFIG!$F$20,CONFIG!$F$19)))</f>
        <v/>
      </c>
      <c r="AG934" s="21" t="str">
        <f aca="false">IF(F934="","",TRIM(IF(N(M934)=0,"Sin ensayos. ","")&amp;IF(AND(N(M934)&gt;0,N(M934)&lt;CONFIG!$B$26),"Menos de "&amp;CONFIG!$B$26&amp;" probetas. ","")&amp;IF(N(T934)&gt;CONFIG!$B$25,"CV alto. ","")&amp;IF(AND(N(AD934)&gt;0,N(AD934)&gt;N(AF934)),"Absorción alta. ","")))</f>
        <v/>
      </c>
      <c r="AH934" s="22" t="str">
        <f aca="false">IF(AND(N(M934)&gt;0,OR(CONTROL!$C$4="TODAS",C934=CONTROL!$C$4),D934=CONTROL!$C$5),MAX($AH$4:AH933)+1,"")</f>
        <v/>
      </c>
      <c r="AI934" s="22" t="str">
        <f aca="false">IF(AH934="","",P934^2)</f>
        <v/>
      </c>
    </row>
    <row r="935" customFormat="false" ht="15" hidden="false" customHeight="false" outlineLevel="0" collapsed="false">
      <c r="A935" s="11" t="str">
        <f aca="false">IF(B935="","",ROW()-4)</f>
        <v/>
      </c>
      <c r="B935" s="12"/>
      <c r="C935" s="13"/>
      <c r="D935" s="13"/>
      <c r="E935" s="13"/>
      <c r="F935" s="14" t="str">
        <f aca="false">IF(OR(B935="",C935="",D935=""),"",IFERROR(INDEX(CONFIG!$E$5:$E$14,MATCH(D935,CONFIG!$D$5:$D$14,0)),"?")&amp;RIGHT("0"&amp;DAY(B935),2)&amp;RIGHT("0"&amp;MONTH(B935),2)&amp;RIGHT(YEAR(B935),2)&amp;C935&amp;IF(E935="","","-"&amp;E935))</f>
        <v/>
      </c>
      <c r="G935" s="13"/>
      <c r="H935" s="13"/>
      <c r="I935" s="13"/>
      <c r="J935" s="13"/>
      <c r="K935" s="13"/>
      <c r="L935" s="13"/>
      <c r="M935" s="11" t="str">
        <f aca="false">IF(F935="","",COUNTIFS(ENSAYOS!$C$5:$C$3004,F935,ENSAYOS!$Q$5:$Q$3004,"&gt;0"))</f>
        <v/>
      </c>
      <c r="N935" s="15" t="str">
        <f aca="false">IF(N(M935)=0,"",_xlfn.MINIFS(ENSAYOS!$G$5:$G$3004,ENSAYOS!$C$5:$C$3004,F935,ENSAYOS!$Q$5:$Q$3004,"&gt;0"))</f>
        <v/>
      </c>
      <c r="O935" s="15" t="str">
        <f aca="false">IF(N(M935)=0,"",_xlfn.MAXIFS(ENSAYOS!$G$5:$G$3004,ENSAYOS!$C$5:$C$3004,F935,ENSAYOS!$Q$5:$Q$3004,"&gt;0"))</f>
        <v/>
      </c>
      <c r="P935" s="16" t="str">
        <f aca="false">IF(N(M935)=0,"",AVERAGEIFS(ENSAYOS!$Q$5:$Q$3004,ENSAYOS!$C$5:$C$3004,F935,ENSAYOS!$Q$5:$Q$3004,"&gt;0"))</f>
        <v/>
      </c>
      <c r="Q935" s="16" t="str">
        <f aca="false">IF(N(M935)=0,"",_xlfn.MINIFS(ENSAYOS!$Q$5:$Q$3004,ENSAYOS!$C$5:$C$3004,F935,ENSAYOS!$Q$5:$Q$3004,"&gt;0"))</f>
        <v/>
      </c>
      <c r="R935" s="16" t="str">
        <f aca="false">IF(N(M935)=0,"",_xlfn.MAXIFS(ENSAYOS!$Q$5:$Q$3004,ENSAYOS!$C$5:$C$3004,F935,ENSAYOS!$Q$5:$Q$3004,"&gt;0"))</f>
        <v/>
      </c>
      <c r="S935" s="16" t="str">
        <f aca="false">IF(N(M935)&lt;2,"",SQRT(MAX(0,(SUMIFS(ENSAYOS!$X$5:$X$3004,ENSAYOS!$C$5:$C$3004,F935,ENSAYOS!$Q$5:$Q$3004,"&gt;0")-M935*P935^2)/(M935-1))))</f>
        <v/>
      </c>
      <c r="T935" s="17" t="str">
        <f aca="false">IF(S935="","",S935/P935)</f>
        <v/>
      </c>
      <c r="U935" s="16" t="str">
        <f aca="false">IF(N(M935)=0,"",IF(N935&gt;=CONFIG!$B$27,"",AVERAGEIFS(ENSAYOS!$Q$5:$Q$3004,ENSAYOS!$C$5:$C$3004,F935,ENSAYOS!$Q$5:$Q$3004,"&gt;0",ENSAYOS!$G$5:$G$3004,N935)))</f>
        <v/>
      </c>
      <c r="V935" s="16" t="str">
        <f aca="false">IF(N(M935)=0,"",IF(COUNTIFS(ENSAYOS!$C$5:$C$3004,F935,ENSAYOS!$Q$5:$Q$3004,"&gt;0",ENSAYOS!$G$5:$G$3004,"&gt;="&amp;CONFIG!$B$27)=0,"",AVERAGEIFS(ENSAYOS!$Q$5:$Q$3004,ENSAYOS!$C$5:$C$3004,F935,ENSAYOS!$Q$5:$Q$3004,"&gt;0",ENSAYOS!$G$5:$G$3004,"&gt;="&amp;CONFIG!$B$27)))</f>
        <v/>
      </c>
      <c r="W935" s="18" t="str">
        <f aca="false">IF(AND(U935&lt;&gt;"",V935&lt;&gt;""),U935/V935,"")</f>
        <v/>
      </c>
      <c r="X935" s="18" t="str">
        <f aca="false">IF(U935="","",INDEX('CURVA EDAD'!$E$5:$E$32,MIN(28,MAX(1,N935))))</f>
        <v/>
      </c>
      <c r="Y935" s="16" t="str">
        <f aca="false">IF(V935&lt;&gt;"",V935,IF(U935="","",U935/X935))</f>
        <v/>
      </c>
      <c r="Z935" s="16" t="str">
        <f aca="false">IF(V935&lt;&gt;"",_xlfn.MINIFS(ENSAYOS!$Q$5:$Q$3004,ENSAYOS!$C$5:$C$3004,F935,ENSAYOS!$Q$5:$Q$3004,"&gt;0",ENSAYOS!$G$5:$G$3004,"&gt;="&amp;CONFIG!$B$27),IF(U935="","",_xlfn.MINIFS(ENSAYOS!$Q$5:$Q$3004,ENSAYOS!$C$5:$C$3004,F935,ENSAYOS!$Q$5:$Q$3004,"&gt;0",ENSAYOS!$G$5:$G$3004,N935)/X935))</f>
        <v/>
      </c>
      <c r="AA935" s="16" t="str">
        <f aca="false">IF(D935="","",IFERROR(1/(1/INDEX(CONFIG!$J$5:$J$14,MATCH(D935,CONFIG!$D$5:$D$14,0))),""))</f>
        <v/>
      </c>
      <c r="AB935" s="16" t="str">
        <f aca="false">IF(D935="","",IFERROR(1/(1/INDEX(CONFIG!$K$5:$K$14,MATCH(D935,CONFIG!$D$5:$D$14,0))),""))</f>
        <v/>
      </c>
      <c r="AC935" s="19" t="str">
        <f aca="false">IF(N(M935)=0,"",IF(AA935="","Sin spec",IF(AND(Y935&gt;=AA935,OR(AB935="",Z935&gt;=AB935)),"CUMPLE","NO CUMPLE")&amp;IF(V935=""," (est.)","")))</f>
        <v/>
      </c>
      <c r="AD935" s="20" t="str">
        <f aca="false">IF(F935="","",IF(COUNTIFS(ABSORCION!$C$5:$C$1004,F935,ABSORCION!$I$5:$I$1004,"&gt;0")=0,"",AVERAGEIFS(ABSORCION!$I$5:$I$1004,ABSORCION!$C$5:$C$1004,F935,ABSORCION!$I$5:$I$1004,"&gt;0")))</f>
        <v/>
      </c>
      <c r="AE935" s="20" t="str">
        <f aca="false">IF(F935="","",IF(COUNTIFS(ABSORCION!$C$5:$C$1004,F935,ABSORCION!$I$5:$I$1004,"&gt;0")=0,"",AVERAGEIFS(ABSORCION!$K$5:$K$1004,ABSORCION!$C$5:$C$1004,F935,ABSORCION!$I$5:$I$1004,"&gt;0")))</f>
        <v/>
      </c>
      <c r="AF935" s="20" t="str">
        <f aca="false">IF(AE935="","",IF(AE935&gt;=CONFIG!$E$21,CONFIG!$F$21,IF(AE935&gt;=CONFIG!$E$20,CONFIG!$F$20,CONFIG!$F$19)))</f>
        <v/>
      </c>
      <c r="AG935" s="21" t="str">
        <f aca="false">IF(F935="","",TRIM(IF(N(M935)=0,"Sin ensayos. ","")&amp;IF(AND(N(M935)&gt;0,N(M935)&lt;CONFIG!$B$26),"Menos de "&amp;CONFIG!$B$26&amp;" probetas. ","")&amp;IF(N(T935)&gt;CONFIG!$B$25,"CV alto. ","")&amp;IF(AND(N(AD935)&gt;0,N(AD935)&gt;N(AF935)),"Absorción alta. ","")))</f>
        <v/>
      </c>
      <c r="AH935" s="22" t="str">
        <f aca="false">IF(AND(N(M935)&gt;0,OR(CONTROL!$C$4="TODAS",C935=CONTROL!$C$4),D935=CONTROL!$C$5),MAX($AH$4:AH934)+1,"")</f>
        <v/>
      </c>
      <c r="AI935" s="22" t="str">
        <f aca="false">IF(AH935="","",P935^2)</f>
        <v/>
      </c>
    </row>
    <row r="936" customFormat="false" ht="15" hidden="false" customHeight="false" outlineLevel="0" collapsed="false">
      <c r="A936" s="11" t="str">
        <f aca="false">IF(B936="","",ROW()-4)</f>
        <v/>
      </c>
      <c r="B936" s="12"/>
      <c r="C936" s="13"/>
      <c r="D936" s="13"/>
      <c r="E936" s="13"/>
      <c r="F936" s="14" t="str">
        <f aca="false">IF(OR(B936="",C936="",D936=""),"",IFERROR(INDEX(CONFIG!$E$5:$E$14,MATCH(D936,CONFIG!$D$5:$D$14,0)),"?")&amp;RIGHT("0"&amp;DAY(B936),2)&amp;RIGHT("0"&amp;MONTH(B936),2)&amp;RIGHT(YEAR(B936),2)&amp;C936&amp;IF(E936="","","-"&amp;E936))</f>
        <v/>
      </c>
      <c r="G936" s="13"/>
      <c r="H936" s="13"/>
      <c r="I936" s="13"/>
      <c r="J936" s="13"/>
      <c r="K936" s="13"/>
      <c r="L936" s="13"/>
      <c r="M936" s="11" t="str">
        <f aca="false">IF(F936="","",COUNTIFS(ENSAYOS!$C$5:$C$3004,F936,ENSAYOS!$Q$5:$Q$3004,"&gt;0"))</f>
        <v/>
      </c>
      <c r="N936" s="15" t="str">
        <f aca="false">IF(N(M936)=0,"",_xlfn.MINIFS(ENSAYOS!$G$5:$G$3004,ENSAYOS!$C$5:$C$3004,F936,ENSAYOS!$Q$5:$Q$3004,"&gt;0"))</f>
        <v/>
      </c>
      <c r="O936" s="15" t="str">
        <f aca="false">IF(N(M936)=0,"",_xlfn.MAXIFS(ENSAYOS!$G$5:$G$3004,ENSAYOS!$C$5:$C$3004,F936,ENSAYOS!$Q$5:$Q$3004,"&gt;0"))</f>
        <v/>
      </c>
      <c r="P936" s="16" t="str">
        <f aca="false">IF(N(M936)=0,"",AVERAGEIFS(ENSAYOS!$Q$5:$Q$3004,ENSAYOS!$C$5:$C$3004,F936,ENSAYOS!$Q$5:$Q$3004,"&gt;0"))</f>
        <v/>
      </c>
      <c r="Q936" s="16" t="str">
        <f aca="false">IF(N(M936)=0,"",_xlfn.MINIFS(ENSAYOS!$Q$5:$Q$3004,ENSAYOS!$C$5:$C$3004,F936,ENSAYOS!$Q$5:$Q$3004,"&gt;0"))</f>
        <v/>
      </c>
      <c r="R936" s="16" t="str">
        <f aca="false">IF(N(M936)=0,"",_xlfn.MAXIFS(ENSAYOS!$Q$5:$Q$3004,ENSAYOS!$C$5:$C$3004,F936,ENSAYOS!$Q$5:$Q$3004,"&gt;0"))</f>
        <v/>
      </c>
      <c r="S936" s="16" t="str">
        <f aca="false">IF(N(M936)&lt;2,"",SQRT(MAX(0,(SUMIFS(ENSAYOS!$X$5:$X$3004,ENSAYOS!$C$5:$C$3004,F936,ENSAYOS!$Q$5:$Q$3004,"&gt;0")-M936*P936^2)/(M936-1))))</f>
        <v/>
      </c>
      <c r="T936" s="17" t="str">
        <f aca="false">IF(S936="","",S936/P936)</f>
        <v/>
      </c>
      <c r="U936" s="16" t="str">
        <f aca="false">IF(N(M936)=0,"",IF(N936&gt;=CONFIG!$B$27,"",AVERAGEIFS(ENSAYOS!$Q$5:$Q$3004,ENSAYOS!$C$5:$C$3004,F936,ENSAYOS!$Q$5:$Q$3004,"&gt;0",ENSAYOS!$G$5:$G$3004,N936)))</f>
        <v/>
      </c>
      <c r="V936" s="16" t="str">
        <f aca="false">IF(N(M936)=0,"",IF(COUNTIFS(ENSAYOS!$C$5:$C$3004,F936,ENSAYOS!$Q$5:$Q$3004,"&gt;0",ENSAYOS!$G$5:$G$3004,"&gt;="&amp;CONFIG!$B$27)=0,"",AVERAGEIFS(ENSAYOS!$Q$5:$Q$3004,ENSAYOS!$C$5:$C$3004,F936,ENSAYOS!$Q$5:$Q$3004,"&gt;0",ENSAYOS!$G$5:$G$3004,"&gt;="&amp;CONFIG!$B$27)))</f>
        <v/>
      </c>
      <c r="W936" s="18" t="str">
        <f aca="false">IF(AND(U936&lt;&gt;"",V936&lt;&gt;""),U936/V936,"")</f>
        <v/>
      </c>
      <c r="X936" s="18" t="str">
        <f aca="false">IF(U936="","",INDEX('CURVA EDAD'!$E$5:$E$32,MIN(28,MAX(1,N936))))</f>
        <v/>
      </c>
      <c r="Y936" s="16" t="str">
        <f aca="false">IF(V936&lt;&gt;"",V936,IF(U936="","",U936/X936))</f>
        <v/>
      </c>
      <c r="Z936" s="16" t="str">
        <f aca="false">IF(V936&lt;&gt;"",_xlfn.MINIFS(ENSAYOS!$Q$5:$Q$3004,ENSAYOS!$C$5:$C$3004,F936,ENSAYOS!$Q$5:$Q$3004,"&gt;0",ENSAYOS!$G$5:$G$3004,"&gt;="&amp;CONFIG!$B$27),IF(U936="","",_xlfn.MINIFS(ENSAYOS!$Q$5:$Q$3004,ENSAYOS!$C$5:$C$3004,F936,ENSAYOS!$Q$5:$Q$3004,"&gt;0",ENSAYOS!$G$5:$G$3004,N936)/X936))</f>
        <v/>
      </c>
      <c r="AA936" s="16" t="str">
        <f aca="false">IF(D936="","",IFERROR(1/(1/INDEX(CONFIG!$J$5:$J$14,MATCH(D936,CONFIG!$D$5:$D$14,0))),""))</f>
        <v/>
      </c>
      <c r="AB936" s="16" t="str">
        <f aca="false">IF(D936="","",IFERROR(1/(1/INDEX(CONFIG!$K$5:$K$14,MATCH(D936,CONFIG!$D$5:$D$14,0))),""))</f>
        <v/>
      </c>
      <c r="AC936" s="19" t="str">
        <f aca="false">IF(N(M936)=0,"",IF(AA936="","Sin spec",IF(AND(Y936&gt;=AA936,OR(AB936="",Z936&gt;=AB936)),"CUMPLE","NO CUMPLE")&amp;IF(V936=""," (est.)","")))</f>
        <v/>
      </c>
      <c r="AD936" s="20" t="str">
        <f aca="false">IF(F936="","",IF(COUNTIFS(ABSORCION!$C$5:$C$1004,F936,ABSORCION!$I$5:$I$1004,"&gt;0")=0,"",AVERAGEIFS(ABSORCION!$I$5:$I$1004,ABSORCION!$C$5:$C$1004,F936,ABSORCION!$I$5:$I$1004,"&gt;0")))</f>
        <v/>
      </c>
      <c r="AE936" s="20" t="str">
        <f aca="false">IF(F936="","",IF(COUNTIFS(ABSORCION!$C$5:$C$1004,F936,ABSORCION!$I$5:$I$1004,"&gt;0")=0,"",AVERAGEIFS(ABSORCION!$K$5:$K$1004,ABSORCION!$C$5:$C$1004,F936,ABSORCION!$I$5:$I$1004,"&gt;0")))</f>
        <v/>
      </c>
      <c r="AF936" s="20" t="str">
        <f aca="false">IF(AE936="","",IF(AE936&gt;=CONFIG!$E$21,CONFIG!$F$21,IF(AE936&gt;=CONFIG!$E$20,CONFIG!$F$20,CONFIG!$F$19)))</f>
        <v/>
      </c>
      <c r="AG936" s="21" t="str">
        <f aca="false">IF(F936="","",TRIM(IF(N(M936)=0,"Sin ensayos. ","")&amp;IF(AND(N(M936)&gt;0,N(M936)&lt;CONFIG!$B$26),"Menos de "&amp;CONFIG!$B$26&amp;" probetas. ","")&amp;IF(N(T936)&gt;CONFIG!$B$25,"CV alto. ","")&amp;IF(AND(N(AD936)&gt;0,N(AD936)&gt;N(AF936)),"Absorción alta. ","")))</f>
        <v/>
      </c>
      <c r="AH936" s="22" t="str">
        <f aca="false">IF(AND(N(M936)&gt;0,OR(CONTROL!$C$4="TODAS",C936=CONTROL!$C$4),D936=CONTROL!$C$5),MAX($AH$4:AH935)+1,"")</f>
        <v/>
      </c>
      <c r="AI936" s="22" t="str">
        <f aca="false">IF(AH936="","",P936^2)</f>
        <v/>
      </c>
    </row>
    <row r="937" customFormat="false" ht="15" hidden="false" customHeight="false" outlineLevel="0" collapsed="false">
      <c r="A937" s="11" t="str">
        <f aca="false">IF(B937="","",ROW()-4)</f>
        <v/>
      </c>
      <c r="B937" s="12"/>
      <c r="C937" s="13"/>
      <c r="D937" s="13"/>
      <c r="E937" s="13"/>
      <c r="F937" s="14" t="str">
        <f aca="false">IF(OR(B937="",C937="",D937=""),"",IFERROR(INDEX(CONFIG!$E$5:$E$14,MATCH(D937,CONFIG!$D$5:$D$14,0)),"?")&amp;RIGHT("0"&amp;DAY(B937),2)&amp;RIGHT("0"&amp;MONTH(B937),2)&amp;RIGHT(YEAR(B937),2)&amp;C937&amp;IF(E937="","","-"&amp;E937))</f>
        <v/>
      </c>
      <c r="G937" s="13"/>
      <c r="H937" s="13"/>
      <c r="I937" s="13"/>
      <c r="J937" s="13"/>
      <c r="K937" s="13"/>
      <c r="L937" s="13"/>
      <c r="M937" s="11" t="str">
        <f aca="false">IF(F937="","",COUNTIFS(ENSAYOS!$C$5:$C$3004,F937,ENSAYOS!$Q$5:$Q$3004,"&gt;0"))</f>
        <v/>
      </c>
      <c r="N937" s="15" t="str">
        <f aca="false">IF(N(M937)=0,"",_xlfn.MINIFS(ENSAYOS!$G$5:$G$3004,ENSAYOS!$C$5:$C$3004,F937,ENSAYOS!$Q$5:$Q$3004,"&gt;0"))</f>
        <v/>
      </c>
      <c r="O937" s="15" t="str">
        <f aca="false">IF(N(M937)=0,"",_xlfn.MAXIFS(ENSAYOS!$G$5:$G$3004,ENSAYOS!$C$5:$C$3004,F937,ENSAYOS!$Q$5:$Q$3004,"&gt;0"))</f>
        <v/>
      </c>
      <c r="P937" s="16" t="str">
        <f aca="false">IF(N(M937)=0,"",AVERAGEIFS(ENSAYOS!$Q$5:$Q$3004,ENSAYOS!$C$5:$C$3004,F937,ENSAYOS!$Q$5:$Q$3004,"&gt;0"))</f>
        <v/>
      </c>
      <c r="Q937" s="16" t="str">
        <f aca="false">IF(N(M937)=0,"",_xlfn.MINIFS(ENSAYOS!$Q$5:$Q$3004,ENSAYOS!$C$5:$C$3004,F937,ENSAYOS!$Q$5:$Q$3004,"&gt;0"))</f>
        <v/>
      </c>
      <c r="R937" s="16" t="str">
        <f aca="false">IF(N(M937)=0,"",_xlfn.MAXIFS(ENSAYOS!$Q$5:$Q$3004,ENSAYOS!$C$5:$C$3004,F937,ENSAYOS!$Q$5:$Q$3004,"&gt;0"))</f>
        <v/>
      </c>
      <c r="S937" s="16" t="str">
        <f aca="false">IF(N(M937)&lt;2,"",SQRT(MAX(0,(SUMIFS(ENSAYOS!$X$5:$X$3004,ENSAYOS!$C$5:$C$3004,F937,ENSAYOS!$Q$5:$Q$3004,"&gt;0")-M937*P937^2)/(M937-1))))</f>
        <v/>
      </c>
      <c r="T937" s="17" t="str">
        <f aca="false">IF(S937="","",S937/P937)</f>
        <v/>
      </c>
      <c r="U937" s="16" t="str">
        <f aca="false">IF(N(M937)=0,"",IF(N937&gt;=CONFIG!$B$27,"",AVERAGEIFS(ENSAYOS!$Q$5:$Q$3004,ENSAYOS!$C$5:$C$3004,F937,ENSAYOS!$Q$5:$Q$3004,"&gt;0",ENSAYOS!$G$5:$G$3004,N937)))</f>
        <v/>
      </c>
      <c r="V937" s="16" t="str">
        <f aca="false">IF(N(M937)=0,"",IF(COUNTIFS(ENSAYOS!$C$5:$C$3004,F937,ENSAYOS!$Q$5:$Q$3004,"&gt;0",ENSAYOS!$G$5:$G$3004,"&gt;="&amp;CONFIG!$B$27)=0,"",AVERAGEIFS(ENSAYOS!$Q$5:$Q$3004,ENSAYOS!$C$5:$C$3004,F937,ENSAYOS!$Q$5:$Q$3004,"&gt;0",ENSAYOS!$G$5:$G$3004,"&gt;="&amp;CONFIG!$B$27)))</f>
        <v/>
      </c>
      <c r="W937" s="18" t="str">
        <f aca="false">IF(AND(U937&lt;&gt;"",V937&lt;&gt;""),U937/V937,"")</f>
        <v/>
      </c>
      <c r="X937" s="18" t="str">
        <f aca="false">IF(U937="","",INDEX('CURVA EDAD'!$E$5:$E$32,MIN(28,MAX(1,N937))))</f>
        <v/>
      </c>
      <c r="Y937" s="16" t="str">
        <f aca="false">IF(V937&lt;&gt;"",V937,IF(U937="","",U937/X937))</f>
        <v/>
      </c>
      <c r="Z937" s="16" t="str">
        <f aca="false">IF(V937&lt;&gt;"",_xlfn.MINIFS(ENSAYOS!$Q$5:$Q$3004,ENSAYOS!$C$5:$C$3004,F937,ENSAYOS!$Q$5:$Q$3004,"&gt;0",ENSAYOS!$G$5:$G$3004,"&gt;="&amp;CONFIG!$B$27),IF(U937="","",_xlfn.MINIFS(ENSAYOS!$Q$5:$Q$3004,ENSAYOS!$C$5:$C$3004,F937,ENSAYOS!$Q$5:$Q$3004,"&gt;0",ENSAYOS!$G$5:$G$3004,N937)/X937))</f>
        <v/>
      </c>
      <c r="AA937" s="16" t="str">
        <f aca="false">IF(D937="","",IFERROR(1/(1/INDEX(CONFIG!$J$5:$J$14,MATCH(D937,CONFIG!$D$5:$D$14,0))),""))</f>
        <v/>
      </c>
      <c r="AB937" s="16" t="str">
        <f aca="false">IF(D937="","",IFERROR(1/(1/INDEX(CONFIG!$K$5:$K$14,MATCH(D937,CONFIG!$D$5:$D$14,0))),""))</f>
        <v/>
      </c>
      <c r="AC937" s="19" t="str">
        <f aca="false">IF(N(M937)=0,"",IF(AA937="","Sin spec",IF(AND(Y937&gt;=AA937,OR(AB937="",Z937&gt;=AB937)),"CUMPLE","NO CUMPLE")&amp;IF(V937=""," (est.)","")))</f>
        <v/>
      </c>
      <c r="AD937" s="20" t="str">
        <f aca="false">IF(F937="","",IF(COUNTIFS(ABSORCION!$C$5:$C$1004,F937,ABSORCION!$I$5:$I$1004,"&gt;0")=0,"",AVERAGEIFS(ABSORCION!$I$5:$I$1004,ABSORCION!$C$5:$C$1004,F937,ABSORCION!$I$5:$I$1004,"&gt;0")))</f>
        <v/>
      </c>
      <c r="AE937" s="20" t="str">
        <f aca="false">IF(F937="","",IF(COUNTIFS(ABSORCION!$C$5:$C$1004,F937,ABSORCION!$I$5:$I$1004,"&gt;0")=0,"",AVERAGEIFS(ABSORCION!$K$5:$K$1004,ABSORCION!$C$5:$C$1004,F937,ABSORCION!$I$5:$I$1004,"&gt;0")))</f>
        <v/>
      </c>
      <c r="AF937" s="20" t="str">
        <f aca="false">IF(AE937="","",IF(AE937&gt;=CONFIG!$E$21,CONFIG!$F$21,IF(AE937&gt;=CONFIG!$E$20,CONFIG!$F$20,CONFIG!$F$19)))</f>
        <v/>
      </c>
      <c r="AG937" s="21" t="str">
        <f aca="false">IF(F937="","",TRIM(IF(N(M937)=0,"Sin ensayos. ","")&amp;IF(AND(N(M937)&gt;0,N(M937)&lt;CONFIG!$B$26),"Menos de "&amp;CONFIG!$B$26&amp;" probetas. ","")&amp;IF(N(T937)&gt;CONFIG!$B$25,"CV alto. ","")&amp;IF(AND(N(AD937)&gt;0,N(AD937)&gt;N(AF937)),"Absorción alta. ","")))</f>
        <v/>
      </c>
      <c r="AH937" s="22" t="str">
        <f aca="false">IF(AND(N(M937)&gt;0,OR(CONTROL!$C$4="TODAS",C937=CONTROL!$C$4),D937=CONTROL!$C$5),MAX($AH$4:AH936)+1,"")</f>
        <v/>
      </c>
      <c r="AI937" s="22" t="str">
        <f aca="false">IF(AH937="","",P937^2)</f>
        <v/>
      </c>
    </row>
    <row r="938" customFormat="false" ht="15" hidden="false" customHeight="false" outlineLevel="0" collapsed="false">
      <c r="A938" s="11" t="str">
        <f aca="false">IF(B938="","",ROW()-4)</f>
        <v/>
      </c>
      <c r="B938" s="12"/>
      <c r="C938" s="13"/>
      <c r="D938" s="13"/>
      <c r="E938" s="13"/>
      <c r="F938" s="14" t="str">
        <f aca="false">IF(OR(B938="",C938="",D938=""),"",IFERROR(INDEX(CONFIG!$E$5:$E$14,MATCH(D938,CONFIG!$D$5:$D$14,0)),"?")&amp;RIGHT("0"&amp;DAY(B938),2)&amp;RIGHT("0"&amp;MONTH(B938),2)&amp;RIGHT(YEAR(B938),2)&amp;C938&amp;IF(E938="","","-"&amp;E938))</f>
        <v/>
      </c>
      <c r="G938" s="13"/>
      <c r="H938" s="13"/>
      <c r="I938" s="13"/>
      <c r="J938" s="13"/>
      <c r="K938" s="13"/>
      <c r="L938" s="13"/>
      <c r="M938" s="11" t="str">
        <f aca="false">IF(F938="","",COUNTIFS(ENSAYOS!$C$5:$C$3004,F938,ENSAYOS!$Q$5:$Q$3004,"&gt;0"))</f>
        <v/>
      </c>
      <c r="N938" s="15" t="str">
        <f aca="false">IF(N(M938)=0,"",_xlfn.MINIFS(ENSAYOS!$G$5:$G$3004,ENSAYOS!$C$5:$C$3004,F938,ENSAYOS!$Q$5:$Q$3004,"&gt;0"))</f>
        <v/>
      </c>
      <c r="O938" s="15" t="str">
        <f aca="false">IF(N(M938)=0,"",_xlfn.MAXIFS(ENSAYOS!$G$5:$G$3004,ENSAYOS!$C$5:$C$3004,F938,ENSAYOS!$Q$5:$Q$3004,"&gt;0"))</f>
        <v/>
      </c>
      <c r="P938" s="16" t="str">
        <f aca="false">IF(N(M938)=0,"",AVERAGEIFS(ENSAYOS!$Q$5:$Q$3004,ENSAYOS!$C$5:$C$3004,F938,ENSAYOS!$Q$5:$Q$3004,"&gt;0"))</f>
        <v/>
      </c>
      <c r="Q938" s="16" t="str">
        <f aca="false">IF(N(M938)=0,"",_xlfn.MINIFS(ENSAYOS!$Q$5:$Q$3004,ENSAYOS!$C$5:$C$3004,F938,ENSAYOS!$Q$5:$Q$3004,"&gt;0"))</f>
        <v/>
      </c>
      <c r="R938" s="16" t="str">
        <f aca="false">IF(N(M938)=0,"",_xlfn.MAXIFS(ENSAYOS!$Q$5:$Q$3004,ENSAYOS!$C$5:$C$3004,F938,ENSAYOS!$Q$5:$Q$3004,"&gt;0"))</f>
        <v/>
      </c>
      <c r="S938" s="16" t="str">
        <f aca="false">IF(N(M938)&lt;2,"",SQRT(MAX(0,(SUMIFS(ENSAYOS!$X$5:$X$3004,ENSAYOS!$C$5:$C$3004,F938,ENSAYOS!$Q$5:$Q$3004,"&gt;0")-M938*P938^2)/(M938-1))))</f>
        <v/>
      </c>
      <c r="T938" s="17" t="str">
        <f aca="false">IF(S938="","",S938/P938)</f>
        <v/>
      </c>
      <c r="U938" s="16" t="str">
        <f aca="false">IF(N(M938)=0,"",IF(N938&gt;=CONFIG!$B$27,"",AVERAGEIFS(ENSAYOS!$Q$5:$Q$3004,ENSAYOS!$C$5:$C$3004,F938,ENSAYOS!$Q$5:$Q$3004,"&gt;0",ENSAYOS!$G$5:$G$3004,N938)))</f>
        <v/>
      </c>
      <c r="V938" s="16" t="str">
        <f aca="false">IF(N(M938)=0,"",IF(COUNTIFS(ENSAYOS!$C$5:$C$3004,F938,ENSAYOS!$Q$5:$Q$3004,"&gt;0",ENSAYOS!$G$5:$G$3004,"&gt;="&amp;CONFIG!$B$27)=0,"",AVERAGEIFS(ENSAYOS!$Q$5:$Q$3004,ENSAYOS!$C$5:$C$3004,F938,ENSAYOS!$Q$5:$Q$3004,"&gt;0",ENSAYOS!$G$5:$G$3004,"&gt;="&amp;CONFIG!$B$27)))</f>
        <v/>
      </c>
      <c r="W938" s="18" t="str">
        <f aca="false">IF(AND(U938&lt;&gt;"",V938&lt;&gt;""),U938/V938,"")</f>
        <v/>
      </c>
      <c r="X938" s="18" t="str">
        <f aca="false">IF(U938="","",INDEX('CURVA EDAD'!$E$5:$E$32,MIN(28,MAX(1,N938))))</f>
        <v/>
      </c>
      <c r="Y938" s="16" t="str">
        <f aca="false">IF(V938&lt;&gt;"",V938,IF(U938="","",U938/X938))</f>
        <v/>
      </c>
      <c r="Z938" s="16" t="str">
        <f aca="false">IF(V938&lt;&gt;"",_xlfn.MINIFS(ENSAYOS!$Q$5:$Q$3004,ENSAYOS!$C$5:$C$3004,F938,ENSAYOS!$Q$5:$Q$3004,"&gt;0",ENSAYOS!$G$5:$G$3004,"&gt;="&amp;CONFIG!$B$27),IF(U938="","",_xlfn.MINIFS(ENSAYOS!$Q$5:$Q$3004,ENSAYOS!$C$5:$C$3004,F938,ENSAYOS!$Q$5:$Q$3004,"&gt;0",ENSAYOS!$G$5:$G$3004,N938)/X938))</f>
        <v/>
      </c>
      <c r="AA938" s="16" t="str">
        <f aca="false">IF(D938="","",IFERROR(1/(1/INDEX(CONFIG!$J$5:$J$14,MATCH(D938,CONFIG!$D$5:$D$14,0))),""))</f>
        <v/>
      </c>
      <c r="AB938" s="16" t="str">
        <f aca="false">IF(D938="","",IFERROR(1/(1/INDEX(CONFIG!$K$5:$K$14,MATCH(D938,CONFIG!$D$5:$D$14,0))),""))</f>
        <v/>
      </c>
      <c r="AC938" s="19" t="str">
        <f aca="false">IF(N(M938)=0,"",IF(AA938="","Sin spec",IF(AND(Y938&gt;=AA938,OR(AB938="",Z938&gt;=AB938)),"CUMPLE","NO CUMPLE")&amp;IF(V938=""," (est.)","")))</f>
        <v/>
      </c>
      <c r="AD938" s="20" t="str">
        <f aca="false">IF(F938="","",IF(COUNTIFS(ABSORCION!$C$5:$C$1004,F938,ABSORCION!$I$5:$I$1004,"&gt;0")=0,"",AVERAGEIFS(ABSORCION!$I$5:$I$1004,ABSORCION!$C$5:$C$1004,F938,ABSORCION!$I$5:$I$1004,"&gt;0")))</f>
        <v/>
      </c>
      <c r="AE938" s="20" t="str">
        <f aca="false">IF(F938="","",IF(COUNTIFS(ABSORCION!$C$5:$C$1004,F938,ABSORCION!$I$5:$I$1004,"&gt;0")=0,"",AVERAGEIFS(ABSORCION!$K$5:$K$1004,ABSORCION!$C$5:$C$1004,F938,ABSORCION!$I$5:$I$1004,"&gt;0")))</f>
        <v/>
      </c>
      <c r="AF938" s="20" t="str">
        <f aca="false">IF(AE938="","",IF(AE938&gt;=CONFIG!$E$21,CONFIG!$F$21,IF(AE938&gt;=CONFIG!$E$20,CONFIG!$F$20,CONFIG!$F$19)))</f>
        <v/>
      </c>
      <c r="AG938" s="21" t="str">
        <f aca="false">IF(F938="","",TRIM(IF(N(M938)=0,"Sin ensayos. ","")&amp;IF(AND(N(M938)&gt;0,N(M938)&lt;CONFIG!$B$26),"Menos de "&amp;CONFIG!$B$26&amp;" probetas. ","")&amp;IF(N(T938)&gt;CONFIG!$B$25,"CV alto. ","")&amp;IF(AND(N(AD938)&gt;0,N(AD938)&gt;N(AF938)),"Absorción alta. ","")))</f>
        <v/>
      </c>
      <c r="AH938" s="22" t="str">
        <f aca="false">IF(AND(N(M938)&gt;0,OR(CONTROL!$C$4="TODAS",C938=CONTROL!$C$4),D938=CONTROL!$C$5),MAX($AH$4:AH937)+1,"")</f>
        <v/>
      </c>
      <c r="AI938" s="22" t="str">
        <f aca="false">IF(AH938="","",P938^2)</f>
        <v/>
      </c>
    </row>
    <row r="939" customFormat="false" ht="15" hidden="false" customHeight="false" outlineLevel="0" collapsed="false">
      <c r="A939" s="11" t="str">
        <f aca="false">IF(B939="","",ROW()-4)</f>
        <v/>
      </c>
      <c r="B939" s="12"/>
      <c r="C939" s="13"/>
      <c r="D939" s="13"/>
      <c r="E939" s="13"/>
      <c r="F939" s="14" t="str">
        <f aca="false">IF(OR(B939="",C939="",D939=""),"",IFERROR(INDEX(CONFIG!$E$5:$E$14,MATCH(D939,CONFIG!$D$5:$D$14,0)),"?")&amp;RIGHT("0"&amp;DAY(B939),2)&amp;RIGHT("0"&amp;MONTH(B939),2)&amp;RIGHT(YEAR(B939),2)&amp;C939&amp;IF(E939="","","-"&amp;E939))</f>
        <v/>
      </c>
      <c r="G939" s="13"/>
      <c r="H939" s="13"/>
      <c r="I939" s="13"/>
      <c r="J939" s="13"/>
      <c r="K939" s="13"/>
      <c r="L939" s="13"/>
      <c r="M939" s="11" t="str">
        <f aca="false">IF(F939="","",COUNTIFS(ENSAYOS!$C$5:$C$3004,F939,ENSAYOS!$Q$5:$Q$3004,"&gt;0"))</f>
        <v/>
      </c>
      <c r="N939" s="15" t="str">
        <f aca="false">IF(N(M939)=0,"",_xlfn.MINIFS(ENSAYOS!$G$5:$G$3004,ENSAYOS!$C$5:$C$3004,F939,ENSAYOS!$Q$5:$Q$3004,"&gt;0"))</f>
        <v/>
      </c>
      <c r="O939" s="15" t="str">
        <f aca="false">IF(N(M939)=0,"",_xlfn.MAXIFS(ENSAYOS!$G$5:$G$3004,ENSAYOS!$C$5:$C$3004,F939,ENSAYOS!$Q$5:$Q$3004,"&gt;0"))</f>
        <v/>
      </c>
      <c r="P939" s="16" t="str">
        <f aca="false">IF(N(M939)=0,"",AVERAGEIFS(ENSAYOS!$Q$5:$Q$3004,ENSAYOS!$C$5:$C$3004,F939,ENSAYOS!$Q$5:$Q$3004,"&gt;0"))</f>
        <v/>
      </c>
      <c r="Q939" s="16" t="str">
        <f aca="false">IF(N(M939)=0,"",_xlfn.MINIFS(ENSAYOS!$Q$5:$Q$3004,ENSAYOS!$C$5:$C$3004,F939,ENSAYOS!$Q$5:$Q$3004,"&gt;0"))</f>
        <v/>
      </c>
      <c r="R939" s="16" t="str">
        <f aca="false">IF(N(M939)=0,"",_xlfn.MAXIFS(ENSAYOS!$Q$5:$Q$3004,ENSAYOS!$C$5:$C$3004,F939,ENSAYOS!$Q$5:$Q$3004,"&gt;0"))</f>
        <v/>
      </c>
      <c r="S939" s="16" t="str">
        <f aca="false">IF(N(M939)&lt;2,"",SQRT(MAX(0,(SUMIFS(ENSAYOS!$X$5:$X$3004,ENSAYOS!$C$5:$C$3004,F939,ENSAYOS!$Q$5:$Q$3004,"&gt;0")-M939*P939^2)/(M939-1))))</f>
        <v/>
      </c>
      <c r="T939" s="17" t="str">
        <f aca="false">IF(S939="","",S939/P939)</f>
        <v/>
      </c>
      <c r="U939" s="16" t="str">
        <f aca="false">IF(N(M939)=0,"",IF(N939&gt;=CONFIG!$B$27,"",AVERAGEIFS(ENSAYOS!$Q$5:$Q$3004,ENSAYOS!$C$5:$C$3004,F939,ENSAYOS!$Q$5:$Q$3004,"&gt;0",ENSAYOS!$G$5:$G$3004,N939)))</f>
        <v/>
      </c>
      <c r="V939" s="16" t="str">
        <f aca="false">IF(N(M939)=0,"",IF(COUNTIFS(ENSAYOS!$C$5:$C$3004,F939,ENSAYOS!$Q$5:$Q$3004,"&gt;0",ENSAYOS!$G$5:$G$3004,"&gt;="&amp;CONFIG!$B$27)=0,"",AVERAGEIFS(ENSAYOS!$Q$5:$Q$3004,ENSAYOS!$C$5:$C$3004,F939,ENSAYOS!$Q$5:$Q$3004,"&gt;0",ENSAYOS!$G$5:$G$3004,"&gt;="&amp;CONFIG!$B$27)))</f>
        <v/>
      </c>
      <c r="W939" s="18" t="str">
        <f aca="false">IF(AND(U939&lt;&gt;"",V939&lt;&gt;""),U939/V939,"")</f>
        <v/>
      </c>
      <c r="X939" s="18" t="str">
        <f aca="false">IF(U939="","",INDEX('CURVA EDAD'!$E$5:$E$32,MIN(28,MAX(1,N939))))</f>
        <v/>
      </c>
      <c r="Y939" s="16" t="str">
        <f aca="false">IF(V939&lt;&gt;"",V939,IF(U939="","",U939/X939))</f>
        <v/>
      </c>
      <c r="Z939" s="16" t="str">
        <f aca="false">IF(V939&lt;&gt;"",_xlfn.MINIFS(ENSAYOS!$Q$5:$Q$3004,ENSAYOS!$C$5:$C$3004,F939,ENSAYOS!$Q$5:$Q$3004,"&gt;0",ENSAYOS!$G$5:$G$3004,"&gt;="&amp;CONFIG!$B$27),IF(U939="","",_xlfn.MINIFS(ENSAYOS!$Q$5:$Q$3004,ENSAYOS!$C$5:$C$3004,F939,ENSAYOS!$Q$5:$Q$3004,"&gt;0",ENSAYOS!$G$5:$G$3004,N939)/X939))</f>
        <v/>
      </c>
      <c r="AA939" s="16" t="str">
        <f aca="false">IF(D939="","",IFERROR(1/(1/INDEX(CONFIG!$J$5:$J$14,MATCH(D939,CONFIG!$D$5:$D$14,0))),""))</f>
        <v/>
      </c>
      <c r="AB939" s="16" t="str">
        <f aca="false">IF(D939="","",IFERROR(1/(1/INDEX(CONFIG!$K$5:$K$14,MATCH(D939,CONFIG!$D$5:$D$14,0))),""))</f>
        <v/>
      </c>
      <c r="AC939" s="19" t="str">
        <f aca="false">IF(N(M939)=0,"",IF(AA939="","Sin spec",IF(AND(Y939&gt;=AA939,OR(AB939="",Z939&gt;=AB939)),"CUMPLE","NO CUMPLE")&amp;IF(V939=""," (est.)","")))</f>
        <v/>
      </c>
      <c r="AD939" s="20" t="str">
        <f aca="false">IF(F939="","",IF(COUNTIFS(ABSORCION!$C$5:$C$1004,F939,ABSORCION!$I$5:$I$1004,"&gt;0")=0,"",AVERAGEIFS(ABSORCION!$I$5:$I$1004,ABSORCION!$C$5:$C$1004,F939,ABSORCION!$I$5:$I$1004,"&gt;0")))</f>
        <v/>
      </c>
      <c r="AE939" s="20" t="str">
        <f aca="false">IF(F939="","",IF(COUNTIFS(ABSORCION!$C$5:$C$1004,F939,ABSORCION!$I$5:$I$1004,"&gt;0")=0,"",AVERAGEIFS(ABSORCION!$K$5:$K$1004,ABSORCION!$C$5:$C$1004,F939,ABSORCION!$I$5:$I$1004,"&gt;0")))</f>
        <v/>
      </c>
      <c r="AF939" s="20" t="str">
        <f aca="false">IF(AE939="","",IF(AE939&gt;=CONFIG!$E$21,CONFIG!$F$21,IF(AE939&gt;=CONFIG!$E$20,CONFIG!$F$20,CONFIG!$F$19)))</f>
        <v/>
      </c>
      <c r="AG939" s="21" t="str">
        <f aca="false">IF(F939="","",TRIM(IF(N(M939)=0,"Sin ensayos. ","")&amp;IF(AND(N(M939)&gt;0,N(M939)&lt;CONFIG!$B$26),"Menos de "&amp;CONFIG!$B$26&amp;" probetas. ","")&amp;IF(N(T939)&gt;CONFIG!$B$25,"CV alto. ","")&amp;IF(AND(N(AD939)&gt;0,N(AD939)&gt;N(AF939)),"Absorción alta. ","")))</f>
        <v/>
      </c>
      <c r="AH939" s="22" t="str">
        <f aca="false">IF(AND(N(M939)&gt;0,OR(CONTROL!$C$4="TODAS",C939=CONTROL!$C$4),D939=CONTROL!$C$5),MAX($AH$4:AH938)+1,"")</f>
        <v/>
      </c>
      <c r="AI939" s="22" t="str">
        <f aca="false">IF(AH939="","",P939^2)</f>
        <v/>
      </c>
    </row>
    <row r="940" customFormat="false" ht="15" hidden="false" customHeight="false" outlineLevel="0" collapsed="false">
      <c r="A940" s="11" t="str">
        <f aca="false">IF(B940="","",ROW()-4)</f>
        <v/>
      </c>
      <c r="B940" s="12"/>
      <c r="C940" s="13"/>
      <c r="D940" s="13"/>
      <c r="E940" s="13"/>
      <c r="F940" s="14" t="str">
        <f aca="false">IF(OR(B940="",C940="",D940=""),"",IFERROR(INDEX(CONFIG!$E$5:$E$14,MATCH(D940,CONFIG!$D$5:$D$14,0)),"?")&amp;RIGHT("0"&amp;DAY(B940),2)&amp;RIGHT("0"&amp;MONTH(B940),2)&amp;RIGHT(YEAR(B940),2)&amp;C940&amp;IF(E940="","","-"&amp;E940))</f>
        <v/>
      </c>
      <c r="G940" s="13"/>
      <c r="H940" s="13"/>
      <c r="I940" s="13"/>
      <c r="J940" s="13"/>
      <c r="K940" s="13"/>
      <c r="L940" s="13"/>
      <c r="M940" s="11" t="str">
        <f aca="false">IF(F940="","",COUNTIFS(ENSAYOS!$C$5:$C$3004,F940,ENSAYOS!$Q$5:$Q$3004,"&gt;0"))</f>
        <v/>
      </c>
      <c r="N940" s="15" t="str">
        <f aca="false">IF(N(M940)=0,"",_xlfn.MINIFS(ENSAYOS!$G$5:$G$3004,ENSAYOS!$C$5:$C$3004,F940,ENSAYOS!$Q$5:$Q$3004,"&gt;0"))</f>
        <v/>
      </c>
      <c r="O940" s="15" t="str">
        <f aca="false">IF(N(M940)=0,"",_xlfn.MAXIFS(ENSAYOS!$G$5:$G$3004,ENSAYOS!$C$5:$C$3004,F940,ENSAYOS!$Q$5:$Q$3004,"&gt;0"))</f>
        <v/>
      </c>
      <c r="P940" s="16" t="str">
        <f aca="false">IF(N(M940)=0,"",AVERAGEIFS(ENSAYOS!$Q$5:$Q$3004,ENSAYOS!$C$5:$C$3004,F940,ENSAYOS!$Q$5:$Q$3004,"&gt;0"))</f>
        <v/>
      </c>
      <c r="Q940" s="16" t="str">
        <f aca="false">IF(N(M940)=0,"",_xlfn.MINIFS(ENSAYOS!$Q$5:$Q$3004,ENSAYOS!$C$5:$C$3004,F940,ENSAYOS!$Q$5:$Q$3004,"&gt;0"))</f>
        <v/>
      </c>
      <c r="R940" s="16" t="str">
        <f aca="false">IF(N(M940)=0,"",_xlfn.MAXIFS(ENSAYOS!$Q$5:$Q$3004,ENSAYOS!$C$5:$C$3004,F940,ENSAYOS!$Q$5:$Q$3004,"&gt;0"))</f>
        <v/>
      </c>
      <c r="S940" s="16" t="str">
        <f aca="false">IF(N(M940)&lt;2,"",SQRT(MAX(0,(SUMIFS(ENSAYOS!$X$5:$X$3004,ENSAYOS!$C$5:$C$3004,F940,ENSAYOS!$Q$5:$Q$3004,"&gt;0")-M940*P940^2)/(M940-1))))</f>
        <v/>
      </c>
      <c r="T940" s="17" t="str">
        <f aca="false">IF(S940="","",S940/P940)</f>
        <v/>
      </c>
      <c r="U940" s="16" t="str">
        <f aca="false">IF(N(M940)=0,"",IF(N940&gt;=CONFIG!$B$27,"",AVERAGEIFS(ENSAYOS!$Q$5:$Q$3004,ENSAYOS!$C$5:$C$3004,F940,ENSAYOS!$Q$5:$Q$3004,"&gt;0",ENSAYOS!$G$5:$G$3004,N940)))</f>
        <v/>
      </c>
      <c r="V940" s="16" t="str">
        <f aca="false">IF(N(M940)=0,"",IF(COUNTIFS(ENSAYOS!$C$5:$C$3004,F940,ENSAYOS!$Q$5:$Q$3004,"&gt;0",ENSAYOS!$G$5:$G$3004,"&gt;="&amp;CONFIG!$B$27)=0,"",AVERAGEIFS(ENSAYOS!$Q$5:$Q$3004,ENSAYOS!$C$5:$C$3004,F940,ENSAYOS!$Q$5:$Q$3004,"&gt;0",ENSAYOS!$G$5:$G$3004,"&gt;="&amp;CONFIG!$B$27)))</f>
        <v/>
      </c>
      <c r="W940" s="18" t="str">
        <f aca="false">IF(AND(U940&lt;&gt;"",V940&lt;&gt;""),U940/V940,"")</f>
        <v/>
      </c>
      <c r="X940" s="18" t="str">
        <f aca="false">IF(U940="","",INDEX('CURVA EDAD'!$E$5:$E$32,MIN(28,MAX(1,N940))))</f>
        <v/>
      </c>
      <c r="Y940" s="16" t="str">
        <f aca="false">IF(V940&lt;&gt;"",V940,IF(U940="","",U940/X940))</f>
        <v/>
      </c>
      <c r="Z940" s="16" t="str">
        <f aca="false">IF(V940&lt;&gt;"",_xlfn.MINIFS(ENSAYOS!$Q$5:$Q$3004,ENSAYOS!$C$5:$C$3004,F940,ENSAYOS!$Q$5:$Q$3004,"&gt;0",ENSAYOS!$G$5:$G$3004,"&gt;="&amp;CONFIG!$B$27),IF(U940="","",_xlfn.MINIFS(ENSAYOS!$Q$5:$Q$3004,ENSAYOS!$C$5:$C$3004,F940,ENSAYOS!$Q$5:$Q$3004,"&gt;0",ENSAYOS!$G$5:$G$3004,N940)/X940))</f>
        <v/>
      </c>
      <c r="AA940" s="16" t="str">
        <f aca="false">IF(D940="","",IFERROR(1/(1/INDEX(CONFIG!$J$5:$J$14,MATCH(D940,CONFIG!$D$5:$D$14,0))),""))</f>
        <v/>
      </c>
      <c r="AB940" s="16" t="str">
        <f aca="false">IF(D940="","",IFERROR(1/(1/INDEX(CONFIG!$K$5:$K$14,MATCH(D940,CONFIG!$D$5:$D$14,0))),""))</f>
        <v/>
      </c>
      <c r="AC940" s="19" t="str">
        <f aca="false">IF(N(M940)=0,"",IF(AA940="","Sin spec",IF(AND(Y940&gt;=AA940,OR(AB940="",Z940&gt;=AB940)),"CUMPLE","NO CUMPLE")&amp;IF(V940=""," (est.)","")))</f>
        <v/>
      </c>
      <c r="AD940" s="20" t="str">
        <f aca="false">IF(F940="","",IF(COUNTIFS(ABSORCION!$C$5:$C$1004,F940,ABSORCION!$I$5:$I$1004,"&gt;0")=0,"",AVERAGEIFS(ABSORCION!$I$5:$I$1004,ABSORCION!$C$5:$C$1004,F940,ABSORCION!$I$5:$I$1004,"&gt;0")))</f>
        <v/>
      </c>
      <c r="AE940" s="20" t="str">
        <f aca="false">IF(F940="","",IF(COUNTIFS(ABSORCION!$C$5:$C$1004,F940,ABSORCION!$I$5:$I$1004,"&gt;0")=0,"",AVERAGEIFS(ABSORCION!$K$5:$K$1004,ABSORCION!$C$5:$C$1004,F940,ABSORCION!$I$5:$I$1004,"&gt;0")))</f>
        <v/>
      </c>
      <c r="AF940" s="20" t="str">
        <f aca="false">IF(AE940="","",IF(AE940&gt;=CONFIG!$E$21,CONFIG!$F$21,IF(AE940&gt;=CONFIG!$E$20,CONFIG!$F$20,CONFIG!$F$19)))</f>
        <v/>
      </c>
      <c r="AG940" s="21" t="str">
        <f aca="false">IF(F940="","",TRIM(IF(N(M940)=0,"Sin ensayos. ","")&amp;IF(AND(N(M940)&gt;0,N(M940)&lt;CONFIG!$B$26),"Menos de "&amp;CONFIG!$B$26&amp;" probetas. ","")&amp;IF(N(T940)&gt;CONFIG!$B$25,"CV alto. ","")&amp;IF(AND(N(AD940)&gt;0,N(AD940)&gt;N(AF940)),"Absorción alta. ","")))</f>
        <v/>
      </c>
      <c r="AH940" s="22" t="str">
        <f aca="false">IF(AND(N(M940)&gt;0,OR(CONTROL!$C$4="TODAS",C940=CONTROL!$C$4),D940=CONTROL!$C$5),MAX($AH$4:AH939)+1,"")</f>
        <v/>
      </c>
      <c r="AI940" s="22" t="str">
        <f aca="false">IF(AH940="","",P940^2)</f>
        <v/>
      </c>
    </row>
    <row r="941" customFormat="false" ht="15" hidden="false" customHeight="false" outlineLevel="0" collapsed="false">
      <c r="A941" s="11" t="str">
        <f aca="false">IF(B941="","",ROW()-4)</f>
        <v/>
      </c>
      <c r="B941" s="12"/>
      <c r="C941" s="13"/>
      <c r="D941" s="13"/>
      <c r="E941" s="13"/>
      <c r="F941" s="14" t="str">
        <f aca="false">IF(OR(B941="",C941="",D941=""),"",IFERROR(INDEX(CONFIG!$E$5:$E$14,MATCH(D941,CONFIG!$D$5:$D$14,0)),"?")&amp;RIGHT("0"&amp;DAY(B941),2)&amp;RIGHT("0"&amp;MONTH(B941),2)&amp;RIGHT(YEAR(B941),2)&amp;C941&amp;IF(E941="","","-"&amp;E941))</f>
        <v/>
      </c>
      <c r="G941" s="13"/>
      <c r="H941" s="13"/>
      <c r="I941" s="13"/>
      <c r="J941" s="13"/>
      <c r="K941" s="13"/>
      <c r="L941" s="13"/>
      <c r="M941" s="11" t="str">
        <f aca="false">IF(F941="","",COUNTIFS(ENSAYOS!$C$5:$C$3004,F941,ENSAYOS!$Q$5:$Q$3004,"&gt;0"))</f>
        <v/>
      </c>
      <c r="N941" s="15" t="str">
        <f aca="false">IF(N(M941)=0,"",_xlfn.MINIFS(ENSAYOS!$G$5:$G$3004,ENSAYOS!$C$5:$C$3004,F941,ENSAYOS!$Q$5:$Q$3004,"&gt;0"))</f>
        <v/>
      </c>
      <c r="O941" s="15" t="str">
        <f aca="false">IF(N(M941)=0,"",_xlfn.MAXIFS(ENSAYOS!$G$5:$G$3004,ENSAYOS!$C$5:$C$3004,F941,ENSAYOS!$Q$5:$Q$3004,"&gt;0"))</f>
        <v/>
      </c>
      <c r="P941" s="16" t="str">
        <f aca="false">IF(N(M941)=0,"",AVERAGEIFS(ENSAYOS!$Q$5:$Q$3004,ENSAYOS!$C$5:$C$3004,F941,ENSAYOS!$Q$5:$Q$3004,"&gt;0"))</f>
        <v/>
      </c>
      <c r="Q941" s="16" t="str">
        <f aca="false">IF(N(M941)=0,"",_xlfn.MINIFS(ENSAYOS!$Q$5:$Q$3004,ENSAYOS!$C$5:$C$3004,F941,ENSAYOS!$Q$5:$Q$3004,"&gt;0"))</f>
        <v/>
      </c>
      <c r="R941" s="16" t="str">
        <f aca="false">IF(N(M941)=0,"",_xlfn.MAXIFS(ENSAYOS!$Q$5:$Q$3004,ENSAYOS!$C$5:$C$3004,F941,ENSAYOS!$Q$5:$Q$3004,"&gt;0"))</f>
        <v/>
      </c>
      <c r="S941" s="16" t="str">
        <f aca="false">IF(N(M941)&lt;2,"",SQRT(MAX(0,(SUMIFS(ENSAYOS!$X$5:$X$3004,ENSAYOS!$C$5:$C$3004,F941,ENSAYOS!$Q$5:$Q$3004,"&gt;0")-M941*P941^2)/(M941-1))))</f>
        <v/>
      </c>
      <c r="T941" s="17" t="str">
        <f aca="false">IF(S941="","",S941/P941)</f>
        <v/>
      </c>
      <c r="U941" s="16" t="str">
        <f aca="false">IF(N(M941)=0,"",IF(N941&gt;=CONFIG!$B$27,"",AVERAGEIFS(ENSAYOS!$Q$5:$Q$3004,ENSAYOS!$C$5:$C$3004,F941,ENSAYOS!$Q$5:$Q$3004,"&gt;0",ENSAYOS!$G$5:$G$3004,N941)))</f>
        <v/>
      </c>
      <c r="V941" s="16" t="str">
        <f aca="false">IF(N(M941)=0,"",IF(COUNTIFS(ENSAYOS!$C$5:$C$3004,F941,ENSAYOS!$Q$5:$Q$3004,"&gt;0",ENSAYOS!$G$5:$G$3004,"&gt;="&amp;CONFIG!$B$27)=0,"",AVERAGEIFS(ENSAYOS!$Q$5:$Q$3004,ENSAYOS!$C$5:$C$3004,F941,ENSAYOS!$Q$5:$Q$3004,"&gt;0",ENSAYOS!$G$5:$G$3004,"&gt;="&amp;CONFIG!$B$27)))</f>
        <v/>
      </c>
      <c r="W941" s="18" t="str">
        <f aca="false">IF(AND(U941&lt;&gt;"",V941&lt;&gt;""),U941/V941,"")</f>
        <v/>
      </c>
      <c r="X941" s="18" t="str">
        <f aca="false">IF(U941="","",INDEX('CURVA EDAD'!$E$5:$E$32,MIN(28,MAX(1,N941))))</f>
        <v/>
      </c>
      <c r="Y941" s="16" t="str">
        <f aca="false">IF(V941&lt;&gt;"",V941,IF(U941="","",U941/X941))</f>
        <v/>
      </c>
      <c r="Z941" s="16" t="str">
        <f aca="false">IF(V941&lt;&gt;"",_xlfn.MINIFS(ENSAYOS!$Q$5:$Q$3004,ENSAYOS!$C$5:$C$3004,F941,ENSAYOS!$Q$5:$Q$3004,"&gt;0",ENSAYOS!$G$5:$G$3004,"&gt;="&amp;CONFIG!$B$27),IF(U941="","",_xlfn.MINIFS(ENSAYOS!$Q$5:$Q$3004,ENSAYOS!$C$5:$C$3004,F941,ENSAYOS!$Q$5:$Q$3004,"&gt;0",ENSAYOS!$G$5:$G$3004,N941)/X941))</f>
        <v/>
      </c>
      <c r="AA941" s="16" t="str">
        <f aca="false">IF(D941="","",IFERROR(1/(1/INDEX(CONFIG!$J$5:$J$14,MATCH(D941,CONFIG!$D$5:$D$14,0))),""))</f>
        <v/>
      </c>
      <c r="AB941" s="16" t="str">
        <f aca="false">IF(D941="","",IFERROR(1/(1/INDEX(CONFIG!$K$5:$K$14,MATCH(D941,CONFIG!$D$5:$D$14,0))),""))</f>
        <v/>
      </c>
      <c r="AC941" s="19" t="str">
        <f aca="false">IF(N(M941)=0,"",IF(AA941="","Sin spec",IF(AND(Y941&gt;=AA941,OR(AB941="",Z941&gt;=AB941)),"CUMPLE","NO CUMPLE")&amp;IF(V941=""," (est.)","")))</f>
        <v/>
      </c>
      <c r="AD941" s="20" t="str">
        <f aca="false">IF(F941="","",IF(COUNTIFS(ABSORCION!$C$5:$C$1004,F941,ABSORCION!$I$5:$I$1004,"&gt;0")=0,"",AVERAGEIFS(ABSORCION!$I$5:$I$1004,ABSORCION!$C$5:$C$1004,F941,ABSORCION!$I$5:$I$1004,"&gt;0")))</f>
        <v/>
      </c>
      <c r="AE941" s="20" t="str">
        <f aca="false">IF(F941="","",IF(COUNTIFS(ABSORCION!$C$5:$C$1004,F941,ABSORCION!$I$5:$I$1004,"&gt;0")=0,"",AVERAGEIFS(ABSORCION!$K$5:$K$1004,ABSORCION!$C$5:$C$1004,F941,ABSORCION!$I$5:$I$1004,"&gt;0")))</f>
        <v/>
      </c>
      <c r="AF941" s="20" t="str">
        <f aca="false">IF(AE941="","",IF(AE941&gt;=CONFIG!$E$21,CONFIG!$F$21,IF(AE941&gt;=CONFIG!$E$20,CONFIG!$F$20,CONFIG!$F$19)))</f>
        <v/>
      </c>
      <c r="AG941" s="21" t="str">
        <f aca="false">IF(F941="","",TRIM(IF(N(M941)=0,"Sin ensayos. ","")&amp;IF(AND(N(M941)&gt;0,N(M941)&lt;CONFIG!$B$26),"Menos de "&amp;CONFIG!$B$26&amp;" probetas. ","")&amp;IF(N(T941)&gt;CONFIG!$B$25,"CV alto. ","")&amp;IF(AND(N(AD941)&gt;0,N(AD941)&gt;N(AF941)),"Absorción alta. ","")))</f>
        <v/>
      </c>
      <c r="AH941" s="22" t="str">
        <f aca="false">IF(AND(N(M941)&gt;0,OR(CONTROL!$C$4="TODAS",C941=CONTROL!$C$4),D941=CONTROL!$C$5),MAX($AH$4:AH940)+1,"")</f>
        <v/>
      </c>
      <c r="AI941" s="22" t="str">
        <f aca="false">IF(AH941="","",P941^2)</f>
        <v/>
      </c>
    </row>
    <row r="942" customFormat="false" ht="15" hidden="false" customHeight="false" outlineLevel="0" collapsed="false">
      <c r="A942" s="11" t="str">
        <f aca="false">IF(B942="","",ROW()-4)</f>
        <v/>
      </c>
      <c r="B942" s="12"/>
      <c r="C942" s="13"/>
      <c r="D942" s="13"/>
      <c r="E942" s="13"/>
      <c r="F942" s="14" t="str">
        <f aca="false">IF(OR(B942="",C942="",D942=""),"",IFERROR(INDEX(CONFIG!$E$5:$E$14,MATCH(D942,CONFIG!$D$5:$D$14,0)),"?")&amp;RIGHT("0"&amp;DAY(B942),2)&amp;RIGHT("0"&amp;MONTH(B942),2)&amp;RIGHT(YEAR(B942),2)&amp;C942&amp;IF(E942="","","-"&amp;E942))</f>
        <v/>
      </c>
      <c r="G942" s="13"/>
      <c r="H942" s="13"/>
      <c r="I942" s="13"/>
      <c r="J942" s="13"/>
      <c r="K942" s="13"/>
      <c r="L942" s="13"/>
      <c r="M942" s="11" t="str">
        <f aca="false">IF(F942="","",COUNTIFS(ENSAYOS!$C$5:$C$3004,F942,ENSAYOS!$Q$5:$Q$3004,"&gt;0"))</f>
        <v/>
      </c>
      <c r="N942" s="15" t="str">
        <f aca="false">IF(N(M942)=0,"",_xlfn.MINIFS(ENSAYOS!$G$5:$G$3004,ENSAYOS!$C$5:$C$3004,F942,ENSAYOS!$Q$5:$Q$3004,"&gt;0"))</f>
        <v/>
      </c>
      <c r="O942" s="15" t="str">
        <f aca="false">IF(N(M942)=0,"",_xlfn.MAXIFS(ENSAYOS!$G$5:$G$3004,ENSAYOS!$C$5:$C$3004,F942,ENSAYOS!$Q$5:$Q$3004,"&gt;0"))</f>
        <v/>
      </c>
      <c r="P942" s="16" t="str">
        <f aca="false">IF(N(M942)=0,"",AVERAGEIFS(ENSAYOS!$Q$5:$Q$3004,ENSAYOS!$C$5:$C$3004,F942,ENSAYOS!$Q$5:$Q$3004,"&gt;0"))</f>
        <v/>
      </c>
      <c r="Q942" s="16" t="str">
        <f aca="false">IF(N(M942)=0,"",_xlfn.MINIFS(ENSAYOS!$Q$5:$Q$3004,ENSAYOS!$C$5:$C$3004,F942,ENSAYOS!$Q$5:$Q$3004,"&gt;0"))</f>
        <v/>
      </c>
      <c r="R942" s="16" t="str">
        <f aca="false">IF(N(M942)=0,"",_xlfn.MAXIFS(ENSAYOS!$Q$5:$Q$3004,ENSAYOS!$C$5:$C$3004,F942,ENSAYOS!$Q$5:$Q$3004,"&gt;0"))</f>
        <v/>
      </c>
      <c r="S942" s="16" t="str">
        <f aca="false">IF(N(M942)&lt;2,"",SQRT(MAX(0,(SUMIFS(ENSAYOS!$X$5:$X$3004,ENSAYOS!$C$5:$C$3004,F942,ENSAYOS!$Q$5:$Q$3004,"&gt;0")-M942*P942^2)/(M942-1))))</f>
        <v/>
      </c>
      <c r="T942" s="17" t="str">
        <f aca="false">IF(S942="","",S942/P942)</f>
        <v/>
      </c>
      <c r="U942" s="16" t="str">
        <f aca="false">IF(N(M942)=0,"",IF(N942&gt;=CONFIG!$B$27,"",AVERAGEIFS(ENSAYOS!$Q$5:$Q$3004,ENSAYOS!$C$5:$C$3004,F942,ENSAYOS!$Q$5:$Q$3004,"&gt;0",ENSAYOS!$G$5:$G$3004,N942)))</f>
        <v/>
      </c>
      <c r="V942" s="16" t="str">
        <f aca="false">IF(N(M942)=0,"",IF(COUNTIFS(ENSAYOS!$C$5:$C$3004,F942,ENSAYOS!$Q$5:$Q$3004,"&gt;0",ENSAYOS!$G$5:$G$3004,"&gt;="&amp;CONFIG!$B$27)=0,"",AVERAGEIFS(ENSAYOS!$Q$5:$Q$3004,ENSAYOS!$C$5:$C$3004,F942,ENSAYOS!$Q$5:$Q$3004,"&gt;0",ENSAYOS!$G$5:$G$3004,"&gt;="&amp;CONFIG!$B$27)))</f>
        <v/>
      </c>
      <c r="W942" s="18" t="str">
        <f aca="false">IF(AND(U942&lt;&gt;"",V942&lt;&gt;""),U942/V942,"")</f>
        <v/>
      </c>
      <c r="X942" s="18" t="str">
        <f aca="false">IF(U942="","",INDEX('CURVA EDAD'!$E$5:$E$32,MIN(28,MAX(1,N942))))</f>
        <v/>
      </c>
      <c r="Y942" s="16" t="str">
        <f aca="false">IF(V942&lt;&gt;"",V942,IF(U942="","",U942/X942))</f>
        <v/>
      </c>
      <c r="Z942" s="16" t="str">
        <f aca="false">IF(V942&lt;&gt;"",_xlfn.MINIFS(ENSAYOS!$Q$5:$Q$3004,ENSAYOS!$C$5:$C$3004,F942,ENSAYOS!$Q$5:$Q$3004,"&gt;0",ENSAYOS!$G$5:$G$3004,"&gt;="&amp;CONFIG!$B$27),IF(U942="","",_xlfn.MINIFS(ENSAYOS!$Q$5:$Q$3004,ENSAYOS!$C$5:$C$3004,F942,ENSAYOS!$Q$5:$Q$3004,"&gt;0",ENSAYOS!$G$5:$G$3004,N942)/X942))</f>
        <v/>
      </c>
      <c r="AA942" s="16" t="str">
        <f aca="false">IF(D942="","",IFERROR(1/(1/INDEX(CONFIG!$J$5:$J$14,MATCH(D942,CONFIG!$D$5:$D$14,0))),""))</f>
        <v/>
      </c>
      <c r="AB942" s="16" t="str">
        <f aca="false">IF(D942="","",IFERROR(1/(1/INDEX(CONFIG!$K$5:$K$14,MATCH(D942,CONFIG!$D$5:$D$14,0))),""))</f>
        <v/>
      </c>
      <c r="AC942" s="19" t="str">
        <f aca="false">IF(N(M942)=0,"",IF(AA942="","Sin spec",IF(AND(Y942&gt;=AA942,OR(AB942="",Z942&gt;=AB942)),"CUMPLE","NO CUMPLE")&amp;IF(V942=""," (est.)","")))</f>
        <v/>
      </c>
      <c r="AD942" s="20" t="str">
        <f aca="false">IF(F942="","",IF(COUNTIFS(ABSORCION!$C$5:$C$1004,F942,ABSORCION!$I$5:$I$1004,"&gt;0")=0,"",AVERAGEIFS(ABSORCION!$I$5:$I$1004,ABSORCION!$C$5:$C$1004,F942,ABSORCION!$I$5:$I$1004,"&gt;0")))</f>
        <v/>
      </c>
      <c r="AE942" s="20" t="str">
        <f aca="false">IF(F942="","",IF(COUNTIFS(ABSORCION!$C$5:$C$1004,F942,ABSORCION!$I$5:$I$1004,"&gt;0")=0,"",AVERAGEIFS(ABSORCION!$K$5:$K$1004,ABSORCION!$C$5:$C$1004,F942,ABSORCION!$I$5:$I$1004,"&gt;0")))</f>
        <v/>
      </c>
      <c r="AF942" s="20" t="str">
        <f aca="false">IF(AE942="","",IF(AE942&gt;=CONFIG!$E$21,CONFIG!$F$21,IF(AE942&gt;=CONFIG!$E$20,CONFIG!$F$20,CONFIG!$F$19)))</f>
        <v/>
      </c>
      <c r="AG942" s="21" t="str">
        <f aca="false">IF(F942="","",TRIM(IF(N(M942)=0,"Sin ensayos. ","")&amp;IF(AND(N(M942)&gt;0,N(M942)&lt;CONFIG!$B$26),"Menos de "&amp;CONFIG!$B$26&amp;" probetas. ","")&amp;IF(N(T942)&gt;CONFIG!$B$25,"CV alto. ","")&amp;IF(AND(N(AD942)&gt;0,N(AD942)&gt;N(AF942)),"Absorción alta. ","")))</f>
        <v/>
      </c>
      <c r="AH942" s="22" t="str">
        <f aca="false">IF(AND(N(M942)&gt;0,OR(CONTROL!$C$4="TODAS",C942=CONTROL!$C$4),D942=CONTROL!$C$5),MAX($AH$4:AH941)+1,"")</f>
        <v/>
      </c>
      <c r="AI942" s="22" t="str">
        <f aca="false">IF(AH942="","",P942^2)</f>
        <v/>
      </c>
    </row>
    <row r="943" customFormat="false" ht="15" hidden="false" customHeight="false" outlineLevel="0" collapsed="false">
      <c r="A943" s="11" t="str">
        <f aca="false">IF(B943="","",ROW()-4)</f>
        <v/>
      </c>
      <c r="B943" s="12"/>
      <c r="C943" s="13"/>
      <c r="D943" s="13"/>
      <c r="E943" s="13"/>
      <c r="F943" s="14" t="str">
        <f aca="false">IF(OR(B943="",C943="",D943=""),"",IFERROR(INDEX(CONFIG!$E$5:$E$14,MATCH(D943,CONFIG!$D$5:$D$14,0)),"?")&amp;RIGHT("0"&amp;DAY(B943),2)&amp;RIGHT("0"&amp;MONTH(B943),2)&amp;RIGHT(YEAR(B943),2)&amp;C943&amp;IF(E943="","","-"&amp;E943))</f>
        <v/>
      </c>
      <c r="G943" s="13"/>
      <c r="H943" s="13"/>
      <c r="I943" s="13"/>
      <c r="J943" s="13"/>
      <c r="K943" s="13"/>
      <c r="L943" s="13"/>
      <c r="M943" s="11" t="str">
        <f aca="false">IF(F943="","",COUNTIFS(ENSAYOS!$C$5:$C$3004,F943,ENSAYOS!$Q$5:$Q$3004,"&gt;0"))</f>
        <v/>
      </c>
      <c r="N943" s="15" t="str">
        <f aca="false">IF(N(M943)=0,"",_xlfn.MINIFS(ENSAYOS!$G$5:$G$3004,ENSAYOS!$C$5:$C$3004,F943,ENSAYOS!$Q$5:$Q$3004,"&gt;0"))</f>
        <v/>
      </c>
      <c r="O943" s="15" t="str">
        <f aca="false">IF(N(M943)=0,"",_xlfn.MAXIFS(ENSAYOS!$G$5:$G$3004,ENSAYOS!$C$5:$C$3004,F943,ENSAYOS!$Q$5:$Q$3004,"&gt;0"))</f>
        <v/>
      </c>
      <c r="P943" s="16" t="str">
        <f aca="false">IF(N(M943)=0,"",AVERAGEIFS(ENSAYOS!$Q$5:$Q$3004,ENSAYOS!$C$5:$C$3004,F943,ENSAYOS!$Q$5:$Q$3004,"&gt;0"))</f>
        <v/>
      </c>
      <c r="Q943" s="16" t="str">
        <f aca="false">IF(N(M943)=0,"",_xlfn.MINIFS(ENSAYOS!$Q$5:$Q$3004,ENSAYOS!$C$5:$C$3004,F943,ENSAYOS!$Q$5:$Q$3004,"&gt;0"))</f>
        <v/>
      </c>
      <c r="R943" s="16" t="str">
        <f aca="false">IF(N(M943)=0,"",_xlfn.MAXIFS(ENSAYOS!$Q$5:$Q$3004,ENSAYOS!$C$5:$C$3004,F943,ENSAYOS!$Q$5:$Q$3004,"&gt;0"))</f>
        <v/>
      </c>
      <c r="S943" s="16" t="str">
        <f aca="false">IF(N(M943)&lt;2,"",SQRT(MAX(0,(SUMIFS(ENSAYOS!$X$5:$X$3004,ENSAYOS!$C$5:$C$3004,F943,ENSAYOS!$Q$5:$Q$3004,"&gt;0")-M943*P943^2)/(M943-1))))</f>
        <v/>
      </c>
      <c r="T943" s="17" t="str">
        <f aca="false">IF(S943="","",S943/P943)</f>
        <v/>
      </c>
      <c r="U943" s="16" t="str">
        <f aca="false">IF(N(M943)=0,"",IF(N943&gt;=CONFIG!$B$27,"",AVERAGEIFS(ENSAYOS!$Q$5:$Q$3004,ENSAYOS!$C$5:$C$3004,F943,ENSAYOS!$Q$5:$Q$3004,"&gt;0",ENSAYOS!$G$5:$G$3004,N943)))</f>
        <v/>
      </c>
      <c r="V943" s="16" t="str">
        <f aca="false">IF(N(M943)=0,"",IF(COUNTIFS(ENSAYOS!$C$5:$C$3004,F943,ENSAYOS!$Q$5:$Q$3004,"&gt;0",ENSAYOS!$G$5:$G$3004,"&gt;="&amp;CONFIG!$B$27)=0,"",AVERAGEIFS(ENSAYOS!$Q$5:$Q$3004,ENSAYOS!$C$5:$C$3004,F943,ENSAYOS!$Q$5:$Q$3004,"&gt;0",ENSAYOS!$G$5:$G$3004,"&gt;="&amp;CONFIG!$B$27)))</f>
        <v/>
      </c>
      <c r="W943" s="18" t="str">
        <f aca="false">IF(AND(U943&lt;&gt;"",V943&lt;&gt;""),U943/V943,"")</f>
        <v/>
      </c>
      <c r="X943" s="18" t="str">
        <f aca="false">IF(U943="","",INDEX('CURVA EDAD'!$E$5:$E$32,MIN(28,MAX(1,N943))))</f>
        <v/>
      </c>
      <c r="Y943" s="16" t="str">
        <f aca="false">IF(V943&lt;&gt;"",V943,IF(U943="","",U943/X943))</f>
        <v/>
      </c>
      <c r="Z943" s="16" t="str">
        <f aca="false">IF(V943&lt;&gt;"",_xlfn.MINIFS(ENSAYOS!$Q$5:$Q$3004,ENSAYOS!$C$5:$C$3004,F943,ENSAYOS!$Q$5:$Q$3004,"&gt;0",ENSAYOS!$G$5:$G$3004,"&gt;="&amp;CONFIG!$B$27),IF(U943="","",_xlfn.MINIFS(ENSAYOS!$Q$5:$Q$3004,ENSAYOS!$C$5:$C$3004,F943,ENSAYOS!$Q$5:$Q$3004,"&gt;0",ENSAYOS!$G$5:$G$3004,N943)/X943))</f>
        <v/>
      </c>
      <c r="AA943" s="16" t="str">
        <f aca="false">IF(D943="","",IFERROR(1/(1/INDEX(CONFIG!$J$5:$J$14,MATCH(D943,CONFIG!$D$5:$D$14,0))),""))</f>
        <v/>
      </c>
      <c r="AB943" s="16" t="str">
        <f aca="false">IF(D943="","",IFERROR(1/(1/INDEX(CONFIG!$K$5:$K$14,MATCH(D943,CONFIG!$D$5:$D$14,0))),""))</f>
        <v/>
      </c>
      <c r="AC943" s="19" t="str">
        <f aca="false">IF(N(M943)=0,"",IF(AA943="","Sin spec",IF(AND(Y943&gt;=AA943,OR(AB943="",Z943&gt;=AB943)),"CUMPLE","NO CUMPLE")&amp;IF(V943=""," (est.)","")))</f>
        <v/>
      </c>
      <c r="AD943" s="20" t="str">
        <f aca="false">IF(F943="","",IF(COUNTIFS(ABSORCION!$C$5:$C$1004,F943,ABSORCION!$I$5:$I$1004,"&gt;0")=0,"",AVERAGEIFS(ABSORCION!$I$5:$I$1004,ABSORCION!$C$5:$C$1004,F943,ABSORCION!$I$5:$I$1004,"&gt;0")))</f>
        <v/>
      </c>
      <c r="AE943" s="20" t="str">
        <f aca="false">IF(F943="","",IF(COUNTIFS(ABSORCION!$C$5:$C$1004,F943,ABSORCION!$I$5:$I$1004,"&gt;0")=0,"",AVERAGEIFS(ABSORCION!$K$5:$K$1004,ABSORCION!$C$5:$C$1004,F943,ABSORCION!$I$5:$I$1004,"&gt;0")))</f>
        <v/>
      </c>
      <c r="AF943" s="20" t="str">
        <f aca="false">IF(AE943="","",IF(AE943&gt;=CONFIG!$E$21,CONFIG!$F$21,IF(AE943&gt;=CONFIG!$E$20,CONFIG!$F$20,CONFIG!$F$19)))</f>
        <v/>
      </c>
      <c r="AG943" s="21" t="str">
        <f aca="false">IF(F943="","",TRIM(IF(N(M943)=0,"Sin ensayos. ","")&amp;IF(AND(N(M943)&gt;0,N(M943)&lt;CONFIG!$B$26),"Menos de "&amp;CONFIG!$B$26&amp;" probetas. ","")&amp;IF(N(T943)&gt;CONFIG!$B$25,"CV alto. ","")&amp;IF(AND(N(AD943)&gt;0,N(AD943)&gt;N(AF943)),"Absorción alta. ","")))</f>
        <v/>
      </c>
      <c r="AH943" s="22" t="str">
        <f aca="false">IF(AND(N(M943)&gt;0,OR(CONTROL!$C$4="TODAS",C943=CONTROL!$C$4),D943=CONTROL!$C$5),MAX($AH$4:AH942)+1,"")</f>
        <v/>
      </c>
      <c r="AI943" s="22" t="str">
        <f aca="false">IF(AH943="","",P943^2)</f>
        <v/>
      </c>
    </row>
    <row r="944" customFormat="false" ht="15" hidden="false" customHeight="false" outlineLevel="0" collapsed="false">
      <c r="A944" s="11" t="str">
        <f aca="false">IF(B944="","",ROW()-4)</f>
        <v/>
      </c>
      <c r="B944" s="12"/>
      <c r="C944" s="13"/>
      <c r="D944" s="13"/>
      <c r="E944" s="13"/>
      <c r="F944" s="14" t="str">
        <f aca="false">IF(OR(B944="",C944="",D944=""),"",IFERROR(INDEX(CONFIG!$E$5:$E$14,MATCH(D944,CONFIG!$D$5:$D$14,0)),"?")&amp;RIGHT("0"&amp;DAY(B944),2)&amp;RIGHT("0"&amp;MONTH(B944),2)&amp;RIGHT(YEAR(B944),2)&amp;C944&amp;IF(E944="","","-"&amp;E944))</f>
        <v/>
      </c>
      <c r="G944" s="13"/>
      <c r="H944" s="13"/>
      <c r="I944" s="13"/>
      <c r="J944" s="13"/>
      <c r="K944" s="13"/>
      <c r="L944" s="13"/>
      <c r="M944" s="11" t="str">
        <f aca="false">IF(F944="","",COUNTIFS(ENSAYOS!$C$5:$C$3004,F944,ENSAYOS!$Q$5:$Q$3004,"&gt;0"))</f>
        <v/>
      </c>
      <c r="N944" s="15" t="str">
        <f aca="false">IF(N(M944)=0,"",_xlfn.MINIFS(ENSAYOS!$G$5:$G$3004,ENSAYOS!$C$5:$C$3004,F944,ENSAYOS!$Q$5:$Q$3004,"&gt;0"))</f>
        <v/>
      </c>
      <c r="O944" s="15" t="str">
        <f aca="false">IF(N(M944)=0,"",_xlfn.MAXIFS(ENSAYOS!$G$5:$G$3004,ENSAYOS!$C$5:$C$3004,F944,ENSAYOS!$Q$5:$Q$3004,"&gt;0"))</f>
        <v/>
      </c>
      <c r="P944" s="16" t="str">
        <f aca="false">IF(N(M944)=0,"",AVERAGEIFS(ENSAYOS!$Q$5:$Q$3004,ENSAYOS!$C$5:$C$3004,F944,ENSAYOS!$Q$5:$Q$3004,"&gt;0"))</f>
        <v/>
      </c>
      <c r="Q944" s="16" t="str">
        <f aca="false">IF(N(M944)=0,"",_xlfn.MINIFS(ENSAYOS!$Q$5:$Q$3004,ENSAYOS!$C$5:$C$3004,F944,ENSAYOS!$Q$5:$Q$3004,"&gt;0"))</f>
        <v/>
      </c>
      <c r="R944" s="16" t="str">
        <f aca="false">IF(N(M944)=0,"",_xlfn.MAXIFS(ENSAYOS!$Q$5:$Q$3004,ENSAYOS!$C$5:$C$3004,F944,ENSAYOS!$Q$5:$Q$3004,"&gt;0"))</f>
        <v/>
      </c>
      <c r="S944" s="16" t="str">
        <f aca="false">IF(N(M944)&lt;2,"",SQRT(MAX(0,(SUMIFS(ENSAYOS!$X$5:$X$3004,ENSAYOS!$C$5:$C$3004,F944,ENSAYOS!$Q$5:$Q$3004,"&gt;0")-M944*P944^2)/(M944-1))))</f>
        <v/>
      </c>
      <c r="T944" s="17" t="str">
        <f aca="false">IF(S944="","",S944/P944)</f>
        <v/>
      </c>
      <c r="U944" s="16" t="str">
        <f aca="false">IF(N(M944)=0,"",IF(N944&gt;=CONFIG!$B$27,"",AVERAGEIFS(ENSAYOS!$Q$5:$Q$3004,ENSAYOS!$C$5:$C$3004,F944,ENSAYOS!$Q$5:$Q$3004,"&gt;0",ENSAYOS!$G$5:$G$3004,N944)))</f>
        <v/>
      </c>
      <c r="V944" s="16" t="str">
        <f aca="false">IF(N(M944)=0,"",IF(COUNTIFS(ENSAYOS!$C$5:$C$3004,F944,ENSAYOS!$Q$5:$Q$3004,"&gt;0",ENSAYOS!$G$5:$G$3004,"&gt;="&amp;CONFIG!$B$27)=0,"",AVERAGEIFS(ENSAYOS!$Q$5:$Q$3004,ENSAYOS!$C$5:$C$3004,F944,ENSAYOS!$Q$5:$Q$3004,"&gt;0",ENSAYOS!$G$5:$G$3004,"&gt;="&amp;CONFIG!$B$27)))</f>
        <v/>
      </c>
      <c r="W944" s="18" t="str">
        <f aca="false">IF(AND(U944&lt;&gt;"",V944&lt;&gt;""),U944/V944,"")</f>
        <v/>
      </c>
      <c r="X944" s="18" t="str">
        <f aca="false">IF(U944="","",INDEX('CURVA EDAD'!$E$5:$E$32,MIN(28,MAX(1,N944))))</f>
        <v/>
      </c>
      <c r="Y944" s="16" t="str">
        <f aca="false">IF(V944&lt;&gt;"",V944,IF(U944="","",U944/X944))</f>
        <v/>
      </c>
      <c r="Z944" s="16" t="str">
        <f aca="false">IF(V944&lt;&gt;"",_xlfn.MINIFS(ENSAYOS!$Q$5:$Q$3004,ENSAYOS!$C$5:$C$3004,F944,ENSAYOS!$Q$5:$Q$3004,"&gt;0",ENSAYOS!$G$5:$G$3004,"&gt;="&amp;CONFIG!$B$27),IF(U944="","",_xlfn.MINIFS(ENSAYOS!$Q$5:$Q$3004,ENSAYOS!$C$5:$C$3004,F944,ENSAYOS!$Q$5:$Q$3004,"&gt;0",ENSAYOS!$G$5:$G$3004,N944)/X944))</f>
        <v/>
      </c>
      <c r="AA944" s="16" t="str">
        <f aca="false">IF(D944="","",IFERROR(1/(1/INDEX(CONFIG!$J$5:$J$14,MATCH(D944,CONFIG!$D$5:$D$14,0))),""))</f>
        <v/>
      </c>
      <c r="AB944" s="16" t="str">
        <f aca="false">IF(D944="","",IFERROR(1/(1/INDEX(CONFIG!$K$5:$K$14,MATCH(D944,CONFIG!$D$5:$D$14,0))),""))</f>
        <v/>
      </c>
      <c r="AC944" s="19" t="str">
        <f aca="false">IF(N(M944)=0,"",IF(AA944="","Sin spec",IF(AND(Y944&gt;=AA944,OR(AB944="",Z944&gt;=AB944)),"CUMPLE","NO CUMPLE")&amp;IF(V944=""," (est.)","")))</f>
        <v/>
      </c>
      <c r="AD944" s="20" t="str">
        <f aca="false">IF(F944="","",IF(COUNTIFS(ABSORCION!$C$5:$C$1004,F944,ABSORCION!$I$5:$I$1004,"&gt;0")=0,"",AVERAGEIFS(ABSORCION!$I$5:$I$1004,ABSORCION!$C$5:$C$1004,F944,ABSORCION!$I$5:$I$1004,"&gt;0")))</f>
        <v/>
      </c>
      <c r="AE944" s="20" t="str">
        <f aca="false">IF(F944="","",IF(COUNTIFS(ABSORCION!$C$5:$C$1004,F944,ABSORCION!$I$5:$I$1004,"&gt;0")=0,"",AVERAGEIFS(ABSORCION!$K$5:$K$1004,ABSORCION!$C$5:$C$1004,F944,ABSORCION!$I$5:$I$1004,"&gt;0")))</f>
        <v/>
      </c>
      <c r="AF944" s="20" t="str">
        <f aca="false">IF(AE944="","",IF(AE944&gt;=CONFIG!$E$21,CONFIG!$F$21,IF(AE944&gt;=CONFIG!$E$20,CONFIG!$F$20,CONFIG!$F$19)))</f>
        <v/>
      </c>
      <c r="AG944" s="21" t="str">
        <f aca="false">IF(F944="","",TRIM(IF(N(M944)=0,"Sin ensayos. ","")&amp;IF(AND(N(M944)&gt;0,N(M944)&lt;CONFIG!$B$26),"Menos de "&amp;CONFIG!$B$26&amp;" probetas. ","")&amp;IF(N(T944)&gt;CONFIG!$B$25,"CV alto. ","")&amp;IF(AND(N(AD944)&gt;0,N(AD944)&gt;N(AF944)),"Absorción alta. ","")))</f>
        <v/>
      </c>
      <c r="AH944" s="22" t="str">
        <f aca="false">IF(AND(N(M944)&gt;0,OR(CONTROL!$C$4="TODAS",C944=CONTROL!$C$4),D944=CONTROL!$C$5),MAX($AH$4:AH943)+1,"")</f>
        <v/>
      </c>
      <c r="AI944" s="22" t="str">
        <f aca="false">IF(AH944="","",P944^2)</f>
        <v/>
      </c>
    </row>
    <row r="945" customFormat="false" ht="15" hidden="false" customHeight="false" outlineLevel="0" collapsed="false">
      <c r="A945" s="11" t="str">
        <f aca="false">IF(B945="","",ROW()-4)</f>
        <v/>
      </c>
      <c r="B945" s="12"/>
      <c r="C945" s="13"/>
      <c r="D945" s="13"/>
      <c r="E945" s="13"/>
      <c r="F945" s="14" t="str">
        <f aca="false">IF(OR(B945="",C945="",D945=""),"",IFERROR(INDEX(CONFIG!$E$5:$E$14,MATCH(D945,CONFIG!$D$5:$D$14,0)),"?")&amp;RIGHT("0"&amp;DAY(B945),2)&amp;RIGHT("0"&amp;MONTH(B945),2)&amp;RIGHT(YEAR(B945),2)&amp;C945&amp;IF(E945="","","-"&amp;E945))</f>
        <v/>
      </c>
      <c r="G945" s="13"/>
      <c r="H945" s="13"/>
      <c r="I945" s="13"/>
      <c r="J945" s="13"/>
      <c r="K945" s="13"/>
      <c r="L945" s="13"/>
      <c r="M945" s="11" t="str">
        <f aca="false">IF(F945="","",COUNTIFS(ENSAYOS!$C$5:$C$3004,F945,ENSAYOS!$Q$5:$Q$3004,"&gt;0"))</f>
        <v/>
      </c>
      <c r="N945" s="15" t="str">
        <f aca="false">IF(N(M945)=0,"",_xlfn.MINIFS(ENSAYOS!$G$5:$G$3004,ENSAYOS!$C$5:$C$3004,F945,ENSAYOS!$Q$5:$Q$3004,"&gt;0"))</f>
        <v/>
      </c>
      <c r="O945" s="15" t="str">
        <f aca="false">IF(N(M945)=0,"",_xlfn.MAXIFS(ENSAYOS!$G$5:$G$3004,ENSAYOS!$C$5:$C$3004,F945,ENSAYOS!$Q$5:$Q$3004,"&gt;0"))</f>
        <v/>
      </c>
      <c r="P945" s="16" t="str">
        <f aca="false">IF(N(M945)=0,"",AVERAGEIFS(ENSAYOS!$Q$5:$Q$3004,ENSAYOS!$C$5:$C$3004,F945,ENSAYOS!$Q$5:$Q$3004,"&gt;0"))</f>
        <v/>
      </c>
      <c r="Q945" s="16" t="str">
        <f aca="false">IF(N(M945)=0,"",_xlfn.MINIFS(ENSAYOS!$Q$5:$Q$3004,ENSAYOS!$C$5:$C$3004,F945,ENSAYOS!$Q$5:$Q$3004,"&gt;0"))</f>
        <v/>
      </c>
      <c r="R945" s="16" t="str">
        <f aca="false">IF(N(M945)=0,"",_xlfn.MAXIFS(ENSAYOS!$Q$5:$Q$3004,ENSAYOS!$C$5:$C$3004,F945,ENSAYOS!$Q$5:$Q$3004,"&gt;0"))</f>
        <v/>
      </c>
      <c r="S945" s="16" t="str">
        <f aca="false">IF(N(M945)&lt;2,"",SQRT(MAX(0,(SUMIFS(ENSAYOS!$X$5:$X$3004,ENSAYOS!$C$5:$C$3004,F945,ENSAYOS!$Q$5:$Q$3004,"&gt;0")-M945*P945^2)/(M945-1))))</f>
        <v/>
      </c>
      <c r="T945" s="17" t="str">
        <f aca="false">IF(S945="","",S945/P945)</f>
        <v/>
      </c>
      <c r="U945" s="16" t="str">
        <f aca="false">IF(N(M945)=0,"",IF(N945&gt;=CONFIG!$B$27,"",AVERAGEIFS(ENSAYOS!$Q$5:$Q$3004,ENSAYOS!$C$5:$C$3004,F945,ENSAYOS!$Q$5:$Q$3004,"&gt;0",ENSAYOS!$G$5:$G$3004,N945)))</f>
        <v/>
      </c>
      <c r="V945" s="16" t="str">
        <f aca="false">IF(N(M945)=0,"",IF(COUNTIFS(ENSAYOS!$C$5:$C$3004,F945,ENSAYOS!$Q$5:$Q$3004,"&gt;0",ENSAYOS!$G$5:$G$3004,"&gt;="&amp;CONFIG!$B$27)=0,"",AVERAGEIFS(ENSAYOS!$Q$5:$Q$3004,ENSAYOS!$C$5:$C$3004,F945,ENSAYOS!$Q$5:$Q$3004,"&gt;0",ENSAYOS!$G$5:$G$3004,"&gt;="&amp;CONFIG!$B$27)))</f>
        <v/>
      </c>
      <c r="W945" s="18" t="str">
        <f aca="false">IF(AND(U945&lt;&gt;"",V945&lt;&gt;""),U945/V945,"")</f>
        <v/>
      </c>
      <c r="X945" s="18" t="str">
        <f aca="false">IF(U945="","",INDEX('CURVA EDAD'!$E$5:$E$32,MIN(28,MAX(1,N945))))</f>
        <v/>
      </c>
      <c r="Y945" s="16" t="str">
        <f aca="false">IF(V945&lt;&gt;"",V945,IF(U945="","",U945/X945))</f>
        <v/>
      </c>
      <c r="Z945" s="16" t="str">
        <f aca="false">IF(V945&lt;&gt;"",_xlfn.MINIFS(ENSAYOS!$Q$5:$Q$3004,ENSAYOS!$C$5:$C$3004,F945,ENSAYOS!$Q$5:$Q$3004,"&gt;0",ENSAYOS!$G$5:$G$3004,"&gt;="&amp;CONFIG!$B$27),IF(U945="","",_xlfn.MINIFS(ENSAYOS!$Q$5:$Q$3004,ENSAYOS!$C$5:$C$3004,F945,ENSAYOS!$Q$5:$Q$3004,"&gt;0",ENSAYOS!$G$5:$G$3004,N945)/X945))</f>
        <v/>
      </c>
      <c r="AA945" s="16" t="str">
        <f aca="false">IF(D945="","",IFERROR(1/(1/INDEX(CONFIG!$J$5:$J$14,MATCH(D945,CONFIG!$D$5:$D$14,0))),""))</f>
        <v/>
      </c>
      <c r="AB945" s="16" t="str">
        <f aca="false">IF(D945="","",IFERROR(1/(1/INDEX(CONFIG!$K$5:$K$14,MATCH(D945,CONFIG!$D$5:$D$14,0))),""))</f>
        <v/>
      </c>
      <c r="AC945" s="19" t="str">
        <f aca="false">IF(N(M945)=0,"",IF(AA945="","Sin spec",IF(AND(Y945&gt;=AA945,OR(AB945="",Z945&gt;=AB945)),"CUMPLE","NO CUMPLE")&amp;IF(V945=""," (est.)","")))</f>
        <v/>
      </c>
      <c r="AD945" s="20" t="str">
        <f aca="false">IF(F945="","",IF(COUNTIFS(ABSORCION!$C$5:$C$1004,F945,ABSORCION!$I$5:$I$1004,"&gt;0")=0,"",AVERAGEIFS(ABSORCION!$I$5:$I$1004,ABSORCION!$C$5:$C$1004,F945,ABSORCION!$I$5:$I$1004,"&gt;0")))</f>
        <v/>
      </c>
      <c r="AE945" s="20" t="str">
        <f aca="false">IF(F945="","",IF(COUNTIFS(ABSORCION!$C$5:$C$1004,F945,ABSORCION!$I$5:$I$1004,"&gt;0")=0,"",AVERAGEIFS(ABSORCION!$K$5:$K$1004,ABSORCION!$C$5:$C$1004,F945,ABSORCION!$I$5:$I$1004,"&gt;0")))</f>
        <v/>
      </c>
      <c r="AF945" s="20" t="str">
        <f aca="false">IF(AE945="","",IF(AE945&gt;=CONFIG!$E$21,CONFIG!$F$21,IF(AE945&gt;=CONFIG!$E$20,CONFIG!$F$20,CONFIG!$F$19)))</f>
        <v/>
      </c>
      <c r="AG945" s="21" t="str">
        <f aca="false">IF(F945="","",TRIM(IF(N(M945)=0,"Sin ensayos. ","")&amp;IF(AND(N(M945)&gt;0,N(M945)&lt;CONFIG!$B$26),"Menos de "&amp;CONFIG!$B$26&amp;" probetas. ","")&amp;IF(N(T945)&gt;CONFIG!$B$25,"CV alto. ","")&amp;IF(AND(N(AD945)&gt;0,N(AD945)&gt;N(AF945)),"Absorción alta. ","")))</f>
        <v/>
      </c>
      <c r="AH945" s="22" t="str">
        <f aca="false">IF(AND(N(M945)&gt;0,OR(CONTROL!$C$4="TODAS",C945=CONTROL!$C$4),D945=CONTROL!$C$5),MAX($AH$4:AH944)+1,"")</f>
        <v/>
      </c>
      <c r="AI945" s="22" t="str">
        <f aca="false">IF(AH945="","",P945^2)</f>
        <v/>
      </c>
    </row>
    <row r="946" customFormat="false" ht="15" hidden="false" customHeight="false" outlineLevel="0" collapsed="false">
      <c r="A946" s="11" t="str">
        <f aca="false">IF(B946="","",ROW()-4)</f>
        <v/>
      </c>
      <c r="B946" s="12"/>
      <c r="C946" s="13"/>
      <c r="D946" s="13"/>
      <c r="E946" s="13"/>
      <c r="F946" s="14" t="str">
        <f aca="false">IF(OR(B946="",C946="",D946=""),"",IFERROR(INDEX(CONFIG!$E$5:$E$14,MATCH(D946,CONFIG!$D$5:$D$14,0)),"?")&amp;RIGHT("0"&amp;DAY(B946),2)&amp;RIGHT("0"&amp;MONTH(B946),2)&amp;RIGHT(YEAR(B946),2)&amp;C946&amp;IF(E946="","","-"&amp;E946))</f>
        <v/>
      </c>
      <c r="G946" s="13"/>
      <c r="H946" s="13"/>
      <c r="I946" s="13"/>
      <c r="J946" s="13"/>
      <c r="K946" s="13"/>
      <c r="L946" s="13"/>
      <c r="M946" s="11" t="str">
        <f aca="false">IF(F946="","",COUNTIFS(ENSAYOS!$C$5:$C$3004,F946,ENSAYOS!$Q$5:$Q$3004,"&gt;0"))</f>
        <v/>
      </c>
      <c r="N946" s="15" t="str">
        <f aca="false">IF(N(M946)=0,"",_xlfn.MINIFS(ENSAYOS!$G$5:$G$3004,ENSAYOS!$C$5:$C$3004,F946,ENSAYOS!$Q$5:$Q$3004,"&gt;0"))</f>
        <v/>
      </c>
      <c r="O946" s="15" t="str">
        <f aca="false">IF(N(M946)=0,"",_xlfn.MAXIFS(ENSAYOS!$G$5:$G$3004,ENSAYOS!$C$5:$C$3004,F946,ENSAYOS!$Q$5:$Q$3004,"&gt;0"))</f>
        <v/>
      </c>
      <c r="P946" s="16" t="str">
        <f aca="false">IF(N(M946)=0,"",AVERAGEIFS(ENSAYOS!$Q$5:$Q$3004,ENSAYOS!$C$5:$C$3004,F946,ENSAYOS!$Q$5:$Q$3004,"&gt;0"))</f>
        <v/>
      </c>
      <c r="Q946" s="16" t="str">
        <f aca="false">IF(N(M946)=0,"",_xlfn.MINIFS(ENSAYOS!$Q$5:$Q$3004,ENSAYOS!$C$5:$C$3004,F946,ENSAYOS!$Q$5:$Q$3004,"&gt;0"))</f>
        <v/>
      </c>
      <c r="R946" s="16" t="str">
        <f aca="false">IF(N(M946)=0,"",_xlfn.MAXIFS(ENSAYOS!$Q$5:$Q$3004,ENSAYOS!$C$5:$C$3004,F946,ENSAYOS!$Q$5:$Q$3004,"&gt;0"))</f>
        <v/>
      </c>
      <c r="S946" s="16" t="str">
        <f aca="false">IF(N(M946)&lt;2,"",SQRT(MAX(0,(SUMIFS(ENSAYOS!$X$5:$X$3004,ENSAYOS!$C$5:$C$3004,F946,ENSAYOS!$Q$5:$Q$3004,"&gt;0")-M946*P946^2)/(M946-1))))</f>
        <v/>
      </c>
      <c r="T946" s="17" t="str">
        <f aca="false">IF(S946="","",S946/P946)</f>
        <v/>
      </c>
      <c r="U946" s="16" t="str">
        <f aca="false">IF(N(M946)=0,"",IF(N946&gt;=CONFIG!$B$27,"",AVERAGEIFS(ENSAYOS!$Q$5:$Q$3004,ENSAYOS!$C$5:$C$3004,F946,ENSAYOS!$Q$5:$Q$3004,"&gt;0",ENSAYOS!$G$5:$G$3004,N946)))</f>
        <v/>
      </c>
      <c r="V946" s="16" t="str">
        <f aca="false">IF(N(M946)=0,"",IF(COUNTIFS(ENSAYOS!$C$5:$C$3004,F946,ENSAYOS!$Q$5:$Q$3004,"&gt;0",ENSAYOS!$G$5:$G$3004,"&gt;="&amp;CONFIG!$B$27)=0,"",AVERAGEIFS(ENSAYOS!$Q$5:$Q$3004,ENSAYOS!$C$5:$C$3004,F946,ENSAYOS!$Q$5:$Q$3004,"&gt;0",ENSAYOS!$G$5:$G$3004,"&gt;="&amp;CONFIG!$B$27)))</f>
        <v/>
      </c>
      <c r="W946" s="18" t="str">
        <f aca="false">IF(AND(U946&lt;&gt;"",V946&lt;&gt;""),U946/V946,"")</f>
        <v/>
      </c>
      <c r="X946" s="18" t="str">
        <f aca="false">IF(U946="","",INDEX('CURVA EDAD'!$E$5:$E$32,MIN(28,MAX(1,N946))))</f>
        <v/>
      </c>
      <c r="Y946" s="16" t="str">
        <f aca="false">IF(V946&lt;&gt;"",V946,IF(U946="","",U946/X946))</f>
        <v/>
      </c>
      <c r="Z946" s="16" t="str">
        <f aca="false">IF(V946&lt;&gt;"",_xlfn.MINIFS(ENSAYOS!$Q$5:$Q$3004,ENSAYOS!$C$5:$C$3004,F946,ENSAYOS!$Q$5:$Q$3004,"&gt;0",ENSAYOS!$G$5:$G$3004,"&gt;="&amp;CONFIG!$B$27),IF(U946="","",_xlfn.MINIFS(ENSAYOS!$Q$5:$Q$3004,ENSAYOS!$C$5:$C$3004,F946,ENSAYOS!$Q$5:$Q$3004,"&gt;0",ENSAYOS!$G$5:$G$3004,N946)/X946))</f>
        <v/>
      </c>
      <c r="AA946" s="16" t="str">
        <f aca="false">IF(D946="","",IFERROR(1/(1/INDEX(CONFIG!$J$5:$J$14,MATCH(D946,CONFIG!$D$5:$D$14,0))),""))</f>
        <v/>
      </c>
      <c r="AB946" s="16" t="str">
        <f aca="false">IF(D946="","",IFERROR(1/(1/INDEX(CONFIG!$K$5:$K$14,MATCH(D946,CONFIG!$D$5:$D$14,0))),""))</f>
        <v/>
      </c>
      <c r="AC946" s="19" t="str">
        <f aca="false">IF(N(M946)=0,"",IF(AA946="","Sin spec",IF(AND(Y946&gt;=AA946,OR(AB946="",Z946&gt;=AB946)),"CUMPLE","NO CUMPLE")&amp;IF(V946=""," (est.)","")))</f>
        <v/>
      </c>
      <c r="AD946" s="20" t="str">
        <f aca="false">IF(F946="","",IF(COUNTIFS(ABSORCION!$C$5:$C$1004,F946,ABSORCION!$I$5:$I$1004,"&gt;0")=0,"",AVERAGEIFS(ABSORCION!$I$5:$I$1004,ABSORCION!$C$5:$C$1004,F946,ABSORCION!$I$5:$I$1004,"&gt;0")))</f>
        <v/>
      </c>
      <c r="AE946" s="20" t="str">
        <f aca="false">IF(F946="","",IF(COUNTIFS(ABSORCION!$C$5:$C$1004,F946,ABSORCION!$I$5:$I$1004,"&gt;0")=0,"",AVERAGEIFS(ABSORCION!$K$5:$K$1004,ABSORCION!$C$5:$C$1004,F946,ABSORCION!$I$5:$I$1004,"&gt;0")))</f>
        <v/>
      </c>
      <c r="AF946" s="20" t="str">
        <f aca="false">IF(AE946="","",IF(AE946&gt;=CONFIG!$E$21,CONFIG!$F$21,IF(AE946&gt;=CONFIG!$E$20,CONFIG!$F$20,CONFIG!$F$19)))</f>
        <v/>
      </c>
      <c r="AG946" s="21" t="str">
        <f aca="false">IF(F946="","",TRIM(IF(N(M946)=0,"Sin ensayos. ","")&amp;IF(AND(N(M946)&gt;0,N(M946)&lt;CONFIG!$B$26),"Menos de "&amp;CONFIG!$B$26&amp;" probetas. ","")&amp;IF(N(T946)&gt;CONFIG!$B$25,"CV alto. ","")&amp;IF(AND(N(AD946)&gt;0,N(AD946)&gt;N(AF946)),"Absorción alta. ","")))</f>
        <v/>
      </c>
      <c r="AH946" s="22" t="str">
        <f aca="false">IF(AND(N(M946)&gt;0,OR(CONTROL!$C$4="TODAS",C946=CONTROL!$C$4),D946=CONTROL!$C$5),MAX($AH$4:AH945)+1,"")</f>
        <v/>
      </c>
      <c r="AI946" s="22" t="str">
        <f aca="false">IF(AH946="","",P946^2)</f>
        <v/>
      </c>
    </row>
    <row r="947" customFormat="false" ht="15" hidden="false" customHeight="false" outlineLevel="0" collapsed="false">
      <c r="A947" s="11" t="str">
        <f aca="false">IF(B947="","",ROW()-4)</f>
        <v/>
      </c>
      <c r="B947" s="12"/>
      <c r="C947" s="13"/>
      <c r="D947" s="13"/>
      <c r="E947" s="13"/>
      <c r="F947" s="14" t="str">
        <f aca="false">IF(OR(B947="",C947="",D947=""),"",IFERROR(INDEX(CONFIG!$E$5:$E$14,MATCH(D947,CONFIG!$D$5:$D$14,0)),"?")&amp;RIGHT("0"&amp;DAY(B947),2)&amp;RIGHT("0"&amp;MONTH(B947),2)&amp;RIGHT(YEAR(B947),2)&amp;C947&amp;IF(E947="","","-"&amp;E947))</f>
        <v/>
      </c>
      <c r="G947" s="13"/>
      <c r="H947" s="13"/>
      <c r="I947" s="13"/>
      <c r="J947" s="13"/>
      <c r="K947" s="13"/>
      <c r="L947" s="13"/>
      <c r="M947" s="11" t="str">
        <f aca="false">IF(F947="","",COUNTIFS(ENSAYOS!$C$5:$C$3004,F947,ENSAYOS!$Q$5:$Q$3004,"&gt;0"))</f>
        <v/>
      </c>
      <c r="N947" s="15" t="str">
        <f aca="false">IF(N(M947)=0,"",_xlfn.MINIFS(ENSAYOS!$G$5:$G$3004,ENSAYOS!$C$5:$C$3004,F947,ENSAYOS!$Q$5:$Q$3004,"&gt;0"))</f>
        <v/>
      </c>
      <c r="O947" s="15" t="str">
        <f aca="false">IF(N(M947)=0,"",_xlfn.MAXIFS(ENSAYOS!$G$5:$G$3004,ENSAYOS!$C$5:$C$3004,F947,ENSAYOS!$Q$5:$Q$3004,"&gt;0"))</f>
        <v/>
      </c>
      <c r="P947" s="16" t="str">
        <f aca="false">IF(N(M947)=0,"",AVERAGEIFS(ENSAYOS!$Q$5:$Q$3004,ENSAYOS!$C$5:$C$3004,F947,ENSAYOS!$Q$5:$Q$3004,"&gt;0"))</f>
        <v/>
      </c>
      <c r="Q947" s="16" t="str">
        <f aca="false">IF(N(M947)=0,"",_xlfn.MINIFS(ENSAYOS!$Q$5:$Q$3004,ENSAYOS!$C$5:$C$3004,F947,ENSAYOS!$Q$5:$Q$3004,"&gt;0"))</f>
        <v/>
      </c>
      <c r="R947" s="16" t="str">
        <f aca="false">IF(N(M947)=0,"",_xlfn.MAXIFS(ENSAYOS!$Q$5:$Q$3004,ENSAYOS!$C$5:$C$3004,F947,ENSAYOS!$Q$5:$Q$3004,"&gt;0"))</f>
        <v/>
      </c>
      <c r="S947" s="16" t="str">
        <f aca="false">IF(N(M947)&lt;2,"",SQRT(MAX(0,(SUMIFS(ENSAYOS!$X$5:$X$3004,ENSAYOS!$C$5:$C$3004,F947,ENSAYOS!$Q$5:$Q$3004,"&gt;0")-M947*P947^2)/(M947-1))))</f>
        <v/>
      </c>
      <c r="T947" s="17" t="str">
        <f aca="false">IF(S947="","",S947/P947)</f>
        <v/>
      </c>
      <c r="U947" s="16" t="str">
        <f aca="false">IF(N(M947)=0,"",IF(N947&gt;=CONFIG!$B$27,"",AVERAGEIFS(ENSAYOS!$Q$5:$Q$3004,ENSAYOS!$C$5:$C$3004,F947,ENSAYOS!$Q$5:$Q$3004,"&gt;0",ENSAYOS!$G$5:$G$3004,N947)))</f>
        <v/>
      </c>
      <c r="V947" s="16" t="str">
        <f aca="false">IF(N(M947)=0,"",IF(COUNTIFS(ENSAYOS!$C$5:$C$3004,F947,ENSAYOS!$Q$5:$Q$3004,"&gt;0",ENSAYOS!$G$5:$G$3004,"&gt;="&amp;CONFIG!$B$27)=0,"",AVERAGEIFS(ENSAYOS!$Q$5:$Q$3004,ENSAYOS!$C$5:$C$3004,F947,ENSAYOS!$Q$5:$Q$3004,"&gt;0",ENSAYOS!$G$5:$G$3004,"&gt;="&amp;CONFIG!$B$27)))</f>
        <v/>
      </c>
      <c r="W947" s="18" t="str">
        <f aca="false">IF(AND(U947&lt;&gt;"",V947&lt;&gt;""),U947/V947,"")</f>
        <v/>
      </c>
      <c r="X947" s="18" t="str">
        <f aca="false">IF(U947="","",INDEX('CURVA EDAD'!$E$5:$E$32,MIN(28,MAX(1,N947))))</f>
        <v/>
      </c>
      <c r="Y947" s="16" t="str">
        <f aca="false">IF(V947&lt;&gt;"",V947,IF(U947="","",U947/X947))</f>
        <v/>
      </c>
      <c r="Z947" s="16" t="str">
        <f aca="false">IF(V947&lt;&gt;"",_xlfn.MINIFS(ENSAYOS!$Q$5:$Q$3004,ENSAYOS!$C$5:$C$3004,F947,ENSAYOS!$Q$5:$Q$3004,"&gt;0",ENSAYOS!$G$5:$G$3004,"&gt;="&amp;CONFIG!$B$27),IF(U947="","",_xlfn.MINIFS(ENSAYOS!$Q$5:$Q$3004,ENSAYOS!$C$5:$C$3004,F947,ENSAYOS!$Q$5:$Q$3004,"&gt;0",ENSAYOS!$G$5:$G$3004,N947)/X947))</f>
        <v/>
      </c>
      <c r="AA947" s="16" t="str">
        <f aca="false">IF(D947="","",IFERROR(1/(1/INDEX(CONFIG!$J$5:$J$14,MATCH(D947,CONFIG!$D$5:$D$14,0))),""))</f>
        <v/>
      </c>
      <c r="AB947" s="16" t="str">
        <f aca="false">IF(D947="","",IFERROR(1/(1/INDEX(CONFIG!$K$5:$K$14,MATCH(D947,CONFIG!$D$5:$D$14,0))),""))</f>
        <v/>
      </c>
      <c r="AC947" s="19" t="str">
        <f aca="false">IF(N(M947)=0,"",IF(AA947="","Sin spec",IF(AND(Y947&gt;=AA947,OR(AB947="",Z947&gt;=AB947)),"CUMPLE","NO CUMPLE")&amp;IF(V947=""," (est.)","")))</f>
        <v/>
      </c>
      <c r="AD947" s="20" t="str">
        <f aca="false">IF(F947="","",IF(COUNTIFS(ABSORCION!$C$5:$C$1004,F947,ABSORCION!$I$5:$I$1004,"&gt;0")=0,"",AVERAGEIFS(ABSORCION!$I$5:$I$1004,ABSORCION!$C$5:$C$1004,F947,ABSORCION!$I$5:$I$1004,"&gt;0")))</f>
        <v/>
      </c>
      <c r="AE947" s="20" t="str">
        <f aca="false">IF(F947="","",IF(COUNTIFS(ABSORCION!$C$5:$C$1004,F947,ABSORCION!$I$5:$I$1004,"&gt;0")=0,"",AVERAGEIFS(ABSORCION!$K$5:$K$1004,ABSORCION!$C$5:$C$1004,F947,ABSORCION!$I$5:$I$1004,"&gt;0")))</f>
        <v/>
      </c>
      <c r="AF947" s="20" t="str">
        <f aca="false">IF(AE947="","",IF(AE947&gt;=CONFIG!$E$21,CONFIG!$F$21,IF(AE947&gt;=CONFIG!$E$20,CONFIG!$F$20,CONFIG!$F$19)))</f>
        <v/>
      </c>
      <c r="AG947" s="21" t="str">
        <f aca="false">IF(F947="","",TRIM(IF(N(M947)=0,"Sin ensayos. ","")&amp;IF(AND(N(M947)&gt;0,N(M947)&lt;CONFIG!$B$26),"Menos de "&amp;CONFIG!$B$26&amp;" probetas. ","")&amp;IF(N(T947)&gt;CONFIG!$B$25,"CV alto. ","")&amp;IF(AND(N(AD947)&gt;0,N(AD947)&gt;N(AF947)),"Absorción alta. ","")))</f>
        <v/>
      </c>
      <c r="AH947" s="22" t="str">
        <f aca="false">IF(AND(N(M947)&gt;0,OR(CONTROL!$C$4="TODAS",C947=CONTROL!$C$4),D947=CONTROL!$C$5),MAX($AH$4:AH946)+1,"")</f>
        <v/>
      </c>
      <c r="AI947" s="22" t="str">
        <f aca="false">IF(AH947="","",P947^2)</f>
        <v/>
      </c>
    </row>
    <row r="948" customFormat="false" ht="15" hidden="false" customHeight="false" outlineLevel="0" collapsed="false">
      <c r="A948" s="11" t="str">
        <f aca="false">IF(B948="","",ROW()-4)</f>
        <v/>
      </c>
      <c r="B948" s="12"/>
      <c r="C948" s="13"/>
      <c r="D948" s="13"/>
      <c r="E948" s="13"/>
      <c r="F948" s="14" t="str">
        <f aca="false">IF(OR(B948="",C948="",D948=""),"",IFERROR(INDEX(CONFIG!$E$5:$E$14,MATCH(D948,CONFIG!$D$5:$D$14,0)),"?")&amp;RIGHT("0"&amp;DAY(B948),2)&amp;RIGHT("0"&amp;MONTH(B948),2)&amp;RIGHT(YEAR(B948),2)&amp;C948&amp;IF(E948="","","-"&amp;E948))</f>
        <v/>
      </c>
      <c r="G948" s="13"/>
      <c r="H948" s="13"/>
      <c r="I948" s="13"/>
      <c r="J948" s="13"/>
      <c r="K948" s="13"/>
      <c r="L948" s="13"/>
      <c r="M948" s="11" t="str">
        <f aca="false">IF(F948="","",COUNTIFS(ENSAYOS!$C$5:$C$3004,F948,ENSAYOS!$Q$5:$Q$3004,"&gt;0"))</f>
        <v/>
      </c>
      <c r="N948" s="15" t="str">
        <f aca="false">IF(N(M948)=0,"",_xlfn.MINIFS(ENSAYOS!$G$5:$G$3004,ENSAYOS!$C$5:$C$3004,F948,ENSAYOS!$Q$5:$Q$3004,"&gt;0"))</f>
        <v/>
      </c>
      <c r="O948" s="15" t="str">
        <f aca="false">IF(N(M948)=0,"",_xlfn.MAXIFS(ENSAYOS!$G$5:$G$3004,ENSAYOS!$C$5:$C$3004,F948,ENSAYOS!$Q$5:$Q$3004,"&gt;0"))</f>
        <v/>
      </c>
      <c r="P948" s="16" t="str">
        <f aca="false">IF(N(M948)=0,"",AVERAGEIFS(ENSAYOS!$Q$5:$Q$3004,ENSAYOS!$C$5:$C$3004,F948,ENSAYOS!$Q$5:$Q$3004,"&gt;0"))</f>
        <v/>
      </c>
      <c r="Q948" s="16" t="str">
        <f aca="false">IF(N(M948)=0,"",_xlfn.MINIFS(ENSAYOS!$Q$5:$Q$3004,ENSAYOS!$C$5:$C$3004,F948,ENSAYOS!$Q$5:$Q$3004,"&gt;0"))</f>
        <v/>
      </c>
      <c r="R948" s="16" t="str">
        <f aca="false">IF(N(M948)=0,"",_xlfn.MAXIFS(ENSAYOS!$Q$5:$Q$3004,ENSAYOS!$C$5:$C$3004,F948,ENSAYOS!$Q$5:$Q$3004,"&gt;0"))</f>
        <v/>
      </c>
      <c r="S948" s="16" t="str">
        <f aca="false">IF(N(M948)&lt;2,"",SQRT(MAX(0,(SUMIFS(ENSAYOS!$X$5:$X$3004,ENSAYOS!$C$5:$C$3004,F948,ENSAYOS!$Q$5:$Q$3004,"&gt;0")-M948*P948^2)/(M948-1))))</f>
        <v/>
      </c>
      <c r="T948" s="17" t="str">
        <f aca="false">IF(S948="","",S948/P948)</f>
        <v/>
      </c>
      <c r="U948" s="16" t="str">
        <f aca="false">IF(N(M948)=0,"",IF(N948&gt;=CONFIG!$B$27,"",AVERAGEIFS(ENSAYOS!$Q$5:$Q$3004,ENSAYOS!$C$5:$C$3004,F948,ENSAYOS!$Q$5:$Q$3004,"&gt;0",ENSAYOS!$G$5:$G$3004,N948)))</f>
        <v/>
      </c>
      <c r="V948" s="16" t="str">
        <f aca="false">IF(N(M948)=0,"",IF(COUNTIFS(ENSAYOS!$C$5:$C$3004,F948,ENSAYOS!$Q$5:$Q$3004,"&gt;0",ENSAYOS!$G$5:$G$3004,"&gt;="&amp;CONFIG!$B$27)=0,"",AVERAGEIFS(ENSAYOS!$Q$5:$Q$3004,ENSAYOS!$C$5:$C$3004,F948,ENSAYOS!$Q$5:$Q$3004,"&gt;0",ENSAYOS!$G$5:$G$3004,"&gt;="&amp;CONFIG!$B$27)))</f>
        <v/>
      </c>
      <c r="W948" s="18" t="str">
        <f aca="false">IF(AND(U948&lt;&gt;"",V948&lt;&gt;""),U948/V948,"")</f>
        <v/>
      </c>
      <c r="X948" s="18" t="str">
        <f aca="false">IF(U948="","",INDEX('CURVA EDAD'!$E$5:$E$32,MIN(28,MAX(1,N948))))</f>
        <v/>
      </c>
      <c r="Y948" s="16" t="str">
        <f aca="false">IF(V948&lt;&gt;"",V948,IF(U948="","",U948/X948))</f>
        <v/>
      </c>
      <c r="Z948" s="16" t="str">
        <f aca="false">IF(V948&lt;&gt;"",_xlfn.MINIFS(ENSAYOS!$Q$5:$Q$3004,ENSAYOS!$C$5:$C$3004,F948,ENSAYOS!$Q$5:$Q$3004,"&gt;0",ENSAYOS!$G$5:$G$3004,"&gt;="&amp;CONFIG!$B$27),IF(U948="","",_xlfn.MINIFS(ENSAYOS!$Q$5:$Q$3004,ENSAYOS!$C$5:$C$3004,F948,ENSAYOS!$Q$5:$Q$3004,"&gt;0",ENSAYOS!$G$5:$G$3004,N948)/X948))</f>
        <v/>
      </c>
      <c r="AA948" s="16" t="str">
        <f aca="false">IF(D948="","",IFERROR(1/(1/INDEX(CONFIG!$J$5:$J$14,MATCH(D948,CONFIG!$D$5:$D$14,0))),""))</f>
        <v/>
      </c>
      <c r="AB948" s="16" t="str">
        <f aca="false">IF(D948="","",IFERROR(1/(1/INDEX(CONFIG!$K$5:$K$14,MATCH(D948,CONFIG!$D$5:$D$14,0))),""))</f>
        <v/>
      </c>
      <c r="AC948" s="19" t="str">
        <f aca="false">IF(N(M948)=0,"",IF(AA948="","Sin spec",IF(AND(Y948&gt;=AA948,OR(AB948="",Z948&gt;=AB948)),"CUMPLE","NO CUMPLE")&amp;IF(V948=""," (est.)","")))</f>
        <v/>
      </c>
      <c r="AD948" s="20" t="str">
        <f aca="false">IF(F948="","",IF(COUNTIFS(ABSORCION!$C$5:$C$1004,F948,ABSORCION!$I$5:$I$1004,"&gt;0")=0,"",AVERAGEIFS(ABSORCION!$I$5:$I$1004,ABSORCION!$C$5:$C$1004,F948,ABSORCION!$I$5:$I$1004,"&gt;0")))</f>
        <v/>
      </c>
      <c r="AE948" s="20" t="str">
        <f aca="false">IF(F948="","",IF(COUNTIFS(ABSORCION!$C$5:$C$1004,F948,ABSORCION!$I$5:$I$1004,"&gt;0")=0,"",AVERAGEIFS(ABSORCION!$K$5:$K$1004,ABSORCION!$C$5:$C$1004,F948,ABSORCION!$I$5:$I$1004,"&gt;0")))</f>
        <v/>
      </c>
      <c r="AF948" s="20" t="str">
        <f aca="false">IF(AE948="","",IF(AE948&gt;=CONFIG!$E$21,CONFIG!$F$21,IF(AE948&gt;=CONFIG!$E$20,CONFIG!$F$20,CONFIG!$F$19)))</f>
        <v/>
      </c>
      <c r="AG948" s="21" t="str">
        <f aca="false">IF(F948="","",TRIM(IF(N(M948)=0,"Sin ensayos. ","")&amp;IF(AND(N(M948)&gt;0,N(M948)&lt;CONFIG!$B$26),"Menos de "&amp;CONFIG!$B$26&amp;" probetas. ","")&amp;IF(N(T948)&gt;CONFIG!$B$25,"CV alto. ","")&amp;IF(AND(N(AD948)&gt;0,N(AD948)&gt;N(AF948)),"Absorción alta. ","")))</f>
        <v/>
      </c>
      <c r="AH948" s="22" t="str">
        <f aca="false">IF(AND(N(M948)&gt;0,OR(CONTROL!$C$4="TODAS",C948=CONTROL!$C$4),D948=CONTROL!$C$5),MAX($AH$4:AH947)+1,"")</f>
        <v/>
      </c>
      <c r="AI948" s="22" t="str">
        <f aca="false">IF(AH948="","",P948^2)</f>
        <v/>
      </c>
    </row>
    <row r="949" customFormat="false" ht="15" hidden="false" customHeight="false" outlineLevel="0" collapsed="false">
      <c r="A949" s="11" t="str">
        <f aca="false">IF(B949="","",ROW()-4)</f>
        <v/>
      </c>
      <c r="B949" s="12"/>
      <c r="C949" s="13"/>
      <c r="D949" s="13"/>
      <c r="E949" s="13"/>
      <c r="F949" s="14" t="str">
        <f aca="false">IF(OR(B949="",C949="",D949=""),"",IFERROR(INDEX(CONFIG!$E$5:$E$14,MATCH(D949,CONFIG!$D$5:$D$14,0)),"?")&amp;RIGHT("0"&amp;DAY(B949),2)&amp;RIGHT("0"&amp;MONTH(B949),2)&amp;RIGHT(YEAR(B949),2)&amp;C949&amp;IF(E949="","","-"&amp;E949))</f>
        <v/>
      </c>
      <c r="G949" s="13"/>
      <c r="H949" s="13"/>
      <c r="I949" s="13"/>
      <c r="J949" s="13"/>
      <c r="K949" s="13"/>
      <c r="L949" s="13"/>
      <c r="M949" s="11" t="str">
        <f aca="false">IF(F949="","",COUNTIFS(ENSAYOS!$C$5:$C$3004,F949,ENSAYOS!$Q$5:$Q$3004,"&gt;0"))</f>
        <v/>
      </c>
      <c r="N949" s="15" t="str">
        <f aca="false">IF(N(M949)=0,"",_xlfn.MINIFS(ENSAYOS!$G$5:$G$3004,ENSAYOS!$C$5:$C$3004,F949,ENSAYOS!$Q$5:$Q$3004,"&gt;0"))</f>
        <v/>
      </c>
      <c r="O949" s="15" t="str">
        <f aca="false">IF(N(M949)=0,"",_xlfn.MAXIFS(ENSAYOS!$G$5:$G$3004,ENSAYOS!$C$5:$C$3004,F949,ENSAYOS!$Q$5:$Q$3004,"&gt;0"))</f>
        <v/>
      </c>
      <c r="P949" s="16" t="str">
        <f aca="false">IF(N(M949)=0,"",AVERAGEIFS(ENSAYOS!$Q$5:$Q$3004,ENSAYOS!$C$5:$C$3004,F949,ENSAYOS!$Q$5:$Q$3004,"&gt;0"))</f>
        <v/>
      </c>
      <c r="Q949" s="16" t="str">
        <f aca="false">IF(N(M949)=0,"",_xlfn.MINIFS(ENSAYOS!$Q$5:$Q$3004,ENSAYOS!$C$5:$C$3004,F949,ENSAYOS!$Q$5:$Q$3004,"&gt;0"))</f>
        <v/>
      </c>
      <c r="R949" s="16" t="str">
        <f aca="false">IF(N(M949)=0,"",_xlfn.MAXIFS(ENSAYOS!$Q$5:$Q$3004,ENSAYOS!$C$5:$C$3004,F949,ENSAYOS!$Q$5:$Q$3004,"&gt;0"))</f>
        <v/>
      </c>
      <c r="S949" s="16" t="str">
        <f aca="false">IF(N(M949)&lt;2,"",SQRT(MAX(0,(SUMIFS(ENSAYOS!$X$5:$X$3004,ENSAYOS!$C$5:$C$3004,F949,ENSAYOS!$Q$5:$Q$3004,"&gt;0")-M949*P949^2)/(M949-1))))</f>
        <v/>
      </c>
      <c r="T949" s="17" t="str">
        <f aca="false">IF(S949="","",S949/P949)</f>
        <v/>
      </c>
      <c r="U949" s="16" t="str">
        <f aca="false">IF(N(M949)=0,"",IF(N949&gt;=CONFIG!$B$27,"",AVERAGEIFS(ENSAYOS!$Q$5:$Q$3004,ENSAYOS!$C$5:$C$3004,F949,ENSAYOS!$Q$5:$Q$3004,"&gt;0",ENSAYOS!$G$5:$G$3004,N949)))</f>
        <v/>
      </c>
      <c r="V949" s="16" t="str">
        <f aca="false">IF(N(M949)=0,"",IF(COUNTIFS(ENSAYOS!$C$5:$C$3004,F949,ENSAYOS!$Q$5:$Q$3004,"&gt;0",ENSAYOS!$G$5:$G$3004,"&gt;="&amp;CONFIG!$B$27)=0,"",AVERAGEIFS(ENSAYOS!$Q$5:$Q$3004,ENSAYOS!$C$5:$C$3004,F949,ENSAYOS!$Q$5:$Q$3004,"&gt;0",ENSAYOS!$G$5:$G$3004,"&gt;="&amp;CONFIG!$B$27)))</f>
        <v/>
      </c>
      <c r="W949" s="18" t="str">
        <f aca="false">IF(AND(U949&lt;&gt;"",V949&lt;&gt;""),U949/V949,"")</f>
        <v/>
      </c>
      <c r="X949" s="18" t="str">
        <f aca="false">IF(U949="","",INDEX('CURVA EDAD'!$E$5:$E$32,MIN(28,MAX(1,N949))))</f>
        <v/>
      </c>
      <c r="Y949" s="16" t="str">
        <f aca="false">IF(V949&lt;&gt;"",V949,IF(U949="","",U949/X949))</f>
        <v/>
      </c>
      <c r="Z949" s="16" t="str">
        <f aca="false">IF(V949&lt;&gt;"",_xlfn.MINIFS(ENSAYOS!$Q$5:$Q$3004,ENSAYOS!$C$5:$C$3004,F949,ENSAYOS!$Q$5:$Q$3004,"&gt;0",ENSAYOS!$G$5:$G$3004,"&gt;="&amp;CONFIG!$B$27),IF(U949="","",_xlfn.MINIFS(ENSAYOS!$Q$5:$Q$3004,ENSAYOS!$C$5:$C$3004,F949,ENSAYOS!$Q$5:$Q$3004,"&gt;0",ENSAYOS!$G$5:$G$3004,N949)/X949))</f>
        <v/>
      </c>
      <c r="AA949" s="16" t="str">
        <f aca="false">IF(D949="","",IFERROR(1/(1/INDEX(CONFIG!$J$5:$J$14,MATCH(D949,CONFIG!$D$5:$D$14,0))),""))</f>
        <v/>
      </c>
      <c r="AB949" s="16" t="str">
        <f aca="false">IF(D949="","",IFERROR(1/(1/INDEX(CONFIG!$K$5:$K$14,MATCH(D949,CONFIG!$D$5:$D$14,0))),""))</f>
        <v/>
      </c>
      <c r="AC949" s="19" t="str">
        <f aca="false">IF(N(M949)=0,"",IF(AA949="","Sin spec",IF(AND(Y949&gt;=AA949,OR(AB949="",Z949&gt;=AB949)),"CUMPLE","NO CUMPLE")&amp;IF(V949=""," (est.)","")))</f>
        <v/>
      </c>
      <c r="AD949" s="20" t="str">
        <f aca="false">IF(F949="","",IF(COUNTIFS(ABSORCION!$C$5:$C$1004,F949,ABSORCION!$I$5:$I$1004,"&gt;0")=0,"",AVERAGEIFS(ABSORCION!$I$5:$I$1004,ABSORCION!$C$5:$C$1004,F949,ABSORCION!$I$5:$I$1004,"&gt;0")))</f>
        <v/>
      </c>
      <c r="AE949" s="20" t="str">
        <f aca="false">IF(F949="","",IF(COUNTIFS(ABSORCION!$C$5:$C$1004,F949,ABSORCION!$I$5:$I$1004,"&gt;0")=0,"",AVERAGEIFS(ABSORCION!$K$5:$K$1004,ABSORCION!$C$5:$C$1004,F949,ABSORCION!$I$5:$I$1004,"&gt;0")))</f>
        <v/>
      </c>
      <c r="AF949" s="20" t="str">
        <f aca="false">IF(AE949="","",IF(AE949&gt;=CONFIG!$E$21,CONFIG!$F$21,IF(AE949&gt;=CONFIG!$E$20,CONFIG!$F$20,CONFIG!$F$19)))</f>
        <v/>
      </c>
      <c r="AG949" s="21" t="str">
        <f aca="false">IF(F949="","",TRIM(IF(N(M949)=0,"Sin ensayos. ","")&amp;IF(AND(N(M949)&gt;0,N(M949)&lt;CONFIG!$B$26),"Menos de "&amp;CONFIG!$B$26&amp;" probetas. ","")&amp;IF(N(T949)&gt;CONFIG!$B$25,"CV alto. ","")&amp;IF(AND(N(AD949)&gt;0,N(AD949)&gt;N(AF949)),"Absorción alta. ","")))</f>
        <v/>
      </c>
      <c r="AH949" s="22" t="str">
        <f aca="false">IF(AND(N(M949)&gt;0,OR(CONTROL!$C$4="TODAS",C949=CONTROL!$C$4),D949=CONTROL!$C$5),MAX($AH$4:AH948)+1,"")</f>
        <v/>
      </c>
      <c r="AI949" s="22" t="str">
        <f aca="false">IF(AH949="","",P949^2)</f>
        <v/>
      </c>
    </row>
    <row r="950" customFormat="false" ht="15" hidden="false" customHeight="false" outlineLevel="0" collapsed="false">
      <c r="A950" s="11" t="str">
        <f aca="false">IF(B950="","",ROW()-4)</f>
        <v/>
      </c>
      <c r="B950" s="12"/>
      <c r="C950" s="13"/>
      <c r="D950" s="13"/>
      <c r="E950" s="13"/>
      <c r="F950" s="14" t="str">
        <f aca="false">IF(OR(B950="",C950="",D950=""),"",IFERROR(INDEX(CONFIG!$E$5:$E$14,MATCH(D950,CONFIG!$D$5:$D$14,0)),"?")&amp;RIGHT("0"&amp;DAY(B950),2)&amp;RIGHT("0"&amp;MONTH(B950),2)&amp;RIGHT(YEAR(B950),2)&amp;C950&amp;IF(E950="","","-"&amp;E950))</f>
        <v/>
      </c>
      <c r="G950" s="13"/>
      <c r="H950" s="13"/>
      <c r="I950" s="13"/>
      <c r="J950" s="13"/>
      <c r="K950" s="13"/>
      <c r="L950" s="13"/>
      <c r="M950" s="11" t="str">
        <f aca="false">IF(F950="","",COUNTIFS(ENSAYOS!$C$5:$C$3004,F950,ENSAYOS!$Q$5:$Q$3004,"&gt;0"))</f>
        <v/>
      </c>
      <c r="N950" s="15" t="str">
        <f aca="false">IF(N(M950)=0,"",_xlfn.MINIFS(ENSAYOS!$G$5:$G$3004,ENSAYOS!$C$5:$C$3004,F950,ENSAYOS!$Q$5:$Q$3004,"&gt;0"))</f>
        <v/>
      </c>
      <c r="O950" s="15" t="str">
        <f aca="false">IF(N(M950)=0,"",_xlfn.MAXIFS(ENSAYOS!$G$5:$G$3004,ENSAYOS!$C$5:$C$3004,F950,ENSAYOS!$Q$5:$Q$3004,"&gt;0"))</f>
        <v/>
      </c>
      <c r="P950" s="16" t="str">
        <f aca="false">IF(N(M950)=0,"",AVERAGEIFS(ENSAYOS!$Q$5:$Q$3004,ENSAYOS!$C$5:$C$3004,F950,ENSAYOS!$Q$5:$Q$3004,"&gt;0"))</f>
        <v/>
      </c>
      <c r="Q950" s="16" t="str">
        <f aca="false">IF(N(M950)=0,"",_xlfn.MINIFS(ENSAYOS!$Q$5:$Q$3004,ENSAYOS!$C$5:$C$3004,F950,ENSAYOS!$Q$5:$Q$3004,"&gt;0"))</f>
        <v/>
      </c>
      <c r="R950" s="16" t="str">
        <f aca="false">IF(N(M950)=0,"",_xlfn.MAXIFS(ENSAYOS!$Q$5:$Q$3004,ENSAYOS!$C$5:$C$3004,F950,ENSAYOS!$Q$5:$Q$3004,"&gt;0"))</f>
        <v/>
      </c>
      <c r="S950" s="16" t="str">
        <f aca="false">IF(N(M950)&lt;2,"",SQRT(MAX(0,(SUMIFS(ENSAYOS!$X$5:$X$3004,ENSAYOS!$C$5:$C$3004,F950,ENSAYOS!$Q$5:$Q$3004,"&gt;0")-M950*P950^2)/(M950-1))))</f>
        <v/>
      </c>
      <c r="T950" s="17" t="str">
        <f aca="false">IF(S950="","",S950/P950)</f>
        <v/>
      </c>
      <c r="U950" s="16" t="str">
        <f aca="false">IF(N(M950)=0,"",IF(N950&gt;=CONFIG!$B$27,"",AVERAGEIFS(ENSAYOS!$Q$5:$Q$3004,ENSAYOS!$C$5:$C$3004,F950,ENSAYOS!$Q$5:$Q$3004,"&gt;0",ENSAYOS!$G$5:$G$3004,N950)))</f>
        <v/>
      </c>
      <c r="V950" s="16" t="str">
        <f aca="false">IF(N(M950)=0,"",IF(COUNTIFS(ENSAYOS!$C$5:$C$3004,F950,ENSAYOS!$Q$5:$Q$3004,"&gt;0",ENSAYOS!$G$5:$G$3004,"&gt;="&amp;CONFIG!$B$27)=0,"",AVERAGEIFS(ENSAYOS!$Q$5:$Q$3004,ENSAYOS!$C$5:$C$3004,F950,ENSAYOS!$Q$5:$Q$3004,"&gt;0",ENSAYOS!$G$5:$G$3004,"&gt;="&amp;CONFIG!$B$27)))</f>
        <v/>
      </c>
      <c r="W950" s="18" t="str">
        <f aca="false">IF(AND(U950&lt;&gt;"",V950&lt;&gt;""),U950/V950,"")</f>
        <v/>
      </c>
      <c r="X950" s="18" t="str">
        <f aca="false">IF(U950="","",INDEX('CURVA EDAD'!$E$5:$E$32,MIN(28,MAX(1,N950))))</f>
        <v/>
      </c>
      <c r="Y950" s="16" t="str">
        <f aca="false">IF(V950&lt;&gt;"",V950,IF(U950="","",U950/X950))</f>
        <v/>
      </c>
      <c r="Z950" s="16" t="str">
        <f aca="false">IF(V950&lt;&gt;"",_xlfn.MINIFS(ENSAYOS!$Q$5:$Q$3004,ENSAYOS!$C$5:$C$3004,F950,ENSAYOS!$Q$5:$Q$3004,"&gt;0",ENSAYOS!$G$5:$G$3004,"&gt;="&amp;CONFIG!$B$27),IF(U950="","",_xlfn.MINIFS(ENSAYOS!$Q$5:$Q$3004,ENSAYOS!$C$5:$C$3004,F950,ENSAYOS!$Q$5:$Q$3004,"&gt;0",ENSAYOS!$G$5:$G$3004,N950)/X950))</f>
        <v/>
      </c>
      <c r="AA950" s="16" t="str">
        <f aca="false">IF(D950="","",IFERROR(1/(1/INDEX(CONFIG!$J$5:$J$14,MATCH(D950,CONFIG!$D$5:$D$14,0))),""))</f>
        <v/>
      </c>
      <c r="AB950" s="16" t="str">
        <f aca="false">IF(D950="","",IFERROR(1/(1/INDEX(CONFIG!$K$5:$K$14,MATCH(D950,CONFIG!$D$5:$D$14,0))),""))</f>
        <v/>
      </c>
      <c r="AC950" s="19" t="str">
        <f aca="false">IF(N(M950)=0,"",IF(AA950="","Sin spec",IF(AND(Y950&gt;=AA950,OR(AB950="",Z950&gt;=AB950)),"CUMPLE","NO CUMPLE")&amp;IF(V950=""," (est.)","")))</f>
        <v/>
      </c>
      <c r="AD950" s="20" t="str">
        <f aca="false">IF(F950="","",IF(COUNTIFS(ABSORCION!$C$5:$C$1004,F950,ABSORCION!$I$5:$I$1004,"&gt;0")=0,"",AVERAGEIFS(ABSORCION!$I$5:$I$1004,ABSORCION!$C$5:$C$1004,F950,ABSORCION!$I$5:$I$1004,"&gt;0")))</f>
        <v/>
      </c>
      <c r="AE950" s="20" t="str">
        <f aca="false">IF(F950="","",IF(COUNTIFS(ABSORCION!$C$5:$C$1004,F950,ABSORCION!$I$5:$I$1004,"&gt;0")=0,"",AVERAGEIFS(ABSORCION!$K$5:$K$1004,ABSORCION!$C$5:$C$1004,F950,ABSORCION!$I$5:$I$1004,"&gt;0")))</f>
        <v/>
      </c>
      <c r="AF950" s="20" t="str">
        <f aca="false">IF(AE950="","",IF(AE950&gt;=CONFIG!$E$21,CONFIG!$F$21,IF(AE950&gt;=CONFIG!$E$20,CONFIG!$F$20,CONFIG!$F$19)))</f>
        <v/>
      </c>
      <c r="AG950" s="21" t="str">
        <f aca="false">IF(F950="","",TRIM(IF(N(M950)=0,"Sin ensayos. ","")&amp;IF(AND(N(M950)&gt;0,N(M950)&lt;CONFIG!$B$26),"Menos de "&amp;CONFIG!$B$26&amp;" probetas. ","")&amp;IF(N(T950)&gt;CONFIG!$B$25,"CV alto. ","")&amp;IF(AND(N(AD950)&gt;0,N(AD950)&gt;N(AF950)),"Absorción alta. ","")))</f>
        <v/>
      </c>
      <c r="AH950" s="22" t="str">
        <f aca="false">IF(AND(N(M950)&gt;0,OR(CONTROL!$C$4="TODAS",C950=CONTROL!$C$4),D950=CONTROL!$C$5),MAX($AH$4:AH949)+1,"")</f>
        <v/>
      </c>
      <c r="AI950" s="22" t="str">
        <f aca="false">IF(AH950="","",P950^2)</f>
        <v/>
      </c>
    </row>
    <row r="951" customFormat="false" ht="15" hidden="false" customHeight="false" outlineLevel="0" collapsed="false">
      <c r="A951" s="11" t="str">
        <f aca="false">IF(B951="","",ROW()-4)</f>
        <v/>
      </c>
      <c r="B951" s="12"/>
      <c r="C951" s="13"/>
      <c r="D951" s="13"/>
      <c r="E951" s="13"/>
      <c r="F951" s="14" t="str">
        <f aca="false">IF(OR(B951="",C951="",D951=""),"",IFERROR(INDEX(CONFIG!$E$5:$E$14,MATCH(D951,CONFIG!$D$5:$D$14,0)),"?")&amp;RIGHT("0"&amp;DAY(B951),2)&amp;RIGHT("0"&amp;MONTH(B951),2)&amp;RIGHT(YEAR(B951),2)&amp;C951&amp;IF(E951="","","-"&amp;E951))</f>
        <v/>
      </c>
      <c r="G951" s="13"/>
      <c r="H951" s="13"/>
      <c r="I951" s="13"/>
      <c r="J951" s="13"/>
      <c r="K951" s="13"/>
      <c r="L951" s="13"/>
      <c r="M951" s="11" t="str">
        <f aca="false">IF(F951="","",COUNTIFS(ENSAYOS!$C$5:$C$3004,F951,ENSAYOS!$Q$5:$Q$3004,"&gt;0"))</f>
        <v/>
      </c>
      <c r="N951" s="15" t="str">
        <f aca="false">IF(N(M951)=0,"",_xlfn.MINIFS(ENSAYOS!$G$5:$G$3004,ENSAYOS!$C$5:$C$3004,F951,ENSAYOS!$Q$5:$Q$3004,"&gt;0"))</f>
        <v/>
      </c>
      <c r="O951" s="15" t="str">
        <f aca="false">IF(N(M951)=0,"",_xlfn.MAXIFS(ENSAYOS!$G$5:$G$3004,ENSAYOS!$C$5:$C$3004,F951,ENSAYOS!$Q$5:$Q$3004,"&gt;0"))</f>
        <v/>
      </c>
      <c r="P951" s="16" t="str">
        <f aca="false">IF(N(M951)=0,"",AVERAGEIFS(ENSAYOS!$Q$5:$Q$3004,ENSAYOS!$C$5:$C$3004,F951,ENSAYOS!$Q$5:$Q$3004,"&gt;0"))</f>
        <v/>
      </c>
      <c r="Q951" s="16" t="str">
        <f aca="false">IF(N(M951)=0,"",_xlfn.MINIFS(ENSAYOS!$Q$5:$Q$3004,ENSAYOS!$C$5:$C$3004,F951,ENSAYOS!$Q$5:$Q$3004,"&gt;0"))</f>
        <v/>
      </c>
      <c r="R951" s="16" t="str">
        <f aca="false">IF(N(M951)=0,"",_xlfn.MAXIFS(ENSAYOS!$Q$5:$Q$3004,ENSAYOS!$C$5:$C$3004,F951,ENSAYOS!$Q$5:$Q$3004,"&gt;0"))</f>
        <v/>
      </c>
      <c r="S951" s="16" t="str">
        <f aca="false">IF(N(M951)&lt;2,"",SQRT(MAX(0,(SUMIFS(ENSAYOS!$X$5:$X$3004,ENSAYOS!$C$5:$C$3004,F951,ENSAYOS!$Q$5:$Q$3004,"&gt;0")-M951*P951^2)/(M951-1))))</f>
        <v/>
      </c>
      <c r="T951" s="17" t="str">
        <f aca="false">IF(S951="","",S951/P951)</f>
        <v/>
      </c>
      <c r="U951" s="16" t="str">
        <f aca="false">IF(N(M951)=0,"",IF(N951&gt;=CONFIG!$B$27,"",AVERAGEIFS(ENSAYOS!$Q$5:$Q$3004,ENSAYOS!$C$5:$C$3004,F951,ENSAYOS!$Q$5:$Q$3004,"&gt;0",ENSAYOS!$G$5:$G$3004,N951)))</f>
        <v/>
      </c>
      <c r="V951" s="16" t="str">
        <f aca="false">IF(N(M951)=0,"",IF(COUNTIFS(ENSAYOS!$C$5:$C$3004,F951,ENSAYOS!$Q$5:$Q$3004,"&gt;0",ENSAYOS!$G$5:$G$3004,"&gt;="&amp;CONFIG!$B$27)=0,"",AVERAGEIFS(ENSAYOS!$Q$5:$Q$3004,ENSAYOS!$C$5:$C$3004,F951,ENSAYOS!$Q$5:$Q$3004,"&gt;0",ENSAYOS!$G$5:$G$3004,"&gt;="&amp;CONFIG!$B$27)))</f>
        <v/>
      </c>
      <c r="W951" s="18" t="str">
        <f aca="false">IF(AND(U951&lt;&gt;"",V951&lt;&gt;""),U951/V951,"")</f>
        <v/>
      </c>
      <c r="X951" s="18" t="str">
        <f aca="false">IF(U951="","",INDEX('CURVA EDAD'!$E$5:$E$32,MIN(28,MAX(1,N951))))</f>
        <v/>
      </c>
      <c r="Y951" s="16" t="str">
        <f aca="false">IF(V951&lt;&gt;"",V951,IF(U951="","",U951/X951))</f>
        <v/>
      </c>
      <c r="Z951" s="16" t="str">
        <f aca="false">IF(V951&lt;&gt;"",_xlfn.MINIFS(ENSAYOS!$Q$5:$Q$3004,ENSAYOS!$C$5:$C$3004,F951,ENSAYOS!$Q$5:$Q$3004,"&gt;0",ENSAYOS!$G$5:$G$3004,"&gt;="&amp;CONFIG!$B$27),IF(U951="","",_xlfn.MINIFS(ENSAYOS!$Q$5:$Q$3004,ENSAYOS!$C$5:$C$3004,F951,ENSAYOS!$Q$5:$Q$3004,"&gt;0",ENSAYOS!$G$5:$G$3004,N951)/X951))</f>
        <v/>
      </c>
      <c r="AA951" s="16" t="str">
        <f aca="false">IF(D951="","",IFERROR(1/(1/INDEX(CONFIG!$J$5:$J$14,MATCH(D951,CONFIG!$D$5:$D$14,0))),""))</f>
        <v/>
      </c>
      <c r="AB951" s="16" t="str">
        <f aca="false">IF(D951="","",IFERROR(1/(1/INDEX(CONFIG!$K$5:$K$14,MATCH(D951,CONFIG!$D$5:$D$14,0))),""))</f>
        <v/>
      </c>
      <c r="AC951" s="19" t="str">
        <f aca="false">IF(N(M951)=0,"",IF(AA951="","Sin spec",IF(AND(Y951&gt;=AA951,OR(AB951="",Z951&gt;=AB951)),"CUMPLE","NO CUMPLE")&amp;IF(V951=""," (est.)","")))</f>
        <v/>
      </c>
      <c r="AD951" s="20" t="str">
        <f aca="false">IF(F951="","",IF(COUNTIFS(ABSORCION!$C$5:$C$1004,F951,ABSORCION!$I$5:$I$1004,"&gt;0")=0,"",AVERAGEIFS(ABSORCION!$I$5:$I$1004,ABSORCION!$C$5:$C$1004,F951,ABSORCION!$I$5:$I$1004,"&gt;0")))</f>
        <v/>
      </c>
      <c r="AE951" s="20" t="str">
        <f aca="false">IF(F951="","",IF(COUNTIFS(ABSORCION!$C$5:$C$1004,F951,ABSORCION!$I$5:$I$1004,"&gt;0")=0,"",AVERAGEIFS(ABSORCION!$K$5:$K$1004,ABSORCION!$C$5:$C$1004,F951,ABSORCION!$I$5:$I$1004,"&gt;0")))</f>
        <v/>
      </c>
      <c r="AF951" s="20" t="str">
        <f aca="false">IF(AE951="","",IF(AE951&gt;=CONFIG!$E$21,CONFIG!$F$21,IF(AE951&gt;=CONFIG!$E$20,CONFIG!$F$20,CONFIG!$F$19)))</f>
        <v/>
      </c>
      <c r="AG951" s="21" t="str">
        <f aca="false">IF(F951="","",TRIM(IF(N(M951)=0,"Sin ensayos. ","")&amp;IF(AND(N(M951)&gt;0,N(M951)&lt;CONFIG!$B$26),"Menos de "&amp;CONFIG!$B$26&amp;" probetas. ","")&amp;IF(N(T951)&gt;CONFIG!$B$25,"CV alto. ","")&amp;IF(AND(N(AD951)&gt;0,N(AD951)&gt;N(AF951)),"Absorción alta. ","")))</f>
        <v/>
      </c>
      <c r="AH951" s="22" t="str">
        <f aca="false">IF(AND(N(M951)&gt;0,OR(CONTROL!$C$4="TODAS",C951=CONTROL!$C$4),D951=CONTROL!$C$5),MAX($AH$4:AH950)+1,"")</f>
        <v/>
      </c>
      <c r="AI951" s="22" t="str">
        <f aca="false">IF(AH951="","",P951^2)</f>
        <v/>
      </c>
    </row>
    <row r="952" customFormat="false" ht="15" hidden="false" customHeight="false" outlineLevel="0" collapsed="false">
      <c r="A952" s="11" t="str">
        <f aca="false">IF(B952="","",ROW()-4)</f>
        <v/>
      </c>
      <c r="B952" s="12"/>
      <c r="C952" s="13"/>
      <c r="D952" s="13"/>
      <c r="E952" s="13"/>
      <c r="F952" s="14" t="str">
        <f aca="false">IF(OR(B952="",C952="",D952=""),"",IFERROR(INDEX(CONFIG!$E$5:$E$14,MATCH(D952,CONFIG!$D$5:$D$14,0)),"?")&amp;RIGHT("0"&amp;DAY(B952),2)&amp;RIGHT("0"&amp;MONTH(B952),2)&amp;RIGHT(YEAR(B952),2)&amp;C952&amp;IF(E952="","","-"&amp;E952))</f>
        <v/>
      </c>
      <c r="G952" s="13"/>
      <c r="H952" s="13"/>
      <c r="I952" s="13"/>
      <c r="J952" s="13"/>
      <c r="K952" s="13"/>
      <c r="L952" s="13"/>
      <c r="M952" s="11" t="str">
        <f aca="false">IF(F952="","",COUNTIFS(ENSAYOS!$C$5:$C$3004,F952,ENSAYOS!$Q$5:$Q$3004,"&gt;0"))</f>
        <v/>
      </c>
      <c r="N952" s="15" t="str">
        <f aca="false">IF(N(M952)=0,"",_xlfn.MINIFS(ENSAYOS!$G$5:$G$3004,ENSAYOS!$C$5:$C$3004,F952,ENSAYOS!$Q$5:$Q$3004,"&gt;0"))</f>
        <v/>
      </c>
      <c r="O952" s="15" t="str">
        <f aca="false">IF(N(M952)=0,"",_xlfn.MAXIFS(ENSAYOS!$G$5:$G$3004,ENSAYOS!$C$5:$C$3004,F952,ENSAYOS!$Q$5:$Q$3004,"&gt;0"))</f>
        <v/>
      </c>
      <c r="P952" s="16" t="str">
        <f aca="false">IF(N(M952)=0,"",AVERAGEIFS(ENSAYOS!$Q$5:$Q$3004,ENSAYOS!$C$5:$C$3004,F952,ENSAYOS!$Q$5:$Q$3004,"&gt;0"))</f>
        <v/>
      </c>
      <c r="Q952" s="16" t="str">
        <f aca="false">IF(N(M952)=0,"",_xlfn.MINIFS(ENSAYOS!$Q$5:$Q$3004,ENSAYOS!$C$5:$C$3004,F952,ENSAYOS!$Q$5:$Q$3004,"&gt;0"))</f>
        <v/>
      </c>
      <c r="R952" s="16" t="str">
        <f aca="false">IF(N(M952)=0,"",_xlfn.MAXIFS(ENSAYOS!$Q$5:$Q$3004,ENSAYOS!$C$5:$C$3004,F952,ENSAYOS!$Q$5:$Q$3004,"&gt;0"))</f>
        <v/>
      </c>
      <c r="S952" s="16" t="str">
        <f aca="false">IF(N(M952)&lt;2,"",SQRT(MAX(0,(SUMIFS(ENSAYOS!$X$5:$X$3004,ENSAYOS!$C$5:$C$3004,F952,ENSAYOS!$Q$5:$Q$3004,"&gt;0")-M952*P952^2)/(M952-1))))</f>
        <v/>
      </c>
      <c r="T952" s="17" t="str">
        <f aca="false">IF(S952="","",S952/P952)</f>
        <v/>
      </c>
      <c r="U952" s="16" t="str">
        <f aca="false">IF(N(M952)=0,"",IF(N952&gt;=CONFIG!$B$27,"",AVERAGEIFS(ENSAYOS!$Q$5:$Q$3004,ENSAYOS!$C$5:$C$3004,F952,ENSAYOS!$Q$5:$Q$3004,"&gt;0",ENSAYOS!$G$5:$G$3004,N952)))</f>
        <v/>
      </c>
      <c r="V952" s="16" t="str">
        <f aca="false">IF(N(M952)=0,"",IF(COUNTIFS(ENSAYOS!$C$5:$C$3004,F952,ENSAYOS!$Q$5:$Q$3004,"&gt;0",ENSAYOS!$G$5:$G$3004,"&gt;="&amp;CONFIG!$B$27)=0,"",AVERAGEIFS(ENSAYOS!$Q$5:$Q$3004,ENSAYOS!$C$5:$C$3004,F952,ENSAYOS!$Q$5:$Q$3004,"&gt;0",ENSAYOS!$G$5:$G$3004,"&gt;="&amp;CONFIG!$B$27)))</f>
        <v/>
      </c>
      <c r="W952" s="18" t="str">
        <f aca="false">IF(AND(U952&lt;&gt;"",V952&lt;&gt;""),U952/V952,"")</f>
        <v/>
      </c>
      <c r="X952" s="18" t="str">
        <f aca="false">IF(U952="","",INDEX('CURVA EDAD'!$E$5:$E$32,MIN(28,MAX(1,N952))))</f>
        <v/>
      </c>
      <c r="Y952" s="16" t="str">
        <f aca="false">IF(V952&lt;&gt;"",V952,IF(U952="","",U952/X952))</f>
        <v/>
      </c>
      <c r="Z952" s="16" t="str">
        <f aca="false">IF(V952&lt;&gt;"",_xlfn.MINIFS(ENSAYOS!$Q$5:$Q$3004,ENSAYOS!$C$5:$C$3004,F952,ENSAYOS!$Q$5:$Q$3004,"&gt;0",ENSAYOS!$G$5:$G$3004,"&gt;="&amp;CONFIG!$B$27),IF(U952="","",_xlfn.MINIFS(ENSAYOS!$Q$5:$Q$3004,ENSAYOS!$C$5:$C$3004,F952,ENSAYOS!$Q$5:$Q$3004,"&gt;0",ENSAYOS!$G$5:$G$3004,N952)/X952))</f>
        <v/>
      </c>
      <c r="AA952" s="16" t="str">
        <f aca="false">IF(D952="","",IFERROR(1/(1/INDEX(CONFIG!$J$5:$J$14,MATCH(D952,CONFIG!$D$5:$D$14,0))),""))</f>
        <v/>
      </c>
      <c r="AB952" s="16" t="str">
        <f aca="false">IF(D952="","",IFERROR(1/(1/INDEX(CONFIG!$K$5:$K$14,MATCH(D952,CONFIG!$D$5:$D$14,0))),""))</f>
        <v/>
      </c>
      <c r="AC952" s="19" t="str">
        <f aca="false">IF(N(M952)=0,"",IF(AA952="","Sin spec",IF(AND(Y952&gt;=AA952,OR(AB952="",Z952&gt;=AB952)),"CUMPLE","NO CUMPLE")&amp;IF(V952=""," (est.)","")))</f>
        <v/>
      </c>
      <c r="AD952" s="20" t="str">
        <f aca="false">IF(F952="","",IF(COUNTIFS(ABSORCION!$C$5:$C$1004,F952,ABSORCION!$I$5:$I$1004,"&gt;0")=0,"",AVERAGEIFS(ABSORCION!$I$5:$I$1004,ABSORCION!$C$5:$C$1004,F952,ABSORCION!$I$5:$I$1004,"&gt;0")))</f>
        <v/>
      </c>
      <c r="AE952" s="20" t="str">
        <f aca="false">IF(F952="","",IF(COUNTIFS(ABSORCION!$C$5:$C$1004,F952,ABSORCION!$I$5:$I$1004,"&gt;0")=0,"",AVERAGEIFS(ABSORCION!$K$5:$K$1004,ABSORCION!$C$5:$C$1004,F952,ABSORCION!$I$5:$I$1004,"&gt;0")))</f>
        <v/>
      </c>
      <c r="AF952" s="20" t="str">
        <f aca="false">IF(AE952="","",IF(AE952&gt;=CONFIG!$E$21,CONFIG!$F$21,IF(AE952&gt;=CONFIG!$E$20,CONFIG!$F$20,CONFIG!$F$19)))</f>
        <v/>
      </c>
      <c r="AG952" s="21" t="str">
        <f aca="false">IF(F952="","",TRIM(IF(N(M952)=0,"Sin ensayos. ","")&amp;IF(AND(N(M952)&gt;0,N(M952)&lt;CONFIG!$B$26),"Menos de "&amp;CONFIG!$B$26&amp;" probetas. ","")&amp;IF(N(T952)&gt;CONFIG!$B$25,"CV alto. ","")&amp;IF(AND(N(AD952)&gt;0,N(AD952)&gt;N(AF952)),"Absorción alta. ","")))</f>
        <v/>
      </c>
      <c r="AH952" s="22" t="str">
        <f aca="false">IF(AND(N(M952)&gt;0,OR(CONTROL!$C$4="TODAS",C952=CONTROL!$C$4),D952=CONTROL!$C$5),MAX($AH$4:AH951)+1,"")</f>
        <v/>
      </c>
      <c r="AI952" s="22" t="str">
        <f aca="false">IF(AH952="","",P952^2)</f>
        <v/>
      </c>
    </row>
    <row r="953" customFormat="false" ht="15" hidden="false" customHeight="false" outlineLevel="0" collapsed="false">
      <c r="A953" s="11" t="str">
        <f aca="false">IF(B953="","",ROW()-4)</f>
        <v/>
      </c>
      <c r="B953" s="12"/>
      <c r="C953" s="13"/>
      <c r="D953" s="13"/>
      <c r="E953" s="13"/>
      <c r="F953" s="14" t="str">
        <f aca="false">IF(OR(B953="",C953="",D953=""),"",IFERROR(INDEX(CONFIG!$E$5:$E$14,MATCH(D953,CONFIG!$D$5:$D$14,0)),"?")&amp;RIGHT("0"&amp;DAY(B953),2)&amp;RIGHT("0"&amp;MONTH(B953),2)&amp;RIGHT(YEAR(B953),2)&amp;C953&amp;IF(E953="","","-"&amp;E953))</f>
        <v/>
      </c>
      <c r="G953" s="13"/>
      <c r="H953" s="13"/>
      <c r="I953" s="13"/>
      <c r="J953" s="13"/>
      <c r="K953" s="13"/>
      <c r="L953" s="13"/>
      <c r="M953" s="11" t="str">
        <f aca="false">IF(F953="","",COUNTIFS(ENSAYOS!$C$5:$C$3004,F953,ENSAYOS!$Q$5:$Q$3004,"&gt;0"))</f>
        <v/>
      </c>
      <c r="N953" s="15" t="str">
        <f aca="false">IF(N(M953)=0,"",_xlfn.MINIFS(ENSAYOS!$G$5:$G$3004,ENSAYOS!$C$5:$C$3004,F953,ENSAYOS!$Q$5:$Q$3004,"&gt;0"))</f>
        <v/>
      </c>
      <c r="O953" s="15" t="str">
        <f aca="false">IF(N(M953)=0,"",_xlfn.MAXIFS(ENSAYOS!$G$5:$G$3004,ENSAYOS!$C$5:$C$3004,F953,ENSAYOS!$Q$5:$Q$3004,"&gt;0"))</f>
        <v/>
      </c>
      <c r="P953" s="16" t="str">
        <f aca="false">IF(N(M953)=0,"",AVERAGEIFS(ENSAYOS!$Q$5:$Q$3004,ENSAYOS!$C$5:$C$3004,F953,ENSAYOS!$Q$5:$Q$3004,"&gt;0"))</f>
        <v/>
      </c>
      <c r="Q953" s="16" t="str">
        <f aca="false">IF(N(M953)=0,"",_xlfn.MINIFS(ENSAYOS!$Q$5:$Q$3004,ENSAYOS!$C$5:$C$3004,F953,ENSAYOS!$Q$5:$Q$3004,"&gt;0"))</f>
        <v/>
      </c>
      <c r="R953" s="16" t="str">
        <f aca="false">IF(N(M953)=0,"",_xlfn.MAXIFS(ENSAYOS!$Q$5:$Q$3004,ENSAYOS!$C$5:$C$3004,F953,ENSAYOS!$Q$5:$Q$3004,"&gt;0"))</f>
        <v/>
      </c>
      <c r="S953" s="16" t="str">
        <f aca="false">IF(N(M953)&lt;2,"",SQRT(MAX(0,(SUMIFS(ENSAYOS!$X$5:$X$3004,ENSAYOS!$C$5:$C$3004,F953,ENSAYOS!$Q$5:$Q$3004,"&gt;0")-M953*P953^2)/(M953-1))))</f>
        <v/>
      </c>
      <c r="T953" s="17" t="str">
        <f aca="false">IF(S953="","",S953/P953)</f>
        <v/>
      </c>
      <c r="U953" s="16" t="str">
        <f aca="false">IF(N(M953)=0,"",IF(N953&gt;=CONFIG!$B$27,"",AVERAGEIFS(ENSAYOS!$Q$5:$Q$3004,ENSAYOS!$C$5:$C$3004,F953,ENSAYOS!$Q$5:$Q$3004,"&gt;0",ENSAYOS!$G$5:$G$3004,N953)))</f>
        <v/>
      </c>
      <c r="V953" s="16" t="str">
        <f aca="false">IF(N(M953)=0,"",IF(COUNTIFS(ENSAYOS!$C$5:$C$3004,F953,ENSAYOS!$Q$5:$Q$3004,"&gt;0",ENSAYOS!$G$5:$G$3004,"&gt;="&amp;CONFIG!$B$27)=0,"",AVERAGEIFS(ENSAYOS!$Q$5:$Q$3004,ENSAYOS!$C$5:$C$3004,F953,ENSAYOS!$Q$5:$Q$3004,"&gt;0",ENSAYOS!$G$5:$G$3004,"&gt;="&amp;CONFIG!$B$27)))</f>
        <v/>
      </c>
      <c r="W953" s="18" t="str">
        <f aca="false">IF(AND(U953&lt;&gt;"",V953&lt;&gt;""),U953/V953,"")</f>
        <v/>
      </c>
      <c r="X953" s="18" t="str">
        <f aca="false">IF(U953="","",INDEX('CURVA EDAD'!$E$5:$E$32,MIN(28,MAX(1,N953))))</f>
        <v/>
      </c>
      <c r="Y953" s="16" t="str">
        <f aca="false">IF(V953&lt;&gt;"",V953,IF(U953="","",U953/X953))</f>
        <v/>
      </c>
      <c r="Z953" s="16" t="str">
        <f aca="false">IF(V953&lt;&gt;"",_xlfn.MINIFS(ENSAYOS!$Q$5:$Q$3004,ENSAYOS!$C$5:$C$3004,F953,ENSAYOS!$Q$5:$Q$3004,"&gt;0",ENSAYOS!$G$5:$G$3004,"&gt;="&amp;CONFIG!$B$27),IF(U953="","",_xlfn.MINIFS(ENSAYOS!$Q$5:$Q$3004,ENSAYOS!$C$5:$C$3004,F953,ENSAYOS!$Q$5:$Q$3004,"&gt;0",ENSAYOS!$G$5:$G$3004,N953)/X953))</f>
        <v/>
      </c>
      <c r="AA953" s="16" t="str">
        <f aca="false">IF(D953="","",IFERROR(1/(1/INDEX(CONFIG!$J$5:$J$14,MATCH(D953,CONFIG!$D$5:$D$14,0))),""))</f>
        <v/>
      </c>
      <c r="AB953" s="16" t="str">
        <f aca="false">IF(D953="","",IFERROR(1/(1/INDEX(CONFIG!$K$5:$K$14,MATCH(D953,CONFIG!$D$5:$D$14,0))),""))</f>
        <v/>
      </c>
      <c r="AC953" s="19" t="str">
        <f aca="false">IF(N(M953)=0,"",IF(AA953="","Sin spec",IF(AND(Y953&gt;=AA953,OR(AB953="",Z953&gt;=AB953)),"CUMPLE","NO CUMPLE")&amp;IF(V953=""," (est.)","")))</f>
        <v/>
      </c>
      <c r="AD953" s="20" t="str">
        <f aca="false">IF(F953="","",IF(COUNTIFS(ABSORCION!$C$5:$C$1004,F953,ABSORCION!$I$5:$I$1004,"&gt;0")=0,"",AVERAGEIFS(ABSORCION!$I$5:$I$1004,ABSORCION!$C$5:$C$1004,F953,ABSORCION!$I$5:$I$1004,"&gt;0")))</f>
        <v/>
      </c>
      <c r="AE953" s="20" t="str">
        <f aca="false">IF(F953="","",IF(COUNTIFS(ABSORCION!$C$5:$C$1004,F953,ABSORCION!$I$5:$I$1004,"&gt;0")=0,"",AVERAGEIFS(ABSORCION!$K$5:$K$1004,ABSORCION!$C$5:$C$1004,F953,ABSORCION!$I$5:$I$1004,"&gt;0")))</f>
        <v/>
      </c>
      <c r="AF953" s="20" t="str">
        <f aca="false">IF(AE953="","",IF(AE953&gt;=CONFIG!$E$21,CONFIG!$F$21,IF(AE953&gt;=CONFIG!$E$20,CONFIG!$F$20,CONFIG!$F$19)))</f>
        <v/>
      </c>
      <c r="AG953" s="21" t="str">
        <f aca="false">IF(F953="","",TRIM(IF(N(M953)=0,"Sin ensayos. ","")&amp;IF(AND(N(M953)&gt;0,N(M953)&lt;CONFIG!$B$26),"Menos de "&amp;CONFIG!$B$26&amp;" probetas. ","")&amp;IF(N(T953)&gt;CONFIG!$B$25,"CV alto. ","")&amp;IF(AND(N(AD953)&gt;0,N(AD953)&gt;N(AF953)),"Absorción alta. ","")))</f>
        <v/>
      </c>
      <c r="AH953" s="22" t="str">
        <f aca="false">IF(AND(N(M953)&gt;0,OR(CONTROL!$C$4="TODAS",C953=CONTROL!$C$4),D953=CONTROL!$C$5),MAX($AH$4:AH952)+1,"")</f>
        <v/>
      </c>
      <c r="AI953" s="22" t="str">
        <f aca="false">IF(AH953="","",P953^2)</f>
        <v/>
      </c>
    </row>
    <row r="954" customFormat="false" ht="15" hidden="false" customHeight="false" outlineLevel="0" collapsed="false">
      <c r="A954" s="11" t="str">
        <f aca="false">IF(B954="","",ROW()-4)</f>
        <v/>
      </c>
      <c r="B954" s="12"/>
      <c r="C954" s="13"/>
      <c r="D954" s="13"/>
      <c r="E954" s="13"/>
      <c r="F954" s="14" t="str">
        <f aca="false">IF(OR(B954="",C954="",D954=""),"",IFERROR(INDEX(CONFIG!$E$5:$E$14,MATCH(D954,CONFIG!$D$5:$D$14,0)),"?")&amp;RIGHT("0"&amp;DAY(B954),2)&amp;RIGHT("0"&amp;MONTH(B954),2)&amp;RIGHT(YEAR(B954),2)&amp;C954&amp;IF(E954="","","-"&amp;E954))</f>
        <v/>
      </c>
      <c r="G954" s="13"/>
      <c r="H954" s="13"/>
      <c r="I954" s="13"/>
      <c r="J954" s="13"/>
      <c r="K954" s="13"/>
      <c r="L954" s="13"/>
      <c r="M954" s="11" t="str">
        <f aca="false">IF(F954="","",COUNTIFS(ENSAYOS!$C$5:$C$3004,F954,ENSAYOS!$Q$5:$Q$3004,"&gt;0"))</f>
        <v/>
      </c>
      <c r="N954" s="15" t="str">
        <f aca="false">IF(N(M954)=0,"",_xlfn.MINIFS(ENSAYOS!$G$5:$G$3004,ENSAYOS!$C$5:$C$3004,F954,ENSAYOS!$Q$5:$Q$3004,"&gt;0"))</f>
        <v/>
      </c>
      <c r="O954" s="15" t="str">
        <f aca="false">IF(N(M954)=0,"",_xlfn.MAXIFS(ENSAYOS!$G$5:$G$3004,ENSAYOS!$C$5:$C$3004,F954,ENSAYOS!$Q$5:$Q$3004,"&gt;0"))</f>
        <v/>
      </c>
      <c r="P954" s="16" t="str">
        <f aca="false">IF(N(M954)=0,"",AVERAGEIFS(ENSAYOS!$Q$5:$Q$3004,ENSAYOS!$C$5:$C$3004,F954,ENSAYOS!$Q$5:$Q$3004,"&gt;0"))</f>
        <v/>
      </c>
      <c r="Q954" s="16" t="str">
        <f aca="false">IF(N(M954)=0,"",_xlfn.MINIFS(ENSAYOS!$Q$5:$Q$3004,ENSAYOS!$C$5:$C$3004,F954,ENSAYOS!$Q$5:$Q$3004,"&gt;0"))</f>
        <v/>
      </c>
      <c r="R954" s="16" t="str">
        <f aca="false">IF(N(M954)=0,"",_xlfn.MAXIFS(ENSAYOS!$Q$5:$Q$3004,ENSAYOS!$C$5:$C$3004,F954,ENSAYOS!$Q$5:$Q$3004,"&gt;0"))</f>
        <v/>
      </c>
      <c r="S954" s="16" t="str">
        <f aca="false">IF(N(M954)&lt;2,"",SQRT(MAX(0,(SUMIFS(ENSAYOS!$X$5:$X$3004,ENSAYOS!$C$5:$C$3004,F954,ENSAYOS!$Q$5:$Q$3004,"&gt;0")-M954*P954^2)/(M954-1))))</f>
        <v/>
      </c>
      <c r="T954" s="17" t="str">
        <f aca="false">IF(S954="","",S954/P954)</f>
        <v/>
      </c>
      <c r="U954" s="16" t="str">
        <f aca="false">IF(N(M954)=0,"",IF(N954&gt;=CONFIG!$B$27,"",AVERAGEIFS(ENSAYOS!$Q$5:$Q$3004,ENSAYOS!$C$5:$C$3004,F954,ENSAYOS!$Q$5:$Q$3004,"&gt;0",ENSAYOS!$G$5:$G$3004,N954)))</f>
        <v/>
      </c>
      <c r="V954" s="16" t="str">
        <f aca="false">IF(N(M954)=0,"",IF(COUNTIFS(ENSAYOS!$C$5:$C$3004,F954,ENSAYOS!$Q$5:$Q$3004,"&gt;0",ENSAYOS!$G$5:$G$3004,"&gt;="&amp;CONFIG!$B$27)=0,"",AVERAGEIFS(ENSAYOS!$Q$5:$Q$3004,ENSAYOS!$C$5:$C$3004,F954,ENSAYOS!$Q$5:$Q$3004,"&gt;0",ENSAYOS!$G$5:$G$3004,"&gt;="&amp;CONFIG!$B$27)))</f>
        <v/>
      </c>
      <c r="W954" s="18" t="str">
        <f aca="false">IF(AND(U954&lt;&gt;"",V954&lt;&gt;""),U954/V954,"")</f>
        <v/>
      </c>
      <c r="X954" s="18" t="str">
        <f aca="false">IF(U954="","",INDEX('CURVA EDAD'!$E$5:$E$32,MIN(28,MAX(1,N954))))</f>
        <v/>
      </c>
      <c r="Y954" s="16" t="str">
        <f aca="false">IF(V954&lt;&gt;"",V954,IF(U954="","",U954/X954))</f>
        <v/>
      </c>
      <c r="Z954" s="16" t="str">
        <f aca="false">IF(V954&lt;&gt;"",_xlfn.MINIFS(ENSAYOS!$Q$5:$Q$3004,ENSAYOS!$C$5:$C$3004,F954,ENSAYOS!$Q$5:$Q$3004,"&gt;0",ENSAYOS!$G$5:$G$3004,"&gt;="&amp;CONFIG!$B$27),IF(U954="","",_xlfn.MINIFS(ENSAYOS!$Q$5:$Q$3004,ENSAYOS!$C$5:$C$3004,F954,ENSAYOS!$Q$5:$Q$3004,"&gt;0",ENSAYOS!$G$5:$G$3004,N954)/X954))</f>
        <v/>
      </c>
      <c r="AA954" s="16" t="str">
        <f aca="false">IF(D954="","",IFERROR(1/(1/INDEX(CONFIG!$J$5:$J$14,MATCH(D954,CONFIG!$D$5:$D$14,0))),""))</f>
        <v/>
      </c>
      <c r="AB954" s="16" t="str">
        <f aca="false">IF(D954="","",IFERROR(1/(1/INDEX(CONFIG!$K$5:$K$14,MATCH(D954,CONFIG!$D$5:$D$14,0))),""))</f>
        <v/>
      </c>
      <c r="AC954" s="19" t="str">
        <f aca="false">IF(N(M954)=0,"",IF(AA954="","Sin spec",IF(AND(Y954&gt;=AA954,OR(AB954="",Z954&gt;=AB954)),"CUMPLE","NO CUMPLE")&amp;IF(V954=""," (est.)","")))</f>
        <v/>
      </c>
      <c r="AD954" s="20" t="str">
        <f aca="false">IF(F954="","",IF(COUNTIFS(ABSORCION!$C$5:$C$1004,F954,ABSORCION!$I$5:$I$1004,"&gt;0")=0,"",AVERAGEIFS(ABSORCION!$I$5:$I$1004,ABSORCION!$C$5:$C$1004,F954,ABSORCION!$I$5:$I$1004,"&gt;0")))</f>
        <v/>
      </c>
      <c r="AE954" s="20" t="str">
        <f aca="false">IF(F954="","",IF(COUNTIFS(ABSORCION!$C$5:$C$1004,F954,ABSORCION!$I$5:$I$1004,"&gt;0")=0,"",AVERAGEIFS(ABSORCION!$K$5:$K$1004,ABSORCION!$C$5:$C$1004,F954,ABSORCION!$I$5:$I$1004,"&gt;0")))</f>
        <v/>
      </c>
      <c r="AF954" s="20" t="str">
        <f aca="false">IF(AE954="","",IF(AE954&gt;=CONFIG!$E$21,CONFIG!$F$21,IF(AE954&gt;=CONFIG!$E$20,CONFIG!$F$20,CONFIG!$F$19)))</f>
        <v/>
      </c>
      <c r="AG954" s="21" t="str">
        <f aca="false">IF(F954="","",TRIM(IF(N(M954)=0,"Sin ensayos. ","")&amp;IF(AND(N(M954)&gt;0,N(M954)&lt;CONFIG!$B$26),"Menos de "&amp;CONFIG!$B$26&amp;" probetas. ","")&amp;IF(N(T954)&gt;CONFIG!$B$25,"CV alto. ","")&amp;IF(AND(N(AD954)&gt;0,N(AD954)&gt;N(AF954)),"Absorción alta. ","")))</f>
        <v/>
      </c>
      <c r="AH954" s="22" t="str">
        <f aca="false">IF(AND(N(M954)&gt;0,OR(CONTROL!$C$4="TODAS",C954=CONTROL!$C$4),D954=CONTROL!$C$5),MAX($AH$4:AH953)+1,"")</f>
        <v/>
      </c>
      <c r="AI954" s="22" t="str">
        <f aca="false">IF(AH954="","",P954^2)</f>
        <v/>
      </c>
    </row>
    <row r="955" customFormat="false" ht="15" hidden="false" customHeight="false" outlineLevel="0" collapsed="false">
      <c r="A955" s="11" t="str">
        <f aca="false">IF(B955="","",ROW()-4)</f>
        <v/>
      </c>
      <c r="B955" s="12"/>
      <c r="C955" s="13"/>
      <c r="D955" s="13"/>
      <c r="E955" s="13"/>
      <c r="F955" s="14" t="str">
        <f aca="false">IF(OR(B955="",C955="",D955=""),"",IFERROR(INDEX(CONFIG!$E$5:$E$14,MATCH(D955,CONFIG!$D$5:$D$14,0)),"?")&amp;RIGHT("0"&amp;DAY(B955),2)&amp;RIGHT("0"&amp;MONTH(B955),2)&amp;RIGHT(YEAR(B955),2)&amp;C955&amp;IF(E955="","","-"&amp;E955))</f>
        <v/>
      </c>
      <c r="G955" s="13"/>
      <c r="H955" s="13"/>
      <c r="I955" s="13"/>
      <c r="J955" s="13"/>
      <c r="K955" s="13"/>
      <c r="L955" s="13"/>
      <c r="M955" s="11" t="str">
        <f aca="false">IF(F955="","",COUNTIFS(ENSAYOS!$C$5:$C$3004,F955,ENSAYOS!$Q$5:$Q$3004,"&gt;0"))</f>
        <v/>
      </c>
      <c r="N955" s="15" t="str">
        <f aca="false">IF(N(M955)=0,"",_xlfn.MINIFS(ENSAYOS!$G$5:$G$3004,ENSAYOS!$C$5:$C$3004,F955,ENSAYOS!$Q$5:$Q$3004,"&gt;0"))</f>
        <v/>
      </c>
      <c r="O955" s="15" t="str">
        <f aca="false">IF(N(M955)=0,"",_xlfn.MAXIFS(ENSAYOS!$G$5:$G$3004,ENSAYOS!$C$5:$C$3004,F955,ENSAYOS!$Q$5:$Q$3004,"&gt;0"))</f>
        <v/>
      </c>
      <c r="P955" s="16" t="str">
        <f aca="false">IF(N(M955)=0,"",AVERAGEIFS(ENSAYOS!$Q$5:$Q$3004,ENSAYOS!$C$5:$C$3004,F955,ENSAYOS!$Q$5:$Q$3004,"&gt;0"))</f>
        <v/>
      </c>
      <c r="Q955" s="16" t="str">
        <f aca="false">IF(N(M955)=0,"",_xlfn.MINIFS(ENSAYOS!$Q$5:$Q$3004,ENSAYOS!$C$5:$C$3004,F955,ENSAYOS!$Q$5:$Q$3004,"&gt;0"))</f>
        <v/>
      </c>
      <c r="R955" s="16" t="str">
        <f aca="false">IF(N(M955)=0,"",_xlfn.MAXIFS(ENSAYOS!$Q$5:$Q$3004,ENSAYOS!$C$5:$C$3004,F955,ENSAYOS!$Q$5:$Q$3004,"&gt;0"))</f>
        <v/>
      </c>
      <c r="S955" s="16" t="str">
        <f aca="false">IF(N(M955)&lt;2,"",SQRT(MAX(0,(SUMIFS(ENSAYOS!$X$5:$X$3004,ENSAYOS!$C$5:$C$3004,F955,ENSAYOS!$Q$5:$Q$3004,"&gt;0")-M955*P955^2)/(M955-1))))</f>
        <v/>
      </c>
      <c r="T955" s="17" t="str">
        <f aca="false">IF(S955="","",S955/P955)</f>
        <v/>
      </c>
      <c r="U955" s="16" t="str">
        <f aca="false">IF(N(M955)=0,"",IF(N955&gt;=CONFIG!$B$27,"",AVERAGEIFS(ENSAYOS!$Q$5:$Q$3004,ENSAYOS!$C$5:$C$3004,F955,ENSAYOS!$Q$5:$Q$3004,"&gt;0",ENSAYOS!$G$5:$G$3004,N955)))</f>
        <v/>
      </c>
      <c r="V955" s="16" t="str">
        <f aca="false">IF(N(M955)=0,"",IF(COUNTIFS(ENSAYOS!$C$5:$C$3004,F955,ENSAYOS!$Q$5:$Q$3004,"&gt;0",ENSAYOS!$G$5:$G$3004,"&gt;="&amp;CONFIG!$B$27)=0,"",AVERAGEIFS(ENSAYOS!$Q$5:$Q$3004,ENSAYOS!$C$5:$C$3004,F955,ENSAYOS!$Q$5:$Q$3004,"&gt;0",ENSAYOS!$G$5:$G$3004,"&gt;="&amp;CONFIG!$B$27)))</f>
        <v/>
      </c>
      <c r="W955" s="18" t="str">
        <f aca="false">IF(AND(U955&lt;&gt;"",V955&lt;&gt;""),U955/V955,"")</f>
        <v/>
      </c>
      <c r="X955" s="18" t="str">
        <f aca="false">IF(U955="","",INDEX('CURVA EDAD'!$E$5:$E$32,MIN(28,MAX(1,N955))))</f>
        <v/>
      </c>
      <c r="Y955" s="16" t="str">
        <f aca="false">IF(V955&lt;&gt;"",V955,IF(U955="","",U955/X955))</f>
        <v/>
      </c>
      <c r="Z955" s="16" t="str">
        <f aca="false">IF(V955&lt;&gt;"",_xlfn.MINIFS(ENSAYOS!$Q$5:$Q$3004,ENSAYOS!$C$5:$C$3004,F955,ENSAYOS!$Q$5:$Q$3004,"&gt;0",ENSAYOS!$G$5:$G$3004,"&gt;="&amp;CONFIG!$B$27),IF(U955="","",_xlfn.MINIFS(ENSAYOS!$Q$5:$Q$3004,ENSAYOS!$C$5:$C$3004,F955,ENSAYOS!$Q$5:$Q$3004,"&gt;0",ENSAYOS!$G$5:$G$3004,N955)/X955))</f>
        <v/>
      </c>
      <c r="AA955" s="16" t="str">
        <f aca="false">IF(D955="","",IFERROR(1/(1/INDEX(CONFIG!$J$5:$J$14,MATCH(D955,CONFIG!$D$5:$D$14,0))),""))</f>
        <v/>
      </c>
      <c r="AB955" s="16" t="str">
        <f aca="false">IF(D955="","",IFERROR(1/(1/INDEX(CONFIG!$K$5:$K$14,MATCH(D955,CONFIG!$D$5:$D$14,0))),""))</f>
        <v/>
      </c>
      <c r="AC955" s="19" t="str">
        <f aca="false">IF(N(M955)=0,"",IF(AA955="","Sin spec",IF(AND(Y955&gt;=AA955,OR(AB955="",Z955&gt;=AB955)),"CUMPLE","NO CUMPLE")&amp;IF(V955=""," (est.)","")))</f>
        <v/>
      </c>
      <c r="AD955" s="20" t="str">
        <f aca="false">IF(F955="","",IF(COUNTIFS(ABSORCION!$C$5:$C$1004,F955,ABSORCION!$I$5:$I$1004,"&gt;0")=0,"",AVERAGEIFS(ABSORCION!$I$5:$I$1004,ABSORCION!$C$5:$C$1004,F955,ABSORCION!$I$5:$I$1004,"&gt;0")))</f>
        <v/>
      </c>
      <c r="AE955" s="20" t="str">
        <f aca="false">IF(F955="","",IF(COUNTIFS(ABSORCION!$C$5:$C$1004,F955,ABSORCION!$I$5:$I$1004,"&gt;0")=0,"",AVERAGEIFS(ABSORCION!$K$5:$K$1004,ABSORCION!$C$5:$C$1004,F955,ABSORCION!$I$5:$I$1004,"&gt;0")))</f>
        <v/>
      </c>
      <c r="AF955" s="20" t="str">
        <f aca="false">IF(AE955="","",IF(AE955&gt;=CONFIG!$E$21,CONFIG!$F$21,IF(AE955&gt;=CONFIG!$E$20,CONFIG!$F$20,CONFIG!$F$19)))</f>
        <v/>
      </c>
      <c r="AG955" s="21" t="str">
        <f aca="false">IF(F955="","",TRIM(IF(N(M955)=0,"Sin ensayos. ","")&amp;IF(AND(N(M955)&gt;0,N(M955)&lt;CONFIG!$B$26),"Menos de "&amp;CONFIG!$B$26&amp;" probetas. ","")&amp;IF(N(T955)&gt;CONFIG!$B$25,"CV alto. ","")&amp;IF(AND(N(AD955)&gt;0,N(AD955)&gt;N(AF955)),"Absorción alta. ","")))</f>
        <v/>
      </c>
      <c r="AH955" s="22" t="str">
        <f aca="false">IF(AND(N(M955)&gt;0,OR(CONTROL!$C$4="TODAS",C955=CONTROL!$C$4),D955=CONTROL!$C$5),MAX($AH$4:AH954)+1,"")</f>
        <v/>
      </c>
      <c r="AI955" s="22" t="str">
        <f aca="false">IF(AH955="","",P955^2)</f>
        <v/>
      </c>
    </row>
    <row r="956" customFormat="false" ht="15" hidden="false" customHeight="false" outlineLevel="0" collapsed="false">
      <c r="A956" s="11" t="str">
        <f aca="false">IF(B956="","",ROW()-4)</f>
        <v/>
      </c>
      <c r="B956" s="12"/>
      <c r="C956" s="13"/>
      <c r="D956" s="13"/>
      <c r="E956" s="13"/>
      <c r="F956" s="14" t="str">
        <f aca="false">IF(OR(B956="",C956="",D956=""),"",IFERROR(INDEX(CONFIG!$E$5:$E$14,MATCH(D956,CONFIG!$D$5:$D$14,0)),"?")&amp;RIGHT("0"&amp;DAY(B956),2)&amp;RIGHT("0"&amp;MONTH(B956),2)&amp;RIGHT(YEAR(B956),2)&amp;C956&amp;IF(E956="","","-"&amp;E956))</f>
        <v/>
      </c>
      <c r="G956" s="13"/>
      <c r="H956" s="13"/>
      <c r="I956" s="13"/>
      <c r="J956" s="13"/>
      <c r="K956" s="13"/>
      <c r="L956" s="13"/>
      <c r="M956" s="11" t="str">
        <f aca="false">IF(F956="","",COUNTIFS(ENSAYOS!$C$5:$C$3004,F956,ENSAYOS!$Q$5:$Q$3004,"&gt;0"))</f>
        <v/>
      </c>
      <c r="N956" s="15" t="str">
        <f aca="false">IF(N(M956)=0,"",_xlfn.MINIFS(ENSAYOS!$G$5:$G$3004,ENSAYOS!$C$5:$C$3004,F956,ENSAYOS!$Q$5:$Q$3004,"&gt;0"))</f>
        <v/>
      </c>
      <c r="O956" s="15" t="str">
        <f aca="false">IF(N(M956)=0,"",_xlfn.MAXIFS(ENSAYOS!$G$5:$G$3004,ENSAYOS!$C$5:$C$3004,F956,ENSAYOS!$Q$5:$Q$3004,"&gt;0"))</f>
        <v/>
      </c>
      <c r="P956" s="16" t="str">
        <f aca="false">IF(N(M956)=0,"",AVERAGEIFS(ENSAYOS!$Q$5:$Q$3004,ENSAYOS!$C$5:$C$3004,F956,ENSAYOS!$Q$5:$Q$3004,"&gt;0"))</f>
        <v/>
      </c>
      <c r="Q956" s="16" t="str">
        <f aca="false">IF(N(M956)=0,"",_xlfn.MINIFS(ENSAYOS!$Q$5:$Q$3004,ENSAYOS!$C$5:$C$3004,F956,ENSAYOS!$Q$5:$Q$3004,"&gt;0"))</f>
        <v/>
      </c>
      <c r="R956" s="16" t="str">
        <f aca="false">IF(N(M956)=0,"",_xlfn.MAXIFS(ENSAYOS!$Q$5:$Q$3004,ENSAYOS!$C$5:$C$3004,F956,ENSAYOS!$Q$5:$Q$3004,"&gt;0"))</f>
        <v/>
      </c>
      <c r="S956" s="16" t="str">
        <f aca="false">IF(N(M956)&lt;2,"",SQRT(MAX(0,(SUMIFS(ENSAYOS!$X$5:$X$3004,ENSAYOS!$C$5:$C$3004,F956,ENSAYOS!$Q$5:$Q$3004,"&gt;0")-M956*P956^2)/(M956-1))))</f>
        <v/>
      </c>
      <c r="T956" s="17" t="str">
        <f aca="false">IF(S956="","",S956/P956)</f>
        <v/>
      </c>
      <c r="U956" s="16" t="str">
        <f aca="false">IF(N(M956)=0,"",IF(N956&gt;=CONFIG!$B$27,"",AVERAGEIFS(ENSAYOS!$Q$5:$Q$3004,ENSAYOS!$C$5:$C$3004,F956,ENSAYOS!$Q$5:$Q$3004,"&gt;0",ENSAYOS!$G$5:$G$3004,N956)))</f>
        <v/>
      </c>
      <c r="V956" s="16" t="str">
        <f aca="false">IF(N(M956)=0,"",IF(COUNTIFS(ENSAYOS!$C$5:$C$3004,F956,ENSAYOS!$Q$5:$Q$3004,"&gt;0",ENSAYOS!$G$5:$G$3004,"&gt;="&amp;CONFIG!$B$27)=0,"",AVERAGEIFS(ENSAYOS!$Q$5:$Q$3004,ENSAYOS!$C$5:$C$3004,F956,ENSAYOS!$Q$5:$Q$3004,"&gt;0",ENSAYOS!$G$5:$G$3004,"&gt;="&amp;CONFIG!$B$27)))</f>
        <v/>
      </c>
      <c r="W956" s="18" t="str">
        <f aca="false">IF(AND(U956&lt;&gt;"",V956&lt;&gt;""),U956/V956,"")</f>
        <v/>
      </c>
      <c r="X956" s="18" t="str">
        <f aca="false">IF(U956="","",INDEX('CURVA EDAD'!$E$5:$E$32,MIN(28,MAX(1,N956))))</f>
        <v/>
      </c>
      <c r="Y956" s="16" t="str">
        <f aca="false">IF(V956&lt;&gt;"",V956,IF(U956="","",U956/X956))</f>
        <v/>
      </c>
      <c r="Z956" s="16" t="str">
        <f aca="false">IF(V956&lt;&gt;"",_xlfn.MINIFS(ENSAYOS!$Q$5:$Q$3004,ENSAYOS!$C$5:$C$3004,F956,ENSAYOS!$Q$5:$Q$3004,"&gt;0",ENSAYOS!$G$5:$G$3004,"&gt;="&amp;CONFIG!$B$27),IF(U956="","",_xlfn.MINIFS(ENSAYOS!$Q$5:$Q$3004,ENSAYOS!$C$5:$C$3004,F956,ENSAYOS!$Q$5:$Q$3004,"&gt;0",ENSAYOS!$G$5:$G$3004,N956)/X956))</f>
        <v/>
      </c>
      <c r="AA956" s="16" t="str">
        <f aca="false">IF(D956="","",IFERROR(1/(1/INDEX(CONFIG!$J$5:$J$14,MATCH(D956,CONFIG!$D$5:$D$14,0))),""))</f>
        <v/>
      </c>
      <c r="AB956" s="16" t="str">
        <f aca="false">IF(D956="","",IFERROR(1/(1/INDEX(CONFIG!$K$5:$K$14,MATCH(D956,CONFIG!$D$5:$D$14,0))),""))</f>
        <v/>
      </c>
      <c r="AC956" s="19" t="str">
        <f aca="false">IF(N(M956)=0,"",IF(AA956="","Sin spec",IF(AND(Y956&gt;=AA956,OR(AB956="",Z956&gt;=AB956)),"CUMPLE","NO CUMPLE")&amp;IF(V956=""," (est.)","")))</f>
        <v/>
      </c>
      <c r="AD956" s="20" t="str">
        <f aca="false">IF(F956="","",IF(COUNTIFS(ABSORCION!$C$5:$C$1004,F956,ABSORCION!$I$5:$I$1004,"&gt;0")=0,"",AVERAGEIFS(ABSORCION!$I$5:$I$1004,ABSORCION!$C$5:$C$1004,F956,ABSORCION!$I$5:$I$1004,"&gt;0")))</f>
        <v/>
      </c>
      <c r="AE956" s="20" t="str">
        <f aca="false">IF(F956="","",IF(COUNTIFS(ABSORCION!$C$5:$C$1004,F956,ABSORCION!$I$5:$I$1004,"&gt;0")=0,"",AVERAGEIFS(ABSORCION!$K$5:$K$1004,ABSORCION!$C$5:$C$1004,F956,ABSORCION!$I$5:$I$1004,"&gt;0")))</f>
        <v/>
      </c>
      <c r="AF956" s="20" t="str">
        <f aca="false">IF(AE956="","",IF(AE956&gt;=CONFIG!$E$21,CONFIG!$F$21,IF(AE956&gt;=CONFIG!$E$20,CONFIG!$F$20,CONFIG!$F$19)))</f>
        <v/>
      </c>
      <c r="AG956" s="21" t="str">
        <f aca="false">IF(F956="","",TRIM(IF(N(M956)=0,"Sin ensayos. ","")&amp;IF(AND(N(M956)&gt;0,N(M956)&lt;CONFIG!$B$26),"Menos de "&amp;CONFIG!$B$26&amp;" probetas. ","")&amp;IF(N(T956)&gt;CONFIG!$B$25,"CV alto. ","")&amp;IF(AND(N(AD956)&gt;0,N(AD956)&gt;N(AF956)),"Absorción alta. ","")))</f>
        <v/>
      </c>
      <c r="AH956" s="22" t="str">
        <f aca="false">IF(AND(N(M956)&gt;0,OR(CONTROL!$C$4="TODAS",C956=CONTROL!$C$4),D956=CONTROL!$C$5),MAX($AH$4:AH955)+1,"")</f>
        <v/>
      </c>
      <c r="AI956" s="22" t="str">
        <f aca="false">IF(AH956="","",P956^2)</f>
        <v/>
      </c>
    </row>
    <row r="957" customFormat="false" ht="15" hidden="false" customHeight="false" outlineLevel="0" collapsed="false">
      <c r="A957" s="11" t="str">
        <f aca="false">IF(B957="","",ROW()-4)</f>
        <v/>
      </c>
      <c r="B957" s="12"/>
      <c r="C957" s="13"/>
      <c r="D957" s="13"/>
      <c r="E957" s="13"/>
      <c r="F957" s="14" t="str">
        <f aca="false">IF(OR(B957="",C957="",D957=""),"",IFERROR(INDEX(CONFIG!$E$5:$E$14,MATCH(D957,CONFIG!$D$5:$D$14,0)),"?")&amp;RIGHT("0"&amp;DAY(B957),2)&amp;RIGHT("0"&amp;MONTH(B957),2)&amp;RIGHT(YEAR(B957),2)&amp;C957&amp;IF(E957="","","-"&amp;E957))</f>
        <v/>
      </c>
      <c r="G957" s="13"/>
      <c r="H957" s="13"/>
      <c r="I957" s="13"/>
      <c r="J957" s="13"/>
      <c r="K957" s="13"/>
      <c r="L957" s="13"/>
      <c r="M957" s="11" t="str">
        <f aca="false">IF(F957="","",COUNTIFS(ENSAYOS!$C$5:$C$3004,F957,ENSAYOS!$Q$5:$Q$3004,"&gt;0"))</f>
        <v/>
      </c>
      <c r="N957" s="15" t="str">
        <f aca="false">IF(N(M957)=0,"",_xlfn.MINIFS(ENSAYOS!$G$5:$G$3004,ENSAYOS!$C$5:$C$3004,F957,ENSAYOS!$Q$5:$Q$3004,"&gt;0"))</f>
        <v/>
      </c>
      <c r="O957" s="15" t="str">
        <f aca="false">IF(N(M957)=0,"",_xlfn.MAXIFS(ENSAYOS!$G$5:$G$3004,ENSAYOS!$C$5:$C$3004,F957,ENSAYOS!$Q$5:$Q$3004,"&gt;0"))</f>
        <v/>
      </c>
      <c r="P957" s="16" t="str">
        <f aca="false">IF(N(M957)=0,"",AVERAGEIFS(ENSAYOS!$Q$5:$Q$3004,ENSAYOS!$C$5:$C$3004,F957,ENSAYOS!$Q$5:$Q$3004,"&gt;0"))</f>
        <v/>
      </c>
      <c r="Q957" s="16" t="str">
        <f aca="false">IF(N(M957)=0,"",_xlfn.MINIFS(ENSAYOS!$Q$5:$Q$3004,ENSAYOS!$C$5:$C$3004,F957,ENSAYOS!$Q$5:$Q$3004,"&gt;0"))</f>
        <v/>
      </c>
      <c r="R957" s="16" t="str">
        <f aca="false">IF(N(M957)=0,"",_xlfn.MAXIFS(ENSAYOS!$Q$5:$Q$3004,ENSAYOS!$C$5:$C$3004,F957,ENSAYOS!$Q$5:$Q$3004,"&gt;0"))</f>
        <v/>
      </c>
      <c r="S957" s="16" t="str">
        <f aca="false">IF(N(M957)&lt;2,"",SQRT(MAX(0,(SUMIFS(ENSAYOS!$X$5:$X$3004,ENSAYOS!$C$5:$C$3004,F957,ENSAYOS!$Q$5:$Q$3004,"&gt;0")-M957*P957^2)/(M957-1))))</f>
        <v/>
      </c>
      <c r="T957" s="17" t="str">
        <f aca="false">IF(S957="","",S957/P957)</f>
        <v/>
      </c>
      <c r="U957" s="16" t="str">
        <f aca="false">IF(N(M957)=0,"",IF(N957&gt;=CONFIG!$B$27,"",AVERAGEIFS(ENSAYOS!$Q$5:$Q$3004,ENSAYOS!$C$5:$C$3004,F957,ENSAYOS!$Q$5:$Q$3004,"&gt;0",ENSAYOS!$G$5:$G$3004,N957)))</f>
        <v/>
      </c>
      <c r="V957" s="16" t="str">
        <f aca="false">IF(N(M957)=0,"",IF(COUNTIFS(ENSAYOS!$C$5:$C$3004,F957,ENSAYOS!$Q$5:$Q$3004,"&gt;0",ENSAYOS!$G$5:$G$3004,"&gt;="&amp;CONFIG!$B$27)=0,"",AVERAGEIFS(ENSAYOS!$Q$5:$Q$3004,ENSAYOS!$C$5:$C$3004,F957,ENSAYOS!$Q$5:$Q$3004,"&gt;0",ENSAYOS!$G$5:$G$3004,"&gt;="&amp;CONFIG!$B$27)))</f>
        <v/>
      </c>
      <c r="W957" s="18" t="str">
        <f aca="false">IF(AND(U957&lt;&gt;"",V957&lt;&gt;""),U957/V957,"")</f>
        <v/>
      </c>
      <c r="X957" s="18" t="str">
        <f aca="false">IF(U957="","",INDEX('CURVA EDAD'!$E$5:$E$32,MIN(28,MAX(1,N957))))</f>
        <v/>
      </c>
      <c r="Y957" s="16" t="str">
        <f aca="false">IF(V957&lt;&gt;"",V957,IF(U957="","",U957/X957))</f>
        <v/>
      </c>
      <c r="Z957" s="16" t="str">
        <f aca="false">IF(V957&lt;&gt;"",_xlfn.MINIFS(ENSAYOS!$Q$5:$Q$3004,ENSAYOS!$C$5:$C$3004,F957,ENSAYOS!$Q$5:$Q$3004,"&gt;0",ENSAYOS!$G$5:$G$3004,"&gt;="&amp;CONFIG!$B$27),IF(U957="","",_xlfn.MINIFS(ENSAYOS!$Q$5:$Q$3004,ENSAYOS!$C$5:$C$3004,F957,ENSAYOS!$Q$5:$Q$3004,"&gt;0",ENSAYOS!$G$5:$G$3004,N957)/X957))</f>
        <v/>
      </c>
      <c r="AA957" s="16" t="str">
        <f aca="false">IF(D957="","",IFERROR(1/(1/INDEX(CONFIG!$J$5:$J$14,MATCH(D957,CONFIG!$D$5:$D$14,0))),""))</f>
        <v/>
      </c>
      <c r="AB957" s="16" t="str">
        <f aca="false">IF(D957="","",IFERROR(1/(1/INDEX(CONFIG!$K$5:$K$14,MATCH(D957,CONFIG!$D$5:$D$14,0))),""))</f>
        <v/>
      </c>
      <c r="AC957" s="19" t="str">
        <f aca="false">IF(N(M957)=0,"",IF(AA957="","Sin spec",IF(AND(Y957&gt;=AA957,OR(AB957="",Z957&gt;=AB957)),"CUMPLE","NO CUMPLE")&amp;IF(V957=""," (est.)","")))</f>
        <v/>
      </c>
      <c r="AD957" s="20" t="str">
        <f aca="false">IF(F957="","",IF(COUNTIFS(ABSORCION!$C$5:$C$1004,F957,ABSORCION!$I$5:$I$1004,"&gt;0")=0,"",AVERAGEIFS(ABSORCION!$I$5:$I$1004,ABSORCION!$C$5:$C$1004,F957,ABSORCION!$I$5:$I$1004,"&gt;0")))</f>
        <v/>
      </c>
      <c r="AE957" s="20" t="str">
        <f aca="false">IF(F957="","",IF(COUNTIFS(ABSORCION!$C$5:$C$1004,F957,ABSORCION!$I$5:$I$1004,"&gt;0")=0,"",AVERAGEIFS(ABSORCION!$K$5:$K$1004,ABSORCION!$C$5:$C$1004,F957,ABSORCION!$I$5:$I$1004,"&gt;0")))</f>
        <v/>
      </c>
      <c r="AF957" s="20" t="str">
        <f aca="false">IF(AE957="","",IF(AE957&gt;=CONFIG!$E$21,CONFIG!$F$21,IF(AE957&gt;=CONFIG!$E$20,CONFIG!$F$20,CONFIG!$F$19)))</f>
        <v/>
      </c>
      <c r="AG957" s="21" t="str">
        <f aca="false">IF(F957="","",TRIM(IF(N(M957)=0,"Sin ensayos. ","")&amp;IF(AND(N(M957)&gt;0,N(M957)&lt;CONFIG!$B$26),"Menos de "&amp;CONFIG!$B$26&amp;" probetas. ","")&amp;IF(N(T957)&gt;CONFIG!$B$25,"CV alto. ","")&amp;IF(AND(N(AD957)&gt;0,N(AD957)&gt;N(AF957)),"Absorción alta. ","")))</f>
        <v/>
      </c>
      <c r="AH957" s="22" t="str">
        <f aca="false">IF(AND(N(M957)&gt;0,OR(CONTROL!$C$4="TODAS",C957=CONTROL!$C$4),D957=CONTROL!$C$5),MAX($AH$4:AH956)+1,"")</f>
        <v/>
      </c>
      <c r="AI957" s="22" t="str">
        <f aca="false">IF(AH957="","",P957^2)</f>
        <v/>
      </c>
    </row>
    <row r="958" customFormat="false" ht="15" hidden="false" customHeight="false" outlineLevel="0" collapsed="false">
      <c r="A958" s="11" t="str">
        <f aca="false">IF(B958="","",ROW()-4)</f>
        <v/>
      </c>
      <c r="B958" s="12"/>
      <c r="C958" s="13"/>
      <c r="D958" s="13"/>
      <c r="E958" s="13"/>
      <c r="F958" s="14" t="str">
        <f aca="false">IF(OR(B958="",C958="",D958=""),"",IFERROR(INDEX(CONFIG!$E$5:$E$14,MATCH(D958,CONFIG!$D$5:$D$14,0)),"?")&amp;RIGHT("0"&amp;DAY(B958),2)&amp;RIGHT("0"&amp;MONTH(B958),2)&amp;RIGHT(YEAR(B958),2)&amp;C958&amp;IF(E958="","","-"&amp;E958))</f>
        <v/>
      </c>
      <c r="G958" s="13"/>
      <c r="H958" s="13"/>
      <c r="I958" s="13"/>
      <c r="J958" s="13"/>
      <c r="K958" s="13"/>
      <c r="L958" s="13"/>
      <c r="M958" s="11" t="str">
        <f aca="false">IF(F958="","",COUNTIFS(ENSAYOS!$C$5:$C$3004,F958,ENSAYOS!$Q$5:$Q$3004,"&gt;0"))</f>
        <v/>
      </c>
      <c r="N958" s="15" t="str">
        <f aca="false">IF(N(M958)=0,"",_xlfn.MINIFS(ENSAYOS!$G$5:$G$3004,ENSAYOS!$C$5:$C$3004,F958,ENSAYOS!$Q$5:$Q$3004,"&gt;0"))</f>
        <v/>
      </c>
      <c r="O958" s="15" t="str">
        <f aca="false">IF(N(M958)=0,"",_xlfn.MAXIFS(ENSAYOS!$G$5:$G$3004,ENSAYOS!$C$5:$C$3004,F958,ENSAYOS!$Q$5:$Q$3004,"&gt;0"))</f>
        <v/>
      </c>
      <c r="P958" s="16" t="str">
        <f aca="false">IF(N(M958)=0,"",AVERAGEIFS(ENSAYOS!$Q$5:$Q$3004,ENSAYOS!$C$5:$C$3004,F958,ENSAYOS!$Q$5:$Q$3004,"&gt;0"))</f>
        <v/>
      </c>
      <c r="Q958" s="16" t="str">
        <f aca="false">IF(N(M958)=0,"",_xlfn.MINIFS(ENSAYOS!$Q$5:$Q$3004,ENSAYOS!$C$5:$C$3004,F958,ENSAYOS!$Q$5:$Q$3004,"&gt;0"))</f>
        <v/>
      </c>
      <c r="R958" s="16" t="str">
        <f aca="false">IF(N(M958)=0,"",_xlfn.MAXIFS(ENSAYOS!$Q$5:$Q$3004,ENSAYOS!$C$5:$C$3004,F958,ENSAYOS!$Q$5:$Q$3004,"&gt;0"))</f>
        <v/>
      </c>
      <c r="S958" s="16" t="str">
        <f aca="false">IF(N(M958)&lt;2,"",SQRT(MAX(0,(SUMIFS(ENSAYOS!$X$5:$X$3004,ENSAYOS!$C$5:$C$3004,F958,ENSAYOS!$Q$5:$Q$3004,"&gt;0")-M958*P958^2)/(M958-1))))</f>
        <v/>
      </c>
      <c r="T958" s="17" t="str">
        <f aca="false">IF(S958="","",S958/P958)</f>
        <v/>
      </c>
      <c r="U958" s="16" t="str">
        <f aca="false">IF(N(M958)=0,"",IF(N958&gt;=CONFIG!$B$27,"",AVERAGEIFS(ENSAYOS!$Q$5:$Q$3004,ENSAYOS!$C$5:$C$3004,F958,ENSAYOS!$Q$5:$Q$3004,"&gt;0",ENSAYOS!$G$5:$G$3004,N958)))</f>
        <v/>
      </c>
      <c r="V958" s="16" t="str">
        <f aca="false">IF(N(M958)=0,"",IF(COUNTIFS(ENSAYOS!$C$5:$C$3004,F958,ENSAYOS!$Q$5:$Q$3004,"&gt;0",ENSAYOS!$G$5:$G$3004,"&gt;="&amp;CONFIG!$B$27)=0,"",AVERAGEIFS(ENSAYOS!$Q$5:$Q$3004,ENSAYOS!$C$5:$C$3004,F958,ENSAYOS!$Q$5:$Q$3004,"&gt;0",ENSAYOS!$G$5:$G$3004,"&gt;="&amp;CONFIG!$B$27)))</f>
        <v/>
      </c>
      <c r="W958" s="18" t="str">
        <f aca="false">IF(AND(U958&lt;&gt;"",V958&lt;&gt;""),U958/V958,"")</f>
        <v/>
      </c>
      <c r="X958" s="18" t="str">
        <f aca="false">IF(U958="","",INDEX('CURVA EDAD'!$E$5:$E$32,MIN(28,MAX(1,N958))))</f>
        <v/>
      </c>
      <c r="Y958" s="16" t="str">
        <f aca="false">IF(V958&lt;&gt;"",V958,IF(U958="","",U958/X958))</f>
        <v/>
      </c>
      <c r="Z958" s="16" t="str">
        <f aca="false">IF(V958&lt;&gt;"",_xlfn.MINIFS(ENSAYOS!$Q$5:$Q$3004,ENSAYOS!$C$5:$C$3004,F958,ENSAYOS!$Q$5:$Q$3004,"&gt;0",ENSAYOS!$G$5:$G$3004,"&gt;="&amp;CONFIG!$B$27),IF(U958="","",_xlfn.MINIFS(ENSAYOS!$Q$5:$Q$3004,ENSAYOS!$C$5:$C$3004,F958,ENSAYOS!$Q$5:$Q$3004,"&gt;0",ENSAYOS!$G$5:$G$3004,N958)/X958))</f>
        <v/>
      </c>
      <c r="AA958" s="16" t="str">
        <f aca="false">IF(D958="","",IFERROR(1/(1/INDEX(CONFIG!$J$5:$J$14,MATCH(D958,CONFIG!$D$5:$D$14,0))),""))</f>
        <v/>
      </c>
      <c r="AB958" s="16" t="str">
        <f aca="false">IF(D958="","",IFERROR(1/(1/INDEX(CONFIG!$K$5:$K$14,MATCH(D958,CONFIG!$D$5:$D$14,0))),""))</f>
        <v/>
      </c>
      <c r="AC958" s="19" t="str">
        <f aca="false">IF(N(M958)=0,"",IF(AA958="","Sin spec",IF(AND(Y958&gt;=AA958,OR(AB958="",Z958&gt;=AB958)),"CUMPLE","NO CUMPLE")&amp;IF(V958=""," (est.)","")))</f>
        <v/>
      </c>
      <c r="AD958" s="20" t="str">
        <f aca="false">IF(F958="","",IF(COUNTIFS(ABSORCION!$C$5:$C$1004,F958,ABSORCION!$I$5:$I$1004,"&gt;0")=0,"",AVERAGEIFS(ABSORCION!$I$5:$I$1004,ABSORCION!$C$5:$C$1004,F958,ABSORCION!$I$5:$I$1004,"&gt;0")))</f>
        <v/>
      </c>
      <c r="AE958" s="20" t="str">
        <f aca="false">IF(F958="","",IF(COUNTIFS(ABSORCION!$C$5:$C$1004,F958,ABSORCION!$I$5:$I$1004,"&gt;0")=0,"",AVERAGEIFS(ABSORCION!$K$5:$K$1004,ABSORCION!$C$5:$C$1004,F958,ABSORCION!$I$5:$I$1004,"&gt;0")))</f>
        <v/>
      </c>
      <c r="AF958" s="20" t="str">
        <f aca="false">IF(AE958="","",IF(AE958&gt;=CONFIG!$E$21,CONFIG!$F$21,IF(AE958&gt;=CONFIG!$E$20,CONFIG!$F$20,CONFIG!$F$19)))</f>
        <v/>
      </c>
      <c r="AG958" s="21" t="str">
        <f aca="false">IF(F958="","",TRIM(IF(N(M958)=0,"Sin ensayos. ","")&amp;IF(AND(N(M958)&gt;0,N(M958)&lt;CONFIG!$B$26),"Menos de "&amp;CONFIG!$B$26&amp;" probetas. ","")&amp;IF(N(T958)&gt;CONFIG!$B$25,"CV alto. ","")&amp;IF(AND(N(AD958)&gt;0,N(AD958)&gt;N(AF958)),"Absorción alta. ","")))</f>
        <v/>
      </c>
      <c r="AH958" s="22" t="str">
        <f aca="false">IF(AND(N(M958)&gt;0,OR(CONTROL!$C$4="TODAS",C958=CONTROL!$C$4),D958=CONTROL!$C$5),MAX($AH$4:AH957)+1,"")</f>
        <v/>
      </c>
      <c r="AI958" s="22" t="str">
        <f aca="false">IF(AH958="","",P958^2)</f>
        <v/>
      </c>
    </row>
    <row r="959" customFormat="false" ht="15" hidden="false" customHeight="false" outlineLevel="0" collapsed="false">
      <c r="A959" s="11" t="str">
        <f aca="false">IF(B959="","",ROW()-4)</f>
        <v/>
      </c>
      <c r="B959" s="12"/>
      <c r="C959" s="13"/>
      <c r="D959" s="13"/>
      <c r="E959" s="13"/>
      <c r="F959" s="14" t="str">
        <f aca="false">IF(OR(B959="",C959="",D959=""),"",IFERROR(INDEX(CONFIG!$E$5:$E$14,MATCH(D959,CONFIG!$D$5:$D$14,0)),"?")&amp;RIGHT("0"&amp;DAY(B959),2)&amp;RIGHT("0"&amp;MONTH(B959),2)&amp;RIGHT(YEAR(B959),2)&amp;C959&amp;IF(E959="","","-"&amp;E959))</f>
        <v/>
      </c>
      <c r="G959" s="13"/>
      <c r="H959" s="13"/>
      <c r="I959" s="13"/>
      <c r="J959" s="13"/>
      <c r="K959" s="13"/>
      <c r="L959" s="13"/>
      <c r="M959" s="11" t="str">
        <f aca="false">IF(F959="","",COUNTIFS(ENSAYOS!$C$5:$C$3004,F959,ENSAYOS!$Q$5:$Q$3004,"&gt;0"))</f>
        <v/>
      </c>
      <c r="N959" s="15" t="str">
        <f aca="false">IF(N(M959)=0,"",_xlfn.MINIFS(ENSAYOS!$G$5:$G$3004,ENSAYOS!$C$5:$C$3004,F959,ENSAYOS!$Q$5:$Q$3004,"&gt;0"))</f>
        <v/>
      </c>
      <c r="O959" s="15" t="str">
        <f aca="false">IF(N(M959)=0,"",_xlfn.MAXIFS(ENSAYOS!$G$5:$G$3004,ENSAYOS!$C$5:$C$3004,F959,ENSAYOS!$Q$5:$Q$3004,"&gt;0"))</f>
        <v/>
      </c>
      <c r="P959" s="16" t="str">
        <f aca="false">IF(N(M959)=0,"",AVERAGEIFS(ENSAYOS!$Q$5:$Q$3004,ENSAYOS!$C$5:$C$3004,F959,ENSAYOS!$Q$5:$Q$3004,"&gt;0"))</f>
        <v/>
      </c>
      <c r="Q959" s="16" t="str">
        <f aca="false">IF(N(M959)=0,"",_xlfn.MINIFS(ENSAYOS!$Q$5:$Q$3004,ENSAYOS!$C$5:$C$3004,F959,ENSAYOS!$Q$5:$Q$3004,"&gt;0"))</f>
        <v/>
      </c>
      <c r="R959" s="16" t="str">
        <f aca="false">IF(N(M959)=0,"",_xlfn.MAXIFS(ENSAYOS!$Q$5:$Q$3004,ENSAYOS!$C$5:$C$3004,F959,ENSAYOS!$Q$5:$Q$3004,"&gt;0"))</f>
        <v/>
      </c>
      <c r="S959" s="16" t="str">
        <f aca="false">IF(N(M959)&lt;2,"",SQRT(MAX(0,(SUMIFS(ENSAYOS!$X$5:$X$3004,ENSAYOS!$C$5:$C$3004,F959,ENSAYOS!$Q$5:$Q$3004,"&gt;0")-M959*P959^2)/(M959-1))))</f>
        <v/>
      </c>
      <c r="T959" s="17" t="str">
        <f aca="false">IF(S959="","",S959/P959)</f>
        <v/>
      </c>
      <c r="U959" s="16" t="str">
        <f aca="false">IF(N(M959)=0,"",IF(N959&gt;=CONFIG!$B$27,"",AVERAGEIFS(ENSAYOS!$Q$5:$Q$3004,ENSAYOS!$C$5:$C$3004,F959,ENSAYOS!$Q$5:$Q$3004,"&gt;0",ENSAYOS!$G$5:$G$3004,N959)))</f>
        <v/>
      </c>
      <c r="V959" s="16" t="str">
        <f aca="false">IF(N(M959)=0,"",IF(COUNTIFS(ENSAYOS!$C$5:$C$3004,F959,ENSAYOS!$Q$5:$Q$3004,"&gt;0",ENSAYOS!$G$5:$G$3004,"&gt;="&amp;CONFIG!$B$27)=0,"",AVERAGEIFS(ENSAYOS!$Q$5:$Q$3004,ENSAYOS!$C$5:$C$3004,F959,ENSAYOS!$Q$5:$Q$3004,"&gt;0",ENSAYOS!$G$5:$G$3004,"&gt;="&amp;CONFIG!$B$27)))</f>
        <v/>
      </c>
      <c r="W959" s="18" t="str">
        <f aca="false">IF(AND(U959&lt;&gt;"",V959&lt;&gt;""),U959/V959,"")</f>
        <v/>
      </c>
      <c r="X959" s="18" t="str">
        <f aca="false">IF(U959="","",INDEX('CURVA EDAD'!$E$5:$E$32,MIN(28,MAX(1,N959))))</f>
        <v/>
      </c>
      <c r="Y959" s="16" t="str">
        <f aca="false">IF(V959&lt;&gt;"",V959,IF(U959="","",U959/X959))</f>
        <v/>
      </c>
      <c r="Z959" s="16" t="str">
        <f aca="false">IF(V959&lt;&gt;"",_xlfn.MINIFS(ENSAYOS!$Q$5:$Q$3004,ENSAYOS!$C$5:$C$3004,F959,ENSAYOS!$Q$5:$Q$3004,"&gt;0",ENSAYOS!$G$5:$G$3004,"&gt;="&amp;CONFIG!$B$27),IF(U959="","",_xlfn.MINIFS(ENSAYOS!$Q$5:$Q$3004,ENSAYOS!$C$5:$C$3004,F959,ENSAYOS!$Q$5:$Q$3004,"&gt;0",ENSAYOS!$G$5:$G$3004,N959)/X959))</f>
        <v/>
      </c>
      <c r="AA959" s="16" t="str">
        <f aca="false">IF(D959="","",IFERROR(1/(1/INDEX(CONFIG!$J$5:$J$14,MATCH(D959,CONFIG!$D$5:$D$14,0))),""))</f>
        <v/>
      </c>
      <c r="AB959" s="16" t="str">
        <f aca="false">IF(D959="","",IFERROR(1/(1/INDEX(CONFIG!$K$5:$K$14,MATCH(D959,CONFIG!$D$5:$D$14,0))),""))</f>
        <v/>
      </c>
      <c r="AC959" s="19" t="str">
        <f aca="false">IF(N(M959)=0,"",IF(AA959="","Sin spec",IF(AND(Y959&gt;=AA959,OR(AB959="",Z959&gt;=AB959)),"CUMPLE","NO CUMPLE")&amp;IF(V959=""," (est.)","")))</f>
        <v/>
      </c>
      <c r="AD959" s="20" t="str">
        <f aca="false">IF(F959="","",IF(COUNTIFS(ABSORCION!$C$5:$C$1004,F959,ABSORCION!$I$5:$I$1004,"&gt;0")=0,"",AVERAGEIFS(ABSORCION!$I$5:$I$1004,ABSORCION!$C$5:$C$1004,F959,ABSORCION!$I$5:$I$1004,"&gt;0")))</f>
        <v/>
      </c>
      <c r="AE959" s="20" t="str">
        <f aca="false">IF(F959="","",IF(COUNTIFS(ABSORCION!$C$5:$C$1004,F959,ABSORCION!$I$5:$I$1004,"&gt;0")=0,"",AVERAGEIFS(ABSORCION!$K$5:$K$1004,ABSORCION!$C$5:$C$1004,F959,ABSORCION!$I$5:$I$1004,"&gt;0")))</f>
        <v/>
      </c>
      <c r="AF959" s="20" t="str">
        <f aca="false">IF(AE959="","",IF(AE959&gt;=CONFIG!$E$21,CONFIG!$F$21,IF(AE959&gt;=CONFIG!$E$20,CONFIG!$F$20,CONFIG!$F$19)))</f>
        <v/>
      </c>
      <c r="AG959" s="21" t="str">
        <f aca="false">IF(F959="","",TRIM(IF(N(M959)=0,"Sin ensayos. ","")&amp;IF(AND(N(M959)&gt;0,N(M959)&lt;CONFIG!$B$26),"Menos de "&amp;CONFIG!$B$26&amp;" probetas. ","")&amp;IF(N(T959)&gt;CONFIG!$B$25,"CV alto. ","")&amp;IF(AND(N(AD959)&gt;0,N(AD959)&gt;N(AF959)),"Absorción alta. ","")))</f>
        <v/>
      </c>
      <c r="AH959" s="22" t="str">
        <f aca="false">IF(AND(N(M959)&gt;0,OR(CONTROL!$C$4="TODAS",C959=CONTROL!$C$4),D959=CONTROL!$C$5),MAX($AH$4:AH958)+1,"")</f>
        <v/>
      </c>
      <c r="AI959" s="22" t="str">
        <f aca="false">IF(AH959="","",P959^2)</f>
        <v/>
      </c>
    </row>
    <row r="960" customFormat="false" ht="15" hidden="false" customHeight="false" outlineLevel="0" collapsed="false">
      <c r="A960" s="11" t="str">
        <f aca="false">IF(B960="","",ROW()-4)</f>
        <v/>
      </c>
      <c r="B960" s="12"/>
      <c r="C960" s="13"/>
      <c r="D960" s="13"/>
      <c r="E960" s="13"/>
      <c r="F960" s="14" t="str">
        <f aca="false">IF(OR(B960="",C960="",D960=""),"",IFERROR(INDEX(CONFIG!$E$5:$E$14,MATCH(D960,CONFIG!$D$5:$D$14,0)),"?")&amp;RIGHT("0"&amp;DAY(B960),2)&amp;RIGHT("0"&amp;MONTH(B960),2)&amp;RIGHT(YEAR(B960),2)&amp;C960&amp;IF(E960="","","-"&amp;E960))</f>
        <v/>
      </c>
      <c r="G960" s="13"/>
      <c r="H960" s="13"/>
      <c r="I960" s="13"/>
      <c r="J960" s="13"/>
      <c r="K960" s="13"/>
      <c r="L960" s="13"/>
      <c r="M960" s="11" t="str">
        <f aca="false">IF(F960="","",COUNTIFS(ENSAYOS!$C$5:$C$3004,F960,ENSAYOS!$Q$5:$Q$3004,"&gt;0"))</f>
        <v/>
      </c>
      <c r="N960" s="15" t="str">
        <f aca="false">IF(N(M960)=0,"",_xlfn.MINIFS(ENSAYOS!$G$5:$G$3004,ENSAYOS!$C$5:$C$3004,F960,ENSAYOS!$Q$5:$Q$3004,"&gt;0"))</f>
        <v/>
      </c>
      <c r="O960" s="15" t="str">
        <f aca="false">IF(N(M960)=0,"",_xlfn.MAXIFS(ENSAYOS!$G$5:$G$3004,ENSAYOS!$C$5:$C$3004,F960,ENSAYOS!$Q$5:$Q$3004,"&gt;0"))</f>
        <v/>
      </c>
      <c r="P960" s="16" t="str">
        <f aca="false">IF(N(M960)=0,"",AVERAGEIFS(ENSAYOS!$Q$5:$Q$3004,ENSAYOS!$C$5:$C$3004,F960,ENSAYOS!$Q$5:$Q$3004,"&gt;0"))</f>
        <v/>
      </c>
      <c r="Q960" s="16" t="str">
        <f aca="false">IF(N(M960)=0,"",_xlfn.MINIFS(ENSAYOS!$Q$5:$Q$3004,ENSAYOS!$C$5:$C$3004,F960,ENSAYOS!$Q$5:$Q$3004,"&gt;0"))</f>
        <v/>
      </c>
      <c r="R960" s="16" t="str">
        <f aca="false">IF(N(M960)=0,"",_xlfn.MAXIFS(ENSAYOS!$Q$5:$Q$3004,ENSAYOS!$C$5:$C$3004,F960,ENSAYOS!$Q$5:$Q$3004,"&gt;0"))</f>
        <v/>
      </c>
      <c r="S960" s="16" t="str">
        <f aca="false">IF(N(M960)&lt;2,"",SQRT(MAX(0,(SUMIFS(ENSAYOS!$X$5:$X$3004,ENSAYOS!$C$5:$C$3004,F960,ENSAYOS!$Q$5:$Q$3004,"&gt;0")-M960*P960^2)/(M960-1))))</f>
        <v/>
      </c>
      <c r="T960" s="17" t="str">
        <f aca="false">IF(S960="","",S960/P960)</f>
        <v/>
      </c>
      <c r="U960" s="16" t="str">
        <f aca="false">IF(N(M960)=0,"",IF(N960&gt;=CONFIG!$B$27,"",AVERAGEIFS(ENSAYOS!$Q$5:$Q$3004,ENSAYOS!$C$5:$C$3004,F960,ENSAYOS!$Q$5:$Q$3004,"&gt;0",ENSAYOS!$G$5:$G$3004,N960)))</f>
        <v/>
      </c>
      <c r="V960" s="16" t="str">
        <f aca="false">IF(N(M960)=0,"",IF(COUNTIFS(ENSAYOS!$C$5:$C$3004,F960,ENSAYOS!$Q$5:$Q$3004,"&gt;0",ENSAYOS!$G$5:$G$3004,"&gt;="&amp;CONFIG!$B$27)=0,"",AVERAGEIFS(ENSAYOS!$Q$5:$Q$3004,ENSAYOS!$C$5:$C$3004,F960,ENSAYOS!$Q$5:$Q$3004,"&gt;0",ENSAYOS!$G$5:$G$3004,"&gt;="&amp;CONFIG!$B$27)))</f>
        <v/>
      </c>
      <c r="W960" s="18" t="str">
        <f aca="false">IF(AND(U960&lt;&gt;"",V960&lt;&gt;""),U960/V960,"")</f>
        <v/>
      </c>
      <c r="X960" s="18" t="str">
        <f aca="false">IF(U960="","",INDEX('CURVA EDAD'!$E$5:$E$32,MIN(28,MAX(1,N960))))</f>
        <v/>
      </c>
      <c r="Y960" s="16" t="str">
        <f aca="false">IF(V960&lt;&gt;"",V960,IF(U960="","",U960/X960))</f>
        <v/>
      </c>
      <c r="Z960" s="16" t="str">
        <f aca="false">IF(V960&lt;&gt;"",_xlfn.MINIFS(ENSAYOS!$Q$5:$Q$3004,ENSAYOS!$C$5:$C$3004,F960,ENSAYOS!$Q$5:$Q$3004,"&gt;0",ENSAYOS!$G$5:$G$3004,"&gt;="&amp;CONFIG!$B$27),IF(U960="","",_xlfn.MINIFS(ENSAYOS!$Q$5:$Q$3004,ENSAYOS!$C$5:$C$3004,F960,ENSAYOS!$Q$5:$Q$3004,"&gt;0",ENSAYOS!$G$5:$G$3004,N960)/X960))</f>
        <v/>
      </c>
      <c r="AA960" s="16" t="str">
        <f aca="false">IF(D960="","",IFERROR(1/(1/INDEX(CONFIG!$J$5:$J$14,MATCH(D960,CONFIG!$D$5:$D$14,0))),""))</f>
        <v/>
      </c>
      <c r="AB960" s="16" t="str">
        <f aca="false">IF(D960="","",IFERROR(1/(1/INDEX(CONFIG!$K$5:$K$14,MATCH(D960,CONFIG!$D$5:$D$14,0))),""))</f>
        <v/>
      </c>
      <c r="AC960" s="19" t="str">
        <f aca="false">IF(N(M960)=0,"",IF(AA960="","Sin spec",IF(AND(Y960&gt;=AA960,OR(AB960="",Z960&gt;=AB960)),"CUMPLE","NO CUMPLE")&amp;IF(V960=""," (est.)","")))</f>
        <v/>
      </c>
      <c r="AD960" s="20" t="str">
        <f aca="false">IF(F960="","",IF(COUNTIFS(ABSORCION!$C$5:$C$1004,F960,ABSORCION!$I$5:$I$1004,"&gt;0")=0,"",AVERAGEIFS(ABSORCION!$I$5:$I$1004,ABSORCION!$C$5:$C$1004,F960,ABSORCION!$I$5:$I$1004,"&gt;0")))</f>
        <v/>
      </c>
      <c r="AE960" s="20" t="str">
        <f aca="false">IF(F960="","",IF(COUNTIFS(ABSORCION!$C$5:$C$1004,F960,ABSORCION!$I$5:$I$1004,"&gt;0")=0,"",AVERAGEIFS(ABSORCION!$K$5:$K$1004,ABSORCION!$C$5:$C$1004,F960,ABSORCION!$I$5:$I$1004,"&gt;0")))</f>
        <v/>
      </c>
      <c r="AF960" s="20" t="str">
        <f aca="false">IF(AE960="","",IF(AE960&gt;=CONFIG!$E$21,CONFIG!$F$21,IF(AE960&gt;=CONFIG!$E$20,CONFIG!$F$20,CONFIG!$F$19)))</f>
        <v/>
      </c>
      <c r="AG960" s="21" t="str">
        <f aca="false">IF(F960="","",TRIM(IF(N(M960)=0,"Sin ensayos. ","")&amp;IF(AND(N(M960)&gt;0,N(M960)&lt;CONFIG!$B$26),"Menos de "&amp;CONFIG!$B$26&amp;" probetas. ","")&amp;IF(N(T960)&gt;CONFIG!$B$25,"CV alto. ","")&amp;IF(AND(N(AD960)&gt;0,N(AD960)&gt;N(AF960)),"Absorción alta. ","")))</f>
        <v/>
      </c>
      <c r="AH960" s="22" t="str">
        <f aca="false">IF(AND(N(M960)&gt;0,OR(CONTROL!$C$4="TODAS",C960=CONTROL!$C$4),D960=CONTROL!$C$5),MAX($AH$4:AH959)+1,"")</f>
        <v/>
      </c>
      <c r="AI960" s="22" t="str">
        <f aca="false">IF(AH960="","",P960^2)</f>
        <v/>
      </c>
    </row>
    <row r="961" customFormat="false" ht="15" hidden="false" customHeight="false" outlineLevel="0" collapsed="false">
      <c r="A961" s="11" t="str">
        <f aca="false">IF(B961="","",ROW()-4)</f>
        <v/>
      </c>
      <c r="B961" s="12"/>
      <c r="C961" s="13"/>
      <c r="D961" s="13"/>
      <c r="E961" s="13"/>
      <c r="F961" s="14" t="str">
        <f aca="false">IF(OR(B961="",C961="",D961=""),"",IFERROR(INDEX(CONFIG!$E$5:$E$14,MATCH(D961,CONFIG!$D$5:$D$14,0)),"?")&amp;RIGHT("0"&amp;DAY(B961),2)&amp;RIGHT("0"&amp;MONTH(B961),2)&amp;RIGHT(YEAR(B961),2)&amp;C961&amp;IF(E961="","","-"&amp;E961))</f>
        <v/>
      </c>
      <c r="G961" s="13"/>
      <c r="H961" s="13"/>
      <c r="I961" s="13"/>
      <c r="J961" s="13"/>
      <c r="K961" s="13"/>
      <c r="L961" s="13"/>
      <c r="M961" s="11" t="str">
        <f aca="false">IF(F961="","",COUNTIFS(ENSAYOS!$C$5:$C$3004,F961,ENSAYOS!$Q$5:$Q$3004,"&gt;0"))</f>
        <v/>
      </c>
      <c r="N961" s="15" t="str">
        <f aca="false">IF(N(M961)=0,"",_xlfn.MINIFS(ENSAYOS!$G$5:$G$3004,ENSAYOS!$C$5:$C$3004,F961,ENSAYOS!$Q$5:$Q$3004,"&gt;0"))</f>
        <v/>
      </c>
      <c r="O961" s="15" t="str">
        <f aca="false">IF(N(M961)=0,"",_xlfn.MAXIFS(ENSAYOS!$G$5:$G$3004,ENSAYOS!$C$5:$C$3004,F961,ENSAYOS!$Q$5:$Q$3004,"&gt;0"))</f>
        <v/>
      </c>
      <c r="P961" s="16" t="str">
        <f aca="false">IF(N(M961)=0,"",AVERAGEIFS(ENSAYOS!$Q$5:$Q$3004,ENSAYOS!$C$5:$C$3004,F961,ENSAYOS!$Q$5:$Q$3004,"&gt;0"))</f>
        <v/>
      </c>
      <c r="Q961" s="16" t="str">
        <f aca="false">IF(N(M961)=0,"",_xlfn.MINIFS(ENSAYOS!$Q$5:$Q$3004,ENSAYOS!$C$5:$C$3004,F961,ENSAYOS!$Q$5:$Q$3004,"&gt;0"))</f>
        <v/>
      </c>
      <c r="R961" s="16" t="str">
        <f aca="false">IF(N(M961)=0,"",_xlfn.MAXIFS(ENSAYOS!$Q$5:$Q$3004,ENSAYOS!$C$5:$C$3004,F961,ENSAYOS!$Q$5:$Q$3004,"&gt;0"))</f>
        <v/>
      </c>
      <c r="S961" s="16" t="str">
        <f aca="false">IF(N(M961)&lt;2,"",SQRT(MAX(0,(SUMIFS(ENSAYOS!$X$5:$X$3004,ENSAYOS!$C$5:$C$3004,F961,ENSAYOS!$Q$5:$Q$3004,"&gt;0")-M961*P961^2)/(M961-1))))</f>
        <v/>
      </c>
      <c r="T961" s="17" t="str">
        <f aca="false">IF(S961="","",S961/P961)</f>
        <v/>
      </c>
      <c r="U961" s="16" t="str">
        <f aca="false">IF(N(M961)=0,"",IF(N961&gt;=CONFIG!$B$27,"",AVERAGEIFS(ENSAYOS!$Q$5:$Q$3004,ENSAYOS!$C$5:$C$3004,F961,ENSAYOS!$Q$5:$Q$3004,"&gt;0",ENSAYOS!$G$5:$G$3004,N961)))</f>
        <v/>
      </c>
      <c r="V961" s="16" t="str">
        <f aca="false">IF(N(M961)=0,"",IF(COUNTIFS(ENSAYOS!$C$5:$C$3004,F961,ENSAYOS!$Q$5:$Q$3004,"&gt;0",ENSAYOS!$G$5:$G$3004,"&gt;="&amp;CONFIG!$B$27)=0,"",AVERAGEIFS(ENSAYOS!$Q$5:$Q$3004,ENSAYOS!$C$5:$C$3004,F961,ENSAYOS!$Q$5:$Q$3004,"&gt;0",ENSAYOS!$G$5:$G$3004,"&gt;="&amp;CONFIG!$B$27)))</f>
        <v/>
      </c>
      <c r="W961" s="18" t="str">
        <f aca="false">IF(AND(U961&lt;&gt;"",V961&lt;&gt;""),U961/V961,"")</f>
        <v/>
      </c>
      <c r="X961" s="18" t="str">
        <f aca="false">IF(U961="","",INDEX('CURVA EDAD'!$E$5:$E$32,MIN(28,MAX(1,N961))))</f>
        <v/>
      </c>
      <c r="Y961" s="16" t="str">
        <f aca="false">IF(V961&lt;&gt;"",V961,IF(U961="","",U961/X961))</f>
        <v/>
      </c>
      <c r="Z961" s="16" t="str">
        <f aca="false">IF(V961&lt;&gt;"",_xlfn.MINIFS(ENSAYOS!$Q$5:$Q$3004,ENSAYOS!$C$5:$C$3004,F961,ENSAYOS!$Q$5:$Q$3004,"&gt;0",ENSAYOS!$G$5:$G$3004,"&gt;="&amp;CONFIG!$B$27),IF(U961="","",_xlfn.MINIFS(ENSAYOS!$Q$5:$Q$3004,ENSAYOS!$C$5:$C$3004,F961,ENSAYOS!$Q$5:$Q$3004,"&gt;0",ENSAYOS!$G$5:$G$3004,N961)/X961))</f>
        <v/>
      </c>
      <c r="AA961" s="16" t="str">
        <f aca="false">IF(D961="","",IFERROR(1/(1/INDEX(CONFIG!$J$5:$J$14,MATCH(D961,CONFIG!$D$5:$D$14,0))),""))</f>
        <v/>
      </c>
      <c r="AB961" s="16" t="str">
        <f aca="false">IF(D961="","",IFERROR(1/(1/INDEX(CONFIG!$K$5:$K$14,MATCH(D961,CONFIG!$D$5:$D$14,0))),""))</f>
        <v/>
      </c>
      <c r="AC961" s="19" t="str">
        <f aca="false">IF(N(M961)=0,"",IF(AA961="","Sin spec",IF(AND(Y961&gt;=AA961,OR(AB961="",Z961&gt;=AB961)),"CUMPLE","NO CUMPLE")&amp;IF(V961=""," (est.)","")))</f>
        <v/>
      </c>
      <c r="AD961" s="20" t="str">
        <f aca="false">IF(F961="","",IF(COUNTIFS(ABSORCION!$C$5:$C$1004,F961,ABSORCION!$I$5:$I$1004,"&gt;0")=0,"",AVERAGEIFS(ABSORCION!$I$5:$I$1004,ABSORCION!$C$5:$C$1004,F961,ABSORCION!$I$5:$I$1004,"&gt;0")))</f>
        <v/>
      </c>
      <c r="AE961" s="20" t="str">
        <f aca="false">IF(F961="","",IF(COUNTIFS(ABSORCION!$C$5:$C$1004,F961,ABSORCION!$I$5:$I$1004,"&gt;0")=0,"",AVERAGEIFS(ABSORCION!$K$5:$K$1004,ABSORCION!$C$5:$C$1004,F961,ABSORCION!$I$5:$I$1004,"&gt;0")))</f>
        <v/>
      </c>
      <c r="AF961" s="20" t="str">
        <f aca="false">IF(AE961="","",IF(AE961&gt;=CONFIG!$E$21,CONFIG!$F$21,IF(AE961&gt;=CONFIG!$E$20,CONFIG!$F$20,CONFIG!$F$19)))</f>
        <v/>
      </c>
      <c r="AG961" s="21" t="str">
        <f aca="false">IF(F961="","",TRIM(IF(N(M961)=0,"Sin ensayos. ","")&amp;IF(AND(N(M961)&gt;0,N(M961)&lt;CONFIG!$B$26),"Menos de "&amp;CONFIG!$B$26&amp;" probetas. ","")&amp;IF(N(T961)&gt;CONFIG!$B$25,"CV alto. ","")&amp;IF(AND(N(AD961)&gt;0,N(AD961)&gt;N(AF961)),"Absorción alta. ","")))</f>
        <v/>
      </c>
      <c r="AH961" s="22" t="str">
        <f aca="false">IF(AND(N(M961)&gt;0,OR(CONTROL!$C$4="TODAS",C961=CONTROL!$C$4),D961=CONTROL!$C$5),MAX($AH$4:AH960)+1,"")</f>
        <v/>
      </c>
      <c r="AI961" s="22" t="str">
        <f aca="false">IF(AH961="","",P961^2)</f>
        <v/>
      </c>
    </row>
    <row r="962" customFormat="false" ht="15" hidden="false" customHeight="false" outlineLevel="0" collapsed="false">
      <c r="A962" s="11" t="str">
        <f aca="false">IF(B962="","",ROW()-4)</f>
        <v/>
      </c>
      <c r="B962" s="12"/>
      <c r="C962" s="13"/>
      <c r="D962" s="13"/>
      <c r="E962" s="13"/>
      <c r="F962" s="14" t="str">
        <f aca="false">IF(OR(B962="",C962="",D962=""),"",IFERROR(INDEX(CONFIG!$E$5:$E$14,MATCH(D962,CONFIG!$D$5:$D$14,0)),"?")&amp;RIGHT("0"&amp;DAY(B962),2)&amp;RIGHT("0"&amp;MONTH(B962),2)&amp;RIGHT(YEAR(B962),2)&amp;C962&amp;IF(E962="","","-"&amp;E962))</f>
        <v/>
      </c>
      <c r="G962" s="13"/>
      <c r="H962" s="13"/>
      <c r="I962" s="13"/>
      <c r="J962" s="13"/>
      <c r="K962" s="13"/>
      <c r="L962" s="13"/>
      <c r="M962" s="11" t="str">
        <f aca="false">IF(F962="","",COUNTIFS(ENSAYOS!$C$5:$C$3004,F962,ENSAYOS!$Q$5:$Q$3004,"&gt;0"))</f>
        <v/>
      </c>
      <c r="N962" s="15" t="str">
        <f aca="false">IF(N(M962)=0,"",_xlfn.MINIFS(ENSAYOS!$G$5:$G$3004,ENSAYOS!$C$5:$C$3004,F962,ENSAYOS!$Q$5:$Q$3004,"&gt;0"))</f>
        <v/>
      </c>
      <c r="O962" s="15" t="str">
        <f aca="false">IF(N(M962)=0,"",_xlfn.MAXIFS(ENSAYOS!$G$5:$G$3004,ENSAYOS!$C$5:$C$3004,F962,ENSAYOS!$Q$5:$Q$3004,"&gt;0"))</f>
        <v/>
      </c>
      <c r="P962" s="16" t="str">
        <f aca="false">IF(N(M962)=0,"",AVERAGEIFS(ENSAYOS!$Q$5:$Q$3004,ENSAYOS!$C$5:$C$3004,F962,ENSAYOS!$Q$5:$Q$3004,"&gt;0"))</f>
        <v/>
      </c>
      <c r="Q962" s="16" t="str">
        <f aca="false">IF(N(M962)=0,"",_xlfn.MINIFS(ENSAYOS!$Q$5:$Q$3004,ENSAYOS!$C$5:$C$3004,F962,ENSAYOS!$Q$5:$Q$3004,"&gt;0"))</f>
        <v/>
      </c>
      <c r="R962" s="16" t="str">
        <f aca="false">IF(N(M962)=0,"",_xlfn.MAXIFS(ENSAYOS!$Q$5:$Q$3004,ENSAYOS!$C$5:$C$3004,F962,ENSAYOS!$Q$5:$Q$3004,"&gt;0"))</f>
        <v/>
      </c>
      <c r="S962" s="16" t="str">
        <f aca="false">IF(N(M962)&lt;2,"",SQRT(MAX(0,(SUMIFS(ENSAYOS!$X$5:$X$3004,ENSAYOS!$C$5:$C$3004,F962,ENSAYOS!$Q$5:$Q$3004,"&gt;0")-M962*P962^2)/(M962-1))))</f>
        <v/>
      </c>
      <c r="T962" s="17" t="str">
        <f aca="false">IF(S962="","",S962/P962)</f>
        <v/>
      </c>
      <c r="U962" s="16" t="str">
        <f aca="false">IF(N(M962)=0,"",IF(N962&gt;=CONFIG!$B$27,"",AVERAGEIFS(ENSAYOS!$Q$5:$Q$3004,ENSAYOS!$C$5:$C$3004,F962,ENSAYOS!$Q$5:$Q$3004,"&gt;0",ENSAYOS!$G$5:$G$3004,N962)))</f>
        <v/>
      </c>
      <c r="V962" s="16" t="str">
        <f aca="false">IF(N(M962)=0,"",IF(COUNTIFS(ENSAYOS!$C$5:$C$3004,F962,ENSAYOS!$Q$5:$Q$3004,"&gt;0",ENSAYOS!$G$5:$G$3004,"&gt;="&amp;CONFIG!$B$27)=0,"",AVERAGEIFS(ENSAYOS!$Q$5:$Q$3004,ENSAYOS!$C$5:$C$3004,F962,ENSAYOS!$Q$5:$Q$3004,"&gt;0",ENSAYOS!$G$5:$G$3004,"&gt;="&amp;CONFIG!$B$27)))</f>
        <v/>
      </c>
      <c r="W962" s="18" t="str">
        <f aca="false">IF(AND(U962&lt;&gt;"",V962&lt;&gt;""),U962/V962,"")</f>
        <v/>
      </c>
      <c r="X962" s="18" t="str">
        <f aca="false">IF(U962="","",INDEX('CURVA EDAD'!$E$5:$E$32,MIN(28,MAX(1,N962))))</f>
        <v/>
      </c>
      <c r="Y962" s="16" t="str">
        <f aca="false">IF(V962&lt;&gt;"",V962,IF(U962="","",U962/X962))</f>
        <v/>
      </c>
      <c r="Z962" s="16" t="str">
        <f aca="false">IF(V962&lt;&gt;"",_xlfn.MINIFS(ENSAYOS!$Q$5:$Q$3004,ENSAYOS!$C$5:$C$3004,F962,ENSAYOS!$Q$5:$Q$3004,"&gt;0",ENSAYOS!$G$5:$G$3004,"&gt;="&amp;CONFIG!$B$27),IF(U962="","",_xlfn.MINIFS(ENSAYOS!$Q$5:$Q$3004,ENSAYOS!$C$5:$C$3004,F962,ENSAYOS!$Q$5:$Q$3004,"&gt;0",ENSAYOS!$G$5:$G$3004,N962)/X962))</f>
        <v/>
      </c>
      <c r="AA962" s="16" t="str">
        <f aca="false">IF(D962="","",IFERROR(1/(1/INDEX(CONFIG!$J$5:$J$14,MATCH(D962,CONFIG!$D$5:$D$14,0))),""))</f>
        <v/>
      </c>
      <c r="AB962" s="16" t="str">
        <f aca="false">IF(D962="","",IFERROR(1/(1/INDEX(CONFIG!$K$5:$K$14,MATCH(D962,CONFIG!$D$5:$D$14,0))),""))</f>
        <v/>
      </c>
      <c r="AC962" s="19" t="str">
        <f aca="false">IF(N(M962)=0,"",IF(AA962="","Sin spec",IF(AND(Y962&gt;=AA962,OR(AB962="",Z962&gt;=AB962)),"CUMPLE","NO CUMPLE")&amp;IF(V962=""," (est.)","")))</f>
        <v/>
      </c>
      <c r="AD962" s="20" t="str">
        <f aca="false">IF(F962="","",IF(COUNTIFS(ABSORCION!$C$5:$C$1004,F962,ABSORCION!$I$5:$I$1004,"&gt;0")=0,"",AVERAGEIFS(ABSORCION!$I$5:$I$1004,ABSORCION!$C$5:$C$1004,F962,ABSORCION!$I$5:$I$1004,"&gt;0")))</f>
        <v/>
      </c>
      <c r="AE962" s="20" t="str">
        <f aca="false">IF(F962="","",IF(COUNTIFS(ABSORCION!$C$5:$C$1004,F962,ABSORCION!$I$5:$I$1004,"&gt;0")=0,"",AVERAGEIFS(ABSORCION!$K$5:$K$1004,ABSORCION!$C$5:$C$1004,F962,ABSORCION!$I$5:$I$1004,"&gt;0")))</f>
        <v/>
      </c>
      <c r="AF962" s="20" t="str">
        <f aca="false">IF(AE962="","",IF(AE962&gt;=CONFIG!$E$21,CONFIG!$F$21,IF(AE962&gt;=CONFIG!$E$20,CONFIG!$F$20,CONFIG!$F$19)))</f>
        <v/>
      </c>
      <c r="AG962" s="21" t="str">
        <f aca="false">IF(F962="","",TRIM(IF(N(M962)=0,"Sin ensayos. ","")&amp;IF(AND(N(M962)&gt;0,N(M962)&lt;CONFIG!$B$26),"Menos de "&amp;CONFIG!$B$26&amp;" probetas. ","")&amp;IF(N(T962)&gt;CONFIG!$B$25,"CV alto. ","")&amp;IF(AND(N(AD962)&gt;0,N(AD962)&gt;N(AF962)),"Absorción alta. ","")))</f>
        <v/>
      </c>
      <c r="AH962" s="22" t="str">
        <f aca="false">IF(AND(N(M962)&gt;0,OR(CONTROL!$C$4="TODAS",C962=CONTROL!$C$4),D962=CONTROL!$C$5),MAX($AH$4:AH961)+1,"")</f>
        <v/>
      </c>
      <c r="AI962" s="22" t="str">
        <f aca="false">IF(AH962="","",P962^2)</f>
        <v/>
      </c>
    </row>
    <row r="963" customFormat="false" ht="15" hidden="false" customHeight="false" outlineLevel="0" collapsed="false">
      <c r="A963" s="11" t="str">
        <f aca="false">IF(B963="","",ROW()-4)</f>
        <v/>
      </c>
      <c r="B963" s="12"/>
      <c r="C963" s="13"/>
      <c r="D963" s="13"/>
      <c r="E963" s="13"/>
      <c r="F963" s="14" t="str">
        <f aca="false">IF(OR(B963="",C963="",D963=""),"",IFERROR(INDEX(CONFIG!$E$5:$E$14,MATCH(D963,CONFIG!$D$5:$D$14,0)),"?")&amp;RIGHT("0"&amp;DAY(B963),2)&amp;RIGHT("0"&amp;MONTH(B963),2)&amp;RIGHT(YEAR(B963),2)&amp;C963&amp;IF(E963="","","-"&amp;E963))</f>
        <v/>
      </c>
      <c r="G963" s="13"/>
      <c r="H963" s="13"/>
      <c r="I963" s="13"/>
      <c r="J963" s="13"/>
      <c r="K963" s="13"/>
      <c r="L963" s="13"/>
      <c r="M963" s="11" t="str">
        <f aca="false">IF(F963="","",COUNTIFS(ENSAYOS!$C$5:$C$3004,F963,ENSAYOS!$Q$5:$Q$3004,"&gt;0"))</f>
        <v/>
      </c>
      <c r="N963" s="15" t="str">
        <f aca="false">IF(N(M963)=0,"",_xlfn.MINIFS(ENSAYOS!$G$5:$G$3004,ENSAYOS!$C$5:$C$3004,F963,ENSAYOS!$Q$5:$Q$3004,"&gt;0"))</f>
        <v/>
      </c>
      <c r="O963" s="15" t="str">
        <f aca="false">IF(N(M963)=0,"",_xlfn.MAXIFS(ENSAYOS!$G$5:$G$3004,ENSAYOS!$C$5:$C$3004,F963,ENSAYOS!$Q$5:$Q$3004,"&gt;0"))</f>
        <v/>
      </c>
      <c r="P963" s="16" t="str">
        <f aca="false">IF(N(M963)=0,"",AVERAGEIFS(ENSAYOS!$Q$5:$Q$3004,ENSAYOS!$C$5:$C$3004,F963,ENSAYOS!$Q$5:$Q$3004,"&gt;0"))</f>
        <v/>
      </c>
      <c r="Q963" s="16" t="str">
        <f aca="false">IF(N(M963)=0,"",_xlfn.MINIFS(ENSAYOS!$Q$5:$Q$3004,ENSAYOS!$C$5:$C$3004,F963,ENSAYOS!$Q$5:$Q$3004,"&gt;0"))</f>
        <v/>
      </c>
      <c r="R963" s="16" t="str">
        <f aca="false">IF(N(M963)=0,"",_xlfn.MAXIFS(ENSAYOS!$Q$5:$Q$3004,ENSAYOS!$C$5:$C$3004,F963,ENSAYOS!$Q$5:$Q$3004,"&gt;0"))</f>
        <v/>
      </c>
      <c r="S963" s="16" t="str">
        <f aca="false">IF(N(M963)&lt;2,"",SQRT(MAX(0,(SUMIFS(ENSAYOS!$X$5:$X$3004,ENSAYOS!$C$5:$C$3004,F963,ENSAYOS!$Q$5:$Q$3004,"&gt;0")-M963*P963^2)/(M963-1))))</f>
        <v/>
      </c>
      <c r="T963" s="17" t="str">
        <f aca="false">IF(S963="","",S963/P963)</f>
        <v/>
      </c>
      <c r="U963" s="16" t="str">
        <f aca="false">IF(N(M963)=0,"",IF(N963&gt;=CONFIG!$B$27,"",AVERAGEIFS(ENSAYOS!$Q$5:$Q$3004,ENSAYOS!$C$5:$C$3004,F963,ENSAYOS!$Q$5:$Q$3004,"&gt;0",ENSAYOS!$G$5:$G$3004,N963)))</f>
        <v/>
      </c>
      <c r="V963" s="16" t="str">
        <f aca="false">IF(N(M963)=0,"",IF(COUNTIFS(ENSAYOS!$C$5:$C$3004,F963,ENSAYOS!$Q$5:$Q$3004,"&gt;0",ENSAYOS!$G$5:$G$3004,"&gt;="&amp;CONFIG!$B$27)=0,"",AVERAGEIFS(ENSAYOS!$Q$5:$Q$3004,ENSAYOS!$C$5:$C$3004,F963,ENSAYOS!$Q$5:$Q$3004,"&gt;0",ENSAYOS!$G$5:$G$3004,"&gt;="&amp;CONFIG!$B$27)))</f>
        <v/>
      </c>
      <c r="W963" s="18" t="str">
        <f aca="false">IF(AND(U963&lt;&gt;"",V963&lt;&gt;""),U963/V963,"")</f>
        <v/>
      </c>
      <c r="X963" s="18" t="str">
        <f aca="false">IF(U963="","",INDEX('CURVA EDAD'!$E$5:$E$32,MIN(28,MAX(1,N963))))</f>
        <v/>
      </c>
      <c r="Y963" s="16" t="str">
        <f aca="false">IF(V963&lt;&gt;"",V963,IF(U963="","",U963/X963))</f>
        <v/>
      </c>
      <c r="Z963" s="16" t="str">
        <f aca="false">IF(V963&lt;&gt;"",_xlfn.MINIFS(ENSAYOS!$Q$5:$Q$3004,ENSAYOS!$C$5:$C$3004,F963,ENSAYOS!$Q$5:$Q$3004,"&gt;0",ENSAYOS!$G$5:$G$3004,"&gt;="&amp;CONFIG!$B$27),IF(U963="","",_xlfn.MINIFS(ENSAYOS!$Q$5:$Q$3004,ENSAYOS!$C$5:$C$3004,F963,ENSAYOS!$Q$5:$Q$3004,"&gt;0",ENSAYOS!$G$5:$G$3004,N963)/X963))</f>
        <v/>
      </c>
      <c r="AA963" s="16" t="str">
        <f aca="false">IF(D963="","",IFERROR(1/(1/INDEX(CONFIG!$J$5:$J$14,MATCH(D963,CONFIG!$D$5:$D$14,0))),""))</f>
        <v/>
      </c>
      <c r="AB963" s="16" t="str">
        <f aca="false">IF(D963="","",IFERROR(1/(1/INDEX(CONFIG!$K$5:$K$14,MATCH(D963,CONFIG!$D$5:$D$14,0))),""))</f>
        <v/>
      </c>
      <c r="AC963" s="19" t="str">
        <f aca="false">IF(N(M963)=0,"",IF(AA963="","Sin spec",IF(AND(Y963&gt;=AA963,OR(AB963="",Z963&gt;=AB963)),"CUMPLE","NO CUMPLE")&amp;IF(V963=""," (est.)","")))</f>
        <v/>
      </c>
      <c r="AD963" s="20" t="str">
        <f aca="false">IF(F963="","",IF(COUNTIFS(ABSORCION!$C$5:$C$1004,F963,ABSORCION!$I$5:$I$1004,"&gt;0")=0,"",AVERAGEIFS(ABSORCION!$I$5:$I$1004,ABSORCION!$C$5:$C$1004,F963,ABSORCION!$I$5:$I$1004,"&gt;0")))</f>
        <v/>
      </c>
      <c r="AE963" s="20" t="str">
        <f aca="false">IF(F963="","",IF(COUNTIFS(ABSORCION!$C$5:$C$1004,F963,ABSORCION!$I$5:$I$1004,"&gt;0")=0,"",AVERAGEIFS(ABSORCION!$K$5:$K$1004,ABSORCION!$C$5:$C$1004,F963,ABSORCION!$I$5:$I$1004,"&gt;0")))</f>
        <v/>
      </c>
      <c r="AF963" s="20" t="str">
        <f aca="false">IF(AE963="","",IF(AE963&gt;=CONFIG!$E$21,CONFIG!$F$21,IF(AE963&gt;=CONFIG!$E$20,CONFIG!$F$20,CONFIG!$F$19)))</f>
        <v/>
      </c>
      <c r="AG963" s="21" t="str">
        <f aca="false">IF(F963="","",TRIM(IF(N(M963)=0,"Sin ensayos. ","")&amp;IF(AND(N(M963)&gt;0,N(M963)&lt;CONFIG!$B$26),"Menos de "&amp;CONFIG!$B$26&amp;" probetas. ","")&amp;IF(N(T963)&gt;CONFIG!$B$25,"CV alto. ","")&amp;IF(AND(N(AD963)&gt;0,N(AD963)&gt;N(AF963)),"Absorción alta. ","")))</f>
        <v/>
      </c>
      <c r="AH963" s="22" t="str">
        <f aca="false">IF(AND(N(M963)&gt;0,OR(CONTROL!$C$4="TODAS",C963=CONTROL!$C$4),D963=CONTROL!$C$5),MAX($AH$4:AH962)+1,"")</f>
        <v/>
      </c>
      <c r="AI963" s="22" t="str">
        <f aca="false">IF(AH963="","",P963^2)</f>
        <v/>
      </c>
    </row>
    <row r="964" customFormat="false" ht="15" hidden="false" customHeight="false" outlineLevel="0" collapsed="false">
      <c r="A964" s="11" t="str">
        <f aca="false">IF(B964="","",ROW()-4)</f>
        <v/>
      </c>
      <c r="B964" s="12"/>
      <c r="C964" s="13"/>
      <c r="D964" s="13"/>
      <c r="E964" s="13"/>
      <c r="F964" s="14" t="str">
        <f aca="false">IF(OR(B964="",C964="",D964=""),"",IFERROR(INDEX(CONFIG!$E$5:$E$14,MATCH(D964,CONFIG!$D$5:$D$14,0)),"?")&amp;RIGHT("0"&amp;DAY(B964),2)&amp;RIGHT("0"&amp;MONTH(B964),2)&amp;RIGHT(YEAR(B964),2)&amp;C964&amp;IF(E964="","","-"&amp;E964))</f>
        <v/>
      </c>
      <c r="G964" s="13"/>
      <c r="H964" s="13"/>
      <c r="I964" s="13"/>
      <c r="J964" s="13"/>
      <c r="K964" s="13"/>
      <c r="L964" s="13"/>
      <c r="M964" s="11" t="str">
        <f aca="false">IF(F964="","",COUNTIFS(ENSAYOS!$C$5:$C$3004,F964,ENSAYOS!$Q$5:$Q$3004,"&gt;0"))</f>
        <v/>
      </c>
      <c r="N964" s="15" t="str">
        <f aca="false">IF(N(M964)=0,"",_xlfn.MINIFS(ENSAYOS!$G$5:$G$3004,ENSAYOS!$C$5:$C$3004,F964,ENSAYOS!$Q$5:$Q$3004,"&gt;0"))</f>
        <v/>
      </c>
      <c r="O964" s="15" t="str">
        <f aca="false">IF(N(M964)=0,"",_xlfn.MAXIFS(ENSAYOS!$G$5:$G$3004,ENSAYOS!$C$5:$C$3004,F964,ENSAYOS!$Q$5:$Q$3004,"&gt;0"))</f>
        <v/>
      </c>
      <c r="P964" s="16" t="str">
        <f aca="false">IF(N(M964)=0,"",AVERAGEIFS(ENSAYOS!$Q$5:$Q$3004,ENSAYOS!$C$5:$C$3004,F964,ENSAYOS!$Q$5:$Q$3004,"&gt;0"))</f>
        <v/>
      </c>
      <c r="Q964" s="16" t="str">
        <f aca="false">IF(N(M964)=0,"",_xlfn.MINIFS(ENSAYOS!$Q$5:$Q$3004,ENSAYOS!$C$5:$C$3004,F964,ENSAYOS!$Q$5:$Q$3004,"&gt;0"))</f>
        <v/>
      </c>
      <c r="R964" s="16" t="str">
        <f aca="false">IF(N(M964)=0,"",_xlfn.MAXIFS(ENSAYOS!$Q$5:$Q$3004,ENSAYOS!$C$5:$C$3004,F964,ENSAYOS!$Q$5:$Q$3004,"&gt;0"))</f>
        <v/>
      </c>
      <c r="S964" s="16" t="str">
        <f aca="false">IF(N(M964)&lt;2,"",SQRT(MAX(0,(SUMIFS(ENSAYOS!$X$5:$X$3004,ENSAYOS!$C$5:$C$3004,F964,ENSAYOS!$Q$5:$Q$3004,"&gt;0")-M964*P964^2)/(M964-1))))</f>
        <v/>
      </c>
      <c r="T964" s="17" t="str">
        <f aca="false">IF(S964="","",S964/P964)</f>
        <v/>
      </c>
      <c r="U964" s="16" t="str">
        <f aca="false">IF(N(M964)=0,"",IF(N964&gt;=CONFIG!$B$27,"",AVERAGEIFS(ENSAYOS!$Q$5:$Q$3004,ENSAYOS!$C$5:$C$3004,F964,ENSAYOS!$Q$5:$Q$3004,"&gt;0",ENSAYOS!$G$5:$G$3004,N964)))</f>
        <v/>
      </c>
      <c r="V964" s="16" t="str">
        <f aca="false">IF(N(M964)=0,"",IF(COUNTIFS(ENSAYOS!$C$5:$C$3004,F964,ENSAYOS!$Q$5:$Q$3004,"&gt;0",ENSAYOS!$G$5:$G$3004,"&gt;="&amp;CONFIG!$B$27)=0,"",AVERAGEIFS(ENSAYOS!$Q$5:$Q$3004,ENSAYOS!$C$5:$C$3004,F964,ENSAYOS!$Q$5:$Q$3004,"&gt;0",ENSAYOS!$G$5:$G$3004,"&gt;="&amp;CONFIG!$B$27)))</f>
        <v/>
      </c>
      <c r="W964" s="18" t="str">
        <f aca="false">IF(AND(U964&lt;&gt;"",V964&lt;&gt;""),U964/V964,"")</f>
        <v/>
      </c>
      <c r="X964" s="18" t="str">
        <f aca="false">IF(U964="","",INDEX('CURVA EDAD'!$E$5:$E$32,MIN(28,MAX(1,N964))))</f>
        <v/>
      </c>
      <c r="Y964" s="16" t="str">
        <f aca="false">IF(V964&lt;&gt;"",V964,IF(U964="","",U964/X964))</f>
        <v/>
      </c>
      <c r="Z964" s="16" t="str">
        <f aca="false">IF(V964&lt;&gt;"",_xlfn.MINIFS(ENSAYOS!$Q$5:$Q$3004,ENSAYOS!$C$5:$C$3004,F964,ENSAYOS!$Q$5:$Q$3004,"&gt;0",ENSAYOS!$G$5:$G$3004,"&gt;="&amp;CONFIG!$B$27),IF(U964="","",_xlfn.MINIFS(ENSAYOS!$Q$5:$Q$3004,ENSAYOS!$C$5:$C$3004,F964,ENSAYOS!$Q$5:$Q$3004,"&gt;0",ENSAYOS!$G$5:$G$3004,N964)/X964))</f>
        <v/>
      </c>
      <c r="AA964" s="16" t="str">
        <f aca="false">IF(D964="","",IFERROR(1/(1/INDEX(CONFIG!$J$5:$J$14,MATCH(D964,CONFIG!$D$5:$D$14,0))),""))</f>
        <v/>
      </c>
      <c r="AB964" s="16" t="str">
        <f aca="false">IF(D964="","",IFERROR(1/(1/INDEX(CONFIG!$K$5:$K$14,MATCH(D964,CONFIG!$D$5:$D$14,0))),""))</f>
        <v/>
      </c>
      <c r="AC964" s="19" t="str">
        <f aca="false">IF(N(M964)=0,"",IF(AA964="","Sin spec",IF(AND(Y964&gt;=AA964,OR(AB964="",Z964&gt;=AB964)),"CUMPLE","NO CUMPLE")&amp;IF(V964=""," (est.)","")))</f>
        <v/>
      </c>
      <c r="AD964" s="20" t="str">
        <f aca="false">IF(F964="","",IF(COUNTIFS(ABSORCION!$C$5:$C$1004,F964,ABSORCION!$I$5:$I$1004,"&gt;0")=0,"",AVERAGEIFS(ABSORCION!$I$5:$I$1004,ABSORCION!$C$5:$C$1004,F964,ABSORCION!$I$5:$I$1004,"&gt;0")))</f>
        <v/>
      </c>
      <c r="AE964" s="20" t="str">
        <f aca="false">IF(F964="","",IF(COUNTIFS(ABSORCION!$C$5:$C$1004,F964,ABSORCION!$I$5:$I$1004,"&gt;0")=0,"",AVERAGEIFS(ABSORCION!$K$5:$K$1004,ABSORCION!$C$5:$C$1004,F964,ABSORCION!$I$5:$I$1004,"&gt;0")))</f>
        <v/>
      </c>
      <c r="AF964" s="20" t="str">
        <f aca="false">IF(AE964="","",IF(AE964&gt;=CONFIG!$E$21,CONFIG!$F$21,IF(AE964&gt;=CONFIG!$E$20,CONFIG!$F$20,CONFIG!$F$19)))</f>
        <v/>
      </c>
      <c r="AG964" s="21" t="str">
        <f aca="false">IF(F964="","",TRIM(IF(N(M964)=0,"Sin ensayos. ","")&amp;IF(AND(N(M964)&gt;0,N(M964)&lt;CONFIG!$B$26),"Menos de "&amp;CONFIG!$B$26&amp;" probetas. ","")&amp;IF(N(T964)&gt;CONFIG!$B$25,"CV alto. ","")&amp;IF(AND(N(AD964)&gt;0,N(AD964)&gt;N(AF964)),"Absorción alta. ","")))</f>
        <v/>
      </c>
      <c r="AH964" s="22" t="str">
        <f aca="false">IF(AND(N(M964)&gt;0,OR(CONTROL!$C$4="TODAS",C964=CONTROL!$C$4),D964=CONTROL!$C$5),MAX($AH$4:AH963)+1,"")</f>
        <v/>
      </c>
      <c r="AI964" s="22" t="str">
        <f aca="false">IF(AH964="","",P964^2)</f>
        <v/>
      </c>
    </row>
    <row r="965" customFormat="false" ht="15" hidden="false" customHeight="false" outlineLevel="0" collapsed="false">
      <c r="A965" s="11" t="str">
        <f aca="false">IF(B965="","",ROW()-4)</f>
        <v/>
      </c>
      <c r="B965" s="12"/>
      <c r="C965" s="13"/>
      <c r="D965" s="13"/>
      <c r="E965" s="13"/>
      <c r="F965" s="14" t="str">
        <f aca="false">IF(OR(B965="",C965="",D965=""),"",IFERROR(INDEX(CONFIG!$E$5:$E$14,MATCH(D965,CONFIG!$D$5:$D$14,0)),"?")&amp;RIGHT("0"&amp;DAY(B965),2)&amp;RIGHT("0"&amp;MONTH(B965),2)&amp;RIGHT(YEAR(B965),2)&amp;C965&amp;IF(E965="","","-"&amp;E965))</f>
        <v/>
      </c>
      <c r="G965" s="13"/>
      <c r="H965" s="13"/>
      <c r="I965" s="13"/>
      <c r="J965" s="13"/>
      <c r="K965" s="13"/>
      <c r="L965" s="13"/>
      <c r="M965" s="11" t="str">
        <f aca="false">IF(F965="","",COUNTIFS(ENSAYOS!$C$5:$C$3004,F965,ENSAYOS!$Q$5:$Q$3004,"&gt;0"))</f>
        <v/>
      </c>
      <c r="N965" s="15" t="str">
        <f aca="false">IF(N(M965)=0,"",_xlfn.MINIFS(ENSAYOS!$G$5:$G$3004,ENSAYOS!$C$5:$C$3004,F965,ENSAYOS!$Q$5:$Q$3004,"&gt;0"))</f>
        <v/>
      </c>
      <c r="O965" s="15" t="str">
        <f aca="false">IF(N(M965)=0,"",_xlfn.MAXIFS(ENSAYOS!$G$5:$G$3004,ENSAYOS!$C$5:$C$3004,F965,ENSAYOS!$Q$5:$Q$3004,"&gt;0"))</f>
        <v/>
      </c>
      <c r="P965" s="16" t="str">
        <f aca="false">IF(N(M965)=0,"",AVERAGEIFS(ENSAYOS!$Q$5:$Q$3004,ENSAYOS!$C$5:$C$3004,F965,ENSAYOS!$Q$5:$Q$3004,"&gt;0"))</f>
        <v/>
      </c>
      <c r="Q965" s="16" t="str">
        <f aca="false">IF(N(M965)=0,"",_xlfn.MINIFS(ENSAYOS!$Q$5:$Q$3004,ENSAYOS!$C$5:$C$3004,F965,ENSAYOS!$Q$5:$Q$3004,"&gt;0"))</f>
        <v/>
      </c>
      <c r="R965" s="16" t="str">
        <f aca="false">IF(N(M965)=0,"",_xlfn.MAXIFS(ENSAYOS!$Q$5:$Q$3004,ENSAYOS!$C$5:$C$3004,F965,ENSAYOS!$Q$5:$Q$3004,"&gt;0"))</f>
        <v/>
      </c>
      <c r="S965" s="16" t="str">
        <f aca="false">IF(N(M965)&lt;2,"",SQRT(MAX(0,(SUMIFS(ENSAYOS!$X$5:$X$3004,ENSAYOS!$C$5:$C$3004,F965,ENSAYOS!$Q$5:$Q$3004,"&gt;0")-M965*P965^2)/(M965-1))))</f>
        <v/>
      </c>
      <c r="T965" s="17" t="str">
        <f aca="false">IF(S965="","",S965/P965)</f>
        <v/>
      </c>
      <c r="U965" s="16" t="str">
        <f aca="false">IF(N(M965)=0,"",IF(N965&gt;=CONFIG!$B$27,"",AVERAGEIFS(ENSAYOS!$Q$5:$Q$3004,ENSAYOS!$C$5:$C$3004,F965,ENSAYOS!$Q$5:$Q$3004,"&gt;0",ENSAYOS!$G$5:$G$3004,N965)))</f>
        <v/>
      </c>
      <c r="V965" s="16" t="str">
        <f aca="false">IF(N(M965)=0,"",IF(COUNTIFS(ENSAYOS!$C$5:$C$3004,F965,ENSAYOS!$Q$5:$Q$3004,"&gt;0",ENSAYOS!$G$5:$G$3004,"&gt;="&amp;CONFIG!$B$27)=0,"",AVERAGEIFS(ENSAYOS!$Q$5:$Q$3004,ENSAYOS!$C$5:$C$3004,F965,ENSAYOS!$Q$5:$Q$3004,"&gt;0",ENSAYOS!$G$5:$G$3004,"&gt;="&amp;CONFIG!$B$27)))</f>
        <v/>
      </c>
      <c r="W965" s="18" t="str">
        <f aca="false">IF(AND(U965&lt;&gt;"",V965&lt;&gt;""),U965/V965,"")</f>
        <v/>
      </c>
      <c r="X965" s="18" t="str">
        <f aca="false">IF(U965="","",INDEX('CURVA EDAD'!$E$5:$E$32,MIN(28,MAX(1,N965))))</f>
        <v/>
      </c>
      <c r="Y965" s="16" t="str">
        <f aca="false">IF(V965&lt;&gt;"",V965,IF(U965="","",U965/X965))</f>
        <v/>
      </c>
      <c r="Z965" s="16" t="str">
        <f aca="false">IF(V965&lt;&gt;"",_xlfn.MINIFS(ENSAYOS!$Q$5:$Q$3004,ENSAYOS!$C$5:$C$3004,F965,ENSAYOS!$Q$5:$Q$3004,"&gt;0",ENSAYOS!$G$5:$G$3004,"&gt;="&amp;CONFIG!$B$27),IF(U965="","",_xlfn.MINIFS(ENSAYOS!$Q$5:$Q$3004,ENSAYOS!$C$5:$C$3004,F965,ENSAYOS!$Q$5:$Q$3004,"&gt;0",ENSAYOS!$G$5:$G$3004,N965)/X965))</f>
        <v/>
      </c>
      <c r="AA965" s="16" t="str">
        <f aca="false">IF(D965="","",IFERROR(1/(1/INDEX(CONFIG!$J$5:$J$14,MATCH(D965,CONFIG!$D$5:$D$14,0))),""))</f>
        <v/>
      </c>
      <c r="AB965" s="16" t="str">
        <f aca="false">IF(D965="","",IFERROR(1/(1/INDEX(CONFIG!$K$5:$K$14,MATCH(D965,CONFIG!$D$5:$D$14,0))),""))</f>
        <v/>
      </c>
      <c r="AC965" s="19" t="str">
        <f aca="false">IF(N(M965)=0,"",IF(AA965="","Sin spec",IF(AND(Y965&gt;=AA965,OR(AB965="",Z965&gt;=AB965)),"CUMPLE","NO CUMPLE")&amp;IF(V965=""," (est.)","")))</f>
        <v/>
      </c>
      <c r="AD965" s="20" t="str">
        <f aca="false">IF(F965="","",IF(COUNTIFS(ABSORCION!$C$5:$C$1004,F965,ABSORCION!$I$5:$I$1004,"&gt;0")=0,"",AVERAGEIFS(ABSORCION!$I$5:$I$1004,ABSORCION!$C$5:$C$1004,F965,ABSORCION!$I$5:$I$1004,"&gt;0")))</f>
        <v/>
      </c>
      <c r="AE965" s="20" t="str">
        <f aca="false">IF(F965="","",IF(COUNTIFS(ABSORCION!$C$5:$C$1004,F965,ABSORCION!$I$5:$I$1004,"&gt;0")=0,"",AVERAGEIFS(ABSORCION!$K$5:$K$1004,ABSORCION!$C$5:$C$1004,F965,ABSORCION!$I$5:$I$1004,"&gt;0")))</f>
        <v/>
      </c>
      <c r="AF965" s="20" t="str">
        <f aca="false">IF(AE965="","",IF(AE965&gt;=CONFIG!$E$21,CONFIG!$F$21,IF(AE965&gt;=CONFIG!$E$20,CONFIG!$F$20,CONFIG!$F$19)))</f>
        <v/>
      </c>
      <c r="AG965" s="21" t="str">
        <f aca="false">IF(F965="","",TRIM(IF(N(M965)=0,"Sin ensayos. ","")&amp;IF(AND(N(M965)&gt;0,N(M965)&lt;CONFIG!$B$26),"Menos de "&amp;CONFIG!$B$26&amp;" probetas. ","")&amp;IF(N(T965)&gt;CONFIG!$B$25,"CV alto. ","")&amp;IF(AND(N(AD965)&gt;0,N(AD965)&gt;N(AF965)),"Absorción alta. ","")))</f>
        <v/>
      </c>
      <c r="AH965" s="22" t="str">
        <f aca="false">IF(AND(N(M965)&gt;0,OR(CONTROL!$C$4="TODAS",C965=CONTROL!$C$4),D965=CONTROL!$C$5),MAX($AH$4:AH964)+1,"")</f>
        <v/>
      </c>
      <c r="AI965" s="22" t="str">
        <f aca="false">IF(AH965="","",P965^2)</f>
        <v/>
      </c>
    </row>
    <row r="966" customFormat="false" ht="15" hidden="false" customHeight="false" outlineLevel="0" collapsed="false">
      <c r="A966" s="11" t="str">
        <f aca="false">IF(B966="","",ROW()-4)</f>
        <v/>
      </c>
      <c r="B966" s="12"/>
      <c r="C966" s="13"/>
      <c r="D966" s="13"/>
      <c r="E966" s="13"/>
      <c r="F966" s="14" t="str">
        <f aca="false">IF(OR(B966="",C966="",D966=""),"",IFERROR(INDEX(CONFIG!$E$5:$E$14,MATCH(D966,CONFIG!$D$5:$D$14,0)),"?")&amp;RIGHT("0"&amp;DAY(B966),2)&amp;RIGHT("0"&amp;MONTH(B966),2)&amp;RIGHT(YEAR(B966),2)&amp;C966&amp;IF(E966="","","-"&amp;E966))</f>
        <v/>
      </c>
      <c r="G966" s="13"/>
      <c r="H966" s="13"/>
      <c r="I966" s="13"/>
      <c r="J966" s="13"/>
      <c r="K966" s="13"/>
      <c r="L966" s="13"/>
      <c r="M966" s="11" t="str">
        <f aca="false">IF(F966="","",COUNTIFS(ENSAYOS!$C$5:$C$3004,F966,ENSAYOS!$Q$5:$Q$3004,"&gt;0"))</f>
        <v/>
      </c>
      <c r="N966" s="15" t="str">
        <f aca="false">IF(N(M966)=0,"",_xlfn.MINIFS(ENSAYOS!$G$5:$G$3004,ENSAYOS!$C$5:$C$3004,F966,ENSAYOS!$Q$5:$Q$3004,"&gt;0"))</f>
        <v/>
      </c>
      <c r="O966" s="15" t="str">
        <f aca="false">IF(N(M966)=0,"",_xlfn.MAXIFS(ENSAYOS!$G$5:$G$3004,ENSAYOS!$C$5:$C$3004,F966,ENSAYOS!$Q$5:$Q$3004,"&gt;0"))</f>
        <v/>
      </c>
      <c r="P966" s="16" t="str">
        <f aca="false">IF(N(M966)=0,"",AVERAGEIFS(ENSAYOS!$Q$5:$Q$3004,ENSAYOS!$C$5:$C$3004,F966,ENSAYOS!$Q$5:$Q$3004,"&gt;0"))</f>
        <v/>
      </c>
      <c r="Q966" s="16" t="str">
        <f aca="false">IF(N(M966)=0,"",_xlfn.MINIFS(ENSAYOS!$Q$5:$Q$3004,ENSAYOS!$C$5:$C$3004,F966,ENSAYOS!$Q$5:$Q$3004,"&gt;0"))</f>
        <v/>
      </c>
      <c r="R966" s="16" t="str">
        <f aca="false">IF(N(M966)=0,"",_xlfn.MAXIFS(ENSAYOS!$Q$5:$Q$3004,ENSAYOS!$C$5:$C$3004,F966,ENSAYOS!$Q$5:$Q$3004,"&gt;0"))</f>
        <v/>
      </c>
      <c r="S966" s="16" t="str">
        <f aca="false">IF(N(M966)&lt;2,"",SQRT(MAX(0,(SUMIFS(ENSAYOS!$X$5:$X$3004,ENSAYOS!$C$5:$C$3004,F966,ENSAYOS!$Q$5:$Q$3004,"&gt;0")-M966*P966^2)/(M966-1))))</f>
        <v/>
      </c>
      <c r="T966" s="17" t="str">
        <f aca="false">IF(S966="","",S966/P966)</f>
        <v/>
      </c>
      <c r="U966" s="16" t="str">
        <f aca="false">IF(N(M966)=0,"",IF(N966&gt;=CONFIG!$B$27,"",AVERAGEIFS(ENSAYOS!$Q$5:$Q$3004,ENSAYOS!$C$5:$C$3004,F966,ENSAYOS!$Q$5:$Q$3004,"&gt;0",ENSAYOS!$G$5:$G$3004,N966)))</f>
        <v/>
      </c>
      <c r="V966" s="16" t="str">
        <f aca="false">IF(N(M966)=0,"",IF(COUNTIFS(ENSAYOS!$C$5:$C$3004,F966,ENSAYOS!$Q$5:$Q$3004,"&gt;0",ENSAYOS!$G$5:$G$3004,"&gt;="&amp;CONFIG!$B$27)=0,"",AVERAGEIFS(ENSAYOS!$Q$5:$Q$3004,ENSAYOS!$C$5:$C$3004,F966,ENSAYOS!$Q$5:$Q$3004,"&gt;0",ENSAYOS!$G$5:$G$3004,"&gt;="&amp;CONFIG!$B$27)))</f>
        <v/>
      </c>
      <c r="W966" s="18" t="str">
        <f aca="false">IF(AND(U966&lt;&gt;"",V966&lt;&gt;""),U966/V966,"")</f>
        <v/>
      </c>
      <c r="X966" s="18" t="str">
        <f aca="false">IF(U966="","",INDEX('CURVA EDAD'!$E$5:$E$32,MIN(28,MAX(1,N966))))</f>
        <v/>
      </c>
      <c r="Y966" s="16" t="str">
        <f aca="false">IF(V966&lt;&gt;"",V966,IF(U966="","",U966/X966))</f>
        <v/>
      </c>
      <c r="Z966" s="16" t="str">
        <f aca="false">IF(V966&lt;&gt;"",_xlfn.MINIFS(ENSAYOS!$Q$5:$Q$3004,ENSAYOS!$C$5:$C$3004,F966,ENSAYOS!$Q$5:$Q$3004,"&gt;0",ENSAYOS!$G$5:$G$3004,"&gt;="&amp;CONFIG!$B$27),IF(U966="","",_xlfn.MINIFS(ENSAYOS!$Q$5:$Q$3004,ENSAYOS!$C$5:$C$3004,F966,ENSAYOS!$Q$5:$Q$3004,"&gt;0",ENSAYOS!$G$5:$G$3004,N966)/X966))</f>
        <v/>
      </c>
      <c r="AA966" s="16" t="str">
        <f aca="false">IF(D966="","",IFERROR(1/(1/INDEX(CONFIG!$J$5:$J$14,MATCH(D966,CONFIG!$D$5:$D$14,0))),""))</f>
        <v/>
      </c>
      <c r="AB966" s="16" t="str">
        <f aca="false">IF(D966="","",IFERROR(1/(1/INDEX(CONFIG!$K$5:$K$14,MATCH(D966,CONFIG!$D$5:$D$14,0))),""))</f>
        <v/>
      </c>
      <c r="AC966" s="19" t="str">
        <f aca="false">IF(N(M966)=0,"",IF(AA966="","Sin spec",IF(AND(Y966&gt;=AA966,OR(AB966="",Z966&gt;=AB966)),"CUMPLE","NO CUMPLE")&amp;IF(V966=""," (est.)","")))</f>
        <v/>
      </c>
      <c r="AD966" s="20" t="str">
        <f aca="false">IF(F966="","",IF(COUNTIFS(ABSORCION!$C$5:$C$1004,F966,ABSORCION!$I$5:$I$1004,"&gt;0")=0,"",AVERAGEIFS(ABSORCION!$I$5:$I$1004,ABSORCION!$C$5:$C$1004,F966,ABSORCION!$I$5:$I$1004,"&gt;0")))</f>
        <v/>
      </c>
      <c r="AE966" s="20" t="str">
        <f aca="false">IF(F966="","",IF(COUNTIFS(ABSORCION!$C$5:$C$1004,F966,ABSORCION!$I$5:$I$1004,"&gt;0")=0,"",AVERAGEIFS(ABSORCION!$K$5:$K$1004,ABSORCION!$C$5:$C$1004,F966,ABSORCION!$I$5:$I$1004,"&gt;0")))</f>
        <v/>
      </c>
      <c r="AF966" s="20" t="str">
        <f aca="false">IF(AE966="","",IF(AE966&gt;=CONFIG!$E$21,CONFIG!$F$21,IF(AE966&gt;=CONFIG!$E$20,CONFIG!$F$20,CONFIG!$F$19)))</f>
        <v/>
      </c>
      <c r="AG966" s="21" t="str">
        <f aca="false">IF(F966="","",TRIM(IF(N(M966)=0,"Sin ensayos. ","")&amp;IF(AND(N(M966)&gt;0,N(M966)&lt;CONFIG!$B$26),"Menos de "&amp;CONFIG!$B$26&amp;" probetas. ","")&amp;IF(N(T966)&gt;CONFIG!$B$25,"CV alto. ","")&amp;IF(AND(N(AD966)&gt;0,N(AD966)&gt;N(AF966)),"Absorción alta. ","")))</f>
        <v/>
      </c>
      <c r="AH966" s="22" t="str">
        <f aca="false">IF(AND(N(M966)&gt;0,OR(CONTROL!$C$4="TODAS",C966=CONTROL!$C$4),D966=CONTROL!$C$5),MAX($AH$4:AH965)+1,"")</f>
        <v/>
      </c>
      <c r="AI966" s="22" t="str">
        <f aca="false">IF(AH966="","",P966^2)</f>
        <v/>
      </c>
    </row>
    <row r="967" customFormat="false" ht="15" hidden="false" customHeight="false" outlineLevel="0" collapsed="false">
      <c r="A967" s="11" t="str">
        <f aca="false">IF(B967="","",ROW()-4)</f>
        <v/>
      </c>
      <c r="B967" s="12"/>
      <c r="C967" s="13"/>
      <c r="D967" s="13"/>
      <c r="E967" s="13"/>
      <c r="F967" s="14" t="str">
        <f aca="false">IF(OR(B967="",C967="",D967=""),"",IFERROR(INDEX(CONFIG!$E$5:$E$14,MATCH(D967,CONFIG!$D$5:$D$14,0)),"?")&amp;RIGHT("0"&amp;DAY(B967),2)&amp;RIGHT("0"&amp;MONTH(B967),2)&amp;RIGHT(YEAR(B967),2)&amp;C967&amp;IF(E967="","","-"&amp;E967))</f>
        <v/>
      </c>
      <c r="G967" s="13"/>
      <c r="H967" s="13"/>
      <c r="I967" s="13"/>
      <c r="J967" s="13"/>
      <c r="K967" s="13"/>
      <c r="L967" s="13"/>
      <c r="M967" s="11" t="str">
        <f aca="false">IF(F967="","",COUNTIFS(ENSAYOS!$C$5:$C$3004,F967,ENSAYOS!$Q$5:$Q$3004,"&gt;0"))</f>
        <v/>
      </c>
      <c r="N967" s="15" t="str">
        <f aca="false">IF(N(M967)=0,"",_xlfn.MINIFS(ENSAYOS!$G$5:$G$3004,ENSAYOS!$C$5:$C$3004,F967,ENSAYOS!$Q$5:$Q$3004,"&gt;0"))</f>
        <v/>
      </c>
      <c r="O967" s="15" t="str">
        <f aca="false">IF(N(M967)=0,"",_xlfn.MAXIFS(ENSAYOS!$G$5:$G$3004,ENSAYOS!$C$5:$C$3004,F967,ENSAYOS!$Q$5:$Q$3004,"&gt;0"))</f>
        <v/>
      </c>
      <c r="P967" s="16" t="str">
        <f aca="false">IF(N(M967)=0,"",AVERAGEIFS(ENSAYOS!$Q$5:$Q$3004,ENSAYOS!$C$5:$C$3004,F967,ENSAYOS!$Q$5:$Q$3004,"&gt;0"))</f>
        <v/>
      </c>
      <c r="Q967" s="16" t="str">
        <f aca="false">IF(N(M967)=0,"",_xlfn.MINIFS(ENSAYOS!$Q$5:$Q$3004,ENSAYOS!$C$5:$C$3004,F967,ENSAYOS!$Q$5:$Q$3004,"&gt;0"))</f>
        <v/>
      </c>
      <c r="R967" s="16" t="str">
        <f aca="false">IF(N(M967)=0,"",_xlfn.MAXIFS(ENSAYOS!$Q$5:$Q$3004,ENSAYOS!$C$5:$C$3004,F967,ENSAYOS!$Q$5:$Q$3004,"&gt;0"))</f>
        <v/>
      </c>
      <c r="S967" s="16" t="str">
        <f aca="false">IF(N(M967)&lt;2,"",SQRT(MAX(0,(SUMIFS(ENSAYOS!$X$5:$X$3004,ENSAYOS!$C$5:$C$3004,F967,ENSAYOS!$Q$5:$Q$3004,"&gt;0")-M967*P967^2)/(M967-1))))</f>
        <v/>
      </c>
      <c r="T967" s="17" t="str">
        <f aca="false">IF(S967="","",S967/P967)</f>
        <v/>
      </c>
      <c r="U967" s="16" t="str">
        <f aca="false">IF(N(M967)=0,"",IF(N967&gt;=CONFIG!$B$27,"",AVERAGEIFS(ENSAYOS!$Q$5:$Q$3004,ENSAYOS!$C$5:$C$3004,F967,ENSAYOS!$Q$5:$Q$3004,"&gt;0",ENSAYOS!$G$5:$G$3004,N967)))</f>
        <v/>
      </c>
      <c r="V967" s="16" t="str">
        <f aca="false">IF(N(M967)=0,"",IF(COUNTIFS(ENSAYOS!$C$5:$C$3004,F967,ENSAYOS!$Q$5:$Q$3004,"&gt;0",ENSAYOS!$G$5:$G$3004,"&gt;="&amp;CONFIG!$B$27)=0,"",AVERAGEIFS(ENSAYOS!$Q$5:$Q$3004,ENSAYOS!$C$5:$C$3004,F967,ENSAYOS!$Q$5:$Q$3004,"&gt;0",ENSAYOS!$G$5:$G$3004,"&gt;="&amp;CONFIG!$B$27)))</f>
        <v/>
      </c>
      <c r="W967" s="18" t="str">
        <f aca="false">IF(AND(U967&lt;&gt;"",V967&lt;&gt;""),U967/V967,"")</f>
        <v/>
      </c>
      <c r="X967" s="18" t="str">
        <f aca="false">IF(U967="","",INDEX('CURVA EDAD'!$E$5:$E$32,MIN(28,MAX(1,N967))))</f>
        <v/>
      </c>
      <c r="Y967" s="16" t="str">
        <f aca="false">IF(V967&lt;&gt;"",V967,IF(U967="","",U967/X967))</f>
        <v/>
      </c>
      <c r="Z967" s="16" t="str">
        <f aca="false">IF(V967&lt;&gt;"",_xlfn.MINIFS(ENSAYOS!$Q$5:$Q$3004,ENSAYOS!$C$5:$C$3004,F967,ENSAYOS!$Q$5:$Q$3004,"&gt;0",ENSAYOS!$G$5:$G$3004,"&gt;="&amp;CONFIG!$B$27),IF(U967="","",_xlfn.MINIFS(ENSAYOS!$Q$5:$Q$3004,ENSAYOS!$C$5:$C$3004,F967,ENSAYOS!$Q$5:$Q$3004,"&gt;0",ENSAYOS!$G$5:$G$3004,N967)/X967))</f>
        <v/>
      </c>
      <c r="AA967" s="16" t="str">
        <f aca="false">IF(D967="","",IFERROR(1/(1/INDEX(CONFIG!$J$5:$J$14,MATCH(D967,CONFIG!$D$5:$D$14,0))),""))</f>
        <v/>
      </c>
      <c r="AB967" s="16" t="str">
        <f aca="false">IF(D967="","",IFERROR(1/(1/INDEX(CONFIG!$K$5:$K$14,MATCH(D967,CONFIG!$D$5:$D$14,0))),""))</f>
        <v/>
      </c>
      <c r="AC967" s="19" t="str">
        <f aca="false">IF(N(M967)=0,"",IF(AA967="","Sin spec",IF(AND(Y967&gt;=AA967,OR(AB967="",Z967&gt;=AB967)),"CUMPLE","NO CUMPLE")&amp;IF(V967=""," (est.)","")))</f>
        <v/>
      </c>
      <c r="AD967" s="20" t="str">
        <f aca="false">IF(F967="","",IF(COUNTIFS(ABSORCION!$C$5:$C$1004,F967,ABSORCION!$I$5:$I$1004,"&gt;0")=0,"",AVERAGEIFS(ABSORCION!$I$5:$I$1004,ABSORCION!$C$5:$C$1004,F967,ABSORCION!$I$5:$I$1004,"&gt;0")))</f>
        <v/>
      </c>
      <c r="AE967" s="20" t="str">
        <f aca="false">IF(F967="","",IF(COUNTIFS(ABSORCION!$C$5:$C$1004,F967,ABSORCION!$I$5:$I$1004,"&gt;0")=0,"",AVERAGEIFS(ABSORCION!$K$5:$K$1004,ABSORCION!$C$5:$C$1004,F967,ABSORCION!$I$5:$I$1004,"&gt;0")))</f>
        <v/>
      </c>
      <c r="AF967" s="20" t="str">
        <f aca="false">IF(AE967="","",IF(AE967&gt;=CONFIG!$E$21,CONFIG!$F$21,IF(AE967&gt;=CONFIG!$E$20,CONFIG!$F$20,CONFIG!$F$19)))</f>
        <v/>
      </c>
      <c r="AG967" s="21" t="str">
        <f aca="false">IF(F967="","",TRIM(IF(N(M967)=0,"Sin ensayos. ","")&amp;IF(AND(N(M967)&gt;0,N(M967)&lt;CONFIG!$B$26),"Menos de "&amp;CONFIG!$B$26&amp;" probetas. ","")&amp;IF(N(T967)&gt;CONFIG!$B$25,"CV alto. ","")&amp;IF(AND(N(AD967)&gt;0,N(AD967)&gt;N(AF967)),"Absorción alta. ","")))</f>
        <v/>
      </c>
      <c r="AH967" s="22" t="str">
        <f aca="false">IF(AND(N(M967)&gt;0,OR(CONTROL!$C$4="TODAS",C967=CONTROL!$C$4),D967=CONTROL!$C$5),MAX($AH$4:AH966)+1,"")</f>
        <v/>
      </c>
      <c r="AI967" s="22" t="str">
        <f aca="false">IF(AH967="","",P967^2)</f>
        <v/>
      </c>
    </row>
    <row r="968" customFormat="false" ht="15" hidden="false" customHeight="false" outlineLevel="0" collapsed="false">
      <c r="A968" s="11" t="str">
        <f aca="false">IF(B968="","",ROW()-4)</f>
        <v/>
      </c>
      <c r="B968" s="12"/>
      <c r="C968" s="13"/>
      <c r="D968" s="13"/>
      <c r="E968" s="13"/>
      <c r="F968" s="14" t="str">
        <f aca="false">IF(OR(B968="",C968="",D968=""),"",IFERROR(INDEX(CONFIG!$E$5:$E$14,MATCH(D968,CONFIG!$D$5:$D$14,0)),"?")&amp;RIGHT("0"&amp;DAY(B968),2)&amp;RIGHT("0"&amp;MONTH(B968),2)&amp;RIGHT(YEAR(B968),2)&amp;C968&amp;IF(E968="","","-"&amp;E968))</f>
        <v/>
      </c>
      <c r="G968" s="13"/>
      <c r="H968" s="13"/>
      <c r="I968" s="13"/>
      <c r="J968" s="13"/>
      <c r="K968" s="13"/>
      <c r="L968" s="13"/>
      <c r="M968" s="11" t="str">
        <f aca="false">IF(F968="","",COUNTIFS(ENSAYOS!$C$5:$C$3004,F968,ENSAYOS!$Q$5:$Q$3004,"&gt;0"))</f>
        <v/>
      </c>
      <c r="N968" s="15" t="str">
        <f aca="false">IF(N(M968)=0,"",_xlfn.MINIFS(ENSAYOS!$G$5:$G$3004,ENSAYOS!$C$5:$C$3004,F968,ENSAYOS!$Q$5:$Q$3004,"&gt;0"))</f>
        <v/>
      </c>
      <c r="O968" s="15" t="str">
        <f aca="false">IF(N(M968)=0,"",_xlfn.MAXIFS(ENSAYOS!$G$5:$G$3004,ENSAYOS!$C$5:$C$3004,F968,ENSAYOS!$Q$5:$Q$3004,"&gt;0"))</f>
        <v/>
      </c>
      <c r="P968" s="16" t="str">
        <f aca="false">IF(N(M968)=0,"",AVERAGEIFS(ENSAYOS!$Q$5:$Q$3004,ENSAYOS!$C$5:$C$3004,F968,ENSAYOS!$Q$5:$Q$3004,"&gt;0"))</f>
        <v/>
      </c>
      <c r="Q968" s="16" t="str">
        <f aca="false">IF(N(M968)=0,"",_xlfn.MINIFS(ENSAYOS!$Q$5:$Q$3004,ENSAYOS!$C$5:$C$3004,F968,ENSAYOS!$Q$5:$Q$3004,"&gt;0"))</f>
        <v/>
      </c>
      <c r="R968" s="16" t="str">
        <f aca="false">IF(N(M968)=0,"",_xlfn.MAXIFS(ENSAYOS!$Q$5:$Q$3004,ENSAYOS!$C$5:$C$3004,F968,ENSAYOS!$Q$5:$Q$3004,"&gt;0"))</f>
        <v/>
      </c>
      <c r="S968" s="16" t="str">
        <f aca="false">IF(N(M968)&lt;2,"",SQRT(MAX(0,(SUMIFS(ENSAYOS!$X$5:$X$3004,ENSAYOS!$C$5:$C$3004,F968,ENSAYOS!$Q$5:$Q$3004,"&gt;0")-M968*P968^2)/(M968-1))))</f>
        <v/>
      </c>
      <c r="T968" s="17" t="str">
        <f aca="false">IF(S968="","",S968/P968)</f>
        <v/>
      </c>
      <c r="U968" s="16" t="str">
        <f aca="false">IF(N(M968)=0,"",IF(N968&gt;=CONFIG!$B$27,"",AVERAGEIFS(ENSAYOS!$Q$5:$Q$3004,ENSAYOS!$C$5:$C$3004,F968,ENSAYOS!$Q$5:$Q$3004,"&gt;0",ENSAYOS!$G$5:$G$3004,N968)))</f>
        <v/>
      </c>
      <c r="V968" s="16" t="str">
        <f aca="false">IF(N(M968)=0,"",IF(COUNTIFS(ENSAYOS!$C$5:$C$3004,F968,ENSAYOS!$Q$5:$Q$3004,"&gt;0",ENSAYOS!$G$5:$G$3004,"&gt;="&amp;CONFIG!$B$27)=0,"",AVERAGEIFS(ENSAYOS!$Q$5:$Q$3004,ENSAYOS!$C$5:$C$3004,F968,ENSAYOS!$Q$5:$Q$3004,"&gt;0",ENSAYOS!$G$5:$G$3004,"&gt;="&amp;CONFIG!$B$27)))</f>
        <v/>
      </c>
      <c r="W968" s="18" t="str">
        <f aca="false">IF(AND(U968&lt;&gt;"",V968&lt;&gt;""),U968/V968,"")</f>
        <v/>
      </c>
      <c r="X968" s="18" t="str">
        <f aca="false">IF(U968="","",INDEX('CURVA EDAD'!$E$5:$E$32,MIN(28,MAX(1,N968))))</f>
        <v/>
      </c>
      <c r="Y968" s="16" t="str">
        <f aca="false">IF(V968&lt;&gt;"",V968,IF(U968="","",U968/X968))</f>
        <v/>
      </c>
      <c r="Z968" s="16" t="str">
        <f aca="false">IF(V968&lt;&gt;"",_xlfn.MINIFS(ENSAYOS!$Q$5:$Q$3004,ENSAYOS!$C$5:$C$3004,F968,ENSAYOS!$Q$5:$Q$3004,"&gt;0",ENSAYOS!$G$5:$G$3004,"&gt;="&amp;CONFIG!$B$27),IF(U968="","",_xlfn.MINIFS(ENSAYOS!$Q$5:$Q$3004,ENSAYOS!$C$5:$C$3004,F968,ENSAYOS!$Q$5:$Q$3004,"&gt;0",ENSAYOS!$G$5:$G$3004,N968)/X968))</f>
        <v/>
      </c>
      <c r="AA968" s="16" t="str">
        <f aca="false">IF(D968="","",IFERROR(1/(1/INDEX(CONFIG!$J$5:$J$14,MATCH(D968,CONFIG!$D$5:$D$14,0))),""))</f>
        <v/>
      </c>
      <c r="AB968" s="16" t="str">
        <f aca="false">IF(D968="","",IFERROR(1/(1/INDEX(CONFIG!$K$5:$K$14,MATCH(D968,CONFIG!$D$5:$D$14,0))),""))</f>
        <v/>
      </c>
      <c r="AC968" s="19" t="str">
        <f aca="false">IF(N(M968)=0,"",IF(AA968="","Sin spec",IF(AND(Y968&gt;=AA968,OR(AB968="",Z968&gt;=AB968)),"CUMPLE","NO CUMPLE")&amp;IF(V968=""," (est.)","")))</f>
        <v/>
      </c>
      <c r="AD968" s="20" t="str">
        <f aca="false">IF(F968="","",IF(COUNTIFS(ABSORCION!$C$5:$C$1004,F968,ABSORCION!$I$5:$I$1004,"&gt;0")=0,"",AVERAGEIFS(ABSORCION!$I$5:$I$1004,ABSORCION!$C$5:$C$1004,F968,ABSORCION!$I$5:$I$1004,"&gt;0")))</f>
        <v/>
      </c>
      <c r="AE968" s="20" t="str">
        <f aca="false">IF(F968="","",IF(COUNTIFS(ABSORCION!$C$5:$C$1004,F968,ABSORCION!$I$5:$I$1004,"&gt;0")=0,"",AVERAGEIFS(ABSORCION!$K$5:$K$1004,ABSORCION!$C$5:$C$1004,F968,ABSORCION!$I$5:$I$1004,"&gt;0")))</f>
        <v/>
      </c>
      <c r="AF968" s="20" t="str">
        <f aca="false">IF(AE968="","",IF(AE968&gt;=CONFIG!$E$21,CONFIG!$F$21,IF(AE968&gt;=CONFIG!$E$20,CONFIG!$F$20,CONFIG!$F$19)))</f>
        <v/>
      </c>
      <c r="AG968" s="21" t="str">
        <f aca="false">IF(F968="","",TRIM(IF(N(M968)=0,"Sin ensayos. ","")&amp;IF(AND(N(M968)&gt;0,N(M968)&lt;CONFIG!$B$26),"Menos de "&amp;CONFIG!$B$26&amp;" probetas. ","")&amp;IF(N(T968)&gt;CONFIG!$B$25,"CV alto. ","")&amp;IF(AND(N(AD968)&gt;0,N(AD968)&gt;N(AF968)),"Absorción alta. ","")))</f>
        <v/>
      </c>
      <c r="AH968" s="22" t="str">
        <f aca="false">IF(AND(N(M968)&gt;0,OR(CONTROL!$C$4="TODAS",C968=CONTROL!$C$4),D968=CONTROL!$C$5),MAX($AH$4:AH967)+1,"")</f>
        <v/>
      </c>
      <c r="AI968" s="22" t="str">
        <f aca="false">IF(AH968="","",P968^2)</f>
        <v/>
      </c>
    </row>
    <row r="969" customFormat="false" ht="15" hidden="false" customHeight="false" outlineLevel="0" collapsed="false">
      <c r="A969" s="11" t="str">
        <f aca="false">IF(B969="","",ROW()-4)</f>
        <v/>
      </c>
      <c r="B969" s="12"/>
      <c r="C969" s="13"/>
      <c r="D969" s="13"/>
      <c r="E969" s="13"/>
      <c r="F969" s="14" t="str">
        <f aca="false">IF(OR(B969="",C969="",D969=""),"",IFERROR(INDEX(CONFIG!$E$5:$E$14,MATCH(D969,CONFIG!$D$5:$D$14,0)),"?")&amp;RIGHT("0"&amp;DAY(B969),2)&amp;RIGHT("0"&amp;MONTH(B969),2)&amp;RIGHT(YEAR(B969),2)&amp;C969&amp;IF(E969="","","-"&amp;E969))</f>
        <v/>
      </c>
      <c r="G969" s="13"/>
      <c r="H969" s="13"/>
      <c r="I969" s="13"/>
      <c r="J969" s="13"/>
      <c r="K969" s="13"/>
      <c r="L969" s="13"/>
      <c r="M969" s="11" t="str">
        <f aca="false">IF(F969="","",COUNTIFS(ENSAYOS!$C$5:$C$3004,F969,ENSAYOS!$Q$5:$Q$3004,"&gt;0"))</f>
        <v/>
      </c>
      <c r="N969" s="15" t="str">
        <f aca="false">IF(N(M969)=0,"",_xlfn.MINIFS(ENSAYOS!$G$5:$G$3004,ENSAYOS!$C$5:$C$3004,F969,ENSAYOS!$Q$5:$Q$3004,"&gt;0"))</f>
        <v/>
      </c>
      <c r="O969" s="15" t="str">
        <f aca="false">IF(N(M969)=0,"",_xlfn.MAXIFS(ENSAYOS!$G$5:$G$3004,ENSAYOS!$C$5:$C$3004,F969,ENSAYOS!$Q$5:$Q$3004,"&gt;0"))</f>
        <v/>
      </c>
      <c r="P969" s="16" t="str">
        <f aca="false">IF(N(M969)=0,"",AVERAGEIFS(ENSAYOS!$Q$5:$Q$3004,ENSAYOS!$C$5:$C$3004,F969,ENSAYOS!$Q$5:$Q$3004,"&gt;0"))</f>
        <v/>
      </c>
      <c r="Q969" s="16" t="str">
        <f aca="false">IF(N(M969)=0,"",_xlfn.MINIFS(ENSAYOS!$Q$5:$Q$3004,ENSAYOS!$C$5:$C$3004,F969,ENSAYOS!$Q$5:$Q$3004,"&gt;0"))</f>
        <v/>
      </c>
      <c r="R969" s="16" t="str">
        <f aca="false">IF(N(M969)=0,"",_xlfn.MAXIFS(ENSAYOS!$Q$5:$Q$3004,ENSAYOS!$C$5:$C$3004,F969,ENSAYOS!$Q$5:$Q$3004,"&gt;0"))</f>
        <v/>
      </c>
      <c r="S969" s="16" t="str">
        <f aca="false">IF(N(M969)&lt;2,"",SQRT(MAX(0,(SUMIFS(ENSAYOS!$X$5:$X$3004,ENSAYOS!$C$5:$C$3004,F969,ENSAYOS!$Q$5:$Q$3004,"&gt;0")-M969*P969^2)/(M969-1))))</f>
        <v/>
      </c>
      <c r="T969" s="17" t="str">
        <f aca="false">IF(S969="","",S969/P969)</f>
        <v/>
      </c>
      <c r="U969" s="16" t="str">
        <f aca="false">IF(N(M969)=0,"",IF(N969&gt;=CONFIG!$B$27,"",AVERAGEIFS(ENSAYOS!$Q$5:$Q$3004,ENSAYOS!$C$5:$C$3004,F969,ENSAYOS!$Q$5:$Q$3004,"&gt;0",ENSAYOS!$G$5:$G$3004,N969)))</f>
        <v/>
      </c>
      <c r="V969" s="16" t="str">
        <f aca="false">IF(N(M969)=0,"",IF(COUNTIFS(ENSAYOS!$C$5:$C$3004,F969,ENSAYOS!$Q$5:$Q$3004,"&gt;0",ENSAYOS!$G$5:$G$3004,"&gt;="&amp;CONFIG!$B$27)=0,"",AVERAGEIFS(ENSAYOS!$Q$5:$Q$3004,ENSAYOS!$C$5:$C$3004,F969,ENSAYOS!$Q$5:$Q$3004,"&gt;0",ENSAYOS!$G$5:$G$3004,"&gt;="&amp;CONFIG!$B$27)))</f>
        <v/>
      </c>
      <c r="W969" s="18" t="str">
        <f aca="false">IF(AND(U969&lt;&gt;"",V969&lt;&gt;""),U969/V969,"")</f>
        <v/>
      </c>
      <c r="X969" s="18" t="str">
        <f aca="false">IF(U969="","",INDEX('CURVA EDAD'!$E$5:$E$32,MIN(28,MAX(1,N969))))</f>
        <v/>
      </c>
      <c r="Y969" s="16" t="str">
        <f aca="false">IF(V969&lt;&gt;"",V969,IF(U969="","",U969/X969))</f>
        <v/>
      </c>
      <c r="Z969" s="16" t="str">
        <f aca="false">IF(V969&lt;&gt;"",_xlfn.MINIFS(ENSAYOS!$Q$5:$Q$3004,ENSAYOS!$C$5:$C$3004,F969,ENSAYOS!$Q$5:$Q$3004,"&gt;0",ENSAYOS!$G$5:$G$3004,"&gt;="&amp;CONFIG!$B$27),IF(U969="","",_xlfn.MINIFS(ENSAYOS!$Q$5:$Q$3004,ENSAYOS!$C$5:$C$3004,F969,ENSAYOS!$Q$5:$Q$3004,"&gt;0",ENSAYOS!$G$5:$G$3004,N969)/X969))</f>
        <v/>
      </c>
      <c r="AA969" s="16" t="str">
        <f aca="false">IF(D969="","",IFERROR(1/(1/INDEX(CONFIG!$J$5:$J$14,MATCH(D969,CONFIG!$D$5:$D$14,0))),""))</f>
        <v/>
      </c>
      <c r="AB969" s="16" t="str">
        <f aca="false">IF(D969="","",IFERROR(1/(1/INDEX(CONFIG!$K$5:$K$14,MATCH(D969,CONFIG!$D$5:$D$14,0))),""))</f>
        <v/>
      </c>
      <c r="AC969" s="19" t="str">
        <f aca="false">IF(N(M969)=0,"",IF(AA969="","Sin spec",IF(AND(Y969&gt;=AA969,OR(AB969="",Z969&gt;=AB969)),"CUMPLE","NO CUMPLE")&amp;IF(V969=""," (est.)","")))</f>
        <v/>
      </c>
      <c r="AD969" s="20" t="str">
        <f aca="false">IF(F969="","",IF(COUNTIFS(ABSORCION!$C$5:$C$1004,F969,ABSORCION!$I$5:$I$1004,"&gt;0")=0,"",AVERAGEIFS(ABSORCION!$I$5:$I$1004,ABSORCION!$C$5:$C$1004,F969,ABSORCION!$I$5:$I$1004,"&gt;0")))</f>
        <v/>
      </c>
      <c r="AE969" s="20" t="str">
        <f aca="false">IF(F969="","",IF(COUNTIFS(ABSORCION!$C$5:$C$1004,F969,ABSORCION!$I$5:$I$1004,"&gt;0")=0,"",AVERAGEIFS(ABSORCION!$K$5:$K$1004,ABSORCION!$C$5:$C$1004,F969,ABSORCION!$I$5:$I$1004,"&gt;0")))</f>
        <v/>
      </c>
      <c r="AF969" s="20" t="str">
        <f aca="false">IF(AE969="","",IF(AE969&gt;=CONFIG!$E$21,CONFIG!$F$21,IF(AE969&gt;=CONFIG!$E$20,CONFIG!$F$20,CONFIG!$F$19)))</f>
        <v/>
      </c>
      <c r="AG969" s="21" t="str">
        <f aca="false">IF(F969="","",TRIM(IF(N(M969)=0,"Sin ensayos. ","")&amp;IF(AND(N(M969)&gt;0,N(M969)&lt;CONFIG!$B$26),"Menos de "&amp;CONFIG!$B$26&amp;" probetas. ","")&amp;IF(N(T969)&gt;CONFIG!$B$25,"CV alto. ","")&amp;IF(AND(N(AD969)&gt;0,N(AD969)&gt;N(AF969)),"Absorción alta. ","")))</f>
        <v/>
      </c>
      <c r="AH969" s="22" t="str">
        <f aca="false">IF(AND(N(M969)&gt;0,OR(CONTROL!$C$4="TODAS",C969=CONTROL!$C$4),D969=CONTROL!$C$5),MAX($AH$4:AH968)+1,"")</f>
        <v/>
      </c>
      <c r="AI969" s="22" t="str">
        <f aca="false">IF(AH969="","",P969^2)</f>
        <v/>
      </c>
    </row>
    <row r="970" customFormat="false" ht="15" hidden="false" customHeight="false" outlineLevel="0" collapsed="false">
      <c r="A970" s="11" t="str">
        <f aca="false">IF(B970="","",ROW()-4)</f>
        <v/>
      </c>
      <c r="B970" s="12"/>
      <c r="C970" s="13"/>
      <c r="D970" s="13"/>
      <c r="E970" s="13"/>
      <c r="F970" s="14" t="str">
        <f aca="false">IF(OR(B970="",C970="",D970=""),"",IFERROR(INDEX(CONFIG!$E$5:$E$14,MATCH(D970,CONFIG!$D$5:$D$14,0)),"?")&amp;RIGHT("0"&amp;DAY(B970),2)&amp;RIGHT("0"&amp;MONTH(B970),2)&amp;RIGHT(YEAR(B970),2)&amp;C970&amp;IF(E970="","","-"&amp;E970))</f>
        <v/>
      </c>
      <c r="G970" s="13"/>
      <c r="H970" s="13"/>
      <c r="I970" s="13"/>
      <c r="J970" s="13"/>
      <c r="K970" s="13"/>
      <c r="L970" s="13"/>
      <c r="M970" s="11" t="str">
        <f aca="false">IF(F970="","",COUNTIFS(ENSAYOS!$C$5:$C$3004,F970,ENSAYOS!$Q$5:$Q$3004,"&gt;0"))</f>
        <v/>
      </c>
      <c r="N970" s="15" t="str">
        <f aca="false">IF(N(M970)=0,"",_xlfn.MINIFS(ENSAYOS!$G$5:$G$3004,ENSAYOS!$C$5:$C$3004,F970,ENSAYOS!$Q$5:$Q$3004,"&gt;0"))</f>
        <v/>
      </c>
      <c r="O970" s="15" t="str">
        <f aca="false">IF(N(M970)=0,"",_xlfn.MAXIFS(ENSAYOS!$G$5:$G$3004,ENSAYOS!$C$5:$C$3004,F970,ENSAYOS!$Q$5:$Q$3004,"&gt;0"))</f>
        <v/>
      </c>
      <c r="P970" s="16" t="str">
        <f aca="false">IF(N(M970)=0,"",AVERAGEIFS(ENSAYOS!$Q$5:$Q$3004,ENSAYOS!$C$5:$C$3004,F970,ENSAYOS!$Q$5:$Q$3004,"&gt;0"))</f>
        <v/>
      </c>
      <c r="Q970" s="16" t="str">
        <f aca="false">IF(N(M970)=0,"",_xlfn.MINIFS(ENSAYOS!$Q$5:$Q$3004,ENSAYOS!$C$5:$C$3004,F970,ENSAYOS!$Q$5:$Q$3004,"&gt;0"))</f>
        <v/>
      </c>
      <c r="R970" s="16" t="str">
        <f aca="false">IF(N(M970)=0,"",_xlfn.MAXIFS(ENSAYOS!$Q$5:$Q$3004,ENSAYOS!$C$5:$C$3004,F970,ENSAYOS!$Q$5:$Q$3004,"&gt;0"))</f>
        <v/>
      </c>
      <c r="S970" s="16" t="str">
        <f aca="false">IF(N(M970)&lt;2,"",SQRT(MAX(0,(SUMIFS(ENSAYOS!$X$5:$X$3004,ENSAYOS!$C$5:$C$3004,F970,ENSAYOS!$Q$5:$Q$3004,"&gt;0")-M970*P970^2)/(M970-1))))</f>
        <v/>
      </c>
      <c r="T970" s="17" t="str">
        <f aca="false">IF(S970="","",S970/P970)</f>
        <v/>
      </c>
      <c r="U970" s="16" t="str">
        <f aca="false">IF(N(M970)=0,"",IF(N970&gt;=CONFIG!$B$27,"",AVERAGEIFS(ENSAYOS!$Q$5:$Q$3004,ENSAYOS!$C$5:$C$3004,F970,ENSAYOS!$Q$5:$Q$3004,"&gt;0",ENSAYOS!$G$5:$G$3004,N970)))</f>
        <v/>
      </c>
      <c r="V970" s="16" t="str">
        <f aca="false">IF(N(M970)=0,"",IF(COUNTIFS(ENSAYOS!$C$5:$C$3004,F970,ENSAYOS!$Q$5:$Q$3004,"&gt;0",ENSAYOS!$G$5:$G$3004,"&gt;="&amp;CONFIG!$B$27)=0,"",AVERAGEIFS(ENSAYOS!$Q$5:$Q$3004,ENSAYOS!$C$5:$C$3004,F970,ENSAYOS!$Q$5:$Q$3004,"&gt;0",ENSAYOS!$G$5:$G$3004,"&gt;="&amp;CONFIG!$B$27)))</f>
        <v/>
      </c>
      <c r="W970" s="18" t="str">
        <f aca="false">IF(AND(U970&lt;&gt;"",V970&lt;&gt;""),U970/V970,"")</f>
        <v/>
      </c>
      <c r="X970" s="18" t="str">
        <f aca="false">IF(U970="","",INDEX('CURVA EDAD'!$E$5:$E$32,MIN(28,MAX(1,N970))))</f>
        <v/>
      </c>
      <c r="Y970" s="16" t="str">
        <f aca="false">IF(V970&lt;&gt;"",V970,IF(U970="","",U970/X970))</f>
        <v/>
      </c>
      <c r="Z970" s="16" t="str">
        <f aca="false">IF(V970&lt;&gt;"",_xlfn.MINIFS(ENSAYOS!$Q$5:$Q$3004,ENSAYOS!$C$5:$C$3004,F970,ENSAYOS!$Q$5:$Q$3004,"&gt;0",ENSAYOS!$G$5:$G$3004,"&gt;="&amp;CONFIG!$B$27),IF(U970="","",_xlfn.MINIFS(ENSAYOS!$Q$5:$Q$3004,ENSAYOS!$C$5:$C$3004,F970,ENSAYOS!$Q$5:$Q$3004,"&gt;0",ENSAYOS!$G$5:$G$3004,N970)/X970))</f>
        <v/>
      </c>
      <c r="AA970" s="16" t="str">
        <f aca="false">IF(D970="","",IFERROR(1/(1/INDEX(CONFIG!$J$5:$J$14,MATCH(D970,CONFIG!$D$5:$D$14,0))),""))</f>
        <v/>
      </c>
      <c r="AB970" s="16" t="str">
        <f aca="false">IF(D970="","",IFERROR(1/(1/INDEX(CONFIG!$K$5:$K$14,MATCH(D970,CONFIG!$D$5:$D$14,0))),""))</f>
        <v/>
      </c>
      <c r="AC970" s="19" t="str">
        <f aca="false">IF(N(M970)=0,"",IF(AA970="","Sin spec",IF(AND(Y970&gt;=AA970,OR(AB970="",Z970&gt;=AB970)),"CUMPLE","NO CUMPLE")&amp;IF(V970=""," (est.)","")))</f>
        <v/>
      </c>
      <c r="AD970" s="20" t="str">
        <f aca="false">IF(F970="","",IF(COUNTIFS(ABSORCION!$C$5:$C$1004,F970,ABSORCION!$I$5:$I$1004,"&gt;0")=0,"",AVERAGEIFS(ABSORCION!$I$5:$I$1004,ABSORCION!$C$5:$C$1004,F970,ABSORCION!$I$5:$I$1004,"&gt;0")))</f>
        <v/>
      </c>
      <c r="AE970" s="20" t="str">
        <f aca="false">IF(F970="","",IF(COUNTIFS(ABSORCION!$C$5:$C$1004,F970,ABSORCION!$I$5:$I$1004,"&gt;0")=0,"",AVERAGEIFS(ABSORCION!$K$5:$K$1004,ABSORCION!$C$5:$C$1004,F970,ABSORCION!$I$5:$I$1004,"&gt;0")))</f>
        <v/>
      </c>
      <c r="AF970" s="20" t="str">
        <f aca="false">IF(AE970="","",IF(AE970&gt;=CONFIG!$E$21,CONFIG!$F$21,IF(AE970&gt;=CONFIG!$E$20,CONFIG!$F$20,CONFIG!$F$19)))</f>
        <v/>
      </c>
      <c r="AG970" s="21" t="str">
        <f aca="false">IF(F970="","",TRIM(IF(N(M970)=0,"Sin ensayos. ","")&amp;IF(AND(N(M970)&gt;0,N(M970)&lt;CONFIG!$B$26),"Menos de "&amp;CONFIG!$B$26&amp;" probetas. ","")&amp;IF(N(T970)&gt;CONFIG!$B$25,"CV alto. ","")&amp;IF(AND(N(AD970)&gt;0,N(AD970)&gt;N(AF970)),"Absorción alta. ","")))</f>
        <v/>
      </c>
      <c r="AH970" s="22" t="str">
        <f aca="false">IF(AND(N(M970)&gt;0,OR(CONTROL!$C$4="TODAS",C970=CONTROL!$C$4),D970=CONTROL!$C$5),MAX($AH$4:AH969)+1,"")</f>
        <v/>
      </c>
      <c r="AI970" s="22" t="str">
        <f aca="false">IF(AH970="","",P970^2)</f>
        <v/>
      </c>
    </row>
    <row r="971" customFormat="false" ht="15" hidden="false" customHeight="false" outlineLevel="0" collapsed="false">
      <c r="A971" s="11" t="str">
        <f aca="false">IF(B971="","",ROW()-4)</f>
        <v/>
      </c>
      <c r="B971" s="12"/>
      <c r="C971" s="13"/>
      <c r="D971" s="13"/>
      <c r="E971" s="13"/>
      <c r="F971" s="14" t="str">
        <f aca="false">IF(OR(B971="",C971="",D971=""),"",IFERROR(INDEX(CONFIG!$E$5:$E$14,MATCH(D971,CONFIG!$D$5:$D$14,0)),"?")&amp;RIGHT("0"&amp;DAY(B971),2)&amp;RIGHT("0"&amp;MONTH(B971),2)&amp;RIGHT(YEAR(B971),2)&amp;C971&amp;IF(E971="","","-"&amp;E971))</f>
        <v/>
      </c>
      <c r="G971" s="13"/>
      <c r="H971" s="13"/>
      <c r="I971" s="13"/>
      <c r="J971" s="13"/>
      <c r="K971" s="13"/>
      <c r="L971" s="13"/>
      <c r="M971" s="11" t="str">
        <f aca="false">IF(F971="","",COUNTIFS(ENSAYOS!$C$5:$C$3004,F971,ENSAYOS!$Q$5:$Q$3004,"&gt;0"))</f>
        <v/>
      </c>
      <c r="N971" s="15" t="str">
        <f aca="false">IF(N(M971)=0,"",_xlfn.MINIFS(ENSAYOS!$G$5:$G$3004,ENSAYOS!$C$5:$C$3004,F971,ENSAYOS!$Q$5:$Q$3004,"&gt;0"))</f>
        <v/>
      </c>
      <c r="O971" s="15" t="str">
        <f aca="false">IF(N(M971)=0,"",_xlfn.MAXIFS(ENSAYOS!$G$5:$G$3004,ENSAYOS!$C$5:$C$3004,F971,ENSAYOS!$Q$5:$Q$3004,"&gt;0"))</f>
        <v/>
      </c>
      <c r="P971" s="16" t="str">
        <f aca="false">IF(N(M971)=0,"",AVERAGEIFS(ENSAYOS!$Q$5:$Q$3004,ENSAYOS!$C$5:$C$3004,F971,ENSAYOS!$Q$5:$Q$3004,"&gt;0"))</f>
        <v/>
      </c>
      <c r="Q971" s="16" t="str">
        <f aca="false">IF(N(M971)=0,"",_xlfn.MINIFS(ENSAYOS!$Q$5:$Q$3004,ENSAYOS!$C$5:$C$3004,F971,ENSAYOS!$Q$5:$Q$3004,"&gt;0"))</f>
        <v/>
      </c>
      <c r="R971" s="16" t="str">
        <f aca="false">IF(N(M971)=0,"",_xlfn.MAXIFS(ENSAYOS!$Q$5:$Q$3004,ENSAYOS!$C$5:$C$3004,F971,ENSAYOS!$Q$5:$Q$3004,"&gt;0"))</f>
        <v/>
      </c>
      <c r="S971" s="16" t="str">
        <f aca="false">IF(N(M971)&lt;2,"",SQRT(MAX(0,(SUMIFS(ENSAYOS!$X$5:$X$3004,ENSAYOS!$C$5:$C$3004,F971,ENSAYOS!$Q$5:$Q$3004,"&gt;0")-M971*P971^2)/(M971-1))))</f>
        <v/>
      </c>
      <c r="T971" s="17" t="str">
        <f aca="false">IF(S971="","",S971/P971)</f>
        <v/>
      </c>
      <c r="U971" s="16" t="str">
        <f aca="false">IF(N(M971)=0,"",IF(N971&gt;=CONFIG!$B$27,"",AVERAGEIFS(ENSAYOS!$Q$5:$Q$3004,ENSAYOS!$C$5:$C$3004,F971,ENSAYOS!$Q$5:$Q$3004,"&gt;0",ENSAYOS!$G$5:$G$3004,N971)))</f>
        <v/>
      </c>
      <c r="V971" s="16" t="str">
        <f aca="false">IF(N(M971)=0,"",IF(COUNTIFS(ENSAYOS!$C$5:$C$3004,F971,ENSAYOS!$Q$5:$Q$3004,"&gt;0",ENSAYOS!$G$5:$G$3004,"&gt;="&amp;CONFIG!$B$27)=0,"",AVERAGEIFS(ENSAYOS!$Q$5:$Q$3004,ENSAYOS!$C$5:$C$3004,F971,ENSAYOS!$Q$5:$Q$3004,"&gt;0",ENSAYOS!$G$5:$G$3004,"&gt;="&amp;CONFIG!$B$27)))</f>
        <v/>
      </c>
      <c r="W971" s="18" t="str">
        <f aca="false">IF(AND(U971&lt;&gt;"",V971&lt;&gt;""),U971/V971,"")</f>
        <v/>
      </c>
      <c r="X971" s="18" t="str">
        <f aca="false">IF(U971="","",INDEX('CURVA EDAD'!$E$5:$E$32,MIN(28,MAX(1,N971))))</f>
        <v/>
      </c>
      <c r="Y971" s="16" t="str">
        <f aca="false">IF(V971&lt;&gt;"",V971,IF(U971="","",U971/X971))</f>
        <v/>
      </c>
      <c r="Z971" s="16" t="str">
        <f aca="false">IF(V971&lt;&gt;"",_xlfn.MINIFS(ENSAYOS!$Q$5:$Q$3004,ENSAYOS!$C$5:$C$3004,F971,ENSAYOS!$Q$5:$Q$3004,"&gt;0",ENSAYOS!$G$5:$G$3004,"&gt;="&amp;CONFIG!$B$27),IF(U971="","",_xlfn.MINIFS(ENSAYOS!$Q$5:$Q$3004,ENSAYOS!$C$5:$C$3004,F971,ENSAYOS!$Q$5:$Q$3004,"&gt;0",ENSAYOS!$G$5:$G$3004,N971)/X971))</f>
        <v/>
      </c>
      <c r="AA971" s="16" t="str">
        <f aca="false">IF(D971="","",IFERROR(1/(1/INDEX(CONFIG!$J$5:$J$14,MATCH(D971,CONFIG!$D$5:$D$14,0))),""))</f>
        <v/>
      </c>
      <c r="AB971" s="16" t="str">
        <f aca="false">IF(D971="","",IFERROR(1/(1/INDEX(CONFIG!$K$5:$K$14,MATCH(D971,CONFIG!$D$5:$D$14,0))),""))</f>
        <v/>
      </c>
      <c r="AC971" s="19" t="str">
        <f aca="false">IF(N(M971)=0,"",IF(AA971="","Sin spec",IF(AND(Y971&gt;=AA971,OR(AB971="",Z971&gt;=AB971)),"CUMPLE","NO CUMPLE")&amp;IF(V971=""," (est.)","")))</f>
        <v/>
      </c>
      <c r="AD971" s="20" t="str">
        <f aca="false">IF(F971="","",IF(COUNTIFS(ABSORCION!$C$5:$C$1004,F971,ABSORCION!$I$5:$I$1004,"&gt;0")=0,"",AVERAGEIFS(ABSORCION!$I$5:$I$1004,ABSORCION!$C$5:$C$1004,F971,ABSORCION!$I$5:$I$1004,"&gt;0")))</f>
        <v/>
      </c>
      <c r="AE971" s="20" t="str">
        <f aca="false">IF(F971="","",IF(COUNTIFS(ABSORCION!$C$5:$C$1004,F971,ABSORCION!$I$5:$I$1004,"&gt;0")=0,"",AVERAGEIFS(ABSORCION!$K$5:$K$1004,ABSORCION!$C$5:$C$1004,F971,ABSORCION!$I$5:$I$1004,"&gt;0")))</f>
        <v/>
      </c>
      <c r="AF971" s="20" t="str">
        <f aca="false">IF(AE971="","",IF(AE971&gt;=CONFIG!$E$21,CONFIG!$F$21,IF(AE971&gt;=CONFIG!$E$20,CONFIG!$F$20,CONFIG!$F$19)))</f>
        <v/>
      </c>
      <c r="AG971" s="21" t="str">
        <f aca="false">IF(F971="","",TRIM(IF(N(M971)=0,"Sin ensayos. ","")&amp;IF(AND(N(M971)&gt;0,N(M971)&lt;CONFIG!$B$26),"Menos de "&amp;CONFIG!$B$26&amp;" probetas. ","")&amp;IF(N(T971)&gt;CONFIG!$B$25,"CV alto. ","")&amp;IF(AND(N(AD971)&gt;0,N(AD971)&gt;N(AF971)),"Absorción alta. ","")))</f>
        <v/>
      </c>
      <c r="AH971" s="22" t="str">
        <f aca="false">IF(AND(N(M971)&gt;0,OR(CONTROL!$C$4="TODAS",C971=CONTROL!$C$4),D971=CONTROL!$C$5),MAX($AH$4:AH970)+1,"")</f>
        <v/>
      </c>
      <c r="AI971" s="22" t="str">
        <f aca="false">IF(AH971="","",P971^2)</f>
        <v/>
      </c>
    </row>
    <row r="972" customFormat="false" ht="15" hidden="false" customHeight="false" outlineLevel="0" collapsed="false">
      <c r="A972" s="11" t="str">
        <f aca="false">IF(B972="","",ROW()-4)</f>
        <v/>
      </c>
      <c r="B972" s="12"/>
      <c r="C972" s="13"/>
      <c r="D972" s="13"/>
      <c r="E972" s="13"/>
      <c r="F972" s="14" t="str">
        <f aca="false">IF(OR(B972="",C972="",D972=""),"",IFERROR(INDEX(CONFIG!$E$5:$E$14,MATCH(D972,CONFIG!$D$5:$D$14,0)),"?")&amp;RIGHT("0"&amp;DAY(B972),2)&amp;RIGHT("0"&amp;MONTH(B972),2)&amp;RIGHT(YEAR(B972),2)&amp;C972&amp;IF(E972="","","-"&amp;E972))</f>
        <v/>
      </c>
      <c r="G972" s="13"/>
      <c r="H972" s="13"/>
      <c r="I972" s="13"/>
      <c r="J972" s="13"/>
      <c r="K972" s="13"/>
      <c r="L972" s="13"/>
      <c r="M972" s="11" t="str">
        <f aca="false">IF(F972="","",COUNTIFS(ENSAYOS!$C$5:$C$3004,F972,ENSAYOS!$Q$5:$Q$3004,"&gt;0"))</f>
        <v/>
      </c>
      <c r="N972" s="15" t="str">
        <f aca="false">IF(N(M972)=0,"",_xlfn.MINIFS(ENSAYOS!$G$5:$G$3004,ENSAYOS!$C$5:$C$3004,F972,ENSAYOS!$Q$5:$Q$3004,"&gt;0"))</f>
        <v/>
      </c>
      <c r="O972" s="15" t="str">
        <f aca="false">IF(N(M972)=0,"",_xlfn.MAXIFS(ENSAYOS!$G$5:$G$3004,ENSAYOS!$C$5:$C$3004,F972,ENSAYOS!$Q$5:$Q$3004,"&gt;0"))</f>
        <v/>
      </c>
      <c r="P972" s="16" t="str">
        <f aca="false">IF(N(M972)=0,"",AVERAGEIFS(ENSAYOS!$Q$5:$Q$3004,ENSAYOS!$C$5:$C$3004,F972,ENSAYOS!$Q$5:$Q$3004,"&gt;0"))</f>
        <v/>
      </c>
      <c r="Q972" s="16" t="str">
        <f aca="false">IF(N(M972)=0,"",_xlfn.MINIFS(ENSAYOS!$Q$5:$Q$3004,ENSAYOS!$C$5:$C$3004,F972,ENSAYOS!$Q$5:$Q$3004,"&gt;0"))</f>
        <v/>
      </c>
      <c r="R972" s="16" t="str">
        <f aca="false">IF(N(M972)=0,"",_xlfn.MAXIFS(ENSAYOS!$Q$5:$Q$3004,ENSAYOS!$C$5:$C$3004,F972,ENSAYOS!$Q$5:$Q$3004,"&gt;0"))</f>
        <v/>
      </c>
      <c r="S972" s="16" t="str">
        <f aca="false">IF(N(M972)&lt;2,"",SQRT(MAX(0,(SUMIFS(ENSAYOS!$X$5:$X$3004,ENSAYOS!$C$5:$C$3004,F972,ENSAYOS!$Q$5:$Q$3004,"&gt;0")-M972*P972^2)/(M972-1))))</f>
        <v/>
      </c>
      <c r="T972" s="17" t="str">
        <f aca="false">IF(S972="","",S972/P972)</f>
        <v/>
      </c>
      <c r="U972" s="16" t="str">
        <f aca="false">IF(N(M972)=0,"",IF(N972&gt;=CONFIG!$B$27,"",AVERAGEIFS(ENSAYOS!$Q$5:$Q$3004,ENSAYOS!$C$5:$C$3004,F972,ENSAYOS!$Q$5:$Q$3004,"&gt;0",ENSAYOS!$G$5:$G$3004,N972)))</f>
        <v/>
      </c>
      <c r="V972" s="16" t="str">
        <f aca="false">IF(N(M972)=0,"",IF(COUNTIFS(ENSAYOS!$C$5:$C$3004,F972,ENSAYOS!$Q$5:$Q$3004,"&gt;0",ENSAYOS!$G$5:$G$3004,"&gt;="&amp;CONFIG!$B$27)=0,"",AVERAGEIFS(ENSAYOS!$Q$5:$Q$3004,ENSAYOS!$C$5:$C$3004,F972,ENSAYOS!$Q$5:$Q$3004,"&gt;0",ENSAYOS!$G$5:$G$3004,"&gt;="&amp;CONFIG!$B$27)))</f>
        <v/>
      </c>
      <c r="W972" s="18" t="str">
        <f aca="false">IF(AND(U972&lt;&gt;"",V972&lt;&gt;""),U972/V972,"")</f>
        <v/>
      </c>
      <c r="X972" s="18" t="str">
        <f aca="false">IF(U972="","",INDEX('CURVA EDAD'!$E$5:$E$32,MIN(28,MAX(1,N972))))</f>
        <v/>
      </c>
      <c r="Y972" s="16" t="str">
        <f aca="false">IF(V972&lt;&gt;"",V972,IF(U972="","",U972/X972))</f>
        <v/>
      </c>
      <c r="Z972" s="16" t="str">
        <f aca="false">IF(V972&lt;&gt;"",_xlfn.MINIFS(ENSAYOS!$Q$5:$Q$3004,ENSAYOS!$C$5:$C$3004,F972,ENSAYOS!$Q$5:$Q$3004,"&gt;0",ENSAYOS!$G$5:$G$3004,"&gt;="&amp;CONFIG!$B$27),IF(U972="","",_xlfn.MINIFS(ENSAYOS!$Q$5:$Q$3004,ENSAYOS!$C$5:$C$3004,F972,ENSAYOS!$Q$5:$Q$3004,"&gt;0",ENSAYOS!$G$5:$G$3004,N972)/X972))</f>
        <v/>
      </c>
      <c r="AA972" s="16" t="str">
        <f aca="false">IF(D972="","",IFERROR(1/(1/INDEX(CONFIG!$J$5:$J$14,MATCH(D972,CONFIG!$D$5:$D$14,0))),""))</f>
        <v/>
      </c>
      <c r="AB972" s="16" t="str">
        <f aca="false">IF(D972="","",IFERROR(1/(1/INDEX(CONFIG!$K$5:$K$14,MATCH(D972,CONFIG!$D$5:$D$14,0))),""))</f>
        <v/>
      </c>
      <c r="AC972" s="19" t="str">
        <f aca="false">IF(N(M972)=0,"",IF(AA972="","Sin spec",IF(AND(Y972&gt;=AA972,OR(AB972="",Z972&gt;=AB972)),"CUMPLE","NO CUMPLE")&amp;IF(V972=""," (est.)","")))</f>
        <v/>
      </c>
      <c r="AD972" s="20" t="str">
        <f aca="false">IF(F972="","",IF(COUNTIFS(ABSORCION!$C$5:$C$1004,F972,ABSORCION!$I$5:$I$1004,"&gt;0")=0,"",AVERAGEIFS(ABSORCION!$I$5:$I$1004,ABSORCION!$C$5:$C$1004,F972,ABSORCION!$I$5:$I$1004,"&gt;0")))</f>
        <v/>
      </c>
      <c r="AE972" s="20" t="str">
        <f aca="false">IF(F972="","",IF(COUNTIFS(ABSORCION!$C$5:$C$1004,F972,ABSORCION!$I$5:$I$1004,"&gt;0")=0,"",AVERAGEIFS(ABSORCION!$K$5:$K$1004,ABSORCION!$C$5:$C$1004,F972,ABSORCION!$I$5:$I$1004,"&gt;0")))</f>
        <v/>
      </c>
      <c r="AF972" s="20" t="str">
        <f aca="false">IF(AE972="","",IF(AE972&gt;=CONFIG!$E$21,CONFIG!$F$21,IF(AE972&gt;=CONFIG!$E$20,CONFIG!$F$20,CONFIG!$F$19)))</f>
        <v/>
      </c>
      <c r="AG972" s="21" t="str">
        <f aca="false">IF(F972="","",TRIM(IF(N(M972)=0,"Sin ensayos. ","")&amp;IF(AND(N(M972)&gt;0,N(M972)&lt;CONFIG!$B$26),"Menos de "&amp;CONFIG!$B$26&amp;" probetas. ","")&amp;IF(N(T972)&gt;CONFIG!$B$25,"CV alto. ","")&amp;IF(AND(N(AD972)&gt;0,N(AD972)&gt;N(AF972)),"Absorción alta. ","")))</f>
        <v/>
      </c>
      <c r="AH972" s="22" t="str">
        <f aca="false">IF(AND(N(M972)&gt;0,OR(CONTROL!$C$4="TODAS",C972=CONTROL!$C$4),D972=CONTROL!$C$5),MAX($AH$4:AH971)+1,"")</f>
        <v/>
      </c>
      <c r="AI972" s="22" t="str">
        <f aca="false">IF(AH972="","",P972^2)</f>
        <v/>
      </c>
    </row>
    <row r="973" customFormat="false" ht="15" hidden="false" customHeight="false" outlineLevel="0" collapsed="false">
      <c r="A973" s="11" t="str">
        <f aca="false">IF(B973="","",ROW()-4)</f>
        <v/>
      </c>
      <c r="B973" s="12"/>
      <c r="C973" s="13"/>
      <c r="D973" s="13"/>
      <c r="E973" s="13"/>
      <c r="F973" s="14" t="str">
        <f aca="false">IF(OR(B973="",C973="",D973=""),"",IFERROR(INDEX(CONFIG!$E$5:$E$14,MATCH(D973,CONFIG!$D$5:$D$14,0)),"?")&amp;RIGHT("0"&amp;DAY(B973),2)&amp;RIGHT("0"&amp;MONTH(B973),2)&amp;RIGHT(YEAR(B973),2)&amp;C973&amp;IF(E973="","","-"&amp;E973))</f>
        <v/>
      </c>
      <c r="G973" s="13"/>
      <c r="H973" s="13"/>
      <c r="I973" s="13"/>
      <c r="J973" s="13"/>
      <c r="K973" s="13"/>
      <c r="L973" s="13"/>
      <c r="M973" s="11" t="str">
        <f aca="false">IF(F973="","",COUNTIFS(ENSAYOS!$C$5:$C$3004,F973,ENSAYOS!$Q$5:$Q$3004,"&gt;0"))</f>
        <v/>
      </c>
      <c r="N973" s="15" t="str">
        <f aca="false">IF(N(M973)=0,"",_xlfn.MINIFS(ENSAYOS!$G$5:$G$3004,ENSAYOS!$C$5:$C$3004,F973,ENSAYOS!$Q$5:$Q$3004,"&gt;0"))</f>
        <v/>
      </c>
      <c r="O973" s="15" t="str">
        <f aca="false">IF(N(M973)=0,"",_xlfn.MAXIFS(ENSAYOS!$G$5:$G$3004,ENSAYOS!$C$5:$C$3004,F973,ENSAYOS!$Q$5:$Q$3004,"&gt;0"))</f>
        <v/>
      </c>
      <c r="P973" s="16" t="str">
        <f aca="false">IF(N(M973)=0,"",AVERAGEIFS(ENSAYOS!$Q$5:$Q$3004,ENSAYOS!$C$5:$C$3004,F973,ENSAYOS!$Q$5:$Q$3004,"&gt;0"))</f>
        <v/>
      </c>
      <c r="Q973" s="16" t="str">
        <f aca="false">IF(N(M973)=0,"",_xlfn.MINIFS(ENSAYOS!$Q$5:$Q$3004,ENSAYOS!$C$5:$C$3004,F973,ENSAYOS!$Q$5:$Q$3004,"&gt;0"))</f>
        <v/>
      </c>
      <c r="R973" s="16" t="str">
        <f aca="false">IF(N(M973)=0,"",_xlfn.MAXIFS(ENSAYOS!$Q$5:$Q$3004,ENSAYOS!$C$5:$C$3004,F973,ENSAYOS!$Q$5:$Q$3004,"&gt;0"))</f>
        <v/>
      </c>
      <c r="S973" s="16" t="str">
        <f aca="false">IF(N(M973)&lt;2,"",SQRT(MAX(0,(SUMIFS(ENSAYOS!$X$5:$X$3004,ENSAYOS!$C$5:$C$3004,F973,ENSAYOS!$Q$5:$Q$3004,"&gt;0")-M973*P973^2)/(M973-1))))</f>
        <v/>
      </c>
      <c r="T973" s="17" t="str">
        <f aca="false">IF(S973="","",S973/P973)</f>
        <v/>
      </c>
      <c r="U973" s="16" t="str">
        <f aca="false">IF(N(M973)=0,"",IF(N973&gt;=CONFIG!$B$27,"",AVERAGEIFS(ENSAYOS!$Q$5:$Q$3004,ENSAYOS!$C$5:$C$3004,F973,ENSAYOS!$Q$5:$Q$3004,"&gt;0",ENSAYOS!$G$5:$G$3004,N973)))</f>
        <v/>
      </c>
      <c r="V973" s="16" t="str">
        <f aca="false">IF(N(M973)=0,"",IF(COUNTIFS(ENSAYOS!$C$5:$C$3004,F973,ENSAYOS!$Q$5:$Q$3004,"&gt;0",ENSAYOS!$G$5:$G$3004,"&gt;="&amp;CONFIG!$B$27)=0,"",AVERAGEIFS(ENSAYOS!$Q$5:$Q$3004,ENSAYOS!$C$5:$C$3004,F973,ENSAYOS!$Q$5:$Q$3004,"&gt;0",ENSAYOS!$G$5:$G$3004,"&gt;="&amp;CONFIG!$B$27)))</f>
        <v/>
      </c>
      <c r="W973" s="18" t="str">
        <f aca="false">IF(AND(U973&lt;&gt;"",V973&lt;&gt;""),U973/V973,"")</f>
        <v/>
      </c>
      <c r="X973" s="18" t="str">
        <f aca="false">IF(U973="","",INDEX('CURVA EDAD'!$E$5:$E$32,MIN(28,MAX(1,N973))))</f>
        <v/>
      </c>
      <c r="Y973" s="16" t="str">
        <f aca="false">IF(V973&lt;&gt;"",V973,IF(U973="","",U973/X973))</f>
        <v/>
      </c>
      <c r="Z973" s="16" t="str">
        <f aca="false">IF(V973&lt;&gt;"",_xlfn.MINIFS(ENSAYOS!$Q$5:$Q$3004,ENSAYOS!$C$5:$C$3004,F973,ENSAYOS!$Q$5:$Q$3004,"&gt;0",ENSAYOS!$G$5:$G$3004,"&gt;="&amp;CONFIG!$B$27),IF(U973="","",_xlfn.MINIFS(ENSAYOS!$Q$5:$Q$3004,ENSAYOS!$C$5:$C$3004,F973,ENSAYOS!$Q$5:$Q$3004,"&gt;0",ENSAYOS!$G$5:$G$3004,N973)/X973))</f>
        <v/>
      </c>
      <c r="AA973" s="16" t="str">
        <f aca="false">IF(D973="","",IFERROR(1/(1/INDEX(CONFIG!$J$5:$J$14,MATCH(D973,CONFIG!$D$5:$D$14,0))),""))</f>
        <v/>
      </c>
      <c r="AB973" s="16" t="str">
        <f aca="false">IF(D973="","",IFERROR(1/(1/INDEX(CONFIG!$K$5:$K$14,MATCH(D973,CONFIG!$D$5:$D$14,0))),""))</f>
        <v/>
      </c>
      <c r="AC973" s="19" t="str">
        <f aca="false">IF(N(M973)=0,"",IF(AA973="","Sin spec",IF(AND(Y973&gt;=AA973,OR(AB973="",Z973&gt;=AB973)),"CUMPLE","NO CUMPLE")&amp;IF(V973=""," (est.)","")))</f>
        <v/>
      </c>
      <c r="AD973" s="20" t="str">
        <f aca="false">IF(F973="","",IF(COUNTIFS(ABSORCION!$C$5:$C$1004,F973,ABSORCION!$I$5:$I$1004,"&gt;0")=0,"",AVERAGEIFS(ABSORCION!$I$5:$I$1004,ABSORCION!$C$5:$C$1004,F973,ABSORCION!$I$5:$I$1004,"&gt;0")))</f>
        <v/>
      </c>
      <c r="AE973" s="20" t="str">
        <f aca="false">IF(F973="","",IF(COUNTIFS(ABSORCION!$C$5:$C$1004,F973,ABSORCION!$I$5:$I$1004,"&gt;0")=0,"",AVERAGEIFS(ABSORCION!$K$5:$K$1004,ABSORCION!$C$5:$C$1004,F973,ABSORCION!$I$5:$I$1004,"&gt;0")))</f>
        <v/>
      </c>
      <c r="AF973" s="20" t="str">
        <f aca="false">IF(AE973="","",IF(AE973&gt;=CONFIG!$E$21,CONFIG!$F$21,IF(AE973&gt;=CONFIG!$E$20,CONFIG!$F$20,CONFIG!$F$19)))</f>
        <v/>
      </c>
      <c r="AG973" s="21" t="str">
        <f aca="false">IF(F973="","",TRIM(IF(N(M973)=0,"Sin ensayos. ","")&amp;IF(AND(N(M973)&gt;0,N(M973)&lt;CONFIG!$B$26),"Menos de "&amp;CONFIG!$B$26&amp;" probetas. ","")&amp;IF(N(T973)&gt;CONFIG!$B$25,"CV alto. ","")&amp;IF(AND(N(AD973)&gt;0,N(AD973)&gt;N(AF973)),"Absorción alta. ","")))</f>
        <v/>
      </c>
      <c r="AH973" s="22" t="str">
        <f aca="false">IF(AND(N(M973)&gt;0,OR(CONTROL!$C$4="TODAS",C973=CONTROL!$C$4),D973=CONTROL!$C$5),MAX($AH$4:AH972)+1,"")</f>
        <v/>
      </c>
      <c r="AI973" s="22" t="str">
        <f aca="false">IF(AH973="","",P973^2)</f>
        <v/>
      </c>
    </row>
    <row r="974" customFormat="false" ht="15" hidden="false" customHeight="false" outlineLevel="0" collapsed="false">
      <c r="A974" s="11" t="str">
        <f aca="false">IF(B974="","",ROW()-4)</f>
        <v/>
      </c>
      <c r="B974" s="12"/>
      <c r="C974" s="13"/>
      <c r="D974" s="13"/>
      <c r="E974" s="13"/>
      <c r="F974" s="14" t="str">
        <f aca="false">IF(OR(B974="",C974="",D974=""),"",IFERROR(INDEX(CONFIG!$E$5:$E$14,MATCH(D974,CONFIG!$D$5:$D$14,0)),"?")&amp;RIGHT("0"&amp;DAY(B974),2)&amp;RIGHT("0"&amp;MONTH(B974),2)&amp;RIGHT(YEAR(B974),2)&amp;C974&amp;IF(E974="","","-"&amp;E974))</f>
        <v/>
      </c>
      <c r="G974" s="13"/>
      <c r="H974" s="13"/>
      <c r="I974" s="13"/>
      <c r="J974" s="13"/>
      <c r="K974" s="13"/>
      <c r="L974" s="13"/>
      <c r="M974" s="11" t="str">
        <f aca="false">IF(F974="","",COUNTIFS(ENSAYOS!$C$5:$C$3004,F974,ENSAYOS!$Q$5:$Q$3004,"&gt;0"))</f>
        <v/>
      </c>
      <c r="N974" s="15" t="str">
        <f aca="false">IF(N(M974)=0,"",_xlfn.MINIFS(ENSAYOS!$G$5:$G$3004,ENSAYOS!$C$5:$C$3004,F974,ENSAYOS!$Q$5:$Q$3004,"&gt;0"))</f>
        <v/>
      </c>
      <c r="O974" s="15" t="str">
        <f aca="false">IF(N(M974)=0,"",_xlfn.MAXIFS(ENSAYOS!$G$5:$G$3004,ENSAYOS!$C$5:$C$3004,F974,ENSAYOS!$Q$5:$Q$3004,"&gt;0"))</f>
        <v/>
      </c>
      <c r="P974" s="16" t="str">
        <f aca="false">IF(N(M974)=0,"",AVERAGEIFS(ENSAYOS!$Q$5:$Q$3004,ENSAYOS!$C$5:$C$3004,F974,ENSAYOS!$Q$5:$Q$3004,"&gt;0"))</f>
        <v/>
      </c>
      <c r="Q974" s="16" t="str">
        <f aca="false">IF(N(M974)=0,"",_xlfn.MINIFS(ENSAYOS!$Q$5:$Q$3004,ENSAYOS!$C$5:$C$3004,F974,ENSAYOS!$Q$5:$Q$3004,"&gt;0"))</f>
        <v/>
      </c>
      <c r="R974" s="16" t="str">
        <f aca="false">IF(N(M974)=0,"",_xlfn.MAXIFS(ENSAYOS!$Q$5:$Q$3004,ENSAYOS!$C$5:$C$3004,F974,ENSAYOS!$Q$5:$Q$3004,"&gt;0"))</f>
        <v/>
      </c>
      <c r="S974" s="16" t="str">
        <f aca="false">IF(N(M974)&lt;2,"",SQRT(MAX(0,(SUMIFS(ENSAYOS!$X$5:$X$3004,ENSAYOS!$C$5:$C$3004,F974,ENSAYOS!$Q$5:$Q$3004,"&gt;0")-M974*P974^2)/(M974-1))))</f>
        <v/>
      </c>
      <c r="T974" s="17" t="str">
        <f aca="false">IF(S974="","",S974/P974)</f>
        <v/>
      </c>
      <c r="U974" s="16" t="str">
        <f aca="false">IF(N(M974)=0,"",IF(N974&gt;=CONFIG!$B$27,"",AVERAGEIFS(ENSAYOS!$Q$5:$Q$3004,ENSAYOS!$C$5:$C$3004,F974,ENSAYOS!$Q$5:$Q$3004,"&gt;0",ENSAYOS!$G$5:$G$3004,N974)))</f>
        <v/>
      </c>
      <c r="V974" s="16" t="str">
        <f aca="false">IF(N(M974)=0,"",IF(COUNTIFS(ENSAYOS!$C$5:$C$3004,F974,ENSAYOS!$Q$5:$Q$3004,"&gt;0",ENSAYOS!$G$5:$G$3004,"&gt;="&amp;CONFIG!$B$27)=0,"",AVERAGEIFS(ENSAYOS!$Q$5:$Q$3004,ENSAYOS!$C$5:$C$3004,F974,ENSAYOS!$Q$5:$Q$3004,"&gt;0",ENSAYOS!$G$5:$G$3004,"&gt;="&amp;CONFIG!$B$27)))</f>
        <v/>
      </c>
      <c r="W974" s="18" t="str">
        <f aca="false">IF(AND(U974&lt;&gt;"",V974&lt;&gt;""),U974/V974,"")</f>
        <v/>
      </c>
      <c r="X974" s="18" t="str">
        <f aca="false">IF(U974="","",INDEX('CURVA EDAD'!$E$5:$E$32,MIN(28,MAX(1,N974))))</f>
        <v/>
      </c>
      <c r="Y974" s="16" t="str">
        <f aca="false">IF(V974&lt;&gt;"",V974,IF(U974="","",U974/X974))</f>
        <v/>
      </c>
      <c r="Z974" s="16" t="str">
        <f aca="false">IF(V974&lt;&gt;"",_xlfn.MINIFS(ENSAYOS!$Q$5:$Q$3004,ENSAYOS!$C$5:$C$3004,F974,ENSAYOS!$Q$5:$Q$3004,"&gt;0",ENSAYOS!$G$5:$G$3004,"&gt;="&amp;CONFIG!$B$27),IF(U974="","",_xlfn.MINIFS(ENSAYOS!$Q$5:$Q$3004,ENSAYOS!$C$5:$C$3004,F974,ENSAYOS!$Q$5:$Q$3004,"&gt;0",ENSAYOS!$G$5:$G$3004,N974)/X974))</f>
        <v/>
      </c>
      <c r="AA974" s="16" t="str">
        <f aca="false">IF(D974="","",IFERROR(1/(1/INDEX(CONFIG!$J$5:$J$14,MATCH(D974,CONFIG!$D$5:$D$14,0))),""))</f>
        <v/>
      </c>
      <c r="AB974" s="16" t="str">
        <f aca="false">IF(D974="","",IFERROR(1/(1/INDEX(CONFIG!$K$5:$K$14,MATCH(D974,CONFIG!$D$5:$D$14,0))),""))</f>
        <v/>
      </c>
      <c r="AC974" s="19" t="str">
        <f aca="false">IF(N(M974)=0,"",IF(AA974="","Sin spec",IF(AND(Y974&gt;=AA974,OR(AB974="",Z974&gt;=AB974)),"CUMPLE","NO CUMPLE")&amp;IF(V974=""," (est.)","")))</f>
        <v/>
      </c>
      <c r="AD974" s="20" t="str">
        <f aca="false">IF(F974="","",IF(COUNTIFS(ABSORCION!$C$5:$C$1004,F974,ABSORCION!$I$5:$I$1004,"&gt;0")=0,"",AVERAGEIFS(ABSORCION!$I$5:$I$1004,ABSORCION!$C$5:$C$1004,F974,ABSORCION!$I$5:$I$1004,"&gt;0")))</f>
        <v/>
      </c>
      <c r="AE974" s="20" t="str">
        <f aca="false">IF(F974="","",IF(COUNTIFS(ABSORCION!$C$5:$C$1004,F974,ABSORCION!$I$5:$I$1004,"&gt;0")=0,"",AVERAGEIFS(ABSORCION!$K$5:$K$1004,ABSORCION!$C$5:$C$1004,F974,ABSORCION!$I$5:$I$1004,"&gt;0")))</f>
        <v/>
      </c>
      <c r="AF974" s="20" t="str">
        <f aca="false">IF(AE974="","",IF(AE974&gt;=CONFIG!$E$21,CONFIG!$F$21,IF(AE974&gt;=CONFIG!$E$20,CONFIG!$F$20,CONFIG!$F$19)))</f>
        <v/>
      </c>
      <c r="AG974" s="21" t="str">
        <f aca="false">IF(F974="","",TRIM(IF(N(M974)=0,"Sin ensayos. ","")&amp;IF(AND(N(M974)&gt;0,N(M974)&lt;CONFIG!$B$26),"Menos de "&amp;CONFIG!$B$26&amp;" probetas. ","")&amp;IF(N(T974)&gt;CONFIG!$B$25,"CV alto. ","")&amp;IF(AND(N(AD974)&gt;0,N(AD974)&gt;N(AF974)),"Absorción alta. ","")))</f>
        <v/>
      </c>
      <c r="AH974" s="22" t="str">
        <f aca="false">IF(AND(N(M974)&gt;0,OR(CONTROL!$C$4="TODAS",C974=CONTROL!$C$4),D974=CONTROL!$C$5),MAX($AH$4:AH973)+1,"")</f>
        <v/>
      </c>
      <c r="AI974" s="22" t="str">
        <f aca="false">IF(AH974="","",P974^2)</f>
        <v/>
      </c>
    </row>
    <row r="975" customFormat="false" ht="15" hidden="false" customHeight="false" outlineLevel="0" collapsed="false">
      <c r="A975" s="11" t="str">
        <f aca="false">IF(B975="","",ROW()-4)</f>
        <v/>
      </c>
      <c r="B975" s="12"/>
      <c r="C975" s="13"/>
      <c r="D975" s="13"/>
      <c r="E975" s="13"/>
      <c r="F975" s="14" t="str">
        <f aca="false">IF(OR(B975="",C975="",D975=""),"",IFERROR(INDEX(CONFIG!$E$5:$E$14,MATCH(D975,CONFIG!$D$5:$D$14,0)),"?")&amp;RIGHT("0"&amp;DAY(B975),2)&amp;RIGHT("0"&amp;MONTH(B975),2)&amp;RIGHT(YEAR(B975),2)&amp;C975&amp;IF(E975="","","-"&amp;E975))</f>
        <v/>
      </c>
      <c r="G975" s="13"/>
      <c r="H975" s="13"/>
      <c r="I975" s="13"/>
      <c r="J975" s="13"/>
      <c r="K975" s="13"/>
      <c r="L975" s="13"/>
      <c r="M975" s="11" t="str">
        <f aca="false">IF(F975="","",COUNTIFS(ENSAYOS!$C$5:$C$3004,F975,ENSAYOS!$Q$5:$Q$3004,"&gt;0"))</f>
        <v/>
      </c>
      <c r="N975" s="15" t="str">
        <f aca="false">IF(N(M975)=0,"",_xlfn.MINIFS(ENSAYOS!$G$5:$G$3004,ENSAYOS!$C$5:$C$3004,F975,ENSAYOS!$Q$5:$Q$3004,"&gt;0"))</f>
        <v/>
      </c>
      <c r="O975" s="15" t="str">
        <f aca="false">IF(N(M975)=0,"",_xlfn.MAXIFS(ENSAYOS!$G$5:$G$3004,ENSAYOS!$C$5:$C$3004,F975,ENSAYOS!$Q$5:$Q$3004,"&gt;0"))</f>
        <v/>
      </c>
      <c r="P975" s="16" t="str">
        <f aca="false">IF(N(M975)=0,"",AVERAGEIFS(ENSAYOS!$Q$5:$Q$3004,ENSAYOS!$C$5:$C$3004,F975,ENSAYOS!$Q$5:$Q$3004,"&gt;0"))</f>
        <v/>
      </c>
      <c r="Q975" s="16" t="str">
        <f aca="false">IF(N(M975)=0,"",_xlfn.MINIFS(ENSAYOS!$Q$5:$Q$3004,ENSAYOS!$C$5:$C$3004,F975,ENSAYOS!$Q$5:$Q$3004,"&gt;0"))</f>
        <v/>
      </c>
      <c r="R975" s="16" t="str">
        <f aca="false">IF(N(M975)=0,"",_xlfn.MAXIFS(ENSAYOS!$Q$5:$Q$3004,ENSAYOS!$C$5:$C$3004,F975,ENSAYOS!$Q$5:$Q$3004,"&gt;0"))</f>
        <v/>
      </c>
      <c r="S975" s="16" t="str">
        <f aca="false">IF(N(M975)&lt;2,"",SQRT(MAX(0,(SUMIFS(ENSAYOS!$X$5:$X$3004,ENSAYOS!$C$5:$C$3004,F975,ENSAYOS!$Q$5:$Q$3004,"&gt;0")-M975*P975^2)/(M975-1))))</f>
        <v/>
      </c>
      <c r="T975" s="17" t="str">
        <f aca="false">IF(S975="","",S975/P975)</f>
        <v/>
      </c>
      <c r="U975" s="16" t="str">
        <f aca="false">IF(N(M975)=0,"",IF(N975&gt;=CONFIG!$B$27,"",AVERAGEIFS(ENSAYOS!$Q$5:$Q$3004,ENSAYOS!$C$5:$C$3004,F975,ENSAYOS!$Q$5:$Q$3004,"&gt;0",ENSAYOS!$G$5:$G$3004,N975)))</f>
        <v/>
      </c>
      <c r="V975" s="16" t="str">
        <f aca="false">IF(N(M975)=0,"",IF(COUNTIFS(ENSAYOS!$C$5:$C$3004,F975,ENSAYOS!$Q$5:$Q$3004,"&gt;0",ENSAYOS!$G$5:$G$3004,"&gt;="&amp;CONFIG!$B$27)=0,"",AVERAGEIFS(ENSAYOS!$Q$5:$Q$3004,ENSAYOS!$C$5:$C$3004,F975,ENSAYOS!$Q$5:$Q$3004,"&gt;0",ENSAYOS!$G$5:$G$3004,"&gt;="&amp;CONFIG!$B$27)))</f>
        <v/>
      </c>
      <c r="W975" s="18" t="str">
        <f aca="false">IF(AND(U975&lt;&gt;"",V975&lt;&gt;""),U975/V975,"")</f>
        <v/>
      </c>
      <c r="X975" s="18" t="str">
        <f aca="false">IF(U975="","",INDEX('CURVA EDAD'!$E$5:$E$32,MIN(28,MAX(1,N975))))</f>
        <v/>
      </c>
      <c r="Y975" s="16" t="str">
        <f aca="false">IF(V975&lt;&gt;"",V975,IF(U975="","",U975/X975))</f>
        <v/>
      </c>
      <c r="Z975" s="16" t="str">
        <f aca="false">IF(V975&lt;&gt;"",_xlfn.MINIFS(ENSAYOS!$Q$5:$Q$3004,ENSAYOS!$C$5:$C$3004,F975,ENSAYOS!$Q$5:$Q$3004,"&gt;0",ENSAYOS!$G$5:$G$3004,"&gt;="&amp;CONFIG!$B$27),IF(U975="","",_xlfn.MINIFS(ENSAYOS!$Q$5:$Q$3004,ENSAYOS!$C$5:$C$3004,F975,ENSAYOS!$Q$5:$Q$3004,"&gt;0",ENSAYOS!$G$5:$G$3004,N975)/X975))</f>
        <v/>
      </c>
      <c r="AA975" s="16" t="str">
        <f aca="false">IF(D975="","",IFERROR(1/(1/INDEX(CONFIG!$J$5:$J$14,MATCH(D975,CONFIG!$D$5:$D$14,0))),""))</f>
        <v/>
      </c>
      <c r="AB975" s="16" t="str">
        <f aca="false">IF(D975="","",IFERROR(1/(1/INDEX(CONFIG!$K$5:$K$14,MATCH(D975,CONFIG!$D$5:$D$14,0))),""))</f>
        <v/>
      </c>
      <c r="AC975" s="19" t="str">
        <f aca="false">IF(N(M975)=0,"",IF(AA975="","Sin spec",IF(AND(Y975&gt;=AA975,OR(AB975="",Z975&gt;=AB975)),"CUMPLE","NO CUMPLE")&amp;IF(V975=""," (est.)","")))</f>
        <v/>
      </c>
      <c r="AD975" s="20" t="str">
        <f aca="false">IF(F975="","",IF(COUNTIFS(ABSORCION!$C$5:$C$1004,F975,ABSORCION!$I$5:$I$1004,"&gt;0")=0,"",AVERAGEIFS(ABSORCION!$I$5:$I$1004,ABSORCION!$C$5:$C$1004,F975,ABSORCION!$I$5:$I$1004,"&gt;0")))</f>
        <v/>
      </c>
      <c r="AE975" s="20" t="str">
        <f aca="false">IF(F975="","",IF(COUNTIFS(ABSORCION!$C$5:$C$1004,F975,ABSORCION!$I$5:$I$1004,"&gt;0")=0,"",AVERAGEIFS(ABSORCION!$K$5:$K$1004,ABSORCION!$C$5:$C$1004,F975,ABSORCION!$I$5:$I$1004,"&gt;0")))</f>
        <v/>
      </c>
      <c r="AF975" s="20" t="str">
        <f aca="false">IF(AE975="","",IF(AE975&gt;=CONFIG!$E$21,CONFIG!$F$21,IF(AE975&gt;=CONFIG!$E$20,CONFIG!$F$20,CONFIG!$F$19)))</f>
        <v/>
      </c>
      <c r="AG975" s="21" t="str">
        <f aca="false">IF(F975="","",TRIM(IF(N(M975)=0,"Sin ensayos. ","")&amp;IF(AND(N(M975)&gt;0,N(M975)&lt;CONFIG!$B$26),"Menos de "&amp;CONFIG!$B$26&amp;" probetas. ","")&amp;IF(N(T975)&gt;CONFIG!$B$25,"CV alto. ","")&amp;IF(AND(N(AD975)&gt;0,N(AD975)&gt;N(AF975)),"Absorción alta. ","")))</f>
        <v/>
      </c>
      <c r="AH975" s="22" t="str">
        <f aca="false">IF(AND(N(M975)&gt;0,OR(CONTROL!$C$4="TODAS",C975=CONTROL!$C$4),D975=CONTROL!$C$5),MAX($AH$4:AH974)+1,"")</f>
        <v/>
      </c>
      <c r="AI975" s="22" t="str">
        <f aca="false">IF(AH975="","",P975^2)</f>
        <v/>
      </c>
    </row>
    <row r="976" customFormat="false" ht="15" hidden="false" customHeight="false" outlineLevel="0" collapsed="false">
      <c r="A976" s="11" t="str">
        <f aca="false">IF(B976="","",ROW()-4)</f>
        <v/>
      </c>
      <c r="B976" s="12"/>
      <c r="C976" s="13"/>
      <c r="D976" s="13"/>
      <c r="E976" s="13"/>
      <c r="F976" s="14" t="str">
        <f aca="false">IF(OR(B976="",C976="",D976=""),"",IFERROR(INDEX(CONFIG!$E$5:$E$14,MATCH(D976,CONFIG!$D$5:$D$14,0)),"?")&amp;RIGHT("0"&amp;DAY(B976),2)&amp;RIGHT("0"&amp;MONTH(B976),2)&amp;RIGHT(YEAR(B976),2)&amp;C976&amp;IF(E976="","","-"&amp;E976))</f>
        <v/>
      </c>
      <c r="G976" s="13"/>
      <c r="H976" s="13"/>
      <c r="I976" s="13"/>
      <c r="J976" s="13"/>
      <c r="K976" s="13"/>
      <c r="L976" s="13"/>
      <c r="M976" s="11" t="str">
        <f aca="false">IF(F976="","",COUNTIFS(ENSAYOS!$C$5:$C$3004,F976,ENSAYOS!$Q$5:$Q$3004,"&gt;0"))</f>
        <v/>
      </c>
      <c r="N976" s="15" t="str">
        <f aca="false">IF(N(M976)=0,"",_xlfn.MINIFS(ENSAYOS!$G$5:$G$3004,ENSAYOS!$C$5:$C$3004,F976,ENSAYOS!$Q$5:$Q$3004,"&gt;0"))</f>
        <v/>
      </c>
      <c r="O976" s="15" t="str">
        <f aca="false">IF(N(M976)=0,"",_xlfn.MAXIFS(ENSAYOS!$G$5:$G$3004,ENSAYOS!$C$5:$C$3004,F976,ENSAYOS!$Q$5:$Q$3004,"&gt;0"))</f>
        <v/>
      </c>
      <c r="P976" s="16" t="str">
        <f aca="false">IF(N(M976)=0,"",AVERAGEIFS(ENSAYOS!$Q$5:$Q$3004,ENSAYOS!$C$5:$C$3004,F976,ENSAYOS!$Q$5:$Q$3004,"&gt;0"))</f>
        <v/>
      </c>
      <c r="Q976" s="16" t="str">
        <f aca="false">IF(N(M976)=0,"",_xlfn.MINIFS(ENSAYOS!$Q$5:$Q$3004,ENSAYOS!$C$5:$C$3004,F976,ENSAYOS!$Q$5:$Q$3004,"&gt;0"))</f>
        <v/>
      </c>
      <c r="R976" s="16" t="str">
        <f aca="false">IF(N(M976)=0,"",_xlfn.MAXIFS(ENSAYOS!$Q$5:$Q$3004,ENSAYOS!$C$5:$C$3004,F976,ENSAYOS!$Q$5:$Q$3004,"&gt;0"))</f>
        <v/>
      </c>
      <c r="S976" s="16" t="str">
        <f aca="false">IF(N(M976)&lt;2,"",SQRT(MAX(0,(SUMIFS(ENSAYOS!$X$5:$X$3004,ENSAYOS!$C$5:$C$3004,F976,ENSAYOS!$Q$5:$Q$3004,"&gt;0")-M976*P976^2)/(M976-1))))</f>
        <v/>
      </c>
      <c r="T976" s="17" t="str">
        <f aca="false">IF(S976="","",S976/P976)</f>
        <v/>
      </c>
      <c r="U976" s="16" t="str">
        <f aca="false">IF(N(M976)=0,"",IF(N976&gt;=CONFIG!$B$27,"",AVERAGEIFS(ENSAYOS!$Q$5:$Q$3004,ENSAYOS!$C$5:$C$3004,F976,ENSAYOS!$Q$5:$Q$3004,"&gt;0",ENSAYOS!$G$5:$G$3004,N976)))</f>
        <v/>
      </c>
      <c r="V976" s="16" t="str">
        <f aca="false">IF(N(M976)=0,"",IF(COUNTIFS(ENSAYOS!$C$5:$C$3004,F976,ENSAYOS!$Q$5:$Q$3004,"&gt;0",ENSAYOS!$G$5:$G$3004,"&gt;="&amp;CONFIG!$B$27)=0,"",AVERAGEIFS(ENSAYOS!$Q$5:$Q$3004,ENSAYOS!$C$5:$C$3004,F976,ENSAYOS!$Q$5:$Q$3004,"&gt;0",ENSAYOS!$G$5:$G$3004,"&gt;="&amp;CONFIG!$B$27)))</f>
        <v/>
      </c>
      <c r="W976" s="18" t="str">
        <f aca="false">IF(AND(U976&lt;&gt;"",V976&lt;&gt;""),U976/V976,"")</f>
        <v/>
      </c>
      <c r="X976" s="18" t="str">
        <f aca="false">IF(U976="","",INDEX('CURVA EDAD'!$E$5:$E$32,MIN(28,MAX(1,N976))))</f>
        <v/>
      </c>
      <c r="Y976" s="16" t="str">
        <f aca="false">IF(V976&lt;&gt;"",V976,IF(U976="","",U976/X976))</f>
        <v/>
      </c>
      <c r="Z976" s="16" t="str">
        <f aca="false">IF(V976&lt;&gt;"",_xlfn.MINIFS(ENSAYOS!$Q$5:$Q$3004,ENSAYOS!$C$5:$C$3004,F976,ENSAYOS!$Q$5:$Q$3004,"&gt;0",ENSAYOS!$G$5:$G$3004,"&gt;="&amp;CONFIG!$B$27),IF(U976="","",_xlfn.MINIFS(ENSAYOS!$Q$5:$Q$3004,ENSAYOS!$C$5:$C$3004,F976,ENSAYOS!$Q$5:$Q$3004,"&gt;0",ENSAYOS!$G$5:$G$3004,N976)/X976))</f>
        <v/>
      </c>
      <c r="AA976" s="16" t="str">
        <f aca="false">IF(D976="","",IFERROR(1/(1/INDEX(CONFIG!$J$5:$J$14,MATCH(D976,CONFIG!$D$5:$D$14,0))),""))</f>
        <v/>
      </c>
      <c r="AB976" s="16" t="str">
        <f aca="false">IF(D976="","",IFERROR(1/(1/INDEX(CONFIG!$K$5:$K$14,MATCH(D976,CONFIG!$D$5:$D$14,0))),""))</f>
        <v/>
      </c>
      <c r="AC976" s="19" t="str">
        <f aca="false">IF(N(M976)=0,"",IF(AA976="","Sin spec",IF(AND(Y976&gt;=AA976,OR(AB976="",Z976&gt;=AB976)),"CUMPLE","NO CUMPLE")&amp;IF(V976=""," (est.)","")))</f>
        <v/>
      </c>
      <c r="AD976" s="20" t="str">
        <f aca="false">IF(F976="","",IF(COUNTIFS(ABSORCION!$C$5:$C$1004,F976,ABSORCION!$I$5:$I$1004,"&gt;0")=0,"",AVERAGEIFS(ABSORCION!$I$5:$I$1004,ABSORCION!$C$5:$C$1004,F976,ABSORCION!$I$5:$I$1004,"&gt;0")))</f>
        <v/>
      </c>
      <c r="AE976" s="20" t="str">
        <f aca="false">IF(F976="","",IF(COUNTIFS(ABSORCION!$C$5:$C$1004,F976,ABSORCION!$I$5:$I$1004,"&gt;0")=0,"",AVERAGEIFS(ABSORCION!$K$5:$K$1004,ABSORCION!$C$5:$C$1004,F976,ABSORCION!$I$5:$I$1004,"&gt;0")))</f>
        <v/>
      </c>
      <c r="AF976" s="20" t="str">
        <f aca="false">IF(AE976="","",IF(AE976&gt;=CONFIG!$E$21,CONFIG!$F$21,IF(AE976&gt;=CONFIG!$E$20,CONFIG!$F$20,CONFIG!$F$19)))</f>
        <v/>
      </c>
      <c r="AG976" s="21" t="str">
        <f aca="false">IF(F976="","",TRIM(IF(N(M976)=0,"Sin ensayos. ","")&amp;IF(AND(N(M976)&gt;0,N(M976)&lt;CONFIG!$B$26),"Menos de "&amp;CONFIG!$B$26&amp;" probetas. ","")&amp;IF(N(T976)&gt;CONFIG!$B$25,"CV alto. ","")&amp;IF(AND(N(AD976)&gt;0,N(AD976)&gt;N(AF976)),"Absorción alta. ","")))</f>
        <v/>
      </c>
      <c r="AH976" s="22" t="str">
        <f aca="false">IF(AND(N(M976)&gt;0,OR(CONTROL!$C$4="TODAS",C976=CONTROL!$C$4),D976=CONTROL!$C$5),MAX($AH$4:AH975)+1,"")</f>
        <v/>
      </c>
      <c r="AI976" s="22" t="str">
        <f aca="false">IF(AH976="","",P976^2)</f>
        <v/>
      </c>
    </row>
    <row r="977" customFormat="false" ht="15" hidden="false" customHeight="false" outlineLevel="0" collapsed="false">
      <c r="A977" s="11" t="str">
        <f aca="false">IF(B977="","",ROW()-4)</f>
        <v/>
      </c>
      <c r="B977" s="12"/>
      <c r="C977" s="13"/>
      <c r="D977" s="13"/>
      <c r="E977" s="13"/>
      <c r="F977" s="14" t="str">
        <f aca="false">IF(OR(B977="",C977="",D977=""),"",IFERROR(INDEX(CONFIG!$E$5:$E$14,MATCH(D977,CONFIG!$D$5:$D$14,0)),"?")&amp;RIGHT("0"&amp;DAY(B977),2)&amp;RIGHT("0"&amp;MONTH(B977),2)&amp;RIGHT(YEAR(B977),2)&amp;C977&amp;IF(E977="","","-"&amp;E977))</f>
        <v/>
      </c>
      <c r="G977" s="13"/>
      <c r="H977" s="13"/>
      <c r="I977" s="13"/>
      <c r="J977" s="13"/>
      <c r="K977" s="13"/>
      <c r="L977" s="13"/>
      <c r="M977" s="11" t="str">
        <f aca="false">IF(F977="","",COUNTIFS(ENSAYOS!$C$5:$C$3004,F977,ENSAYOS!$Q$5:$Q$3004,"&gt;0"))</f>
        <v/>
      </c>
      <c r="N977" s="15" t="str">
        <f aca="false">IF(N(M977)=0,"",_xlfn.MINIFS(ENSAYOS!$G$5:$G$3004,ENSAYOS!$C$5:$C$3004,F977,ENSAYOS!$Q$5:$Q$3004,"&gt;0"))</f>
        <v/>
      </c>
      <c r="O977" s="15" t="str">
        <f aca="false">IF(N(M977)=0,"",_xlfn.MAXIFS(ENSAYOS!$G$5:$G$3004,ENSAYOS!$C$5:$C$3004,F977,ENSAYOS!$Q$5:$Q$3004,"&gt;0"))</f>
        <v/>
      </c>
      <c r="P977" s="16" t="str">
        <f aca="false">IF(N(M977)=0,"",AVERAGEIFS(ENSAYOS!$Q$5:$Q$3004,ENSAYOS!$C$5:$C$3004,F977,ENSAYOS!$Q$5:$Q$3004,"&gt;0"))</f>
        <v/>
      </c>
      <c r="Q977" s="16" t="str">
        <f aca="false">IF(N(M977)=0,"",_xlfn.MINIFS(ENSAYOS!$Q$5:$Q$3004,ENSAYOS!$C$5:$C$3004,F977,ENSAYOS!$Q$5:$Q$3004,"&gt;0"))</f>
        <v/>
      </c>
      <c r="R977" s="16" t="str">
        <f aca="false">IF(N(M977)=0,"",_xlfn.MAXIFS(ENSAYOS!$Q$5:$Q$3004,ENSAYOS!$C$5:$C$3004,F977,ENSAYOS!$Q$5:$Q$3004,"&gt;0"))</f>
        <v/>
      </c>
      <c r="S977" s="16" t="str">
        <f aca="false">IF(N(M977)&lt;2,"",SQRT(MAX(0,(SUMIFS(ENSAYOS!$X$5:$X$3004,ENSAYOS!$C$5:$C$3004,F977,ENSAYOS!$Q$5:$Q$3004,"&gt;0")-M977*P977^2)/(M977-1))))</f>
        <v/>
      </c>
      <c r="T977" s="17" t="str">
        <f aca="false">IF(S977="","",S977/P977)</f>
        <v/>
      </c>
      <c r="U977" s="16" t="str">
        <f aca="false">IF(N(M977)=0,"",IF(N977&gt;=CONFIG!$B$27,"",AVERAGEIFS(ENSAYOS!$Q$5:$Q$3004,ENSAYOS!$C$5:$C$3004,F977,ENSAYOS!$Q$5:$Q$3004,"&gt;0",ENSAYOS!$G$5:$G$3004,N977)))</f>
        <v/>
      </c>
      <c r="V977" s="16" t="str">
        <f aca="false">IF(N(M977)=0,"",IF(COUNTIFS(ENSAYOS!$C$5:$C$3004,F977,ENSAYOS!$Q$5:$Q$3004,"&gt;0",ENSAYOS!$G$5:$G$3004,"&gt;="&amp;CONFIG!$B$27)=0,"",AVERAGEIFS(ENSAYOS!$Q$5:$Q$3004,ENSAYOS!$C$5:$C$3004,F977,ENSAYOS!$Q$5:$Q$3004,"&gt;0",ENSAYOS!$G$5:$G$3004,"&gt;="&amp;CONFIG!$B$27)))</f>
        <v/>
      </c>
      <c r="W977" s="18" t="str">
        <f aca="false">IF(AND(U977&lt;&gt;"",V977&lt;&gt;""),U977/V977,"")</f>
        <v/>
      </c>
      <c r="X977" s="18" t="str">
        <f aca="false">IF(U977="","",INDEX('CURVA EDAD'!$E$5:$E$32,MIN(28,MAX(1,N977))))</f>
        <v/>
      </c>
      <c r="Y977" s="16" t="str">
        <f aca="false">IF(V977&lt;&gt;"",V977,IF(U977="","",U977/X977))</f>
        <v/>
      </c>
      <c r="Z977" s="16" t="str">
        <f aca="false">IF(V977&lt;&gt;"",_xlfn.MINIFS(ENSAYOS!$Q$5:$Q$3004,ENSAYOS!$C$5:$C$3004,F977,ENSAYOS!$Q$5:$Q$3004,"&gt;0",ENSAYOS!$G$5:$G$3004,"&gt;="&amp;CONFIG!$B$27),IF(U977="","",_xlfn.MINIFS(ENSAYOS!$Q$5:$Q$3004,ENSAYOS!$C$5:$C$3004,F977,ENSAYOS!$Q$5:$Q$3004,"&gt;0",ENSAYOS!$G$5:$G$3004,N977)/X977))</f>
        <v/>
      </c>
      <c r="AA977" s="16" t="str">
        <f aca="false">IF(D977="","",IFERROR(1/(1/INDEX(CONFIG!$J$5:$J$14,MATCH(D977,CONFIG!$D$5:$D$14,0))),""))</f>
        <v/>
      </c>
      <c r="AB977" s="16" t="str">
        <f aca="false">IF(D977="","",IFERROR(1/(1/INDEX(CONFIG!$K$5:$K$14,MATCH(D977,CONFIG!$D$5:$D$14,0))),""))</f>
        <v/>
      </c>
      <c r="AC977" s="19" t="str">
        <f aca="false">IF(N(M977)=0,"",IF(AA977="","Sin spec",IF(AND(Y977&gt;=AA977,OR(AB977="",Z977&gt;=AB977)),"CUMPLE","NO CUMPLE")&amp;IF(V977=""," (est.)","")))</f>
        <v/>
      </c>
      <c r="AD977" s="20" t="str">
        <f aca="false">IF(F977="","",IF(COUNTIFS(ABSORCION!$C$5:$C$1004,F977,ABSORCION!$I$5:$I$1004,"&gt;0")=0,"",AVERAGEIFS(ABSORCION!$I$5:$I$1004,ABSORCION!$C$5:$C$1004,F977,ABSORCION!$I$5:$I$1004,"&gt;0")))</f>
        <v/>
      </c>
      <c r="AE977" s="20" t="str">
        <f aca="false">IF(F977="","",IF(COUNTIFS(ABSORCION!$C$5:$C$1004,F977,ABSORCION!$I$5:$I$1004,"&gt;0")=0,"",AVERAGEIFS(ABSORCION!$K$5:$K$1004,ABSORCION!$C$5:$C$1004,F977,ABSORCION!$I$5:$I$1004,"&gt;0")))</f>
        <v/>
      </c>
      <c r="AF977" s="20" t="str">
        <f aca="false">IF(AE977="","",IF(AE977&gt;=CONFIG!$E$21,CONFIG!$F$21,IF(AE977&gt;=CONFIG!$E$20,CONFIG!$F$20,CONFIG!$F$19)))</f>
        <v/>
      </c>
      <c r="AG977" s="21" t="str">
        <f aca="false">IF(F977="","",TRIM(IF(N(M977)=0,"Sin ensayos. ","")&amp;IF(AND(N(M977)&gt;0,N(M977)&lt;CONFIG!$B$26),"Menos de "&amp;CONFIG!$B$26&amp;" probetas. ","")&amp;IF(N(T977)&gt;CONFIG!$B$25,"CV alto. ","")&amp;IF(AND(N(AD977)&gt;0,N(AD977)&gt;N(AF977)),"Absorción alta. ","")))</f>
        <v/>
      </c>
      <c r="AH977" s="22" t="str">
        <f aca="false">IF(AND(N(M977)&gt;0,OR(CONTROL!$C$4="TODAS",C977=CONTROL!$C$4),D977=CONTROL!$C$5),MAX($AH$4:AH976)+1,"")</f>
        <v/>
      </c>
      <c r="AI977" s="22" t="str">
        <f aca="false">IF(AH977="","",P977^2)</f>
        <v/>
      </c>
    </row>
    <row r="978" customFormat="false" ht="15" hidden="false" customHeight="false" outlineLevel="0" collapsed="false">
      <c r="A978" s="11" t="str">
        <f aca="false">IF(B978="","",ROW()-4)</f>
        <v/>
      </c>
      <c r="B978" s="12"/>
      <c r="C978" s="13"/>
      <c r="D978" s="13"/>
      <c r="E978" s="13"/>
      <c r="F978" s="14" t="str">
        <f aca="false">IF(OR(B978="",C978="",D978=""),"",IFERROR(INDEX(CONFIG!$E$5:$E$14,MATCH(D978,CONFIG!$D$5:$D$14,0)),"?")&amp;RIGHT("0"&amp;DAY(B978),2)&amp;RIGHT("0"&amp;MONTH(B978),2)&amp;RIGHT(YEAR(B978),2)&amp;C978&amp;IF(E978="","","-"&amp;E978))</f>
        <v/>
      </c>
      <c r="G978" s="13"/>
      <c r="H978" s="13"/>
      <c r="I978" s="13"/>
      <c r="J978" s="13"/>
      <c r="K978" s="13"/>
      <c r="L978" s="13"/>
      <c r="M978" s="11" t="str">
        <f aca="false">IF(F978="","",COUNTIFS(ENSAYOS!$C$5:$C$3004,F978,ENSAYOS!$Q$5:$Q$3004,"&gt;0"))</f>
        <v/>
      </c>
      <c r="N978" s="15" t="str">
        <f aca="false">IF(N(M978)=0,"",_xlfn.MINIFS(ENSAYOS!$G$5:$G$3004,ENSAYOS!$C$5:$C$3004,F978,ENSAYOS!$Q$5:$Q$3004,"&gt;0"))</f>
        <v/>
      </c>
      <c r="O978" s="15" t="str">
        <f aca="false">IF(N(M978)=0,"",_xlfn.MAXIFS(ENSAYOS!$G$5:$G$3004,ENSAYOS!$C$5:$C$3004,F978,ENSAYOS!$Q$5:$Q$3004,"&gt;0"))</f>
        <v/>
      </c>
      <c r="P978" s="16" t="str">
        <f aca="false">IF(N(M978)=0,"",AVERAGEIFS(ENSAYOS!$Q$5:$Q$3004,ENSAYOS!$C$5:$C$3004,F978,ENSAYOS!$Q$5:$Q$3004,"&gt;0"))</f>
        <v/>
      </c>
      <c r="Q978" s="16" t="str">
        <f aca="false">IF(N(M978)=0,"",_xlfn.MINIFS(ENSAYOS!$Q$5:$Q$3004,ENSAYOS!$C$5:$C$3004,F978,ENSAYOS!$Q$5:$Q$3004,"&gt;0"))</f>
        <v/>
      </c>
      <c r="R978" s="16" t="str">
        <f aca="false">IF(N(M978)=0,"",_xlfn.MAXIFS(ENSAYOS!$Q$5:$Q$3004,ENSAYOS!$C$5:$C$3004,F978,ENSAYOS!$Q$5:$Q$3004,"&gt;0"))</f>
        <v/>
      </c>
      <c r="S978" s="16" t="str">
        <f aca="false">IF(N(M978)&lt;2,"",SQRT(MAX(0,(SUMIFS(ENSAYOS!$X$5:$X$3004,ENSAYOS!$C$5:$C$3004,F978,ENSAYOS!$Q$5:$Q$3004,"&gt;0")-M978*P978^2)/(M978-1))))</f>
        <v/>
      </c>
      <c r="T978" s="17" t="str">
        <f aca="false">IF(S978="","",S978/P978)</f>
        <v/>
      </c>
      <c r="U978" s="16" t="str">
        <f aca="false">IF(N(M978)=0,"",IF(N978&gt;=CONFIG!$B$27,"",AVERAGEIFS(ENSAYOS!$Q$5:$Q$3004,ENSAYOS!$C$5:$C$3004,F978,ENSAYOS!$Q$5:$Q$3004,"&gt;0",ENSAYOS!$G$5:$G$3004,N978)))</f>
        <v/>
      </c>
      <c r="V978" s="16" t="str">
        <f aca="false">IF(N(M978)=0,"",IF(COUNTIFS(ENSAYOS!$C$5:$C$3004,F978,ENSAYOS!$Q$5:$Q$3004,"&gt;0",ENSAYOS!$G$5:$G$3004,"&gt;="&amp;CONFIG!$B$27)=0,"",AVERAGEIFS(ENSAYOS!$Q$5:$Q$3004,ENSAYOS!$C$5:$C$3004,F978,ENSAYOS!$Q$5:$Q$3004,"&gt;0",ENSAYOS!$G$5:$G$3004,"&gt;="&amp;CONFIG!$B$27)))</f>
        <v/>
      </c>
      <c r="W978" s="18" t="str">
        <f aca="false">IF(AND(U978&lt;&gt;"",V978&lt;&gt;""),U978/V978,"")</f>
        <v/>
      </c>
      <c r="X978" s="18" t="str">
        <f aca="false">IF(U978="","",INDEX('CURVA EDAD'!$E$5:$E$32,MIN(28,MAX(1,N978))))</f>
        <v/>
      </c>
      <c r="Y978" s="16" t="str">
        <f aca="false">IF(V978&lt;&gt;"",V978,IF(U978="","",U978/X978))</f>
        <v/>
      </c>
      <c r="Z978" s="16" t="str">
        <f aca="false">IF(V978&lt;&gt;"",_xlfn.MINIFS(ENSAYOS!$Q$5:$Q$3004,ENSAYOS!$C$5:$C$3004,F978,ENSAYOS!$Q$5:$Q$3004,"&gt;0",ENSAYOS!$G$5:$G$3004,"&gt;="&amp;CONFIG!$B$27),IF(U978="","",_xlfn.MINIFS(ENSAYOS!$Q$5:$Q$3004,ENSAYOS!$C$5:$C$3004,F978,ENSAYOS!$Q$5:$Q$3004,"&gt;0",ENSAYOS!$G$5:$G$3004,N978)/X978))</f>
        <v/>
      </c>
      <c r="AA978" s="16" t="str">
        <f aca="false">IF(D978="","",IFERROR(1/(1/INDEX(CONFIG!$J$5:$J$14,MATCH(D978,CONFIG!$D$5:$D$14,0))),""))</f>
        <v/>
      </c>
      <c r="AB978" s="16" t="str">
        <f aca="false">IF(D978="","",IFERROR(1/(1/INDEX(CONFIG!$K$5:$K$14,MATCH(D978,CONFIG!$D$5:$D$14,0))),""))</f>
        <v/>
      </c>
      <c r="AC978" s="19" t="str">
        <f aca="false">IF(N(M978)=0,"",IF(AA978="","Sin spec",IF(AND(Y978&gt;=AA978,OR(AB978="",Z978&gt;=AB978)),"CUMPLE","NO CUMPLE")&amp;IF(V978=""," (est.)","")))</f>
        <v/>
      </c>
      <c r="AD978" s="20" t="str">
        <f aca="false">IF(F978="","",IF(COUNTIFS(ABSORCION!$C$5:$C$1004,F978,ABSORCION!$I$5:$I$1004,"&gt;0")=0,"",AVERAGEIFS(ABSORCION!$I$5:$I$1004,ABSORCION!$C$5:$C$1004,F978,ABSORCION!$I$5:$I$1004,"&gt;0")))</f>
        <v/>
      </c>
      <c r="AE978" s="20" t="str">
        <f aca="false">IF(F978="","",IF(COUNTIFS(ABSORCION!$C$5:$C$1004,F978,ABSORCION!$I$5:$I$1004,"&gt;0")=0,"",AVERAGEIFS(ABSORCION!$K$5:$K$1004,ABSORCION!$C$5:$C$1004,F978,ABSORCION!$I$5:$I$1004,"&gt;0")))</f>
        <v/>
      </c>
      <c r="AF978" s="20" t="str">
        <f aca="false">IF(AE978="","",IF(AE978&gt;=CONFIG!$E$21,CONFIG!$F$21,IF(AE978&gt;=CONFIG!$E$20,CONFIG!$F$20,CONFIG!$F$19)))</f>
        <v/>
      </c>
      <c r="AG978" s="21" t="str">
        <f aca="false">IF(F978="","",TRIM(IF(N(M978)=0,"Sin ensayos. ","")&amp;IF(AND(N(M978)&gt;0,N(M978)&lt;CONFIG!$B$26),"Menos de "&amp;CONFIG!$B$26&amp;" probetas. ","")&amp;IF(N(T978)&gt;CONFIG!$B$25,"CV alto. ","")&amp;IF(AND(N(AD978)&gt;0,N(AD978)&gt;N(AF978)),"Absorción alta. ","")))</f>
        <v/>
      </c>
      <c r="AH978" s="22" t="str">
        <f aca="false">IF(AND(N(M978)&gt;0,OR(CONTROL!$C$4="TODAS",C978=CONTROL!$C$4),D978=CONTROL!$C$5),MAX($AH$4:AH977)+1,"")</f>
        <v/>
      </c>
      <c r="AI978" s="22" t="str">
        <f aca="false">IF(AH978="","",P978^2)</f>
        <v/>
      </c>
    </row>
    <row r="979" customFormat="false" ht="15" hidden="false" customHeight="false" outlineLevel="0" collapsed="false">
      <c r="A979" s="11" t="str">
        <f aca="false">IF(B979="","",ROW()-4)</f>
        <v/>
      </c>
      <c r="B979" s="12"/>
      <c r="C979" s="13"/>
      <c r="D979" s="13"/>
      <c r="E979" s="13"/>
      <c r="F979" s="14" t="str">
        <f aca="false">IF(OR(B979="",C979="",D979=""),"",IFERROR(INDEX(CONFIG!$E$5:$E$14,MATCH(D979,CONFIG!$D$5:$D$14,0)),"?")&amp;RIGHT("0"&amp;DAY(B979),2)&amp;RIGHT("0"&amp;MONTH(B979),2)&amp;RIGHT(YEAR(B979),2)&amp;C979&amp;IF(E979="","","-"&amp;E979))</f>
        <v/>
      </c>
      <c r="G979" s="13"/>
      <c r="H979" s="13"/>
      <c r="I979" s="13"/>
      <c r="J979" s="13"/>
      <c r="K979" s="13"/>
      <c r="L979" s="13"/>
      <c r="M979" s="11" t="str">
        <f aca="false">IF(F979="","",COUNTIFS(ENSAYOS!$C$5:$C$3004,F979,ENSAYOS!$Q$5:$Q$3004,"&gt;0"))</f>
        <v/>
      </c>
      <c r="N979" s="15" t="str">
        <f aca="false">IF(N(M979)=0,"",_xlfn.MINIFS(ENSAYOS!$G$5:$G$3004,ENSAYOS!$C$5:$C$3004,F979,ENSAYOS!$Q$5:$Q$3004,"&gt;0"))</f>
        <v/>
      </c>
      <c r="O979" s="15" t="str">
        <f aca="false">IF(N(M979)=0,"",_xlfn.MAXIFS(ENSAYOS!$G$5:$G$3004,ENSAYOS!$C$5:$C$3004,F979,ENSAYOS!$Q$5:$Q$3004,"&gt;0"))</f>
        <v/>
      </c>
      <c r="P979" s="16" t="str">
        <f aca="false">IF(N(M979)=0,"",AVERAGEIFS(ENSAYOS!$Q$5:$Q$3004,ENSAYOS!$C$5:$C$3004,F979,ENSAYOS!$Q$5:$Q$3004,"&gt;0"))</f>
        <v/>
      </c>
      <c r="Q979" s="16" t="str">
        <f aca="false">IF(N(M979)=0,"",_xlfn.MINIFS(ENSAYOS!$Q$5:$Q$3004,ENSAYOS!$C$5:$C$3004,F979,ENSAYOS!$Q$5:$Q$3004,"&gt;0"))</f>
        <v/>
      </c>
      <c r="R979" s="16" t="str">
        <f aca="false">IF(N(M979)=0,"",_xlfn.MAXIFS(ENSAYOS!$Q$5:$Q$3004,ENSAYOS!$C$5:$C$3004,F979,ENSAYOS!$Q$5:$Q$3004,"&gt;0"))</f>
        <v/>
      </c>
      <c r="S979" s="16" t="str">
        <f aca="false">IF(N(M979)&lt;2,"",SQRT(MAX(0,(SUMIFS(ENSAYOS!$X$5:$X$3004,ENSAYOS!$C$5:$C$3004,F979,ENSAYOS!$Q$5:$Q$3004,"&gt;0")-M979*P979^2)/(M979-1))))</f>
        <v/>
      </c>
      <c r="T979" s="17" t="str">
        <f aca="false">IF(S979="","",S979/P979)</f>
        <v/>
      </c>
      <c r="U979" s="16" t="str">
        <f aca="false">IF(N(M979)=0,"",IF(N979&gt;=CONFIG!$B$27,"",AVERAGEIFS(ENSAYOS!$Q$5:$Q$3004,ENSAYOS!$C$5:$C$3004,F979,ENSAYOS!$Q$5:$Q$3004,"&gt;0",ENSAYOS!$G$5:$G$3004,N979)))</f>
        <v/>
      </c>
      <c r="V979" s="16" t="str">
        <f aca="false">IF(N(M979)=0,"",IF(COUNTIFS(ENSAYOS!$C$5:$C$3004,F979,ENSAYOS!$Q$5:$Q$3004,"&gt;0",ENSAYOS!$G$5:$G$3004,"&gt;="&amp;CONFIG!$B$27)=0,"",AVERAGEIFS(ENSAYOS!$Q$5:$Q$3004,ENSAYOS!$C$5:$C$3004,F979,ENSAYOS!$Q$5:$Q$3004,"&gt;0",ENSAYOS!$G$5:$G$3004,"&gt;="&amp;CONFIG!$B$27)))</f>
        <v/>
      </c>
      <c r="W979" s="18" t="str">
        <f aca="false">IF(AND(U979&lt;&gt;"",V979&lt;&gt;""),U979/V979,"")</f>
        <v/>
      </c>
      <c r="X979" s="18" t="str">
        <f aca="false">IF(U979="","",INDEX('CURVA EDAD'!$E$5:$E$32,MIN(28,MAX(1,N979))))</f>
        <v/>
      </c>
      <c r="Y979" s="16" t="str">
        <f aca="false">IF(V979&lt;&gt;"",V979,IF(U979="","",U979/X979))</f>
        <v/>
      </c>
      <c r="Z979" s="16" t="str">
        <f aca="false">IF(V979&lt;&gt;"",_xlfn.MINIFS(ENSAYOS!$Q$5:$Q$3004,ENSAYOS!$C$5:$C$3004,F979,ENSAYOS!$Q$5:$Q$3004,"&gt;0",ENSAYOS!$G$5:$G$3004,"&gt;="&amp;CONFIG!$B$27),IF(U979="","",_xlfn.MINIFS(ENSAYOS!$Q$5:$Q$3004,ENSAYOS!$C$5:$C$3004,F979,ENSAYOS!$Q$5:$Q$3004,"&gt;0",ENSAYOS!$G$5:$G$3004,N979)/X979))</f>
        <v/>
      </c>
      <c r="AA979" s="16" t="str">
        <f aca="false">IF(D979="","",IFERROR(1/(1/INDEX(CONFIG!$J$5:$J$14,MATCH(D979,CONFIG!$D$5:$D$14,0))),""))</f>
        <v/>
      </c>
      <c r="AB979" s="16" t="str">
        <f aca="false">IF(D979="","",IFERROR(1/(1/INDEX(CONFIG!$K$5:$K$14,MATCH(D979,CONFIG!$D$5:$D$14,0))),""))</f>
        <v/>
      </c>
      <c r="AC979" s="19" t="str">
        <f aca="false">IF(N(M979)=0,"",IF(AA979="","Sin spec",IF(AND(Y979&gt;=AA979,OR(AB979="",Z979&gt;=AB979)),"CUMPLE","NO CUMPLE")&amp;IF(V979=""," (est.)","")))</f>
        <v/>
      </c>
      <c r="AD979" s="20" t="str">
        <f aca="false">IF(F979="","",IF(COUNTIFS(ABSORCION!$C$5:$C$1004,F979,ABSORCION!$I$5:$I$1004,"&gt;0")=0,"",AVERAGEIFS(ABSORCION!$I$5:$I$1004,ABSORCION!$C$5:$C$1004,F979,ABSORCION!$I$5:$I$1004,"&gt;0")))</f>
        <v/>
      </c>
      <c r="AE979" s="20" t="str">
        <f aca="false">IF(F979="","",IF(COUNTIFS(ABSORCION!$C$5:$C$1004,F979,ABSORCION!$I$5:$I$1004,"&gt;0")=0,"",AVERAGEIFS(ABSORCION!$K$5:$K$1004,ABSORCION!$C$5:$C$1004,F979,ABSORCION!$I$5:$I$1004,"&gt;0")))</f>
        <v/>
      </c>
      <c r="AF979" s="20" t="str">
        <f aca="false">IF(AE979="","",IF(AE979&gt;=CONFIG!$E$21,CONFIG!$F$21,IF(AE979&gt;=CONFIG!$E$20,CONFIG!$F$20,CONFIG!$F$19)))</f>
        <v/>
      </c>
      <c r="AG979" s="21" t="str">
        <f aca="false">IF(F979="","",TRIM(IF(N(M979)=0,"Sin ensayos. ","")&amp;IF(AND(N(M979)&gt;0,N(M979)&lt;CONFIG!$B$26),"Menos de "&amp;CONFIG!$B$26&amp;" probetas. ","")&amp;IF(N(T979)&gt;CONFIG!$B$25,"CV alto. ","")&amp;IF(AND(N(AD979)&gt;0,N(AD979)&gt;N(AF979)),"Absorción alta. ","")))</f>
        <v/>
      </c>
      <c r="AH979" s="22" t="str">
        <f aca="false">IF(AND(N(M979)&gt;0,OR(CONTROL!$C$4="TODAS",C979=CONTROL!$C$4),D979=CONTROL!$C$5),MAX($AH$4:AH978)+1,"")</f>
        <v/>
      </c>
      <c r="AI979" s="22" t="str">
        <f aca="false">IF(AH979="","",P979^2)</f>
        <v/>
      </c>
    </row>
    <row r="980" customFormat="false" ht="15" hidden="false" customHeight="false" outlineLevel="0" collapsed="false">
      <c r="A980" s="11" t="str">
        <f aca="false">IF(B980="","",ROW()-4)</f>
        <v/>
      </c>
      <c r="B980" s="12"/>
      <c r="C980" s="13"/>
      <c r="D980" s="13"/>
      <c r="E980" s="13"/>
      <c r="F980" s="14" t="str">
        <f aca="false">IF(OR(B980="",C980="",D980=""),"",IFERROR(INDEX(CONFIG!$E$5:$E$14,MATCH(D980,CONFIG!$D$5:$D$14,0)),"?")&amp;RIGHT("0"&amp;DAY(B980),2)&amp;RIGHT("0"&amp;MONTH(B980),2)&amp;RIGHT(YEAR(B980),2)&amp;C980&amp;IF(E980="","","-"&amp;E980))</f>
        <v/>
      </c>
      <c r="G980" s="13"/>
      <c r="H980" s="13"/>
      <c r="I980" s="13"/>
      <c r="J980" s="13"/>
      <c r="K980" s="13"/>
      <c r="L980" s="13"/>
      <c r="M980" s="11" t="str">
        <f aca="false">IF(F980="","",COUNTIFS(ENSAYOS!$C$5:$C$3004,F980,ENSAYOS!$Q$5:$Q$3004,"&gt;0"))</f>
        <v/>
      </c>
      <c r="N980" s="15" t="str">
        <f aca="false">IF(N(M980)=0,"",_xlfn.MINIFS(ENSAYOS!$G$5:$G$3004,ENSAYOS!$C$5:$C$3004,F980,ENSAYOS!$Q$5:$Q$3004,"&gt;0"))</f>
        <v/>
      </c>
      <c r="O980" s="15" t="str">
        <f aca="false">IF(N(M980)=0,"",_xlfn.MAXIFS(ENSAYOS!$G$5:$G$3004,ENSAYOS!$C$5:$C$3004,F980,ENSAYOS!$Q$5:$Q$3004,"&gt;0"))</f>
        <v/>
      </c>
      <c r="P980" s="16" t="str">
        <f aca="false">IF(N(M980)=0,"",AVERAGEIFS(ENSAYOS!$Q$5:$Q$3004,ENSAYOS!$C$5:$C$3004,F980,ENSAYOS!$Q$5:$Q$3004,"&gt;0"))</f>
        <v/>
      </c>
      <c r="Q980" s="16" t="str">
        <f aca="false">IF(N(M980)=0,"",_xlfn.MINIFS(ENSAYOS!$Q$5:$Q$3004,ENSAYOS!$C$5:$C$3004,F980,ENSAYOS!$Q$5:$Q$3004,"&gt;0"))</f>
        <v/>
      </c>
      <c r="R980" s="16" t="str">
        <f aca="false">IF(N(M980)=0,"",_xlfn.MAXIFS(ENSAYOS!$Q$5:$Q$3004,ENSAYOS!$C$5:$C$3004,F980,ENSAYOS!$Q$5:$Q$3004,"&gt;0"))</f>
        <v/>
      </c>
      <c r="S980" s="16" t="str">
        <f aca="false">IF(N(M980)&lt;2,"",SQRT(MAX(0,(SUMIFS(ENSAYOS!$X$5:$X$3004,ENSAYOS!$C$5:$C$3004,F980,ENSAYOS!$Q$5:$Q$3004,"&gt;0")-M980*P980^2)/(M980-1))))</f>
        <v/>
      </c>
      <c r="T980" s="17" t="str">
        <f aca="false">IF(S980="","",S980/P980)</f>
        <v/>
      </c>
      <c r="U980" s="16" t="str">
        <f aca="false">IF(N(M980)=0,"",IF(N980&gt;=CONFIG!$B$27,"",AVERAGEIFS(ENSAYOS!$Q$5:$Q$3004,ENSAYOS!$C$5:$C$3004,F980,ENSAYOS!$Q$5:$Q$3004,"&gt;0",ENSAYOS!$G$5:$G$3004,N980)))</f>
        <v/>
      </c>
      <c r="V980" s="16" t="str">
        <f aca="false">IF(N(M980)=0,"",IF(COUNTIFS(ENSAYOS!$C$5:$C$3004,F980,ENSAYOS!$Q$5:$Q$3004,"&gt;0",ENSAYOS!$G$5:$G$3004,"&gt;="&amp;CONFIG!$B$27)=0,"",AVERAGEIFS(ENSAYOS!$Q$5:$Q$3004,ENSAYOS!$C$5:$C$3004,F980,ENSAYOS!$Q$5:$Q$3004,"&gt;0",ENSAYOS!$G$5:$G$3004,"&gt;="&amp;CONFIG!$B$27)))</f>
        <v/>
      </c>
      <c r="W980" s="18" t="str">
        <f aca="false">IF(AND(U980&lt;&gt;"",V980&lt;&gt;""),U980/V980,"")</f>
        <v/>
      </c>
      <c r="X980" s="18" t="str">
        <f aca="false">IF(U980="","",INDEX('CURVA EDAD'!$E$5:$E$32,MIN(28,MAX(1,N980))))</f>
        <v/>
      </c>
      <c r="Y980" s="16" t="str">
        <f aca="false">IF(V980&lt;&gt;"",V980,IF(U980="","",U980/X980))</f>
        <v/>
      </c>
      <c r="Z980" s="16" t="str">
        <f aca="false">IF(V980&lt;&gt;"",_xlfn.MINIFS(ENSAYOS!$Q$5:$Q$3004,ENSAYOS!$C$5:$C$3004,F980,ENSAYOS!$Q$5:$Q$3004,"&gt;0",ENSAYOS!$G$5:$G$3004,"&gt;="&amp;CONFIG!$B$27),IF(U980="","",_xlfn.MINIFS(ENSAYOS!$Q$5:$Q$3004,ENSAYOS!$C$5:$C$3004,F980,ENSAYOS!$Q$5:$Q$3004,"&gt;0",ENSAYOS!$G$5:$G$3004,N980)/X980))</f>
        <v/>
      </c>
      <c r="AA980" s="16" t="str">
        <f aca="false">IF(D980="","",IFERROR(1/(1/INDEX(CONFIG!$J$5:$J$14,MATCH(D980,CONFIG!$D$5:$D$14,0))),""))</f>
        <v/>
      </c>
      <c r="AB980" s="16" t="str">
        <f aca="false">IF(D980="","",IFERROR(1/(1/INDEX(CONFIG!$K$5:$K$14,MATCH(D980,CONFIG!$D$5:$D$14,0))),""))</f>
        <v/>
      </c>
      <c r="AC980" s="19" t="str">
        <f aca="false">IF(N(M980)=0,"",IF(AA980="","Sin spec",IF(AND(Y980&gt;=AA980,OR(AB980="",Z980&gt;=AB980)),"CUMPLE","NO CUMPLE")&amp;IF(V980=""," (est.)","")))</f>
        <v/>
      </c>
      <c r="AD980" s="20" t="str">
        <f aca="false">IF(F980="","",IF(COUNTIFS(ABSORCION!$C$5:$C$1004,F980,ABSORCION!$I$5:$I$1004,"&gt;0")=0,"",AVERAGEIFS(ABSORCION!$I$5:$I$1004,ABSORCION!$C$5:$C$1004,F980,ABSORCION!$I$5:$I$1004,"&gt;0")))</f>
        <v/>
      </c>
      <c r="AE980" s="20" t="str">
        <f aca="false">IF(F980="","",IF(COUNTIFS(ABSORCION!$C$5:$C$1004,F980,ABSORCION!$I$5:$I$1004,"&gt;0")=0,"",AVERAGEIFS(ABSORCION!$K$5:$K$1004,ABSORCION!$C$5:$C$1004,F980,ABSORCION!$I$5:$I$1004,"&gt;0")))</f>
        <v/>
      </c>
      <c r="AF980" s="20" t="str">
        <f aca="false">IF(AE980="","",IF(AE980&gt;=CONFIG!$E$21,CONFIG!$F$21,IF(AE980&gt;=CONFIG!$E$20,CONFIG!$F$20,CONFIG!$F$19)))</f>
        <v/>
      </c>
      <c r="AG980" s="21" t="str">
        <f aca="false">IF(F980="","",TRIM(IF(N(M980)=0,"Sin ensayos. ","")&amp;IF(AND(N(M980)&gt;0,N(M980)&lt;CONFIG!$B$26),"Menos de "&amp;CONFIG!$B$26&amp;" probetas. ","")&amp;IF(N(T980)&gt;CONFIG!$B$25,"CV alto. ","")&amp;IF(AND(N(AD980)&gt;0,N(AD980)&gt;N(AF980)),"Absorción alta. ","")))</f>
        <v/>
      </c>
      <c r="AH980" s="22" t="str">
        <f aca="false">IF(AND(N(M980)&gt;0,OR(CONTROL!$C$4="TODAS",C980=CONTROL!$C$4),D980=CONTROL!$C$5),MAX($AH$4:AH979)+1,"")</f>
        <v/>
      </c>
      <c r="AI980" s="22" t="str">
        <f aca="false">IF(AH980="","",P980^2)</f>
        <v/>
      </c>
    </row>
    <row r="981" customFormat="false" ht="15" hidden="false" customHeight="false" outlineLevel="0" collapsed="false">
      <c r="A981" s="11" t="str">
        <f aca="false">IF(B981="","",ROW()-4)</f>
        <v/>
      </c>
      <c r="B981" s="12"/>
      <c r="C981" s="13"/>
      <c r="D981" s="13"/>
      <c r="E981" s="13"/>
      <c r="F981" s="14" t="str">
        <f aca="false">IF(OR(B981="",C981="",D981=""),"",IFERROR(INDEX(CONFIG!$E$5:$E$14,MATCH(D981,CONFIG!$D$5:$D$14,0)),"?")&amp;RIGHT("0"&amp;DAY(B981),2)&amp;RIGHT("0"&amp;MONTH(B981),2)&amp;RIGHT(YEAR(B981),2)&amp;C981&amp;IF(E981="","","-"&amp;E981))</f>
        <v/>
      </c>
      <c r="G981" s="13"/>
      <c r="H981" s="13"/>
      <c r="I981" s="13"/>
      <c r="J981" s="13"/>
      <c r="K981" s="13"/>
      <c r="L981" s="13"/>
      <c r="M981" s="11" t="str">
        <f aca="false">IF(F981="","",COUNTIFS(ENSAYOS!$C$5:$C$3004,F981,ENSAYOS!$Q$5:$Q$3004,"&gt;0"))</f>
        <v/>
      </c>
      <c r="N981" s="15" t="str">
        <f aca="false">IF(N(M981)=0,"",_xlfn.MINIFS(ENSAYOS!$G$5:$G$3004,ENSAYOS!$C$5:$C$3004,F981,ENSAYOS!$Q$5:$Q$3004,"&gt;0"))</f>
        <v/>
      </c>
      <c r="O981" s="15" t="str">
        <f aca="false">IF(N(M981)=0,"",_xlfn.MAXIFS(ENSAYOS!$G$5:$G$3004,ENSAYOS!$C$5:$C$3004,F981,ENSAYOS!$Q$5:$Q$3004,"&gt;0"))</f>
        <v/>
      </c>
      <c r="P981" s="16" t="str">
        <f aca="false">IF(N(M981)=0,"",AVERAGEIFS(ENSAYOS!$Q$5:$Q$3004,ENSAYOS!$C$5:$C$3004,F981,ENSAYOS!$Q$5:$Q$3004,"&gt;0"))</f>
        <v/>
      </c>
      <c r="Q981" s="16" t="str">
        <f aca="false">IF(N(M981)=0,"",_xlfn.MINIFS(ENSAYOS!$Q$5:$Q$3004,ENSAYOS!$C$5:$C$3004,F981,ENSAYOS!$Q$5:$Q$3004,"&gt;0"))</f>
        <v/>
      </c>
      <c r="R981" s="16" t="str">
        <f aca="false">IF(N(M981)=0,"",_xlfn.MAXIFS(ENSAYOS!$Q$5:$Q$3004,ENSAYOS!$C$5:$C$3004,F981,ENSAYOS!$Q$5:$Q$3004,"&gt;0"))</f>
        <v/>
      </c>
      <c r="S981" s="16" t="str">
        <f aca="false">IF(N(M981)&lt;2,"",SQRT(MAX(0,(SUMIFS(ENSAYOS!$X$5:$X$3004,ENSAYOS!$C$5:$C$3004,F981,ENSAYOS!$Q$5:$Q$3004,"&gt;0")-M981*P981^2)/(M981-1))))</f>
        <v/>
      </c>
      <c r="T981" s="17" t="str">
        <f aca="false">IF(S981="","",S981/P981)</f>
        <v/>
      </c>
      <c r="U981" s="16" t="str">
        <f aca="false">IF(N(M981)=0,"",IF(N981&gt;=CONFIG!$B$27,"",AVERAGEIFS(ENSAYOS!$Q$5:$Q$3004,ENSAYOS!$C$5:$C$3004,F981,ENSAYOS!$Q$5:$Q$3004,"&gt;0",ENSAYOS!$G$5:$G$3004,N981)))</f>
        <v/>
      </c>
      <c r="V981" s="16" t="str">
        <f aca="false">IF(N(M981)=0,"",IF(COUNTIFS(ENSAYOS!$C$5:$C$3004,F981,ENSAYOS!$Q$5:$Q$3004,"&gt;0",ENSAYOS!$G$5:$G$3004,"&gt;="&amp;CONFIG!$B$27)=0,"",AVERAGEIFS(ENSAYOS!$Q$5:$Q$3004,ENSAYOS!$C$5:$C$3004,F981,ENSAYOS!$Q$5:$Q$3004,"&gt;0",ENSAYOS!$G$5:$G$3004,"&gt;="&amp;CONFIG!$B$27)))</f>
        <v/>
      </c>
      <c r="W981" s="18" t="str">
        <f aca="false">IF(AND(U981&lt;&gt;"",V981&lt;&gt;""),U981/V981,"")</f>
        <v/>
      </c>
      <c r="X981" s="18" t="str">
        <f aca="false">IF(U981="","",INDEX('CURVA EDAD'!$E$5:$E$32,MIN(28,MAX(1,N981))))</f>
        <v/>
      </c>
      <c r="Y981" s="16" t="str">
        <f aca="false">IF(V981&lt;&gt;"",V981,IF(U981="","",U981/X981))</f>
        <v/>
      </c>
      <c r="Z981" s="16" t="str">
        <f aca="false">IF(V981&lt;&gt;"",_xlfn.MINIFS(ENSAYOS!$Q$5:$Q$3004,ENSAYOS!$C$5:$C$3004,F981,ENSAYOS!$Q$5:$Q$3004,"&gt;0",ENSAYOS!$G$5:$G$3004,"&gt;="&amp;CONFIG!$B$27),IF(U981="","",_xlfn.MINIFS(ENSAYOS!$Q$5:$Q$3004,ENSAYOS!$C$5:$C$3004,F981,ENSAYOS!$Q$5:$Q$3004,"&gt;0",ENSAYOS!$G$5:$G$3004,N981)/X981))</f>
        <v/>
      </c>
      <c r="AA981" s="16" t="str">
        <f aca="false">IF(D981="","",IFERROR(1/(1/INDEX(CONFIG!$J$5:$J$14,MATCH(D981,CONFIG!$D$5:$D$14,0))),""))</f>
        <v/>
      </c>
      <c r="AB981" s="16" t="str">
        <f aca="false">IF(D981="","",IFERROR(1/(1/INDEX(CONFIG!$K$5:$K$14,MATCH(D981,CONFIG!$D$5:$D$14,0))),""))</f>
        <v/>
      </c>
      <c r="AC981" s="19" t="str">
        <f aca="false">IF(N(M981)=0,"",IF(AA981="","Sin spec",IF(AND(Y981&gt;=AA981,OR(AB981="",Z981&gt;=AB981)),"CUMPLE","NO CUMPLE")&amp;IF(V981=""," (est.)","")))</f>
        <v/>
      </c>
      <c r="AD981" s="20" t="str">
        <f aca="false">IF(F981="","",IF(COUNTIFS(ABSORCION!$C$5:$C$1004,F981,ABSORCION!$I$5:$I$1004,"&gt;0")=0,"",AVERAGEIFS(ABSORCION!$I$5:$I$1004,ABSORCION!$C$5:$C$1004,F981,ABSORCION!$I$5:$I$1004,"&gt;0")))</f>
        <v/>
      </c>
      <c r="AE981" s="20" t="str">
        <f aca="false">IF(F981="","",IF(COUNTIFS(ABSORCION!$C$5:$C$1004,F981,ABSORCION!$I$5:$I$1004,"&gt;0")=0,"",AVERAGEIFS(ABSORCION!$K$5:$K$1004,ABSORCION!$C$5:$C$1004,F981,ABSORCION!$I$5:$I$1004,"&gt;0")))</f>
        <v/>
      </c>
      <c r="AF981" s="20" t="str">
        <f aca="false">IF(AE981="","",IF(AE981&gt;=CONFIG!$E$21,CONFIG!$F$21,IF(AE981&gt;=CONFIG!$E$20,CONFIG!$F$20,CONFIG!$F$19)))</f>
        <v/>
      </c>
      <c r="AG981" s="21" t="str">
        <f aca="false">IF(F981="","",TRIM(IF(N(M981)=0,"Sin ensayos. ","")&amp;IF(AND(N(M981)&gt;0,N(M981)&lt;CONFIG!$B$26),"Menos de "&amp;CONFIG!$B$26&amp;" probetas. ","")&amp;IF(N(T981)&gt;CONFIG!$B$25,"CV alto. ","")&amp;IF(AND(N(AD981)&gt;0,N(AD981)&gt;N(AF981)),"Absorción alta. ","")))</f>
        <v/>
      </c>
      <c r="AH981" s="22" t="str">
        <f aca="false">IF(AND(N(M981)&gt;0,OR(CONTROL!$C$4="TODAS",C981=CONTROL!$C$4),D981=CONTROL!$C$5),MAX($AH$4:AH980)+1,"")</f>
        <v/>
      </c>
      <c r="AI981" s="22" t="str">
        <f aca="false">IF(AH981="","",P981^2)</f>
        <v/>
      </c>
    </row>
    <row r="982" customFormat="false" ht="15" hidden="false" customHeight="false" outlineLevel="0" collapsed="false">
      <c r="A982" s="11" t="str">
        <f aca="false">IF(B982="","",ROW()-4)</f>
        <v/>
      </c>
      <c r="B982" s="12"/>
      <c r="C982" s="13"/>
      <c r="D982" s="13"/>
      <c r="E982" s="13"/>
      <c r="F982" s="14" t="str">
        <f aca="false">IF(OR(B982="",C982="",D982=""),"",IFERROR(INDEX(CONFIG!$E$5:$E$14,MATCH(D982,CONFIG!$D$5:$D$14,0)),"?")&amp;RIGHT("0"&amp;DAY(B982),2)&amp;RIGHT("0"&amp;MONTH(B982),2)&amp;RIGHT(YEAR(B982),2)&amp;C982&amp;IF(E982="","","-"&amp;E982))</f>
        <v/>
      </c>
      <c r="G982" s="13"/>
      <c r="H982" s="13"/>
      <c r="I982" s="13"/>
      <c r="J982" s="13"/>
      <c r="K982" s="13"/>
      <c r="L982" s="13"/>
      <c r="M982" s="11" t="str">
        <f aca="false">IF(F982="","",COUNTIFS(ENSAYOS!$C$5:$C$3004,F982,ENSAYOS!$Q$5:$Q$3004,"&gt;0"))</f>
        <v/>
      </c>
      <c r="N982" s="15" t="str">
        <f aca="false">IF(N(M982)=0,"",_xlfn.MINIFS(ENSAYOS!$G$5:$G$3004,ENSAYOS!$C$5:$C$3004,F982,ENSAYOS!$Q$5:$Q$3004,"&gt;0"))</f>
        <v/>
      </c>
      <c r="O982" s="15" t="str">
        <f aca="false">IF(N(M982)=0,"",_xlfn.MAXIFS(ENSAYOS!$G$5:$G$3004,ENSAYOS!$C$5:$C$3004,F982,ENSAYOS!$Q$5:$Q$3004,"&gt;0"))</f>
        <v/>
      </c>
      <c r="P982" s="16" t="str">
        <f aca="false">IF(N(M982)=0,"",AVERAGEIFS(ENSAYOS!$Q$5:$Q$3004,ENSAYOS!$C$5:$C$3004,F982,ENSAYOS!$Q$5:$Q$3004,"&gt;0"))</f>
        <v/>
      </c>
      <c r="Q982" s="16" t="str">
        <f aca="false">IF(N(M982)=0,"",_xlfn.MINIFS(ENSAYOS!$Q$5:$Q$3004,ENSAYOS!$C$5:$C$3004,F982,ENSAYOS!$Q$5:$Q$3004,"&gt;0"))</f>
        <v/>
      </c>
      <c r="R982" s="16" t="str">
        <f aca="false">IF(N(M982)=0,"",_xlfn.MAXIFS(ENSAYOS!$Q$5:$Q$3004,ENSAYOS!$C$5:$C$3004,F982,ENSAYOS!$Q$5:$Q$3004,"&gt;0"))</f>
        <v/>
      </c>
      <c r="S982" s="16" t="str">
        <f aca="false">IF(N(M982)&lt;2,"",SQRT(MAX(0,(SUMIFS(ENSAYOS!$X$5:$X$3004,ENSAYOS!$C$5:$C$3004,F982,ENSAYOS!$Q$5:$Q$3004,"&gt;0")-M982*P982^2)/(M982-1))))</f>
        <v/>
      </c>
      <c r="T982" s="17" t="str">
        <f aca="false">IF(S982="","",S982/P982)</f>
        <v/>
      </c>
      <c r="U982" s="16" t="str">
        <f aca="false">IF(N(M982)=0,"",IF(N982&gt;=CONFIG!$B$27,"",AVERAGEIFS(ENSAYOS!$Q$5:$Q$3004,ENSAYOS!$C$5:$C$3004,F982,ENSAYOS!$Q$5:$Q$3004,"&gt;0",ENSAYOS!$G$5:$G$3004,N982)))</f>
        <v/>
      </c>
      <c r="V982" s="16" t="str">
        <f aca="false">IF(N(M982)=0,"",IF(COUNTIFS(ENSAYOS!$C$5:$C$3004,F982,ENSAYOS!$Q$5:$Q$3004,"&gt;0",ENSAYOS!$G$5:$G$3004,"&gt;="&amp;CONFIG!$B$27)=0,"",AVERAGEIFS(ENSAYOS!$Q$5:$Q$3004,ENSAYOS!$C$5:$C$3004,F982,ENSAYOS!$Q$5:$Q$3004,"&gt;0",ENSAYOS!$G$5:$G$3004,"&gt;="&amp;CONFIG!$B$27)))</f>
        <v/>
      </c>
      <c r="W982" s="18" t="str">
        <f aca="false">IF(AND(U982&lt;&gt;"",V982&lt;&gt;""),U982/V982,"")</f>
        <v/>
      </c>
      <c r="X982" s="18" t="str">
        <f aca="false">IF(U982="","",INDEX('CURVA EDAD'!$E$5:$E$32,MIN(28,MAX(1,N982))))</f>
        <v/>
      </c>
      <c r="Y982" s="16" t="str">
        <f aca="false">IF(V982&lt;&gt;"",V982,IF(U982="","",U982/X982))</f>
        <v/>
      </c>
      <c r="Z982" s="16" t="str">
        <f aca="false">IF(V982&lt;&gt;"",_xlfn.MINIFS(ENSAYOS!$Q$5:$Q$3004,ENSAYOS!$C$5:$C$3004,F982,ENSAYOS!$Q$5:$Q$3004,"&gt;0",ENSAYOS!$G$5:$G$3004,"&gt;="&amp;CONFIG!$B$27),IF(U982="","",_xlfn.MINIFS(ENSAYOS!$Q$5:$Q$3004,ENSAYOS!$C$5:$C$3004,F982,ENSAYOS!$Q$5:$Q$3004,"&gt;0",ENSAYOS!$G$5:$G$3004,N982)/X982))</f>
        <v/>
      </c>
      <c r="AA982" s="16" t="str">
        <f aca="false">IF(D982="","",IFERROR(1/(1/INDEX(CONFIG!$J$5:$J$14,MATCH(D982,CONFIG!$D$5:$D$14,0))),""))</f>
        <v/>
      </c>
      <c r="AB982" s="16" t="str">
        <f aca="false">IF(D982="","",IFERROR(1/(1/INDEX(CONFIG!$K$5:$K$14,MATCH(D982,CONFIG!$D$5:$D$14,0))),""))</f>
        <v/>
      </c>
      <c r="AC982" s="19" t="str">
        <f aca="false">IF(N(M982)=0,"",IF(AA982="","Sin spec",IF(AND(Y982&gt;=AA982,OR(AB982="",Z982&gt;=AB982)),"CUMPLE","NO CUMPLE")&amp;IF(V982=""," (est.)","")))</f>
        <v/>
      </c>
      <c r="AD982" s="20" t="str">
        <f aca="false">IF(F982="","",IF(COUNTIFS(ABSORCION!$C$5:$C$1004,F982,ABSORCION!$I$5:$I$1004,"&gt;0")=0,"",AVERAGEIFS(ABSORCION!$I$5:$I$1004,ABSORCION!$C$5:$C$1004,F982,ABSORCION!$I$5:$I$1004,"&gt;0")))</f>
        <v/>
      </c>
      <c r="AE982" s="20" t="str">
        <f aca="false">IF(F982="","",IF(COUNTIFS(ABSORCION!$C$5:$C$1004,F982,ABSORCION!$I$5:$I$1004,"&gt;0")=0,"",AVERAGEIFS(ABSORCION!$K$5:$K$1004,ABSORCION!$C$5:$C$1004,F982,ABSORCION!$I$5:$I$1004,"&gt;0")))</f>
        <v/>
      </c>
      <c r="AF982" s="20" t="str">
        <f aca="false">IF(AE982="","",IF(AE982&gt;=CONFIG!$E$21,CONFIG!$F$21,IF(AE982&gt;=CONFIG!$E$20,CONFIG!$F$20,CONFIG!$F$19)))</f>
        <v/>
      </c>
      <c r="AG982" s="21" t="str">
        <f aca="false">IF(F982="","",TRIM(IF(N(M982)=0,"Sin ensayos. ","")&amp;IF(AND(N(M982)&gt;0,N(M982)&lt;CONFIG!$B$26),"Menos de "&amp;CONFIG!$B$26&amp;" probetas. ","")&amp;IF(N(T982)&gt;CONFIG!$B$25,"CV alto. ","")&amp;IF(AND(N(AD982)&gt;0,N(AD982)&gt;N(AF982)),"Absorción alta. ","")))</f>
        <v/>
      </c>
      <c r="AH982" s="22" t="str">
        <f aca="false">IF(AND(N(M982)&gt;0,OR(CONTROL!$C$4="TODAS",C982=CONTROL!$C$4),D982=CONTROL!$C$5),MAX($AH$4:AH981)+1,"")</f>
        <v/>
      </c>
      <c r="AI982" s="22" t="str">
        <f aca="false">IF(AH982="","",P982^2)</f>
        <v/>
      </c>
    </row>
    <row r="983" customFormat="false" ht="15" hidden="false" customHeight="false" outlineLevel="0" collapsed="false">
      <c r="A983" s="11" t="str">
        <f aca="false">IF(B983="","",ROW()-4)</f>
        <v/>
      </c>
      <c r="B983" s="12"/>
      <c r="C983" s="13"/>
      <c r="D983" s="13"/>
      <c r="E983" s="13"/>
      <c r="F983" s="14" t="str">
        <f aca="false">IF(OR(B983="",C983="",D983=""),"",IFERROR(INDEX(CONFIG!$E$5:$E$14,MATCH(D983,CONFIG!$D$5:$D$14,0)),"?")&amp;RIGHT("0"&amp;DAY(B983),2)&amp;RIGHT("0"&amp;MONTH(B983),2)&amp;RIGHT(YEAR(B983),2)&amp;C983&amp;IF(E983="","","-"&amp;E983))</f>
        <v/>
      </c>
      <c r="G983" s="13"/>
      <c r="H983" s="13"/>
      <c r="I983" s="13"/>
      <c r="J983" s="13"/>
      <c r="K983" s="13"/>
      <c r="L983" s="13"/>
      <c r="M983" s="11" t="str">
        <f aca="false">IF(F983="","",COUNTIFS(ENSAYOS!$C$5:$C$3004,F983,ENSAYOS!$Q$5:$Q$3004,"&gt;0"))</f>
        <v/>
      </c>
      <c r="N983" s="15" t="str">
        <f aca="false">IF(N(M983)=0,"",_xlfn.MINIFS(ENSAYOS!$G$5:$G$3004,ENSAYOS!$C$5:$C$3004,F983,ENSAYOS!$Q$5:$Q$3004,"&gt;0"))</f>
        <v/>
      </c>
      <c r="O983" s="15" t="str">
        <f aca="false">IF(N(M983)=0,"",_xlfn.MAXIFS(ENSAYOS!$G$5:$G$3004,ENSAYOS!$C$5:$C$3004,F983,ENSAYOS!$Q$5:$Q$3004,"&gt;0"))</f>
        <v/>
      </c>
      <c r="P983" s="16" t="str">
        <f aca="false">IF(N(M983)=0,"",AVERAGEIFS(ENSAYOS!$Q$5:$Q$3004,ENSAYOS!$C$5:$C$3004,F983,ENSAYOS!$Q$5:$Q$3004,"&gt;0"))</f>
        <v/>
      </c>
      <c r="Q983" s="16" t="str">
        <f aca="false">IF(N(M983)=0,"",_xlfn.MINIFS(ENSAYOS!$Q$5:$Q$3004,ENSAYOS!$C$5:$C$3004,F983,ENSAYOS!$Q$5:$Q$3004,"&gt;0"))</f>
        <v/>
      </c>
      <c r="R983" s="16" t="str">
        <f aca="false">IF(N(M983)=0,"",_xlfn.MAXIFS(ENSAYOS!$Q$5:$Q$3004,ENSAYOS!$C$5:$C$3004,F983,ENSAYOS!$Q$5:$Q$3004,"&gt;0"))</f>
        <v/>
      </c>
      <c r="S983" s="16" t="str">
        <f aca="false">IF(N(M983)&lt;2,"",SQRT(MAX(0,(SUMIFS(ENSAYOS!$X$5:$X$3004,ENSAYOS!$C$5:$C$3004,F983,ENSAYOS!$Q$5:$Q$3004,"&gt;0")-M983*P983^2)/(M983-1))))</f>
        <v/>
      </c>
      <c r="T983" s="17" t="str">
        <f aca="false">IF(S983="","",S983/P983)</f>
        <v/>
      </c>
      <c r="U983" s="16" t="str">
        <f aca="false">IF(N(M983)=0,"",IF(N983&gt;=CONFIG!$B$27,"",AVERAGEIFS(ENSAYOS!$Q$5:$Q$3004,ENSAYOS!$C$5:$C$3004,F983,ENSAYOS!$Q$5:$Q$3004,"&gt;0",ENSAYOS!$G$5:$G$3004,N983)))</f>
        <v/>
      </c>
      <c r="V983" s="16" t="str">
        <f aca="false">IF(N(M983)=0,"",IF(COUNTIFS(ENSAYOS!$C$5:$C$3004,F983,ENSAYOS!$Q$5:$Q$3004,"&gt;0",ENSAYOS!$G$5:$G$3004,"&gt;="&amp;CONFIG!$B$27)=0,"",AVERAGEIFS(ENSAYOS!$Q$5:$Q$3004,ENSAYOS!$C$5:$C$3004,F983,ENSAYOS!$Q$5:$Q$3004,"&gt;0",ENSAYOS!$G$5:$G$3004,"&gt;="&amp;CONFIG!$B$27)))</f>
        <v/>
      </c>
      <c r="W983" s="18" t="str">
        <f aca="false">IF(AND(U983&lt;&gt;"",V983&lt;&gt;""),U983/V983,"")</f>
        <v/>
      </c>
      <c r="X983" s="18" t="str">
        <f aca="false">IF(U983="","",INDEX('CURVA EDAD'!$E$5:$E$32,MIN(28,MAX(1,N983))))</f>
        <v/>
      </c>
      <c r="Y983" s="16" t="str">
        <f aca="false">IF(V983&lt;&gt;"",V983,IF(U983="","",U983/X983))</f>
        <v/>
      </c>
      <c r="Z983" s="16" t="str">
        <f aca="false">IF(V983&lt;&gt;"",_xlfn.MINIFS(ENSAYOS!$Q$5:$Q$3004,ENSAYOS!$C$5:$C$3004,F983,ENSAYOS!$Q$5:$Q$3004,"&gt;0",ENSAYOS!$G$5:$G$3004,"&gt;="&amp;CONFIG!$B$27),IF(U983="","",_xlfn.MINIFS(ENSAYOS!$Q$5:$Q$3004,ENSAYOS!$C$5:$C$3004,F983,ENSAYOS!$Q$5:$Q$3004,"&gt;0",ENSAYOS!$G$5:$G$3004,N983)/X983))</f>
        <v/>
      </c>
      <c r="AA983" s="16" t="str">
        <f aca="false">IF(D983="","",IFERROR(1/(1/INDEX(CONFIG!$J$5:$J$14,MATCH(D983,CONFIG!$D$5:$D$14,0))),""))</f>
        <v/>
      </c>
      <c r="AB983" s="16" t="str">
        <f aca="false">IF(D983="","",IFERROR(1/(1/INDEX(CONFIG!$K$5:$K$14,MATCH(D983,CONFIG!$D$5:$D$14,0))),""))</f>
        <v/>
      </c>
      <c r="AC983" s="19" t="str">
        <f aca="false">IF(N(M983)=0,"",IF(AA983="","Sin spec",IF(AND(Y983&gt;=AA983,OR(AB983="",Z983&gt;=AB983)),"CUMPLE","NO CUMPLE")&amp;IF(V983=""," (est.)","")))</f>
        <v/>
      </c>
      <c r="AD983" s="20" t="str">
        <f aca="false">IF(F983="","",IF(COUNTIFS(ABSORCION!$C$5:$C$1004,F983,ABSORCION!$I$5:$I$1004,"&gt;0")=0,"",AVERAGEIFS(ABSORCION!$I$5:$I$1004,ABSORCION!$C$5:$C$1004,F983,ABSORCION!$I$5:$I$1004,"&gt;0")))</f>
        <v/>
      </c>
      <c r="AE983" s="20" t="str">
        <f aca="false">IF(F983="","",IF(COUNTIFS(ABSORCION!$C$5:$C$1004,F983,ABSORCION!$I$5:$I$1004,"&gt;0")=0,"",AVERAGEIFS(ABSORCION!$K$5:$K$1004,ABSORCION!$C$5:$C$1004,F983,ABSORCION!$I$5:$I$1004,"&gt;0")))</f>
        <v/>
      </c>
      <c r="AF983" s="20" t="str">
        <f aca="false">IF(AE983="","",IF(AE983&gt;=CONFIG!$E$21,CONFIG!$F$21,IF(AE983&gt;=CONFIG!$E$20,CONFIG!$F$20,CONFIG!$F$19)))</f>
        <v/>
      </c>
      <c r="AG983" s="21" t="str">
        <f aca="false">IF(F983="","",TRIM(IF(N(M983)=0,"Sin ensayos. ","")&amp;IF(AND(N(M983)&gt;0,N(M983)&lt;CONFIG!$B$26),"Menos de "&amp;CONFIG!$B$26&amp;" probetas. ","")&amp;IF(N(T983)&gt;CONFIG!$B$25,"CV alto. ","")&amp;IF(AND(N(AD983)&gt;0,N(AD983)&gt;N(AF983)),"Absorción alta. ","")))</f>
        <v/>
      </c>
      <c r="AH983" s="22" t="str">
        <f aca="false">IF(AND(N(M983)&gt;0,OR(CONTROL!$C$4="TODAS",C983=CONTROL!$C$4),D983=CONTROL!$C$5),MAX($AH$4:AH982)+1,"")</f>
        <v/>
      </c>
      <c r="AI983" s="22" t="str">
        <f aca="false">IF(AH983="","",P983^2)</f>
        <v/>
      </c>
    </row>
    <row r="984" customFormat="false" ht="15" hidden="false" customHeight="false" outlineLevel="0" collapsed="false">
      <c r="A984" s="11" t="str">
        <f aca="false">IF(B984="","",ROW()-4)</f>
        <v/>
      </c>
      <c r="B984" s="12"/>
      <c r="C984" s="13"/>
      <c r="D984" s="13"/>
      <c r="E984" s="13"/>
      <c r="F984" s="14" t="str">
        <f aca="false">IF(OR(B984="",C984="",D984=""),"",IFERROR(INDEX(CONFIG!$E$5:$E$14,MATCH(D984,CONFIG!$D$5:$D$14,0)),"?")&amp;RIGHT("0"&amp;DAY(B984),2)&amp;RIGHT("0"&amp;MONTH(B984),2)&amp;RIGHT(YEAR(B984),2)&amp;C984&amp;IF(E984="","","-"&amp;E984))</f>
        <v/>
      </c>
      <c r="G984" s="13"/>
      <c r="H984" s="13"/>
      <c r="I984" s="13"/>
      <c r="J984" s="13"/>
      <c r="K984" s="13"/>
      <c r="L984" s="13"/>
      <c r="M984" s="11" t="str">
        <f aca="false">IF(F984="","",COUNTIFS(ENSAYOS!$C$5:$C$3004,F984,ENSAYOS!$Q$5:$Q$3004,"&gt;0"))</f>
        <v/>
      </c>
      <c r="N984" s="15" t="str">
        <f aca="false">IF(N(M984)=0,"",_xlfn.MINIFS(ENSAYOS!$G$5:$G$3004,ENSAYOS!$C$5:$C$3004,F984,ENSAYOS!$Q$5:$Q$3004,"&gt;0"))</f>
        <v/>
      </c>
      <c r="O984" s="15" t="str">
        <f aca="false">IF(N(M984)=0,"",_xlfn.MAXIFS(ENSAYOS!$G$5:$G$3004,ENSAYOS!$C$5:$C$3004,F984,ENSAYOS!$Q$5:$Q$3004,"&gt;0"))</f>
        <v/>
      </c>
      <c r="P984" s="16" t="str">
        <f aca="false">IF(N(M984)=0,"",AVERAGEIFS(ENSAYOS!$Q$5:$Q$3004,ENSAYOS!$C$5:$C$3004,F984,ENSAYOS!$Q$5:$Q$3004,"&gt;0"))</f>
        <v/>
      </c>
      <c r="Q984" s="16" t="str">
        <f aca="false">IF(N(M984)=0,"",_xlfn.MINIFS(ENSAYOS!$Q$5:$Q$3004,ENSAYOS!$C$5:$C$3004,F984,ENSAYOS!$Q$5:$Q$3004,"&gt;0"))</f>
        <v/>
      </c>
      <c r="R984" s="16" t="str">
        <f aca="false">IF(N(M984)=0,"",_xlfn.MAXIFS(ENSAYOS!$Q$5:$Q$3004,ENSAYOS!$C$5:$C$3004,F984,ENSAYOS!$Q$5:$Q$3004,"&gt;0"))</f>
        <v/>
      </c>
      <c r="S984" s="16" t="str">
        <f aca="false">IF(N(M984)&lt;2,"",SQRT(MAX(0,(SUMIFS(ENSAYOS!$X$5:$X$3004,ENSAYOS!$C$5:$C$3004,F984,ENSAYOS!$Q$5:$Q$3004,"&gt;0")-M984*P984^2)/(M984-1))))</f>
        <v/>
      </c>
      <c r="T984" s="17" t="str">
        <f aca="false">IF(S984="","",S984/P984)</f>
        <v/>
      </c>
      <c r="U984" s="16" t="str">
        <f aca="false">IF(N(M984)=0,"",IF(N984&gt;=CONFIG!$B$27,"",AVERAGEIFS(ENSAYOS!$Q$5:$Q$3004,ENSAYOS!$C$5:$C$3004,F984,ENSAYOS!$Q$5:$Q$3004,"&gt;0",ENSAYOS!$G$5:$G$3004,N984)))</f>
        <v/>
      </c>
      <c r="V984" s="16" t="str">
        <f aca="false">IF(N(M984)=0,"",IF(COUNTIFS(ENSAYOS!$C$5:$C$3004,F984,ENSAYOS!$Q$5:$Q$3004,"&gt;0",ENSAYOS!$G$5:$G$3004,"&gt;="&amp;CONFIG!$B$27)=0,"",AVERAGEIFS(ENSAYOS!$Q$5:$Q$3004,ENSAYOS!$C$5:$C$3004,F984,ENSAYOS!$Q$5:$Q$3004,"&gt;0",ENSAYOS!$G$5:$G$3004,"&gt;="&amp;CONFIG!$B$27)))</f>
        <v/>
      </c>
      <c r="W984" s="18" t="str">
        <f aca="false">IF(AND(U984&lt;&gt;"",V984&lt;&gt;""),U984/V984,"")</f>
        <v/>
      </c>
      <c r="X984" s="18" t="str">
        <f aca="false">IF(U984="","",INDEX('CURVA EDAD'!$E$5:$E$32,MIN(28,MAX(1,N984))))</f>
        <v/>
      </c>
      <c r="Y984" s="16" t="str">
        <f aca="false">IF(V984&lt;&gt;"",V984,IF(U984="","",U984/X984))</f>
        <v/>
      </c>
      <c r="Z984" s="16" t="str">
        <f aca="false">IF(V984&lt;&gt;"",_xlfn.MINIFS(ENSAYOS!$Q$5:$Q$3004,ENSAYOS!$C$5:$C$3004,F984,ENSAYOS!$Q$5:$Q$3004,"&gt;0",ENSAYOS!$G$5:$G$3004,"&gt;="&amp;CONFIG!$B$27),IF(U984="","",_xlfn.MINIFS(ENSAYOS!$Q$5:$Q$3004,ENSAYOS!$C$5:$C$3004,F984,ENSAYOS!$Q$5:$Q$3004,"&gt;0",ENSAYOS!$G$5:$G$3004,N984)/X984))</f>
        <v/>
      </c>
      <c r="AA984" s="16" t="str">
        <f aca="false">IF(D984="","",IFERROR(1/(1/INDEX(CONFIG!$J$5:$J$14,MATCH(D984,CONFIG!$D$5:$D$14,0))),""))</f>
        <v/>
      </c>
      <c r="AB984" s="16" t="str">
        <f aca="false">IF(D984="","",IFERROR(1/(1/INDEX(CONFIG!$K$5:$K$14,MATCH(D984,CONFIG!$D$5:$D$14,0))),""))</f>
        <v/>
      </c>
      <c r="AC984" s="19" t="str">
        <f aca="false">IF(N(M984)=0,"",IF(AA984="","Sin spec",IF(AND(Y984&gt;=AA984,OR(AB984="",Z984&gt;=AB984)),"CUMPLE","NO CUMPLE")&amp;IF(V984=""," (est.)","")))</f>
        <v/>
      </c>
      <c r="AD984" s="20" t="str">
        <f aca="false">IF(F984="","",IF(COUNTIFS(ABSORCION!$C$5:$C$1004,F984,ABSORCION!$I$5:$I$1004,"&gt;0")=0,"",AVERAGEIFS(ABSORCION!$I$5:$I$1004,ABSORCION!$C$5:$C$1004,F984,ABSORCION!$I$5:$I$1004,"&gt;0")))</f>
        <v/>
      </c>
      <c r="AE984" s="20" t="str">
        <f aca="false">IF(F984="","",IF(COUNTIFS(ABSORCION!$C$5:$C$1004,F984,ABSORCION!$I$5:$I$1004,"&gt;0")=0,"",AVERAGEIFS(ABSORCION!$K$5:$K$1004,ABSORCION!$C$5:$C$1004,F984,ABSORCION!$I$5:$I$1004,"&gt;0")))</f>
        <v/>
      </c>
      <c r="AF984" s="20" t="str">
        <f aca="false">IF(AE984="","",IF(AE984&gt;=CONFIG!$E$21,CONFIG!$F$21,IF(AE984&gt;=CONFIG!$E$20,CONFIG!$F$20,CONFIG!$F$19)))</f>
        <v/>
      </c>
      <c r="AG984" s="21" t="str">
        <f aca="false">IF(F984="","",TRIM(IF(N(M984)=0,"Sin ensayos. ","")&amp;IF(AND(N(M984)&gt;0,N(M984)&lt;CONFIG!$B$26),"Menos de "&amp;CONFIG!$B$26&amp;" probetas. ","")&amp;IF(N(T984)&gt;CONFIG!$B$25,"CV alto. ","")&amp;IF(AND(N(AD984)&gt;0,N(AD984)&gt;N(AF984)),"Absorción alta. ","")))</f>
        <v/>
      </c>
      <c r="AH984" s="22" t="str">
        <f aca="false">IF(AND(N(M984)&gt;0,OR(CONTROL!$C$4="TODAS",C984=CONTROL!$C$4),D984=CONTROL!$C$5),MAX($AH$4:AH983)+1,"")</f>
        <v/>
      </c>
      <c r="AI984" s="22" t="str">
        <f aca="false">IF(AH984="","",P984^2)</f>
        <v/>
      </c>
    </row>
    <row r="985" customFormat="false" ht="15" hidden="false" customHeight="false" outlineLevel="0" collapsed="false">
      <c r="A985" s="11" t="str">
        <f aca="false">IF(B985="","",ROW()-4)</f>
        <v/>
      </c>
      <c r="B985" s="12"/>
      <c r="C985" s="13"/>
      <c r="D985" s="13"/>
      <c r="E985" s="13"/>
      <c r="F985" s="14" t="str">
        <f aca="false">IF(OR(B985="",C985="",D985=""),"",IFERROR(INDEX(CONFIG!$E$5:$E$14,MATCH(D985,CONFIG!$D$5:$D$14,0)),"?")&amp;RIGHT("0"&amp;DAY(B985),2)&amp;RIGHT("0"&amp;MONTH(B985),2)&amp;RIGHT(YEAR(B985),2)&amp;C985&amp;IF(E985="","","-"&amp;E985))</f>
        <v/>
      </c>
      <c r="G985" s="13"/>
      <c r="H985" s="13"/>
      <c r="I985" s="13"/>
      <c r="J985" s="13"/>
      <c r="K985" s="13"/>
      <c r="L985" s="13"/>
      <c r="M985" s="11" t="str">
        <f aca="false">IF(F985="","",COUNTIFS(ENSAYOS!$C$5:$C$3004,F985,ENSAYOS!$Q$5:$Q$3004,"&gt;0"))</f>
        <v/>
      </c>
      <c r="N985" s="15" t="str">
        <f aca="false">IF(N(M985)=0,"",_xlfn.MINIFS(ENSAYOS!$G$5:$G$3004,ENSAYOS!$C$5:$C$3004,F985,ENSAYOS!$Q$5:$Q$3004,"&gt;0"))</f>
        <v/>
      </c>
      <c r="O985" s="15" t="str">
        <f aca="false">IF(N(M985)=0,"",_xlfn.MAXIFS(ENSAYOS!$G$5:$G$3004,ENSAYOS!$C$5:$C$3004,F985,ENSAYOS!$Q$5:$Q$3004,"&gt;0"))</f>
        <v/>
      </c>
      <c r="P985" s="16" t="str">
        <f aca="false">IF(N(M985)=0,"",AVERAGEIFS(ENSAYOS!$Q$5:$Q$3004,ENSAYOS!$C$5:$C$3004,F985,ENSAYOS!$Q$5:$Q$3004,"&gt;0"))</f>
        <v/>
      </c>
      <c r="Q985" s="16" t="str">
        <f aca="false">IF(N(M985)=0,"",_xlfn.MINIFS(ENSAYOS!$Q$5:$Q$3004,ENSAYOS!$C$5:$C$3004,F985,ENSAYOS!$Q$5:$Q$3004,"&gt;0"))</f>
        <v/>
      </c>
      <c r="R985" s="16" t="str">
        <f aca="false">IF(N(M985)=0,"",_xlfn.MAXIFS(ENSAYOS!$Q$5:$Q$3004,ENSAYOS!$C$5:$C$3004,F985,ENSAYOS!$Q$5:$Q$3004,"&gt;0"))</f>
        <v/>
      </c>
      <c r="S985" s="16" t="str">
        <f aca="false">IF(N(M985)&lt;2,"",SQRT(MAX(0,(SUMIFS(ENSAYOS!$X$5:$X$3004,ENSAYOS!$C$5:$C$3004,F985,ENSAYOS!$Q$5:$Q$3004,"&gt;0")-M985*P985^2)/(M985-1))))</f>
        <v/>
      </c>
      <c r="T985" s="17" t="str">
        <f aca="false">IF(S985="","",S985/P985)</f>
        <v/>
      </c>
      <c r="U985" s="16" t="str">
        <f aca="false">IF(N(M985)=0,"",IF(N985&gt;=CONFIG!$B$27,"",AVERAGEIFS(ENSAYOS!$Q$5:$Q$3004,ENSAYOS!$C$5:$C$3004,F985,ENSAYOS!$Q$5:$Q$3004,"&gt;0",ENSAYOS!$G$5:$G$3004,N985)))</f>
        <v/>
      </c>
      <c r="V985" s="16" t="str">
        <f aca="false">IF(N(M985)=0,"",IF(COUNTIFS(ENSAYOS!$C$5:$C$3004,F985,ENSAYOS!$Q$5:$Q$3004,"&gt;0",ENSAYOS!$G$5:$G$3004,"&gt;="&amp;CONFIG!$B$27)=0,"",AVERAGEIFS(ENSAYOS!$Q$5:$Q$3004,ENSAYOS!$C$5:$C$3004,F985,ENSAYOS!$Q$5:$Q$3004,"&gt;0",ENSAYOS!$G$5:$G$3004,"&gt;="&amp;CONFIG!$B$27)))</f>
        <v/>
      </c>
      <c r="W985" s="18" t="str">
        <f aca="false">IF(AND(U985&lt;&gt;"",V985&lt;&gt;""),U985/V985,"")</f>
        <v/>
      </c>
      <c r="X985" s="18" t="str">
        <f aca="false">IF(U985="","",INDEX('CURVA EDAD'!$E$5:$E$32,MIN(28,MAX(1,N985))))</f>
        <v/>
      </c>
      <c r="Y985" s="16" t="str">
        <f aca="false">IF(V985&lt;&gt;"",V985,IF(U985="","",U985/X985))</f>
        <v/>
      </c>
      <c r="Z985" s="16" t="str">
        <f aca="false">IF(V985&lt;&gt;"",_xlfn.MINIFS(ENSAYOS!$Q$5:$Q$3004,ENSAYOS!$C$5:$C$3004,F985,ENSAYOS!$Q$5:$Q$3004,"&gt;0",ENSAYOS!$G$5:$G$3004,"&gt;="&amp;CONFIG!$B$27),IF(U985="","",_xlfn.MINIFS(ENSAYOS!$Q$5:$Q$3004,ENSAYOS!$C$5:$C$3004,F985,ENSAYOS!$Q$5:$Q$3004,"&gt;0",ENSAYOS!$G$5:$G$3004,N985)/X985))</f>
        <v/>
      </c>
      <c r="AA985" s="16" t="str">
        <f aca="false">IF(D985="","",IFERROR(1/(1/INDEX(CONFIG!$J$5:$J$14,MATCH(D985,CONFIG!$D$5:$D$14,0))),""))</f>
        <v/>
      </c>
      <c r="AB985" s="16" t="str">
        <f aca="false">IF(D985="","",IFERROR(1/(1/INDEX(CONFIG!$K$5:$K$14,MATCH(D985,CONFIG!$D$5:$D$14,0))),""))</f>
        <v/>
      </c>
      <c r="AC985" s="19" t="str">
        <f aca="false">IF(N(M985)=0,"",IF(AA985="","Sin spec",IF(AND(Y985&gt;=AA985,OR(AB985="",Z985&gt;=AB985)),"CUMPLE","NO CUMPLE")&amp;IF(V985=""," (est.)","")))</f>
        <v/>
      </c>
      <c r="AD985" s="20" t="str">
        <f aca="false">IF(F985="","",IF(COUNTIFS(ABSORCION!$C$5:$C$1004,F985,ABSORCION!$I$5:$I$1004,"&gt;0")=0,"",AVERAGEIFS(ABSORCION!$I$5:$I$1004,ABSORCION!$C$5:$C$1004,F985,ABSORCION!$I$5:$I$1004,"&gt;0")))</f>
        <v/>
      </c>
      <c r="AE985" s="20" t="str">
        <f aca="false">IF(F985="","",IF(COUNTIFS(ABSORCION!$C$5:$C$1004,F985,ABSORCION!$I$5:$I$1004,"&gt;0")=0,"",AVERAGEIFS(ABSORCION!$K$5:$K$1004,ABSORCION!$C$5:$C$1004,F985,ABSORCION!$I$5:$I$1004,"&gt;0")))</f>
        <v/>
      </c>
      <c r="AF985" s="20" t="str">
        <f aca="false">IF(AE985="","",IF(AE985&gt;=CONFIG!$E$21,CONFIG!$F$21,IF(AE985&gt;=CONFIG!$E$20,CONFIG!$F$20,CONFIG!$F$19)))</f>
        <v/>
      </c>
      <c r="AG985" s="21" t="str">
        <f aca="false">IF(F985="","",TRIM(IF(N(M985)=0,"Sin ensayos. ","")&amp;IF(AND(N(M985)&gt;0,N(M985)&lt;CONFIG!$B$26),"Menos de "&amp;CONFIG!$B$26&amp;" probetas. ","")&amp;IF(N(T985)&gt;CONFIG!$B$25,"CV alto. ","")&amp;IF(AND(N(AD985)&gt;0,N(AD985)&gt;N(AF985)),"Absorción alta. ","")))</f>
        <v/>
      </c>
      <c r="AH985" s="22" t="str">
        <f aca="false">IF(AND(N(M985)&gt;0,OR(CONTROL!$C$4="TODAS",C985=CONTROL!$C$4),D985=CONTROL!$C$5),MAX($AH$4:AH984)+1,"")</f>
        <v/>
      </c>
      <c r="AI985" s="22" t="str">
        <f aca="false">IF(AH985="","",P985^2)</f>
        <v/>
      </c>
    </row>
    <row r="986" customFormat="false" ht="15" hidden="false" customHeight="false" outlineLevel="0" collapsed="false">
      <c r="A986" s="11" t="str">
        <f aca="false">IF(B986="","",ROW()-4)</f>
        <v/>
      </c>
      <c r="B986" s="12"/>
      <c r="C986" s="13"/>
      <c r="D986" s="13"/>
      <c r="E986" s="13"/>
      <c r="F986" s="14" t="str">
        <f aca="false">IF(OR(B986="",C986="",D986=""),"",IFERROR(INDEX(CONFIG!$E$5:$E$14,MATCH(D986,CONFIG!$D$5:$D$14,0)),"?")&amp;RIGHT("0"&amp;DAY(B986),2)&amp;RIGHT("0"&amp;MONTH(B986),2)&amp;RIGHT(YEAR(B986),2)&amp;C986&amp;IF(E986="","","-"&amp;E986))</f>
        <v/>
      </c>
      <c r="G986" s="13"/>
      <c r="H986" s="13"/>
      <c r="I986" s="13"/>
      <c r="J986" s="13"/>
      <c r="K986" s="13"/>
      <c r="L986" s="13"/>
      <c r="M986" s="11" t="str">
        <f aca="false">IF(F986="","",COUNTIFS(ENSAYOS!$C$5:$C$3004,F986,ENSAYOS!$Q$5:$Q$3004,"&gt;0"))</f>
        <v/>
      </c>
      <c r="N986" s="15" t="str">
        <f aca="false">IF(N(M986)=0,"",_xlfn.MINIFS(ENSAYOS!$G$5:$G$3004,ENSAYOS!$C$5:$C$3004,F986,ENSAYOS!$Q$5:$Q$3004,"&gt;0"))</f>
        <v/>
      </c>
      <c r="O986" s="15" t="str">
        <f aca="false">IF(N(M986)=0,"",_xlfn.MAXIFS(ENSAYOS!$G$5:$G$3004,ENSAYOS!$C$5:$C$3004,F986,ENSAYOS!$Q$5:$Q$3004,"&gt;0"))</f>
        <v/>
      </c>
      <c r="P986" s="16" t="str">
        <f aca="false">IF(N(M986)=0,"",AVERAGEIFS(ENSAYOS!$Q$5:$Q$3004,ENSAYOS!$C$5:$C$3004,F986,ENSAYOS!$Q$5:$Q$3004,"&gt;0"))</f>
        <v/>
      </c>
      <c r="Q986" s="16" t="str">
        <f aca="false">IF(N(M986)=0,"",_xlfn.MINIFS(ENSAYOS!$Q$5:$Q$3004,ENSAYOS!$C$5:$C$3004,F986,ENSAYOS!$Q$5:$Q$3004,"&gt;0"))</f>
        <v/>
      </c>
      <c r="R986" s="16" t="str">
        <f aca="false">IF(N(M986)=0,"",_xlfn.MAXIFS(ENSAYOS!$Q$5:$Q$3004,ENSAYOS!$C$5:$C$3004,F986,ENSAYOS!$Q$5:$Q$3004,"&gt;0"))</f>
        <v/>
      </c>
      <c r="S986" s="16" t="str">
        <f aca="false">IF(N(M986)&lt;2,"",SQRT(MAX(0,(SUMIFS(ENSAYOS!$X$5:$X$3004,ENSAYOS!$C$5:$C$3004,F986,ENSAYOS!$Q$5:$Q$3004,"&gt;0")-M986*P986^2)/(M986-1))))</f>
        <v/>
      </c>
      <c r="T986" s="17" t="str">
        <f aca="false">IF(S986="","",S986/P986)</f>
        <v/>
      </c>
      <c r="U986" s="16" t="str">
        <f aca="false">IF(N(M986)=0,"",IF(N986&gt;=CONFIG!$B$27,"",AVERAGEIFS(ENSAYOS!$Q$5:$Q$3004,ENSAYOS!$C$5:$C$3004,F986,ENSAYOS!$Q$5:$Q$3004,"&gt;0",ENSAYOS!$G$5:$G$3004,N986)))</f>
        <v/>
      </c>
      <c r="V986" s="16" t="str">
        <f aca="false">IF(N(M986)=0,"",IF(COUNTIFS(ENSAYOS!$C$5:$C$3004,F986,ENSAYOS!$Q$5:$Q$3004,"&gt;0",ENSAYOS!$G$5:$G$3004,"&gt;="&amp;CONFIG!$B$27)=0,"",AVERAGEIFS(ENSAYOS!$Q$5:$Q$3004,ENSAYOS!$C$5:$C$3004,F986,ENSAYOS!$Q$5:$Q$3004,"&gt;0",ENSAYOS!$G$5:$G$3004,"&gt;="&amp;CONFIG!$B$27)))</f>
        <v/>
      </c>
      <c r="W986" s="18" t="str">
        <f aca="false">IF(AND(U986&lt;&gt;"",V986&lt;&gt;""),U986/V986,"")</f>
        <v/>
      </c>
      <c r="X986" s="18" t="str">
        <f aca="false">IF(U986="","",INDEX('CURVA EDAD'!$E$5:$E$32,MIN(28,MAX(1,N986))))</f>
        <v/>
      </c>
      <c r="Y986" s="16" t="str">
        <f aca="false">IF(V986&lt;&gt;"",V986,IF(U986="","",U986/X986))</f>
        <v/>
      </c>
      <c r="Z986" s="16" t="str">
        <f aca="false">IF(V986&lt;&gt;"",_xlfn.MINIFS(ENSAYOS!$Q$5:$Q$3004,ENSAYOS!$C$5:$C$3004,F986,ENSAYOS!$Q$5:$Q$3004,"&gt;0",ENSAYOS!$G$5:$G$3004,"&gt;="&amp;CONFIG!$B$27),IF(U986="","",_xlfn.MINIFS(ENSAYOS!$Q$5:$Q$3004,ENSAYOS!$C$5:$C$3004,F986,ENSAYOS!$Q$5:$Q$3004,"&gt;0",ENSAYOS!$G$5:$G$3004,N986)/X986))</f>
        <v/>
      </c>
      <c r="AA986" s="16" t="str">
        <f aca="false">IF(D986="","",IFERROR(1/(1/INDEX(CONFIG!$J$5:$J$14,MATCH(D986,CONFIG!$D$5:$D$14,0))),""))</f>
        <v/>
      </c>
      <c r="AB986" s="16" t="str">
        <f aca="false">IF(D986="","",IFERROR(1/(1/INDEX(CONFIG!$K$5:$K$14,MATCH(D986,CONFIG!$D$5:$D$14,0))),""))</f>
        <v/>
      </c>
      <c r="AC986" s="19" t="str">
        <f aca="false">IF(N(M986)=0,"",IF(AA986="","Sin spec",IF(AND(Y986&gt;=AA986,OR(AB986="",Z986&gt;=AB986)),"CUMPLE","NO CUMPLE")&amp;IF(V986=""," (est.)","")))</f>
        <v/>
      </c>
      <c r="AD986" s="20" t="str">
        <f aca="false">IF(F986="","",IF(COUNTIFS(ABSORCION!$C$5:$C$1004,F986,ABSORCION!$I$5:$I$1004,"&gt;0")=0,"",AVERAGEIFS(ABSORCION!$I$5:$I$1004,ABSORCION!$C$5:$C$1004,F986,ABSORCION!$I$5:$I$1004,"&gt;0")))</f>
        <v/>
      </c>
      <c r="AE986" s="20" t="str">
        <f aca="false">IF(F986="","",IF(COUNTIFS(ABSORCION!$C$5:$C$1004,F986,ABSORCION!$I$5:$I$1004,"&gt;0")=0,"",AVERAGEIFS(ABSORCION!$K$5:$K$1004,ABSORCION!$C$5:$C$1004,F986,ABSORCION!$I$5:$I$1004,"&gt;0")))</f>
        <v/>
      </c>
      <c r="AF986" s="20" t="str">
        <f aca="false">IF(AE986="","",IF(AE986&gt;=CONFIG!$E$21,CONFIG!$F$21,IF(AE986&gt;=CONFIG!$E$20,CONFIG!$F$20,CONFIG!$F$19)))</f>
        <v/>
      </c>
      <c r="AG986" s="21" t="str">
        <f aca="false">IF(F986="","",TRIM(IF(N(M986)=0,"Sin ensayos. ","")&amp;IF(AND(N(M986)&gt;0,N(M986)&lt;CONFIG!$B$26),"Menos de "&amp;CONFIG!$B$26&amp;" probetas. ","")&amp;IF(N(T986)&gt;CONFIG!$B$25,"CV alto. ","")&amp;IF(AND(N(AD986)&gt;0,N(AD986)&gt;N(AF986)),"Absorción alta. ","")))</f>
        <v/>
      </c>
      <c r="AH986" s="22" t="str">
        <f aca="false">IF(AND(N(M986)&gt;0,OR(CONTROL!$C$4="TODAS",C986=CONTROL!$C$4),D986=CONTROL!$C$5),MAX($AH$4:AH985)+1,"")</f>
        <v/>
      </c>
      <c r="AI986" s="22" t="str">
        <f aca="false">IF(AH986="","",P986^2)</f>
        <v/>
      </c>
    </row>
    <row r="987" customFormat="false" ht="15" hidden="false" customHeight="false" outlineLevel="0" collapsed="false">
      <c r="A987" s="11" t="str">
        <f aca="false">IF(B987="","",ROW()-4)</f>
        <v/>
      </c>
      <c r="B987" s="12"/>
      <c r="C987" s="13"/>
      <c r="D987" s="13"/>
      <c r="E987" s="13"/>
      <c r="F987" s="14" t="str">
        <f aca="false">IF(OR(B987="",C987="",D987=""),"",IFERROR(INDEX(CONFIG!$E$5:$E$14,MATCH(D987,CONFIG!$D$5:$D$14,0)),"?")&amp;RIGHT("0"&amp;DAY(B987),2)&amp;RIGHT("0"&amp;MONTH(B987),2)&amp;RIGHT(YEAR(B987),2)&amp;C987&amp;IF(E987="","","-"&amp;E987))</f>
        <v/>
      </c>
      <c r="G987" s="13"/>
      <c r="H987" s="13"/>
      <c r="I987" s="13"/>
      <c r="J987" s="13"/>
      <c r="K987" s="13"/>
      <c r="L987" s="13"/>
      <c r="M987" s="11" t="str">
        <f aca="false">IF(F987="","",COUNTIFS(ENSAYOS!$C$5:$C$3004,F987,ENSAYOS!$Q$5:$Q$3004,"&gt;0"))</f>
        <v/>
      </c>
      <c r="N987" s="15" t="str">
        <f aca="false">IF(N(M987)=0,"",_xlfn.MINIFS(ENSAYOS!$G$5:$G$3004,ENSAYOS!$C$5:$C$3004,F987,ENSAYOS!$Q$5:$Q$3004,"&gt;0"))</f>
        <v/>
      </c>
      <c r="O987" s="15" t="str">
        <f aca="false">IF(N(M987)=0,"",_xlfn.MAXIFS(ENSAYOS!$G$5:$G$3004,ENSAYOS!$C$5:$C$3004,F987,ENSAYOS!$Q$5:$Q$3004,"&gt;0"))</f>
        <v/>
      </c>
      <c r="P987" s="16" t="str">
        <f aca="false">IF(N(M987)=0,"",AVERAGEIFS(ENSAYOS!$Q$5:$Q$3004,ENSAYOS!$C$5:$C$3004,F987,ENSAYOS!$Q$5:$Q$3004,"&gt;0"))</f>
        <v/>
      </c>
      <c r="Q987" s="16" t="str">
        <f aca="false">IF(N(M987)=0,"",_xlfn.MINIFS(ENSAYOS!$Q$5:$Q$3004,ENSAYOS!$C$5:$C$3004,F987,ENSAYOS!$Q$5:$Q$3004,"&gt;0"))</f>
        <v/>
      </c>
      <c r="R987" s="16" t="str">
        <f aca="false">IF(N(M987)=0,"",_xlfn.MAXIFS(ENSAYOS!$Q$5:$Q$3004,ENSAYOS!$C$5:$C$3004,F987,ENSAYOS!$Q$5:$Q$3004,"&gt;0"))</f>
        <v/>
      </c>
      <c r="S987" s="16" t="str">
        <f aca="false">IF(N(M987)&lt;2,"",SQRT(MAX(0,(SUMIFS(ENSAYOS!$X$5:$X$3004,ENSAYOS!$C$5:$C$3004,F987,ENSAYOS!$Q$5:$Q$3004,"&gt;0")-M987*P987^2)/(M987-1))))</f>
        <v/>
      </c>
      <c r="T987" s="17" t="str">
        <f aca="false">IF(S987="","",S987/P987)</f>
        <v/>
      </c>
      <c r="U987" s="16" t="str">
        <f aca="false">IF(N(M987)=0,"",IF(N987&gt;=CONFIG!$B$27,"",AVERAGEIFS(ENSAYOS!$Q$5:$Q$3004,ENSAYOS!$C$5:$C$3004,F987,ENSAYOS!$Q$5:$Q$3004,"&gt;0",ENSAYOS!$G$5:$G$3004,N987)))</f>
        <v/>
      </c>
      <c r="V987" s="16" t="str">
        <f aca="false">IF(N(M987)=0,"",IF(COUNTIFS(ENSAYOS!$C$5:$C$3004,F987,ENSAYOS!$Q$5:$Q$3004,"&gt;0",ENSAYOS!$G$5:$G$3004,"&gt;="&amp;CONFIG!$B$27)=0,"",AVERAGEIFS(ENSAYOS!$Q$5:$Q$3004,ENSAYOS!$C$5:$C$3004,F987,ENSAYOS!$Q$5:$Q$3004,"&gt;0",ENSAYOS!$G$5:$G$3004,"&gt;="&amp;CONFIG!$B$27)))</f>
        <v/>
      </c>
      <c r="W987" s="18" t="str">
        <f aca="false">IF(AND(U987&lt;&gt;"",V987&lt;&gt;""),U987/V987,"")</f>
        <v/>
      </c>
      <c r="X987" s="18" t="str">
        <f aca="false">IF(U987="","",INDEX('CURVA EDAD'!$E$5:$E$32,MIN(28,MAX(1,N987))))</f>
        <v/>
      </c>
      <c r="Y987" s="16" t="str">
        <f aca="false">IF(V987&lt;&gt;"",V987,IF(U987="","",U987/X987))</f>
        <v/>
      </c>
      <c r="Z987" s="16" t="str">
        <f aca="false">IF(V987&lt;&gt;"",_xlfn.MINIFS(ENSAYOS!$Q$5:$Q$3004,ENSAYOS!$C$5:$C$3004,F987,ENSAYOS!$Q$5:$Q$3004,"&gt;0",ENSAYOS!$G$5:$G$3004,"&gt;="&amp;CONFIG!$B$27),IF(U987="","",_xlfn.MINIFS(ENSAYOS!$Q$5:$Q$3004,ENSAYOS!$C$5:$C$3004,F987,ENSAYOS!$Q$5:$Q$3004,"&gt;0",ENSAYOS!$G$5:$G$3004,N987)/X987))</f>
        <v/>
      </c>
      <c r="AA987" s="16" t="str">
        <f aca="false">IF(D987="","",IFERROR(1/(1/INDEX(CONFIG!$J$5:$J$14,MATCH(D987,CONFIG!$D$5:$D$14,0))),""))</f>
        <v/>
      </c>
      <c r="AB987" s="16" t="str">
        <f aca="false">IF(D987="","",IFERROR(1/(1/INDEX(CONFIG!$K$5:$K$14,MATCH(D987,CONFIG!$D$5:$D$14,0))),""))</f>
        <v/>
      </c>
      <c r="AC987" s="19" t="str">
        <f aca="false">IF(N(M987)=0,"",IF(AA987="","Sin spec",IF(AND(Y987&gt;=AA987,OR(AB987="",Z987&gt;=AB987)),"CUMPLE","NO CUMPLE")&amp;IF(V987=""," (est.)","")))</f>
        <v/>
      </c>
      <c r="AD987" s="20" t="str">
        <f aca="false">IF(F987="","",IF(COUNTIFS(ABSORCION!$C$5:$C$1004,F987,ABSORCION!$I$5:$I$1004,"&gt;0")=0,"",AVERAGEIFS(ABSORCION!$I$5:$I$1004,ABSORCION!$C$5:$C$1004,F987,ABSORCION!$I$5:$I$1004,"&gt;0")))</f>
        <v/>
      </c>
      <c r="AE987" s="20" t="str">
        <f aca="false">IF(F987="","",IF(COUNTIFS(ABSORCION!$C$5:$C$1004,F987,ABSORCION!$I$5:$I$1004,"&gt;0")=0,"",AVERAGEIFS(ABSORCION!$K$5:$K$1004,ABSORCION!$C$5:$C$1004,F987,ABSORCION!$I$5:$I$1004,"&gt;0")))</f>
        <v/>
      </c>
      <c r="AF987" s="20" t="str">
        <f aca="false">IF(AE987="","",IF(AE987&gt;=CONFIG!$E$21,CONFIG!$F$21,IF(AE987&gt;=CONFIG!$E$20,CONFIG!$F$20,CONFIG!$F$19)))</f>
        <v/>
      </c>
      <c r="AG987" s="21" t="str">
        <f aca="false">IF(F987="","",TRIM(IF(N(M987)=0,"Sin ensayos. ","")&amp;IF(AND(N(M987)&gt;0,N(M987)&lt;CONFIG!$B$26),"Menos de "&amp;CONFIG!$B$26&amp;" probetas. ","")&amp;IF(N(T987)&gt;CONFIG!$B$25,"CV alto. ","")&amp;IF(AND(N(AD987)&gt;0,N(AD987)&gt;N(AF987)),"Absorción alta. ","")))</f>
        <v/>
      </c>
      <c r="AH987" s="22" t="str">
        <f aca="false">IF(AND(N(M987)&gt;0,OR(CONTROL!$C$4="TODAS",C987=CONTROL!$C$4),D987=CONTROL!$C$5),MAX($AH$4:AH986)+1,"")</f>
        <v/>
      </c>
      <c r="AI987" s="22" t="str">
        <f aca="false">IF(AH987="","",P987^2)</f>
        <v/>
      </c>
    </row>
    <row r="988" customFormat="false" ht="15" hidden="false" customHeight="false" outlineLevel="0" collapsed="false">
      <c r="A988" s="11" t="str">
        <f aca="false">IF(B988="","",ROW()-4)</f>
        <v/>
      </c>
      <c r="B988" s="12"/>
      <c r="C988" s="13"/>
      <c r="D988" s="13"/>
      <c r="E988" s="13"/>
      <c r="F988" s="14" t="str">
        <f aca="false">IF(OR(B988="",C988="",D988=""),"",IFERROR(INDEX(CONFIG!$E$5:$E$14,MATCH(D988,CONFIG!$D$5:$D$14,0)),"?")&amp;RIGHT("0"&amp;DAY(B988),2)&amp;RIGHT("0"&amp;MONTH(B988),2)&amp;RIGHT(YEAR(B988),2)&amp;C988&amp;IF(E988="","","-"&amp;E988))</f>
        <v/>
      </c>
      <c r="G988" s="13"/>
      <c r="H988" s="13"/>
      <c r="I988" s="13"/>
      <c r="J988" s="13"/>
      <c r="K988" s="13"/>
      <c r="L988" s="13"/>
      <c r="M988" s="11" t="str">
        <f aca="false">IF(F988="","",COUNTIFS(ENSAYOS!$C$5:$C$3004,F988,ENSAYOS!$Q$5:$Q$3004,"&gt;0"))</f>
        <v/>
      </c>
      <c r="N988" s="15" t="str">
        <f aca="false">IF(N(M988)=0,"",_xlfn.MINIFS(ENSAYOS!$G$5:$G$3004,ENSAYOS!$C$5:$C$3004,F988,ENSAYOS!$Q$5:$Q$3004,"&gt;0"))</f>
        <v/>
      </c>
      <c r="O988" s="15" t="str">
        <f aca="false">IF(N(M988)=0,"",_xlfn.MAXIFS(ENSAYOS!$G$5:$G$3004,ENSAYOS!$C$5:$C$3004,F988,ENSAYOS!$Q$5:$Q$3004,"&gt;0"))</f>
        <v/>
      </c>
      <c r="P988" s="16" t="str">
        <f aca="false">IF(N(M988)=0,"",AVERAGEIFS(ENSAYOS!$Q$5:$Q$3004,ENSAYOS!$C$5:$C$3004,F988,ENSAYOS!$Q$5:$Q$3004,"&gt;0"))</f>
        <v/>
      </c>
      <c r="Q988" s="16" t="str">
        <f aca="false">IF(N(M988)=0,"",_xlfn.MINIFS(ENSAYOS!$Q$5:$Q$3004,ENSAYOS!$C$5:$C$3004,F988,ENSAYOS!$Q$5:$Q$3004,"&gt;0"))</f>
        <v/>
      </c>
      <c r="R988" s="16" t="str">
        <f aca="false">IF(N(M988)=0,"",_xlfn.MAXIFS(ENSAYOS!$Q$5:$Q$3004,ENSAYOS!$C$5:$C$3004,F988,ENSAYOS!$Q$5:$Q$3004,"&gt;0"))</f>
        <v/>
      </c>
      <c r="S988" s="16" t="str">
        <f aca="false">IF(N(M988)&lt;2,"",SQRT(MAX(0,(SUMIFS(ENSAYOS!$X$5:$X$3004,ENSAYOS!$C$5:$C$3004,F988,ENSAYOS!$Q$5:$Q$3004,"&gt;0")-M988*P988^2)/(M988-1))))</f>
        <v/>
      </c>
      <c r="T988" s="17" t="str">
        <f aca="false">IF(S988="","",S988/P988)</f>
        <v/>
      </c>
      <c r="U988" s="16" t="str">
        <f aca="false">IF(N(M988)=0,"",IF(N988&gt;=CONFIG!$B$27,"",AVERAGEIFS(ENSAYOS!$Q$5:$Q$3004,ENSAYOS!$C$5:$C$3004,F988,ENSAYOS!$Q$5:$Q$3004,"&gt;0",ENSAYOS!$G$5:$G$3004,N988)))</f>
        <v/>
      </c>
      <c r="V988" s="16" t="str">
        <f aca="false">IF(N(M988)=0,"",IF(COUNTIFS(ENSAYOS!$C$5:$C$3004,F988,ENSAYOS!$Q$5:$Q$3004,"&gt;0",ENSAYOS!$G$5:$G$3004,"&gt;="&amp;CONFIG!$B$27)=0,"",AVERAGEIFS(ENSAYOS!$Q$5:$Q$3004,ENSAYOS!$C$5:$C$3004,F988,ENSAYOS!$Q$5:$Q$3004,"&gt;0",ENSAYOS!$G$5:$G$3004,"&gt;="&amp;CONFIG!$B$27)))</f>
        <v/>
      </c>
      <c r="W988" s="18" t="str">
        <f aca="false">IF(AND(U988&lt;&gt;"",V988&lt;&gt;""),U988/V988,"")</f>
        <v/>
      </c>
      <c r="X988" s="18" t="str">
        <f aca="false">IF(U988="","",INDEX('CURVA EDAD'!$E$5:$E$32,MIN(28,MAX(1,N988))))</f>
        <v/>
      </c>
      <c r="Y988" s="16" t="str">
        <f aca="false">IF(V988&lt;&gt;"",V988,IF(U988="","",U988/X988))</f>
        <v/>
      </c>
      <c r="Z988" s="16" t="str">
        <f aca="false">IF(V988&lt;&gt;"",_xlfn.MINIFS(ENSAYOS!$Q$5:$Q$3004,ENSAYOS!$C$5:$C$3004,F988,ENSAYOS!$Q$5:$Q$3004,"&gt;0",ENSAYOS!$G$5:$G$3004,"&gt;="&amp;CONFIG!$B$27),IF(U988="","",_xlfn.MINIFS(ENSAYOS!$Q$5:$Q$3004,ENSAYOS!$C$5:$C$3004,F988,ENSAYOS!$Q$5:$Q$3004,"&gt;0",ENSAYOS!$G$5:$G$3004,N988)/X988))</f>
        <v/>
      </c>
      <c r="AA988" s="16" t="str">
        <f aca="false">IF(D988="","",IFERROR(1/(1/INDEX(CONFIG!$J$5:$J$14,MATCH(D988,CONFIG!$D$5:$D$14,0))),""))</f>
        <v/>
      </c>
      <c r="AB988" s="16" t="str">
        <f aca="false">IF(D988="","",IFERROR(1/(1/INDEX(CONFIG!$K$5:$K$14,MATCH(D988,CONFIG!$D$5:$D$14,0))),""))</f>
        <v/>
      </c>
      <c r="AC988" s="19" t="str">
        <f aca="false">IF(N(M988)=0,"",IF(AA988="","Sin spec",IF(AND(Y988&gt;=AA988,OR(AB988="",Z988&gt;=AB988)),"CUMPLE","NO CUMPLE")&amp;IF(V988=""," (est.)","")))</f>
        <v/>
      </c>
      <c r="AD988" s="20" t="str">
        <f aca="false">IF(F988="","",IF(COUNTIFS(ABSORCION!$C$5:$C$1004,F988,ABSORCION!$I$5:$I$1004,"&gt;0")=0,"",AVERAGEIFS(ABSORCION!$I$5:$I$1004,ABSORCION!$C$5:$C$1004,F988,ABSORCION!$I$5:$I$1004,"&gt;0")))</f>
        <v/>
      </c>
      <c r="AE988" s="20" t="str">
        <f aca="false">IF(F988="","",IF(COUNTIFS(ABSORCION!$C$5:$C$1004,F988,ABSORCION!$I$5:$I$1004,"&gt;0")=0,"",AVERAGEIFS(ABSORCION!$K$5:$K$1004,ABSORCION!$C$5:$C$1004,F988,ABSORCION!$I$5:$I$1004,"&gt;0")))</f>
        <v/>
      </c>
      <c r="AF988" s="20" t="str">
        <f aca="false">IF(AE988="","",IF(AE988&gt;=CONFIG!$E$21,CONFIG!$F$21,IF(AE988&gt;=CONFIG!$E$20,CONFIG!$F$20,CONFIG!$F$19)))</f>
        <v/>
      </c>
      <c r="AG988" s="21" t="str">
        <f aca="false">IF(F988="","",TRIM(IF(N(M988)=0,"Sin ensayos. ","")&amp;IF(AND(N(M988)&gt;0,N(M988)&lt;CONFIG!$B$26),"Menos de "&amp;CONFIG!$B$26&amp;" probetas. ","")&amp;IF(N(T988)&gt;CONFIG!$B$25,"CV alto. ","")&amp;IF(AND(N(AD988)&gt;0,N(AD988)&gt;N(AF988)),"Absorción alta. ","")))</f>
        <v/>
      </c>
      <c r="AH988" s="22" t="str">
        <f aca="false">IF(AND(N(M988)&gt;0,OR(CONTROL!$C$4="TODAS",C988=CONTROL!$C$4),D988=CONTROL!$C$5),MAX($AH$4:AH987)+1,"")</f>
        <v/>
      </c>
      <c r="AI988" s="22" t="str">
        <f aca="false">IF(AH988="","",P988^2)</f>
        <v/>
      </c>
    </row>
    <row r="989" customFormat="false" ht="15" hidden="false" customHeight="false" outlineLevel="0" collapsed="false">
      <c r="A989" s="11" t="str">
        <f aca="false">IF(B989="","",ROW()-4)</f>
        <v/>
      </c>
      <c r="B989" s="12"/>
      <c r="C989" s="13"/>
      <c r="D989" s="13"/>
      <c r="E989" s="13"/>
      <c r="F989" s="14" t="str">
        <f aca="false">IF(OR(B989="",C989="",D989=""),"",IFERROR(INDEX(CONFIG!$E$5:$E$14,MATCH(D989,CONFIG!$D$5:$D$14,0)),"?")&amp;RIGHT("0"&amp;DAY(B989),2)&amp;RIGHT("0"&amp;MONTH(B989),2)&amp;RIGHT(YEAR(B989),2)&amp;C989&amp;IF(E989="","","-"&amp;E989))</f>
        <v/>
      </c>
      <c r="G989" s="13"/>
      <c r="H989" s="13"/>
      <c r="I989" s="13"/>
      <c r="J989" s="13"/>
      <c r="K989" s="13"/>
      <c r="L989" s="13"/>
      <c r="M989" s="11" t="str">
        <f aca="false">IF(F989="","",COUNTIFS(ENSAYOS!$C$5:$C$3004,F989,ENSAYOS!$Q$5:$Q$3004,"&gt;0"))</f>
        <v/>
      </c>
      <c r="N989" s="15" t="str">
        <f aca="false">IF(N(M989)=0,"",_xlfn.MINIFS(ENSAYOS!$G$5:$G$3004,ENSAYOS!$C$5:$C$3004,F989,ENSAYOS!$Q$5:$Q$3004,"&gt;0"))</f>
        <v/>
      </c>
      <c r="O989" s="15" t="str">
        <f aca="false">IF(N(M989)=0,"",_xlfn.MAXIFS(ENSAYOS!$G$5:$G$3004,ENSAYOS!$C$5:$C$3004,F989,ENSAYOS!$Q$5:$Q$3004,"&gt;0"))</f>
        <v/>
      </c>
      <c r="P989" s="16" t="str">
        <f aca="false">IF(N(M989)=0,"",AVERAGEIFS(ENSAYOS!$Q$5:$Q$3004,ENSAYOS!$C$5:$C$3004,F989,ENSAYOS!$Q$5:$Q$3004,"&gt;0"))</f>
        <v/>
      </c>
      <c r="Q989" s="16" t="str">
        <f aca="false">IF(N(M989)=0,"",_xlfn.MINIFS(ENSAYOS!$Q$5:$Q$3004,ENSAYOS!$C$5:$C$3004,F989,ENSAYOS!$Q$5:$Q$3004,"&gt;0"))</f>
        <v/>
      </c>
      <c r="R989" s="16" t="str">
        <f aca="false">IF(N(M989)=0,"",_xlfn.MAXIFS(ENSAYOS!$Q$5:$Q$3004,ENSAYOS!$C$5:$C$3004,F989,ENSAYOS!$Q$5:$Q$3004,"&gt;0"))</f>
        <v/>
      </c>
      <c r="S989" s="16" t="str">
        <f aca="false">IF(N(M989)&lt;2,"",SQRT(MAX(0,(SUMIFS(ENSAYOS!$X$5:$X$3004,ENSAYOS!$C$5:$C$3004,F989,ENSAYOS!$Q$5:$Q$3004,"&gt;0")-M989*P989^2)/(M989-1))))</f>
        <v/>
      </c>
      <c r="T989" s="17" t="str">
        <f aca="false">IF(S989="","",S989/P989)</f>
        <v/>
      </c>
      <c r="U989" s="16" t="str">
        <f aca="false">IF(N(M989)=0,"",IF(N989&gt;=CONFIG!$B$27,"",AVERAGEIFS(ENSAYOS!$Q$5:$Q$3004,ENSAYOS!$C$5:$C$3004,F989,ENSAYOS!$Q$5:$Q$3004,"&gt;0",ENSAYOS!$G$5:$G$3004,N989)))</f>
        <v/>
      </c>
      <c r="V989" s="16" t="str">
        <f aca="false">IF(N(M989)=0,"",IF(COUNTIFS(ENSAYOS!$C$5:$C$3004,F989,ENSAYOS!$Q$5:$Q$3004,"&gt;0",ENSAYOS!$G$5:$G$3004,"&gt;="&amp;CONFIG!$B$27)=0,"",AVERAGEIFS(ENSAYOS!$Q$5:$Q$3004,ENSAYOS!$C$5:$C$3004,F989,ENSAYOS!$Q$5:$Q$3004,"&gt;0",ENSAYOS!$G$5:$G$3004,"&gt;="&amp;CONFIG!$B$27)))</f>
        <v/>
      </c>
      <c r="W989" s="18" t="str">
        <f aca="false">IF(AND(U989&lt;&gt;"",V989&lt;&gt;""),U989/V989,"")</f>
        <v/>
      </c>
      <c r="X989" s="18" t="str">
        <f aca="false">IF(U989="","",INDEX('CURVA EDAD'!$E$5:$E$32,MIN(28,MAX(1,N989))))</f>
        <v/>
      </c>
      <c r="Y989" s="16" t="str">
        <f aca="false">IF(V989&lt;&gt;"",V989,IF(U989="","",U989/X989))</f>
        <v/>
      </c>
      <c r="Z989" s="16" t="str">
        <f aca="false">IF(V989&lt;&gt;"",_xlfn.MINIFS(ENSAYOS!$Q$5:$Q$3004,ENSAYOS!$C$5:$C$3004,F989,ENSAYOS!$Q$5:$Q$3004,"&gt;0",ENSAYOS!$G$5:$G$3004,"&gt;="&amp;CONFIG!$B$27),IF(U989="","",_xlfn.MINIFS(ENSAYOS!$Q$5:$Q$3004,ENSAYOS!$C$5:$C$3004,F989,ENSAYOS!$Q$5:$Q$3004,"&gt;0",ENSAYOS!$G$5:$G$3004,N989)/X989))</f>
        <v/>
      </c>
      <c r="AA989" s="16" t="str">
        <f aca="false">IF(D989="","",IFERROR(1/(1/INDEX(CONFIG!$J$5:$J$14,MATCH(D989,CONFIG!$D$5:$D$14,0))),""))</f>
        <v/>
      </c>
      <c r="AB989" s="16" t="str">
        <f aca="false">IF(D989="","",IFERROR(1/(1/INDEX(CONFIG!$K$5:$K$14,MATCH(D989,CONFIG!$D$5:$D$14,0))),""))</f>
        <v/>
      </c>
      <c r="AC989" s="19" t="str">
        <f aca="false">IF(N(M989)=0,"",IF(AA989="","Sin spec",IF(AND(Y989&gt;=AA989,OR(AB989="",Z989&gt;=AB989)),"CUMPLE","NO CUMPLE")&amp;IF(V989=""," (est.)","")))</f>
        <v/>
      </c>
      <c r="AD989" s="20" t="str">
        <f aca="false">IF(F989="","",IF(COUNTIFS(ABSORCION!$C$5:$C$1004,F989,ABSORCION!$I$5:$I$1004,"&gt;0")=0,"",AVERAGEIFS(ABSORCION!$I$5:$I$1004,ABSORCION!$C$5:$C$1004,F989,ABSORCION!$I$5:$I$1004,"&gt;0")))</f>
        <v/>
      </c>
      <c r="AE989" s="20" t="str">
        <f aca="false">IF(F989="","",IF(COUNTIFS(ABSORCION!$C$5:$C$1004,F989,ABSORCION!$I$5:$I$1004,"&gt;0")=0,"",AVERAGEIFS(ABSORCION!$K$5:$K$1004,ABSORCION!$C$5:$C$1004,F989,ABSORCION!$I$5:$I$1004,"&gt;0")))</f>
        <v/>
      </c>
      <c r="AF989" s="20" t="str">
        <f aca="false">IF(AE989="","",IF(AE989&gt;=CONFIG!$E$21,CONFIG!$F$21,IF(AE989&gt;=CONFIG!$E$20,CONFIG!$F$20,CONFIG!$F$19)))</f>
        <v/>
      </c>
      <c r="AG989" s="21" t="str">
        <f aca="false">IF(F989="","",TRIM(IF(N(M989)=0,"Sin ensayos. ","")&amp;IF(AND(N(M989)&gt;0,N(M989)&lt;CONFIG!$B$26),"Menos de "&amp;CONFIG!$B$26&amp;" probetas. ","")&amp;IF(N(T989)&gt;CONFIG!$B$25,"CV alto. ","")&amp;IF(AND(N(AD989)&gt;0,N(AD989)&gt;N(AF989)),"Absorción alta. ","")))</f>
        <v/>
      </c>
      <c r="AH989" s="22" t="str">
        <f aca="false">IF(AND(N(M989)&gt;0,OR(CONTROL!$C$4="TODAS",C989=CONTROL!$C$4),D989=CONTROL!$C$5),MAX($AH$4:AH988)+1,"")</f>
        <v/>
      </c>
      <c r="AI989" s="22" t="str">
        <f aca="false">IF(AH989="","",P989^2)</f>
        <v/>
      </c>
    </row>
    <row r="990" customFormat="false" ht="15" hidden="false" customHeight="false" outlineLevel="0" collapsed="false">
      <c r="A990" s="11" t="str">
        <f aca="false">IF(B990="","",ROW()-4)</f>
        <v/>
      </c>
      <c r="B990" s="12"/>
      <c r="C990" s="13"/>
      <c r="D990" s="13"/>
      <c r="E990" s="13"/>
      <c r="F990" s="14" t="str">
        <f aca="false">IF(OR(B990="",C990="",D990=""),"",IFERROR(INDEX(CONFIG!$E$5:$E$14,MATCH(D990,CONFIG!$D$5:$D$14,0)),"?")&amp;RIGHT("0"&amp;DAY(B990),2)&amp;RIGHT("0"&amp;MONTH(B990),2)&amp;RIGHT(YEAR(B990),2)&amp;C990&amp;IF(E990="","","-"&amp;E990))</f>
        <v/>
      </c>
      <c r="G990" s="13"/>
      <c r="H990" s="13"/>
      <c r="I990" s="13"/>
      <c r="J990" s="13"/>
      <c r="K990" s="13"/>
      <c r="L990" s="13"/>
      <c r="M990" s="11" t="str">
        <f aca="false">IF(F990="","",COUNTIFS(ENSAYOS!$C$5:$C$3004,F990,ENSAYOS!$Q$5:$Q$3004,"&gt;0"))</f>
        <v/>
      </c>
      <c r="N990" s="15" t="str">
        <f aca="false">IF(N(M990)=0,"",_xlfn.MINIFS(ENSAYOS!$G$5:$G$3004,ENSAYOS!$C$5:$C$3004,F990,ENSAYOS!$Q$5:$Q$3004,"&gt;0"))</f>
        <v/>
      </c>
      <c r="O990" s="15" t="str">
        <f aca="false">IF(N(M990)=0,"",_xlfn.MAXIFS(ENSAYOS!$G$5:$G$3004,ENSAYOS!$C$5:$C$3004,F990,ENSAYOS!$Q$5:$Q$3004,"&gt;0"))</f>
        <v/>
      </c>
      <c r="P990" s="16" t="str">
        <f aca="false">IF(N(M990)=0,"",AVERAGEIFS(ENSAYOS!$Q$5:$Q$3004,ENSAYOS!$C$5:$C$3004,F990,ENSAYOS!$Q$5:$Q$3004,"&gt;0"))</f>
        <v/>
      </c>
      <c r="Q990" s="16" t="str">
        <f aca="false">IF(N(M990)=0,"",_xlfn.MINIFS(ENSAYOS!$Q$5:$Q$3004,ENSAYOS!$C$5:$C$3004,F990,ENSAYOS!$Q$5:$Q$3004,"&gt;0"))</f>
        <v/>
      </c>
      <c r="R990" s="16" t="str">
        <f aca="false">IF(N(M990)=0,"",_xlfn.MAXIFS(ENSAYOS!$Q$5:$Q$3004,ENSAYOS!$C$5:$C$3004,F990,ENSAYOS!$Q$5:$Q$3004,"&gt;0"))</f>
        <v/>
      </c>
      <c r="S990" s="16" t="str">
        <f aca="false">IF(N(M990)&lt;2,"",SQRT(MAX(0,(SUMIFS(ENSAYOS!$X$5:$X$3004,ENSAYOS!$C$5:$C$3004,F990,ENSAYOS!$Q$5:$Q$3004,"&gt;0")-M990*P990^2)/(M990-1))))</f>
        <v/>
      </c>
      <c r="T990" s="17" t="str">
        <f aca="false">IF(S990="","",S990/P990)</f>
        <v/>
      </c>
      <c r="U990" s="16" t="str">
        <f aca="false">IF(N(M990)=0,"",IF(N990&gt;=CONFIG!$B$27,"",AVERAGEIFS(ENSAYOS!$Q$5:$Q$3004,ENSAYOS!$C$5:$C$3004,F990,ENSAYOS!$Q$5:$Q$3004,"&gt;0",ENSAYOS!$G$5:$G$3004,N990)))</f>
        <v/>
      </c>
      <c r="V990" s="16" t="str">
        <f aca="false">IF(N(M990)=0,"",IF(COUNTIFS(ENSAYOS!$C$5:$C$3004,F990,ENSAYOS!$Q$5:$Q$3004,"&gt;0",ENSAYOS!$G$5:$G$3004,"&gt;="&amp;CONFIG!$B$27)=0,"",AVERAGEIFS(ENSAYOS!$Q$5:$Q$3004,ENSAYOS!$C$5:$C$3004,F990,ENSAYOS!$Q$5:$Q$3004,"&gt;0",ENSAYOS!$G$5:$G$3004,"&gt;="&amp;CONFIG!$B$27)))</f>
        <v/>
      </c>
      <c r="W990" s="18" t="str">
        <f aca="false">IF(AND(U990&lt;&gt;"",V990&lt;&gt;""),U990/V990,"")</f>
        <v/>
      </c>
      <c r="X990" s="18" t="str">
        <f aca="false">IF(U990="","",INDEX('CURVA EDAD'!$E$5:$E$32,MIN(28,MAX(1,N990))))</f>
        <v/>
      </c>
      <c r="Y990" s="16" t="str">
        <f aca="false">IF(V990&lt;&gt;"",V990,IF(U990="","",U990/X990))</f>
        <v/>
      </c>
      <c r="Z990" s="16" t="str">
        <f aca="false">IF(V990&lt;&gt;"",_xlfn.MINIFS(ENSAYOS!$Q$5:$Q$3004,ENSAYOS!$C$5:$C$3004,F990,ENSAYOS!$Q$5:$Q$3004,"&gt;0",ENSAYOS!$G$5:$G$3004,"&gt;="&amp;CONFIG!$B$27),IF(U990="","",_xlfn.MINIFS(ENSAYOS!$Q$5:$Q$3004,ENSAYOS!$C$5:$C$3004,F990,ENSAYOS!$Q$5:$Q$3004,"&gt;0",ENSAYOS!$G$5:$G$3004,N990)/X990))</f>
        <v/>
      </c>
      <c r="AA990" s="16" t="str">
        <f aca="false">IF(D990="","",IFERROR(1/(1/INDEX(CONFIG!$J$5:$J$14,MATCH(D990,CONFIG!$D$5:$D$14,0))),""))</f>
        <v/>
      </c>
      <c r="AB990" s="16" t="str">
        <f aca="false">IF(D990="","",IFERROR(1/(1/INDEX(CONFIG!$K$5:$K$14,MATCH(D990,CONFIG!$D$5:$D$14,0))),""))</f>
        <v/>
      </c>
      <c r="AC990" s="19" t="str">
        <f aca="false">IF(N(M990)=0,"",IF(AA990="","Sin spec",IF(AND(Y990&gt;=AA990,OR(AB990="",Z990&gt;=AB990)),"CUMPLE","NO CUMPLE")&amp;IF(V990=""," (est.)","")))</f>
        <v/>
      </c>
      <c r="AD990" s="20" t="str">
        <f aca="false">IF(F990="","",IF(COUNTIFS(ABSORCION!$C$5:$C$1004,F990,ABSORCION!$I$5:$I$1004,"&gt;0")=0,"",AVERAGEIFS(ABSORCION!$I$5:$I$1004,ABSORCION!$C$5:$C$1004,F990,ABSORCION!$I$5:$I$1004,"&gt;0")))</f>
        <v/>
      </c>
      <c r="AE990" s="20" t="str">
        <f aca="false">IF(F990="","",IF(COUNTIFS(ABSORCION!$C$5:$C$1004,F990,ABSORCION!$I$5:$I$1004,"&gt;0")=0,"",AVERAGEIFS(ABSORCION!$K$5:$K$1004,ABSORCION!$C$5:$C$1004,F990,ABSORCION!$I$5:$I$1004,"&gt;0")))</f>
        <v/>
      </c>
      <c r="AF990" s="20" t="str">
        <f aca="false">IF(AE990="","",IF(AE990&gt;=CONFIG!$E$21,CONFIG!$F$21,IF(AE990&gt;=CONFIG!$E$20,CONFIG!$F$20,CONFIG!$F$19)))</f>
        <v/>
      </c>
      <c r="AG990" s="21" t="str">
        <f aca="false">IF(F990="","",TRIM(IF(N(M990)=0,"Sin ensayos. ","")&amp;IF(AND(N(M990)&gt;0,N(M990)&lt;CONFIG!$B$26),"Menos de "&amp;CONFIG!$B$26&amp;" probetas. ","")&amp;IF(N(T990)&gt;CONFIG!$B$25,"CV alto. ","")&amp;IF(AND(N(AD990)&gt;0,N(AD990)&gt;N(AF990)),"Absorción alta. ","")))</f>
        <v/>
      </c>
      <c r="AH990" s="22" t="str">
        <f aca="false">IF(AND(N(M990)&gt;0,OR(CONTROL!$C$4="TODAS",C990=CONTROL!$C$4),D990=CONTROL!$C$5),MAX($AH$4:AH989)+1,"")</f>
        <v/>
      </c>
      <c r="AI990" s="22" t="str">
        <f aca="false">IF(AH990="","",P990^2)</f>
        <v/>
      </c>
    </row>
    <row r="991" customFormat="false" ht="15" hidden="false" customHeight="false" outlineLevel="0" collapsed="false">
      <c r="A991" s="11" t="str">
        <f aca="false">IF(B991="","",ROW()-4)</f>
        <v/>
      </c>
      <c r="B991" s="12"/>
      <c r="C991" s="13"/>
      <c r="D991" s="13"/>
      <c r="E991" s="13"/>
      <c r="F991" s="14" t="str">
        <f aca="false">IF(OR(B991="",C991="",D991=""),"",IFERROR(INDEX(CONFIG!$E$5:$E$14,MATCH(D991,CONFIG!$D$5:$D$14,0)),"?")&amp;RIGHT("0"&amp;DAY(B991),2)&amp;RIGHT("0"&amp;MONTH(B991),2)&amp;RIGHT(YEAR(B991),2)&amp;C991&amp;IF(E991="","","-"&amp;E991))</f>
        <v/>
      </c>
      <c r="G991" s="13"/>
      <c r="H991" s="13"/>
      <c r="I991" s="13"/>
      <c r="J991" s="13"/>
      <c r="K991" s="13"/>
      <c r="L991" s="13"/>
      <c r="M991" s="11" t="str">
        <f aca="false">IF(F991="","",COUNTIFS(ENSAYOS!$C$5:$C$3004,F991,ENSAYOS!$Q$5:$Q$3004,"&gt;0"))</f>
        <v/>
      </c>
      <c r="N991" s="15" t="str">
        <f aca="false">IF(N(M991)=0,"",_xlfn.MINIFS(ENSAYOS!$G$5:$G$3004,ENSAYOS!$C$5:$C$3004,F991,ENSAYOS!$Q$5:$Q$3004,"&gt;0"))</f>
        <v/>
      </c>
      <c r="O991" s="15" t="str">
        <f aca="false">IF(N(M991)=0,"",_xlfn.MAXIFS(ENSAYOS!$G$5:$G$3004,ENSAYOS!$C$5:$C$3004,F991,ENSAYOS!$Q$5:$Q$3004,"&gt;0"))</f>
        <v/>
      </c>
      <c r="P991" s="16" t="str">
        <f aca="false">IF(N(M991)=0,"",AVERAGEIFS(ENSAYOS!$Q$5:$Q$3004,ENSAYOS!$C$5:$C$3004,F991,ENSAYOS!$Q$5:$Q$3004,"&gt;0"))</f>
        <v/>
      </c>
      <c r="Q991" s="16" t="str">
        <f aca="false">IF(N(M991)=0,"",_xlfn.MINIFS(ENSAYOS!$Q$5:$Q$3004,ENSAYOS!$C$5:$C$3004,F991,ENSAYOS!$Q$5:$Q$3004,"&gt;0"))</f>
        <v/>
      </c>
      <c r="R991" s="16" t="str">
        <f aca="false">IF(N(M991)=0,"",_xlfn.MAXIFS(ENSAYOS!$Q$5:$Q$3004,ENSAYOS!$C$5:$C$3004,F991,ENSAYOS!$Q$5:$Q$3004,"&gt;0"))</f>
        <v/>
      </c>
      <c r="S991" s="16" t="str">
        <f aca="false">IF(N(M991)&lt;2,"",SQRT(MAX(0,(SUMIFS(ENSAYOS!$X$5:$X$3004,ENSAYOS!$C$5:$C$3004,F991,ENSAYOS!$Q$5:$Q$3004,"&gt;0")-M991*P991^2)/(M991-1))))</f>
        <v/>
      </c>
      <c r="T991" s="17" t="str">
        <f aca="false">IF(S991="","",S991/P991)</f>
        <v/>
      </c>
      <c r="U991" s="16" t="str">
        <f aca="false">IF(N(M991)=0,"",IF(N991&gt;=CONFIG!$B$27,"",AVERAGEIFS(ENSAYOS!$Q$5:$Q$3004,ENSAYOS!$C$5:$C$3004,F991,ENSAYOS!$Q$5:$Q$3004,"&gt;0",ENSAYOS!$G$5:$G$3004,N991)))</f>
        <v/>
      </c>
      <c r="V991" s="16" t="str">
        <f aca="false">IF(N(M991)=0,"",IF(COUNTIFS(ENSAYOS!$C$5:$C$3004,F991,ENSAYOS!$Q$5:$Q$3004,"&gt;0",ENSAYOS!$G$5:$G$3004,"&gt;="&amp;CONFIG!$B$27)=0,"",AVERAGEIFS(ENSAYOS!$Q$5:$Q$3004,ENSAYOS!$C$5:$C$3004,F991,ENSAYOS!$Q$5:$Q$3004,"&gt;0",ENSAYOS!$G$5:$G$3004,"&gt;="&amp;CONFIG!$B$27)))</f>
        <v/>
      </c>
      <c r="W991" s="18" t="str">
        <f aca="false">IF(AND(U991&lt;&gt;"",V991&lt;&gt;""),U991/V991,"")</f>
        <v/>
      </c>
      <c r="X991" s="18" t="str">
        <f aca="false">IF(U991="","",INDEX('CURVA EDAD'!$E$5:$E$32,MIN(28,MAX(1,N991))))</f>
        <v/>
      </c>
      <c r="Y991" s="16" t="str">
        <f aca="false">IF(V991&lt;&gt;"",V991,IF(U991="","",U991/X991))</f>
        <v/>
      </c>
      <c r="Z991" s="16" t="str">
        <f aca="false">IF(V991&lt;&gt;"",_xlfn.MINIFS(ENSAYOS!$Q$5:$Q$3004,ENSAYOS!$C$5:$C$3004,F991,ENSAYOS!$Q$5:$Q$3004,"&gt;0",ENSAYOS!$G$5:$G$3004,"&gt;="&amp;CONFIG!$B$27),IF(U991="","",_xlfn.MINIFS(ENSAYOS!$Q$5:$Q$3004,ENSAYOS!$C$5:$C$3004,F991,ENSAYOS!$Q$5:$Q$3004,"&gt;0",ENSAYOS!$G$5:$G$3004,N991)/X991))</f>
        <v/>
      </c>
      <c r="AA991" s="16" t="str">
        <f aca="false">IF(D991="","",IFERROR(1/(1/INDEX(CONFIG!$J$5:$J$14,MATCH(D991,CONFIG!$D$5:$D$14,0))),""))</f>
        <v/>
      </c>
      <c r="AB991" s="16" t="str">
        <f aca="false">IF(D991="","",IFERROR(1/(1/INDEX(CONFIG!$K$5:$K$14,MATCH(D991,CONFIG!$D$5:$D$14,0))),""))</f>
        <v/>
      </c>
      <c r="AC991" s="19" t="str">
        <f aca="false">IF(N(M991)=0,"",IF(AA991="","Sin spec",IF(AND(Y991&gt;=AA991,OR(AB991="",Z991&gt;=AB991)),"CUMPLE","NO CUMPLE")&amp;IF(V991=""," (est.)","")))</f>
        <v/>
      </c>
      <c r="AD991" s="20" t="str">
        <f aca="false">IF(F991="","",IF(COUNTIFS(ABSORCION!$C$5:$C$1004,F991,ABSORCION!$I$5:$I$1004,"&gt;0")=0,"",AVERAGEIFS(ABSORCION!$I$5:$I$1004,ABSORCION!$C$5:$C$1004,F991,ABSORCION!$I$5:$I$1004,"&gt;0")))</f>
        <v/>
      </c>
      <c r="AE991" s="20" t="str">
        <f aca="false">IF(F991="","",IF(COUNTIFS(ABSORCION!$C$5:$C$1004,F991,ABSORCION!$I$5:$I$1004,"&gt;0")=0,"",AVERAGEIFS(ABSORCION!$K$5:$K$1004,ABSORCION!$C$5:$C$1004,F991,ABSORCION!$I$5:$I$1004,"&gt;0")))</f>
        <v/>
      </c>
      <c r="AF991" s="20" t="str">
        <f aca="false">IF(AE991="","",IF(AE991&gt;=CONFIG!$E$21,CONFIG!$F$21,IF(AE991&gt;=CONFIG!$E$20,CONFIG!$F$20,CONFIG!$F$19)))</f>
        <v/>
      </c>
      <c r="AG991" s="21" t="str">
        <f aca="false">IF(F991="","",TRIM(IF(N(M991)=0,"Sin ensayos. ","")&amp;IF(AND(N(M991)&gt;0,N(M991)&lt;CONFIG!$B$26),"Menos de "&amp;CONFIG!$B$26&amp;" probetas. ","")&amp;IF(N(T991)&gt;CONFIG!$B$25,"CV alto. ","")&amp;IF(AND(N(AD991)&gt;0,N(AD991)&gt;N(AF991)),"Absorción alta. ","")))</f>
        <v/>
      </c>
      <c r="AH991" s="22" t="str">
        <f aca="false">IF(AND(N(M991)&gt;0,OR(CONTROL!$C$4="TODAS",C991=CONTROL!$C$4),D991=CONTROL!$C$5),MAX($AH$4:AH990)+1,"")</f>
        <v/>
      </c>
      <c r="AI991" s="22" t="str">
        <f aca="false">IF(AH991="","",P991^2)</f>
        <v/>
      </c>
    </row>
    <row r="992" customFormat="false" ht="15" hidden="false" customHeight="false" outlineLevel="0" collapsed="false">
      <c r="A992" s="11" t="str">
        <f aca="false">IF(B992="","",ROW()-4)</f>
        <v/>
      </c>
      <c r="B992" s="12"/>
      <c r="C992" s="13"/>
      <c r="D992" s="13"/>
      <c r="E992" s="13"/>
      <c r="F992" s="14" t="str">
        <f aca="false">IF(OR(B992="",C992="",D992=""),"",IFERROR(INDEX(CONFIG!$E$5:$E$14,MATCH(D992,CONFIG!$D$5:$D$14,0)),"?")&amp;RIGHT("0"&amp;DAY(B992),2)&amp;RIGHT("0"&amp;MONTH(B992),2)&amp;RIGHT(YEAR(B992),2)&amp;C992&amp;IF(E992="","","-"&amp;E992))</f>
        <v/>
      </c>
      <c r="G992" s="13"/>
      <c r="H992" s="13"/>
      <c r="I992" s="13"/>
      <c r="J992" s="13"/>
      <c r="K992" s="13"/>
      <c r="L992" s="13"/>
      <c r="M992" s="11" t="str">
        <f aca="false">IF(F992="","",COUNTIFS(ENSAYOS!$C$5:$C$3004,F992,ENSAYOS!$Q$5:$Q$3004,"&gt;0"))</f>
        <v/>
      </c>
      <c r="N992" s="15" t="str">
        <f aca="false">IF(N(M992)=0,"",_xlfn.MINIFS(ENSAYOS!$G$5:$G$3004,ENSAYOS!$C$5:$C$3004,F992,ENSAYOS!$Q$5:$Q$3004,"&gt;0"))</f>
        <v/>
      </c>
      <c r="O992" s="15" t="str">
        <f aca="false">IF(N(M992)=0,"",_xlfn.MAXIFS(ENSAYOS!$G$5:$G$3004,ENSAYOS!$C$5:$C$3004,F992,ENSAYOS!$Q$5:$Q$3004,"&gt;0"))</f>
        <v/>
      </c>
      <c r="P992" s="16" t="str">
        <f aca="false">IF(N(M992)=0,"",AVERAGEIFS(ENSAYOS!$Q$5:$Q$3004,ENSAYOS!$C$5:$C$3004,F992,ENSAYOS!$Q$5:$Q$3004,"&gt;0"))</f>
        <v/>
      </c>
      <c r="Q992" s="16" t="str">
        <f aca="false">IF(N(M992)=0,"",_xlfn.MINIFS(ENSAYOS!$Q$5:$Q$3004,ENSAYOS!$C$5:$C$3004,F992,ENSAYOS!$Q$5:$Q$3004,"&gt;0"))</f>
        <v/>
      </c>
      <c r="R992" s="16" t="str">
        <f aca="false">IF(N(M992)=0,"",_xlfn.MAXIFS(ENSAYOS!$Q$5:$Q$3004,ENSAYOS!$C$5:$C$3004,F992,ENSAYOS!$Q$5:$Q$3004,"&gt;0"))</f>
        <v/>
      </c>
      <c r="S992" s="16" t="str">
        <f aca="false">IF(N(M992)&lt;2,"",SQRT(MAX(0,(SUMIFS(ENSAYOS!$X$5:$X$3004,ENSAYOS!$C$5:$C$3004,F992,ENSAYOS!$Q$5:$Q$3004,"&gt;0")-M992*P992^2)/(M992-1))))</f>
        <v/>
      </c>
      <c r="T992" s="17" t="str">
        <f aca="false">IF(S992="","",S992/P992)</f>
        <v/>
      </c>
      <c r="U992" s="16" t="str">
        <f aca="false">IF(N(M992)=0,"",IF(N992&gt;=CONFIG!$B$27,"",AVERAGEIFS(ENSAYOS!$Q$5:$Q$3004,ENSAYOS!$C$5:$C$3004,F992,ENSAYOS!$Q$5:$Q$3004,"&gt;0",ENSAYOS!$G$5:$G$3004,N992)))</f>
        <v/>
      </c>
      <c r="V992" s="16" t="str">
        <f aca="false">IF(N(M992)=0,"",IF(COUNTIFS(ENSAYOS!$C$5:$C$3004,F992,ENSAYOS!$Q$5:$Q$3004,"&gt;0",ENSAYOS!$G$5:$G$3004,"&gt;="&amp;CONFIG!$B$27)=0,"",AVERAGEIFS(ENSAYOS!$Q$5:$Q$3004,ENSAYOS!$C$5:$C$3004,F992,ENSAYOS!$Q$5:$Q$3004,"&gt;0",ENSAYOS!$G$5:$G$3004,"&gt;="&amp;CONFIG!$B$27)))</f>
        <v/>
      </c>
      <c r="W992" s="18" t="str">
        <f aca="false">IF(AND(U992&lt;&gt;"",V992&lt;&gt;""),U992/V992,"")</f>
        <v/>
      </c>
      <c r="X992" s="18" t="str">
        <f aca="false">IF(U992="","",INDEX('CURVA EDAD'!$E$5:$E$32,MIN(28,MAX(1,N992))))</f>
        <v/>
      </c>
      <c r="Y992" s="16" t="str">
        <f aca="false">IF(V992&lt;&gt;"",V992,IF(U992="","",U992/X992))</f>
        <v/>
      </c>
      <c r="Z992" s="16" t="str">
        <f aca="false">IF(V992&lt;&gt;"",_xlfn.MINIFS(ENSAYOS!$Q$5:$Q$3004,ENSAYOS!$C$5:$C$3004,F992,ENSAYOS!$Q$5:$Q$3004,"&gt;0",ENSAYOS!$G$5:$G$3004,"&gt;="&amp;CONFIG!$B$27),IF(U992="","",_xlfn.MINIFS(ENSAYOS!$Q$5:$Q$3004,ENSAYOS!$C$5:$C$3004,F992,ENSAYOS!$Q$5:$Q$3004,"&gt;0",ENSAYOS!$G$5:$G$3004,N992)/X992))</f>
        <v/>
      </c>
      <c r="AA992" s="16" t="str">
        <f aca="false">IF(D992="","",IFERROR(1/(1/INDEX(CONFIG!$J$5:$J$14,MATCH(D992,CONFIG!$D$5:$D$14,0))),""))</f>
        <v/>
      </c>
      <c r="AB992" s="16" t="str">
        <f aca="false">IF(D992="","",IFERROR(1/(1/INDEX(CONFIG!$K$5:$K$14,MATCH(D992,CONFIG!$D$5:$D$14,0))),""))</f>
        <v/>
      </c>
      <c r="AC992" s="19" t="str">
        <f aca="false">IF(N(M992)=0,"",IF(AA992="","Sin spec",IF(AND(Y992&gt;=AA992,OR(AB992="",Z992&gt;=AB992)),"CUMPLE","NO CUMPLE")&amp;IF(V992=""," (est.)","")))</f>
        <v/>
      </c>
      <c r="AD992" s="20" t="str">
        <f aca="false">IF(F992="","",IF(COUNTIFS(ABSORCION!$C$5:$C$1004,F992,ABSORCION!$I$5:$I$1004,"&gt;0")=0,"",AVERAGEIFS(ABSORCION!$I$5:$I$1004,ABSORCION!$C$5:$C$1004,F992,ABSORCION!$I$5:$I$1004,"&gt;0")))</f>
        <v/>
      </c>
      <c r="AE992" s="20" t="str">
        <f aca="false">IF(F992="","",IF(COUNTIFS(ABSORCION!$C$5:$C$1004,F992,ABSORCION!$I$5:$I$1004,"&gt;0")=0,"",AVERAGEIFS(ABSORCION!$K$5:$K$1004,ABSORCION!$C$5:$C$1004,F992,ABSORCION!$I$5:$I$1004,"&gt;0")))</f>
        <v/>
      </c>
      <c r="AF992" s="20" t="str">
        <f aca="false">IF(AE992="","",IF(AE992&gt;=CONFIG!$E$21,CONFIG!$F$21,IF(AE992&gt;=CONFIG!$E$20,CONFIG!$F$20,CONFIG!$F$19)))</f>
        <v/>
      </c>
      <c r="AG992" s="21" t="str">
        <f aca="false">IF(F992="","",TRIM(IF(N(M992)=0,"Sin ensayos. ","")&amp;IF(AND(N(M992)&gt;0,N(M992)&lt;CONFIG!$B$26),"Menos de "&amp;CONFIG!$B$26&amp;" probetas. ","")&amp;IF(N(T992)&gt;CONFIG!$B$25,"CV alto. ","")&amp;IF(AND(N(AD992)&gt;0,N(AD992)&gt;N(AF992)),"Absorción alta. ","")))</f>
        <v/>
      </c>
      <c r="AH992" s="22" t="str">
        <f aca="false">IF(AND(N(M992)&gt;0,OR(CONTROL!$C$4="TODAS",C992=CONTROL!$C$4),D992=CONTROL!$C$5),MAX($AH$4:AH991)+1,"")</f>
        <v/>
      </c>
      <c r="AI992" s="22" t="str">
        <f aca="false">IF(AH992="","",P992^2)</f>
        <v/>
      </c>
    </row>
    <row r="993" customFormat="false" ht="15" hidden="false" customHeight="false" outlineLevel="0" collapsed="false">
      <c r="A993" s="11" t="str">
        <f aca="false">IF(B993="","",ROW()-4)</f>
        <v/>
      </c>
      <c r="B993" s="12"/>
      <c r="C993" s="13"/>
      <c r="D993" s="13"/>
      <c r="E993" s="13"/>
      <c r="F993" s="14" t="str">
        <f aca="false">IF(OR(B993="",C993="",D993=""),"",IFERROR(INDEX(CONFIG!$E$5:$E$14,MATCH(D993,CONFIG!$D$5:$D$14,0)),"?")&amp;RIGHT("0"&amp;DAY(B993),2)&amp;RIGHT("0"&amp;MONTH(B993),2)&amp;RIGHT(YEAR(B993),2)&amp;C993&amp;IF(E993="","","-"&amp;E993))</f>
        <v/>
      </c>
      <c r="G993" s="13"/>
      <c r="H993" s="13"/>
      <c r="I993" s="13"/>
      <c r="J993" s="13"/>
      <c r="K993" s="13"/>
      <c r="L993" s="13"/>
      <c r="M993" s="11" t="str">
        <f aca="false">IF(F993="","",COUNTIFS(ENSAYOS!$C$5:$C$3004,F993,ENSAYOS!$Q$5:$Q$3004,"&gt;0"))</f>
        <v/>
      </c>
      <c r="N993" s="15" t="str">
        <f aca="false">IF(N(M993)=0,"",_xlfn.MINIFS(ENSAYOS!$G$5:$G$3004,ENSAYOS!$C$5:$C$3004,F993,ENSAYOS!$Q$5:$Q$3004,"&gt;0"))</f>
        <v/>
      </c>
      <c r="O993" s="15" t="str">
        <f aca="false">IF(N(M993)=0,"",_xlfn.MAXIFS(ENSAYOS!$G$5:$G$3004,ENSAYOS!$C$5:$C$3004,F993,ENSAYOS!$Q$5:$Q$3004,"&gt;0"))</f>
        <v/>
      </c>
      <c r="P993" s="16" t="str">
        <f aca="false">IF(N(M993)=0,"",AVERAGEIFS(ENSAYOS!$Q$5:$Q$3004,ENSAYOS!$C$5:$C$3004,F993,ENSAYOS!$Q$5:$Q$3004,"&gt;0"))</f>
        <v/>
      </c>
      <c r="Q993" s="16" t="str">
        <f aca="false">IF(N(M993)=0,"",_xlfn.MINIFS(ENSAYOS!$Q$5:$Q$3004,ENSAYOS!$C$5:$C$3004,F993,ENSAYOS!$Q$5:$Q$3004,"&gt;0"))</f>
        <v/>
      </c>
      <c r="R993" s="16" t="str">
        <f aca="false">IF(N(M993)=0,"",_xlfn.MAXIFS(ENSAYOS!$Q$5:$Q$3004,ENSAYOS!$C$5:$C$3004,F993,ENSAYOS!$Q$5:$Q$3004,"&gt;0"))</f>
        <v/>
      </c>
      <c r="S993" s="16" t="str">
        <f aca="false">IF(N(M993)&lt;2,"",SQRT(MAX(0,(SUMIFS(ENSAYOS!$X$5:$X$3004,ENSAYOS!$C$5:$C$3004,F993,ENSAYOS!$Q$5:$Q$3004,"&gt;0")-M993*P993^2)/(M993-1))))</f>
        <v/>
      </c>
      <c r="T993" s="17" t="str">
        <f aca="false">IF(S993="","",S993/P993)</f>
        <v/>
      </c>
      <c r="U993" s="16" t="str">
        <f aca="false">IF(N(M993)=0,"",IF(N993&gt;=CONFIG!$B$27,"",AVERAGEIFS(ENSAYOS!$Q$5:$Q$3004,ENSAYOS!$C$5:$C$3004,F993,ENSAYOS!$Q$5:$Q$3004,"&gt;0",ENSAYOS!$G$5:$G$3004,N993)))</f>
        <v/>
      </c>
      <c r="V993" s="16" t="str">
        <f aca="false">IF(N(M993)=0,"",IF(COUNTIFS(ENSAYOS!$C$5:$C$3004,F993,ENSAYOS!$Q$5:$Q$3004,"&gt;0",ENSAYOS!$G$5:$G$3004,"&gt;="&amp;CONFIG!$B$27)=0,"",AVERAGEIFS(ENSAYOS!$Q$5:$Q$3004,ENSAYOS!$C$5:$C$3004,F993,ENSAYOS!$Q$5:$Q$3004,"&gt;0",ENSAYOS!$G$5:$G$3004,"&gt;="&amp;CONFIG!$B$27)))</f>
        <v/>
      </c>
      <c r="W993" s="18" t="str">
        <f aca="false">IF(AND(U993&lt;&gt;"",V993&lt;&gt;""),U993/V993,"")</f>
        <v/>
      </c>
      <c r="X993" s="18" t="str">
        <f aca="false">IF(U993="","",INDEX('CURVA EDAD'!$E$5:$E$32,MIN(28,MAX(1,N993))))</f>
        <v/>
      </c>
      <c r="Y993" s="16" t="str">
        <f aca="false">IF(V993&lt;&gt;"",V993,IF(U993="","",U993/X993))</f>
        <v/>
      </c>
      <c r="Z993" s="16" t="str">
        <f aca="false">IF(V993&lt;&gt;"",_xlfn.MINIFS(ENSAYOS!$Q$5:$Q$3004,ENSAYOS!$C$5:$C$3004,F993,ENSAYOS!$Q$5:$Q$3004,"&gt;0",ENSAYOS!$G$5:$G$3004,"&gt;="&amp;CONFIG!$B$27),IF(U993="","",_xlfn.MINIFS(ENSAYOS!$Q$5:$Q$3004,ENSAYOS!$C$5:$C$3004,F993,ENSAYOS!$Q$5:$Q$3004,"&gt;0",ENSAYOS!$G$5:$G$3004,N993)/X993))</f>
        <v/>
      </c>
      <c r="AA993" s="16" t="str">
        <f aca="false">IF(D993="","",IFERROR(1/(1/INDEX(CONFIG!$J$5:$J$14,MATCH(D993,CONFIG!$D$5:$D$14,0))),""))</f>
        <v/>
      </c>
      <c r="AB993" s="16" t="str">
        <f aca="false">IF(D993="","",IFERROR(1/(1/INDEX(CONFIG!$K$5:$K$14,MATCH(D993,CONFIG!$D$5:$D$14,0))),""))</f>
        <v/>
      </c>
      <c r="AC993" s="19" t="str">
        <f aca="false">IF(N(M993)=0,"",IF(AA993="","Sin spec",IF(AND(Y993&gt;=AA993,OR(AB993="",Z993&gt;=AB993)),"CUMPLE","NO CUMPLE")&amp;IF(V993=""," (est.)","")))</f>
        <v/>
      </c>
      <c r="AD993" s="20" t="str">
        <f aca="false">IF(F993="","",IF(COUNTIFS(ABSORCION!$C$5:$C$1004,F993,ABSORCION!$I$5:$I$1004,"&gt;0")=0,"",AVERAGEIFS(ABSORCION!$I$5:$I$1004,ABSORCION!$C$5:$C$1004,F993,ABSORCION!$I$5:$I$1004,"&gt;0")))</f>
        <v/>
      </c>
      <c r="AE993" s="20" t="str">
        <f aca="false">IF(F993="","",IF(COUNTIFS(ABSORCION!$C$5:$C$1004,F993,ABSORCION!$I$5:$I$1004,"&gt;0")=0,"",AVERAGEIFS(ABSORCION!$K$5:$K$1004,ABSORCION!$C$5:$C$1004,F993,ABSORCION!$I$5:$I$1004,"&gt;0")))</f>
        <v/>
      </c>
      <c r="AF993" s="20" t="str">
        <f aca="false">IF(AE993="","",IF(AE993&gt;=CONFIG!$E$21,CONFIG!$F$21,IF(AE993&gt;=CONFIG!$E$20,CONFIG!$F$20,CONFIG!$F$19)))</f>
        <v/>
      </c>
      <c r="AG993" s="21" t="str">
        <f aca="false">IF(F993="","",TRIM(IF(N(M993)=0,"Sin ensayos. ","")&amp;IF(AND(N(M993)&gt;0,N(M993)&lt;CONFIG!$B$26),"Menos de "&amp;CONFIG!$B$26&amp;" probetas. ","")&amp;IF(N(T993)&gt;CONFIG!$B$25,"CV alto. ","")&amp;IF(AND(N(AD993)&gt;0,N(AD993)&gt;N(AF993)),"Absorción alta. ","")))</f>
        <v/>
      </c>
      <c r="AH993" s="22" t="str">
        <f aca="false">IF(AND(N(M993)&gt;0,OR(CONTROL!$C$4="TODAS",C993=CONTROL!$C$4),D993=CONTROL!$C$5),MAX($AH$4:AH992)+1,"")</f>
        <v/>
      </c>
      <c r="AI993" s="22" t="str">
        <f aca="false">IF(AH993="","",P993^2)</f>
        <v/>
      </c>
    </row>
    <row r="994" customFormat="false" ht="15" hidden="false" customHeight="false" outlineLevel="0" collapsed="false">
      <c r="A994" s="11" t="str">
        <f aca="false">IF(B994="","",ROW()-4)</f>
        <v/>
      </c>
      <c r="B994" s="12"/>
      <c r="C994" s="13"/>
      <c r="D994" s="13"/>
      <c r="E994" s="13"/>
      <c r="F994" s="14" t="str">
        <f aca="false">IF(OR(B994="",C994="",D994=""),"",IFERROR(INDEX(CONFIG!$E$5:$E$14,MATCH(D994,CONFIG!$D$5:$D$14,0)),"?")&amp;RIGHT("0"&amp;DAY(B994),2)&amp;RIGHT("0"&amp;MONTH(B994),2)&amp;RIGHT(YEAR(B994),2)&amp;C994&amp;IF(E994="","","-"&amp;E994))</f>
        <v/>
      </c>
      <c r="G994" s="13"/>
      <c r="H994" s="13"/>
      <c r="I994" s="13"/>
      <c r="J994" s="13"/>
      <c r="K994" s="13"/>
      <c r="L994" s="13"/>
      <c r="M994" s="11" t="str">
        <f aca="false">IF(F994="","",COUNTIFS(ENSAYOS!$C$5:$C$3004,F994,ENSAYOS!$Q$5:$Q$3004,"&gt;0"))</f>
        <v/>
      </c>
      <c r="N994" s="15" t="str">
        <f aca="false">IF(N(M994)=0,"",_xlfn.MINIFS(ENSAYOS!$G$5:$G$3004,ENSAYOS!$C$5:$C$3004,F994,ENSAYOS!$Q$5:$Q$3004,"&gt;0"))</f>
        <v/>
      </c>
      <c r="O994" s="15" t="str">
        <f aca="false">IF(N(M994)=0,"",_xlfn.MAXIFS(ENSAYOS!$G$5:$G$3004,ENSAYOS!$C$5:$C$3004,F994,ENSAYOS!$Q$5:$Q$3004,"&gt;0"))</f>
        <v/>
      </c>
      <c r="P994" s="16" t="str">
        <f aca="false">IF(N(M994)=0,"",AVERAGEIFS(ENSAYOS!$Q$5:$Q$3004,ENSAYOS!$C$5:$C$3004,F994,ENSAYOS!$Q$5:$Q$3004,"&gt;0"))</f>
        <v/>
      </c>
      <c r="Q994" s="16" t="str">
        <f aca="false">IF(N(M994)=0,"",_xlfn.MINIFS(ENSAYOS!$Q$5:$Q$3004,ENSAYOS!$C$5:$C$3004,F994,ENSAYOS!$Q$5:$Q$3004,"&gt;0"))</f>
        <v/>
      </c>
      <c r="R994" s="16" t="str">
        <f aca="false">IF(N(M994)=0,"",_xlfn.MAXIFS(ENSAYOS!$Q$5:$Q$3004,ENSAYOS!$C$5:$C$3004,F994,ENSAYOS!$Q$5:$Q$3004,"&gt;0"))</f>
        <v/>
      </c>
      <c r="S994" s="16" t="str">
        <f aca="false">IF(N(M994)&lt;2,"",SQRT(MAX(0,(SUMIFS(ENSAYOS!$X$5:$X$3004,ENSAYOS!$C$5:$C$3004,F994,ENSAYOS!$Q$5:$Q$3004,"&gt;0")-M994*P994^2)/(M994-1))))</f>
        <v/>
      </c>
      <c r="T994" s="17" t="str">
        <f aca="false">IF(S994="","",S994/P994)</f>
        <v/>
      </c>
      <c r="U994" s="16" t="str">
        <f aca="false">IF(N(M994)=0,"",IF(N994&gt;=CONFIG!$B$27,"",AVERAGEIFS(ENSAYOS!$Q$5:$Q$3004,ENSAYOS!$C$5:$C$3004,F994,ENSAYOS!$Q$5:$Q$3004,"&gt;0",ENSAYOS!$G$5:$G$3004,N994)))</f>
        <v/>
      </c>
      <c r="V994" s="16" t="str">
        <f aca="false">IF(N(M994)=0,"",IF(COUNTIFS(ENSAYOS!$C$5:$C$3004,F994,ENSAYOS!$Q$5:$Q$3004,"&gt;0",ENSAYOS!$G$5:$G$3004,"&gt;="&amp;CONFIG!$B$27)=0,"",AVERAGEIFS(ENSAYOS!$Q$5:$Q$3004,ENSAYOS!$C$5:$C$3004,F994,ENSAYOS!$Q$5:$Q$3004,"&gt;0",ENSAYOS!$G$5:$G$3004,"&gt;="&amp;CONFIG!$B$27)))</f>
        <v/>
      </c>
      <c r="W994" s="18" t="str">
        <f aca="false">IF(AND(U994&lt;&gt;"",V994&lt;&gt;""),U994/V994,"")</f>
        <v/>
      </c>
      <c r="X994" s="18" t="str">
        <f aca="false">IF(U994="","",INDEX('CURVA EDAD'!$E$5:$E$32,MIN(28,MAX(1,N994))))</f>
        <v/>
      </c>
      <c r="Y994" s="16" t="str">
        <f aca="false">IF(V994&lt;&gt;"",V994,IF(U994="","",U994/X994))</f>
        <v/>
      </c>
      <c r="Z994" s="16" t="str">
        <f aca="false">IF(V994&lt;&gt;"",_xlfn.MINIFS(ENSAYOS!$Q$5:$Q$3004,ENSAYOS!$C$5:$C$3004,F994,ENSAYOS!$Q$5:$Q$3004,"&gt;0",ENSAYOS!$G$5:$G$3004,"&gt;="&amp;CONFIG!$B$27),IF(U994="","",_xlfn.MINIFS(ENSAYOS!$Q$5:$Q$3004,ENSAYOS!$C$5:$C$3004,F994,ENSAYOS!$Q$5:$Q$3004,"&gt;0",ENSAYOS!$G$5:$G$3004,N994)/X994))</f>
        <v/>
      </c>
      <c r="AA994" s="16" t="str">
        <f aca="false">IF(D994="","",IFERROR(1/(1/INDEX(CONFIG!$J$5:$J$14,MATCH(D994,CONFIG!$D$5:$D$14,0))),""))</f>
        <v/>
      </c>
      <c r="AB994" s="16" t="str">
        <f aca="false">IF(D994="","",IFERROR(1/(1/INDEX(CONFIG!$K$5:$K$14,MATCH(D994,CONFIG!$D$5:$D$14,0))),""))</f>
        <v/>
      </c>
      <c r="AC994" s="19" t="str">
        <f aca="false">IF(N(M994)=0,"",IF(AA994="","Sin spec",IF(AND(Y994&gt;=AA994,OR(AB994="",Z994&gt;=AB994)),"CUMPLE","NO CUMPLE")&amp;IF(V994=""," (est.)","")))</f>
        <v/>
      </c>
      <c r="AD994" s="20" t="str">
        <f aca="false">IF(F994="","",IF(COUNTIFS(ABSORCION!$C$5:$C$1004,F994,ABSORCION!$I$5:$I$1004,"&gt;0")=0,"",AVERAGEIFS(ABSORCION!$I$5:$I$1004,ABSORCION!$C$5:$C$1004,F994,ABSORCION!$I$5:$I$1004,"&gt;0")))</f>
        <v/>
      </c>
      <c r="AE994" s="20" t="str">
        <f aca="false">IF(F994="","",IF(COUNTIFS(ABSORCION!$C$5:$C$1004,F994,ABSORCION!$I$5:$I$1004,"&gt;0")=0,"",AVERAGEIFS(ABSORCION!$K$5:$K$1004,ABSORCION!$C$5:$C$1004,F994,ABSORCION!$I$5:$I$1004,"&gt;0")))</f>
        <v/>
      </c>
      <c r="AF994" s="20" t="str">
        <f aca="false">IF(AE994="","",IF(AE994&gt;=CONFIG!$E$21,CONFIG!$F$21,IF(AE994&gt;=CONFIG!$E$20,CONFIG!$F$20,CONFIG!$F$19)))</f>
        <v/>
      </c>
      <c r="AG994" s="21" t="str">
        <f aca="false">IF(F994="","",TRIM(IF(N(M994)=0,"Sin ensayos. ","")&amp;IF(AND(N(M994)&gt;0,N(M994)&lt;CONFIG!$B$26),"Menos de "&amp;CONFIG!$B$26&amp;" probetas. ","")&amp;IF(N(T994)&gt;CONFIG!$B$25,"CV alto. ","")&amp;IF(AND(N(AD994)&gt;0,N(AD994)&gt;N(AF994)),"Absorción alta. ","")))</f>
        <v/>
      </c>
      <c r="AH994" s="22" t="str">
        <f aca="false">IF(AND(N(M994)&gt;0,OR(CONTROL!$C$4="TODAS",C994=CONTROL!$C$4),D994=CONTROL!$C$5),MAX($AH$4:AH993)+1,"")</f>
        <v/>
      </c>
      <c r="AI994" s="22" t="str">
        <f aca="false">IF(AH994="","",P994^2)</f>
        <v/>
      </c>
    </row>
    <row r="995" customFormat="false" ht="15" hidden="false" customHeight="false" outlineLevel="0" collapsed="false">
      <c r="A995" s="11" t="str">
        <f aca="false">IF(B995="","",ROW()-4)</f>
        <v/>
      </c>
      <c r="B995" s="12"/>
      <c r="C995" s="13"/>
      <c r="D995" s="13"/>
      <c r="E995" s="13"/>
      <c r="F995" s="14" t="str">
        <f aca="false">IF(OR(B995="",C995="",D995=""),"",IFERROR(INDEX(CONFIG!$E$5:$E$14,MATCH(D995,CONFIG!$D$5:$D$14,0)),"?")&amp;RIGHT("0"&amp;DAY(B995),2)&amp;RIGHT("0"&amp;MONTH(B995),2)&amp;RIGHT(YEAR(B995),2)&amp;C995&amp;IF(E995="","","-"&amp;E995))</f>
        <v/>
      </c>
      <c r="G995" s="13"/>
      <c r="H995" s="13"/>
      <c r="I995" s="13"/>
      <c r="J995" s="13"/>
      <c r="K995" s="13"/>
      <c r="L995" s="13"/>
      <c r="M995" s="11" t="str">
        <f aca="false">IF(F995="","",COUNTIFS(ENSAYOS!$C$5:$C$3004,F995,ENSAYOS!$Q$5:$Q$3004,"&gt;0"))</f>
        <v/>
      </c>
      <c r="N995" s="15" t="str">
        <f aca="false">IF(N(M995)=0,"",_xlfn.MINIFS(ENSAYOS!$G$5:$G$3004,ENSAYOS!$C$5:$C$3004,F995,ENSAYOS!$Q$5:$Q$3004,"&gt;0"))</f>
        <v/>
      </c>
      <c r="O995" s="15" t="str">
        <f aca="false">IF(N(M995)=0,"",_xlfn.MAXIFS(ENSAYOS!$G$5:$G$3004,ENSAYOS!$C$5:$C$3004,F995,ENSAYOS!$Q$5:$Q$3004,"&gt;0"))</f>
        <v/>
      </c>
      <c r="P995" s="16" t="str">
        <f aca="false">IF(N(M995)=0,"",AVERAGEIFS(ENSAYOS!$Q$5:$Q$3004,ENSAYOS!$C$5:$C$3004,F995,ENSAYOS!$Q$5:$Q$3004,"&gt;0"))</f>
        <v/>
      </c>
      <c r="Q995" s="16" t="str">
        <f aca="false">IF(N(M995)=0,"",_xlfn.MINIFS(ENSAYOS!$Q$5:$Q$3004,ENSAYOS!$C$5:$C$3004,F995,ENSAYOS!$Q$5:$Q$3004,"&gt;0"))</f>
        <v/>
      </c>
      <c r="R995" s="16" t="str">
        <f aca="false">IF(N(M995)=0,"",_xlfn.MAXIFS(ENSAYOS!$Q$5:$Q$3004,ENSAYOS!$C$5:$C$3004,F995,ENSAYOS!$Q$5:$Q$3004,"&gt;0"))</f>
        <v/>
      </c>
      <c r="S995" s="16" t="str">
        <f aca="false">IF(N(M995)&lt;2,"",SQRT(MAX(0,(SUMIFS(ENSAYOS!$X$5:$X$3004,ENSAYOS!$C$5:$C$3004,F995,ENSAYOS!$Q$5:$Q$3004,"&gt;0")-M995*P995^2)/(M995-1))))</f>
        <v/>
      </c>
      <c r="T995" s="17" t="str">
        <f aca="false">IF(S995="","",S995/P995)</f>
        <v/>
      </c>
      <c r="U995" s="16" t="str">
        <f aca="false">IF(N(M995)=0,"",IF(N995&gt;=CONFIG!$B$27,"",AVERAGEIFS(ENSAYOS!$Q$5:$Q$3004,ENSAYOS!$C$5:$C$3004,F995,ENSAYOS!$Q$5:$Q$3004,"&gt;0",ENSAYOS!$G$5:$G$3004,N995)))</f>
        <v/>
      </c>
      <c r="V995" s="16" t="str">
        <f aca="false">IF(N(M995)=0,"",IF(COUNTIFS(ENSAYOS!$C$5:$C$3004,F995,ENSAYOS!$Q$5:$Q$3004,"&gt;0",ENSAYOS!$G$5:$G$3004,"&gt;="&amp;CONFIG!$B$27)=0,"",AVERAGEIFS(ENSAYOS!$Q$5:$Q$3004,ENSAYOS!$C$5:$C$3004,F995,ENSAYOS!$Q$5:$Q$3004,"&gt;0",ENSAYOS!$G$5:$G$3004,"&gt;="&amp;CONFIG!$B$27)))</f>
        <v/>
      </c>
      <c r="W995" s="18" t="str">
        <f aca="false">IF(AND(U995&lt;&gt;"",V995&lt;&gt;""),U995/V995,"")</f>
        <v/>
      </c>
      <c r="X995" s="18" t="str">
        <f aca="false">IF(U995="","",INDEX('CURVA EDAD'!$E$5:$E$32,MIN(28,MAX(1,N995))))</f>
        <v/>
      </c>
      <c r="Y995" s="16" t="str">
        <f aca="false">IF(V995&lt;&gt;"",V995,IF(U995="","",U995/X995))</f>
        <v/>
      </c>
      <c r="Z995" s="16" t="str">
        <f aca="false">IF(V995&lt;&gt;"",_xlfn.MINIFS(ENSAYOS!$Q$5:$Q$3004,ENSAYOS!$C$5:$C$3004,F995,ENSAYOS!$Q$5:$Q$3004,"&gt;0",ENSAYOS!$G$5:$G$3004,"&gt;="&amp;CONFIG!$B$27),IF(U995="","",_xlfn.MINIFS(ENSAYOS!$Q$5:$Q$3004,ENSAYOS!$C$5:$C$3004,F995,ENSAYOS!$Q$5:$Q$3004,"&gt;0",ENSAYOS!$G$5:$G$3004,N995)/X995))</f>
        <v/>
      </c>
      <c r="AA995" s="16" t="str">
        <f aca="false">IF(D995="","",IFERROR(1/(1/INDEX(CONFIG!$J$5:$J$14,MATCH(D995,CONFIG!$D$5:$D$14,0))),""))</f>
        <v/>
      </c>
      <c r="AB995" s="16" t="str">
        <f aca="false">IF(D995="","",IFERROR(1/(1/INDEX(CONFIG!$K$5:$K$14,MATCH(D995,CONFIG!$D$5:$D$14,0))),""))</f>
        <v/>
      </c>
      <c r="AC995" s="19" t="str">
        <f aca="false">IF(N(M995)=0,"",IF(AA995="","Sin spec",IF(AND(Y995&gt;=AA995,OR(AB995="",Z995&gt;=AB995)),"CUMPLE","NO CUMPLE")&amp;IF(V995=""," (est.)","")))</f>
        <v/>
      </c>
      <c r="AD995" s="20" t="str">
        <f aca="false">IF(F995="","",IF(COUNTIFS(ABSORCION!$C$5:$C$1004,F995,ABSORCION!$I$5:$I$1004,"&gt;0")=0,"",AVERAGEIFS(ABSORCION!$I$5:$I$1004,ABSORCION!$C$5:$C$1004,F995,ABSORCION!$I$5:$I$1004,"&gt;0")))</f>
        <v/>
      </c>
      <c r="AE995" s="20" t="str">
        <f aca="false">IF(F995="","",IF(COUNTIFS(ABSORCION!$C$5:$C$1004,F995,ABSORCION!$I$5:$I$1004,"&gt;0")=0,"",AVERAGEIFS(ABSORCION!$K$5:$K$1004,ABSORCION!$C$5:$C$1004,F995,ABSORCION!$I$5:$I$1004,"&gt;0")))</f>
        <v/>
      </c>
      <c r="AF995" s="20" t="str">
        <f aca="false">IF(AE995="","",IF(AE995&gt;=CONFIG!$E$21,CONFIG!$F$21,IF(AE995&gt;=CONFIG!$E$20,CONFIG!$F$20,CONFIG!$F$19)))</f>
        <v/>
      </c>
      <c r="AG995" s="21" t="str">
        <f aca="false">IF(F995="","",TRIM(IF(N(M995)=0,"Sin ensayos. ","")&amp;IF(AND(N(M995)&gt;0,N(M995)&lt;CONFIG!$B$26),"Menos de "&amp;CONFIG!$B$26&amp;" probetas. ","")&amp;IF(N(T995)&gt;CONFIG!$B$25,"CV alto. ","")&amp;IF(AND(N(AD995)&gt;0,N(AD995)&gt;N(AF995)),"Absorción alta. ","")))</f>
        <v/>
      </c>
      <c r="AH995" s="22" t="str">
        <f aca="false">IF(AND(N(M995)&gt;0,OR(CONTROL!$C$4="TODAS",C995=CONTROL!$C$4),D995=CONTROL!$C$5),MAX($AH$4:AH994)+1,"")</f>
        <v/>
      </c>
      <c r="AI995" s="22" t="str">
        <f aca="false">IF(AH995="","",P995^2)</f>
        <v/>
      </c>
    </row>
    <row r="996" customFormat="false" ht="15" hidden="false" customHeight="false" outlineLevel="0" collapsed="false">
      <c r="A996" s="11" t="str">
        <f aca="false">IF(B996="","",ROW()-4)</f>
        <v/>
      </c>
      <c r="B996" s="12"/>
      <c r="C996" s="13"/>
      <c r="D996" s="13"/>
      <c r="E996" s="13"/>
      <c r="F996" s="14" t="str">
        <f aca="false">IF(OR(B996="",C996="",D996=""),"",IFERROR(INDEX(CONFIG!$E$5:$E$14,MATCH(D996,CONFIG!$D$5:$D$14,0)),"?")&amp;RIGHT("0"&amp;DAY(B996),2)&amp;RIGHT("0"&amp;MONTH(B996),2)&amp;RIGHT(YEAR(B996),2)&amp;C996&amp;IF(E996="","","-"&amp;E996))</f>
        <v/>
      </c>
      <c r="G996" s="13"/>
      <c r="H996" s="13"/>
      <c r="I996" s="13"/>
      <c r="J996" s="13"/>
      <c r="K996" s="13"/>
      <c r="L996" s="13"/>
      <c r="M996" s="11" t="str">
        <f aca="false">IF(F996="","",COUNTIFS(ENSAYOS!$C$5:$C$3004,F996,ENSAYOS!$Q$5:$Q$3004,"&gt;0"))</f>
        <v/>
      </c>
      <c r="N996" s="15" t="str">
        <f aca="false">IF(N(M996)=0,"",_xlfn.MINIFS(ENSAYOS!$G$5:$G$3004,ENSAYOS!$C$5:$C$3004,F996,ENSAYOS!$Q$5:$Q$3004,"&gt;0"))</f>
        <v/>
      </c>
      <c r="O996" s="15" t="str">
        <f aca="false">IF(N(M996)=0,"",_xlfn.MAXIFS(ENSAYOS!$G$5:$G$3004,ENSAYOS!$C$5:$C$3004,F996,ENSAYOS!$Q$5:$Q$3004,"&gt;0"))</f>
        <v/>
      </c>
      <c r="P996" s="16" t="str">
        <f aca="false">IF(N(M996)=0,"",AVERAGEIFS(ENSAYOS!$Q$5:$Q$3004,ENSAYOS!$C$5:$C$3004,F996,ENSAYOS!$Q$5:$Q$3004,"&gt;0"))</f>
        <v/>
      </c>
      <c r="Q996" s="16" t="str">
        <f aca="false">IF(N(M996)=0,"",_xlfn.MINIFS(ENSAYOS!$Q$5:$Q$3004,ENSAYOS!$C$5:$C$3004,F996,ENSAYOS!$Q$5:$Q$3004,"&gt;0"))</f>
        <v/>
      </c>
      <c r="R996" s="16" t="str">
        <f aca="false">IF(N(M996)=0,"",_xlfn.MAXIFS(ENSAYOS!$Q$5:$Q$3004,ENSAYOS!$C$5:$C$3004,F996,ENSAYOS!$Q$5:$Q$3004,"&gt;0"))</f>
        <v/>
      </c>
      <c r="S996" s="16" t="str">
        <f aca="false">IF(N(M996)&lt;2,"",SQRT(MAX(0,(SUMIFS(ENSAYOS!$X$5:$X$3004,ENSAYOS!$C$5:$C$3004,F996,ENSAYOS!$Q$5:$Q$3004,"&gt;0")-M996*P996^2)/(M996-1))))</f>
        <v/>
      </c>
      <c r="T996" s="17" t="str">
        <f aca="false">IF(S996="","",S996/P996)</f>
        <v/>
      </c>
      <c r="U996" s="16" t="str">
        <f aca="false">IF(N(M996)=0,"",IF(N996&gt;=CONFIG!$B$27,"",AVERAGEIFS(ENSAYOS!$Q$5:$Q$3004,ENSAYOS!$C$5:$C$3004,F996,ENSAYOS!$Q$5:$Q$3004,"&gt;0",ENSAYOS!$G$5:$G$3004,N996)))</f>
        <v/>
      </c>
      <c r="V996" s="16" t="str">
        <f aca="false">IF(N(M996)=0,"",IF(COUNTIFS(ENSAYOS!$C$5:$C$3004,F996,ENSAYOS!$Q$5:$Q$3004,"&gt;0",ENSAYOS!$G$5:$G$3004,"&gt;="&amp;CONFIG!$B$27)=0,"",AVERAGEIFS(ENSAYOS!$Q$5:$Q$3004,ENSAYOS!$C$5:$C$3004,F996,ENSAYOS!$Q$5:$Q$3004,"&gt;0",ENSAYOS!$G$5:$G$3004,"&gt;="&amp;CONFIG!$B$27)))</f>
        <v/>
      </c>
      <c r="W996" s="18" t="str">
        <f aca="false">IF(AND(U996&lt;&gt;"",V996&lt;&gt;""),U996/V996,"")</f>
        <v/>
      </c>
      <c r="X996" s="18" t="str">
        <f aca="false">IF(U996="","",INDEX('CURVA EDAD'!$E$5:$E$32,MIN(28,MAX(1,N996))))</f>
        <v/>
      </c>
      <c r="Y996" s="16" t="str">
        <f aca="false">IF(V996&lt;&gt;"",V996,IF(U996="","",U996/X996))</f>
        <v/>
      </c>
      <c r="Z996" s="16" t="str">
        <f aca="false">IF(V996&lt;&gt;"",_xlfn.MINIFS(ENSAYOS!$Q$5:$Q$3004,ENSAYOS!$C$5:$C$3004,F996,ENSAYOS!$Q$5:$Q$3004,"&gt;0",ENSAYOS!$G$5:$G$3004,"&gt;="&amp;CONFIG!$B$27),IF(U996="","",_xlfn.MINIFS(ENSAYOS!$Q$5:$Q$3004,ENSAYOS!$C$5:$C$3004,F996,ENSAYOS!$Q$5:$Q$3004,"&gt;0",ENSAYOS!$G$5:$G$3004,N996)/X996))</f>
        <v/>
      </c>
      <c r="AA996" s="16" t="str">
        <f aca="false">IF(D996="","",IFERROR(1/(1/INDEX(CONFIG!$J$5:$J$14,MATCH(D996,CONFIG!$D$5:$D$14,0))),""))</f>
        <v/>
      </c>
      <c r="AB996" s="16" t="str">
        <f aca="false">IF(D996="","",IFERROR(1/(1/INDEX(CONFIG!$K$5:$K$14,MATCH(D996,CONFIG!$D$5:$D$14,0))),""))</f>
        <v/>
      </c>
      <c r="AC996" s="19" t="str">
        <f aca="false">IF(N(M996)=0,"",IF(AA996="","Sin spec",IF(AND(Y996&gt;=AA996,OR(AB996="",Z996&gt;=AB996)),"CUMPLE","NO CUMPLE")&amp;IF(V996=""," (est.)","")))</f>
        <v/>
      </c>
      <c r="AD996" s="20" t="str">
        <f aca="false">IF(F996="","",IF(COUNTIFS(ABSORCION!$C$5:$C$1004,F996,ABSORCION!$I$5:$I$1004,"&gt;0")=0,"",AVERAGEIFS(ABSORCION!$I$5:$I$1004,ABSORCION!$C$5:$C$1004,F996,ABSORCION!$I$5:$I$1004,"&gt;0")))</f>
        <v/>
      </c>
      <c r="AE996" s="20" t="str">
        <f aca="false">IF(F996="","",IF(COUNTIFS(ABSORCION!$C$5:$C$1004,F996,ABSORCION!$I$5:$I$1004,"&gt;0")=0,"",AVERAGEIFS(ABSORCION!$K$5:$K$1004,ABSORCION!$C$5:$C$1004,F996,ABSORCION!$I$5:$I$1004,"&gt;0")))</f>
        <v/>
      </c>
      <c r="AF996" s="20" t="str">
        <f aca="false">IF(AE996="","",IF(AE996&gt;=CONFIG!$E$21,CONFIG!$F$21,IF(AE996&gt;=CONFIG!$E$20,CONFIG!$F$20,CONFIG!$F$19)))</f>
        <v/>
      </c>
      <c r="AG996" s="21" t="str">
        <f aca="false">IF(F996="","",TRIM(IF(N(M996)=0,"Sin ensayos. ","")&amp;IF(AND(N(M996)&gt;0,N(M996)&lt;CONFIG!$B$26),"Menos de "&amp;CONFIG!$B$26&amp;" probetas. ","")&amp;IF(N(T996)&gt;CONFIG!$B$25,"CV alto. ","")&amp;IF(AND(N(AD996)&gt;0,N(AD996)&gt;N(AF996)),"Absorción alta. ","")))</f>
        <v/>
      </c>
      <c r="AH996" s="22" t="str">
        <f aca="false">IF(AND(N(M996)&gt;0,OR(CONTROL!$C$4="TODAS",C996=CONTROL!$C$4),D996=CONTROL!$C$5),MAX($AH$4:AH995)+1,"")</f>
        <v/>
      </c>
      <c r="AI996" s="22" t="str">
        <f aca="false">IF(AH996="","",P996^2)</f>
        <v/>
      </c>
    </row>
    <row r="997" customFormat="false" ht="15" hidden="false" customHeight="false" outlineLevel="0" collapsed="false">
      <c r="A997" s="11" t="str">
        <f aca="false">IF(B997="","",ROW()-4)</f>
        <v/>
      </c>
      <c r="B997" s="12"/>
      <c r="C997" s="13"/>
      <c r="D997" s="13"/>
      <c r="E997" s="13"/>
      <c r="F997" s="14" t="str">
        <f aca="false">IF(OR(B997="",C997="",D997=""),"",IFERROR(INDEX(CONFIG!$E$5:$E$14,MATCH(D997,CONFIG!$D$5:$D$14,0)),"?")&amp;RIGHT("0"&amp;DAY(B997),2)&amp;RIGHT("0"&amp;MONTH(B997),2)&amp;RIGHT(YEAR(B997),2)&amp;C997&amp;IF(E997="","","-"&amp;E997))</f>
        <v/>
      </c>
      <c r="G997" s="13"/>
      <c r="H997" s="13"/>
      <c r="I997" s="13"/>
      <c r="J997" s="13"/>
      <c r="K997" s="13"/>
      <c r="L997" s="13"/>
      <c r="M997" s="11" t="str">
        <f aca="false">IF(F997="","",COUNTIFS(ENSAYOS!$C$5:$C$3004,F997,ENSAYOS!$Q$5:$Q$3004,"&gt;0"))</f>
        <v/>
      </c>
      <c r="N997" s="15" t="str">
        <f aca="false">IF(N(M997)=0,"",_xlfn.MINIFS(ENSAYOS!$G$5:$G$3004,ENSAYOS!$C$5:$C$3004,F997,ENSAYOS!$Q$5:$Q$3004,"&gt;0"))</f>
        <v/>
      </c>
      <c r="O997" s="15" t="str">
        <f aca="false">IF(N(M997)=0,"",_xlfn.MAXIFS(ENSAYOS!$G$5:$G$3004,ENSAYOS!$C$5:$C$3004,F997,ENSAYOS!$Q$5:$Q$3004,"&gt;0"))</f>
        <v/>
      </c>
      <c r="P997" s="16" t="str">
        <f aca="false">IF(N(M997)=0,"",AVERAGEIFS(ENSAYOS!$Q$5:$Q$3004,ENSAYOS!$C$5:$C$3004,F997,ENSAYOS!$Q$5:$Q$3004,"&gt;0"))</f>
        <v/>
      </c>
      <c r="Q997" s="16" t="str">
        <f aca="false">IF(N(M997)=0,"",_xlfn.MINIFS(ENSAYOS!$Q$5:$Q$3004,ENSAYOS!$C$5:$C$3004,F997,ENSAYOS!$Q$5:$Q$3004,"&gt;0"))</f>
        <v/>
      </c>
      <c r="R997" s="16" t="str">
        <f aca="false">IF(N(M997)=0,"",_xlfn.MAXIFS(ENSAYOS!$Q$5:$Q$3004,ENSAYOS!$C$5:$C$3004,F997,ENSAYOS!$Q$5:$Q$3004,"&gt;0"))</f>
        <v/>
      </c>
      <c r="S997" s="16" t="str">
        <f aca="false">IF(N(M997)&lt;2,"",SQRT(MAX(0,(SUMIFS(ENSAYOS!$X$5:$X$3004,ENSAYOS!$C$5:$C$3004,F997,ENSAYOS!$Q$5:$Q$3004,"&gt;0")-M997*P997^2)/(M997-1))))</f>
        <v/>
      </c>
      <c r="T997" s="17" t="str">
        <f aca="false">IF(S997="","",S997/P997)</f>
        <v/>
      </c>
      <c r="U997" s="16" t="str">
        <f aca="false">IF(N(M997)=0,"",IF(N997&gt;=CONFIG!$B$27,"",AVERAGEIFS(ENSAYOS!$Q$5:$Q$3004,ENSAYOS!$C$5:$C$3004,F997,ENSAYOS!$Q$5:$Q$3004,"&gt;0",ENSAYOS!$G$5:$G$3004,N997)))</f>
        <v/>
      </c>
      <c r="V997" s="16" t="str">
        <f aca="false">IF(N(M997)=0,"",IF(COUNTIFS(ENSAYOS!$C$5:$C$3004,F997,ENSAYOS!$Q$5:$Q$3004,"&gt;0",ENSAYOS!$G$5:$G$3004,"&gt;="&amp;CONFIG!$B$27)=0,"",AVERAGEIFS(ENSAYOS!$Q$5:$Q$3004,ENSAYOS!$C$5:$C$3004,F997,ENSAYOS!$Q$5:$Q$3004,"&gt;0",ENSAYOS!$G$5:$G$3004,"&gt;="&amp;CONFIG!$B$27)))</f>
        <v/>
      </c>
      <c r="W997" s="18" t="str">
        <f aca="false">IF(AND(U997&lt;&gt;"",V997&lt;&gt;""),U997/V997,"")</f>
        <v/>
      </c>
      <c r="X997" s="18" t="str">
        <f aca="false">IF(U997="","",INDEX('CURVA EDAD'!$E$5:$E$32,MIN(28,MAX(1,N997))))</f>
        <v/>
      </c>
      <c r="Y997" s="16" t="str">
        <f aca="false">IF(V997&lt;&gt;"",V997,IF(U997="","",U997/X997))</f>
        <v/>
      </c>
      <c r="Z997" s="16" t="str">
        <f aca="false">IF(V997&lt;&gt;"",_xlfn.MINIFS(ENSAYOS!$Q$5:$Q$3004,ENSAYOS!$C$5:$C$3004,F997,ENSAYOS!$Q$5:$Q$3004,"&gt;0",ENSAYOS!$G$5:$G$3004,"&gt;="&amp;CONFIG!$B$27),IF(U997="","",_xlfn.MINIFS(ENSAYOS!$Q$5:$Q$3004,ENSAYOS!$C$5:$C$3004,F997,ENSAYOS!$Q$5:$Q$3004,"&gt;0",ENSAYOS!$G$5:$G$3004,N997)/X997))</f>
        <v/>
      </c>
      <c r="AA997" s="16" t="str">
        <f aca="false">IF(D997="","",IFERROR(1/(1/INDEX(CONFIG!$J$5:$J$14,MATCH(D997,CONFIG!$D$5:$D$14,0))),""))</f>
        <v/>
      </c>
      <c r="AB997" s="16" t="str">
        <f aca="false">IF(D997="","",IFERROR(1/(1/INDEX(CONFIG!$K$5:$K$14,MATCH(D997,CONFIG!$D$5:$D$14,0))),""))</f>
        <v/>
      </c>
      <c r="AC997" s="19" t="str">
        <f aca="false">IF(N(M997)=0,"",IF(AA997="","Sin spec",IF(AND(Y997&gt;=AA997,OR(AB997="",Z997&gt;=AB997)),"CUMPLE","NO CUMPLE")&amp;IF(V997=""," (est.)","")))</f>
        <v/>
      </c>
      <c r="AD997" s="20" t="str">
        <f aca="false">IF(F997="","",IF(COUNTIFS(ABSORCION!$C$5:$C$1004,F997,ABSORCION!$I$5:$I$1004,"&gt;0")=0,"",AVERAGEIFS(ABSORCION!$I$5:$I$1004,ABSORCION!$C$5:$C$1004,F997,ABSORCION!$I$5:$I$1004,"&gt;0")))</f>
        <v/>
      </c>
      <c r="AE997" s="20" t="str">
        <f aca="false">IF(F997="","",IF(COUNTIFS(ABSORCION!$C$5:$C$1004,F997,ABSORCION!$I$5:$I$1004,"&gt;0")=0,"",AVERAGEIFS(ABSORCION!$K$5:$K$1004,ABSORCION!$C$5:$C$1004,F997,ABSORCION!$I$5:$I$1004,"&gt;0")))</f>
        <v/>
      </c>
      <c r="AF997" s="20" t="str">
        <f aca="false">IF(AE997="","",IF(AE997&gt;=CONFIG!$E$21,CONFIG!$F$21,IF(AE997&gt;=CONFIG!$E$20,CONFIG!$F$20,CONFIG!$F$19)))</f>
        <v/>
      </c>
      <c r="AG997" s="21" t="str">
        <f aca="false">IF(F997="","",TRIM(IF(N(M997)=0,"Sin ensayos. ","")&amp;IF(AND(N(M997)&gt;0,N(M997)&lt;CONFIG!$B$26),"Menos de "&amp;CONFIG!$B$26&amp;" probetas. ","")&amp;IF(N(T997)&gt;CONFIG!$B$25,"CV alto. ","")&amp;IF(AND(N(AD997)&gt;0,N(AD997)&gt;N(AF997)),"Absorción alta. ","")))</f>
        <v/>
      </c>
      <c r="AH997" s="22" t="str">
        <f aca="false">IF(AND(N(M997)&gt;0,OR(CONTROL!$C$4="TODAS",C997=CONTROL!$C$4),D997=CONTROL!$C$5),MAX($AH$4:AH996)+1,"")</f>
        <v/>
      </c>
      <c r="AI997" s="22" t="str">
        <f aca="false">IF(AH997="","",P997^2)</f>
        <v/>
      </c>
    </row>
    <row r="998" customFormat="false" ht="15" hidden="false" customHeight="false" outlineLevel="0" collapsed="false">
      <c r="A998" s="11" t="str">
        <f aca="false">IF(B998="","",ROW()-4)</f>
        <v/>
      </c>
      <c r="B998" s="12"/>
      <c r="C998" s="13"/>
      <c r="D998" s="13"/>
      <c r="E998" s="13"/>
      <c r="F998" s="14" t="str">
        <f aca="false">IF(OR(B998="",C998="",D998=""),"",IFERROR(INDEX(CONFIG!$E$5:$E$14,MATCH(D998,CONFIG!$D$5:$D$14,0)),"?")&amp;RIGHT("0"&amp;DAY(B998),2)&amp;RIGHT("0"&amp;MONTH(B998),2)&amp;RIGHT(YEAR(B998),2)&amp;C998&amp;IF(E998="","","-"&amp;E998))</f>
        <v/>
      </c>
      <c r="G998" s="13"/>
      <c r="H998" s="13"/>
      <c r="I998" s="13"/>
      <c r="J998" s="13"/>
      <c r="K998" s="13"/>
      <c r="L998" s="13"/>
      <c r="M998" s="11" t="str">
        <f aca="false">IF(F998="","",COUNTIFS(ENSAYOS!$C$5:$C$3004,F998,ENSAYOS!$Q$5:$Q$3004,"&gt;0"))</f>
        <v/>
      </c>
      <c r="N998" s="15" t="str">
        <f aca="false">IF(N(M998)=0,"",_xlfn.MINIFS(ENSAYOS!$G$5:$G$3004,ENSAYOS!$C$5:$C$3004,F998,ENSAYOS!$Q$5:$Q$3004,"&gt;0"))</f>
        <v/>
      </c>
      <c r="O998" s="15" t="str">
        <f aca="false">IF(N(M998)=0,"",_xlfn.MAXIFS(ENSAYOS!$G$5:$G$3004,ENSAYOS!$C$5:$C$3004,F998,ENSAYOS!$Q$5:$Q$3004,"&gt;0"))</f>
        <v/>
      </c>
      <c r="P998" s="16" t="str">
        <f aca="false">IF(N(M998)=0,"",AVERAGEIFS(ENSAYOS!$Q$5:$Q$3004,ENSAYOS!$C$5:$C$3004,F998,ENSAYOS!$Q$5:$Q$3004,"&gt;0"))</f>
        <v/>
      </c>
      <c r="Q998" s="16" t="str">
        <f aca="false">IF(N(M998)=0,"",_xlfn.MINIFS(ENSAYOS!$Q$5:$Q$3004,ENSAYOS!$C$5:$C$3004,F998,ENSAYOS!$Q$5:$Q$3004,"&gt;0"))</f>
        <v/>
      </c>
      <c r="R998" s="16" t="str">
        <f aca="false">IF(N(M998)=0,"",_xlfn.MAXIFS(ENSAYOS!$Q$5:$Q$3004,ENSAYOS!$C$5:$C$3004,F998,ENSAYOS!$Q$5:$Q$3004,"&gt;0"))</f>
        <v/>
      </c>
      <c r="S998" s="16" t="str">
        <f aca="false">IF(N(M998)&lt;2,"",SQRT(MAX(0,(SUMIFS(ENSAYOS!$X$5:$X$3004,ENSAYOS!$C$5:$C$3004,F998,ENSAYOS!$Q$5:$Q$3004,"&gt;0")-M998*P998^2)/(M998-1))))</f>
        <v/>
      </c>
      <c r="T998" s="17" t="str">
        <f aca="false">IF(S998="","",S998/P998)</f>
        <v/>
      </c>
      <c r="U998" s="16" t="str">
        <f aca="false">IF(N(M998)=0,"",IF(N998&gt;=CONFIG!$B$27,"",AVERAGEIFS(ENSAYOS!$Q$5:$Q$3004,ENSAYOS!$C$5:$C$3004,F998,ENSAYOS!$Q$5:$Q$3004,"&gt;0",ENSAYOS!$G$5:$G$3004,N998)))</f>
        <v/>
      </c>
      <c r="V998" s="16" t="str">
        <f aca="false">IF(N(M998)=0,"",IF(COUNTIFS(ENSAYOS!$C$5:$C$3004,F998,ENSAYOS!$Q$5:$Q$3004,"&gt;0",ENSAYOS!$G$5:$G$3004,"&gt;="&amp;CONFIG!$B$27)=0,"",AVERAGEIFS(ENSAYOS!$Q$5:$Q$3004,ENSAYOS!$C$5:$C$3004,F998,ENSAYOS!$Q$5:$Q$3004,"&gt;0",ENSAYOS!$G$5:$G$3004,"&gt;="&amp;CONFIG!$B$27)))</f>
        <v/>
      </c>
      <c r="W998" s="18" t="str">
        <f aca="false">IF(AND(U998&lt;&gt;"",V998&lt;&gt;""),U998/V998,"")</f>
        <v/>
      </c>
      <c r="X998" s="18" t="str">
        <f aca="false">IF(U998="","",INDEX('CURVA EDAD'!$E$5:$E$32,MIN(28,MAX(1,N998))))</f>
        <v/>
      </c>
      <c r="Y998" s="16" t="str">
        <f aca="false">IF(V998&lt;&gt;"",V998,IF(U998="","",U998/X998))</f>
        <v/>
      </c>
      <c r="Z998" s="16" t="str">
        <f aca="false">IF(V998&lt;&gt;"",_xlfn.MINIFS(ENSAYOS!$Q$5:$Q$3004,ENSAYOS!$C$5:$C$3004,F998,ENSAYOS!$Q$5:$Q$3004,"&gt;0",ENSAYOS!$G$5:$G$3004,"&gt;="&amp;CONFIG!$B$27),IF(U998="","",_xlfn.MINIFS(ENSAYOS!$Q$5:$Q$3004,ENSAYOS!$C$5:$C$3004,F998,ENSAYOS!$Q$5:$Q$3004,"&gt;0",ENSAYOS!$G$5:$G$3004,N998)/X998))</f>
        <v/>
      </c>
      <c r="AA998" s="16" t="str">
        <f aca="false">IF(D998="","",IFERROR(1/(1/INDEX(CONFIG!$J$5:$J$14,MATCH(D998,CONFIG!$D$5:$D$14,0))),""))</f>
        <v/>
      </c>
      <c r="AB998" s="16" t="str">
        <f aca="false">IF(D998="","",IFERROR(1/(1/INDEX(CONFIG!$K$5:$K$14,MATCH(D998,CONFIG!$D$5:$D$14,0))),""))</f>
        <v/>
      </c>
      <c r="AC998" s="19" t="str">
        <f aca="false">IF(N(M998)=0,"",IF(AA998="","Sin spec",IF(AND(Y998&gt;=AA998,OR(AB998="",Z998&gt;=AB998)),"CUMPLE","NO CUMPLE")&amp;IF(V998=""," (est.)","")))</f>
        <v/>
      </c>
      <c r="AD998" s="20" t="str">
        <f aca="false">IF(F998="","",IF(COUNTIFS(ABSORCION!$C$5:$C$1004,F998,ABSORCION!$I$5:$I$1004,"&gt;0")=0,"",AVERAGEIFS(ABSORCION!$I$5:$I$1004,ABSORCION!$C$5:$C$1004,F998,ABSORCION!$I$5:$I$1004,"&gt;0")))</f>
        <v/>
      </c>
      <c r="AE998" s="20" t="str">
        <f aca="false">IF(F998="","",IF(COUNTIFS(ABSORCION!$C$5:$C$1004,F998,ABSORCION!$I$5:$I$1004,"&gt;0")=0,"",AVERAGEIFS(ABSORCION!$K$5:$K$1004,ABSORCION!$C$5:$C$1004,F998,ABSORCION!$I$5:$I$1004,"&gt;0")))</f>
        <v/>
      </c>
      <c r="AF998" s="20" t="str">
        <f aca="false">IF(AE998="","",IF(AE998&gt;=CONFIG!$E$21,CONFIG!$F$21,IF(AE998&gt;=CONFIG!$E$20,CONFIG!$F$20,CONFIG!$F$19)))</f>
        <v/>
      </c>
      <c r="AG998" s="21" t="str">
        <f aca="false">IF(F998="","",TRIM(IF(N(M998)=0,"Sin ensayos. ","")&amp;IF(AND(N(M998)&gt;0,N(M998)&lt;CONFIG!$B$26),"Menos de "&amp;CONFIG!$B$26&amp;" probetas. ","")&amp;IF(N(T998)&gt;CONFIG!$B$25,"CV alto. ","")&amp;IF(AND(N(AD998)&gt;0,N(AD998)&gt;N(AF998)),"Absorción alta. ","")))</f>
        <v/>
      </c>
      <c r="AH998" s="22" t="str">
        <f aca="false">IF(AND(N(M998)&gt;0,OR(CONTROL!$C$4="TODAS",C998=CONTROL!$C$4),D998=CONTROL!$C$5),MAX($AH$4:AH997)+1,"")</f>
        <v/>
      </c>
      <c r="AI998" s="22" t="str">
        <f aca="false">IF(AH998="","",P998^2)</f>
        <v/>
      </c>
    </row>
    <row r="999" customFormat="false" ht="15" hidden="false" customHeight="false" outlineLevel="0" collapsed="false">
      <c r="A999" s="11" t="str">
        <f aca="false">IF(B999="","",ROW()-4)</f>
        <v/>
      </c>
      <c r="B999" s="12"/>
      <c r="C999" s="13"/>
      <c r="D999" s="13"/>
      <c r="E999" s="13"/>
      <c r="F999" s="14" t="str">
        <f aca="false">IF(OR(B999="",C999="",D999=""),"",IFERROR(INDEX(CONFIG!$E$5:$E$14,MATCH(D999,CONFIG!$D$5:$D$14,0)),"?")&amp;RIGHT("0"&amp;DAY(B999),2)&amp;RIGHT("0"&amp;MONTH(B999),2)&amp;RIGHT(YEAR(B999),2)&amp;C999&amp;IF(E999="","","-"&amp;E999))</f>
        <v/>
      </c>
      <c r="G999" s="13"/>
      <c r="H999" s="13"/>
      <c r="I999" s="13"/>
      <c r="J999" s="13"/>
      <c r="K999" s="13"/>
      <c r="L999" s="13"/>
      <c r="M999" s="11" t="str">
        <f aca="false">IF(F999="","",COUNTIFS(ENSAYOS!$C$5:$C$3004,F999,ENSAYOS!$Q$5:$Q$3004,"&gt;0"))</f>
        <v/>
      </c>
      <c r="N999" s="15" t="str">
        <f aca="false">IF(N(M999)=0,"",_xlfn.MINIFS(ENSAYOS!$G$5:$G$3004,ENSAYOS!$C$5:$C$3004,F999,ENSAYOS!$Q$5:$Q$3004,"&gt;0"))</f>
        <v/>
      </c>
      <c r="O999" s="15" t="str">
        <f aca="false">IF(N(M999)=0,"",_xlfn.MAXIFS(ENSAYOS!$G$5:$G$3004,ENSAYOS!$C$5:$C$3004,F999,ENSAYOS!$Q$5:$Q$3004,"&gt;0"))</f>
        <v/>
      </c>
      <c r="P999" s="16" t="str">
        <f aca="false">IF(N(M999)=0,"",AVERAGEIFS(ENSAYOS!$Q$5:$Q$3004,ENSAYOS!$C$5:$C$3004,F999,ENSAYOS!$Q$5:$Q$3004,"&gt;0"))</f>
        <v/>
      </c>
      <c r="Q999" s="16" t="str">
        <f aca="false">IF(N(M999)=0,"",_xlfn.MINIFS(ENSAYOS!$Q$5:$Q$3004,ENSAYOS!$C$5:$C$3004,F999,ENSAYOS!$Q$5:$Q$3004,"&gt;0"))</f>
        <v/>
      </c>
      <c r="R999" s="16" t="str">
        <f aca="false">IF(N(M999)=0,"",_xlfn.MAXIFS(ENSAYOS!$Q$5:$Q$3004,ENSAYOS!$C$5:$C$3004,F999,ENSAYOS!$Q$5:$Q$3004,"&gt;0"))</f>
        <v/>
      </c>
      <c r="S999" s="16" t="str">
        <f aca="false">IF(N(M999)&lt;2,"",SQRT(MAX(0,(SUMIFS(ENSAYOS!$X$5:$X$3004,ENSAYOS!$C$5:$C$3004,F999,ENSAYOS!$Q$5:$Q$3004,"&gt;0")-M999*P999^2)/(M999-1))))</f>
        <v/>
      </c>
      <c r="T999" s="17" t="str">
        <f aca="false">IF(S999="","",S999/P999)</f>
        <v/>
      </c>
      <c r="U999" s="16" t="str">
        <f aca="false">IF(N(M999)=0,"",IF(N999&gt;=CONFIG!$B$27,"",AVERAGEIFS(ENSAYOS!$Q$5:$Q$3004,ENSAYOS!$C$5:$C$3004,F999,ENSAYOS!$Q$5:$Q$3004,"&gt;0",ENSAYOS!$G$5:$G$3004,N999)))</f>
        <v/>
      </c>
      <c r="V999" s="16" t="str">
        <f aca="false">IF(N(M999)=0,"",IF(COUNTIFS(ENSAYOS!$C$5:$C$3004,F999,ENSAYOS!$Q$5:$Q$3004,"&gt;0",ENSAYOS!$G$5:$G$3004,"&gt;="&amp;CONFIG!$B$27)=0,"",AVERAGEIFS(ENSAYOS!$Q$5:$Q$3004,ENSAYOS!$C$5:$C$3004,F999,ENSAYOS!$Q$5:$Q$3004,"&gt;0",ENSAYOS!$G$5:$G$3004,"&gt;="&amp;CONFIG!$B$27)))</f>
        <v/>
      </c>
      <c r="W999" s="18" t="str">
        <f aca="false">IF(AND(U999&lt;&gt;"",V999&lt;&gt;""),U999/V999,"")</f>
        <v/>
      </c>
      <c r="X999" s="18" t="str">
        <f aca="false">IF(U999="","",INDEX('CURVA EDAD'!$E$5:$E$32,MIN(28,MAX(1,N999))))</f>
        <v/>
      </c>
      <c r="Y999" s="16" t="str">
        <f aca="false">IF(V999&lt;&gt;"",V999,IF(U999="","",U999/X999))</f>
        <v/>
      </c>
      <c r="Z999" s="16" t="str">
        <f aca="false">IF(V999&lt;&gt;"",_xlfn.MINIFS(ENSAYOS!$Q$5:$Q$3004,ENSAYOS!$C$5:$C$3004,F999,ENSAYOS!$Q$5:$Q$3004,"&gt;0",ENSAYOS!$G$5:$G$3004,"&gt;="&amp;CONFIG!$B$27),IF(U999="","",_xlfn.MINIFS(ENSAYOS!$Q$5:$Q$3004,ENSAYOS!$C$5:$C$3004,F999,ENSAYOS!$Q$5:$Q$3004,"&gt;0",ENSAYOS!$G$5:$G$3004,N999)/X999))</f>
        <v/>
      </c>
      <c r="AA999" s="16" t="str">
        <f aca="false">IF(D999="","",IFERROR(1/(1/INDEX(CONFIG!$J$5:$J$14,MATCH(D999,CONFIG!$D$5:$D$14,0))),""))</f>
        <v/>
      </c>
      <c r="AB999" s="16" t="str">
        <f aca="false">IF(D999="","",IFERROR(1/(1/INDEX(CONFIG!$K$5:$K$14,MATCH(D999,CONFIG!$D$5:$D$14,0))),""))</f>
        <v/>
      </c>
      <c r="AC999" s="19" t="str">
        <f aca="false">IF(N(M999)=0,"",IF(AA999="","Sin spec",IF(AND(Y999&gt;=AA999,OR(AB999="",Z999&gt;=AB999)),"CUMPLE","NO CUMPLE")&amp;IF(V999=""," (est.)","")))</f>
        <v/>
      </c>
      <c r="AD999" s="20" t="str">
        <f aca="false">IF(F999="","",IF(COUNTIFS(ABSORCION!$C$5:$C$1004,F999,ABSORCION!$I$5:$I$1004,"&gt;0")=0,"",AVERAGEIFS(ABSORCION!$I$5:$I$1004,ABSORCION!$C$5:$C$1004,F999,ABSORCION!$I$5:$I$1004,"&gt;0")))</f>
        <v/>
      </c>
      <c r="AE999" s="20" t="str">
        <f aca="false">IF(F999="","",IF(COUNTIFS(ABSORCION!$C$5:$C$1004,F999,ABSORCION!$I$5:$I$1004,"&gt;0")=0,"",AVERAGEIFS(ABSORCION!$K$5:$K$1004,ABSORCION!$C$5:$C$1004,F999,ABSORCION!$I$5:$I$1004,"&gt;0")))</f>
        <v/>
      </c>
      <c r="AF999" s="20" t="str">
        <f aca="false">IF(AE999="","",IF(AE999&gt;=CONFIG!$E$21,CONFIG!$F$21,IF(AE999&gt;=CONFIG!$E$20,CONFIG!$F$20,CONFIG!$F$19)))</f>
        <v/>
      </c>
      <c r="AG999" s="21" t="str">
        <f aca="false">IF(F999="","",TRIM(IF(N(M999)=0,"Sin ensayos. ","")&amp;IF(AND(N(M999)&gt;0,N(M999)&lt;CONFIG!$B$26),"Menos de "&amp;CONFIG!$B$26&amp;" probetas. ","")&amp;IF(N(T999)&gt;CONFIG!$B$25,"CV alto. ","")&amp;IF(AND(N(AD999)&gt;0,N(AD999)&gt;N(AF999)),"Absorción alta. ","")))</f>
        <v/>
      </c>
      <c r="AH999" s="22" t="str">
        <f aca="false">IF(AND(N(M999)&gt;0,OR(CONTROL!$C$4="TODAS",C999=CONTROL!$C$4),D999=CONTROL!$C$5),MAX($AH$4:AH998)+1,"")</f>
        <v/>
      </c>
      <c r="AI999" s="22" t="str">
        <f aca="false">IF(AH999="","",P999^2)</f>
        <v/>
      </c>
    </row>
    <row r="1000" customFormat="false" ht="15" hidden="false" customHeight="false" outlineLevel="0" collapsed="false">
      <c r="A1000" s="11" t="str">
        <f aca="false">IF(B1000="","",ROW()-4)</f>
        <v/>
      </c>
      <c r="B1000" s="12"/>
      <c r="C1000" s="13"/>
      <c r="D1000" s="13"/>
      <c r="E1000" s="13"/>
      <c r="F1000" s="14" t="str">
        <f aca="false">IF(OR(B1000="",C1000="",D1000=""),"",IFERROR(INDEX(CONFIG!$E$5:$E$14,MATCH(D1000,CONFIG!$D$5:$D$14,0)),"?")&amp;RIGHT("0"&amp;DAY(B1000),2)&amp;RIGHT("0"&amp;MONTH(B1000),2)&amp;RIGHT(YEAR(B1000),2)&amp;C1000&amp;IF(E1000="","","-"&amp;E1000))</f>
        <v/>
      </c>
      <c r="G1000" s="13"/>
      <c r="H1000" s="13"/>
      <c r="I1000" s="13"/>
      <c r="J1000" s="13"/>
      <c r="K1000" s="13"/>
      <c r="L1000" s="13"/>
      <c r="M1000" s="11" t="str">
        <f aca="false">IF(F1000="","",COUNTIFS(ENSAYOS!$C$5:$C$3004,F1000,ENSAYOS!$Q$5:$Q$3004,"&gt;0"))</f>
        <v/>
      </c>
      <c r="N1000" s="15" t="str">
        <f aca="false">IF(N(M1000)=0,"",_xlfn.MINIFS(ENSAYOS!$G$5:$G$3004,ENSAYOS!$C$5:$C$3004,F1000,ENSAYOS!$Q$5:$Q$3004,"&gt;0"))</f>
        <v/>
      </c>
      <c r="O1000" s="15" t="str">
        <f aca="false">IF(N(M1000)=0,"",_xlfn.MAXIFS(ENSAYOS!$G$5:$G$3004,ENSAYOS!$C$5:$C$3004,F1000,ENSAYOS!$Q$5:$Q$3004,"&gt;0"))</f>
        <v/>
      </c>
      <c r="P1000" s="16" t="str">
        <f aca="false">IF(N(M1000)=0,"",AVERAGEIFS(ENSAYOS!$Q$5:$Q$3004,ENSAYOS!$C$5:$C$3004,F1000,ENSAYOS!$Q$5:$Q$3004,"&gt;0"))</f>
        <v/>
      </c>
      <c r="Q1000" s="16" t="str">
        <f aca="false">IF(N(M1000)=0,"",_xlfn.MINIFS(ENSAYOS!$Q$5:$Q$3004,ENSAYOS!$C$5:$C$3004,F1000,ENSAYOS!$Q$5:$Q$3004,"&gt;0"))</f>
        <v/>
      </c>
      <c r="R1000" s="16" t="str">
        <f aca="false">IF(N(M1000)=0,"",_xlfn.MAXIFS(ENSAYOS!$Q$5:$Q$3004,ENSAYOS!$C$5:$C$3004,F1000,ENSAYOS!$Q$5:$Q$3004,"&gt;0"))</f>
        <v/>
      </c>
      <c r="S1000" s="16" t="str">
        <f aca="false">IF(N(M1000)&lt;2,"",SQRT(MAX(0,(SUMIFS(ENSAYOS!$X$5:$X$3004,ENSAYOS!$C$5:$C$3004,F1000,ENSAYOS!$Q$5:$Q$3004,"&gt;0")-M1000*P1000^2)/(M1000-1))))</f>
        <v/>
      </c>
      <c r="T1000" s="17" t="str">
        <f aca="false">IF(S1000="","",S1000/P1000)</f>
        <v/>
      </c>
      <c r="U1000" s="16" t="str">
        <f aca="false">IF(N(M1000)=0,"",IF(N1000&gt;=CONFIG!$B$27,"",AVERAGEIFS(ENSAYOS!$Q$5:$Q$3004,ENSAYOS!$C$5:$C$3004,F1000,ENSAYOS!$Q$5:$Q$3004,"&gt;0",ENSAYOS!$G$5:$G$3004,N1000)))</f>
        <v/>
      </c>
      <c r="V1000" s="16" t="str">
        <f aca="false">IF(N(M1000)=0,"",IF(COUNTIFS(ENSAYOS!$C$5:$C$3004,F1000,ENSAYOS!$Q$5:$Q$3004,"&gt;0",ENSAYOS!$G$5:$G$3004,"&gt;="&amp;CONFIG!$B$27)=0,"",AVERAGEIFS(ENSAYOS!$Q$5:$Q$3004,ENSAYOS!$C$5:$C$3004,F1000,ENSAYOS!$Q$5:$Q$3004,"&gt;0",ENSAYOS!$G$5:$G$3004,"&gt;="&amp;CONFIG!$B$27)))</f>
        <v/>
      </c>
      <c r="W1000" s="18" t="str">
        <f aca="false">IF(AND(U1000&lt;&gt;"",V1000&lt;&gt;""),U1000/V1000,"")</f>
        <v/>
      </c>
      <c r="X1000" s="18" t="str">
        <f aca="false">IF(U1000="","",INDEX('CURVA EDAD'!$E$5:$E$32,MIN(28,MAX(1,N1000))))</f>
        <v/>
      </c>
      <c r="Y1000" s="16" t="str">
        <f aca="false">IF(V1000&lt;&gt;"",V1000,IF(U1000="","",U1000/X1000))</f>
        <v/>
      </c>
      <c r="Z1000" s="16" t="str">
        <f aca="false">IF(V1000&lt;&gt;"",_xlfn.MINIFS(ENSAYOS!$Q$5:$Q$3004,ENSAYOS!$C$5:$C$3004,F1000,ENSAYOS!$Q$5:$Q$3004,"&gt;0",ENSAYOS!$G$5:$G$3004,"&gt;="&amp;CONFIG!$B$27),IF(U1000="","",_xlfn.MINIFS(ENSAYOS!$Q$5:$Q$3004,ENSAYOS!$C$5:$C$3004,F1000,ENSAYOS!$Q$5:$Q$3004,"&gt;0",ENSAYOS!$G$5:$G$3004,N1000)/X1000))</f>
        <v/>
      </c>
      <c r="AA1000" s="16" t="str">
        <f aca="false">IF(D1000="","",IFERROR(1/(1/INDEX(CONFIG!$J$5:$J$14,MATCH(D1000,CONFIG!$D$5:$D$14,0))),""))</f>
        <v/>
      </c>
      <c r="AB1000" s="16" t="str">
        <f aca="false">IF(D1000="","",IFERROR(1/(1/INDEX(CONFIG!$K$5:$K$14,MATCH(D1000,CONFIG!$D$5:$D$14,0))),""))</f>
        <v/>
      </c>
      <c r="AC1000" s="19" t="str">
        <f aca="false">IF(N(M1000)=0,"",IF(AA1000="","Sin spec",IF(AND(Y1000&gt;=AA1000,OR(AB1000="",Z1000&gt;=AB1000)),"CUMPLE","NO CUMPLE")&amp;IF(V1000=""," (est.)","")))</f>
        <v/>
      </c>
      <c r="AD1000" s="20" t="str">
        <f aca="false">IF(F1000="","",IF(COUNTIFS(ABSORCION!$C$5:$C$1004,F1000,ABSORCION!$I$5:$I$1004,"&gt;0")=0,"",AVERAGEIFS(ABSORCION!$I$5:$I$1004,ABSORCION!$C$5:$C$1004,F1000,ABSORCION!$I$5:$I$1004,"&gt;0")))</f>
        <v/>
      </c>
      <c r="AE1000" s="20" t="str">
        <f aca="false">IF(F1000="","",IF(COUNTIFS(ABSORCION!$C$5:$C$1004,F1000,ABSORCION!$I$5:$I$1004,"&gt;0")=0,"",AVERAGEIFS(ABSORCION!$K$5:$K$1004,ABSORCION!$C$5:$C$1004,F1000,ABSORCION!$I$5:$I$1004,"&gt;0")))</f>
        <v/>
      </c>
      <c r="AF1000" s="20" t="str">
        <f aca="false">IF(AE1000="","",IF(AE1000&gt;=CONFIG!$E$21,CONFIG!$F$21,IF(AE1000&gt;=CONFIG!$E$20,CONFIG!$F$20,CONFIG!$F$19)))</f>
        <v/>
      </c>
      <c r="AG1000" s="21" t="str">
        <f aca="false">IF(F1000="","",TRIM(IF(N(M1000)=0,"Sin ensayos. ","")&amp;IF(AND(N(M1000)&gt;0,N(M1000)&lt;CONFIG!$B$26),"Menos de "&amp;CONFIG!$B$26&amp;" probetas. ","")&amp;IF(N(T1000)&gt;CONFIG!$B$25,"CV alto. ","")&amp;IF(AND(N(AD1000)&gt;0,N(AD1000)&gt;N(AF1000)),"Absorción alta. ","")))</f>
        <v/>
      </c>
      <c r="AH1000" s="22" t="str">
        <f aca="false">IF(AND(N(M1000)&gt;0,OR(CONTROL!$C$4="TODAS",C1000=CONTROL!$C$4),D1000=CONTROL!$C$5),MAX($AH$4:AH999)+1,"")</f>
        <v/>
      </c>
      <c r="AI1000" s="22" t="str">
        <f aca="false">IF(AH1000="","",P1000^2)</f>
        <v/>
      </c>
    </row>
    <row r="1001" customFormat="false" ht="15" hidden="false" customHeight="false" outlineLevel="0" collapsed="false">
      <c r="A1001" s="11" t="str">
        <f aca="false">IF(B1001="","",ROW()-4)</f>
        <v/>
      </c>
      <c r="B1001" s="12"/>
      <c r="C1001" s="13"/>
      <c r="D1001" s="13"/>
      <c r="E1001" s="13"/>
      <c r="F1001" s="14" t="str">
        <f aca="false">IF(OR(B1001="",C1001="",D1001=""),"",IFERROR(INDEX(CONFIG!$E$5:$E$14,MATCH(D1001,CONFIG!$D$5:$D$14,0)),"?")&amp;RIGHT("0"&amp;DAY(B1001),2)&amp;RIGHT("0"&amp;MONTH(B1001),2)&amp;RIGHT(YEAR(B1001),2)&amp;C1001&amp;IF(E1001="","","-"&amp;E1001))</f>
        <v/>
      </c>
      <c r="G1001" s="13"/>
      <c r="H1001" s="13"/>
      <c r="I1001" s="13"/>
      <c r="J1001" s="13"/>
      <c r="K1001" s="13"/>
      <c r="L1001" s="13"/>
      <c r="M1001" s="11" t="str">
        <f aca="false">IF(F1001="","",COUNTIFS(ENSAYOS!$C$5:$C$3004,F1001,ENSAYOS!$Q$5:$Q$3004,"&gt;0"))</f>
        <v/>
      </c>
      <c r="N1001" s="15" t="str">
        <f aca="false">IF(N(M1001)=0,"",_xlfn.MINIFS(ENSAYOS!$G$5:$G$3004,ENSAYOS!$C$5:$C$3004,F1001,ENSAYOS!$Q$5:$Q$3004,"&gt;0"))</f>
        <v/>
      </c>
      <c r="O1001" s="15" t="str">
        <f aca="false">IF(N(M1001)=0,"",_xlfn.MAXIFS(ENSAYOS!$G$5:$G$3004,ENSAYOS!$C$5:$C$3004,F1001,ENSAYOS!$Q$5:$Q$3004,"&gt;0"))</f>
        <v/>
      </c>
      <c r="P1001" s="16" t="str">
        <f aca="false">IF(N(M1001)=0,"",AVERAGEIFS(ENSAYOS!$Q$5:$Q$3004,ENSAYOS!$C$5:$C$3004,F1001,ENSAYOS!$Q$5:$Q$3004,"&gt;0"))</f>
        <v/>
      </c>
      <c r="Q1001" s="16" t="str">
        <f aca="false">IF(N(M1001)=0,"",_xlfn.MINIFS(ENSAYOS!$Q$5:$Q$3004,ENSAYOS!$C$5:$C$3004,F1001,ENSAYOS!$Q$5:$Q$3004,"&gt;0"))</f>
        <v/>
      </c>
      <c r="R1001" s="16" t="str">
        <f aca="false">IF(N(M1001)=0,"",_xlfn.MAXIFS(ENSAYOS!$Q$5:$Q$3004,ENSAYOS!$C$5:$C$3004,F1001,ENSAYOS!$Q$5:$Q$3004,"&gt;0"))</f>
        <v/>
      </c>
      <c r="S1001" s="16" t="str">
        <f aca="false">IF(N(M1001)&lt;2,"",SQRT(MAX(0,(SUMIFS(ENSAYOS!$X$5:$X$3004,ENSAYOS!$C$5:$C$3004,F1001,ENSAYOS!$Q$5:$Q$3004,"&gt;0")-M1001*P1001^2)/(M1001-1))))</f>
        <v/>
      </c>
      <c r="T1001" s="17" t="str">
        <f aca="false">IF(S1001="","",S1001/P1001)</f>
        <v/>
      </c>
      <c r="U1001" s="16" t="str">
        <f aca="false">IF(N(M1001)=0,"",IF(N1001&gt;=CONFIG!$B$27,"",AVERAGEIFS(ENSAYOS!$Q$5:$Q$3004,ENSAYOS!$C$5:$C$3004,F1001,ENSAYOS!$Q$5:$Q$3004,"&gt;0",ENSAYOS!$G$5:$G$3004,N1001)))</f>
        <v/>
      </c>
      <c r="V1001" s="16" t="str">
        <f aca="false">IF(N(M1001)=0,"",IF(COUNTIFS(ENSAYOS!$C$5:$C$3004,F1001,ENSAYOS!$Q$5:$Q$3004,"&gt;0",ENSAYOS!$G$5:$G$3004,"&gt;="&amp;CONFIG!$B$27)=0,"",AVERAGEIFS(ENSAYOS!$Q$5:$Q$3004,ENSAYOS!$C$5:$C$3004,F1001,ENSAYOS!$Q$5:$Q$3004,"&gt;0",ENSAYOS!$G$5:$G$3004,"&gt;="&amp;CONFIG!$B$27)))</f>
        <v/>
      </c>
      <c r="W1001" s="18" t="str">
        <f aca="false">IF(AND(U1001&lt;&gt;"",V1001&lt;&gt;""),U1001/V1001,"")</f>
        <v/>
      </c>
      <c r="X1001" s="18" t="str">
        <f aca="false">IF(U1001="","",INDEX('CURVA EDAD'!$E$5:$E$32,MIN(28,MAX(1,N1001))))</f>
        <v/>
      </c>
      <c r="Y1001" s="16" t="str">
        <f aca="false">IF(V1001&lt;&gt;"",V1001,IF(U1001="","",U1001/X1001))</f>
        <v/>
      </c>
      <c r="Z1001" s="16" t="str">
        <f aca="false">IF(V1001&lt;&gt;"",_xlfn.MINIFS(ENSAYOS!$Q$5:$Q$3004,ENSAYOS!$C$5:$C$3004,F1001,ENSAYOS!$Q$5:$Q$3004,"&gt;0",ENSAYOS!$G$5:$G$3004,"&gt;="&amp;CONFIG!$B$27),IF(U1001="","",_xlfn.MINIFS(ENSAYOS!$Q$5:$Q$3004,ENSAYOS!$C$5:$C$3004,F1001,ENSAYOS!$Q$5:$Q$3004,"&gt;0",ENSAYOS!$G$5:$G$3004,N1001)/X1001))</f>
        <v/>
      </c>
      <c r="AA1001" s="16" t="str">
        <f aca="false">IF(D1001="","",IFERROR(1/(1/INDEX(CONFIG!$J$5:$J$14,MATCH(D1001,CONFIG!$D$5:$D$14,0))),""))</f>
        <v/>
      </c>
      <c r="AB1001" s="16" t="str">
        <f aca="false">IF(D1001="","",IFERROR(1/(1/INDEX(CONFIG!$K$5:$K$14,MATCH(D1001,CONFIG!$D$5:$D$14,0))),""))</f>
        <v/>
      </c>
      <c r="AC1001" s="19" t="str">
        <f aca="false">IF(N(M1001)=0,"",IF(AA1001="","Sin spec",IF(AND(Y1001&gt;=AA1001,OR(AB1001="",Z1001&gt;=AB1001)),"CUMPLE","NO CUMPLE")&amp;IF(V1001=""," (est.)","")))</f>
        <v/>
      </c>
      <c r="AD1001" s="20" t="str">
        <f aca="false">IF(F1001="","",IF(COUNTIFS(ABSORCION!$C$5:$C$1004,F1001,ABSORCION!$I$5:$I$1004,"&gt;0")=0,"",AVERAGEIFS(ABSORCION!$I$5:$I$1004,ABSORCION!$C$5:$C$1004,F1001,ABSORCION!$I$5:$I$1004,"&gt;0")))</f>
        <v/>
      </c>
      <c r="AE1001" s="20" t="str">
        <f aca="false">IF(F1001="","",IF(COUNTIFS(ABSORCION!$C$5:$C$1004,F1001,ABSORCION!$I$5:$I$1004,"&gt;0")=0,"",AVERAGEIFS(ABSORCION!$K$5:$K$1004,ABSORCION!$C$5:$C$1004,F1001,ABSORCION!$I$5:$I$1004,"&gt;0")))</f>
        <v/>
      </c>
      <c r="AF1001" s="20" t="str">
        <f aca="false">IF(AE1001="","",IF(AE1001&gt;=CONFIG!$E$21,CONFIG!$F$21,IF(AE1001&gt;=CONFIG!$E$20,CONFIG!$F$20,CONFIG!$F$19)))</f>
        <v/>
      </c>
      <c r="AG1001" s="21" t="str">
        <f aca="false">IF(F1001="","",TRIM(IF(N(M1001)=0,"Sin ensayos. ","")&amp;IF(AND(N(M1001)&gt;0,N(M1001)&lt;CONFIG!$B$26),"Menos de "&amp;CONFIG!$B$26&amp;" probetas. ","")&amp;IF(N(T1001)&gt;CONFIG!$B$25,"CV alto. ","")&amp;IF(AND(N(AD1001)&gt;0,N(AD1001)&gt;N(AF1001)),"Absorción alta. ","")))</f>
        <v/>
      </c>
      <c r="AH1001" s="22" t="str">
        <f aca="false">IF(AND(N(M1001)&gt;0,OR(CONTROL!$C$4="TODAS",C1001=CONTROL!$C$4),D1001=CONTROL!$C$5),MAX($AH$4:AH1000)+1,"")</f>
        <v/>
      </c>
      <c r="AI1001" s="22" t="str">
        <f aca="false">IF(AH1001="","",P1001^2)</f>
        <v/>
      </c>
    </row>
    <row r="1002" customFormat="false" ht="15" hidden="false" customHeight="false" outlineLevel="0" collapsed="false">
      <c r="A1002" s="11" t="str">
        <f aca="false">IF(B1002="","",ROW()-4)</f>
        <v/>
      </c>
      <c r="B1002" s="12"/>
      <c r="C1002" s="13"/>
      <c r="D1002" s="13"/>
      <c r="E1002" s="13"/>
      <c r="F1002" s="14" t="str">
        <f aca="false">IF(OR(B1002="",C1002="",D1002=""),"",IFERROR(INDEX(CONFIG!$E$5:$E$14,MATCH(D1002,CONFIG!$D$5:$D$14,0)),"?")&amp;RIGHT("0"&amp;DAY(B1002),2)&amp;RIGHT("0"&amp;MONTH(B1002),2)&amp;RIGHT(YEAR(B1002),2)&amp;C1002&amp;IF(E1002="","","-"&amp;E1002))</f>
        <v/>
      </c>
      <c r="G1002" s="13"/>
      <c r="H1002" s="13"/>
      <c r="I1002" s="13"/>
      <c r="J1002" s="13"/>
      <c r="K1002" s="13"/>
      <c r="L1002" s="13"/>
      <c r="M1002" s="11" t="str">
        <f aca="false">IF(F1002="","",COUNTIFS(ENSAYOS!$C$5:$C$3004,F1002,ENSAYOS!$Q$5:$Q$3004,"&gt;0"))</f>
        <v/>
      </c>
      <c r="N1002" s="15" t="str">
        <f aca="false">IF(N(M1002)=0,"",_xlfn.MINIFS(ENSAYOS!$G$5:$G$3004,ENSAYOS!$C$5:$C$3004,F1002,ENSAYOS!$Q$5:$Q$3004,"&gt;0"))</f>
        <v/>
      </c>
      <c r="O1002" s="15" t="str">
        <f aca="false">IF(N(M1002)=0,"",_xlfn.MAXIFS(ENSAYOS!$G$5:$G$3004,ENSAYOS!$C$5:$C$3004,F1002,ENSAYOS!$Q$5:$Q$3004,"&gt;0"))</f>
        <v/>
      </c>
      <c r="P1002" s="16" t="str">
        <f aca="false">IF(N(M1002)=0,"",AVERAGEIFS(ENSAYOS!$Q$5:$Q$3004,ENSAYOS!$C$5:$C$3004,F1002,ENSAYOS!$Q$5:$Q$3004,"&gt;0"))</f>
        <v/>
      </c>
      <c r="Q1002" s="16" t="str">
        <f aca="false">IF(N(M1002)=0,"",_xlfn.MINIFS(ENSAYOS!$Q$5:$Q$3004,ENSAYOS!$C$5:$C$3004,F1002,ENSAYOS!$Q$5:$Q$3004,"&gt;0"))</f>
        <v/>
      </c>
      <c r="R1002" s="16" t="str">
        <f aca="false">IF(N(M1002)=0,"",_xlfn.MAXIFS(ENSAYOS!$Q$5:$Q$3004,ENSAYOS!$C$5:$C$3004,F1002,ENSAYOS!$Q$5:$Q$3004,"&gt;0"))</f>
        <v/>
      </c>
      <c r="S1002" s="16" t="str">
        <f aca="false">IF(N(M1002)&lt;2,"",SQRT(MAX(0,(SUMIFS(ENSAYOS!$X$5:$X$3004,ENSAYOS!$C$5:$C$3004,F1002,ENSAYOS!$Q$5:$Q$3004,"&gt;0")-M1002*P1002^2)/(M1002-1))))</f>
        <v/>
      </c>
      <c r="T1002" s="17" t="str">
        <f aca="false">IF(S1002="","",S1002/P1002)</f>
        <v/>
      </c>
      <c r="U1002" s="16" t="str">
        <f aca="false">IF(N(M1002)=0,"",IF(N1002&gt;=CONFIG!$B$27,"",AVERAGEIFS(ENSAYOS!$Q$5:$Q$3004,ENSAYOS!$C$5:$C$3004,F1002,ENSAYOS!$Q$5:$Q$3004,"&gt;0",ENSAYOS!$G$5:$G$3004,N1002)))</f>
        <v/>
      </c>
      <c r="V1002" s="16" t="str">
        <f aca="false">IF(N(M1002)=0,"",IF(COUNTIFS(ENSAYOS!$C$5:$C$3004,F1002,ENSAYOS!$Q$5:$Q$3004,"&gt;0",ENSAYOS!$G$5:$G$3004,"&gt;="&amp;CONFIG!$B$27)=0,"",AVERAGEIFS(ENSAYOS!$Q$5:$Q$3004,ENSAYOS!$C$5:$C$3004,F1002,ENSAYOS!$Q$5:$Q$3004,"&gt;0",ENSAYOS!$G$5:$G$3004,"&gt;="&amp;CONFIG!$B$27)))</f>
        <v/>
      </c>
      <c r="W1002" s="18" t="str">
        <f aca="false">IF(AND(U1002&lt;&gt;"",V1002&lt;&gt;""),U1002/V1002,"")</f>
        <v/>
      </c>
      <c r="X1002" s="18" t="str">
        <f aca="false">IF(U1002="","",INDEX('CURVA EDAD'!$E$5:$E$32,MIN(28,MAX(1,N1002))))</f>
        <v/>
      </c>
      <c r="Y1002" s="16" t="str">
        <f aca="false">IF(V1002&lt;&gt;"",V1002,IF(U1002="","",U1002/X1002))</f>
        <v/>
      </c>
      <c r="Z1002" s="16" t="str">
        <f aca="false">IF(V1002&lt;&gt;"",_xlfn.MINIFS(ENSAYOS!$Q$5:$Q$3004,ENSAYOS!$C$5:$C$3004,F1002,ENSAYOS!$Q$5:$Q$3004,"&gt;0",ENSAYOS!$G$5:$G$3004,"&gt;="&amp;CONFIG!$B$27),IF(U1002="","",_xlfn.MINIFS(ENSAYOS!$Q$5:$Q$3004,ENSAYOS!$C$5:$C$3004,F1002,ENSAYOS!$Q$5:$Q$3004,"&gt;0",ENSAYOS!$G$5:$G$3004,N1002)/X1002))</f>
        <v/>
      </c>
      <c r="AA1002" s="16" t="str">
        <f aca="false">IF(D1002="","",IFERROR(1/(1/INDEX(CONFIG!$J$5:$J$14,MATCH(D1002,CONFIG!$D$5:$D$14,0))),""))</f>
        <v/>
      </c>
      <c r="AB1002" s="16" t="str">
        <f aca="false">IF(D1002="","",IFERROR(1/(1/INDEX(CONFIG!$K$5:$K$14,MATCH(D1002,CONFIG!$D$5:$D$14,0))),""))</f>
        <v/>
      </c>
      <c r="AC1002" s="19" t="str">
        <f aca="false">IF(N(M1002)=0,"",IF(AA1002="","Sin spec",IF(AND(Y1002&gt;=AA1002,OR(AB1002="",Z1002&gt;=AB1002)),"CUMPLE","NO CUMPLE")&amp;IF(V1002=""," (est.)","")))</f>
        <v/>
      </c>
      <c r="AD1002" s="20" t="str">
        <f aca="false">IF(F1002="","",IF(COUNTIFS(ABSORCION!$C$5:$C$1004,F1002,ABSORCION!$I$5:$I$1004,"&gt;0")=0,"",AVERAGEIFS(ABSORCION!$I$5:$I$1004,ABSORCION!$C$5:$C$1004,F1002,ABSORCION!$I$5:$I$1004,"&gt;0")))</f>
        <v/>
      </c>
      <c r="AE1002" s="20" t="str">
        <f aca="false">IF(F1002="","",IF(COUNTIFS(ABSORCION!$C$5:$C$1004,F1002,ABSORCION!$I$5:$I$1004,"&gt;0")=0,"",AVERAGEIFS(ABSORCION!$K$5:$K$1004,ABSORCION!$C$5:$C$1004,F1002,ABSORCION!$I$5:$I$1004,"&gt;0")))</f>
        <v/>
      </c>
      <c r="AF1002" s="20" t="str">
        <f aca="false">IF(AE1002="","",IF(AE1002&gt;=CONFIG!$E$21,CONFIG!$F$21,IF(AE1002&gt;=CONFIG!$E$20,CONFIG!$F$20,CONFIG!$F$19)))</f>
        <v/>
      </c>
      <c r="AG1002" s="21" t="str">
        <f aca="false">IF(F1002="","",TRIM(IF(N(M1002)=0,"Sin ensayos. ","")&amp;IF(AND(N(M1002)&gt;0,N(M1002)&lt;CONFIG!$B$26),"Menos de "&amp;CONFIG!$B$26&amp;" probetas. ","")&amp;IF(N(T1002)&gt;CONFIG!$B$25,"CV alto. ","")&amp;IF(AND(N(AD1002)&gt;0,N(AD1002)&gt;N(AF1002)),"Absorción alta. ","")))</f>
        <v/>
      </c>
      <c r="AH1002" s="22" t="str">
        <f aca="false">IF(AND(N(M1002)&gt;0,OR(CONTROL!$C$4="TODAS",C1002=CONTROL!$C$4),D1002=CONTROL!$C$5),MAX($AH$4:AH1001)+1,"")</f>
        <v/>
      </c>
      <c r="AI1002" s="22" t="str">
        <f aca="false">IF(AH1002="","",P1002^2)</f>
        <v/>
      </c>
    </row>
    <row r="1003" customFormat="false" ht="15" hidden="false" customHeight="false" outlineLevel="0" collapsed="false">
      <c r="A1003" s="11" t="str">
        <f aca="false">IF(B1003="","",ROW()-4)</f>
        <v/>
      </c>
      <c r="B1003" s="12"/>
      <c r="C1003" s="13"/>
      <c r="D1003" s="13"/>
      <c r="E1003" s="13"/>
      <c r="F1003" s="14" t="str">
        <f aca="false">IF(OR(B1003="",C1003="",D1003=""),"",IFERROR(INDEX(CONFIG!$E$5:$E$14,MATCH(D1003,CONFIG!$D$5:$D$14,0)),"?")&amp;RIGHT("0"&amp;DAY(B1003),2)&amp;RIGHT("0"&amp;MONTH(B1003),2)&amp;RIGHT(YEAR(B1003),2)&amp;C1003&amp;IF(E1003="","","-"&amp;E1003))</f>
        <v/>
      </c>
      <c r="G1003" s="13"/>
      <c r="H1003" s="13"/>
      <c r="I1003" s="13"/>
      <c r="J1003" s="13"/>
      <c r="K1003" s="13"/>
      <c r="L1003" s="13"/>
      <c r="M1003" s="11" t="str">
        <f aca="false">IF(F1003="","",COUNTIFS(ENSAYOS!$C$5:$C$3004,F1003,ENSAYOS!$Q$5:$Q$3004,"&gt;0"))</f>
        <v/>
      </c>
      <c r="N1003" s="15" t="str">
        <f aca="false">IF(N(M1003)=0,"",_xlfn.MINIFS(ENSAYOS!$G$5:$G$3004,ENSAYOS!$C$5:$C$3004,F1003,ENSAYOS!$Q$5:$Q$3004,"&gt;0"))</f>
        <v/>
      </c>
      <c r="O1003" s="15" t="str">
        <f aca="false">IF(N(M1003)=0,"",_xlfn.MAXIFS(ENSAYOS!$G$5:$G$3004,ENSAYOS!$C$5:$C$3004,F1003,ENSAYOS!$Q$5:$Q$3004,"&gt;0"))</f>
        <v/>
      </c>
      <c r="P1003" s="16" t="str">
        <f aca="false">IF(N(M1003)=0,"",AVERAGEIFS(ENSAYOS!$Q$5:$Q$3004,ENSAYOS!$C$5:$C$3004,F1003,ENSAYOS!$Q$5:$Q$3004,"&gt;0"))</f>
        <v/>
      </c>
      <c r="Q1003" s="16" t="str">
        <f aca="false">IF(N(M1003)=0,"",_xlfn.MINIFS(ENSAYOS!$Q$5:$Q$3004,ENSAYOS!$C$5:$C$3004,F1003,ENSAYOS!$Q$5:$Q$3004,"&gt;0"))</f>
        <v/>
      </c>
      <c r="R1003" s="16" t="str">
        <f aca="false">IF(N(M1003)=0,"",_xlfn.MAXIFS(ENSAYOS!$Q$5:$Q$3004,ENSAYOS!$C$5:$C$3004,F1003,ENSAYOS!$Q$5:$Q$3004,"&gt;0"))</f>
        <v/>
      </c>
      <c r="S1003" s="16" t="str">
        <f aca="false">IF(N(M1003)&lt;2,"",SQRT(MAX(0,(SUMIFS(ENSAYOS!$X$5:$X$3004,ENSAYOS!$C$5:$C$3004,F1003,ENSAYOS!$Q$5:$Q$3004,"&gt;0")-M1003*P1003^2)/(M1003-1))))</f>
        <v/>
      </c>
      <c r="T1003" s="17" t="str">
        <f aca="false">IF(S1003="","",S1003/P1003)</f>
        <v/>
      </c>
      <c r="U1003" s="16" t="str">
        <f aca="false">IF(N(M1003)=0,"",IF(N1003&gt;=CONFIG!$B$27,"",AVERAGEIFS(ENSAYOS!$Q$5:$Q$3004,ENSAYOS!$C$5:$C$3004,F1003,ENSAYOS!$Q$5:$Q$3004,"&gt;0",ENSAYOS!$G$5:$G$3004,N1003)))</f>
        <v/>
      </c>
      <c r="V1003" s="16" t="str">
        <f aca="false">IF(N(M1003)=0,"",IF(COUNTIFS(ENSAYOS!$C$5:$C$3004,F1003,ENSAYOS!$Q$5:$Q$3004,"&gt;0",ENSAYOS!$G$5:$G$3004,"&gt;="&amp;CONFIG!$B$27)=0,"",AVERAGEIFS(ENSAYOS!$Q$5:$Q$3004,ENSAYOS!$C$5:$C$3004,F1003,ENSAYOS!$Q$5:$Q$3004,"&gt;0",ENSAYOS!$G$5:$G$3004,"&gt;="&amp;CONFIG!$B$27)))</f>
        <v/>
      </c>
      <c r="W1003" s="18" t="str">
        <f aca="false">IF(AND(U1003&lt;&gt;"",V1003&lt;&gt;""),U1003/V1003,"")</f>
        <v/>
      </c>
      <c r="X1003" s="18" t="str">
        <f aca="false">IF(U1003="","",INDEX('CURVA EDAD'!$E$5:$E$32,MIN(28,MAX(1,N1003))))</f>
        <v/>
      </c>
      <c r="Y1003" s="16" t="str">
        <f aca="false">IF(V1003&lt;&gt;"",V1003,IF(U1003="","",U1003/X1003))</f>
        <v/>
      </c>
      <c r="Z1003" s="16" t="str">
        <f aca="false">IF(V1003&lt;&gt;"",_xlfn.MINIFS(ENSAYOS!$Q$5:$Q$3004,ENSAYOS!$C$5:$C$3004,F1003,ENSAYOS!$Q$5:$Q$3004,"&gt;0",ENSAYOS!$G$5:$G$3004,"&gt;="&amp;CONFIG!$B$27),IF(U1003="","",_xlfn.MINIFS(ENSAYOS!$Q$5:$Q$3004,ENSAYOS!$C$5:$C$3004,F1003,ENSAYOS!$Q$5:$Q$3004,"&gt;0",ENSAYOS!$G$5:$G$3004,N1003)/X1003))</f>
        <v/>
      </c>
      <c r="AA1003" s="16" t="str">
        <f aca="false">IF(D1003="","",IFERROR(1/(1/INDEX(CONFIG!$J$5:$J$14,MATCH(D1003,CONFIG!$D$5:$D$14,0))),""))</f>
        <v/>
      </c>
      <c r="AB1003" s="16" t="str">
        <f aca="false">IF(D1003="","",IFERROR(1/(1/INDEX(CONFIG!$K$5:$K$14,MATCH(D1003,CONFIG!$D$5:$D$14,0))),""))</f>
        <v/>
      </c>
      <c r="AC1003" s="19" t="str">
        <f aca="false">IF(N(M1003)=0,"",IF(AA1003="","Sin spec",IF(AND(Y1003&gt;=AA1003,OR(AB1003="",Z1003&gt;=AB1003)),"CUMPLE","NO CUMPLE")&amp;IF(V1003=""," (est.)","")))</f>
        <v/>
      </c>
      <c r="AD1003" s="20" t="str">
        <f aca="false">IF(F1003="","",IF(COUNTIFS(ABSORCION!$C$5:$C$1004,F1003,ABSORCION!$I$5:$I$1004,"&gt;0")=0,"",AVERAGEIFS(ABSORCION!$I$5:$I$1004,ABSORCION!$C$5:$C$1004,F1003,ABSORCION!$I$5:$I$1004,"&gt;0")))</f>
        <v/>
      </c>
      <c r="AE1003" s="20" t="str">
        <f aca="false">IF(F1003="","",IF(COUNTIFS(ABSORCION!$C$5:$C$1004,F1003,ABSORCION!$I$5:$I$1004,"&gt;0")=0,"",AVERAGEIFS(ABSORCION!$K$5:$K$1004,ABSORCION!$C$5:$C$1004,F1003,ABSORCION!$I$5:$I$1004,"&gt;0")))</f>
        <v/>
      </c>
      <c r="AF1003" s="20" t="str">
        <f aca="false">IF(AE1003="","",IF(AE1003&gt;=CONFIG!$E$21,CONFIG!$F$21,IF(AE1003&gt;=CONFIG!$E$20,CONFIG!$F$20,CONFIG!$F$19)))</f>
        <v/>
      </c>
      <c r="AG1003" s="21" t="str">
        <f aca="false">IF(F1003="","",TRIM(IF(N(M1003)=0,"Sin ensayos. ","")&amp;IF(AND(N(M1003)&gt;0,N(M1003)&lt;CONFIG!$B$26),"Menos de "&amp;CONFIG!$B$26&amp;" probetas. ","")&amp;IF(N(T1003)&gt;CONFIG!$B$25,"CV alto. ","")&amp;IF(AND(N(AD1003)&gt;0,N(AD1003)&gt;N(AF1003)),"Absorción alta. ","")))</f>
        <v/>
      </c>
      <c r="AH1003" s="22" t="str">
        <f aca="false">IF(AND(N(M1003)&gt;0,OR(CONTROL!$C$4="TODAS",C1003=CONTROL!$C$4),D1003=CONTROL!$C$5),MAX($AH$4:AH1002)+1,"")</f>
        <v/>
      </c>
      <c r="AI1003" s="22" t="str">
        <f aca="false">IF(AH1003="","",P1003^2)</f>
        <v/>
      </c>
    </row>
    <row r="1004" customFormat="false" ht="15" hidden="false" customHeight="false" outlineLevel="0" collapsed="false">
      <c r="A1004" s="11" t="str">
        <f aca="false">IF(B1004="","",ROW()-4)</f>
        <v/>
      </c>
      <c r="B1004" s="12"/>
      <c r="C1004" s="13"/>
      <c r="D1004" s="13"/>
      <c r="E1004" s="13"/>
      <c r="F1004" s="14" t="str">
        <f aca="false">IF(OR(B1004="",C1004="",D1004=""),"",IFERROR(INDEX(CONFIG!$E$5:$E$14,MATCH(D1004,CONFIG!$D$5:$D$14,0)),"?")&amp;RIGHT("0"&amp;DAY(B1004),2)&amp;RIGHT("0"&amp;MONTH(B1004),2)&amp;RIGHT(YEAR(B1004),2)&amp;C1004&amp;IF(E1004="","","-"&amp;E1004))</f>
        <v/>
      </c>
      <c r="G1004" s="13"/>
      <c r="H1004" s="13"/>
      <c r="I1004" s="13"/>
      <c r="J1004" s="13"/>
      <c r="K1004" s="13"/>
      <c r="L1004" s="13"/>
      <c r="M1004" s="11" t="str">
        <f aca="false">IF(F1004="","",COUNTIFS(ENSAYOS!$C$5:$C$3004,F1004,ENSAYOS!$Q$5:$Q$3004,"&gt;0"))</f>
        <v/>
      </c>
      <c r="N1004" s="15" t="str">
        <f aca="false">IF(N(M1004)=0,"",_xlfn.MINIFS(ENSAYOS!$G$5:$G$3004,ENSAYOS!$C$5:$C$3004,F1004,ENSAYOS!$Q$5:$Q$3004,"&gt;0"))</f>
        <v/>
      </c>
      <c r="O1004" s="15" t="str">
        <f aca="false">IF(N(M1004)=0,"",_xlfn.MAXIFS(ENSAYOS!$G$5:$G$3004,ENSAYOS!$C$5:$C$3004,F1004,ENSAYOS!$Q$5:$Q$3004,"&gt;0"))</f>
        <v/>
      </c>
      <c r="P1004" s="16" t="str">
        <f aca="false">IF(N(M1004)=0,"",AVERAGEIFS(ENSAYOS!$Q$5:$Q$3004,ENSAYOS!$C$5:$C$3004,F1004,ENSAYOS!$Q$5:$Q$3004,"&gt;0"))</f>
        <v/>
      </c>
      <c r="Q1004" s="16" t="str">
        <f aca="false">IF(N(M1004)=0,"",_xlfn.MINIFS(ENSAYOS!$Q$5:$Q$3004,ENSAYOS!$C$5:$C$3004,F1004,ENSAYOS!$Q$5:$Q$3004,"&gt;0"))</f>
        <v/>
      </c>
      <c r="R1004" s="16" t="str">
        <f aca="false">IF(N(M1004)=0,"",_xlfn.MAXIFS(ENSAYOS!$Q$5:$Q$3004,ENSAYOS!$C$5:$C$3004,F1004,ENSAYOS!$Q$5:$Q$3004,"&gt;0"))</f>
        <v/>
      </c>
      <c r="S1004" s="16" t="str">
        <f aca="false">IF(N(M1004)&lt;2,"",SQRT(MAX(0,(SUMIFS(ENSAYOS!$X$5:$X$3004,ENSAYOS!$C$5:$C$3004,F1004,ENSAYOS!$Q$5:$Q$3004,"&gt;0")-M1004*P1004^2)/(M1004-1))))</f>
        <v/>
      </c>
      <c r="T1004" s="17" t="str">
        <f aca="false">IF(S1004="","",S1004/P1004)</f>
        <v/>
      </c>
      <c r="U1004" s="16" t="str">
        <f aca="false">IF(N(M1004)=0,"",IF(N1004&gt;=CONFIG!$B$27,"",AVERAGEIFS(ENSAYOS!$Q$5:$Q$3004,ENSAYOS!$C$5:$C$3004,F1004,ENSAYOS!$Q$5:$Q$3004,"&gt;0",ENSAYOS!$G$5:$G$3004,N1004)))</f>
        <v/>
      </c>
      <c r="V1004" s="16" t="str">
        <f aca="false">IF(N(M1004)=0,"",IF(COUNTIFS(ENSAYOS!$C$5:$C$3004,F1004,ENSAYOS!$Q$5:$Q$3004,"&gt;0",ENSAYOS!$G$5:$G$3004,"&gt;="&amp;CONFIG!$B$27)=0,"",AVERAGEIFS(ENSAYOS!$Q$5:$Q$3004,ENSAYOS!$C$5:$C$3004,F1004,ENSAYOS!$Q$5:$Q$3004,"&gt;0",ENSAYOS!$G$5:$G$3004,"&gt;="&amp;CONFIG!$B$27)))</f>
        <v/>
      </c>
      <c r="W1004" s="18" t="str">
        <f aca="false">IF(AND(U1004&lt;&gt;"",V1004&lt;&gt;""),U1004/V1004,"")</f>
        <v/>
      </c>
      <c r="X1004" s="18" t="str">
        <f aca="false">IF(U1004="","",INDEX('CURVA EDAD'!$E$5:$E$32,MIN(28,MAX(1,N1004))))</f>
        <v/>
      </c>
      <c r="Y1004" s="16" t="str">
        <f aca="false">IF(V1004&lt;&gt;"",V1004,IF(U1004="","",U1004/X1004))</f>
        <v/>
      </c>
      <c r="Z1004" s="16" t="str">
        <f aca="false">IF(V1004&lt;&gt;"",_xlfn.MINIFS(ENSAYOS!$Q$5:$Q$3004,ENSAYOS!$C$5:$C$3004,F1004,ENSAYOS!$Q$5:$Q$3004,"&gt;0",ENSAYOS!$G$5:$G$3004,"&gt;="&amp;CONFIG!$B$27),IF(U1004="","",_xlfn.MINIFS(ENSAYOS!$Q$5:$Q$3004,ENSAYOS!$C$5:$C$3004,F1004,ENSAYOS!$Q$5:$Q$3004,"&gt;0",ENSAYOS!$G$5:$G$3004,N1004)/X1004))</f>
        <v/>
      </c>
      <c r="AA1004" s="16" t="str">
        <f aca="false">IF(D1004="","",IFERROR(1/(1/INDEX(CONFIG!$J$5:$J$14,MATCH(D1004,CONFIG!$D$5:$D$14,0))),""))</f>
        <v/>
      </c>
      <c r="AB1004" s="16" t="str">
        <f aca="false">IF(D1004="","",IFERROR(1/(1/INDEX(CONFIG!$K$5:$K$14,MATCH(D1004,CONFIG!$D$5:$D$14,0))),""))</f>
        <v/>
      </c>
      <c r="AC1004" s="19" t="str">
        <f aca="false">IF(N(M1004)=0,"",IF(AA1004="","Sin spec",IF(AND(Y1004&gt;=AA1004,OR(AB1004="",Z1004&gt;=AB1004)),"CUMPLE","NO CUMPLE")&amp;IF(V1004=""," (est.)","")))</f>
        <v/>
      </c>
      <c r="AD1004" s="20" t="str">
        <f aca="false">IF(F1004="","",IF(COUNTIFS(ABSORCION!$C$5:$C$1004,F1004,ABSORCION!$I$5:$I$1004,"&gt;0")=0,"",AVERAGEIFS(ABSORCION!$I$5:$I$1004,ABSORCION!$C$5:$C$1004,F1004,ABSORCION!$I$5:$I$1004,"&gt;0")))</f>
        <v/>
      </c>
      <c r="AE1004" s="20" t="str">
        <f aca="false">IF(F1004="","",IF(COUNTIFS(ABSORCION!$C$5:$C$1004,F1004,ABSORCION!$I$5:$I$1004,"&gt;0")=0,"",AVERAGEIFS(ABSORCION!$K$5:$K$1004,ABSORCION!$C$5:$C$1004,F1004,ABSORCION!$I$5:$I$1004,"&gt;0")))</f>
        <v/>
      </c>
      <c r="AF1004" s="20" t="str">
        <f aca="false">IF(AE1004="","",IF(AE1004&gt;=CONFIG!$E$21,CONFIG!$F$21,IF(AE1004&gt;=CONFIG!$E$20,CONFIG!$F$20,CONFIG!$F$19)))</f>
        <v/>
      </c>
      <c r="AG1004" s="21" t="str">
        <f aca="false">IF(F1004="","",TRIM(IF(N(M1004)=0,"Sin ensayos. ","")&amp;IF(AND(N(M1004)&gt;0,N(M1004)&lt;CONFIG!$B$26),"Menos de "&amp;CONFIG!$B$26&amp;" probetas. ","")&amp;IF(N(T1004)&gt;CONFIG!$B$25,"CV alto. ","")&amp;IF(AND(N(AD1004)&gt;0,N(AD1004)&gt;N(AF1004)),"Absorción alta. ","")))</f>
        <v/>
      </c>
      <c r="AH1004" s="22" t="str">
        <f aca="false">IF(AND(N(M1004)&gt;0,OR(CONTROL!$C$4="TODAS",C1004=CONTROL!$C$4),D1004=CONTROL!$C$5),MAX($AH$4:AH1003)+1,"")</f>
        <v/>
      </c>
      <c r="AI1004" s="22" t="str">
        <f aca="false">IF(AH1004="","",P1004^2)</f>
        <v/>
      </c>
    </row>
  </sheetData>
  <sheetProtection sheet="true" formatCells="false" formatColumns="false" formatRows="false" sort="false" autoFilter="false"/>
  <autoFilter ref="A4:AG1004"/>
  <conditionalFormatting sqref="F5:F1004">
    <cfRule type="expression" priority="2" aboveAverage="0" equalAverage="0" bottom="0" percent="0" rank="0" text="" dxfId="12">
      <formula>AND(F5&lt;&gt;"",COUNTIF($F$5:$F$1004,F5)&gt;1)</formula>
    </cfRule>
  </conditionalFormatting>
  <conditionalFormatting sqref="AC5:AC1004">
    <cfRule type="expression" priority="3" aboveAverage="0" equalAverage="0" bottom="0" percent="0" rank="0" text="" dxfId="13">
      <formula>ISNUMBER(SEARCH("NO CUMPLE",AC5))</formula>
    </cfRule>
    <cfRule type="expression" priority="4" aboveAverage="0" equalAverage="0" bottom="0" percent="0" rank="0" text="" dxfId="14">
      <formula>LEFT(AC5,6)="CUMPLE"</formula>
    </cfRule>
  </conditionalFormatting>
  <conditionalFormatting sqref="P5:P1004">
    <cfRule type="dataBar" priority="5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{70905484-85A6-494F-A480-E86AF8BB8D28}</x14:id>
        </ext>
      </extLst>
    </cfRule>
  </conditionalFormatting>
  <conditionalFormatting sqref="T5:T1004">
    <cfRule type="expression" priority="6" aboveAverage="0" equalAverage="0" bottom="0" percent="0" rank="0" text="" dxfId="15">
      <formula>N(T5)&gt;CONFIG!$B$25</formula>
    </cfRule>
  </conditionalFormatting>
  <conditionalFormatting sqref="AD5:AD1004">
    <cfRule type="expression" priority="7" aboveAverage="0" equalAverage="0" bottom="0" percent="0" rank="0" text="" dxfId="12">
      <formula>AND(N(AD5)&gt;0,N(AD5)&gt;N(AF5))</formula>
    </cfRule>
  </conditionalFormatting>
  <dataValidations count="5">
    <dataValidation allowBlank="true" errorStyle="stop" operator="between" showDropDown="false" showErrorMessage="true" showInputMessage="false" sqref="C5:C1004" type="list">
      <formula1>CONFIG!$A$5:$A$14</formula1>
      <formula2>0</formula2>
    </dataValidation>
    <dataValidation allowBlank="true" errorStyle="stop" operator="between" showDropDown="false" showErrorMessage="true" showInputMessage="false" sqref="D5:D1004" type="list">
      <formula1>CONFIG!$D$5:$D$14</formula1>
      <formula2>0</formula2>
    </dataValidation>
    <dataValidation allowBlank="true" errorStyle="stop" operator="between" showDropDown="false" showErrorMessage="false" showInputMessage="false" sqref="H5:H1004" type="list">
      <formula1>CONFIG!$P$5:$P$19</formula1>
      <formula2>0</formula2>
    </dataValidation>
    <dataValidation allowBlank="true" errorStyle="stop" operator="between" showDropDown="false" showErrorMessage="false" showInputMessage="false" sqref="I5:I1004" type="list">
      <formula1>CONFIG!$Q$5:$Q$19</formula1>
      <formula2>0</formula2>
    </dataValidation>
    <dataValidation allowBlank="true" error="Fecha inválida" errorStyle="stop" errorTitle="Fecha" operator="greaterThan" showDropDown="false" showErrorMessage="false" showInputMessage="false" sqref="B5:B1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905484-85A6-494F-A480-E86AF8BB8D28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P5:P1004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4" min="11" style="0" width="8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30"/>
    <col collapsed="false" customWidth="true" hidden="false" outlineLevel="0" max="23" min="23" style="0" width="14"/>
    <col collapsed="false" customWidth="true" hidden="true" outlineLevel="0" max="25" min="24" style="0" width="5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5" t="s">
        <v>108</v>
      </c>
    </row>
    <row r="4" customFormat="false" ht="45" hidden="false" customHeight="true" outlineLevel="0" collapsed="false">
      <c r="A4" s="7" t="s">
        <v>48</v>
      </c>
      <c r="B4" s="7" t="s">
        <v>109</v>
      </c>
      <c r="C4" s="7" t="s">
        <v>53</v>
      </c>
      <c r="D4" s="7" t="s">
        <v>51</v>
      </c>
      <c r="E4" s="7" t="s">
        <v>50</v>
      </c>
      <c r="F4" s="7" t="s">
        <v>49</v>
      </c>
      <c r="G4" s="7" t="s">
        <v>110</v>
      </c>
      <c r="H4" s="7" t="s">
        <v>111</v>
      </c>
      <c r="I4" s="7" t="s">
        <v>112</v>
      </c>
      <c r="J4" s="7" t="s">
        <v>113</v>
      </c>
      <c r="K4" s="7" t="s">
        <v>114</v>
      </c>
      <c r="L4" s="7" t="s">
        <v>115</v>
      </c>
      <c r="M4" s="7" t="s">
        <v>116</v>
      </c>
      <c r="N4" s="7" t="s">
        <v>117</v>
      </c>
      <c r="O4" s="7" t="s">
        <v>118</v>
      </c>
      <c r="P4" s="7" t="s">
        <v>119</v>
      </c>
      <c r="Q4" s="7" t="s">
        <v>120</v>
      </c>
      <c r="R4" s="7" t="s">
        <v>121</v>
      </c>
      <c r="S4" s="7" t="s">
        <v>122</v>
      </c>
      <c r="T4" s="7" t="s">
        <v>123</v>
      </c>
      <c r="U4" s="7" t="s">
        <v>124</v>
      </c>
      <c r="V4" s="7" t="s">
        <v>125</v>
      </c>
      <c r="W4" s="7" t="s">
        <v>126</v>
      </c>
      <c r="X4" s="7" t="s">
        <v>127</v>
      </c>
      <c r="Y4" s="7" t="s">
        <v>128</v>
      </c>
    </row>
    <row r="5" customFormat="false" ht="15" hidden="false" customHeight="false" outlineLevel="0" collapsed="false">
      <c r="A5" s="11" t="n">
        <f aca="false">IF(C5="","",ROW()-4)</f>
        <v>1</v>
      </c>
      <c r="B5" s="12" t="n">
        <v>45554</v>
      </c>
      <c r="C5" s="13" t="s">
        <v>129</v>
      </c>
      <c r="D5" s="23" t="str">
        <f aca="false">IF(C5="","",IFERROR(INDEX(LOTES!$D$5:$D$1004,MATCH(C5,LOTES!$F$5:$F$1004,0)),"¿Lote?"))</f>
        <v>Block 8"</v>
      </c>
      <c r="E5" s="11" t="str">
        <f aca="false">IF(C5="","",IFERROR(INDEX(LOTES!$C$5:$C$1004,MATCH(C5,LOTES!$F$5:$F$1004,0)),""))</f>
        <v>P1</v>
      </c>
      <c r="F5" s="24" t="n">
        <f aca="false">IF(C5="","",IFERROR(INDEX(LOTES!$B$5:$B$1004,MATCH(C5,LOTES!$F$5:$F$1004,0)),""))</f>
        <v>45551</v>
      </c>
      <c r="G5" s="15" t="n">
        <f aca="false">IF(OR(B5="",F5=""),"",B5-F5)</f>
        <v>3</v>
      </c>
      <c r="H5" s="13" t="s">
        <v>130</v>
      </c>
      <c r="I5" s="13" t="s">
        <v>131</v>
      </c>
      <c r="J5" s="13"/>
      <c r="K5" s="25" t="n">
        <v>19.4</v>
      </c>
      <c r="L5" s="25" t="n">
        <v>19.4</v>
      </c>
      <c r="M5" s="25" t="n">
        <v>39.4</v>
      </c>
      <c r="N5" s="25"/>
      <c r="O5" s="26" t="n">
        <v>75187</v>
      </c>
      <c r="P5" s="16" t="n">
        <f aca="false">IF(O5="","",IFERROR(1/(1/(IF(K5="",INDEX(CONFIG!$F$5:$F$14,MATCH(D5,CONFIG!$D$5:$D$14,0)),K5)*IF(M5="",INDEX(CONFIG!$H$5:$H$14,MATCH(D5,CONFIG!$D$5:$D$14,0)),M5))),""))</f>
        <v>764.36</v>
      </c>
      <c r="Q5" s="16" t="n">
        <f aca="false">IF(OR(O5="",P5=""),"",O5/P5)</f>
        <v>98.3659532157622</v>
      </c>
      <c r="R5" s="16" t="n">
        <f aca="false">IF(Q5="","",Q5*0.0980665)</f>
        <v>9.64640475103355</v>
      </c>
      <c r="S5" s="16" t="str">
        <f aca="false">IF(Q5="","",IFERROR(Q5/(1/(1/INDEX(CONFIG!$I$5:$I$14,MATCH(D5,CONFIG!$D$5:$D$14,0)))),""))</f>
        <v/>
      </c>
      <c r="T5" s="13"/>
      <c r="U5" s="13"/>
      <c r="V5" s="13"/>
      <c r="W5" s="13"/>
      <c r="X5" s="22" t="n">
        <f aca="false">IF(Q5="","",Q5^2)</f>
        <v>9675.86075204552</v>
      </c>
      <c r="Y5" s="22" t="str">
        <f aca="false">IF(AND(C5&lt;&gt;"",C5=CERTIFICADO!$E$4,OR(CERTIFICADO!$E$5="",B5=CERTIFICADO!$E$5)),MAX($Y$4:Y4)+1,"")</f>
        <v/>
      </c>
    </row>
    <row r="6" customFormat="false" ht="15" hidden="false" customHeight="false" outlineLevel="0" collapsed="false">
      <c r="A6" s="11" t="n">
        <f aca="false">IF(C6="","",ROW()-4)</f>
        <v>2</v>
      </c>
      <c r="B6" s="12" t="n">
        <v>45554</v>
      </c>
      <c r="C6" s="13" t="s">
        <v>129</v>
      </c>
      <c r="D6" s="23" t="str">
        <f aca="false">IF(C6="","",IFERROR(INDEX(LOTES!$D$5:$D$1004,MATCH(C6,LOTES!$F$5:$F$1004,0)),"¿Lote?"))</f>
        <v>Block 8"</v>
      </c>
      <c r="E6" s="11" t="str">
        <f aca="false">IF(C6="","",IFERROR(INDEX(LOTES!$C$5:$C$1004,MATCH(C6,LOTES!$F$5:$F$1004,0)),""))</f>
        <v>P1</v>
      </c>
      <c r="F6" s="24" t="n">
        <f aca="false">IF(C6="","",IFERROR(INDEX(LOTES!$B$5:$B$1004,MATCH(C6,LOTES!$F$5:$F$1004,0)),""))</f>
        <v>45551</v>
      </c>
      <c r="G6" s="15" t="n">
        <f aca="false">IF(OR(B6="",F6=""),"",B6-F6)</f>
        <v>3</v>
      </c>
      <c r="H6" s="13" t="s">
        <v>130</v>
      </c>
      <c r="I6" s="13" t="s">
        <v>131</v>
      </c>
      <c r="J6" s="13"/>
      <c r="K6" s="25" t="n">
        <v>19.4</v>
      </c>
      <c r="L6" s="25" t="n">
        <v>19.4</v>
      </c>
      <c r="M6" s="25" t="n">
        <v>39.4</v>
      </c>
      <c r="N6" s="25"/>
      <c r="O6" s="26" t="n">
        <v>61116</v>
      </c>
      <c r="P6" s="16" t="n">
        <f aca="false">IF(O6="","",IFERROR(1/(1/(IF(K6="",INDEX(CONFIG!$F$5:$F$14,MATCH(D6,CONFIG!$D$5:$D$14,0)),K6)*IF(M6="",INDEX(CONFIG!$H$5:$H$14,MATCH(D6,CONFIG!$D$5:$D$14,0)),M6))),""))</f>
        <v>764.36</v>
      </c>
      <c r="Q6" s="16" t="n">
        <f aca="false">IF(OR(O6="",P6=""),"",O6/P6)</f>
        <v>79.957088283008</v>
      </c>
      <c r="R6" s="16" t="n">
        <f aca="false">IF(Q6="","",Q6*0.0980665)</f>
        <v>7.84111179810561</v>
      </c>
      <c r="S6" s="16" t="str">
        <f aca="false">IF(Q6="","",IFERROR(Q6/(1/(1/INDEX(CONFIG!$I$5:$I$14,MATCH(D6,CONFIG!$D$5:$D$14,0)))),""))</f>
        <v/>
      </c>
      <c r="T6" s="13"/>
      <c r="U6" s="13"/>
      <c r="V6" s="13"/>
      <c r="W6" s="13"/>
      <c r="X6" s="22" t="n">
        <f aca="false">IF(Q6="","",Q6^2)</f>
        <v>6393.13596669674</v>
      </c>
      <c r="Y6" s="22" t="str">
        <f aca="false">IF(AND(C6&lt;&gt;"",C6=CERTIFICADO!$E$4,OR(CERTIFICADO!$E$5="",B6=CERTIFICADO!$E$5)),MAX($Y$4:Y5)+1,"")</f>
        <v/>
      </c>
    </row>
    <row r="7" customFormat="false" ht="15" hidden="false" customHeight="false" outlineLevel="0" collapsed="false">
      <c r="A7" s="11" t="n">
        <f aca="false">IF(C7="","",ROW()-4)</f>
        <v>3</v>
      </c>
      <c r="B7" s="12" t="n">
        <v>45554</v>
      </c>
      <c r="C7" s="13" t="s">
        <v>129</v>
      </c>
      <c r="D7" s="23" t="str">
        <f aca="false">IF(C7="","",IFERROR(INDEX(LOTES!$D$5:$D$1004,MATCH(C7,LOTES!$F$5:$F$1004,0)),"¿Lote?"))</f>
        <v>Block 8"</v>
      </c>
      <c r="E7" s="11" t="str">
        <f aca="false">IF(C7="","",IFERROR(INDEX(LOTES!$C$5:$C$1004,MATCH(C7,LOTES!$F$5:$F$1004,0)),""))</f>
        <v>P1</v>
      </c>
      <c r="F7" s="24" t="n">
        <f aca="false">IF(C7="","",IFERROR(INDEX(LOTES!$B$5:$B$1004,MATCH(C7,LOTES!$F$5:$F$1004,0)),""))</f>
        <v>45551</v>
      </c>
      <c r="G7" s="15" t="n">
        <f aca="false">IF(OR(B7="",F7=""),"",B7-F7)</f>
        <v>3</v>
      </c>
      <c r="H7" s="13" t="s">
        <v>130</v>
      </c>
      <c r="I7" s="13" t="s">
        <v>131</v>
      </c>
      <c r="J7" s="13"/>
      <c r="K7" s="25" t="n">
        <v>19.4</v>
      </c>
      <c r="L7" s="25" t="n">
        <v>19.4</v>
      </c>
      <c r="M7" s="25" t="n">
        <v>39.4</v>
      </c>
      <c r="N7" s="25"/>
      <c r="O7" s="26" t="n">
        <v>55574</v>
      </c>
      <c r="P7" s="16" t="n">
        <f aca="false">IF(O7="","",IFERROR(1/(1/(IF(K7="",INDEX(CONFIG!$F$5:$F$14,MATCH(D7,CONFIG!$D$5:$D$14,0)),K7)*IF(M7="",INDEX(CONFIG!$H$5:$H$14,MATCH(D7,CONFIG!$D$5:$D$14,0)),M7))),""))</f>
        <v>764.36</v>
      </c>
      <c r="Q7" s="16" t="n">
        <f aca="false">IF(OR(O7="",P7=""),"",O7/P7)</f>
        <v>72.7065780522267</v>
      </c>
      <c r="R7" s="16" t="n">
        <f aca="false">IF(Q7="","",Q7*0.0980665)</f>
        <v>7.13007963655869</v>
      </c>
      <c r="S7" s="16" t="str">
        <f aca="false">IF(Q7="","",IFERROR(Q7/(1/(1/INDEX(CONFIG!$I$5:$I$14,MATCH(D7,CONFIG!$D$5:$D$14,0)))),""))</f>
        <v/>
      </c>
      <c r="T7" s="13"/>
      <c r="U7" s="13"/>
      <c r="V7" s="13"/>
      <c r="W7" s="13"/>
      <c r="X7" s="22" t="n">
        <f aca="false">IF(Q7="","",Q7^2)</f>
        <v>5286.24649206453</v>
      </c>
      <c r="Y7" s="22" t="str">
        <f aca="false">IF(AND(C7&lt;&gt;"",C7=CERTIFICADO!$E$4,OR(CERTIFICADO!$E$5="",B7=CERTIFICADO!$E$5)),MAX($Y$4:Y6)+1,"")</f>
        <v/>
      </c>
    </row>
    <row r="8" customFormat="false" ht="15" hidden="false" customHeight="false" outlineLevel="0" collapsed="false">
      <c r="A8" s="11" t="n">
        <f aca="false">IF(C8="","",ROW()-4)</f>
        <v>4</v>
      </c>
      <c r="B8" s="12" t="n">
        <v>45554</v>
      </c>
      <c r="C8" s="13" t="s">
        <v>129</v>
      </c>
      <c r="D8" s="23" t="str">
        <f aca="false">IF(C8="","",IFERROR(INDEX(LOTES!$D$5:$D$1004,MATCH(C8,LOTES!$F$5:$F$1004,0)),"¿Lote?"))</f>
        <v>Block 8"</v>
      </c>
      <c r="E8" s="11" t="str">
        <f aca="false">IF(C8="","",IFERROR(INDEX(LOTES!$C$5:$C$1004,MATCH(C8,LOTES!$F$5:$F$1004,0)),""))</f>
        <v>P1</v>
      </c>
      <c r="F8" s="24" t="n">
        <f aca="false">IF(C8="","",IFERROR(INDEX(LOTES!$B$5:$B$1004,MATCH(C8,LOTES!$F$5:$F$1004,0)),""))</f>
        <v>45551</v>
      </c>
      <c r="G8" s="15" t="n">
        <f aca="false">IF(OR(B8="",F8=""),"",B8-F8)</f>
        <v>3</v>
      </c>
      <c r="H8" s="13" t="s">
        <v>130</v>
      </c>
      <c r="I8" s="13" t="s">
        <v>131</v>
      </c>
      <c r="J8" s="13"/>
      <c r="K8" s="25" t="n">
        <v>19.4</v>
      </c>
      <c r="L8" s="25" t="n">
        <v>19.4</v>
      </c>
      <c r="M8" s="25" t="n">
        <v>39.4</v>
      </c>
      <c r="N8" s="25"/>
      <c r="O8" s="26" t="n">
        <v>59348</v>
      </c>
      <c r="P8" s="16" t="n">
        <f aca="false">IF(O8="","",IFERROR(1/(1/(IF(K8="",INDEX(CONFIG!$F$5:$F$14,MATCH(D8,CONFIG!$D$5:$D$14,0)),K8)*IF(M8="",INDEX(CONFIG!$H$5:$H$14,MATCH(D8,CONFIG!$D$5:$D$14,0)),M8))),""))</f>
        <v>764.36</v>
      </c>
      <c r="Q8" s="16" t="n">
        <f aca="false">IF(OR(O8="",P8=""),"",O8/P8)</f>
        <v>77.6440420744152</v>
      </c>
      <c r="R8" s="16" t="n">
        <f aca="false">IF(Q8="","",Q8*0.0980665)</f>
        <v>7.61427945209064</v>
      </c>
      <c r="S8" s="16" t="str">
        <f aca="false">IF(Q8="","",IFERROR(Q8/(1/(1/INDEX(CONFIG!$I$5:$I$14,MATCH(D8,CONFIG!$D$5:$D$14,0)))),""))</f>
        <v/>
      </c>
      <c r="T8" s="13"/>
      <c r="U8" s="13"/>
      <c r="V8" s="13"/>
      <c r="W8" s="13"/>
      <c r="X8" s="22" t="n">
        <f aca="false">IF(Q8="","",Q8^2)</f>
        <v>6028.59726965356</v>
      </c>
      <c r="Y8" s="22" t="str">
        <f aca="false">IF(AND(C8&lt;&gt;"",C8=CERTIFICADO!$E$4,OR(CERTIFICADO!$E$5="",B8=CERTIFICADO!$E$5)),MAX($Y$4:Y7)+1,"")</f>
        <v/>
      </c>
    </row>
    <row r="9" customFormat="false" ht="15" hidden="false" customHeight="false" outlineLevel="0" collapsed="false">
      <c r="A9" s="11" t="n">
        <f aca="false">IF(C9="","",ROW()-4)</f>
        <v>5</v>
      </c>
      <c r="B9" s="12" t="n">
        <v>45554</v>
      </c>
      <c r="C9" s="13" t="s">
        <v>129</v>
      </c>
      <c r="D9" s="23" t="str">
        <f aca="false">IF(C9="","",IFERROR(INDEX(LOTES!$D$5:$D$1004,MATCH(C9,LOTES!$F$5:$F$1004,0)),"¿Lote?"))</f>
        <v>Block 8"</v>
      </c>
      <c r="E9" s="11" t="str">
        <f aca="false">IF(C9="","",IFERROR(INDEX(LOTES!$C$5:$C$1004,MATCH(C9,LOTES!$F$5:$F$1004,0)),""))</f>
        <v>P1</v>
      </c>
      <c r="F9" s="24" t="n">
        <f aca="false">IF(C9="","",IFERROR(INDEX(LOTES!$B$5:$B$1004,MATCH(C9,LOTES!$F$5:$F$1004,0)),""))</f>
        <v>45551</v>
      </c>
      <c r="G9" s="15" t="n">
        <f aca="false">IF(OR(B9="",F9=""),"",B9-F9)</f>
        <v>3</v>
      </c>
      <c r="H9" s="13" t="s">
        <v>130</v>
      </c>
      <c r="I9" s="13" t="s">
        <v>131</v>
      </c>
      <c r="J9" s="13"/>
      <c r="K9" s="25"/>
      <c r="L9" s="25"/>
      <c r="M9" s="25"/>
      <c r="N9" s="25"/>
      <c r="O9" s="26" t="n">
        <v>44000</v>
      </c>
      <c r="P9" s="16" t="n">
        <f aca="false">IF(O9="","",IFERROR(1/(1/(IF(K9="",INDEX(CONFIG!$F$5:$F$14,MATCH(D9,CONFIG!$D$5:$D$14,0)),K9)*IF(M9="",INDEX(CONFIG!$H$5:$H$14,MATCH(D9,CONFIG!$D$5:$D$14,0)),M9))),""))</f>
        <v>770.25</v>
      </c>
      <c r="Q9" s="16" t="n">
        <f aca="false">IF(OR(O9="",P9=""),"",O9/P9)</f>
        <v>57.1243102888673</v>
      </c>
      <c r="R9" s="16" t="n">
        <f aca="false">IF(Q9="","",Q9*0.0980665)</f>
        <v>5.6019811749432</v>
      </c>
      <c r="S9" s="16" t="str">
        <f aca="false">IF(Q9="","",IFERROR(Q9/(1/(1/INDEX(CONFIG!$I$5:$I$14,MATCH(D9,CONFIG!$D$5:$D$14,0)))),""))</f>
        <v/>
      </c>
      <c r="T9" s="13"/>
      <c r="U9" s="13"/>
      <c r="V9" s="13"/>
      <c r="W9" s="13"/>
      <c r="X9" s="22" t="n">
        <f aca="false">IF(Q9="","",Q9^2)</f>
        <v>3263.18682597879</v>
      </c>
      <c r="Y9" s="22" t="str">
        <f aca="false">IF(AND(C9&lt;&gt;"",C9=CERTIFICADO!$E$4,OR(CERTIFICADO!$E$5="",B9=CERTIFICADO!$E$5)),MAX($Y$4:Y8)+1,"")</f>
        <v/>
      </c>
    </row>
    <row r="10" customFormat="false" ht="15" hidden="false" customHeight="false" outlineLevel="0" collapsed="false">
      <c r="A10" s="11" t="n">
        <f aca="false">IF(C10="","",ROW()-4)</f>
        <v>6</v>
      </c>
      <c r="B10" s="12" t="n">
        <v>45615</v>
      </c>
      <c r="C10" s="13" t="s">
        <v>132</v>
      </c>
      <c r="D10" s="23" t="str">
        <f aca="false">IF(C10="","",IFERROR(INDEX(LOTES!$D$5:$D$1004,MATCH(C10,LOTES!$F$5:$F$1004,0)),"¿Lote?"))</f>
        <v>Block 8"</v>
      </c>
      <c r="E10" s="11" t="str">
        <f aca="false">IF(C10="","",IFERROR(INDEX(LOTES!$C$5:$C$1004,MATCH(C10,LOTES!$F$5:$F$1004,0)),""))</f>
        <v>P1</v>
      </c>
      <c r="F10" s="24" t="n">
        <f aca="false">IF(C10="","",IFERROR(INDEX(LOTES!$B$5:$B$1004,MATCH(C10,LOTES!$F$5:$F$1004,0)),""))</f>
        <v>45612</v>
      </c>
      <c r="G10" s="15" t="n">
        <f aca="false">IF(OR(B10="",F10=""),"",B10-F10)</f>
        <v>3</v>
      </c>
      <c r="H10" s="13" t="s">
        <v>130</v>
      </c>
      <c r="I10" s="13" t="s">
        <v>131</v>
      </c>
      <c r="J10" s="13" t="s">
        <v>133</v>
      </c>
      <c r="K10" s="25" t="n">
        <v>19.4</v>
      </c>
      <c r="L10" s="25" t="n">
        <v>19.4</v>
      </c>
      <c r="M10" s="25" t="n">
        <v>39.4</v>
      </c>
      <c r="N10" s="25"/>
      <c r="O10" s="26" t="n">
        <v>62790</v>
      </c>
      <c r="P10" s="16" t="n">
        <f aca="false">IF(O10="","",IFERROR(1/(1/(IF(K10="",INDEX(CONFIG!$F$5:$F$14,MATCH(D10,CONFIG!$D$5:$D$14,0)),K10)*IF(M10="",INDEX(CONFIG!$H$5:$H$14,MATCH(D10,CONFIG!$D$5:$D$14,0)),M10))),""))</f>
        <v>764.36</v>
      </c>
      <c r="Q10" s="16" t="n">
        <f aca="false">IF(OR(O10="",P10=""),"",O10/P10)</f>
        <v>82.1471557904652</v>
      </c>
      <c r="R10" s="16" t="n">
        <f aca="false">IF(Q10="","",Q10*0.0980665)</f>
        <v>8.05588405332566</v>
      </c>
      <c r="S10" s="16" t="str">
        <f aca="false">IF(Q10="","",IFERROR(Q10/(1/(1/INDEX(CONFIG!$I$5:$I$14,MATCH(D10,CONFIG!$D$5:$D$14,0)))),""))</f>
        <v/>
      </c>
      <c r="T10" s="13"/>
      <c r="U10" s="13"/>
      <c r="V10" s="13"/>
      <c r="W10" s="13"/>
      <c r="X10" s="22" t="n">
        <f aca="false">IF(Q10="","",Q10^2)</f>
        <v>6748.15520446297</v>
      </c>
      <c r="Y10" s="22" t="str">
        <f aca="false">IF(AND(C10&lt;&gt;"",C10=CERTIFICADO!$E$4,OR(CERTIFICADO!$E$5="",B10=CERTIFICADO!$E$5)),MAX($Y$4:Y9)+1,"")</f>
        <v/>
      </c>
    </row>
    <row r="11" customFormat="false" ht="15" hidden="false" customHeight="false" outlineLevel="0" collapsed="false">
      <c r="A11" s="11" t="n">
        <f aca="false">IF(C11="","",ROW()-4)</f>
        <v>7</v>
      </c>
      <c r="B11" s="12" t="n">
        <v>45615</v>
      </c>
      <c r="C11" s="13" t="s">
        <v>132</v>
      </c>
      <c r="D11" s="23" t="str">
        <f aca="false">IF(C11="","",IFERROR(INDEX(LOTES!$D$5:$D$1004,MATCH(C11,LOTES!$F$5:$F$1004,0)),"¿Lote?"))</f>
        <v>Block 8"</v>
      </c>
      <c r="E11" s="11" t="str">
        <f aca="false">IF(C11="","",IFERROR(INDEX(LOTES!$C$5:$C$1004,MATCH(C11,LOTES!$F$5:$F$1004,0)),""))</f>
        <v>P1</v>
      </c>
      <c r="F11" s="24" t="n">
        <f aca="false">IF(C11="","",IFERROR(INDEX(LOTES!$B$5:$B$1004,MATCH(C11,LOTES!$F$5:$F$1004,0)),""))</f>
        <v>45612</v>
      </c>
      <c r="G11" s="15" t="n">
        <f aca="false">IF(OR(B11="",F11=""),"",B11-F11)</f>
        <v>3</v>
      </c>
      <c r="H11" s="13" t="s">
        <v>130</v>
      </c>
      <c r="I11" s="13" t="s">
        <v>131</v>
      </c>
      <c r="J11" s="13" t="s">
        <v>133</v>
      </c>
      <c r="K11" s="25" t="n">
        <v>19.4</v>
      </c>
      <c r="L11" s="25" t="n">
        <v>19.4</v>
      </c>
      <c r="M11" s="25" t="n">
        <v>39.4</v>
      </c>
      <c r="N11" s="25"/>
      <c r="O11" s="26" t="n">
        <v>51859</v>
      </c>
      <c r="P11" s="16" t="n">
        <f aca="false">IF(O11="","",IFERROR(1/(1/(IF(K11="",INDEX(CONFIG!$F$5:$F$14,MATCH(D11,CONFIG!$D$5:$D$14,0)),K11)*IF(M11="",INDEX(CONFIG!$H$5:$H$14,MATCH(D11,CONFIG!$D$5:$D$14,0)),M11))),""))</f>
        <v>764.36</v>
      </c>
      <c r="Q11" s="16" t="n">
        <f aca="false">IF(OR(O11="",P11=""),"",O11/P11)</f>
        <v>67.8463027892616</v>
      </c>
      <c r="R11" s="16" t="n">
        <f aca="false">IF(Q11="","",Q11*0.0980665)</f>
        <v>6.65344945248312</v>
      </c>
      <c r="S11" s="16" t="str">
        <f aca="false">IF(Q11="","",IFERROR(Q11/(1/(1/INDEX(CONFIG!$I$5:$I$14,MATCH(D11,CONFIG!$D$5:$D$14,0)))),""))</f>
        <v/>
      </c>
      <c r="T11" s="13"/>
      <c r="U11" s="13"/>
      <c r="V11" s="13"/>
      <c r="W11" s="13"/>
      <c r="X11" s="22" t="n">
        <f aca="false">IF(Q11="","",Q11^2)</f>
        <v>4603.12080217217</v>
      </c>
      <c r="Y11" s="22" t="str">
        <f aca="false">IF(AND(C11&lt;&gt;"",C11=CERTIFICADO!$E$4,OR(CERTIFICADO!$E$5="",B11=CERTIFICADO!$E$5)),MAX($Y$4:Y10)+1,"")</f>
        <v/>
      </c>
    </row>
    <row r="12" customFormat="false" ht="15" hidden="false" customHeight="false" outlineLevel="0" collapsed="false">
      <c r="A12" s="11" t="n">
        <f aca="false">IF(C12="","",ROW()-4)</f>
        <v>8</v>
      </c>
      <c r="B12" s="12" t="n">
        <v>45615</v>
      </c>
      <c r="C12" s="13" t="s">
        <v>132</v>
      </c>
      <c r="D12" s="23" t="str">
        <f aca="false">IF(C12="","",IFERROR(INDEX(LOTES!$D$5:$D$1004,MATCH(C12,LOTES!$F$5:$F$1004,0)),"¿Lote?"))</f>
        <v>Block 8"</v>
      </c>
      <c r="E12" s="11" t="str">
        <f aca="false">IF(C12="","",IFERROR(INDEX(LOTES!$C$5:$C$1004,MATCH(C12,LOTES!$F$5:$F$1004,0)),""))</f>
        <v>P1</v>
      </c>
      <c r="F12" s="24" t="n">
        <f aca="false">IF(C12="","",IFERROR(INDEX(LOTES!$B$5:$B$1004,MATCH(C12,LOTES!$F$5:$F$1004,0)),""))</f>
        <v>45612</v>
      </c>
      <c r="G12" s="15" t="n">
        <f aca="false">IF(OR(B12="",F12=""),"",B12-F12)</f>
        <v>3</v>
      </c>
      <c r="H12" s="13" t="s">
        <v>130</v>
      </c>
      <c r="I12" s="13" t="s">
        <v>131</v>
      </c>
      <c r="J12" s="13" t="s">
        <v>133</v>
      </c>
      <c r="K12" s="25" t="n">
        <v>19.4</v>
      </c>
      <c r="L12" s="25" t="n">
        <v>19.4</v>
      </c>
      <c r="M12" s="25" t="n">
        <v>39.4</v>
      </c>
      <c r="N12" s="25"/>
      <c r="O12" s="26" t="n">
        <v>75142</v>
      </c>
      <c r="P12" s="16" t="n">
        <f aca="false">IF(O12="","",IFERROR(1/(1/(IF(K12="",INDEX(CONFIG!$F$5:$F$14,MATCH(D12,CONFIG!$D$5:$D$14,0)),K12)*IF(M12="",INDEX(CONFIG!$H$5:$H$14,MATCH(D12,CONFIG!$D$5:$D$14,0)),M12))),""))</f>
        <v>764.36</v>
      </c>
      <c r="Q12" s="16" t="n">
        <f aca="false">IF(OR(O12="",P12=""),"",O12/P12)</f>
        <v>98.3070804333037</v>
      </c>
      <c r="R12" s="16" t="n">
        <f aca="false">IF(Q12="","",Q12*0.0980665)</f>
        <v>9.64063130331258</v>
      </c>
      <c r="S12" s="16" t="str">
        <f aca="false">IF(Q12="","",IFERROR(Q12/(1/(1/INDEX(CONFIG!$I$5:$I$14,MATCH(D12,CONFIG!$D$5:$D$14,0)))),""))</f>
        <v/>
      </c>
      <c r="T12" s="13"/>
      <c r="U12" s="13"/>
      <c r="V12" s="13"/>
      <c r="W12" s="13"/>
      <c r="X12" s="22" t="n">
        <f aca="false">IF(Q12="","",Q12^2)</f>
        <v>9664.28206332004</v>
      </c>
      <c r="Y12" s="22" t="str">
        <f aca="false">IF(AND(C12&lt;&gt;"",C12=CERTIFICADO!$E$4,OR(CERTIFICADO!$E$5="",B12=CERTIFICADO!$E$5)),MAX($Y$4:Y11)+1,"")</f>
        <v/>
      </c>
    </row>
    <row r="13" customFormat="false" ht="15" hidden="false" customHeight="false" outlineLevel="0" collapsed="false">
      <c r="A13" s="11" t="n">
        <f aca="false">IF(C13="","",ROW()-4)</f>
        <v>9</v>
      </c>
      <c r="B13" s="12" t="n">
        <v>45615</v>
      </c>
      <c r="C13" s="13" t="s">
        <v>132</v>
      </c>
      <c r="D13" s="23" t="str">
        <f aca="false">IF(C13="","",IFERROR(INDEX(LOTES!$D$5:$D$1004,MATCH(C13,LOTES!$F$5:$F$1004,0)),"¿Lote?"))</f>
        <v>Block 8"</v>
      </c>
      <c r="E13" s="11" t="str">
        <f aca="false">IF(C13="","",IFERROR(INDEX(LOTES!$C$5:$C$1004,MATCH(C13,LOTES!$F$5:$F$1004,0)),""))</f>
        <v>P1</v>
      </c>
      <c r="F13" s="24" t="n">
        <f aca="false">IF(C13="","",IFERROR(INDEX(LOTES!$B$5:$B$1004,MATCH(C13,LOTES!$F$5:$F$1004,0)),""))</f>
        <v>45612</v>
      </c>
      <c r="G13" s="15" t="n">
        <f aca="false">IF(OR(B13="",F13=""),"",B13-F13)</f>
        <v>3</v>
      </c>
      <c r="H13" s="13" t="s">
        <v>130</v>
      </c>
      <c r="I13" s="13" t="s">
        <v>131</v>
      </c>
      <c r="J13" s="13" t="s">
        <v>133</v>
      </c>
      <c r="K13" s="25" t="n">
        <v>19.4</v>
      </c>
      <c r="L13" s="25" t="n">
        <v>19.4</v>
      </c>
      <c r="M13" s="25" t="n">
        <v>39.4</v>
      </c>
      <c r="N13" s="25"/>
      <c r="O13" s="26" t="n">
        <v>61883</v>
      </c>
      <c r="P13" s="16" t="n">
        <f aca="false">IF(O13="","",IFERROR(1/(1/(IF(K13="",INDEX(CONFIG!$F$5:$F$14,MATCH(D13,CONFIG!$D$5:$D$14,0)),K13)*IF(M13="",INDEX(CONFIG!$H$5:$H$14,MATCH(D13,CONFIG!$D$5:$D$14,0)),M13))),""))</f>
        <v>764.36</v>
      </c>
      <c r="Q13" s="16" t="n">
        <f aca="false">IF(OR(O13="",P13=""),"",O13/P13)</f>
        <v>80.9605421529123</v>
      </c>
      <c r="R13" s="16" t="n">
        <f aca="false">IF(Q13="","",Q13*0.0980665)</f>
        <v>7.93951700703857</v>
      </c>
      <c r="S13" s="16" t="str">
        <f aca="false">IF(Q13="","",IFERROR(Q13/(1/(1/INDEX(CONFIG!$I$5:$I$14,MATCH(D13,CONFIG!$D$5:$D$14,0)))),""))</f>
        <v/>
      </c>
      <c r="T13" s="13"/>
      <c r="U13" s="13"/>
      <c r="V13" s="13"/>
      <c r="W13" s="13"/>
      <c r="X13" s="22" t="n">
        <f aca="false">IF(Q13="","",Q13^2)</f>
        <v>6554.60938569348</v>
      </c>
      <c r="Y13" s="22" t="str">
        <f aca="false">IF(AND(C13&lt;&gt;"",C13=CERTIFICADO!$E$4,OR(CERTIFICADO!$E$5="",B13=CERTIFICADO!$E$5)),MAX($Y$4:Y12)+1,"")</f>
        <v/>
      </c>
    </row>
    <row r="14" customFormat="false" ht="15" hidden="false" customHeight="false" outlineLevel="0" collapsed="false">
      <c r="A14" s="11" t="n">
        <f aca="false">IF(C14="","",ROW()-4)</f>
        <v>10</v>
      </c>
      <c r="B14" s="12" t="n">
        <v>45615</v>
      </c>
      <c r="C14" s="13" t="s">
        <v>132</v>
      </c>
      <c r="D14" s="23" t="str">
        <f aca="false">IF(C14="","",IFERROR(INDEX(LOTES!$D$5:$D$1004,MATCH(C14,LOTES!$F$5:$F$1004,0)),"¿Lote?"))</f>
        <v>Block 8"</v>
      </c>
      <c r="E14" s="11" t="str">
        <f aca="false">IF(C14="","",IFERROR(INDEX(LOTES!$C$5:$C$1004,MATCH(C14,LOTES!$F$5:$F$1004,0)),""))</f>
        <v>P1</v>
      </c>
      <c r="F14" s="24" t="n">
        <f aca="false">IF(C14="","",IFERROR(INDEX(LOTES!$B$5:$B$1004,MATCH(C14,LOTES!$F$5:$F$1004,0)),""))</f>
        <v>45612</v>
      </c>
      <c r="G14" s="15" t="n">
        <f aca="false">IF(OR(B14="",F14=""),"",B14-F14)</f>
        <v>3</v>
      </c>
      <c r="H14" s="13" t="s">
        <v>130</v>
      </c>
      <c r="I14" s="13" t="s">
        <v>131</v>
      </c>
      <c r="J14" s="13" t="s">
        <v>133</v>
      </c>
      <c r="K14" s="25" t="n">
        <v>19.4</v>
      </c>
      <c r="L14" s="25" t="n">
        <v>19.4</v>
      </c>
      <c r="M14" s="25" t="n">
        <v>39.4</v>
      </c>
      <c r="N14" s="25"/>
      <c r="O14" s="26" t="n">
        <v>71059</v>
      </c>
      <c r="P14" s="16" t="n">
        <f aca="false">IF(O14="","",IFERROR(1/(1/(IF(K14="",INDEX(CONFIG!$F$5:$F$14,MATCH(D14,CONFIG!$D$5:$D$14,0)),K14)*IF(M14="",INDEX(CONFIG!$H$5:$H$14,MATCH(D14,CONFIG!$D$5:$D$14,0)),M14))),""))</f>
        <v>764.36</v>
      </c>
      <c r="Q14" s="16" t="n">
        <f aca="false">IF(OR(O14="",P14=""),"",O14/P14)</f>
        <v>92.9653566382333</v>
      </c>
      <c r="R14" s="16" t="n">
        <f aca="false">IF(Q14="","",Q14*0.0980665)</f>
        <v>9.11678714676331</v>
      </c>
      <c r="S14" s="16" t="str">
        <f aca="false">IF(Q14="","",IFERROR(Q14/(1/(1/INDEX(CONFIG!$I$5:$I$14,MATCH(D14,CONFIG!$D$5:$D$14,0)))),""))</f>
        <v/>
      </c>
      <c r="T14" s="13"/>
      <c r="U14" s="13"/>
      <c r="V14" s="13"/>
      <c r="W14" s="13"/>
      <c r="X14" s="22" t="n">
        <f aca="false">IF(Q14="","",Q14^2)</f>
        <v>8642.55753487391</v>
      </c>
      <c r="Y14" s="22" t="str">
        <f aca="false">IF(AND(C14&lt;&gt;"",C14=CERTIFICADO!$E$4,OR(CERTIFICADO!$E$5="",B14=CERTIFICADO!$E$5)),MAX($Y$4:Y13)+1,"")</f>
        <v/>
      </c>
    </row>
    <row r="15" customFormat="false" ht="15" hidden="false" customHeight="false" outlineLevel="0" collapsed="false">
      <c r="A15" s="11" t="n">
        <f aca="false">IF(C15="","",ROW()-4)</f>
        <v>11</v>
      </c>
      <c r="B15" s="12" t="n">
        <v>45615</v>
      </c>
      <c r="C15" s="13" t="s">
        <v>132</v>
      </c>
      <c r="D15" s="23" t="str">
        <f aca="false">IF(C15="","",IFERROR(INDEX(LOTES!$D$5:$D$1004,MATCH(C15,LOTES!$F$5:$F$1004,0)),"¿Lote?"))</f>
        <v>Block 8"</v>
      </c>
      <c r="E15" s="11" t="str">
        <f aca="false">IF(C15="","",IFERROR(INDEX(LOTES!$C$5:$C$1004,MATCH(C15,LOTES!$F$5:$F$1004,0)),""))</f>
        <v>P1</v>
      </c>
      <c r="F15" s="24" t="n">
        <f aca="false">IF(C15="","",IFERROR(INDEX(LOTES!$B$5:$B$1004,MATCH(C15,LOTES!$F$5:$F$1004,0)),""))</f>
        <v>45612</v>
      </c>
      <c r="G15" s="15" t="n">
        <f aca="false">IF(OR(B15="",F15=""),"",B15-F15)</f>
        <v>3</v>
      </c>
      <c r="H15" s="13" t="s">
        <v>130</v>
      </c>
      <c r="I15" s="13" t="s">
        <v>131</v>
      </c>
      <c r="J15" s="13" t="s">
        <v>133</v>
      </c>
      <c r="K15" s="25" t="n">
        <v>19.4</v>
      </c>
      <c r="L15" s="25" t="n">
        <v>19.4</v>
      </c>
      <c r="M15" s="25" t="n">
        <v>39.4</v>
      </c>
      <c r="N15" s="25"/>
      <c r="O15" s="26" t="n">
        <v>65117</v>
      </c>
      <c r="P15" s="16" t="n">
        <f aca="false">IF(O15="","",IFERROR(1/(1/(IF(K15="",INDEX(CONFIG!$F$5:$F$14,MATCH(D15,CONFIG!$D$5:$D$14,0)),K15)*IF(M15="",INDEX(CONFIG!$H$5:$H$14,MATCH(D15,CONFIG!$D$5:$D$14,0)),M15))),""))</f>
        <v>764.36</v>
      </c>
      <c r="Q15" s="16" t="n">
        <f aca="false">IF(OR(O15="",P15=""),"",O15/P15)</f>
        <v>85.1915327855984</v>
      </c>
      <c r="R15" s="16" t="n">
        <f aca="false">IF(Q15="","",Q15*0.0980665)</f>
        <v>8.35443544991889</v>
      </c>
      <c r="S15" s="16" t="str">
        <f aca="false">IF(Q15="","",IFERROR(Q15/(1/(1/INDEX(CONFIG!$I$5:$I$14,MATCH(D15,CONFIG!$D$5:$D$14,0)))),""))</f>
        <v/>
      </c>
      <c r="T15" s="13"/>
      <c r="U15" s="13"/>
      <c r="V15" s="13"/>
      <c r="W15" s="13"/>
      <c r="X15" s="22" t="n">
        <f aca="false">IF(Q15="","",Q15^2)</f>
        <v>7257.59725835969</v>
      </c>
      <c r="Y15" s="22" t="str">
        <f aca="false">IF(AND(C15&lt;&gt;"",C15=CERTIFICADO!$E$4,OR(CERTIFICADO!$E$5="",B15=CERTIFICADO!$E$5)),MAX($Y$4:Y14)+1,"")</f>
        <v/>
      </c>
    </row>
    <row r="16" customFormat="false" ht="15" hidden="false" customHeight="false" outlineLevel="0" collapsed="false">
      <c r="A16" s="11" t="n">
        <f aca="false">IF(C16="","",ROW()-4)</f>
        <v>12</v>
      </c>
      <c r="B16" s="12" t="n">
        <v>45615</v>
      </c>
      <c r="C16" s="13" t="s">
        <v>132</v>
      </c>
      <c r="D16" s="23" t="str">
        <f aca="false">IF(C16="","",IFERROR(INDEX(LOTES!$D$5:$D$1004,MATCH(C16,LOTES!$F$5:$F$1004,0)),"¿Lote?"))</f>
        <v>Block 8"</v>
      </c>
      <c r="E16" s="11" t="str">
        <f aca="false">IF(C16="","",IFERROR(INDEX(LOTES!$C$5:$C$1004,MATCH(C16,LOTES!$F$5:$F$1004,0)),""))</f>
        <v>P1</v>
      </c>
      <c r="F16" s="24" t="n">
        <f aca="false">IF(C16="","",IFERROR(INDEX(LOTES!$B$5:$B$1004,MATCH(C16,LOTES!$F$5:$F$1004,0)),""))</f>
        <v>45612</v>
      </c>
      <c r="G16" s="15" t="n">
        <f aca="false">IF(OR(B16="",F16=""),"",B16-F16)</f>
        <v>3</v>
      </c>
      <c r="H16" s="13" t="s">
        <v>130</v>
      </c>
      <c r="I16" s="13" t="s">
        <v>131</v>
      </c>
      <c r="J16" s="13" t="s">
        <v>133</v>
      </c>
      <c r="K16" s="25" t="n">
        <v>19.4</v>
      </c>
      <c r="L16" s="25" t="n">
        <v>19.4</v>
      </c>
      <c r="M16" s="25" t="n">
        <v>39.4</v>
      </c>
      <c r="N16" s="25"/>
      <c r="O16" s="26" t="n">
        <v>60223</v>
      </c>
      <c r="P16" s="16" t="n">
        <f aca="false">IF(O16="","",IFERROR(1/(1/(IF(K16="",INDEX(CONFIG!$F$5:$F$14,MATCH(D16,CONFIG!$D$5:$D$14,0)),K16)*IF(M16="",INDEX(CONFIG!$H$5:$H$14,MATCH(D16,CONFIG!$D$5:$D$14,0)),M16))),""))</f>
        <v>764.36</v>
      </c>
      <c r="Q16" s="16" t="n">
        <f aca="false">IF(OR(O16="",P16=""),"",O16/P16)</f>
        <v>78.7887906222199</v>
      </c>
      <c r="R16" s="16" t="n">
        <f aca="false">IF(Q16="","",Q16*0.0980665)</f>
        <v>7.72654093555393</v>
      </c>
      <c r="S16" s="16" t="str">
        <f aca="false">IF(Q16="","",IFERROR(Q16/(1/(1/INDEX(CONFIG!$I$5:$I$14,MATCH(D16,CONFIG!$D$5:$D$14,0)))),""))</f>
        <v/>
      </c>
      <c r="T16" s="13"/>
      <c r="U16" s="13"/>
      <c r="V16" s="13"/>
      <c r="W16" s="13"/>
      <c r="X16" s="22" t="n">
        <f aca="false">IF(Q16="","",Q16^2)</f>
        <v>6207.67352771201</v>
      </c>
      <c r="Y16" s="22" t="str">
        <f aca="false">IF(AND(C16&lt;&gt;"",C16=CERTIFICADO!$E$4,OR(CERTIFICADO!$E$5="",B16=CERTIFICADO!$E$5)),MAX($Y$4:Y15)+1,"")</f>
        <v/>
      </c>
    </row>
    <row r="17" customFormat="false" ht="15" hidden="false" customHeight="false" outlineLevel="0" collapsed="false">
      <c r="A17" s="11" t="n">
        <f aca="false">IF(C17="","",ROW()-4)</f>
        <v>13</v>
      </c>
      <c r="B17" s="12" t="n">
        <v>45615</v>
      </c>
      <c r="C17" s="13" t="s">
        <v>132</v>
      </c>
      <c r="D17" s="23" t="str">
        <f aca="false">IF(C17="","",IFERROR(INDEX(LOTES!$D$5:$D$1004,MATCH(C17,LOTES!$F$5:$F$1004,0)),"¿Lote?"))</f>
        <v>Block 8"</v>
      </c>
      <c r="E17" s="11" t="str">
        <f aca="false">IF(C17="","",IFERROR(INDEX(LOTES!$C$5:$C$1004,MATCH(C17,LOTES!$F$5:$F$1004,0)),""))</f>
        <v>P1</v>
      </c>
      <c r="F17" s="24" t="n">
        <f aca="false">IF(C17="","",IFERROR(INDEX(LOTES!$B$5:$B$1004,MATCH(C17,LOTES!$F$5:$F$1004,0)),""))</f>
        <v>45612</v>
      </c>
      <c r="G17" s="15" t="n">
        <f aca="false">IF(OR(B17="",F17=""),"",B17-F17)</f>
        <v>3</v>
      </c>
      <c r="H17" s="13" t="s">
        <v>130</v>
      </c>
      <c r="I17" s="13" t="s">
        <v>131</v>
      </c>
      <c r="J17" s="13" t="s">
        <v>133</v>
      </c>
      <c r="K17" s="25" t="n">
        <v>19.4</v>
      </c>
      <c r="L17" s="25" t="n">
        <v>19.4</v>
      </c>
      <c r="M17" s="25" t="n">
        <v>39.4</v>
      </c>
      <c r="N17" s="25"/>
      <c r="O17" s="26" t="n">
        <v>68515</v>
      </c>
      <c r="P17" s="16" t="n">
        <f aca="false">IF(O17="","",IFERROR(1/(1/(IF(K17="",INDEX(CONFIG!$F$5:$F$14,MATCH(D17,CONFIG!$D$5:$D$14,0)),K17)*IF(M17="",INDEX(CONFIG!$H$5:$H$14,MATCH(D17,CONFIG!$D$5:$D$14,0)),M17))),""))</f>
        <v>764.36</v>
      </c>
      <c r="Q17" s="16" t="n">
        <f aca="false">IF(OR(O17="",P17=""),"",O17/P17)</f>
        <v>89.6370820032446</v>
      </c>
      <c r="R17" s="16" t="n">
        <f aca="false">IF(Q17="","",Q17*0.0980665)</f>
        <v>8.79039490227118</v>
      </c>
      <c r="S17" s="16" t="str">
        <f aca="false">IF(Q17="","",IFERROR(Q17/(1/(1/INDEX(CONFIG!$I$5:$I$14,MATCH(D17,CONFIG!$D$5:$D$14,0)))),""))</f>
        <v/>
      </c>
      <c r="T17" s="13"/>
      <c r="U17" s="13"/>
      <c r="V17" s="13"/>
      <c r="W17" s="13"/>
      <c r="X17" s="22" t="n">
        <f aca="false">IF(Q17="","",Q17^2)</f>
        <v>8034.80647005639</v>
      </c>
      <c r="Y17" s="22" t="str">
        <f aca="false">IF(AND(C17&lt;&gt;"",C17=CERTIFICADO!$E$4,OR(CERTIFICADO!$E$5="",B17=CERTIFICADO!$E$5)),MAX($Y$4:Y16)+1,"")</f>
        <v/>
      </c>
    </row>
    <row r="18" customFormat="false" ht="15" hidden="false" customHeight="false" outlineLevel="0" collapsed="false">
      <c r="A18" s="11" t="n">
        <f aca="false">IF(C18="","",ROW()-4)</f>
        <v>14</v>
      </c>
      <c r="B18" s="12" t="n">
        <v>45636</v>
      </c>
      <c r="C18" s="13" t="s">
        <v>134</v>
      </c>
      <c r="D18" s="23" t="str">
        <f aca="false">IF(C18="","",IFERROR(INDEX(LOTES!$D$5:$D$1004,MATCH(C18,LOTES!$F$5:$F$1004,0)),"¿Lote?"))</f>
        <v>Block 8"</v>
      </c>
      <c r="E18" s="11" t="str">
        <f aca="false">IF(C18="","",IFERROR(INDEX(LOTES!$C$5:$C$1004,MATCH(C18,LOTES!$F$5:$F$1004,0)),""))</f>
        <v>P1</v>
      </c>
      <c r="F18" s="24" t="n">
        <f aca="false">IF(C18="","",IFERROR(INDEX(LOTES!$B$5:$B$1004,MATCH(C18,LOTES!$F$5:$F$1004,0)),""))</f>
        <v>45608</v>
      </c>
      <c r="G18" s="15" t="n">
        <f aca="false">IF(OR(B18="",F18=""),"",B18-F18)</f>
        <v>28</v>
      </c>
      <c r="H18" s="13" t="s">
        <v>135</v>
      </c>
      <c r="I18" s="13" t="s">
        <v>131</v>
      </c>
      <c r="J18" s="13" t="s">
        <v>136</v>
      </c>
      <c r="K18" s="25" t="n">
        <v>19.5</v>
      </c>
      <c r="L18" s="25" t="n">
        <v>19.5</v>
      </c>
      <c r="M18" s="25" t="n">
        <v>39.5</v>
      </c>
      <c r="N18" s="25"/>
      <c r="O18" s="26" t="n">
        <v>62863</v>
      </c>
      <c r="P18" s="16" t="n">
        <f aca="false">IF(O18="","",IFERROR(1/(1/(IF(K18="",INDEX(CONFIG!$F$5:$F$14,MATCH(D18,CONFIG!$D$5:$D$14,0)),K18)*IF(M18="",INDEX(CONFIG!$H$5:$H$14,MATCH(D18,CONFIG!$D$5:$D$14,0)),M18))),""))</f>
        <v>770.25</v>
      </c>
      <c r="Q18" s="16" t="n">
        <f aca="false">IF(OR(O18="",P18=""),"",O18/P18)</f>
        <v>81.6137617656605</v>
      </c>
      <c r="R18" s="16" t="n">
        <f aca="false">IF(Q18="","",Q18*0.0980665)</f>
        <v>8.00357596819215</v>
      </c>
      <c r="S18" s="16" t="str">
        <f aca="false">IF(Q18="","",IFERROR(Q18/(1/(1/INDEX(CONFIG!$I$5:$I$14,MATCH(D18,CONFIG!$D$5:$D$14,0)))),""))</f>
        <v/>
      </c>
      <c r="T18" s="13"/>
      <c r="U18" s="13"/>
      <c r="V18" s="13"/>
      <c r="W18" s="13"/>
      <c r="X18" s="22" t="n">
        <f aca="false">IF(Q18="","",Q18^2)</f>
        <v>6660.80610954199</v>
      </c>
      <c r="Y18" s="22" t="str">
        <f aca="false">IF(AND(C18&lt;&gt;"",C18=CERTIFICADO!$E$4,OR(CERTIFICADO!$E$5="",B18=CERTIFICADO!$E$5)),MAX($Y$4:Y17)+1,"")</f>
        <v/>
      </c>
    </row>
    <row r="19" customFormat="false" ht="15" hidden="false" customHeight="false" outlineLevel="0" collapsed="false">
      <c r="A19" s="11" t="n">
        <f aca="false">IF(C19="","",ROW()-4)</f>
        <v>15</v>
      </c>
      <c r="B19" s="12" t="n">
        <v>45636</v>
      </c>
      <c r="C19" s="13" t="s">
        <v>134</v>
      </c>
      <c r="D19" s="23" t="str">
        <f aca="false">IF(C19="","",IFERROR(INDEX(LOTES!$D$5:$D$1004,MATCH(C19,LOTES!$F$5:$F$1004,0)),"¿Lote?"))</f>
        <v>Block 8"</v>
      </c>
      <c r="E19" s="11" t="str">
        <f aca="false">IF(C19="","",IFERROR(INDEX(LOTES!$C$5:$C$1004,MATCH(C19,LOTES!$F$5:$F$1004,0)),""))</f>
        <v>P1</v>
      </c>
      <c r="F19" s="24" t="n">
        <f aca="false">IF(C19="","",IFERROR(INDEX(LOTES!$B$5:$B$1004,MATCH(C19,LOTES!$F$5:$F$1004,0)),""))</f>
        <v>45608</v>
      </c>
      <c r="G19" s="15" t="n">
        <f aca="false">IF(OR(B19="",F19=""),"",B19-F19)</f>
        <v>28</v>
      </c>
      <c r="H19" s="13" t="s">
        <v>135</v>
      </c>
      <c r="I19" s="13" t="s">
        <v>131</v>
      </c>
      <c r="J19" s="13" t="s">
        <v>136</v>
      </c>
      <c r="K19" s="25" t="n">
        <v>19.5</v>
      </c>
      <c r="L19" s="25" t="n">
        <v>19.5</v>
      </c>
      <c r="M19" s="25" t="n">
        <v>39.5</v>
      </c>
      <c r="N19" s="25"/>
      <c r="O19" s="26" t="n">
        <v>55261</v>
      </c>
      <c r="P19" s="16" t="n">
        <f aca="false">IF(O19="","",IFERROR(1/(1/(IF(K19="",INDEX(CONFIG!$F$5:$F$14,MATCH(D19,CONFIG!$D$5:$D$14,0)),K19)*IF(M19="",INDEX(CONFIG!$H$5:$H$14,MATCH(D19,CONFIG!$D$5:$D$14,0)),M19))),""))</f>
        <v>770.25</v>
      </c>
      <c r="Q19" s="16" t="n">
        <f aca="false">IF(OR(O19="",P19=""),"",O19/P19)</f>
        <v>71.7442388834794</v>
      </c>
      <c r="R19" s="16" t="n">
        <f aca="false">IF(Q19="","",Q19*0.0980665)</f>
        <v>7.03570640246673</v>
      </c>
      <c r="S19" s="16" t="str">
        <f aca="false">IF(Q19="","",IFERROR(Q19/(1/(1/INDEX(CONFIG!$I$5:$I$14,MATCH(D19,CONFIG!$D$5:$D$14,0)))),""))</f>
        <v/>
      </c>
      <c r="T19" s="13"/>
      <c r="U19" s="13"/>
      <c r="V19" s="13"/>
      <c r="W19" s="13"/>
      <c r="X19" s="22" t="n">
        <f aca="false">IF(Q19="","",Q19^2)</f>
        <v>5147.23581296976</v>
      </c>
      <c r="Y19" s="22" t="str">
        <f aca="false">IF(AND(C19&lt;&gt;"",C19=CERTIFICADO!$E$4,OR(CERTIFICADO!$E$5="",B19=CERTIFICADO!$E$5)),MAX($Y$4:Y18)+1,"")</f>
        <v/>
      </c>
    </row>
    <row r="20" customFormat="false" ht="15" hidden="false" customHeight="false" outlineLevel="0" collapsed="false">
      <c r="A20" s="11" t="n">
        <f aca="false">IF(C20="","",ROW()-4)</f>
        <v>16</v>
      </c>
      <c r="B20" s="12" t="n">
        <v>45636</v>
      </c>
      <c r="C20" s="13" t="s">
        <v>134</v>
      </c>
      <c r="D20" s="23" t="str">
        <f aca="false">IF(C20="","",IFERROR(INDEX(LOTES!$D$5:$D$1004,MATCH(C20,LOTES!$F$5:$F$1004,0)),"¿Lote?"))</f>
        <v>Block 8"</v>
      </c>
      <c r="E20" s="11" t="str">
        <f aca="false">IF(C20="","",IFERROR(INDEX(LOTES!$C$5:$C$1004,MATCH(C20,LOTES!$F$5:$F$1004,0)),""))</f>
        <v>P1</v>
      </c>
      <c r="F20" s="24" t="n">
        <f aca="false">IF(C20="","",IFERROR(INDEX(LOTES!$B$5:$B$1004,MATCH(C20,LOTES!$F$5:$F$1004,0)),""))</f>
        <v>45608</v>
      </c>
      <c r="G20" s="15" t="n">
        <f aca="false">IF(OR(B20="",F20=""),"",B20-F20)</f>
        <v>28</v>
      </c>
      <c r="H20" s="13" t="s">
        <v>135</v>
      </c>
      <c r="I20" s="13" t="s">
        <v>131</v>
      </c>
      <c r="J20" s="13" t="s">
        <v>136</v>
      </c>
      <c r="K20" s="25" t="n">
        <v>19.5</v>
      </c>
      <c r="L20" s="25" t="n">
        <v>19.5</v>
      </c>
      <c r="M20" s="25" t="n">
        <v>39.5</v>
      </c>
      <c r="N20" s="25"/>
      <c r="O20" s="26" t="n">
        <v>55927</v>
      </c>
      <c r="P20" s="16" t="n">
        <f aca="false">IF(O20="","",IFERROR(1/(1/(IF(K20="",INDEX(CONFIG!$F$5:$F$14,MATCH(D20,CONFIG!$D$5:$D$14,0)),K20)*IF(M20="",INDEX(CONFIG!$H$5:$H$14,MATCH(D20,CONFIG!$D$5:$D$14,0)),M20))),""))</f>
        <v>770.25</v>
      </c>
      <c r="Q20" s="16" t="n">
        <f aca="false">IF(OR(O20="",P20=""),"",O20/P20)</f>
        <v>72.6088932164882</v>
      </c>
      <c r="R20" s="16" t="n">
        <f aca="false">IF(Q20="","",Q20*0.0980665)</f>
        <v>7.12050002661474</v>
      </c>
      <c r="S20" s="16" t="str">
        <f aca="false">IF(Q20="","",IFERROR(Q20/(1/(1/INDEX(CONFIG!$I$5:$I$14,MATCH(D20,CONFIG!$D$5:$D$14,0)))),""))</f>
        <v/>
      </c>
      <c r="T20" s="13"/>
      <c r="U20" s="13"/>
      <c r="V20" s="13"/>
      <c r="W20" s="13"/>
      <c r="X20" s="22" t="n">
        <f aca="false">IF(Q20="","",Q20^2)</f>
        <v>5272.05137412338</v>
      </c>
      <c r="Y20" s="22" t="str">
        <f aca="false">IF(AND(C20&lt;&gt;"",C20=CERTIFICADO!$E$4,OR(CERTIFICADO!$E$5="",B20=CERTIFICADO!$E$5)),MAX($Y$4:Y19)+1,"")</f>
        <v/>
      </c>
    </row>
    <row r="21" customFormat="false" ht="15" hidden="false" customHeight="false" outlineLevel="0" collapsed="false">
      <c r="A21" s="11" t="n">
        <f aca="false">IF(C21="","",ROW()-4)</f>
        <v>17</v>
      </c>
      <c r="B21" s="12" t="n">
        <v>45636</v>
      </c>
      <c r="C21" s="13" t="s">
        <v>134</v>
      </c>
      <c r="D21" s="23" t="str">
        <f aca="false">IF(C21="","",IFERROR(INDEX(LOTES!$D$5:$D$1004,MATCH(C21,LOTES!$F$5:$F$1004,0)),"¿Lote?"))</f>
        <v>Block 8"</v>
      </c>
      <c r="E21" s="11" t="str">
        <f aca="false">IF(C21="","",IFERROR(INDEX(LOTES!$C$5:$C$1004,MATCH(C21,LOTES!$F$5:$F$1004,0)),""))</f>
        <v>P1</v>
      </c>
      <c r="F21" s="24" t="n">
        <f aca="false">IF(C21="","",IFERROR(INDEX(LOTES!$B$5:$B$1004,MATCH(C21,LOTES!$F$5:$F$1004,0)),""))</f>
        <v>45608</v>
      </c>
      <c r="G21" s="15" t="n">
        <f aca="false">IF(OR(B21="",F21=""),"",B21-F21)</f>
        <v>28</v>
      </c>
      <c r="H21" s="13" t="s">
        <v>135</v>
      </c>
      <c r="I21" s="13" t="s">
        <v>131</v>
      </c>
      <c r="J21" s="13" t="s">
        <v>136</v>
      </c>
      <c r="K21" s="25" t="n">
        <v>19.5</v>
      </c>
      <c r="L21" s="25" t="n">
        <v>19.5</v>
      </c>
      <c r="M21" s="25" t="n">
        <v>39.5</v>
      </c>
      <c r="N21" s="25"/>
      <c r="O21" s="26" t="n">
        <v>64990</v>
      </c>
      <c r="P21" s="16" t="n">
        <f aca="false">IF(O21="","",IFERROR(1/(1/(IF(K21="",INDEX(CONFIG!$F$5:$F$14,MATCH(D21,CONFIG!$D$5:$D$14,0)),K21)*IF(M21="",INDEX(CONFIG!$H$5:$H$14,MATCH(D21,CONFIG!$D$5:$D$14,0)),M21))),""))</f>
        <v>770.25</v>
      </c>
      <c r="Q21" s="16" t="n">
        <f aca="false">IF(OR(O21="",P21=""),"",O21/P21)</f>
        <v>84.3752028562155</v>
      </c>
      <c r="R21" s="16" t="n">
        <f aca="false">IF(Q21="","",Q21*0.0980665)</f>
        <v>8.27438083089906</v>
      </c>
      <c r="S21" s="16" t="str">
        <f aca="false">IF(Q21="","",IFERROR(Q21/(1/(1/INDEX(CONFIG!$I$5:$I$14,MATCH(D21,CONFIG!$D$5:$D$14,0)))),""))</f>
        <v/>
      </c>
      <c r="T21" s="13"/>
      <c r="U21" s="13"/>
      <c r="V21" s="13"/>
      <c r="W21" s="13"/>
      <c r="X21" s="22" t="n">
        <f aca="false">IF(Q21="","",Q21^2)</f>
        <v>7119.17485702752</v>
      </c>
      <c r="Y21" s="22" t="str">
        <f aca="false">IF(AND(C21&lt;&gt;"",C21=CERTIFICADO!$E$4,OR(CERTIFICADO!$E$5="",B21=CERTIFICADO!$E$5)),MAX($Y$4:Y20)+1,"")</f>
        <v/>
      </c>
    </row>
    <row r="22" customFormat="false" ht="15" hidden="false" customHeight="false" outlineLevel="0" collapsed="false">
      <c r="A22" s="11" t="n">
        <f aca="false">IF(C22="","",ROW()-4)</f>
        <v>18</v>
      </c>
      <c r="B22" s="12" t="n">
        <v>45636</v>
      </c>
      <c r="C22" s="13" t="s">
        <v>134</v>
      </c>
      <c r="D22" s="23" t="str">
        <f aca="false">IF(C22="","",IFERROR(INDEX(LOTES!$D$5:$D$1004,MATCH(C22,LOTES!$F$5:$F$1004,0)),"¿Lote?"))</f>
        <v>Block 8"</v>
      </c>
      <c r="E22" s="11" t="str">
        <f aca="false">IF(C22="","",IFERROR(INDEX(LOTES!$C$5:$C$1004,MATCH(C22,LOTES!$F$5:$F$1004,0)),""))</f>
        <v>P1</v>
      </c>
      <c r="F22" s="24" t="n">
        <f aca="false">IF(C22="","",IFERROR(INDEX(LOTES!$B$5:$B$1004,MATCH(C22,LOTES!$F$5:$F$1004,0)),""))</f>
        <v>45608</v>
      </c>
      <c r="G22" s="15" t="n">
        <f aca="false">IF(OR(B22="",F22=""),"",B22-F22)</f>
        <v>28</v>
      </c>
      <c r="H22" s="13" t="s">
        <v>135</v>
      </c>
      <c r="I22" s="13" t="s">
        <v>131</v>
      </c>
      <c r="J22" s="13" t="s">
        <v>136</v>
      </c>
      <c r="K22" s="25" t="n">
        <v>19.5</v>
      </c>
      <c r="L22" s="25" t="n">
        <v>19.5</v>
      </c>
      <c r="M22" s="25" t="n">
        <v>39.5</v>
      </c>
      <c r="N22" s="25"/>
      <c r="O22" s="26" t="n">
        <v>61085</v>
      </c>
      <c r="P22" s="16" t="n">
        <f aca="false">IF(O22="","",IFERROR(1/(1/(IF(K22="",INDEX(CONFIG!$F$5:$F$14,MATCH(D22,CONFIG!$D$5:$D$14,0)),K22)*IF(M22="",INDEX(CONFIG!$H$5:$H$14,MATCH(D22,CONFIG!$D$5:$D$14,0)),M22))),""))</f>
        <v>770.25</v>
      </c>
      <c r="Q22" s="16" t="n">
        <f aca="false">IF(OR(O22="",P22=""),"",O22/P22)</f>
        <v>79.3054203180786</v>
      </c>
      <c r="R22" s="16" t="n">
        <f aca="false">IF(Q22="","",Q22*0.0980665)</f>
        <v>7.77720500162285</v>
      </c>
      <c r="S22" s="16" t="str">
        <f aca="false">IF(Q22="","",IFERROR(Q22/(1/(1/INDEX(CONFIG!$I$5:$I$14,MATCH(D22,CONFIG!$D$5:$D$14,0)))),""))</f>
        <v/>
      </c>
      <c r="T22" s="13"/>
      <c r="U22" s="13"/>
      <c r="V22" s="13"/>
      <c r="W22" s="13"/>
      <c r="X22" s="22" t="n">
        <f aca="false">IF(Q22="","",Q22^2)</f>
        <v>6289.34969182711</v>
      </c>
      <c r="Y22" s="22" t="str">
        <f aca="false">IF(AND(C22&lt;&gt;"",C22=CERTIFICADO!$E$4,OR(CERTIFICADO!$E$5="",B22=CERTIFICADO!$E$5)),MAX($Y$4:Y21)+1,"")</f>
        <v/>
      </c>
    </row>
    <row r="23" customFormat="false" ht="15" hidden="false" customHeight="false" outlineLevel="0" collapsed="false">
      <c r="A23" s="11" t="n">
        <f aca="false">IF(C23="","",ROW()-4)</f>
        <v>19</v>
      </c>
      <c r="B23" s="12" t="n">
        <v>45636</v>
      </c>
      <c r="C23" s="13" t="s">
        <v>134</v>
      </c>
      <c r="D23" s="23" t="str">
        <f aca="false">IF(C23="","",IFERROR(INDEX(LOTES!$D$5:$D$1004,MATCH(C23,LOTES!$F$5:$F$1004,0)),"¿Lote?"))</f>
        <v>Block 8"</v>
      </c>
      <c r="E23" s="11" t="str">
        <f aca="false">IF(C23="","",IFERROR(INDEX(LOTES!$C$5:$C$1004,MATCH(C23,LOTES!$F$5:$F$1004,0)),""))</f>
        <v>P1</v>
      </c>
      <c r="F23" s="24" t="n">
        <f aca="false">IF(C23="","",IFERROR(INDEX(LOTES!$B$5:$B$1004,MATCH(C23,LOTES!$F$5:$F$1004,0)),""))</f>
        <v>45608</v>
      </c>
      <c r="G23" s="15" t="n">
        <f aca="false">IF(OR(B23="",F23=""),"",B23-F23)</f>
        <v>28</v>
      </c>
      <c r="H23" s="13" t="s">
        <v>135</v>
      </c>
      <c r="I23" s="13" t="s">
        <v>131</v>
      </c>
      <c r="J23" s="13" t="s">
        <v>136</v>
      </c>
      <c r="K23" s="25" t="n">
        <v>19.5</v>
      </c>
      <c r="L23" s="25" t="n">
        <v>19.5</v>
      </c>
      <c r="M23" s="25" t="n">
        <v>39.5</v>
      </c>
      <c r="N23" s="25"/>
      <c r="O23" s="26" t="n">
        <v>71431</v>
      </c>
      <c r="P23" s="16" t="n">
        <f aca="false">IF(O23="","",IFERROR(1/(1/(IF(K23="",INDEX(CONFIG!$F$5:$F$14,MATCH(D23,CONFIG!$D$5:$D$14,0)),K23)*IF(M23="",INDEX(CONFIG!$H$5:$H$14,MATCH(D23,CONFIG!$D$5:$D$14,0)),M23))),""))</f>
        <v>770.25</v>
      </c>
      <c r="Q23" s="16" t="n">
        <f aca="false">IF(OR(O23="",P23=""),"",O23/P23)</f>
        <v>92.7374229146381</v>
      </c>
      <c r="R23" s="16" t="n">
        <f aca="false">IF(Q23="","",Q23*0.0980665)</f>
        <v>9.09443448425836</v>
      </c>
      <c r="S23" s="16" t="str">
        <f aca="false">IF(Q23="","",IFERROR(Q23/(1/(1/INDEX(CONFIG!$I$5:$I$14,MATCH(D23,CONFIG!$D$5:$D$14,0)))),""))</f>
        <v/>
      </c>
      <c r="T23" s="13"/>
      <c r="U23" s="13"/>
      <c r="V23" s="13"/>
      <c r="W23" s="13"/>
      <c r="X23" s="22" t="n">
        <f aca="false">IF(Q23="","",Q23^2)</f>
        <v>8600.22960884844</v>
      </c>
      <c r="Y23" s="22" t="str">
        <f aca="false">IF(AND(C23&lt;&gt;"",C23=CERTIFICADO!$E$4,OR(CERTIFICADO!$E$5="",B23=CERTIFICADO!$E$5)),MAX($Y$4:Y22)+1,"")</f>
        <v/>
      </c>
    </row>
    <row r="24" customFormat="false" ht="15" hidden="false" customHeight="false" outlineLevel="0" collapsed="false">
      <c r="A24" s="11" t="n">
        <f aca="false">IF(C24="","",ROW()-4)</f>
        <v>20</v>
      </c>
      <c r="B24" s="12" t="n">
        <v>45668</v>
      </c>
      <c r="C24" s="13" t="s">
        <v>137</v>
      </c>
      <c r="D24" s="23" t="str">
        <f aca="false">IF(C24="","",IFERROR(INDEX(LOTES!$D$5:$D$1004,MATCH(C24,LOTES!$F$5:$F$1004,0)),"¿Lote?"))</f>
        <v>Block 6"</v>
      </c>
      <c r="E24" s="11" t="str">
        <f aca="false">IF(C24="","",IFERROR(INDEX(LOTES!$C$5:$C$1004,MATCH(C24,LOTES!$F$5:$F$1004,0)),""))</f>
        <v>P2</v>
      </c>
      <c r="F24" s="24" t="n">
        <f aca="false">IF(C24="","",IFERROR(INDEX(LOTES!$B$5:$B$1004,MATCH(C24,LOTES!$F$5:$F$1004,0)),""))</f>
        <v>45646</v>
      </c>
      <c r="G24" s="15" t="n">
        <f aca="false">IF(OR(B24="",F24=""),"",B24-F24)</f>
        <v>22</v>
      </c>
      <c r="H24" s="13" t="s">
        <v>135</v>
      </c>
      <c r="I24" s="13" t="s">
        <v>131</v>
      </c>
      <c r="J24" s="13" t="s">
        <v>138</v>
      </c>
      <c r="K24" s="25" t="n">
        <v>14.5</v>
      </c>
      <c r="L24" s="25" t="n">
        <v>19.5</v>
      </c>
      <c r="M24" s="25" t="n">
        <v>39.5</v>
      </c>
      <c r="N24" s="25"/>
      <c r="O24" s="26" t="n">
        <v>46007</v>
      </c>
      <c r="P24" s="16" t="n">
        <f aca="false">IF(O24="","",IFERROR(1/(1/(IF(K24="",INDEX(CONFIG!$F$5:$F$14,MATCH(D24,CONFIG!$D$5:$D$14,0)),K24)*IF(M24="",INDEX(CONFIG!$H$5:$H$14,MATCH(D24,CONFIG!$D$5:$D$14,0)),M24))),""))</f>
        <v>572.75</v>
      </c>
      <c r="Q24" s="16" t="n">
        <f aca="false">IF(OR(O24="",P24=""),"",O24/P24)</f>
        <v>80.3264949803579</v>
      </c>
      <c r="R24" s="16" t="n">
        <f aca="false">IF(Q24="","",Q24*0.0980665)</f>
        <v>7.87733821999127</v>
      </c>
      <c r="S24" s="16" t="str">
        <f aca="false">IF(Q24="","",IFERROR(Q24/(1/(1/INDEX(CONFIG!$I$5:$I$14,MATCH(D24,CONFIG!$D$5:$D$14,0)))),""))</f>
        <v/>
      </c>
      <c r="T24" s="13"/>
      <c r="U24" s="13"/>
      <c r="V24" s="13"/>
      <c r="W24" s="13"/>
      <c r="X24" s="22" t="n">
        <f aca="false">IF(Q24="","",Q24^2)</f>
        <v>6452.34579582947</v>
      </c>
      <c r="Y24" s="22" t="str">
        <f aca="false">IF(AND(C24&lt;&gt;"",C24=CERTIFICADO!$E$4,OR(CERTIFICADO!$E$5="",B24=CERTIFICADO!$E$5)),MAX($Y$4:Y23)+1,"")</f>
        <v/>
      </c>
    </row>
    <row r="25" customFormat="false" ht="15" hidden="false" customHeight="false" outlineLevel="0" collapsed="false">
      <c r="A25" s="11" t="n">
        <f aca="false">IF(C25="","",ROW()-4)</f>
        <v>21</v>
      </c>
      <c r="B25" s="12" t="n">
        <v>45668</v>
      </c>
      <c r="C25" s="13" t="s">
        <v>137</v>
      </c>
      <c r="D25" s="23" t="str">
        <f aca="false">IF(C25="","",IFERROR(INDEX(LOTES!$D$5:$D$1004,MATCH(C25,LOTES!$F$5:$F$1004,0)),"¿Lote?"))</f>
        <v>Block 6"</v>
      </c>
      <c r="E25" s="11" t="str">
        <f aca="false">IF(C25="","",IFERROR(INDEX(LOTES!$C$5:$C$1004,MATCH(C25,LOTES!$F$5:$F$1004,0)),""))</f>
        <v>P2</v>
      </c>
      <c r="F25" s="24" t="n">
        <f aca="false">IF(C25="","",IFERROR(INDEX(LOTES!$B$5:$B$1004,MATCH(C25,LOTES!$F$5:$F$1004,0)),""))</f>
        <v>45646</v>
      </c>
      <c r="G25" s="15" t="n">
        <f aca="false">IF(OR(B25="",F25=""),"",B25-F25)</f>
        <v>22</v>
      </c>
      <c r="H25" s="13" t="s">
        <v>135</v>
      </c>
      <c r="I25" s="13" t="s">
        <v>131</v>
      </c>
      <c r="J25" s="13" t="s">
        <v>138</v>
      </c>
      <c r="K25" s="25" t="n">
        <v>14.5</v>
      </c>
      <c r="L25" s="25" t="n">
        <v>19.5</v>
      </c>
      <c r="M25" s="25" t="n">
        <v>39.5</v>
      </c>
      <c r="N25" s="25"/>
      <c r="O25" s="26" t="n">
        <v>40991</v>
      </c>
      <c r="P25" s="16" t="n">
        <f aca="false">IF(O25="","",IFERROR(1/(1/(IF(K25="",INDEX(CONFIG!$F$5:$F$14,MATCH(D25,CONFIG!$D$5:$D$14,0)),K25)*IF(M25="",INDEX(CONFIG!$H$5:$H$14,MATCH(D25,CONFIG!$D$5:$D$14,0)),M25))),""))</f>
        <v>572.75</v>
      </c>
      <c r="Q25" s="16" t="n">
        <f aca="false">IF(OR(O25="",P25=""),"",O25/P25)</f>
        <v>71.5687472719337</v>
      </c>
      <c r="R25" s="16" t="n">
        <f aca="false">IF(Q25="","",Q25*0.0980665)</f>
        <v>7.01849655434308</v>
      </c>
      <c r="S25" s="16" t="str">
        <f aca="false">IF(Q25="","",IFERROR(Q25/(1/(1/INDEX(CONFIG!$I$5:$I$14,MATCH(D25,CONFIG!$D$5:$D$14,0)))),""))</f>
        <v/>
      </c>
      <c r="T25" s="13"/>
      <c r="U25" s="13"/>
      <c r="V25" s="13"/>
      <c r="W25" s="13"/>
      <c r="X25" s="22" t="n">
        <f aca="false">IF(Q25="","",Q25^2)</f>
        <v>5122.08558607391</v>
      </c>
      <c r="Y25" s="22" t="str">
        <f aca="false">IF(AND(C25&lt;&gt;"",C25=CERTIFICADO!$E$4,OR(CERTIFICADO!$E$5="",B25=CERTIFICADO!$E$5)),MAX($Y$4:Y24)+1,"")</f>
        <v/>
      </c>
    </row>
    <row r="26" customFormat="false" ht="15" hidden="false" customHeight="false" outlineLevel="0" collapsed="false">
      <c r="A26" s="11" t="n">
        <f aca="false">IF(C26="","",ROW()-4)</f>
        <v>22</v>
      </c>
      <c r="B26" s="12" t="n">
        <v>45668</v>
      </c>
      <c r="C26" s="13" t="s">
        <v>137</v>
      </c>
      <c r="D26" s="23" t="str">
        <f aca="false">IF(C26="","",IFERROR(INDEX(LOTES!$D$5:$D$1004,MATCH(C26,LOTES!$F$5:$F$1004,0)),"¿Lote?"))</f>
        <v>Block 6"</v>
      </c>
      <c r="E26" s="11" t="str">
        <f aca="false">IF(C26="","",IFERROR(INDEX(LOTES!$C$5:$C$1004,MATCH(C26,LOTES!$F$5:$F$1004,0)),""))</f>
        <v>P2</v>
      </c>
      <c r="F26" s="24" t="n">
        <f aca="false">IF(C26="","",IFERROR(INDEX(LOTES!$B$5:$B$1004,MATCH(C26,LOTES!$F$5:$F$1004,0)),""))</f>
        <v>45646</v>
      </c>
      <c r="G26" s="15" t="n">
        <f aca="false">IF(OR(B26="",F26=""),"",B26-F26)</f>
        <v>22</v>
      </c>
      <c r="H26" s="13" t="s">
        <v>135</v>
      </c>
      <c r="I26" s="13" t="s">
        <v>131</v>
      </c>
      <c r="J26" s="13" t="s">
        <v>138</v>
      </c>
      <c r="K26" s="25" t="n">
        <v>14.5</v>
      </c>
      <c r="L26" s="25" t="n">
        <v>19.5</v>
      </c>
      <c r="M26" s="25" t="n">
        <v>39.5</v>
      </c>
      <c r="N26" s="25"/>
      <c r="O26" s="26" t="n">
        <v>37280</v>
      </c>
      <c r="P26" s="16" t="n">
        <f aca="false">IF(O26="","",IFERROR(1/(1/(IF(K26="",INDEX(CONFIG!$F$5:$F$14,MATCH(D26,CONFIG!$D$5:$D$14,0)),K26)*IF(M26="",INDEX(CONFIG!$H$5:$H$14,MATCH(D26,CONFIG!$D$5:$D$14,0)),M26))),""))</f>
        <v>572.75</v>
      </c>
      <c r="Q26" s="16" t="n">
        <f aca="false">IF(OR(O26="",P26=""),"",O26/P26)</f>
        <v>65.0894805761676</v>
      </c>
      <c r="R26" s="16" t="n">
        <f aca="false">IF(Q26="","",Q26*0.0980665)</f>
        <v>6.38309754692274</v>
      </c>
      <c r="S26" s="16" t="str">
        <f aca="false">IF(Q26="","",IFERROR(Q26/(1/(1/INDEX(CONFIG!$I$5:$I$14,MATCH(D26,CONFIG!$D$5:$D$14,0)))),""))</f>
        <v/>
      </c>
      <c r="T26" s="13"/>
      <c r="U26" s="13"/>
      <c r="V26" s="13"/>
      <c r="W26" s="13"/>
      <c r="X26" s="22" t="n">
        <f aca="false">IF(Q26="","",Q26^2)</f>
        <v>4236.6404816753</v>
      </c>
      <c r="Y26" s="22" t="str">
        <f aca="false">IF(AND(C26&lt;&gt;"",C26=CERTIFICADO!$E$4,OR(CERTIFICADO!$E$5="",B26=CERTIFICADO!$E$5)),MAX($Y$4:Y25)+1,"")</f>
        <v/>
      </c>
    </row>
    <row r="27" customFormat="false" ht="15" hidden="false" customHeight="false" outlineLevel="0" collapsed="false">
      <c r="A27" s="11" t="n">
        <f aca="false">IF(C27="","",ROW()-4)</f>
        <v>23</v>
      </c>
      <c r="B27" s="12" t="n">
        <v>45668</v>
      </c>
      <c r="C27" s="13" t="s">
        <v>137</v>
      </c>
      <c r="D27" s="23" t="str">
        <f aca="false">IF(C27="","",IFERROR(INDEX(LOTES!$D$5:$D$1004,MATCH(C27,LOTES!$F$5:$F$1004,0)),"¿Lote?"))</f>
        <v>Block 6"</v>
      </c>
      <c r="E27" s="11" t="str">
        <f aca="false">IF(C27="","",IFERROR(INDEX(LOTES!$C$5:$C$1004,MATCH(C27,LOTES!$F$5:$F$1004,0)),""))</f>
        <v>P2</v>
      </c>
      <c r="F27" s="24" t="n">
        <f aca="false">IF(C27="","",IFERROR(INDEX(LOTES!$B$5:$B$1004,MATCH(C27,LOTES!$F$5:$F$1004,0)),""))</f>
        <v>45646</v>
      </c>
      <c r="G27" s="15" t="n">
        <f aca="false">IF(OR(B27="",F27=""),"",B27-F27)</f>
        <v>22</v>
      </c>
      <c r="H27" s="13" t="s">
        <v>135</v>
      </c>
      <c r="I27" s="13" t="s">
        <v>131</v>
      </c>
      <c r="J27" s="13" t="s">
        <v>138</v>
      </c>
      <c r="K27" s="25" t="n">
        <v>14.5</v>
      </c>
      <c r="L27" s="25" t="n">
        <v>19.5</v>
      </c>
      <c r="M27" s="25" t="n">
        <v>39.5</v>
      </c>
      <c r="N27" s="25"/>
      <c r="O27" s="26" t="n">
        <v>50103</v>
      </c>
      <c r="P27" s="16" t="n">
        <f aca="false">IF(O27="","",IFERROR(1/(1/(IF(K27="",INDEX(CONFIG!$F$5:$F$14,MATCH(D27,CONFIG!$D$5:$D$14,0)),K27)*IF(M27="",INDEX(CONFIG!$H$5:$H$14,MATCH(D27,CONFIG!$D$5:$D$14,0)),M27))),""))</f>
        <v>572.75</v>
      </c>
      <c r="Q27" s="16" t="n">
        <f aca="false">IF(OR(O27="",P27=""),"",O27/P27)</f>
        <v>87.4779572239197</v>
      </c>
      <c r="R27" s="16" t="n">
        <f aca="false">IF(Q27="","",Q27*0.0980665)</f>
        <v>8.57865709209952</v>
      </c>
      <c r="S27" s="16" t="str">
        <f aca="false">IF(Q27="","",IFERROR(Q27/(1/(1/INDEX(CONFIG!$I$5:$I$14,MATCH(D27,CONFIG!$D$5:$D$14,0)))),""))</f>
        <v/>
      </c>
      <c r="T27" s="13"/>
      <c r="U27" s="13"/>
      <c r="V27" s="13"/>
      <c r="W27" s="13"/>
      <c r="X27" s="22" t="n">
        <f aca="false">IF(Q27="","",Q27^2)</f>
        <v>7652.39300006992</v>
      </c>
      <c r="Y27" s="22" t="str">
        <f aca="false">IF(AND(C27&lt;&gt;"",C27=CERTIFICADO!$E$4,OR(CERTIFICADO!$E$5="",B27=CERTIFICADO!$E$5)),MAX($Y$4:Y26)+1,"")</f>
        <v/>
      </c>
    </row>
    <row r="28" customFormat="false" ht="15" hidden="false" customHeight="false" outlineLevel="0" collapsed="false">
      <c r="A28" s="11" t="n">
        <f aca="false">IF(C28="","",ROW()-4)</f>
        <v>24</v>
      </c>
      <c r="B28" s="12" t="n">
        <v>45668</v>
      </c>
      <c r="C28" s="13" t="s">
        <v>137</v>
      </c>
      <c r="D28" s="23" t="str">
        <f aca="false">IF(C28="","",IFERROR(INDEX(LOTES!$D$5:$D$1004,MATCH(C28,LOTES!$F$5:$F$1004,0)),"¿Lote?"))</f>
        <v>Block 6"</v>
      </c>
      <c r="E28" s="11" t="str">
        <f aca="false">IF(C28="","",IFERROR(INDEX(LOTES!$C$5:$C$1004,MATCH(C28,LOTES!$F$5:$F$1004,0)),""))</f>
        <v>P2</v>
      </c>
      <c r="F28" s="24" t="n">
        <f aca="false">IF(C28="","",IFERROR(INDEX(LOTES!$B$5:$B$1004,MATCH(C28,LOTES!$F$5:$F$1004,0)),""))</f>
        <v>45646</v>
      </c>
      <c r="G28" s="15" t="n">
        <f aca="false">IF(OR(B28="",F28=""),"",B28-F28)</f>
        <v>22</v>
      </c>
      <c r="H28" s="13" t="s">
        <v>135</v>
      </c>
      <c r="I28" s="13" t="s">
        <v>131</v>
      </c>
      <c r="J28" s="13" t="s">
        <v>138</v>
      </c>
      <c r="K28" s="25" t="n">
        <v>14.5</v>
      </c>
      <c r="L28" s="25" t="n">
        <v>19.5</v>
      </c>
      <c r="M28" s="25" t="n">
        <v>39.5</v>
      </c>
      <c r="N28" s="25"/>
      <c r="O28" s="26" t="n">
        <v>48289</v>
      </c>
      <c r="P28" s="16" t="n">
        <f aca="false">IF(O28="","",IFERROR(1/(1/(IF(K28="",INDEX(CONFIG!$F$5:$F$14,MATCH(D28,CONFIG!$D$5:$D$14,0)),K28)*IF(M28="",INDEX(CONFIG!$H$5:$H$14,MATCH(D28,CONFIG!$D$5:$D$14,0)),M28))),""))</f>
        <v>572.75</v>
      </c>
      <c r="Q28" s="16" t="n">
        <f aca="false">IF(OR(O28="",P28=""),"",O28/P28)</f>
        <v>84.3107813182017</v>
      </c>
      <c r="R28" s="16" t="n">
        <f aca="false">IF(Q28="","",Q28*0.0980665)</f>
        <v>8.26806323614142</v>
      </c>
      <c r="S28" s="16" t="str">
        <f aca="false">IF(Q28="","",IFERROR(Q28/(1/(1/INDEX(CONFIG!$I$5:$I$14,MATCH(D28,CONFIG!$D$5:$D$14,0)))),""))</f>
        <v/>
      </c>
      <c r="T28" s="13"/>
      <c r="U28" s="13"/>
      <c r="V28" s="13"/>
      <c r="W28" s="13"/>
      <c r="X28" s="22" t="n">
        <f aca="false">IF(Q28="","",Q28^2)</f>
        <v>7108.30784648562</v>
      </c>
      <c r="Y28" s="22" t="str">
        <f aca="false">IF(AND(C28&lt;&gt;"",C28=CERTIFICADO!$E$4,OR(CERTIFICADO!$E$5="",B28=CERTIFICADO!$E$5)),MAX($Y$4:Y27)+1,"")</f>
        <v/>
      </c>
    </row>
    <row r="29" customFormat="false" ht="15" hidden="false" customHeight="false" outlineLevel="0" collapsed="false">
      <c r="A29" s="11" t="n">
        <f aca="false">IF(C29="","",ROW()-4)</f>
        <v>25</v>
      </c>
      <c r="B29" s="12" t="n">
        <v>45668</v>
      </c>
      <c r="C29" s="13" t="s">
        <v>137</v>
      </c>
      <c r="D29" s="23" t="str">
        <f aca="false">IF(C29="","",IFERROR(INDEX(LOTES!$D$5:$D$1004,MATCH(C29,LOTES!$F$5:$F$1004,0)),"¿Lote?"))</f>
        <v>Block 6"</v>
      </c>
      <c r="E29" s="11" t="str">
        <f aca="false">IF(C29="","",IFERROR(INDEX(LOTES!$C$5:$C$1004,MATCH(C29,LOTES!$F$5:$F$1004,0)),""))</f>
        <v>P2</v>
      </c>
      <c r="F29" s="24" t="n">
        <f aca="false">IF(C29="","",IFERROR(INDEX(LOTES!$B$5:$B$1004,MATCH(C29,LOTES!$F$5:$F$1004,0)),""))</f>
        <v>45646</v>
      </c>
      <c r="G29" s="15" t="n">
        <f aca="false">IF(OR(B29="",F29=""),"",B29-F29)</f>
        <v>22</v>
      </c>
      <c r="H29" s="13" t="s">
        <v>135</v>
      </c>
      <c r="I29" s="13" t="s">
        <v>131</v>
      </c>
      <c r="J29" s="13" t="s">
        <v>138</v>
      </c>
      <c r="K29" s="25" t="n">
        <v>14.5</v>
      </c>
      <c r="L29" s="25" t="n">
        <v>19.5</v>
      </c>
      <c r="M29" s="25" t="n">
        <v>39.5</v>
      </c>
      <c r="N29" s="25"/>
      <c r="O29" s="26" t="n">
        <v>49514</v>
      </c>
      <c r="P29" s="16" t="n">
        <f aca="false">IF(O29="","",IFERROR(1/(1/(IF(K29="",INDEX(CONFIG!$F$5:$F$14,MATCH(D29,CONFIG!$D$5:$D$14,0)),K29)*IF(M29="",INDEX(CONFIG!$H$5:$H$14,MATCH(D29,CONFIG!$D$5:$D$14,0)),M29))),""))</f>
        <v>572.75</v>
      </c>
      <c r="Q29" s="16" t="n">
        <f aca="false">IF(OR(O29="",P29=""),"",O29/P29)</f>
        <v>86.4495853339153</v>
      </c>
      <c r="R29" s="16" t="n">
        <f aca="false">IF(Q29="","",Q29*0.0980665)</f>
        <v>8.47780826014841</v>
      </c>
      <c r="S29" s="16" t="str">
        <f aca="false">IF(Q29="","",IFERROR(Q29/(1/(1/INDEX(CONFIG!$I$5:$I$14,MATCH(D29,CONFIG!$D$5:$D$14,0)))),""))</f>
        <v/>
      </c>
      <c r="T29" s="13"/>
      <c r="U29" s="13"/>
      <c r="V29" s="13"/>
      <c r="W29" s="13"/>
      <c r="X29" s="22" t="n">
        <f aca="false">IF(Q29="","",Q29^2)</f>
        <v>7473.53080440591</v>
      </c>
      <c r="Y29" s="22" t="str">
        <f aca="false">IF(AND(C29&lt;&gt;"",C29=CERTIFICADO!$E$4,OR(CERTIFICADO!$E$5="",B29=CERTIFICADO!$E$5)),MAX($Y$4:Y28)+1,"")</f>
        <v/>
      </c>
    </row>
    <row r="30" customFormat="false" ht="15" hidden="false" customHeight="false" outlineLevel="0" collapsed="false">
      <c r="A30" s="11" t="n">
        <f aca="false">IF(C30="","",ROW()-4)</f>
        <v>26</v>
      </c>
      <c r="B30" s="12" t="n">
        <v>45668</v>
      </c>
      <c r="C30" s="13" t="s">
        <v>137</v>
      </c>
      <c r="D30" s="23" t="str">
        <f aca="false">IF(C30="","",IFERROR(INDEX(LOTES!$D$5:$D$1004,MATCH(C30,LOTES!$F$5:$F$1004,0)),"¿Lote?"))</f>
        <v>Block 6"</v>
      </c>
      <c r="E30" s="11" t="str">
        <f aca="false">IF(C30="","",IFERROR(INDEX(LOTES!$C$5:$C$1004,MATCH(C30,LOTES!$F$5:$F$1004,0)),""))</f>
        <v>P2</v>
      </c>
      <c r="F30" s="24" t="n">
        <f aca="false">IF(C30="","",IFERROR(INDEX(LOTES!$B$5:$B$1004,MATCH(C30,LOTES!$F$5:$F$1004,0)),""))</f>
        <v>45646</v>
      </c>
      <c r="G30" s="15" t="n">
        <f aca="false">IF(OR(B30="",F30=""),"",B30-F30)</f>
        <v>22</v>
      </c>
      <c r="H30" s="13" t="s">
        <v>135</v>
      </c>
      <c r="I30" s="13" t="s">
        <v>131</v>
      </c>
      <c r="J30" s="13" t="s">
        <v>138</v>
      </c>
      <c r="K30" s="25" t="n">
        <v>14.5</v>
      </c>
      <c r="L30" s="25" t="n">
        <v>19.5</v>
      </c>
      <c r="M30" s="25" t="n">
        <v>39.5</v>
      </c>
      <c r="N30" s="25"/>
      <c r="O30" s="26" t="n">
        <v>37879</v>
      </c>
      <c r="P30" s="16" t="n">
        <f aca="false">IF(O30="","",IFERROR(1/(1/(IF(K30="",INDEX(CONFIG!$F$5:$F$14,MATCH(D30,CONFIG!$D$5:$D$14,0)),K30)*IF(M30="",INDEX(CONFIG!$H$5:$H$14,MATCH(D30,CONFIG!$D$5:$D$14,0)),M30))),""))</f>
        <v>572.75</v>
      </c>
      <c r="Q30" s="16" t="n">
        <f aca="false">IF(OR(O30="",P30=""),"",O30/P30)</f>
        <v>66.1353120907901</v>
      </c>
      <c r="R30" s="16" t="n">
        <f aca="false">IF(Q30="","",Q30*0.0980665)</f>
        <v>6.48565858315146</v>
      </c>
      <c r="S30" s="16" t="str">
        <f aca="false">IF(Q30="","",IFERROR(Q30/(1/(1/INDEX(CONFIG!$I$5:$I$14,MATCH(D30,CONFIG!$D$5:$D$14,0)))),""))</f>
        <v/>
      </c>
      <c r="T30" s="13"/>
      <c r="U30" s="13"/>
      <c r="V30" s="13"/>
      <c r="W30" s="13"/>
      <c r="X30" s="22" t="n">
        <f aca="false">IF(Q30="","",Q30^2)</f>
        <v>4373.8795053462</v>
      </c>
      <c r="Y30" s="22" t="str">
        <f aca="false">IF(AND(C30&lt;&gt;"",C30=CERTIFICADO!$E$4,OR(CERTIFICADO!$E$5="",B30=CERTIFICADO!$E$5)),MAX($Y$4:Y29)+1,"")</f>
        <v/>
      </c>
    </row>
    <row r="31" customFormat="false" ht="15" hidden="false" customHeight="false" outlineLevel="0" collapsed="false">
      <c r="A31" s="11" t="n">
        <f aca="false">IF(C31="","",ROW()-4)</f>
        <v>27</v>
      </c>
      <c r="B31" s="12" t="n">
        <v>45668</v>
      </c>
      <c r="C31" s="13" t="s">
        <v>137</v>
      </c>
      <c r="D31" s="23" t="str">
        <f aca="false">IF(C31="","",IFERROR(INDEX(LOTES!$D$5:$D$1004,MATCH(C31,LOTES!$F$5:$F$1004,0)),"¿Lote?"))</f>
        <v>Block 6"</v>
      </c>
      <c r="E31" s="11" t="str">
        <f aca="false">IF(C31="","",IFERROR(INDEX(LOTES!$C$5:$C$1004,MATCH(C31,LOTES!$F$5:$F$1004,0)),""))</f>
        <v>P2</v>
      </c>
      <c r="F31" s="24" t="n">
        <f aca="false">IF(C31="","",IFERROR(INDEX(LOTES!$B$5:$B$1004,MATCH(C31,LOTES!$F$5:$F$1004,0)),""))</f>
        <v>45646</v>
      </c>
      <c r="G31" s="15" t="n">
        <f aca="false">IF(OR(B31="",F31=""),"",B31-F31)</f>
        <v>22</v>
      </c>
      <c r="H31" s="13" t="s">
        <v>135</v>
      </c>
      <c r="I31" s="13" t="s">
        <v>131</v>
      </c>
      <c r="J31" s="13" t="s">
        <v>138</v>
      </c>
      <c r="K31" s="25" t="n">
        <v>14.5</v>
      </c>
      <c r="L31" s="25" t="n">
        <v>19.5</v>
      </c>
      <c r="M31" s="25" t="n">
        <v>39.5</v>
      </c>
      <c r="N31" s="25"/>
      <c r="O31" s="26" t="n">
        <v>37802</v>
      </c>
      <c r="P31" s="16" t="n">
        <f aca="false">IF(O31="","",IFERROR(1/(1/(IF(K31="",INDEX(CONFIG!$F$5:$F$14,MATCH(D31,CONFIG!$D$5:$D$14,0)),K31)*IF(M31="",INDEX(CONFIG!$H$5:$H$14,MATCH(D31,CONFIG!$D$5:$D$14,0)),M31))),""))</f>
        <v>572.75</v>
      </c>
      <c r="Q31" s="16" t="n">
        <f aca="false">IF(OR(O31="",P31=""),"",O31/P31)</f>
        <v>66.0008729812309</v>
      </c>
      <c r="R31" s="16" t="n">
        <f aca="false">IF(Q31="","",Q31*0.0980665)</f>
        <v>6.47247461021388</v>
      </c>
      <c r="S31" s="16" t="str">
        <f aca="false">IF(Q31="","",IFERROR(Q31/(1/(1/INDEX(CONFIG!$I$5:$I$14,MATCH(D31,CONFIG!$D$5:$D$14,0)))),""))</f>
        <v/>
      </c>
      <c r="T31" s="13"/>
      <c r="U31" s="13"/>
      <c r="V31" s="13"/>
      <c r="W31" s="13"/>
      <c r="X31" s="22" t="n">
        <f aca="false">IF(Q31="","",Q31^2)</f>
        <v>4356.11523428457</v>
      </c>
      <c r="Y31" s="22" t="str">
        <f aca="false">IF(AND(C31&lt;&gt;"",C31=CERTIFICADO!$E$4,OR(CERTIFICADO!$E$5="",B31=CERTIFICADO!$E$5)),MAX($Y$4:Y30)+1,"")</f>
        <v/>
      </c>
    </row>
    <row r="32" customFormat="false" ht="15" hidden="false" customHeight="false" outlineLevel="0" collapsed="false">
      <c r="A32" s="11" t="n">
        <f aca="false">IF(C32="","",ROW()-4)</f>
        <v>28</v>
      </c>
      <c r="B32" s="12" t="n">
        <v>45672</v>
      </c>
      <c r="C32" s="13" t="s">
        <v>139</v>
      </c>
      <c r="D32" s="23" t="str">
        <f aca="false">IF(C32="","",IFERROR(INDEX(LOTES!$D$5:$D$1004,MATCH(C32,LOTES!$F$5:$F$1004,0)),"¿Lote?"))</f>
        <v>Block 8"</v>
      </c>
      <c r="E32" s="11" t="str">
        <f aca="false">IF(C32="","",IFERROR(INDEX(LOTES!$C$5:$C$1004,MATCH(C32,LOTES!$F$5:$F$1004,0)),""))</f>
        <v>P2</v>
      </c>
      <c r="F32" s="24" t="n">
        <f aca="false">IF(C32="","",IFERROR(INDEX(LOTES!$B$5:$B$1004,MATCH(C32,LOTES!$F$5:$F$1004,0)),""))</f>
        <v>45646</v>
      </c>
      <c r="G32" s="15" t="n">
        <f aca="false">IF(OR(B32="",F32=""),"",B32-F32)</f>
        <v>26</v>
      </c>
      <c r="H32" s="13" t="s">
        <v>135</v>
      </c>
      <c r="I32" s="13" t="s">
        <v>131</v>
      </c>
      <c r="J32" s="13" t="s">
        <v>140</v>
      </c>
      <c r="K32" s="25" t="n">
        <v>19.5</v>
      </c>
      <c r="L32" s="25" t="n">
        <v>19.5</v>
      </c>
      <c r="M32" s="25" t="n">
        <v>39.5</v>
      </c>
      <c r="N32" s="25"/>
      <c r="O32" s="26" t="n">
        <v>43685</v>
      </c>
      <c r="P32" s="16" t="n">
        <f aca="false">IF(O32="","",IFERROR(1/(1/(IF(K32="",INDEX(CONFIG!$F$5:$F$14,MATCH(D32,CONFIG!$D$5:$D$14,0)),K32)*IF(M32="",INDEX(CONFIG!$H$5:$H$14,MATCH(D32,CONFIG!$D$5:$D$14,0)),M32))),""))</f>
        <v>770.25</v>
      </c>
      <c r="Q32" s="16" t="n">
        <f aca="false">IF(OR(O32="",P32=""),"",O32/P32)</f>
        <v>56.7153521583901</v>
      </c>
      <c r="R32" s="16" t="n">
        <f aca="false">IF(Q32="","",Q32*0.0980665)</f>
        <v>5.56187608244077</v>
      </c>
      <c r="S32" s="16" t="str">
        <f aca="false">IF(Q32="","",IFERROR(Q32/(1/(1/INDEX(CONFIG!$I$5:$I$14,MATCH(D32,CONFIG!$D$5:$D$14,0)))),""))</f>
        <v/>
      </c>
      <c r="T32" s="13"/>
      <c r="U32" s="13"/>
      <c r="V32" s="13"/>
      <c r="W32" s="13"/>
      <c r="X32" s="22" t="n">
        <f aca="false">IF(Q32="","",Q32^2)</f>
        <v>3216.63117045021</v>
      </c>
      <c r="Y32" s="22" t="str">
        <f aca="false">IF(AND(C32&lt;&gt;"",C32=CERTIFICADO!$E$4,OR(CERTIFICADO!$E$5="",B32=CERTIFICADO!$E$5)),MAX($Y$4:Y31)+1,"")</f>
        <v/>
      </c>
    </row>
    <row r="33" customFormat="false" ht="15" hidden="false" customHeight="false" outlineLevel="0" collapsed="false">
      <c r="A33" s="11" t="n">
        <f aca="false">IF(C33="","",ROW()-4)</f>
        <v>29</v>
      </c>
      <c r="B33" s="12" t="n">
        <v>45672</v>
      </c>
      <c r="C33" s="13" t="s">
        <v>139</v>
      </c>
      <c r="D33" s="23" t="str">
        <f aca="false">IF(C33="","",IFERROR(INDEX(LOTES!$D$5:$D$1004,MATCH(C33,LOTES!$F$5:$F$1004,0)),"¿Lote?"))</f>
        <v>Block 8"</v>
      </c>
      <c r="E33" s="11" t="str">
        <f aca="false">IF(C33="","",IFERROR(INDEX(LOTES!$C$5:$C$1004,MATCH(C33,LOTES!$F$5:$F$1004,0)),""))</f>
        <v>P2</v>
      </c>
      <c r="F33" s="24" t="n">
        <f aca="false">IF(C33="","",IFERROR(INDEX(LOTES!$B$5:$B$1004,MATCH(C33,LOTES!$F$5:$F$1004,0)),""))</f>
        <v>45646</v>
      </c>
      <c r="G33" s="15" t="n">
        <f aca="false">IF(OR(B33="",F33=""),"",B33-F33)</f>
        <v>26</v>
      </c>
      <c r="H33" s="13" t="s">
        <v>135</v>
      </c>
      <c r="I33" s="13" t="s">
        <v>131</v>
      </c>
      <c r="J33" s="13" t="s">
        <v>140</v>
      </c>
      <c r="K33" s="25" t="n">
        <v>14.5</v>
      </c>
      <c r="L33" s="25" t="n">
        <v>19.5</v>
      </c>
      <c r="M33" s="25" t="n">
        <v>39.5</v>
      </c>
      <c r="N33" s="25"/>
      <c r="O33" s="26" t="n">
        <v>72960</v>
      </c>
      <c r="P33" s="16" t="n">
        <f aca="false">IF(O33="","",IFERROR(1/(1/(IF(K33="",INDEX(CONFIG!$F$5:$F$14,MATCH(D33,CONFIG!$D$5:$D$14,0)),K33)*IF(M33="",INDEX(CONFIG!$H$5:$H$14,MATCH(D33,CONFIG!$D$5:$D$14,0)),M33))),""))</f>
        <v>572.75</v>
      </c>
      <c r="Q33" s="16" t="n">
        <f aca="false">IF(OR(O33="",P33=""),"",O33/P33)</f>
        <v>127.385421213444</v>
      </c>
      <c r="R33" s="16" t="n">
        <f aca="false">IF(Q33="","",Q33*0.0980665)</f>
        <v>12.4922424094282</v>
      </c>
      <c r="S33" s="16" t="str">
        <f aca="false">IF(Q33="","",IFERROR(Q33/(1/(1/INDEX(CONFIG!$I$5:$I$14,MATCH(D33,CONFIG!$D$5:$D$14,0)))),""))</f>
        <v/>
      </c>
      <c r="T33" s="13"/>
      <c r="U33" s="13"/>
      <c r="V33" s="13"/>
      <c r="W33" s="13"/>
      <c r="X33" s="22" t="n">
        <f aca="false">IF(Q33="","",Q33^2)</f>
        <v>16227.0455377265</v>
      </c>
      <c r="Y33" s="22" t="str">
        <f aca="false">IF(AND(C33&lt;&gt;"",C33=CERTIFICADO!$E$4,OR(CERTIFICADO!$E$5="",B33=CERTIFICADO!$E$5)),MAX($Y$4:Y32)+1,"")</f>
        <v/>
      </c>
    </row>
    <row r="34" customFormat="false" ht="15" hidden="false" customHeight="false" outlineLevel="0" collapsed="false">
      <c r="A34" s="11" t="n">
        <f aca="false">IF(C34="","",ROW()-4)</f>
        <v>30</v>
      </c>
      <c r="B34" s="12" t="n">
        <v>45672</v>
      </c>
      <c r="C34" s="13" t="s">
        <v>139</v>
      </c>
      <c r="D34" s="23" t="str">
        <f aca="false">IF(C34="","",IFERROR(INDEX(LOTES!$D$5:$D$1004,MATCH(C34,LOTES!$F$5:$F$1004,0)),"¿Lote?"))</f>
        <v>Block 8"</v>
      </c>
      <c r="E34" s="11" t="str">
        <f aca="false">IF(C34="","",IFERROR(INDEX(LOTES!$C$5:$C$1004,MATCH(C34,LOTES!$F$5:$F$1004,0)),""))</f>
        <v>P2</v>
      </c>
      <c r="F34" s="24" t="n">
        <f aca="false">IF(C34="","",IFERROR(INDEX(LOTES!$B$5:$B$1004,MATCH(C34,LOTES!$F$5:$F$1004,0)),""))</f>
        <v>45646</v>
      </c>
      <c r="G34" s="15" t="n">
        <f aca="false">IF(OR(B34="",F34=""),"",B34-F34)</f>
        <v>26</v>
      </c>
      <c r="H34" s="13" t="s">
        <v>135</v>
      </c>
      <c r="I34" s="13" t="s">
        <v>131</v>
      </c>
      <c r="J34" s="13" t="s">
        <v>140</v>
      </c>
      <c r="K34" s="25" t="n">
        <v>14.5</v>
      </c>
      <c r="L34" s="25" t="n">
        <v>19.5</v>
      </c>
      <c r="M34" s="25" t="n">
        <v>39.5</v>
      </c>
      <c r="N34" s="25"/>
      <c r="O34" s="26" t="n">
        <v>68905</v>
      </c>
      <c r="P34" s="16" t="n">
        <f aca="false">IF(O34="","",IFERROR(1/(1/(IF(K34="",INDEX(CONFIG!$F$5:$F$14,MATCH(D34,CONFIG!$D$5:$D$14,0)),K34)*IF(M34="",INDEX(CONFIG!$H$5:$H$14,MATCH(D34,CONFIG!$D$5:$D$14,0)),M34))),""))</f>
        <v>572.75</v>
      </c>
      <c r="Q34" s="16" t="n">
        <f aca="false">IF(OR(O34="",P34=""),"",O34/P34)</f>
        <v>120.305543430816</v>
      </c>
      <c r="R34" s="16" t="n">
        <f aca="false">IF(Q34="","",Q34*0.0980665)</f>
        <v>11.7979435748581</v>
      </c>
      <c r="S34" s="16" t="str">
        <f aca="false">IF(Q34="","",IFERROR(Q34/(1/(1/INDEX(CONFIG!$I$5:$I$14,MATCH(D34,CONFIG!$D$5:$D$14,0)))),""))</f>
        <v/>
      </c>
      <c r="T34" s="13"/>
      <c r="U34" s="13"/>
      <c r="V34" s="13"/>
      <c r="W34" s="13"/>
      <c r="X34" s="22" t="n">
        <f aca="false">IF(Q34="","",Q34^2)</f>
        <v>14473.423780184</v>
      </c>
      <c r="Y34" s="22" t="str">
        <f aca="false">IF(AND(C34&lt;&gt;"",C34=CERTIFICADO!$E$4,OR(CERTIFICADO!$E$5="",B34=CERTIFICADO!$E$5)),MAX($Y$4:Y33)+1,"")</f>
        <v/>
      </c>
    </row>
    <row r="35" customFormat="false" ht="15" hidden="false" customHeight="false" outlineLevel="0" collapsed="false">
      <c r="A35" s="11" t="n">
        <f aca="false">IF(C35="","",ROW()-4)</f>
        <v>31</v>
      </c>
      <c r="B35" s="12" t="n">
        <v>45672</v>
      </c>
      <c r="C35" s="13" t="s">
        <v>139</v>
      </c>
      <c r="D35" s="23" t="str">
        <f aca="false">IF(C35="","",IFERROR(INDEX(LOTES!$D$5:$D$1004,MATCH(C35,LOTES!$F$5:$F$1004,0)),"¿Lote?"))</f>
        <v>Block 8"</v>
      </c>
      <c r="E35" s="11" t="str">
        <f aca="false">IF(C35="","",IFERROR(INDEX(LOTES!$C$5:$C$1004,MATCH(C35,LOTES!$F$5:$F$1004,0)),""))</f>
        <v>P2</v>
      </c>
      <c r="F35" s="24" t="n">
        <f aca="false">IF(C35="","",IFERROR(INDEX(LOTES!$B$5:$B$1004,MATCH(C35,LOTES!$F$5:$F$1004,0)),""))</f>
        <v>45646</v>
      </c>
      <c r="G35" s="15" t="n">
        <f aca="false">IF(OR(B35="",F35=""),"",B35-F35)</f>
        <v>26</v>
      </c>
      <c r="H35" s="13" t="s">
        <v>135</v>
      </c>
      <c r="I35" s="13" t="s">
        <v>131</v>
      </c>
      <c r="J35" s="13" t="s">
        <v>140</v>
      </c>
      <c r="K35" s="25" t="n">
        <v>14.5</v>
      </c>
      <c r="L35" s="25" t="n">
        <v>19.5</v>
      </c>
      <c r="M35" s="25" t="n">
        <v>39.5</v>
      </c>
      <c r="N35" s="25"/>
      <c r="O35" s="26" t="n">
        <v>64369</v>
      </c>
      <c r="P35" s="16" t="n">
        <f aca="false">IF(O35="","",IFERROR(1/(1/(IF(K35="",INDEX(CONFIG!$F$5:$F$14,MATCH(D35,CONFIG!$D$5:$D$14,0)),K35)*IF(M35="",INDEX(CONFIG!$H$5:$H$14,MATCH(D35,CONFIG!$D$5:$D$14,0)),M35))),""))</f>
        <v>572.75</v>
      </c>
      <c r="Q35" s="16" t="n">
        <f aca="false">IF(OR(O35="",P35=""),"",O35/P35)</f>
        <v>112.385857704059</v>
      </c>
      <c r="R35" s="16" t="n">
        <f aca="false">IF(Q35="","",Q35*0.0980665)</f>
        <v>11.0212877145351</v>
      </c>
      <c r="S35" s="16" t="str">
        <f aca="false">IF(Q35="","",IFERROR(Q35/(1/(1/INDEX(CONFIG!$I$5:$I$14,MATCH(D35,CONFIG!$D$5:$D$14,0)))),""))</f>
        <v/>
      </c>
      <c r="T35" s="13"/>
      <c r="U35" s="13"/>
      <c r="V35" s="13"/>
      <c r="W35" s="13"/>
      <c r="X35" s="22" t="n">
        <f aca="false">IF(Q35="","",Q35^2)</f>
        <v>12630.5810118771</v>
      </c>
      <c r="Y35" s="22" t="str">
        <f aca="false">IF(AND(C35&lt;&gt;"",C35=CERTIFICADO!$E$4,OR(CERTIFICADO!$E$5="",B35=CERTIFICADO!$E$5)),MAX($Y$4:Y34)+1,"")</f>
        <v/>
      </c>
    </row>
    <row r="36" customFormat="false" ht="15" hidden="false" customHeight="false" outlineLevel="0" collapsed="false">
      <c r="A36" s="11" t="n">
        <f aca="false">IF(C36="","",ROW()-4)</f>
        <v>32</v>
      </c>
      <c r="B36" s="12" t="n">
        <v>45672</v>
      </c>
      <c r="C36" s="13" t="s">
        <v>139</v>
      </c>
      <c r="D36" s="23" t="str">
        <f aca="false">IF(C36="","",IFERROR(INDEX(LOTES!$D$5:$D$1004,MATCH(C36,LOTES!$F$5:$F$1004,0)),"¿Lote?"))</f>
        <v>Block 8"</v>
      </c>
      <c r="E36" s="11" t="str">
        <f aca="false">IF(C36="","",IFERROR(INDEX(LOTES!$C$5:$C$1004,MATCH(C36,LOTES!$F$5:$F$1004,0)),""))</f>
        <v>P2</v>
      </c>
      <c r="F36" s="24" t="n">
        <f aca="false">IF(C36="","",IFERROR(INDEX(LOTES!$B$5:$B$1004,MATCH(C36,LOTES!$F$5:$F$1004,0)),""))</f>
        <v>45646</v>
      </c>
      <c r="G36" s="15" t="n">
        <f aca="false">IF(OR(B36="",F36=""),"",B36-F36)</f>
        <v>26</v>
      </c>
      <c r="H36" s="13" t="s">
        <v>135</v>
      </c>
      <c r="I36" s="13" t="s">
        <v>131</v>
      </c>
      <c r="J36" s="13" t="s">
        <v>140</v>
      </c>
      <c r="K36" s="25" t="n">
        <v>14.5</v>
      </c>
      <c r="L36" s="25" t="n">
        <v>19.5</v>
      </c>
      <c r="M36" s="25" t="n">
        <v>39.5</v>
      </c>
      <c r="N36" s="25"/>
      <c r="O36" s="26" t="n">
        <v>66954</v>
      </c>
      <c r="P36" s="16" t="n">
        <f aca="false">IF(O36="","",IFERROR(1/(1/(IF(K36="",INDEX(CONFIG!$F$5:$F$14,MATCH(D36,CONFIG!$D$5:$D$14,0)),K36)*IF(M36="",INDEX(CONFIG!$H$5:$H$14,MATCH(D36,CONFIG!$D$5:$D$14,0)),M36))),""))</f>
        <v>572.75</v>
      </c>
      <c r="Q36" s="16" t="n">
        <f aca="false">IF(OR(O36="",P36=""),"",O36/P36)</f>
        <v>116.899170667831</v>
      </c>
      <c r="R36" s="16" t="n">
        <f aca="false">IF(Q36="","",Q36*0.0980665)</f>
        <v>11.4638925202968</v>
      </c>
      <c r="S36" s="16" t="str">
        <f aca="false">IF(Q36="","",IFERROR(Q36/(1/(1/INDEX(CONFIG!$I$5:$I$14,MATCH(D36,CONFIG!$D$5:$D$14,0)))),""))</f>
        <v/>
      </c>
      <c r="T36" s="13"/>
      <c r="U36" s="13"/>
      <c r="V36" s="13"/>
      <c r="W36" s="13"/>
      <c r="X36" s="22" t="n">
        <f aca="false">IF(Q36="","",Q36^2)</f>
        <v>13665.4161028266</v>
      </c>
      <c r="Y36" s="22" t="str">
        <f aca="false">IF(AND(C36&lt;&gt;"",C36=CERTIFICADO!$E$4,OR(CERTIFICADO!$E$5="",B36=CERTIFICADO!$E$5)),MAX($Y$4:Y35)+1,"")</f>
        <v/>
      </c>
    </row>
    <row r="37" customFormat="false" ht="15" hidden="false" customHeight="false" outlineLevel="0" collapsed="false">
      <c r="A37" s="11" t="n">
        <f aca="false">IF(C37="","",ROW()-4)</f>
        <v>33</v>
      </c>
      <c r="B37" s="12" t="n">
        <v>45672</v>
      </c>
      <c r="C37" s="13" t="s">
        <v>139</v>
      </c>
      <c r="D37" s="23" t="str">
        <f aca="false">IF(C37="","",IFERROR(INDEX(LOTES!$D$5:$D$1004,MATCH(C37,LOTES!$F$5:$F$1004,0)),"¿Lote?"))</f>
        <v>Block 8"</v>
      </c>
      <c r="E37" s="11" t="str">
        <f aca="false">IF(C37="","",IFERROR(INDEX(LOTES!$C$5:$C$1004,MATCH(C37,LOTES!$F$5:$F$1004,0)),""))</f>
        <v>P2</v>
      </c>
      <c r="F37" s="24" t="n">
        <f aca="false">IF(C37="","",IFERROR(INDEX(LOTES!$B$5:$B$1004,MATCH(C37,LOTES!$F$5:$F$1004,0)),""))</f>
        <v>45646</v>
      </c>
      <c r="G37" s="15" t="n">
        <f aca="false">IF(OR(B37="",F37=""),"",B37-F37)</f>
        <v>26</v>
      </c>
      <c r="H37" s="13" t="s">
        <v>135</v>
      </c>
      <c r="I37" s="13" t="s">
        <v>131</v>
      </c>
      <c r="J37" s="13" t="s">
        <v>141</v>
      </c>
      <c r="K37" s="25" t="n">
        <v>19.5</v>
      </c>
      <c r="L37" s="25" t="n">
        <v>19.5</v>
      </c>
      <c r="M37" s="25" t="n">
        <v>39.5</v>
      </c>
      <c r="N37" s="25"/>
      <c r="O37" s="26" t="n">
        <v>56430</v>
      </c>
      <c r="P37" s="16" t="n">
        <f aca="false">IF(O37="","",IFERROR(1/(1/(IF(K37="",INDEX(CONFIG!$F$5:$F$14,MATCH(D37,CONFIG!$D$5:$D$14,0)),K37)*IF(M37="",INDEX(CONFIG!$H$5:$H$14,MATCH(D37,CONFIG!$D$5:$D$14,0)),M37))),""))</f>
        <v>770.25</v>
      </c>
      <c r="Q37" s="16" t="n">
        <f aca="false">IF(OR(O37="",P37=""),"",O37/P37)</f>
        <v>73.2619279454723</v>
      </c>
      <c r="R37" s="16" t="n">
        <f aca="false">IF(Q37="","",Q37*0.0980665)</f>
        <v>7.18454085686466</v>
      </c>
      <c r="S37" s="16" t="str">
        <f aca="false">IF(Q37="","",IFERROR(Q37/(1/(1/INDEX(CONFIG!$I$5:$I$14,MATCH(D37,CONFIG!$D$5:$D$14,0)))),""))</f>
        <v/>
      </c>
      <c r="T37" s="13"/>
      <c r="U37" s="13"/>
      <c r="V37" s="13"/>
      <c r="W37" s="13"/>
      <c r="X37" s="22" t="n">
        <f aca="false">IF(Q37="","",Q37^2)</f>
        <v>5367.31008628757</v>
      </c>
      <c r="Y37" s="22" t="str">
        <f aca="false">IF(AND(C37&lt;&gt;"",C37=CERTIFICADO!$E$4,OR(CERTIFICADO!$E$5="",B37=CERTIFICADO!$E$5)),MAX($Y$4:Y36)+1,"")</f>
        <v/>
      </c>
    </row>
    <row r="38" customFormat="false" ht="15" hidden="false" customHeight="false" outlineLevel="0" collapsed="false">
      <c r="A38" s="11" t="n">
        <f aca="false">IF(C38="","",ROW()-4)</f>
        <v>34</v>
      </c>
      <c r="B38" s="12" t="n">
        <v>45672</v>
      </c>
      <c r="C38" s="13" t="s">
        <v>139</v>
      </c>
      <c r="D38" s="23" t="str">
        <f aca="false">IF(C38="","",IFERROR(INDEX(LOTES!$D$5:$D$1004,MATCH(C38,LOTES!$F$5:$F$1004,0)),"¿Lote?"))</f>
        <v>Block 8"</v>
      </c>
      <c r="E38" s="11" t="str">
        <f aca="false">IF(C38="","",IFERROR(INDEX(LOTES!$C$5:$C$1004,MATCH(C38,LOTES!$F$5:$F$1004,0)),""))</f>
        <v>P2</v>
      </c>
      <c r="F38" s="24" t="n">
        <f aca="false">IF(C38="","",IFERROR(INDEX(LOTES!$B$5:$B$1004,MATCH(C38,LOTES!$F$5:$F$1004,0)),""))</f>
        <v>45646</v>
      </c>
      <c r="G38" s="15" t="n">
        <f aca="false">IF(OR(B38="",F38=""),"",B38-F38)</f>
        <v>26</v>
      </c>
      <c r="H38" s="13" t="s">
        <v>135</v>
      </c>
      <c r="I38" s="13" t="s">
        <v>131</v>
      </c>
      <c r="J38" s="13" t="s">
        <v>141</v>
      </c>
      <c r="K38" s="25" t="n">
        <v>14.5</v>
      </c>
      <c r="L38" s="25" t="n">
        <v>19.5</v>
      </c>
      <c r="M38" s="25" t="n">
        <v>39.5</v>
      </c>
      <c r="N38" s="25"/>
      <c r="O38" s="26" t="n">
        <v>65726</v>
      </c>
      <c r="P38" s="16" t="n">
        <f aca="false">IF(O38="","",IFERROR(1/(1/(IF(K38="",INDEX(CONFIG!$F$5:$F$14,MATCH(D38,CONFIG!$D$5:$D$14,0)),K38)*IF(M38="",INDEX(CONFIG!$H$5:$H$14,MATCH(D38,CONFIG!$D$5:$D$14,0)),M38))),""))</f>
        <v>572.75</v>
      </c>
      <c r="Q38" s="16" t="n">
        <f aca="false">IF(OR(O38="",P38=""),"",O38/P38)</f>
        <v>114.755128764732</v>
      </c>
      <c r="R38" s="16" t="n">
        <f aca="false">IF(Q38="","",Q38*0.0980665)</f>
        <v>11.2536338350065</v>
      </c>
      <c r="S38" s="16" t="str">
        <f aca="false">IF(Q38="","",IFERROR(Q38/(1/(1/INDEX(CONFIG!$I$5:$I$14,MATCH(D38,CONFIG!$D$5:$D$14,0)))),""))</f>
        <v/>
      </c>
      <c r="T38" s="13"/>
      <c r="U38" s="13"/>
      <c r="V38" s="13"/>
      <c r="W38" s="13"/>
      <c r="X38" s="22" t="n">
        <f aca="false">IF(Q38="","",Q38^2)</f>
        <v>13168.7395778101</v>
      </c>
      <c r="Y38" s="22" t="str">
        <f aca="false">IF(AND(C38&lt;&gt;"",C38=CERTIFICADO!$E$4,OR(CERTIFICADO!$E$5="",B38=CERTIFICADO!$E$5)),MAX($Y$4:Y37)+1,"")</f>
        <v/>
      </c>
    </row>
    <row r="39" customFormat="false" ht="15" hidden="false" customHeight="false" outlineLevel="0" collapsed="false">
      <c r="A39" s="11" t="n">
        <f aca="false">IF(C39="","",ROW()-4)</f>
        <v>35</v>
      </c>
      <c r="B39" s="12" t="n">
        <v>45672</v>
      </c>
      <c r="C39" s="13" t="s">
        <v>139</v>
      </c>
      <c r="D39" s="23" t="str">
        <f aca="false">IF(C39="","",IFERROR(INDEX(LOTES!$D$5:$D$1004,MATCH(C39,LOTES!$F$5:$F$1004,0)),"¿Lote?"))</f>
        <v>Block 8"</v>
      </c>
      <c r="E39" s="11" t="str">
        <f aca="false">IF(C39="","",IFERROR(INDEX(LOTES!$C$5:$C$1004,MATCH(C39,LOTES!$F$5:$F$1004,0)),""))</f>
        <v>P2</v>
      </c>
      <c r="F39" s="24" t="n">
        <f aca="false">IF(C39="","",IFERROR(INDEX(LOTES!$B$5:$B$1004,MATCH(C39,LOTES!$F$5:$F$1004,0)),""))</f>
        <v>45646</v>
      </c>
      <c r="G39" s="15" t="n">
        <f aca="false">IF(OR(B39="",F39=""),"",B39-F39)</f>
        <v>26</v>
      </c>
      <c r="H39" s="13" t="s">
        <v>135</v>
      </c>
      <c r="I39" s="13" t="s">
        <v>131</v>
      </c>
      <c r="J39" s="13" t="s">
        <v>141</v>
      </c>
      <c r="K39" s="25" t="n">
        <v>14.5</v>
      </c>
      <c r="L39" s="25" t="n">
        <v>19.5</v>
      </c>
      <c r="M39" s="25" t="n">
        <v>39.5</v>
      </c>
      <c r="N39" s="25"/>
      <c r="O39" s="26" t="n">
        <v>69570</v>
      </c>
      <c r="P39" s="16" t="n">
        <f aca="false">IF(O39="","",IFERROR(1/(1/(IF(K39="",INDEX(CONFIG!$F$5:$F$14,MATCH(D39,CONFIG!$D$5:$D$14,0)),K39)*IF(M39="",INDEX(CONFIG!$H$5:$H$14,MATCH(D39,CONFIG!$D$5:$D$14,0)),M39))),""))</f>
        <v>572.75</v>
      </c>
      <c r="Q39" s="16" t="n">
        <f aca="false">IF(OR(O39="",P39=""),"",O39/P39)</f>
        <v>121.466608467918</v>
      </c>
      <c r="R39" s="16" t="n">
        <f aca="false">IF(Q39="","",Q39*0.0980665)</f>
        <v>11.9118051593191</v>
      </c>
      <c r="S39" s="16" t="str">
        <f aca="false">IF(Q39="","",IFERROR(Q39/(1/(1/INDEX(CONFIG!$I$5:$I$14,MATCH(D39,CONFIG!$D$5:$D$14,0)))),""))</f>
        <v/>
      </c>
      <c r="T39" s="13"/>
      <c r="U39" s="13"/>
      <c r="V39" s="13"/>
      <c r="W39" s="13"/>
      <c r="X39" s="22" t="n">
        <f aca="false">IF(Q39="","",Q39^2)</f>
        <v>14754.1369726985</v>
      </c>
      <c r="Y39" s="22" t="str">
        <f aca="false">IF(AND(C39&lt;&gt;"",C39=CERTIFICADO!$E$4,OR(CERTIFICADO!$E$5="",B39=CERTIFICADO!$E$5)),MAX($Y$4:Y38)+1,"")</f>
        <v/>
      </c>
    </row>
    <row r="40" customFormat="false" ht="15" hidden="false" customHeight="false" outlineLevel="0" collapsed="false">
      <c r="A40" s="11" t="n">
        <f aca="false">IF(C40="","",ROW()-4)</f>
        <v>36</v>
      </c>
      <c r="B40" s="12" t="n">
        <v>45672</v>
      </c>
      <c r="C40" s="13" t="s">
        <v>139</v>
      </c>
      <c r="D40" s="23" t="str">
        <f aca="false">IF(C40="","",IFERROR(INDEX(LOTES!$D$5:$D$1004,MATCH(C40,LOTES!$F$5:$F$1004,0)),"¿Lote?"))</f>
        <v>Block 8"</v>
      </c>
      <c r="E40" s="11" t="str">
        <f aca="false">IF(C40="","",IFERROR(INDEX(LOTES!$C$5:$C$1004,MATCH(C40,LOTES!$F$5:$F$1004,0)),""))</f>
        <v>P2</v>
      </c>
      <c r="F40" s="24" t="n">
        <f aca="false">IF(C40="","",IFERROR(INDEX(LOTES!$B$5:$B$1004,MATCH(C40,LOTES!$F$5:$F$1004,0)),""))</f>
        <v>45646</v>
      </c>
      <c r="G40" s="15" t="n">
        <f aca="false">IF(OR(B40="",F40=""),"",B40-F40)</f>
        <v>26</v>
      </c>
      <c r="H40" s="13" t="s">
        <v>135</v>
      </c>
      <c r="I40" s="13" t="s">
        <v>131</v>
      </c>
      <c r="J40" s="13" t="s">
        <v>141</v>
      </c>
      <c r="K40" s="25" t="n">
        <v>14.5</v>
      </c>
      <c r="L40" s="25" t="n">
        <v>19.5</v>
      </c>
      <c r="M40" s="25" t="n">
        <v>39.5</v>
      </c>
      <c r="N40" s="25"/>
      <c r="O40" s="26" t="n">
        <v>53560</v>
      </c>
      <c r="P40" s="16" t="n">
        <f aca="false">IF(O40="","",IFERROR(1/(1/(IF(K40="",INDEX(CONFIG!$F$5:$F$14,MATCH(D40,CONFIG!$D$5:$D$14,0)),K40)*IF(M40="",INDEX(CONFIG!$H$5:$H$14,MATCH(D40,CONFIG!$D$5:$D$14,0)),M40))),""))</f>
        <v>572.75</v>
      </c>
      <c r="Q40" s="16" t="n">
        <f aca="false">IF(OR(O40="",P40=""),"",O40/P40)</f>
        <v>93.5137494543867</v>
      </c>
      <c r="R40" s="16" t="n">
        <f aca="false">IF(Q40="","",Q40*0.0980665)</f>
        <v>9.17056611086862</v>
      </c>
      <c r="S40" s="16" t="str">
        <f aca="false">IF(Q40="","",IFERROR(Q40/(1/(1/INDEX(CONFIG!$I$5:$I$14,MATCH(D40,CONFIG!$D$5:$D$14,0)))),""))</f>
        <v/>
      </c>
      <c r="T40" s="13"/>
      <c r="U40" s="13"/>
      <c r="V40" s="13"/>
      <c r="W40" s="13"/>
      <c r="X40" s="22" t="n">
        <f aca="false">IF(Q40="","",Q40^2)</f>
        <v>8744.82133701782</v>
      </c>
      <c r="Y40" s="22" t="str">
        <f aca="false">IF(AND(C40&lt;&gt;"",C40=CERTIFICADO!$E$4,OR(CERTIFICADO!$E$5="",B40=CERTIFICADO!$E$5)),MAX($Y$4:Y39)+1,"")</f>
        <v/>
      </c>
    </row>
    <row r="41" customFormat="false" ht="15" hidden="false" customHeight="false" outlineLevel="0" collapsed="false">
      <c r="A41" s="11" t="n">
        <f aca="false">IF(C41="","",ROW()-4)</f>
        <v>37</v>
      </c>
      <c r="B41" s="12" t="n">
        <v>45675</v>
      </c>
      <c r="C41" s="13" t="s">
        <v>142</v>
      </c>
      <c r="D41" s="23" t="str">
        <f aca="false">IF(C41="","",IFERROR(INDEX(LOTES!$D$5:$D$1004,MATCH(C41,LOTES!$F$5:$F$1004,0)),"¿Lote?"))</f>
        <v>Block 8"</v>
      </c>
      <c r="E41" s="11" t="str">
        <f aca="false">IF(C41="","",IFERROR(INDEX(LOTES!$C$5:$C$1004,MATCH(C41,LOTES!$F$5:$F$1004,0)),""))</f>
        <v>P1</v>
      </c>
      <c r="F41" s="24" t="n">
        <f aca="false">IF(C41="","",IFERROR(INDEX(LOTES!$B$5:$B$1004,MATCH(C41,LOTES!$F$5:$F$1004,0)),""))</f>
        <v>45671</v>
      </c>
      <c r="G41" s="15" t="n">
        <f aca="false">IF(OR(B41="",F41=""),"",B41-F41)</f>
        <v>4</v>
      </c>
      <c r="H41" s="13" t="s">
        <v>135</v>
      </c>
      <c r="I41" s="13" t="s">
        <v>131</v>
      </c>
      <c r="J41" s="13" t="s">
        <v>143</v>
      </c>
      <c r="K41" s="25" t="n">
        <v>19.5</v>
      </c>
      <c r="L41" s="25" t="n">
        <v>19.5</v>
      </c>
      <c r="M41" s="25" t="n">
        <v>39.5</v>
      </c>
      <c r="N41" s="25"/>
      <c r="O41" s="26" t="n">
        <v>60427</v>
      </c>
      <c r="P41" s="16" t="n">
        <f aca="false">IF(O41="","",IFERROR(1/(1/(IF(K41="",INDEX(CONFIG!$F$5:$F$14,MATCH(D41,CONFIG!$D$5:$D$14,0)),K41)*IF(M41="",INDEX(CONFIG!$H$5:$H$14,MATCH(D41,CONFIG!$D$5:$D$14,0)),M41))),""))</f>
        <v>770.25</v>
      </c>
      <c r="Q41" s="16" t="n">
        <f aca="false">IF(OR(O41="",P41=""),"",O41/P41)</f>
        <v>78.4511522233041</v>
      </c>
      <c r="R41" s="16" t="n">
        <f aca="false">IF(Q41="","",Q41*0.0980665)</f>
        <v>7.69342991950665</v>
      </c>
      <c r="S41" s="16" t="str">
        <f aca="false">IF(Q41="","",IFERROR(Q41/(1/(1/INDEX(CONFIG!$I$5:$I$14,MATCH(D41,CONFIG!$D$5:$D$14,0)))),""))</f>
        <v/>
      </c>
      <c r="T41" s="13"/>
      <c r="U41" s="13"/>
      <c r="V41" s="13"/>
      <c r="W41" s="13"/>
      <c r="X41" s="22" t="n">
        <f aca="false">IF(Q41="","",Q41^2)</f>
        <v>6154.58328516404</v>
      </c>
      <c r="Y41" s="22" t="str">
        <f aca="false">IF(AND(C41&lt;&gt;"",C41=CERTIFICADO!$E$4,OR(CERTIFICADO!$E$5="",B41=CERTIFICADO!$E$5)),MAX($Y$4:Y40)+1,"")</f>
        <v/>
      </c>
    </row>
    <row r="42" customFormat="false" ht="15" hidden="false" customHeight="false" outlineLevel="0" collapsed="false">
      <c r="A42" s="11" t="n">
        <f aca="false">IF(C42="","",ROW()-4)</f>
        <v>38</v>
      </c>
      <c r="B42" s="12" t="n">
        <v>45675</v>
      </c>
      <c r="C42" s="13" t="s">
        <v>142</v>
      </c>
      <c r="D42" s="23" t="str">
        <f aca="false">IF(C42="","",IFERROR(INDEX(LOTES!$D$5:$D$1004,MATCH(C42,LOTES!$F$5:$F$1004,0)),"¿Lote?"))</f>
        <v>Block 8"</v>
      </c>
      <c r="E42" s="11" t="str">
        <f aca="false">IF(C42="","",IFERROR(INDEX(LOTES!$C$5:$C$1004,MATCH(C42,LOTES!$F$5:$F$1004,0)),""))</f>
        <v>P1</v>
      </c>
      <c r="F42" s="24" t="n">
        <f aca="false">IF(C42="","",IFERROR(INDEX(LOTES!$B$5:$B$1004,MATCH(C42,LOTES!$F$5:$F$1004,0)),""))</f>
        <v>45671</v>
      </c>
      <c r="G42" s="15" t="n">
        <f aca="false">IF(OR(B42="",F42=""),"",B42-F42)</f>
        <v>4</v>
      </c>
      <c r="H42" s="13" t="s">
        <v>135</v>
      </c>
      <c r="I42" s="13" t="s">
        <v>131</v>
      </c>
      <c r="J42" s="13" t="s">
        <v>143</v>
      </c>
      <c r="K42" s="25" t="n">
        <v>14.5</v>
      </c>
      <c r="L42" s="25" t="n">
        <v>19.5</v>
      </c>
      <c r="M42" s="25" t="n">
        <v>39.5</v>
      </c>
      <c r="N42" s="25"/>
      <c r="O42" s="26" t="n">
        <v>51355</v>
      </c>
      <c r="P42" s="16" t="n">
        <f aca="false">IF(O42="","",IFERROR(1/(1/(IF(K42="",INDEX(CONFIG!$F$5:$F$14,MATCH(D42,CONFIG!$D$5:$D$14,0)),K42)*IF(M42="",INDEX(CONFIG!$H$5:$H$14,MATCH(D42,CONFIG!$D$5:$D$14,0)),M42))),""))</f>
        <v>572.75</v>
      </c>
      <c r="Q42" s="16" t="n">
        <f aca="false">IF(OR(O42="",P42=""),"",O42/P42)</f>
        <v>89.6639022261021</v>
      </c>
      <c r="R42" s="16" t="n">
        <f aca="false">IF(Q42="","",Q42*0.0980665)</f>
        <v>8.79302506765605</v>
      </c>
      <c r="S42" s="16" t="str">
        <f aca="false">IF(Q42="","",IFERROR(Q42/(1/(1/INDEX(CONFIG!$I$5:$I$14,MATCH(D42,CONFIG!$D$5:$D$14,0)))),""))</f>
        <v/>
      </c>
      <c r="T42" s="13"/>
      <c r="U42" s="13"/>
      <c r="V42" s="13"/>
      <c r="W42" s="13"/>
      <c r="X42" s="22" t="n">
        <f aca="false">IF(Q42="","",Q42^2)</f>
        <v>8039.615362412</v>
      </c>
      <c r="Y42" s="22" t="str">
        <f aca="false">IF(AND(C42&lt;&gt;"",C42=CERTIFICADO!$E$4,OR(CERTIFICADO!$E$5="",B42=CERTIFICADO!$E$5)),MAX($Y$4:Y41)+1,"")</f>
        <v/>
      </c>
    </row>
    <row r="43" customFormat="false" ht="15" hidden="false" customHeight="false" outlineLevel="0" collapsed="false">
      <c r="A43" s="11" t="n">
        <f aca="false">IF(C43="","",ROW()-4)</f>
        <v>39</v>
      </c>
      <c r="B43" s="12" t="n">
        <v>45675</v>
      </c>
      <c r="C43" s="13" t="s">
        <v>142</v>
      </c>
      <c r="D43" s="23" t="str">
        <f aca="false">IF(C43="","",IFERROR(INDEX(LOTES!$D$5:$D$1004,MATCH(C43,LOTES!$F$5:$F$1004,0)),"¿Lote?"))</f>
        <v>Block 8"</v>
      </c>
      <c r="E43" s="11" t="str">
        <f aca="false">IF(C43="","",IFERROR(INDEX(LOTES!$C$5:$C$1004,MATCH(C43,LOTES!$F$5:$F$1004,0)),""))</f>
        <v>P1</v>
      </c>
      <c r="F43" s="24" t="n">
        <f aca="false">IF(C43="","",IFERROR(INDEX(LOTES!$B$5:$B$1004,MATCH(C43,LOTES!$F$5:$F$1004,0)),""))</f>
        <v>45671</v>
      </c>
      <c r="G43" s="15" t="n">
        <f aca="false">IF(OR(B43="",F43=""),"",B43-F43)</f>
        <v>4</v>
      </c>
      <c r="H43" s="13" t="s">
        <v>135</v>
      </c>
      <c r="I43" s="13" t="s">
        <v>131</v>
      </c>
      <c r="J43" s="13" t="s">
        <v>143</v>
      </c>
      <c r="K43" s="25" t="n">
        <v>14.5</v>
      </c>
      <c r="L43" s="25" t="n">
        <v>19.5</v>
      </c>
      <c r="M43" s="25" t="n">
        <v>39.5</v>
      </c>
      <c r="N43" s="25"/>
      <c r="O43" s="26" t="n">
        <v>54975</v>
      </c>
      <c r="P43" s="16" t="n">
        <f aca="false">IF(O43="","",IFERROR(1/(1/(IF(K43="",INDEX(CONFIG!$F$5:$F$14,MATCH(D43,CONFIG!$D$5:$D$14,0)),K43)*IF(M43="",INDEX(CONFIG!$H$5:$H$14,MATCH(D43,CONFIG!$D$5:$D$14,0)),M43))),""))</f>
        <v>572.75</v>
      </c>
      <c r="Q43" s="16" t="n">
        <f aca="false">IF(OR(O43="",P43=""),"",O43/P43)</f>
        <v>95.9842863378437</v>
      </c>
      <c r="R43" s="16" t="n">
        <f aca="false">IF(Q43="","",Q43*0.0980665)</f>
        <v>9.41284301615015</v>
      </c>
      <c r="S43" s="16" t="str">
        <f aca="false">IF(Q43="","",IFERROR(Q43/(1/(1/INDEX(CONFIG!$I$5:$I$14,MATCH(D43,CONFIG!$D$5:$D$14,0)))),""))</f>
        <v/>
      </c>
      <c r="T43" s="13"/>
      <c r="U43" s="13"/>
      <c r="V43" s="13"/>
      <c r="W43" s="13"/>
      <c r="X43" s="22" t="n">
        <f aca="false">IF(Q43="","",Q43^2)</f>
        <v>9212.98322378518</v>
      </c>
      <c r="Y43" s="22" t="str">
        <f aca="false">IF(AND(C43&lt;&gt;"",C43=CERTIFICADO!$E$4,OR(CERTIFICADO!$E$5="",B43=CERTIFICADO!$E$5)),MAX($Y$4:Y42)+1,"")</f>
        <v/>
      </c>
    </row>
    <row r="44" customFormat="false" ht="15" hidden="false" customHeight="false" outlineLevel="0" collapsed="false">
      <c r="A44" s="11" t="n">
        <f aca="false">IF(C44="","",ROW()-4)</f>
        <v>40</v>
      </c>
      <c r="B44" s="12" t="n">
        <v>45675</v>
      </c>
      <c r="C44" s="13" t="s">
        <v>142</v>
      </c>
      <c r="D44" s="23" t="str">
        <f aca="false">IF(C44="","",IFERROR(INDEX(LOTES!$D$5:$D$1004,MATCH(C44,LOTES!$F$5:$F$1004,0)),"¿Lote?"))</f>
        <v>Block 8"</v>
      </c>
      <c r="E44" s="11" t="str">
        <f aca="false">IF(C44="","",IFERROR(INDEX(LOTES!$C$5:$C$1004,MATCH(C44,LOTES!$F$5:$F$1004,0)),""))</f>
        <v>P1</v>
      </c>
      <c r="F44" s="24" t="n">
        <f aca="false">IF(C44="","",IFERROR(INDEX(LOTES!$B$5:$B$1004,MATCH(C44,LOTES!$F$5:$F$1004,0)),""))</f>
        <v>45671</v>
      </c>
      <c r="G44" s="15" t="n">
        <f aca="false">IF(OR(B44="",F44=""),"",B44-F44)</f>
        <v>4</v>
      </c>
      <c r="H44" s="13" t="s">
        <v>135</v>
      </c>
      <c r="I44" s="13" t="s">
        <v>131</v>
      </c>
      <c r="J44" s="13" t="s">
        <v>143</v>
      </c>
      <c r="K44" s="25" t="n">
        <v>14.5</v>
      </c>
      <c r="L44" s="25" t="n">
        <v>19.5</v>
      </c>
      <c r="M44" s="25" t="n">
        <v>39.5</v>
      </c>
      <c r="N44" s="25"/>
      <c r="O44" s="26" t="n">
        <v>47364</v>
      </c>
      <c r="P44" s="16" t="n">
        <f aca="false">IF(O44="","",IFERROR(1/(1/(IF(K44="",INDEX(CONFIG!$F$5:$F$14,MATCH(D44,CONFIG!$D$5:$D$14,0)),K44)*IF(M44="",INDEX(CONFIG!$H$5:$H$14,MATCH(D44,CONFIG!$D$5:$D$14,0)),M44))),""))</f>
        <v>572.75</v>
      </c>
      <c r="Q44" s="16" t="n">
        <f aca="false">IF(OR(O44="",P44=""),"",O44/P44)</f>
        <v>82.6957660410301</v>
      </c>
      <c r="R44" s="16" t="n">
        <f aca="false">IF(Q44="","",Q44*0.0980665)</f>
        <v>8.10968434046268</v>
      </c>
      <c r="S44" s="16" t="str">
        <f aca="false">IF(Q44="","",IFERROR(Q44/(1/(1/INDEX(CONFIG!$I$5:$I$14,MATCH(D44,CONFIG!$D$5:$D$14,0)))),""))</f>
        <v/>
      </c>
      <c r="T44" s="13"/>
      <c r="U44" s="13"/>
      <c r="V44" s="13"/>
      <c r="W44" s="13"/>
      <c r="X44" s="22" t="n">
        <f aca="false">IF(Q44="","",Q44^2)</f>
        <v>6838.58972111279</v>
      </c>
      <c r="Y44" s="22" t="str">
        <f aca="false">IF(AND(C44&lt;&gt;"",C44=CERTIFICADO!$E$4,OR(CERTIFICADO!$E$5="",B44=CERTIFICADO!$E$5)),MAX($Y$4:Y43)+1,"")</f>
        <v/>
      </c>
    </row>
    <row r="45" customFormat="false" ht="15" hidden="false" customHeight="false" outlineLevel="0" collapsed="false">
      <c r="A45" s="11" t="n">
        <f aca="false">IF(C45="","",ROW()-4)</f>
        <v>41</v>
      </c>
      <c r="B45" s="12" t="n">
        <v>45675</v>
      </c>
      <c r="C45" s="13" t="s">
        <v>142</v>
      </c>
      <c r="D45" s="23" t="str">
        <f aca="false">IF(C45="","",IFERROR(INDEX(LOTES!$D$5:$D$1004,MATCH(C45,LOTES!$F$5:$F$1004,0)),"¿Lote?"))</f>
        <v>Block 8"</v>
      </c>
      <c r="E45" s="11" t="str">
        <f aca="false">IF(C45="","",IFERROR(INDEX(LOTES!$C$5:$C$1004,MATCH(C45,LOTES!$F$5:$F$1004,0)),""))</f>
        <v>P1</v>
      </c>
      <c r="F45" s="24" t="n">
        <f aca="false">IF(C45="","",IFERROR(INDEX(LOTES!$B$5:$B$1004,MATCH(C45,LOTES!$F$5:$F$1004,0)),""))</f>
        <v>45671</v>
      </c>
      <c r="G45" s="15" t="n">
        <f aca="false">IF(OR(B45="",F45=""),"",B45-F45)</f>
        <v>4</v>
      </c>
      <c r="H45" s="13" t="s">
        <v>135</v>
      </c>
      <c r="I45" s="13" t="s">
        <v>131</v>
      </c>
      <c r="J45" s="13" t="s">
        <v>143</v>
      </c>
      <c r="K45" s="25" t="n">
        <v>14.5</v>
      </c>
      <c r="L45" s="25" t="n">
        <v>19.5</v>
      </c>
      <c r="M45" s="25" t="n">
        <v>39.5</v>
      </c>
      <c r="N45" s="25"/>
      <c r="O45" s="26" t="n">
        <v>58839</v>
      </c>
      <c r="P45" s="16" t="n">
        <f aca="false">IF(O45="","",IFERROR(1/(1/(IF(K45="",INDEX(CONFIG!$F$5:$F$14,MATCH(D45,CONFIG!$D$5:$D$14,0)),K45)*IF(M45="",INDEX(CONFIG!$H$5:$H$14,MATCH(D45,CONFIG!$D$5:$D$14,0)),M45))),""))</f>
        <v>572.75</v>
      </c>
      <c r="Q45" s="16" t="n">
        <f aca="false">IF(OR(O45="",P45=""),"",O45/P45)</f>
        <v>102.730685290266</v>
      </c>
      <c r="R45" s="16" t="n">
        <f aca="false">IF(Q45="","",Q45*0.0980665)</f>
        <v>10.0744387490179</v>
      </c>
      <c r="S45" s="16" t="str">
        <f aca="false">IF(Q45="","",IFERROR(Q45/(1/(1/INDEX(CONFIG!$I$5:$I$14,MATCH(D45,CONFIG!$D$5:$D$14,0)))),""))</f>
        <v/>
      </c>
      <c r="T45" s="13"/>
      <c r="U45" s="13"/>
      <c r="V45" s="13"/>
      <c r="W45" s="13"/>
      <c r="X45" s="22" t="n">
        <f aca="false">IF(Q45="","",Q45^2)</f>
        <v>10553.5937002077</v>
      </c>
      <c r="Y45" s="22" t="str">
        <f aca="false">IF(AND(C45&lt;&gt;"",C45=CERTIFICADO!$E$4,OR(CERTIFICADO!$E$5="",B45=CERTIFICADO!$E$5)),MAX($Y$4:Y44)+1,"")</f>
        <v/>
      </c>
    </row>
    <row r="46" customFormat="false" ht="15" hidden="false" customHeight="false" outlineLevel="0" collapsed="false">
      <c r="A46" s="11" t="n">
        <f aca="false">IF(C46="","",ROW()-4)</f>
        <v>42</v>
      </c>
      <c r="B46" s="12" t="n">
        <v>45679</v>
      </c>
      <c r="C46" s="13" t="s">
        <v>144</v>
      </c>
      <c r="D46" s="23" t="str">
        <f aca="false">IF(C46="","",IFERROR(INDEX(LOTES!$D$5:$D$1004,MATCH(C46,LOTES!$F$5:$F$1004,0)),"¿Lote?"))</f>
        <v>Block 8"</v>
      </c>
      <c r="E46" s="11" t="str">
        <f aca="false">IF(C46="","",IFERROR(INDEX(LOTES!$C$5:$C$1004,MATCH(C46,LOTES!$F$5:$F$1004,0)),""))</f>
        <v>P1</v>
      </c>
      <c r="F46" s="24" t="n">
        <f aca="false">IF(C46="","",IFERROR(INDEX(LOTES!$B$5:$B$1004,MATCH(C46,LOTES!$F$5:$F$1004,0)),""))</f>
        <v>45674</v>
      </c>
      <c r="G46" s="15" t="n">
        <f aca="false">IF(OR(B46="",F46=""),"",B46-F46)</f>
        <v>5</v>
      </c>
      <c r="H46" s="13" t="s">
        <v>135</v>
      </c>
      <c r="I46" s="13" t="s">
        <v>131</v>
      </c>
      <c r="J46" s="13" t="s">
        <v>145</v>
      </c>
      <c r="K46" s="25" t="n">
        <v>19.5</v>
      </c>
      <c r="L46" s="25" t="n">
        <v>19.5</v>
      </c>
      <c r="M46" s="25" t="n">
        <v>39.5</v>
      </c>
      <c r="N46" s="25"/>
      <c r="O46" s="26" t="n">
        <v>65893</v>
      </c>
      <c r="P46" s="16" t="n">
        <f aca="false">IF(O46="","",IFERROR(1/(1/(IF(K46="",INDEX(CONFIG!$F$5:$F$14,MATCH(D46,CONFIG!$D$5:$D$14,0)),K46)*IF(M46="",INDEX(CONFIG!$H$5:$H$14,MATCH(D46,CONFIG!$D$5:$D$14,0)),M46))),""))</f>
        <v>770.25</v>
      </c>
      <c r="Q46" s="16" t="n">
        <f aca="false">IF(OR(O46="",P46=""),"",O46/P46)</f>
        <v>85.5475494969166</v>
      </c>
      <c r="R46" s="16" t="n">
        <f aca="false">IF(Q46="","",Q46*0.0980665)</f>
        <v>8.38934876273937</v>
      </c>
      <c r="S46" s="16" t="str">
        <f aca="false">IF(Q46="","",IFERROR(Q46/(1/(1/INDEX(CONFIG!$I$5:$I$14,MATCH(D46,CONFIG!$D$5:$D$14,0)))),""))</f>
        <v/>
      </c>
      <c r="T46" s="13"/>
      <c r="U46" s="13"/>
      <c r="V46" s="13"/>
      <c r="W46" s="13"/>
      <c r="X46" s="22" t="n">
        <f aca="false">IF(Q46="","",Q46^2)</f>
        <v>7318.38322492739</v>
      </c>
      <c r="Y46" s="22" t="str">
        <f aca="false">IF(AND(C46&lt;&gt;"",C46=CERTIFICADO!$E$4,OR(CERTIFICADO!$E$5="",B46=CERTIFICADO!$E$5)),MAX($Y$4:Y45)+1,"")</f>
        <v/>
      </c>
    </row>
    <row r="47" customFormat="false" ht="15" hidden="false" customHeight="false" outlineLevel="0" collapsed="false">
      <c r="A47" s="11" t="n">
        <f aca="false">IF(C47="","",ROW()-4)</f>
        <v>43</v>
      </c>
      <c r="B47" s="12" t="n">
        <v>45679</v>
      </c>
      <c r="C47" s="13" t="s">
        <v>144</v>
      </c>
      <c r="D47" s="23" t="str">
        <f aca="false">IF(C47="","",IFERROR(INDEX(LOTES!$D$5:$D$1004,MATCH(C47,LOTES!$F$5:$F$1004,0)),"¿Lote?"))</f>
        <v>Block 8"</v>
      </c>
      <c r="E47" s="11" t="str">
        <f aca="false">IF(C47="","",IFERROR(INDEX(LOTES!$C$5:$C$1004,MATCH(C47,LOTES!$F$5:$F$1004,0)),""))</f>
        <v>P1</v>
      </c>
      <c r="F47" s="24" t="n">
        <f aca="false">IF(C47="","",IFERROR(INDEX(LOTES!$B$5:$B$1004,MATCH(C47,LOTES!$F$5:$F$1004,0)),""))</f>
        <v>45674</v>
      </c>
      <c r="G47" s="15" t="n">
        <f aca="false">IF(OR(B47="",F47=""),"",B47-F47)</f>
        <v>5</v>
      </c>
      <c r="H47" s="13" t="s">
        <v>135</v>
      </c>
      <c r="I47" s="13" t="s">
        <v>131</v>
      </c>
      <c r="J47" s="13" t="s">
        <v>145</v>
      </c>
      <c r="K47" s="25" t="n">
        <v>14.5</v>
      </c>
      <c r="L47" s="25" t="n">
        <v>19.5</v>
      </c>
      <c r="M47" s="25" t="n">
        <v>39.5</v>
      </c>
      <c r="N47" s="25"/>
      <c r="O47" s="26" t="n">
        <v>59651</v>
      </c>
      <c r="P47" s="16" t="n">
        <f aca="false">IF(O47="","",IFERROR(1/(1/(IF(K47="",INDEX(CONFIG!$F$5:$F$14,MATCH(D47,CONFIG!$D$5:$D$14,0)),K47)*IF(M47="",INDEX(CONFIG!$H$5:$H$14,MATCH(D47,CONFIG!$D$5:$D$14,0)),M47))),""))</f>
        <v>572.75</v>
      </c>
      <c r="Q47" s="16" t="n">
        <f aca="false">IF(OR(O47="",P47=""),"",O47/P47)</f>
        <v>104.148406809254</v>
      </c>
      <c r="R47" s="16" t="n">
        <f aca="false">IF(Q47="","",Q47*0.0980665)</f>
        <v>10.2134697363597</v>
      </c>
      <c r="S47" s="16" t="str">
        <f aca="false">IF(Q47="","",IFERROR(Q47/(1/(1/INDEX(CONFIG!$I$5:$I$14,MATCH(D47,CONFIG!$D$5:$D$14,0)))),""))</f>
        <v/>
      </c>
      <c r="T47" s="13"/>
      <c r="U47" s="13"/>
      <c r="V47" s="13"/>
      <c r="W47" s="13"/>
      <c r="X47" s="22" t="n">
        <f aca="false">IF(Q47="","",Q47^2)</f>
        <v>10846.8906409058</v>
      </c>
      <c r="Y47" s="22" t="str">
        <f aca="false">IF(AND(C47&lt;&gt;"",C47=CERTIFICADO!$E$4,OR(CERTIFICADO!$E$5="",B47=CERTIFICADO!$E$5)),MAX($Y$4:Y46)+1,"")</f>
        <v/>
      </c>
    </row>
    <row r="48" customFormat="false" ht="15" hidden="false" customHeight="false" outlineLevel="0" collapsed="false">
      <c r="A48" s="11" t="n">
        <f aca="false">IF(C48="","",ROW()-4)</f>
        <v>44</v>
      </c>
      <c r="B48" s="12" t="n">
        <v>45679</v>
      </c>
      <c r="C48" s="13" t="s">
        <v>144</v>
      </c>
      <c r="D48" s="23" t="str">
        <f aca="false">IF(C48="","",IFERROR(INDEX(LOTES!$D$5:$D$1004,MATCH(C48,LOTES!$F$5:$F$1004,0)),"¿Lote?"))</f>
        <v>Block 8"</v>
      </c>
      <c r="E48" s="11" t="str">
        <f aca="false">IF(C48="","",IFERROR(INDEX(LOTES!$C$5:$C$1004,MATCH(C48,LOTES!$F$5:$F$1004,0)),""))</f>
        <v>P1</v>
      </c>
      <c r="F48" s="24" t="n">
        <f aca="false">IF(C48="","",IFERROR(INDEX(LOTES!$B$5:$B$1004,MATCH(C48,LOTES!$F$5:$F$1004,0)),""))</f>
        <v>45674</v>
      </c>
      <c r="G48" s="15" t="n">
        <f aca="false">IF(OR(B48="",F48=""),"",B48-F48)</f>
        <v>5</v>
      </c>
      <c r="H48" s="13" t="s">
        <v>135</v>
      </c>
      <c r="I48" s="13" t="s">
        <v>131</v>
      </c>
      <c r="J48" s="13" t="s">
        <v>145</v>
      </c>
      <c r="K48" s="25" t="n">
        <v>14.5</v>
      </c>
      <c r="L48" s="25" t="n">
        <v>19.5</v>
      </c>
      <c r="M48" s="25" t="n">
        <v>39.5</v>
      </c>
      <c r="N48" s="25"/>
      <c r="O48" s="26" t="n">
        <v>62332</v>
      </c>
      <c r="P48" s="16" t="n">
        <f aca="false">IF(O48="","",IFERROR(1/(1/(IF(K48="",INDEX(CONFIG!$F$5:$F$14,MATCH(D48,CONFIG!$D$5:$D$14,0)),K48)*IF(M48="",INDEX(CONFIG!$H$5:$H$14,MATCH(D48,CONFIG!$D$5:$D$14,0)),M48))),""))</f>
        <v>572.75</v>
      </c>
      <c r="Q48" s="16" t="n">
        <f aca="false">IF(OR(O48="",P48=""),"",O48/P48)</f>
        <v>108.829332169358</v>
      </c>
      <c r="R48" s="16" t="n">
        <f aca="false">IF(Q48="","",Q48*0.0980665)</f>
        <v>10.6725117031864</v>
      </c>
      <c r="S48" s="16" t="str">
        <f aca="false">IF(Q48="","",IFERROR(Q48/(1/(1/INDEX(CONFIG!$I$5:$I$14,MATCH(D48,CONFIG!$D$5:$D$14,0)))),""))</f>
        <v/>
      </c>
      <c r="T48" s="13"/>
      <c r="U48" s="13"/>
      <c r="V48" s="13"/>
      <c r="W48" s="13"/>
      <c r="X48" s="22" t="n">
        <f aca="false">IF(Q48="","",Q48^2)</f>
        <v>11843.8235404285</v>
      </c>
      <c r="Y48" s="22" t="str">
        <f aca="false">IF(AND(C48&lt;&gt;"",C48=CERTIFICADO!$E$4,OR(CERTIFICADO!$E$5="",B48=CERTIFICADO!$E$5)),MAX($Y$4:Y47)+1,"")</f>
        <v/>
      </c>
    </row>
    <row r="49" customFormat="false" ht="15" hidden="false" customHeight="false" outlineLevel="0" collapsed="false">
      <c r="A49" s="11" t="n">
        <f aca="false">IF(C49="","",ROW()-4)</f>
        <v>45</v>
      </c>
      <c r="B49" s="12" t="n">
        <v>45679</v>
      </c>
      <c r="C49" s="13" t="s">
        <v>144</v>
      </c>
      <c r="D49" s="23" t="str">
        <f aca="false">IF(C49="","",IFERROR(INDEX(LOTES!$D$5:$D$1004,MATCH(C49,LOTES!$F$5:$F$1004,0)),"¿Lote?"))</f>
        <v>Block 8"</v>
      </c>
      <c r="E49" s="11" t="str">
        <f aca="false">IF(C49="","",IFERROR(INDEX(LOTES!$C$5:$C$1004,MATCH(C49,LOTES!$F$5:$F$1004,0)),""))</f>
        <v>P1</v>
      </c>
      <c r="F49" s="24" t="n">
        <f aca="false">IF(C49="","",IFERROR(INDEX(LOTES!$B$5:$B$1004,MATCH(C49,LOTES!$F$5:$F$1004,0)),""))</f>
        <v>45674</v>
      </c>
      <c r="G49" s="15" t="n">
        <f aca="false">IF(OR(B49="",F49=""),"",B49-F49)</f>
        <v>5</v>
      </c>
      <c r="H49" s="13" t="s">
        <v>135</v>
      </c>
      <c r="I49" s="13" t="s">
        <v>131</v>
      </c>
      <c r="J49" s="13" t="s">
        <v>145</v>
      </c>
      <c r="K49" s="25" t="n">
        <v>14.5</v>
      </c>
      <c r="L49" s="25" t="n">
        <v>19.5</v>
      </c>
      <c r="M49" s="25" t="n">
        <v>39.5</v>
      </c>
      <c r="N49" s="25"/>
      <c r="O49" s="26" t="n">
        <v>65530</v>
      </c>
      <c r="P49" s="16" t="n">
        <f aca="false">IF(O49="","",IFERROR(1/(1/(IF(K49="",INDEX(CONFIG!$F$5:$F$14,MATCH(D49,CONFIG!$D$5:$D$14,0)),K49)*IF(M49="",INDEX(CONFIG!$H$5:$H$14,MATCH(D49,CONFIG!$D$5:$D$14,0)),M49))),""))</f>
        <v>572.75</v>
      </c>
      <c r="Q49" s="16" t="n">
        <f aca="false">IF(OR(O49="",P49=""),"",O49/P49)</f>
        <v>114.412920122217</v>
      </c>
      <c r="R49" s="16" t="n">
        <f aca="false">IF(Q49="","",Q49*0.0980665)</f>
        <v>11.2200746311654</v>
      </c>
      <c r="S49" s="16" t="str">
        <f aca="false">IF(Q49="","",IFERROR(Q49/(1/(1/INDEX(CONFIG!$I$5:$I$14,MATCH(D49,CONFIG!$D$5:$D$14,0)))),""))</f>
        <v/>
      </c>
      <c r="T49" s="13"/>
      <c r="U49" s="13"/>
      <c r="V49" s="13"/>
      <c r="W49" s="13"/>
      <c r="X49" s="22" t="n">
        <f aca="false">IF(Q49="","",Q49^2)</f>
        <v>13090.3162908929</v>
      </c>
      <c r="Y49" s="22" t="str">
        <f aca="false">IF(AND(C49&lt;&gt;"",C49=CERTIFICADO!$E$4,OR(CERTIFICADO!$E$5="",B49=CERTIFICADO!$E$5)),MAX($Y$4:Y48)+1,"")</f>
        <v/>
      </c>
    </row>
    <row r="50" customFormat="false" ht="15" hidden="false" customHeight="false" outlineLevel="0" collapsed="false">
      <c r="A50" s="11" t="n">
        <f aca="false">IF(C50="","",ROW()-4)</f>
        <v>46</v>
      </c>
      <c r="B50" s="12" t="n">
        <v>45679</v>
      </c>
      <c r="C50" s="13" t="s">
        <v>144</v>
      </c>
      <c r="D50" s="23" t="str">
        <f aca="false">IF(C50="","",IFERROR(INDEX(LOTES!$D$5:$D$1004,MATCH(C50,LOTES!$F$5:$F$1004,0)),"¿Lote?"))</f>
        <v>Block 8"</v>
      </c>
      <c r="E50" s="11" t="str">
        <f aca="false">IF(C50="","",IFERROR(INDEX(LOTES!$C$5:$C$1004,MATCH(C50,LOTES!$F$5:$F$1004,0)),""))</f>
        <v>P1</v>
      </c>
      <c r="F50" s="24" t="n">
        <f aca="false">IF(C50="","",IFERROR(INDEX(LOTES!$B$5:$B$1004,MATCH(C50,LOTES!$F$5:$F$1004,0)),""))</f>
        <v>45674</v>
      </c>
      <c r="G50" s="15" t="n">
        <f aca="false">IF(OR(B50="",F50=""),"",B50-F50)</f>
        <v>5</v>
      </c>
      <c r="H50" s="13" t="s">
        <v>135</v>
      </c>
      <c r="I50" s="13" t="s">
        <v>131</v>
      </c>
      <c r="J50" s="13" t="s">
        <v>145</v>
      </c>
      <c r="K50" s="25" t="n">
        <v>14.5</v>
      </c>
      <c r="L50" s="25" t="n">
        <v>19.5</v>
      </c>
      <c r="M50" s="25" t="n">
        <v>39.5</v>
      </c>
      <c r="N50" s="25"/>
      <c r="O50" s="26" t="n">
        <v>45617</v>
      </c>
      <c r="P50" s="16" t="n">
        <f aca="false">IF(O50="","",IFERROR(1/(1/(IF(K50="",INDEX(CONFIG!$F$5:$F$14,MATCH(D50,CONFIG!$D$5:$D$14,0)),K50)*IF(M50="",INDEX(CONFIG!$H$5:$H$14,MATCH(D50,CONFIG!$D$5:$D$14,0)),M50))),""))</f>
        <v>572.75</v>
      </c>
      <c r="Q50" s="16" t="n">
        <f aca="false">IF(OR(O50="",P50=""),"",O50/P50)</f>
        <v>79.6455696202532</v>
      </c>
      <c r="R50" s="16" t="n">
        <f aca="false">IF(Q50="","",Q50*0.0980665)</f>
        <v>7.81056225316456</v>
      </c>
      <c r="S50" s="16" t="str">
        <f aca="false">IF(Q50="","",IFERROR(Q50/(1/(1/INDEX(CONFIG!$I$5:$I$14,MATCH(D50,CONFIG!$D$5:$D$14,0)))),""))</f>
        <v/>
      </c>
      <c r="T50" s="13"/>
      <c r="U50" s="13"/>
      <c r="V50" s="13"/>
      <c r="W50" s="13"/>
      <c r="X50" s="22" t="n">
        <f aca="false">IF(Q50="","",Q50^2)</f>
        <v>6343.41676013459</v>
      </c>
      <c r="Y50" s="22" t="str">
        <f aca="false">IF(AND(C50&lt;&gt;"",C50=CERTIFICADO!$E$4,OR(CERTIFICADO!$E$5="",B50=CERTIFICADO!$E$5)),MAX($Y$4:Y49)+1,"")</f>
        <v/>
      </c>
    </row>
    <row r="51" customFormat="false" ht="15" hidden="false" customHeight="false" outlineLevel="0" collapsed="false">
      <c r="A51" s="11" t="n">
        <f aca="false">IF(C51="","",ROW()-4)</f>
        <v>47</v>
      </c>
      <c r="B51" s="12" t="n">
        <v>45680</v>
      </c>
      <c r="C51" s="13" t="s">
        <v>146</v>
      </c>
      <c r="D51" s="23" t="str">
        <f aca="false">IF(C51="","",IFERROR(INDEX(LOTES!$D$5:$D$1004,MATCH(C51,LOTES!$F$5:$F$1004,0)),"¿Lote?"))</f>
        <v>Block 8"</v>
      </c>
      <c r="E51" s="11" t="str">
        <f aca="false">IF(C51="","",IFERROR(INDEX(LOTES!$C$5:$C$1004,MATCH(C51,LOTES!$F$5:$F$1004,0)),""))</f>
        <v>P1</v>
      </c>
      <c r="F51" s="24" t="n">
        <f aca="false">IF(C51="","",IFERROR(INDEX(LOTES!$B$5:$B$1004,MATCH(C51,LOTES!$F$5:$F$1004,0)),""))</f>
        <v>45646</v>
      </c>
      <c r="G51" s="15" t="n">
        <f aca="false">IF(OR(B51="",F51=""),"",B51-F51)</f>
        <v>34</v>
      </c>
      <c r="H51" s="13" t="s">
        <v>135</v>
      </c>
      <c r="I51" s="13" t="s">
        <v>131</v>
      </c>
      <c r="J51" s="13" t="s">
        <v>147</v>
      </c>
      <c r="K51" s="25" t="n">
        <v>19.5</v>
      </c>
      <c r="L51" s="25" t="n">
        <v>19.5</v>
      </c>
      <c r="M51" s="25" t="n">
        <v>39.5</v>
      </c>
      <c r="N51" s="25"/>
      <c r="O51" s="26" t="n">
        <v>69467</v>
      </c>
      <c r="P51" s="16" t="n">
        <f aca="false">IF(O51="","",IFERROR(1/(1/(IF(K51="",INDEX(CONFIG!$F$5:$F$14,MATCH(D51,CONFIG!$D$5:$D$14,0)),K51)*IF(M51="",INDEX(CONFIG!$H$5:$H$14,MATCH(D51,CONFIG!$D$5:$D$14,0)),M51))),""))</f>
        <v>770.25</v>
      </c>
      <c r="Q51" s="16" t="n">
        <f aca="false">IF(OR(O51="",P51=""),"",O51/P51)</f>
        <v>90.1876014281078</v>
      </c>
      <c r="R51" s="16" t="n">
        <f aca="false">IF(Q51="","",Q51*0.0980665)</f>
        <v>8.84438241544953</v>
      </c>
      <c r="S51" s="16" t="str">
        <f aca="false">IF(Q51="","",IFERROR(Q51/(1/(1/INDEX(CONFIG!$I$5:$I$14,MATCH(D51,CONFIG!$D$5:$D$14,0)))),""))</f>
        <v/>
      </c>
      <c r="T51" s="13"/>
      <c r="U51" s="13"/>
      <c r="V51" s="13"/>
      <c r="W51" s="13"/>
      <c r="X51" s="22" t="n">
        <f aca="false">IF(Q51="","",Q51^2)</f>
        <v>8133.80345135522</v>
      </c>
      <c r="Y51" s="22" t="str">
        <f aca="false">IF(AND(C51&lt;&gt;"",C51=CERTIFICADO!$E$4,OR(CERTIFICADO!$E$5="",B51=CERTIFICADO!$E$5)),MAX($Y$4:Y50)+1,"")</f>
        <v/>
      </c>
    </row>
    <row r="52" customFormat="false" ht="15" hidden="false" customHeight="false" outlineLevel="0" collapsed="false">
      <c r="A52" s="11" t="n">
        <f aca="false">IF(C52="","",ROW()-4)</f>
        <v>48</v>
      </c>
      <c r="B52" s="12" t="n">
        <v>45680</v>
      </c>
      <c r="C52" s="13" t="s">
        <v>146</v>
      </c>
      <c r="D52" s="23" t="str">
        <f aca="false">IF(C52="","",IFERROR(INDEX(LOTES!$D$5:$D$1004,MATCH(C52,LOTES!$F$5:$F$1004,0)),"¿Lote?"))</f>
        <v>Block 8"</v>
      </c>
      <c r="E52" s="11" t="str">
        <f aca="false">IF(C52="","",IFERROR(INDEX(LOTES!$C$5:$C$1004,MATCH(C52,LOTES!$F$5:$F$1004,0)),""))</f>
        <v>P1</v>
      </c>
      <c r="F52" s="24" t="n">
        <f aca="false">IF(C52="","",IFERROR(INDEX(LOTES!$B$5:$B$1004,MATCH(C52,LOTES!$F$5:$F$1004,0)),""))</f>
        <v>45646</v>
      </c>
      <c r="G52" s="15" t="n">
        <f aca="false">IF(OR(B52="",F52=""),"",B52-F52)</f>
        <v>34</v>
      </c>
      <c r="H52" s="13" t="s">
        <v>135</v>
      </c>
      <c r="I52" s="13" t="s">
        <v>131</v>
      </c>
      <c r="J52" s="13" t="s">
        <v>147</v>
      </c>
      <c r="K52" s="25" t="n">
        <v>19.5</v>
      </c>
      <c r="L52" s="25" t="n">
        <v>19.5</v>
      </c>
      <c r="M52" s="25" t="n">
        <v>39.5</v>
      </c>
      <c r="N52" s="25"/>
      <c r="O52" s="26" t="n">
        <v>71867</v>
      </c>
      <c r="P52" s="16" t="n">
        <f aca="false">IF(O52="","",IFERROR(1/(1/(IF(K52="",INDEX(CONFIG!$F$5:$F$14,MATCH(D52,CONFIG!$D$5:$D$14,0)),K52)*IF(M52="",INDEX(CONFIG!$H$5:$H$14,MATCH(D52,CONFIG!$D$5:$D$14,0)),M52))),""))</f>
        <v>770.25</v>
      </c>
      <c r="Q52" s="16" t="n">
        <f aca="false">IF(OR(O52="",P52=""),"",O52/P52)</f>
        <v>93.3034728984096</v>
      </c>
      <c r="R52" s="16" t="n">
        <f aca="false">IF(Q52="","",Q52*0.0980665)</f>
        <v>9.14994502499189</v>
      </c>
      <c r="S52" s="16" t="str">
        <f aca="false">IF(Q52="","",IFERROR(Q52/(1/(1/INDEX(CONFIG!$I$5:$I$14,MATCH(D52,CONFIG!$D$5:$D$14,0)))),""))</f>
        <v/>
      </c>
      <c r="T52" s="13"/>
      <c r="U52" s="13"/>
      <c r="V52" s="13"/>
      <c r="W52" s="13"/>
      <c r="X52" s="22" t="n">
        <f aca="false">IF(Q52="","",Q52^2)</f>
        <v>8705.53805490426</v>
      </c>
      <c r="Y52" s="22" t="str">
        <f aca="false">IF(AND(C52&lt;&gt;"",C52=CERTIFICADO!$E$4,OR(CERTIFICADO!$E$5="",B52=CERTIFICADO!$E$5)),MAX($Y$4:Y51)+1,"")</f>
        <v/>
      </c>
    </row>
    <row r="53" customFormat="false" ht="15" hidden="false" customHeight="false" outlineLevel="0" collapsed="false">
      <c r="A53" s="11" t="n">
        <f aca="false">IF(C53="","",ROW()-4)</f>
        <v>49</v>
      </c>
      <c r="B53" s="12" t="n">
        <v>45680</v>
      </c>
      <c r="C53" s="13" t="s">
        <v>146</v>
      </c>
      <c r="D53" s="23" t="str">
        <f aca="false">IF(C53="","",IFERROR(INDEX(LOTES!$D$5:$D$1004,MATCH(C53,LOTES!$F$5:$F$1004,0)),"¿Lote?"))</f>
        <v>Block 8"</v>
      </c>
      <c r="E53" s="11" t="str">
        <f aca="false">IF(C53="","",IFERROR(INDEX(LOTES!$C$5:$C$1004,MATCH(C53,LOTES!$F$5:$F$1004,0)),""))</f>
        <v>P1</v>
      </c>
      <c r="F53" s="24" t="n">
        <f aca="false">IF(C53="","",IFERROR(INDEX(LOTES!$B$5:$B$1004,MATCH(C53,LOTES!$F$5:$F$1004,0)),""))</f>
        <v>45646</v>
      </c>
      <c r="G53" s="15" t="n">
        <f aca="false">IF(OR(B53="",F53=""),"",B53-F53)</f>
        <v>34</v>
      </c>
      <c r="H53" s="13" t="s">
        <v>135</v>
      </c>
      <c r="I53" s="13" t="s">
        <v>131</v>
      </c>
      <c r="J53" s="13" t="s">
        <v>147</v>
      </c>
      <c r="K53" s="25" t="n">
        <v>19.5</v>
      </c>
      <c r="L53" s="25" t="n">
        <v>19.5</v>
      </c>
      <c r="M53" s="25" t="n">
        <v>39.5</v>
      </c>
      <c r="N53" s="25"/>
      <c r="O53" s="26" t="n">
        <v>67372</v>
      </c>
      <c r="P53" s="16" t="n">
        <f aca="false">IF(O53="","",IFERROR(1/(1/(IF(K53="",INDEX(CONFIG!$F$5:$F$14,MATCH(D53,CONFIG!$D$5:$D$14,0)),K53)*IF(M53="",INDEX(CONFIG!$H$5:$H$14,MATCH(D53,CONFIG!$D$5:$D$14,0)),M53))),""))</f>
        <v>770.25</v>
      </c>
      <c r="Q53" s="16" t="n">
        <f aca="false">IF(OR(O53="",P53=""),"",O53/P53)</f>
        <v>87.4677052904901</v>
      </c>
      <c r="R53" s="16" t="n">
        <f aca="false">IF(Q53="","",Q53*0.0980665)</f>
        <v>8.57765172086985</v>
      </c>
      <c r="S53" s="16" t="str">
        <f aca="false">IF(Q53="","",IFERROR(Q53/(1/(1/INDEX(CONFIG!$I$5:$I$14,MATCH(D53,CONFIG!$D$5:$D$14,0)))),""))</f>
        <v/>
      </c>
      <c r="T53" s="13"/>
      <c r="U53" s="13"/>
      <c r="V53" s="13"/>
      <c r="W53" s="13"/>
      <c r="X53" s="22" t="n">
        <f aca="false">IF(Q53="","",Q53^2)</f>
        <v>7650.59946878403</v>
      </c>
      <c r="Y53" s="22" t="str">
        <f aca="false">IF(AND(C53&lt;&gt;"",C53=CERTIFICADO!$E$4,OR(CERTIFICADO!$E$5="",B53=CERTIFICADO!$E$5)),MAX($Y$4:Y52)+1,"")</f>
        <v/>
      </c>
    </row>
    <row r="54" customFormat="false" ht="15" hidden="false" customHeight="false" outlineLevel="0" collapsed="false">
      <c r="A54" s="11" t="n">
        <f aca="false">IF(C54="","",ROW()-4)</f>
        <v>50</v>
      </c>
      <c r="B54" s="12" t="n">
        <v>45680</v>
      </c>
      <c r="C54" s="13" t="s">
        <v>146</v>
      </c>
      <c r="D54" s="23" t="str">
        <f aca="false">IF(C54="","",IFERROR(INDEX(LOTES!$D$5:$D$1004,MATCH(C54,LOTES!$F$5:$F$1004,0)),"¿Lote?"))</f>
        <v>Block 8"</v>
      </c>
      <c r="E54" s="11" t="str">
        <f aca="false">IF(C54="","",IFERROR(INDEX(LOTES!$C$5:$C$1004,MATCH(C54,LOTES!$F$5:$F$1004,0)),""))</f>
        <v>P1</v>
      </c>
      <c r="F54" s="24" t="n">
        <f aca="false">IF(C54="","",IFERROR(INDEX(LOTES!$B$5:$B$1004,MATCH(C54,LOTES!$F$5:$F$1004,0)),""))</f>
        <v>45646</v>
      </c>
      <c r="G54" s="15" t="n">
        <f aca="false">IF(OR(B54="",F54=""),"",B54-F54)</f>
        <v>34</v>
      </c>
      <c r="H54" s="13" t="s">
        <v>135</v>
      </c>
      <c r="I54" s="13" t="s">
        <v>131</v>
      </c>
      <c r="J54" s="13" t="s">
        <v>147</v>
      </c>
      <c r="K54" s="25" t="n">
        <v>19.5</v>
      </c>
      <c r="L54" s="25" t="n">
        <v>19.5</v>
      </c>
      <c r="M54" s="25" t="n">
        <v>39.5</v>
      </c>
      <c r="N54" s="25"/>
      <c r="O54" s="26" t="n">
        <v>51460</v>
      </c>
      <c r="P54" s="16" t="n">
        <f aca="false">IF(O54="","",IFERROR(1/(1/(IF(K54="",INDEX(CONFIG!$F$5:$F$14,MATCH(D54,CONFIG!$D$5:$D$14,0)),K54)*IF(M54="",INDEX(CONFIG!$H$5:$H$14,MATCH(D54,CONFIG!$D$5:$D$14,0)),M54))),""))</f>
        <v>770.25</v>
      </c>
      <c r="Q54" s="16" t="n">
        <f aca="false">IF(OR(O54="",P54=""),"",O54/P54)</f>
        <v>66.8094774423888</v>
      </c>
      <c r="R54" s="16" t="n">
        <f aca="false">IF(Q54="","",Q54*0.0980665)</f>
        <v>6.55177161960403</v>
      </c>
      <c r="S54" s="16" t="str">
        <f aca="false">IF(Q54="","",IFERROR(Q54/(1/(1/INDEX(CONFIG!$I$5:$I$14,MATCH(D54,CONFIG!$D$5:$D$14,0)))),""))</f>
        <v/>
      </c>
      <c r="T54" s="13"/>
      <c r="U54" s="13"/>
      <c r="V54" s="13"/>
      <c r="W54" s="13"/>
      <c r="X54" s="22" t="n">
        <f aca="false">IF(Q54="","",Q54^2)</f>
        <v>4463.50627612506</v>
      </c>
      <c r="Y54" s="22" t="str">
        <f aca="false">IF(AND(C54&lt;&gt;"",C54=CERTIFICADO!$E$4,OR(CERTIFICADO!$E$5="",B54=CERTIFICADO!$E$5)),MAX($Y$4:Y53)+1,"")</f>
        <v/>
      </c>
    </row>
    <row r="55" customFormat="false" ht="15" hidden="false" customHeight="false" outlineLevel="0" collapsed="false">
      <c r="A55" s="11" t="n">
        <f aca="false">IF(C55="","",ROW()-4)</f>
        <v>51</v>
      </c>
      <c r="B55" s="12" t="n">
        <v>45680</v>
      </c>
      <c r="C55" s="13" t="s">
        <v>146</v>
      </c>
      <c r="D55" s="23" t="str">
        <f aca="false">IF(C55="","",IFERROR(INDEX(LOTES!$D$5:$D$1004,MATCH(C55,LOTES!$F$5:$F$1004,0)),"¿Lote?"))</f>
        <v>Block 8"</v>
      </c>
      <c r="E55" s="11" t="str">
        <f aca="false">IF(C55="","",IFERROR(INDEX(LOTES!$C$5:$C$1004,MATCH(C55,LOTES!$F$5:$F$1004,0)),""))</f>
        <v>P1</v>
      </c>
      <c r="F55" s="24" t="n">
        <f aca="false">IF(C55="","",IFERROR(INDEX(LOTES!$B$5:$B$1004,MATCH(C55,LOTES!$F$5:$F$1004,0)),""))</f>
        <v>45646</v>
      </c>
      <c r="G55" s="15" t="n">
        <f aca="false">IF(OR(B55="",F55=""),"",B55-F55)</f>
        <v>34</v>
      </c>
      <c r="H55" s="13" t="s">
        <v>135</v>
      </c>
      <c r="I55" s="13" t="s">
        <v>131</v>
      </c>
      <c r="J55" s="13" t="s">
        <v>148</v>
      </c>
      <c r="K55" s="25" t="n">
        <v>19.5</v>
      </c>
      <c r="L55" s="25" t="n">
        <v>19.5</v>
      </c>
      <c r="M55" s="25" t="n">
        <v>39.5</v>
      </c>
      <c r="N55" s="25"/>
      <c r="O55" s="26" t="n">
        <v>63811</v>
      </c>
      <c r="P55" s="16" t="n">
        <f aca="false">IF(O55="","",IFERROR(1/(1/(IF(K55="",INDEX(CONFIG!$F$5:$F$14,MATCH(D55,CONFIG!$D$5:$D$14,0)),K55)*IF(M55="",INDEX(CONFIG!$H$5:$H$14,MATCH(D55,CONFIG!$D$5:$D$14,0)),M55))),""))</f>
        <v>770.25</v>
      </c>
      <c r="Q55" s="16" t="n">
        <f aca="false">IF(OR(O55="",P55=""),"",O55/P55)</f>
        <v>82.8445309964297</v>
      </c>
      <c r="R55" s="16" t="n">
        <f aca="false">IF(Q55="","",Q55*0.0980665)</f>
        <v>8.12427319896138</v>
      </c>
      <c r="S55" s="16" t="str">
        <f aca="false">IF(Q55="","",IFERROR(Q55/(1/(1/INDEX(CONFIG!$I$5:$I$14,MATCH(D55,CONFIG!$D$5:$D$14,0)))),""))</f>
        <v/>
      </c>
      <c r="T55" s="13"/>
      <c r="U55" s="13"/>
      <c r="V55" s="13"/>
      <c r="W55" s="13"/>
      <c r="X55" s="22" t="n">
        <f aca="false">IF(Q55="","",Q55^2)</f>
        <v>6863.21631601841</v>
      </c>
      <c r="Y55" s="22" t="str">
        <f aca="false">IF(AND(C55&lt;&gt;"",C55=CERTIFICADO!$E$4,OR(CERTIFICADO!$E$5="",B55=CERTIFICADO!$E$5)),MAX($Y$4:Y54)+1,"")</f>
        <v/>
      </c>
    </row>
    <row r="56" customFormat="false" ht="15" hidden="false" customHeight="false" outlineLevel="0" collapsed="false">
      <c r="A56" s="11" t="n">
        <f aca="false">IF(C56="","",ROW()-4)</f>
        <v>52</v>
      </c>
      <c r="B56" s="12" t="n">
        <v>45680</v>
      </c>
      <c r="C56" s="13" t="s">
        <v>146</v>
      </c>
      <c r="D56" s="23" t="str">
        <f aca="false">IF(C56="","",IFERROR(INDEX(LOTES!$D$5:$D$1004,MATCH(C56,LOTES!$F$5:$F$1004,0)),"¿Lote?"))</f>
        <v>Block 8"</v>
      </c>
      <c r="E56" s="11" t="str">
        <f aca="false">IF(C56="","",IFERROR(INDEX(LOTES!$C$5:$C$1004,MATCH(C56,LOTES!$F$5:$F$1004,0)),""))</f>
        <v>P1</v>
      </c>
      <c r="F56" s="24" t="n">
        <f aca="false">IF(C56="","",IFERROR(INDEX(LOTES!$B$5:$B$1004,MATCH(C56,LOTES!$F$5:$F$1004,0)),""))</f>
        <v>45646</v>
      </c>
      <c r="G56" s="15" t="n">
        <f aca="false">IF(OR(B56="",F56=""),"",B56-F56)</f>
        <v>34</v>
      </c>
      <c r="H56" s="13" t="s">
        <v>135</v>
      </c>
      <c r="I56" s="13" t="s">
        <v>131</v>
      </c>
      <c r="J56" s="13" t="s">
        <v>148</v>
      </c>
      <c r="K56" s="25" t="n">
        <v>19.5</v>
      </c>
      <c r="L56" s="25" t="n">
        <v>19.5</v>
      </c>
      <c r="M56" s="25" t="n">
        <v>39.5</v>
      </c>
      <c r="N56" s="25"/>
      <c r="O56" s="26" t="n">
        <v>69984</v>
      </c>
      <c r="P56" s="16" t="n">
        <f aca="false">IF(O56="","",IFERROR(1/(1/(IF(K56="",INDEX(CONFIG!$F$5:$F$14,MATCH(D56,CONFIG!$D$5:$D$14,0)),K56)*IF(M56="",INDEX(CONFIG!$H$5:$H$14,MATCH(D56,CONFIG!$D$5:$D$14,0)),M56))),""))</f>
        <v>770.25</v>
      </c>
      <c r="Q56" s="16" t="n">
        <f aca="false">IF(OR(O56="",P56=""),"",O56/P56)</f>
        <v>90.858812074002</v>
      </c>
      <c r="R56" s="16" t="n">
        <f aca="false">IF(Q56="","",Q56*0.0980665)</f>
        <v>8.91020569425511</v>
      </c>
      <c r="S56" s="16" t="str">
        <f aca="false">IF(Q56="","",IFERROR(Q56/(1/(1/INDEX(CONFIG!$I$5:$I$14,MATCH(D56,CONFIG!$D$5:$D$14,0)))),""))</f>
        <v/>
      </c>
      <c r="T56" s="13"/>
      <c r="U56" s="13"/>
      <c r="V56" s="13"/>
      <c r="W56" s="13"/>
      <c r="X56" s="22" t="n">
        <f aca="false">IF(Q56="","",Q56^2)</f>
        <v>8255.3237314988</v>
      </c>
      <c r="Y56" s="22" t="str">
        <f aca="false">IF(AND(C56&lt;&gt;"",C56=CERTIFICADO!$E$4,OR(CERTIFICADO!$E$5="",B56=CERTIFICADO!$E$5)),MAX($Y$4:Y55)+1,"")</f>
        <v/>
      </c>
    </row>
    <row r="57" customFormat="false" ht="15" hidden="false" customHeight="false" outlineLevel="0" collapsed="false">
      <c r="A57" s="11" t="n">
        <f aca="false">IF(C57="","",ROW()-4)</f>
        <v>53</v>
      </c>
      <c r="B57" s="12" t="n">
        <v>45680</v>
      </c>
      <c r="C57" s="13" t="s">
        <v>146</v>
      </c>
      <c r="D57" s="23" t="str">
        <f aca="false">IF(C57="","",IFERROR(INDEX(LOTES!$D$5:$D$1004,MATCH(C57,LOTES!$F$5:$F$1004,0)),"¿Lote?"))</f>
        <v>Block 8"</v>
      </c>
      <c r="E57" s="11" t="str">
        <f aca="false">IF(C57="","",IFERROR(INDEX(LOTES!$C$5:$C$1004,MATCH(C57,LOTES!$F$5:$F$1004,0)),""))</f>
        <v>P1</v>
      </c>
      <c r="F57" s="24" t="n">
        <f aca="false">IF(C57="","",IFERROR(INDEX(LOTES!$B$5:$B$1004,MATCH(C57,LOTES!$F$5:$F$1004,0)),""))</f>
        <v>45646</v>
      </c>
      <c r="G57" s="15" t="n">
        <f aca="false">IF(OR(B57="",F57=""),"",B57-F57)</f>
        <v>34</v>
      </c>
      <c r="H57" s="13" t="s">
        <v>135</v>
      </c>
      <c r="I57" s="13" t="s">
        <v>131</v>
      </c>
      <c r="J57" s="13" t="s">
        <v>148</v>
      </c>
      <c r="K57" s="25" t="n">
        <v>19.5</v>
      </c>
      <c r="L57" s="25" t="n">
        <v>19.5</v>
      </c>
      <c r="M57" s="25" t="n">
        <v>39.5</v>
      </c>
      <c r="N57" s="25"/>
      <c r="O57" s="26" t="n">
        <v>68519</v>
      </c>
      <c r="P57" s="16" t="n">
        <f aca="false">IF(O57="","",IFERROR(1/(1/(IF(K57="",INDEX(CONFIG!$F$5:$F$14,MATCH(D57,CONFIG!$D$5:$D$14,0)),K57)*IF(M57="",INDEX(CONFIG!$H$5:$H$14,MATCH(D57,CONFIG!$D$5:$D$14,0)),M57))),""))</f>
        <v>770.25</v>
      </c>
      <c r="Q57" s="16" t="n">
        <f aca="false">IF(OR(O57="",P57=""),"",O57/P57)</f>
        <v>88.9568321973385</v>
      </c>
      <c r="R57" s="16" t="n">
        <f aca="false">IF(Q57="","",Q57*0.0980665)</f>
        <v>8.7236851846803</v>
      </c>
      <c r="S57" s="16" t="str">
        <f aca="false">IF(Q57="","",IFERROR(Q57/(1/(1/INDEX(CONFIG!$I$5:$I$14,MATCH(D57,CONFIG!$D$5:$D$14,0)))),""))</f>
        <v/>
      </c>
      <c r="T57" s="13"/>
      <c r="U57" s="13"/>
      <c r="V57" s="13"/>
      <c r="W57" s="13"/>
      <c r="X57" s="22" t="n">
        <f aca="false">IF(Q57="","",Q57^2)</f>
        <v>7913.31799458544</v>
      </c>
      <c r="Y57" s="22" t="str">
        <f aca="false">IF(AND(C57&lt;&gt;"",C57=CERTIFICADO!$E$4,OR(CERTIFICADO!$E$5="",B57=CERTIFICADO!$E$5)),MAX($Y$4:Y56)+1,"")</f>
        <v/>
      </c>
    </row>
    <row r="58" customFormat="false" ht="15" hidden="false" customHeight="false" outlineLevel="0" collapsed="false">
      <c r="A58" s="11" t="n">
        <f aca="false">IF(C58="","",ROW()-4)</f>
        <v>54</v>
      </c>
      <c r="B58" s="12" t="n">
        <v>45680</v>
      </c>
      <c r="C58" s="13" t="s">
        <v>146</v>
      </c>
      <c r="D58" s="23" t="str">
        <f aca="false">IF(C58="","",IFERROR(INDEX(LOTES!$D$5:$D$1004,MATCH(C58,LOTES!$F$5:$F$1004,0)),"¿Lote?"))</f>
        <v>Block 8"</v>
      </c>
      <c r="E58" s="11" t="str">
        <f aca="false">IF(C58="","",IFERROR(INDEX(LOTES!$C$5:$C$1004,MATCH(C58,LOTES!$F$5:$F$1004,0)),""))</f>
        <v>P1</v>
      </c>
      <c r="F58" s="24" t="n">
        <f aca="false">IF(C58="","",IFERROR(INDEX(LOTES!$B$5:$B$1004,MATCH(C58,LOTES!$F$5:$F$1004,0)),""))</f>
        <v>45646</v>
      </c>
      <c r="G58" s="15" t="n">
        <f aca="false">IF(OR(B58="",F58=""),"",B58-F58)</f>
        <v>34</v>
      </c>
      <c r="H58" s="13" t="s">
        <v>135</v>
      </c>
      <c r="I58" s="13" t="s">
        <v>131</v>
      </c>
      <c r="J58" s="13" t="s">
        <v>148</v>
      </c>
      <c r="K58" s="25" t="n">
        <v>19.5</v>
      </c>
      <c r="L58" s="25" t="n">
        <v>19.5</v>
      </c>
      <c r="M58" s="25" t="n">
        <v>39.5</v>
      </c>
      <c r="N58" s="25"/>
      <c r="O58" s="26" t="n">
        <v>50766</v>
      </c>
      <c r="P58" s="16" t="n">
        <f aca="false">IF(O58="","",IFERROR(1/(1/(IF(K58="",INDEX(CONFIG!$F$5:$F$14,MATCH(D58,CONFIG!$D$5:$D$14,0)),K58)*IF(M58="",INDEX(CONFIG!$H$5:$H$14,MATCH(D58,CONFIG!$D$5:$D$14,0)),M58))),""))</f>
        <v>770.25</v>
      </c>
      <c r="Q58" s="16" t="n">
        <f aca="false">IF(OR(O58="",P58=""),"",O58/P58)</f>
        <v>65.9084712755599</v>
      </c>
      <c r="R58" s="16" t="n">
        <f aca="false">IF(Q58="","",Q58*0.0980665)</f>
        <v>6.46341309834469</v>
      </c>
      <c r="S58" s="16" t="str">
        <f aca="false">IF(Q58="","",IFERROR(Q58/(1/(1/INDEX(CONFIG!$I$5:$I$14,MATCH(D58,CONFIG!$D$5:$D$14,0)))),""))</f>
        <v/>
      </c>
      <c r="T58" s="13"/>
      <c r="U58" s="13"/>
      <c r="V58" s="13"/>
      <c r="W58" s="13"/>
      <c r="X58" s="22" t="n">
        <f aca="false">IF(Q58="","",Q58^2)</f>
        <v>4343.9265858813</v>
      </c>
      <c r="Y58" s="22" t="str">
        <f aca="false">IF(AND(C58&lt;&gt;"",C58=CERTIFICADO!$E$4,OR(CERTIFICADO!$E$5="",B58=CERTIFICADO!$E$5)),MAX($Y$4:Y57)+1,"")</f>
        <v/>
      </c>
    </row>
    <row r="59" customFormat="false" ht="15" hidden="false" customHeight="false" outlineLevel="0" collapsed="false">
      <c r="A59" s="11" t="n">
        <f aca="false">IF(C59="","",ROW()-4)</f>
        <v>55</v>
      </c>
      <c r="B59" s="12" t="n">
        <v>45680</v>
      </c>
      <c r="C59" s="13" t="s">
        <v>146</v>
      </c>
      <c r="D59" s="23" t="str">
        <f aca="false">IF(C59="","",IFERROR(INDEX(LOTES!$D$5:$D$1004,MATCH(C59,LOTES!$F$5:$F$1004,0)),"¿Lote?"))</f>
        <v>Block 8"</v>
      </c>
      <c r="E59" s="11" t="str">
        <f aca="false">IF(C59="","",IFERROR(INDEX(LOTES!$C$5:$C$1004,MATCH(C59,LOTES!$F$5:$F$1004,0)),""))</f>
        <v>P1</v>
      </c>
      <c r="F59" s="24" t="n">
        <f aca="false">IF(C59="","",IFERROR(INDEX(LOTES!$B$5:$B$1004,MATCH(C59,LOTES!$F$5:$F$1004,0)),""))</f>
        <v>45646</v>
      </c>
      <c r="G59" s="15" t="n">
        <f aca="false">IF(OR(B59="",F59=""),"",B59-F59)</f>
        <v>34</v>
      </c>
      <c r="H59" s="13" t="s">
        <v>135</v>
      </c>
      <c r="I59" s="13" t="s">
        <v>131</v>
      </c>
      <c r="J59" s="13" t="s">
        <v>148</v>
      </c>
      <c r="K59" s="25" t="n">
        <v>19.5</v>
      </c>
      <c r="L59" s="25" t="n">
        <v>19.5</v>
      </c>
      <c r="M59" s="25" t="n">
        <v>39.5</v>
      </c>
      <c r="N59" s="25"/>
      <c r="O59" s="26" t="n">
        <v>76248</v>
      </c>
      <c r="P59" s="16" t="n">
        <f aca="false">IF(O59="","",IFERROR(1/(1/(IF(K59="",INDEX(CONFIG!$F$5:$F$14,MATCH(D59,CONFIG!$D$5:$D$14,0)),K59)*IF(M59="",INDEX(CONFIG!$H$5:$H$14,MATCH(D59,CONFIG!$D$5:$D$14,0)),M59))),""))</f>
        <v>770.25</v>
      </c>
      <c r="Q59" s="16" t="n">
        <f aca="false">IF(OR(O59="",P59=""),"",O59/P59)</f>
        <v>98.9912366114898</v>
      </c>
      <c r="R59" s="16" t="n">
        <f aca="false">IF(Q59="","",Q59*0.0980665)</f>
        <v>9.70772410516066</v>
      </c>
      <c r="S59" s="16" t="str">
        <f aca="false">IF(Q59="","",IFERROR(Q59/(1/(1/INDEX(CONFIG!$I$5:$I$14,MATCH(D59,CONFIG!$D$5:$D$14,0)))),""))</f>
        <v/>
      </c>
      <c r="T59" s="13"/>
      <c r="U59" s="13"/>
      <c r="V59" s="13"/>
      <c r="W59" s="13"/>
      <c r="X59" s="22" t="n">
        <f aca="false">IF(Q59="","",Q59^2)</f>
        <v>9799.26492587196</v>
      </c>
      <c r="Y59" s="22" t="str">
        <f aca="false">IF(AND(C59&lt;&gt;"",C59=CERTIFICADO!$E$4,OR(CERTIFICADO!$E$5="",B59=CERTIFICADO!$E$5)),MAX($Y$4:Y58)+1,"")</f>
        <v/>
      </c>
    </row>
    <row r="60" customFormat="false" ht="15" hidden="false" customHeight="false" outlineLevel="0" collapsed="false">
      <c r="A60" s="11" t="n">
        <f aca="false">IF(C60="","",ROW()-4)</f>
        <v>56</v>
      </c>
      <c r="B60" s="12" t="n">
        <v>45687</v>
      </c>
      <c r="C60" s="13" t="s">
        <v>149</v>
      </c>
      <c r="D60" s="23" t="str">
        <f aca="false">IF(C60="","",IFERROR(INDEX(LOTES!$D$5:$D$1004,MATCH(C60,LOTES!$F$5:$F$1004,0)),"¿Lote?"))</f>
        <v>Block 8"</v>
      </c>
      <c r="E60" s="11" t="str">
        <f aca="false">IF(C60="","",IFERROR(INDEX(LOTES!$C$5:$C$1004,MATCH(C60,LOTES!$F$5:$F$1004,0)),""))</f>
        <v>P1</v>
      </c>
      <c r="F60" s="24" t="n">
        <f aca="false">IF(C60="","",IFERROR(INDEX(LOTES!$B$5:$B$1004,MATCH(C60,LOTES!$F$5:$F$1004,0)),""))</f>
        <v>45649</v>
      </c>
      <c r="G60" s="15" t="n">
        <f aca="false">IF(OR(B60="",F60=""),"",B60-F60)</f>
        <v>38</v>
      </c>
      <c r="H60" s="13" t="s">
        <v>135</v>
      </c>
      <c r="I60" s="13" t="s">
        <v>131</v>
      </c>
      <c r="J60" s="13" t="s">
        <v>150</v>
      </c>
      <c r="K60" s="25" t="n">
        <v>19.5</v>
      </c>
      <c r="L60" s="25" t="n">
        <v>19.5</v>
      </c>
      <c r="M60" s="25" t="n">
        <v>39.5</v>
      </c>
      <c r="N60" s="25"/>
      <c r="O60" s="26" t="n">
        <v>67771</v>
      </c>
      <c r="P60" s="16" t="n">
        <f aca="false">IF(O60="","",IFERROR(1/(1/(IF(K60="",INDEX(CONFIG!$F$5:$F$14,MATCH(D60,CONFIG!$D$5:$D$14,0)),K60)*IF(M60="",INDEX(CONFIG!$H$5:$H$14,MATCH(D60,CONFIG!$D$5:$D$14,0)),M60))),""))</f>
        <v>770.25</v>
      </c>
      <c r="Q60" s="16" t="n">
        <f aca="false">IF(OR(O60="",P60=""),"",O60/P60)</f>
        <v>87.9857189224278</v>
      </c>
      <c r="R60" s="16" t="n">
        <f aca="false">IF(Q60="","",Q60*0.0980665)</f>
        <v>8.62845150470626</v>
      </c>
      <c r="S60" s="16" t="str">
        <f aca="false">IF(Q60="","",IFERROR(Q60/(1/(1/INDEX(CONFIG!$I$5:$I$14,MATCH(D60,CONFIG!$D$5:$D$14,0)))),""))</f>
        <v/>
      </c>
      <c r="T60" s="13"/>
      <c r="U60" s="13"/>
      <c r="V60" s="13"/>
      <c r="W60" s="13"/>
      <c r="X60" s="22" t="n">
        <f aca="false">IF(Q60="","",Q60^2)</f>
        <v>7741.48673429647</v>
      </c>
      <c r="Y60" s="22" t="str">
        <f aca="false">IF(AND(C60&lt;&gt;"",C60=CERTIFICADO!$E$4,OR(CERTIFICADO!$E$5="",B60=CERTIFICADO!$E$5)),MAX($Y$4:Y59)+1,"")</f>
        <v/>
      </c>
    </row>
    <row r="61" customFormat="false" ht="15" hidden="false" customHeight="false" outlineLevel="0" collapsed="false">
      <c r="A61" s="11" t="n">
        <f aca="false">IF(C61="","",ROW()-4)</f>
        <v>57</v>
      </c>
      <c r="B61" s="12" t="n">
        <v>45687</v>
      </c>
      <c r="C61" s="13" t="s">
        <v>149</v>
      </c>
      <c r="D61" s="23" t="str">
        <f aca="false">IF(C61="","",IFERROR(INDEX(LOTES!$D$5:$D$1004,MATCH(C61,LOTES!$F$5:$F$1004,0)),"¿Lote?"))</f>
        <v>Block 8"</v>
      </c>
      <c r="E61" s="11" t="str">
        <f aca="false">IF(C61="","",IFERROR(INDEX(LOTES!$C$5:$C$1004,MATCH(C61,LOTES!$F$5:$F$1004,0)),""))</f>
        <v>P1</v>
      </c>
      <c r="F61" s="24" t="n">
        <f aca="false">IF(C61="","",IFERROR(INDEX(LOTES!$B$5:$B$1004,MATCH(C61,LOTES!$F$5:$F$1004,0)),""))</f>
        <v>45649</v>
      </c>
      <c r="G61" s="15" t="n">
        <f aca="false">IF(OR(B61="",F61=""),"",B61-F61)</f>
        <v>38</v>
      </c>
      <c r="H61" s="13" t="s">
        <v>135</v>
      </c>
      <c r="I61" s="13" t="s">
        <v>131</v>
      </c>
      <c r="J61" s="13" t="s">
        <v>150</v>
      </c>
      <c r="K61" s="25" t="n">
        <v>19.5</v>
      </c>
      <c r="L61" s="25" t="n">
        <v>19.5</v>
      </c>
      <c r="M61" s="25" t="n">
        <v>39.5</v>
      </c>
      <c r="N61" s="25"/>
      <c r="O61" s="26" t="n">
        <v>55016</v>
      </c>
      <c r="P61" s="16" t="n">
        <f aca="false">IF(O61="","",IFERROR(1/(1/(IF(K61="",INDEX(CONFIG!$F$5:$F$14,MATCH(D61,CONFIG!$D$5:$D$14,0)),K61)*IF(M61="",INDEX(CONFIG!$H$5:$H$14,MATCH(D61,CONFIG!$D$5:$D$14,0)),M61))),""))</f>
        <v>770.25</v>
      </c>
      <c r="Q61" s="16" t="n">
        <f aca="false">IF(OR(O61="",P61=""),"",O61/P61)</f>
        <v>71.4261603375527</v>
      </c>
      <c r="R61" s="16" t="n">
        <f aca="false">IF(Q61="","",Q61*0.0980665)</f>
        <v>7.00451355274262</v>
      </c>
      <c r="S61" s="16" t="str">
        <f aca="false">IF(Q61="","",IFERROR(Q61/(1/(1/INDEX(CONFIG!$I$5:$I$14,MATCH(D61,CONFIG!$D$5:$D$14,0)))),""))</f>
        <v/>
      </c>
      <c r="T61" s="13"/>
      <c r="U61" s="13"/>
      <c r="V61" s="13"/>
      <c r="W61" s="13"/>
      <c r="X61" s="22" t="n">
        <f aca="false">IF(Q61="","",Q61^2)</f>
        <v>5101.69638056579</v>
      </c>
      <c r="Y61" s="22" t="str">
        <f aca="false">IF(AND(C61&lt;&gt;"",C61=CERTIFICADO!$E$4,OR(CERTIFICADO!$E$5="",B61=CERTIFICADO!$E$5)),MAX($Y$4:Y60)+1,"")</f>
        <v/>
      </c>
    </row>
    <row r="62" customFormat="false" ht="15" hidden="false" customHeight="false" outlineLevel="0" collapsed="false">
      <c r="A62" s="11" t="n">
        <f aca="false">IF(C62="","",ROW()-4)</f>
        <v>58</v>
      </c>
      <c r="B62" s="12" t="n">
        <v>45687</v>
      </c>
      <c r="C62" s="13" t="s">
        <v>149</v>
      </c>
      <c r="D62" s="23" t="str">
        <f aca="false">IF(C62="","",IFERROR(INDEX(LOTES!$D$5:$D$1004,MATCH(C62,LOTES!$F$5:$F$1004,0)),"¿Lote?"))</f>
        <v>Block 8"</v>
      </c>
      <c r="E62" s="11" t="str">
        <f aca="false">IF(C62="","",IFERROR(INDEX(LOTES!$C$5:$C$1004,MATCH(C62,LOTES!$F$5:$F$1004,0)),""))</f>
        <v>P1</v>
      </c>
      <c r="F62" s="24" t="n">
        <f aca="false">IF(C62="","",IFERROR(INDEX(LOTES!$B$5:$B$1004,MATCH(C62,LOTES!$F$5:$F$1004,0)),""))</f>
        <v>45649</v>
      </c>
      <c r="G62" s="15" t="n">
        <f aca="false">IF(OR(B62="",F62=""),"",B62-F62)</f>
        <v>38</v>
      </c>
      <c r="H62" s="13" t="s">
        <v>135</v>
      </c>
      <c r="I62" s="13" t="s">
        <v>131</v>
      </c>
      <c r="J62" s="13" t="s">
        <v>150</v>
      </c>
      <c r="K62" s="25" t="n">
        <v>19.5</v>
      </c>
      <c r="L62" s="25" t="n">
        <v>19.5</v>
      </c>
      <c r="M62" s="25" t="n">
        <v>39.5</v>
      </c>
      <c r="N62" s="25"/>
      <c r="O62" s="26" t="n">
        <v>64927</v>
      </c>
      <c r="P62" s="16" t="n">
        <f aca="false">IF(O62="","",IFERROR(1/(1/(IF(K62="",INDEX(CONFIG!$F$5:$F$14,MATCH(D62,CONFIG!$D$5:$D$14,0)),K62)*IF(M62="",INDEX(CONFIG!$H$5:$H$14,MATCH(D62,CONFIG!$D$5:$D$14,0)),M62))),""))</f>
        <v>770.25</v>
      </c>
      <c r="Q62" s="16" t="n">
        <f aca="false">IF(OR(O62="",P62=""),"",O62/P62)</f>
        <v>84.2934112301201</v>
      </c>
      <c r="R62" s="16" t="n">
        <f aca="false">IF(Q62="","",Q62*0.0980665)</f>
        <v>8.26635981239857</v>
      </c>
      <c r="S62" s="16" t="str">
        <f aca="false">IF(Q62="","",IFERROR(Q62/(1/(1/INDEX(CONFIG!$I$5:$I$14,MATCH(D62,CONFIG!$D$5:$D$14,0)))),""))</f>
        <v/>
      </c>
      <c r="T62" s="13"/>
      <c r="U62" s="13"/>
      <c r="V62" s="13"/>
      <c r="W62" s="13"/>
      <c r="X62" s="22" t="n">
        <f aca="false">IF(Q62="","",Q62^2)</f>
        <v>7105.37917681014</v>
      </c>
      <c r="Y62" s="22" t="str">
        <f aca="false">IF(AND(C62&lt;&gt;"",C62=CERTIFICADO!$E$4,OR(CERTIFICADO!$E$5="",B62=CERTIFICADO!$E$5)),MAX($Y$4:Y61)+1,"")</f>
        <v/>
      </c>
    </row>
    <row r="63" customFormat="false" ht="15" hidden="false" customHeight="false" outlineLevel="0" collapsed="false">
      <c r="A63" s="11" t="n">
        <f aca="false">IF(C63="","",ROW()-4)</f>
        <v>59</v>
      </c>
      <c r="B63" s="12" t="n">
        <v>45687</v>
      </c>
      <c r="C63" s="13" t="s">
        <v>149</v>
      </c>
      <c r="D63" s="23" t="str">
        <f aca="false">IF(C63="","",IFERROR(INDEX(LOTES!$D$5:$D$1004,MATCH(C63,LOTES!$F$5:$F$1004,0)),"¿Lote?"))</f>
        <v>Block 8"</v>
      </c>
      <c r="E63" s="11" t="str">
        <f aca="false">IF(C63="","",IFERROR(INDEX(LOTES!$C$5:$C$1004,MATCH(C63,LOTES!$F$5:$F$1004,0)),""))</f>
        <v>P1</v>
      </c>
      <c r="F63" s="24" t="n">
        <f aca="false">IF(C63="","",IFERROR(INDEX(LOTES!$B$5:$B$1004,MATCH(C63,LOTES!$F$5:$F$1004,0)),""))</f>
        <v>45649</v>
      </c>
      <c r="G63" s="15" t="n">
        <f aca="false">IF(OR(B63="",F63=""),"",B63-F63)</f>
        <v>38</v>
      </c>
      <c r="H63" s="13" t="s">
        <v>135</v>
      </c>
      <c r="I63" s="13" t="s">
        <v>131</v>
      </c>
      <c r="J63" s="13" t="s">
        <v>150</v>
      </c>
      <c r="K63" s="25" t="n">
        <v>19.5</v>
      </c>
      <c r="L63" s="25" t="n">
        <v>19.5</v>
      </c>
      <c r="M63" s="25" t="n">
        <v>39.5</v>
      </c>
      <c r="N63" s="25"/>
      <c r="O63" s="26" t="n">
        <v>60599</v>
      </c>
      <c r="P63" s="16" t="n">
        <f aca="false">IF(O63="","",IFERROR(1/(1/(IF(K63="",INDEX(CONFIG!$F$5:$F$14,MATCH(D63,CONFIG!$D$5:$D$14,0)),K63)*IF(M63="",INDEX(CONFIG!$H$5:$H$14,MATCH(D63,CONFIG!$D$5:$D$14,0)),M63))),""))</f>
        <v>770.25</v>
      </c>
      <c r="Q63" s="16" t="n">
        <f aca="false">IF(OR(O63="",P63=""),"",O63/P63)</f>
        <v>78.6744563453424</v>
      </c>
      <c r="R63" s="16" t="n">
        <f aca="false">IF(Q63="","",Q63*0.0980665)</f>
        <v>7.71532857319052</v>
      </c>
      <c r="S63" s="16" t="str">
        <f aca="false">IF(Q63="","",IFERROR(Q63/(1/(1/INDEX(CONFIG!$I$5:$I$14,MATCH(D63,CONFIG!$D$5:$D$14,0)))),""))</f>
        <v/>
      </c>
      <c r="T63" s="13"/>
      <c r="U63" s="13"/>
      <c r="V63" s="13"/>
      <c r="W63" s="13"/>
      <c r="X63" s="22" t="n">
        <f aca="false">IF(Q63="","",Q63^2)</f>
        <v>6189.67008123519</v>
      </c>
      <c r="Y63" s="22" t="str">
        <f aca="false">IF(AND(C63&lt;&gt;"",C63=CERTIFICADO!$E$4,OR(CERTIFICADO!$E$5="",B63=CERTIFICADO!$E$5)),MAX($Y$4:Y62)+1,"")</f>
        <v/>
      </c>
    </row>
    <row r="64" customFormat="false" ht="15" hidden="false" customHeight="false" outlineLevel="0" collapsed="false">
      <c r="A64" s="11" t="n">
        <f aca="false">IF(C64="","",ROW()-4)</f>
        <v>60</v>
      </c>
      <c r="B64" s="12" t="n">
        <v>45688</v>
      </c>
      <c r="C64" s="13" t="s">
        <v>149</v>
      </c>
      <c r="D64" s="23" t="str">
        <f aca="false">IF(C64="","",IFERROR(INDEX(LOTES!$D$5:$D$1004,MATCH(C64,LOTES!$F$5:$F$1004,0)),"¿Lote?"))</f>
        <v>Block 8"</v>
      </c>
      <c r="E64" s="11" t="str">
        <f aca="false">IF(C64="","",IFERROR(INDEX(LOTES!$C$5:$C$1004,MATCH(C64,LOTES!$F$5:$F$1004,0)),""))</f>
        <v>P1</v>
      </c>
      <c r="F64" s="24" t="n">
        <f aca="false">IF(C64="","",IFERROR(INDEX(LOTES!$B$5:$B$1004,MATCH(C64,LOTES!$F$5:$F$1004,0)),""))</f>
        <v>45649</v>
      </c>
      <c r="G64" s="15" t="n">
        <f aca="false">IF(OR(B64="",F64=""),"",B64-F64)</f>
        <v>39</v>
      </c>
      <c r="H64" s="13" t="s">
        <v>135</v>
      </c>
      <c r="I64" s="13" t="s">
        <v>131</v>
      </c>
      <c r="J64" s="13" t="s">
        <v>150</v>
      </c>
      <c r="K64" s="25" t="n">
        <v>19.5</v>
      </c>
      <c r="L64" s="25" t="n">
        <v>19.5</v>
      </c>
      <c r="M64" s="25" t="n">
        <v>39.5</v>
      </c>
      <c r="N64" s="25"/>
      <c r="O64" s="26" t="n">
        <v>63566</v>
      </c>
      <c r="P64" s="16" t="n">
        <f aca="false">IF(O64="","",IFERROR(1/(1/(IF(K64="",INDEX(CONFIG!$F$5:$F$14,MATCH(D64,CONFIG!$D$5:$D$14,0)),K64)*IF(M64="",INDEX(CONFIG!$H$5:$H$14,MATCH(D64,CONFIG!$D$5:$D$14,0)),M64))),""))</f>
        <v>770.25</v>
      </c>
      <c r="Q64" s="16" t="n">
        <f aca="false">IF(OR(O64="",P64=""),"",O64/P64)</f>
        <v>82.5264524505031</v>
      </c>
      <c r="R64" s="16" t="n">
        <f aca="false">IF(Q64="","",Q64*0.0980665)</f>
        <v>8.09308034923726</v>
      </c>
      <c r="S64" s="16" t="str">
        <f aca="false">IF(Q64="","",IFERROR(Q64/(1/(1/INDEX(CONFIG!$I$5:$I$14,MATCH(D64,CONFIG!$D$5:$D$14,0)))),""))</f>
        <v/>
      </c>
      <c r="T64" s="13"/>
      <c r="U64" s="13"/>
      <c r="V64" s="13"/>
      <c r="W64" s="13"/>
      <c r="X64" s="22" t="n">
        <f aca="false">IF(Q64="","",Q64^2)</f>
        <v>6810.61535406515</v>
      </c>
      <c r="Y64" s="22" t="str">
        <f aca="false">IF(AND(C64&lt;&gt;"",C64=CERTIFICADO!$E$4,OR(CERTIFICADO!$E$5="",B64=CERTIFICADO!$E$5)),MAX($Y$4:Y63)+1,"")</f>
        <v/>
      </c>
    </row>
    <row r="65" customFormat="false" ht="15" hidden="false" customHeight="false" outlineLevel="0" collapsed="false">
      <c r="A65" s="11" t="n">
        <f aca="false">IF(C65="","",ROW()-4)</f>
        <v>61</v>
      </c>
      <c r="B65" s="12" t="n">
        <v>45688</v>
      </c>
      <c r="C65" s="13" t="s">
        <v>149</v>
      </c>
      <c r="D65" s="23" t="str">
        <f aca="false">IF(C65="","",IFERROR(INDEX(LOTES!$D$5:$D$1004,MATCH(C65,LOTES!$F$5:$F$1004,0)),"¿Lote?"))</f>
        <v>Block 8"</v>
      </c>
      <c r="E65" s="11" t="str">
        <f aca="false">IF(C65="","",IFERROR(INDEX(LOTES!$C$5:$C$1004,MATCH(C65,LOTES!$F$5:$F$1004,0)),""))</f>
        <v>P1</v>
      </c>
      <c r="F65" s="24" t="n">
        <f aca="false">IF(C65="","",IFERROR(INDEX(LOTES!$B$5:$B$1004,MATCH(C65,LOTES!$F$5:$F$1004,0)),""))</f>
        <v>45649</v>
      </c>
      <c r="G65" s="15" t="n">
        <f aca="false">IF(OR(B65="",F65=""),"",B65-F65)</f>
        <v>39</v>
      </c>
      <c r="H65" s="13" t="s">
        <v>135</v>
      </c>
      <c r="I65" s="13" t="s">
        <v>131</v>
      </c>
      <c r="J65" s="13" t="s">
        <v>150</v>
      </c>
      <c r="K65" s="25" t="n">
        <v>19.5</v>
      </c>
      <c r="L65" s="25" t="n">
        <v>19.5</v>
      </c>
      <c r="M65" s="25" t="n">
        <v>39.5</v>
      </c>
      <c r="N65" s="25"/>
      <c r="O65" s="26" t="n">
        <v>78648</v>
      </c>
      <c r="P65" s="16" t="n">
        <f aca="false">IF(O65="","",IFERROR(1/(1/(IF(K65="",INDEX(CONFIG!$F$5:$F$14,MATCH(D65,CONFIG!$D$5:$D$14,0)),K65)*IF(M65="",INDEX(CONFIG!$H$5:$H$14,MATCH(D65,CONFIG!$D$5:$D$14,0)),M65))),""))</f>
        <v>770.25</v>
      </c>
      <c r="Q65" s="16" t="n">
        <f aca="false">IF(OR(O65="",P65=""),"",O65/P65)</f>
        <v>102.107108081792</v>
      </c>
      <c r="R65" s="16" t="n">
        <f aca="false">IF(Q65="","",Q65*0.0980665)</f>
        <v>10.013286714703</v>
      </c>
      <c r="S65" s="16" t="str">
        <f aca="false">IF(Q65="","",IFERROR(Q65/(1/(1/INDEX(CONFIG!$I$5:$I$14,MATCH(D65,CONFIG!$D$5:$D$14,0)))),""))</f>
        <v/>
      </c>
      <c r="T65" s="13"/>
      <c r="U65" s="13"/>
      <c r="V65" s="13"/>
      <c r="W65" s="13"/>
      <c r="X65" s="22" t="n">
        <f aca="false">IF(Q65="","",Q65^2)</f>
        <v>10425.8615208267</v>
      </c>
      <c r="Y65" s="22" t="str">
        <f aca="false">IF(AND(C65&lt;&gt;"",C65=CERTIFICADO!$E$4,OR(CERTIFICADO!$E$5="",B65=CERTIFICADO!$E$5)),MAX($Y$4:Y64)+1,"")</f>
        <v/>
      </c>
    </row>
    <row r="66" customFormat="false" ht="15" hidden="false" customHeight="false" outlineLevel="0" collapsed="false">
      <c r="A66" s="11" t="n">
        <f aca="false">IF(C66="","",ROW()-4)</f>
        <v>62</v>
      </c>
      <c r="B66" s="12" t="n">
        <v>45688</v>
      </c>
      <c r="C66" s="13" t="s">
        <v>149</v>
      </c>
      <c r="D66" s="23" t="str">
        <f aca="false">IF(C66="","",IFERROR(INDEX(LOTES!$D$5:$D$1004,MATCH(C66,LOTES!$F$5:$F$1004,0)),"¿Lote?"))</f>
        <v>Block 8"</v>
      </c>
      <c r="E66" s="11" t="str">
        <f aca="false">IF(C66="","",IFERROR(INDEX(LOTES!$C$5:$C$1004,MATCH(C66,LOTES!$F$5:$F$1004,0)),""))</f>
        <v>P1</v>
      </c>
      <c r="F66" s="24" t="n">
        <f aca="false">IF(C66="","",IFERROR(INDEX(LOTES!$B$5:$B$1004,MATCH(C66,LOTES!$F$5:$F$1004,0)),""))</f>
        <v>45649</v>
      </c>
      <c r="G66" s="15" t="n">
        <f aca="false">IF(OR(B66="",F66=""),"",B66-F66)</f>
        <v>39</v>
      </c>
      <c r="H66" s="13" t="s">
        <v>135</v>
      </c>
      <c r="I66" s="13" t="s">
        <v>131</v>
      </c>
      <c r="J66" s="13" t="s">
        <v>150</v>
      </c>
      <c r="K66" s="25" t="n">
        <v>19.5</v>
      </c>
      <c r="L66" s="25" t="n">
        <v>19.5</v>
      </c>
      <c r="M66" s="25" t="n">
        <v>39.5</v>
      </c>
      <c r="N66" s="25"/>
      <c r="O66" s="26" t="n">
        <v>46502</v>
      </c>
      <c r="P66" s="16" t="n">
        <f aca="false">IF(O66="","",IFERROR(1/(1/(IF(K66="",INDEX(CONFIG!$F$5:$F$14,MATCH(D66,CONFIG!$D$5:$D$14,0)),K66)*IF(M66="",INDEX(CONFIG!$H$5:$H$14,MATCH(D66,CONFIG!$D$5:$D$14,0)),M66))),""))</f>
        <v>770.25</v>
      </c>
      <c r="Q66" s="16" t="n">
        <f aca="false">IF(OR(O66="",P66=""),"",O66/P66)</f>
        <v>60.3726062966569</v>
      </c>
      <c r="R66" s="16" t="n">
        <f aca="false">IF(Q66="","",Q66*0.0980665)</f>
        <v>5.92053019539111</v>
      </c>
      <c r="S66" s="16" t="str">
        <f aca="false">IF(Q66="","",IFERROR(Q66/(1/(1/INDEX(CONFIG!$I$5:$I$14,MATCH(D66,CONFIG!$D$5:$D$14,0)))),""))</f>
        <v/>
      </c>
      <c r="T66" s="13"/>
      <c r="U66" s="13"/>
      <c r="V66" s="13"/>
      <c r="W66" s="13"/>
      <c r="X66" s="22" t="n">
        <f aca="false">IF(Q66="","",Q66^2)</f>
        <v>3644.85159105114</v>
      </c>
      <c r="Y66" s="22" t="str">
        <f aca="false">IF(AND(C66&lt;&gt;"",C66=CERTIFICADO!$E$4,OR(CERTIFICADO!$E$5="",B66=CERTIFICADO!$E$5)),MAX($Y$4:Y65)+1,"")</f>
        <v/>
      </c>
    </row>
    <row r="67" customFormat="false" ht="15" hidden="false" customHeight="false" outlineLevel="0" collapsed="false">
      <c r="A67" s="11" t="n">
        <f aca="false">IF(C67="","",ROW()-4)</f>
        <v>63</v>
      </c>
      <c r="B67" s="12" t="n">
        <v>45688</v>
      </c>
      <c r="C67" s="13" t="s">
        <v>149</v>
      </c>
      <c r="D67" s="23" t="str">
        <f aca="false">IF(C67="","",IFERROR(INDEX(LOTES!$D$5:$D$1004,MATCH(C67,LOTES!$F$5:$F$1004,0)),"¿Lote?"))</f>
        <v>Block 8"</v>
      </c>
      <c r="E67" s="11" t="str">
        <f aca="false">IF(C67="","",IFERROR(INDEX(LOTES!$C$5:$C$1004,MATCH(C67,LOTES!$F$5:$F$1004,0)),""))</f>
        <v>P1</v>
      </c>
      <c r="F67" s="24" t="n">
        <f aca="false">IF(C67="","",IFERROR(INDEX(LOTES!$B$5:$B$1004,MATCH(C67,LOTES!$F$5:$F$1004,0)),""))</f>
        <v>45649</v>
      </c>
      <c r="G67" s="15" t="n">
        <f aca="false">IF(OR(B67="",F67=""),"",B67-F67)</f>
        <v>39</v>
      </c>
      <c r="H67" s="13" t="s">
        <v>135</v>
      </c>
      <c r="I67" s="13" t="s">
        <v>131</v>
      </c>
      <c r="J67" s="13" t="s">
        <v>150</v>
      </c>
      <c r="K67" s="25" t="n">
        <v>19.5</v>
      </c>
      <c r="L67" s="25" t="n">
        <v>19.5</v>
      </c>
      <c r="M67" s="25" t="n">
        <v>39.5</v>
      </c>
      <c r="N67" s="25"/>
      <c r="O67" s="26" t="n">
        <v>58531</v>
      </c>
      <c r="P67" s="16" t="n">
        <f aca="false">IF(O67="","",IFERROR(1/(1/(IF(K67="",INDEX(CONFIG!$F$5:$F$14,MATCH(D67,CONFIG!$D$5:$D$14,0)),K67)*IF(M67="",INDEX(CONFIG!$H$5:$H$14,MATCH(D67,CONFIG!$D$5:$D$14,0)),M67))),""))</f>
        <v>770.25</v>
      </c>
      <c r="Q67" s="16" t="n">
        <f aca="false">IF(OR(O67="",P67=""),"",O67/P67)</f>
        <v>75.9896137617657</v>
      </c>
      <c r="R67" s="16" t="n">
        <f aca="false">IF(Q67="","",Q67*0.0980665)</f>
        <v>7.45203545796819</v>
      </c>
      <c r="S67" s="16" t="str">
        <f aca="false">IF(Q67="","",IFERROR(Q67/(1/(1/INDEX(CONFIG!$I$5:$I$14,MATCH(D67,CONFIG!$D$5:$D$14,0)))),""))</f>
        <v/>
      </c>
      <c r="T67" s="13"/>
      <c r="U67" s="13"/>
      <c r="V67" s="13"/>
      <c r="W67" s="13"/>
      <c r="X67" s="22" t="n">
        <f aca="false">IF(Q67="","",Q67^2)</f>
        <v>5774.42139966232</v>
      </c>
      <c r="Y67" s="22" t="str">
        <f aca="false">IF(AND(C67&lt;&gt;"",C67=CERTIFICADO!$E$4,OR(CERTIFICADO!$E$5="",B67=CERTIFICADO!$E$5)),MAX($Y$4:Y66)+1,"")</f>
        <v/>
      </c>
    </row>
    <row r="68" customFormat="false" ht="15" hidden="false" customHeight="false" outlineLevel="0" collapsed="false">
      <c r="A68" s="11" t="n">
        <f aca="false">IF(C68="","",ROW()-4)</f>
        <v>64</v>
      </c>
      <c r="B68" s="12" t="n">
        <v>45694</v>
      </c>
      <c r="C68" s="13" t="s">
        <v>151</v>
      </c>
      <c r="D68" s="23" t="str">
        <f aca="false">IF(C68="","",IFERROR(INDEX(LOTES!$D$5:$D$1004,MATCH(C68,LOTES!$F$5:$F$1004,0)),"¿Lote?"))</f>
        <v>Block 6"</v>
      </c>
      <c r="E68" s="11" t="str">
        <f aca="false">IF(C68="","",IFERROR(INDEX(LOTES!$C$5:$C$1004,MATCH(C68,LOTES!$F$5:$F$1004,0)),""))</f>
        <v>P2</v>
      </c>
      <c r="F68" s="24" t="n">
        <f aca="false">IF(C68="","",IFERROR(INDEX(LOTES!$B$5:$B$1004,MATCH(C68,LOTES!$F$5:$F$1004,0)),""))</f>
        <v>45691</v>
      </c>
      <c r="G68" s="15" t="n">
        <f aca="false">IF(OR(B68="",F68=""),"",B68-F68)</f>
        <v>3</v>
      </c>
      <c r="H68" s="13" t="s">
        <v>135</v>
      </c>
      <c r="I68" s="13" t="s">
        <v>131</v>
      </c>
      <c r="J68" s="13" t="s">
        <v>152</v>
      </c>
      <c r="K68" s="25" t="n">
        <v>14.5</v>
      </c>
      <c r="L68" s="25" t="n">
        <v>19.5</v>
      </c>
      <c r="M68" s="25" t="n">
        <v>39.5</v>
      </c>
      <c r="N68" s="25"/>
      <c r="O68" s="26" t="n">
        <v>45926</v>
      </c>
      <c r="P68" s="16" t="n">
        <f aca="false">IF(O68="","",IFERROR(1/(1/(IF(K68="",INDEX(CONFIG!$F$5:$F$14,MATCH(D68,CONFIG!$D$5:$D$14,0)),K68)*IF(M68="",INDEX(CONFIG!$H$5:$H$14,MATCH(D68,CONFIG!$D$5:$D$14,0)),M68))),""))</f>
        <v>572.75</v>
      </c>
      <c r="Q68" s="16" t="n">
        <f aca="false">IF(OR(O68="",P68=""),"",O68/P68)</f>
        <v>80.1850720209516</v>
      </c>
      <c r="R68" s="16" t="n">
        <f aca="false">IF(Q68="","",Q68*0.0980665)</f>
        <v>7.86346936534265</v>
      </c>
      <c r="S68" s="16" t="str">
        <f aca="false">IF(Q68="","",IFERROR(Q68/(1/(1/INDEX(CONFIG!$I$5:$I$14,MATCH(D68,CONFIG!$D$5:$D$14,0)))),""))</f>
        <v/>
      </c>
      <c r="T68" s="13" t="s">
        <v>153</v>
      </c>
      <c r="U68" s="13"/>
      <c r="V68" s="13" t="s">
        <v>154</v>
      </c>
      <c r="W68" s="13"/>
      <c r="X68" s="22" t="n">
        <f aca="false">IF(Q68="","",Q68^2)</f>
        <v>6429.64577500519</v>
      </c>
      <c r="Y68" s="22" t="str">
        <f aca="false">IF(AND(C68&lt;&gt;"",C68=CERTIFICADO!$E$4,OR(CERTIFICADO!$E$5="",B68=CERTIFICADO!$E$5)),MAX($Y$4:Y67)+1,"")</f>
        <v/>
      </c>
    </row>
    <row r="69" customFormat="false" ht="15" hidden="false" customHeight="false" outlineLevel="0" collapsed="false">
      <c r="A69" s="11" t="n">
        <f aca="false">IF(C69="","",ROW()-4)</f>
        <v>65</v>
      </c>
      <c r="B69" s="12" t="n">
        <v>45694</v>
      </c>
      <c r="C69" s="13" t="s">
        <v>151</v>
      </c>
      <c r="D69" s="23" t="str">
        <f aca="false">IF(C69="","",IFERROR(INDEX(LOTES!$D$5:$D$1004,MATCH(C69,LOTES!$F$5:$F$1004,0)),"¿Lote?"))</f>
        <v>Block 6"</v>
      </c>
      <c r="E69" s="11" t="str">
        <f aca="false">IF(C69="","",IFERROR(INDEX(LOTES!$C$5:$C$1004,MATCH(C69,LOTES!$F$5:$F$1004,0)),""))</f>
        <v>P2</v>
      </c>
      <c r="F69" s="24" t="n">
        <f aca="false">IF(C69="","",IFERROR(INDEX(LOTES!$B$5:$B$1004,MATCH(C69,LOTES!$F$5:$F$1004,0)),""))</f>
        <v>45691</v>
      </c>
      <c r="G69" s="15" t="n">
        <f aca="false">IF(OR(B69="",F69=""),"",B69-F69)</f>
        <v>3</v>
      </c>
      <c r="H69" s="13" t="s">
        <v>135</v>
      </c>
      <c r="I69" s="13" t="s">
        <v>131</v>
      </c>
      <c r="J69" s="13" t="s">
        <v>152</v>
      </c>
      <c r="K69" s="25" t="n">
        <v>14.5</v>
      </c>
      <c r="L69" s="25" t="n">
        <v>19.5</v>
      </c>
      <c r="M69" s="25" t="n">
        <v>39.5</v>
      </c>
      <c r="N69" s="25"/>
      <c r="O69" s="26" t="n">
        <v>29814</v>
      </c>
      <c r="P69" s="16" t="n">
        <f aca="false">IF(O69="","",IFERROR(1/(1/(IF(K69="",INDEX(CONFIG!$F$5:$F$14,MATCH(D69,CONFIG!$D$5:$D$14,0)),K69)*IF(M69="",INDEX(CONFIG!$H$5:$H$14,MATCH(D69,CONFIG!$D$5:$D$14,0)),M69))),""))</f>
        <v>572.75</v>
      </c>
      <c r="Q69" s="16" t="n">
        <f aca="false">IF(OR(O69="",P69=""),"",O69/P69)</f>
        <v>52.054124836316</v>
      </c>
      <c r="R69" s="16" t="n">
        <f aca="false">IF(Q69="","",Q69*0.0980665)</f>
        <v>5.10476583326059</v>
      </c>
      <c r="S69" s="16" t="str">
        <f aca="false">IF(Q69="","",IFERROR(Q69/(1/(1/INDEX(CONFIG!$I$5:$I$14,MATCH(D69,CONFIG!$D$5:$D$14,0)))),""))</f>
        <v/>
      </c>
      <c r="T69" s="13" t="s">
        <v>153</v>
      </c>
      <c r="U69" s="13"/>
      <c r="V69" s="13" t="s">
        <v>154</v>
      </c>
      <c r="W69" s="13"/>
      <c r="X69" s="22" t="n">
        <f aca="false">IF(Q69="","",Q69^2)</f>
        <v>2709.63191247477</v>
      </c>
      <c r="Y69" s="22" t="str">
        <f aca="false">IF(AND(C69&lt;&gt;"",C69=CERTIFICADO!$E$4,OR(CERTIFICADO!$E$5="",B69=CERTIFICADO!$E$5)),MAX($Y$4:Y68)+1,"")</f>
        <v/>
      </c>
    </row>
    <row r="70" customFormat="false" ht="15" hidden="false" customHeight="false" outlineLevel="0" collapsed="false">
      <c r="A70" s="11" t="n">
        <f aca="false">IF(C70="","",ROW()-4)</f>
        <v>66</v>
      </c>
      <c r="B70" s="12" t="n">
        <v>45694</v>
      </c>
      <c r="C70" s="13" t="s">
        <v>151</v>
      </c>
      <c r="D70" s="23" t="str">
        <f aca="false">IF(C70="","",IFERROR(INDEX(LOTES!$D$5:$D$1004,MATCH(C70,LOTES!$F$5:$F$1004,0)),"¿Lote?"))</f>
        <v>Block 6"</v>
      </c>
      <c r="E70" s="11" t="str">
        <f aca="false">IF(C70="","",IFERROR(INDEX(LOTES!$C$5:$C$1004,MATCH(C70,LOTES!$F$5:$F$1004,0)),""))</f>
        <v>P2</v>
      </c>
      <c r="F70" s="24" t="n">
        <f aca="false">IF(C70="","",IFERROR(INDEX(LOTES!$B$5:$B$1004,MATCH(C70,LOTES!$F$5:$F$1004,0)),""))</f>
        <v>45691</v>
      </c>
      <c r="G70" s="15" t="n">
        <f aca="false">IF(OR(B70="",F70=""),"",B70-F70)</f>
        <v>3</v>
      </c>
      <c r="H70" s="13" t="s">
        <v>135</v>
      </c>
      <c r="I70" s="13" t="s">
        <v>131</v>
      </c>
      <c r="J70" s="13" t="s">
        <v>152</v>
      </c>
      <c r="K70" s="25" t="n">
        <v>14.5</v>
      </c>
      <c r="L70" s="25" t="n">
        <v>19.5</v>
      </c>
      <c r="M70" s="25" t="n">
        <v>39.5</v>
      </c>
      <c r="N70" s="25"/>
      <c r="O70" s="26" t="n">
        <v>45390</v>
      </c>
      <c r="P70" s="16" t="n">
        <f aca="false">IF(O70="","",IFERROR(1/(1/(IF(K70="",INDEX(CONFIG!$F$5:$F$14,MATCH(D70,CONFIG!$D$5:$D$14,0)),K70)*IF(M70="",INDEX(CONFIG!$H$5:$H$14,MATCH(D70,CONFIG!$D$5:$D$14,0)),M70))),""))</f>
        <v>572.75</v>
      </c>
      <c r="Q70" s="16" t="n">
        <f aca="false">IF(OR(O70="",P70=""),"",O70/P70)</f>
        <v>79.249236141423</v>
      </c>
      <c r="R70" s="16" t="n">
        <f aca="false">IF(Q70="","",Q70*0.0980665)</f>
        <v>7.77169521606285</v>
      </c>
      <c r="S70" s="16" t="str">
        <f aca="false">IF(Q70="","",IFERROR(Q70/(1/(1/INDEX(CONFIG!$I$5:$I$14,MATCH(D70,CONFIG!$D$5:$D$14,0)))),""))</f>
        <v/>
      </c>
      <c r="T70" s="13" t="s">
        <v>153</v>
      </c>
      <c r="U70" s="13"/>
      <c r="V70" s="13" t="s">
        <v>154</v>
      </c>
      <c r="W70" s="13"/>
      <c r="X70" s="22" t="n">
        <f aca="false">IF(Q70="","",Q70^2)</f>
        <v>6280.44142899902</v>
      </c>
      <c r="Y70" s="22" t="str">
        <f aca="false">IF(AND(C70&lt;&gt;"",C70=CERTIFICADO!$E$4,OR(CERTIFICADO!$E$5="",B70=CERTIFICADO!$E$5)),MAX($Y$4:Y69)+1,"")</f>
        <v/>
      </c>
    </row>
    <row r="71" customFormat="false" ht="15" hidden="false" customHeight="false" outlineLevel="0" collapsed="false">
      <c r="A71" s="11" t="n">
        <f aca="false">IF(C71="","",ROW()-4)</f>
        <v>67</v>
      </c>
      <c r="B71" s="12" t="n">
        <v>45694</v>
      </c>
      <c r="C71" s="13" t="s">
        <v>151</v>
      </c>
      <c r="D71" s="23" t="str">
        <f aca="false">IF(C71="","",IFERROR(INDEX(LOTES!$D$5:$D$1004,MATCH(C71,LOTES!$F$5:$F$1004,0)),"¿Lote?"))</f>
        <v>Block 6"</v>
      </c>
      <c r="E71" s="11" t="str">
        <f aca="false">IF(C71="","",IFERROR(INDEX(LOTES!$C$5:$C$1004,MATCH(C71,LOTES!$F$5:$F$1004,0)),""))</f>
        <v>P2</v>
      </c>
      <c r="F71" s="24" t="n">
        <f aca="false">IF(C71="","",IFERROR(INDEX(LOTES!$B$5:$B$1004,MATCH(C71,LOTES!$F$5:$F$1004,0)),""))</f>
        <v>45691</v>
      </c>
      <c r="G71" s="15" t="n">
        <f aca="false">IF(OR(B71="",F71=""),"",B71-F71)</f>
        <v>3</v>
      </c>
      <c r="H71" s="13" t="s">
        <v>135</v>
      </c>
      <c r="I71" s="13" t="s">
        <v>131</v>
      </c>
      <c r="J71" s="13" t="s">
        <v>152</v>
      </c>
      <c r="K71" s="25" t="n">
        <v>14.5</v>
      </c>
      <c r="L71" s="25" t="n">
        <v>19.5</v>
      </c>
      <c r="M71" s="25" t="n">
        <v>39.5</v>
      </c>
      <c r="N71" s="25"/>
      <c r="O71" s="26" t="n">
        <v>34175</v>
      </c>
      <c r="P71" s="16" t="n">
        <f aca="false">IF(O71="","",IFERROR(1/(1/(IF(K71="",INDEX(CONFIG!$F$5:$F$14,MATCH(D71,CONFIG!$D$5:$D$14,0)),K71)*IF(M71="",INDEX(CONFIG!$H$5:$H$14,MATCH(D71,CONFIG!$D$5:$D$14,0)),M71))),""))</f>
        <v>572.75</v>
      </c>
      <c r="Q71" s="16" t="n">
        <f aca="false">IF(OR(O71="",P71=""),"",O71/P71)</f>
        <v>59.6682671322567</v>
      </c>
      <c r="R71" s="16" t="n">
        <f aca="false">IF(Q71="","",Q71*0.0980665)</f>
        <v>5.85145811872545</v>
      </c>
      <c r="S71" s="16" t="str">
        <f aca="false">IF(Q71="","",IFERROR(Q71/(1/(1/INDEX(CONFIG!$I$5:$I$14,MATCH(D71,CONFIG!$D$5:$D$14,0)))),""))</f>
        <v/>
      </c>
      <c r="T71" s="13" t="s">
        <v>153</v>
      </c>
      <c r="U71" s="13"/>
      <c r="V71" s="13" t="s">
        <v>154</v>
      </c>
      <c r="W71" s="13"/>
      <c r="X71" s="22" t="n">
        <f aca="false">IF(Q71="","",Q71^2)</f>
        <v>3560.30210256634</v>
      </c>
      <c r="Y71" s="22" t="str">
        <f aca="false">IF(AND(C71&lt;&gt;"",C71=CERTIFICADO!$E$4,OR(CERTIFICADO!$E$5="",B71=CERTIFICADO!$E$5)),MAX($Y$4:Y70)+1,"")</f>
        <v/>
      </c>
    </row>
    <row r="72" customFormat="false" ht="15" hidden="false" customHeight="false" outlineLevel="0" collapsed="false">
      <c r="A72" s="11" t="n">
        <f aca="false">IF(C72="","",ROW()-4)</f>
        <v>68</v>
      </c>
      <c r="B72" s="12" t="n">
        <v>45694</v>
      </c>
      <c r="C72" s="13" t="s">
        <v>151</v>
      </c>
      <c r="D72" s="23" t="str">
        <f aca="false">IF(C72="","",IFERROR(INDEX(LOTES!$D$5:$D$1004,MATCH(C72,LOTES!$F$5:$F$1004,0)),"¿Lote?"))</f>
        <v>Block 6"</v>
      </c>
      <c r="E72" s="11" t="str">
        <f aca="false">IF(C72="","",IFERROR(INDEX(LOTES!$C$5:$C$1004,MATCH(C72,LOTES!$F$5:$F$1004,0)),""))</f>
        <v>P2</v>
      </c>
      <c r="F72" s="24" t="n">
        <f aca="false">IF(C72="","",IFERROR(INDEX(LOTES!$B$5:$B$1004,MATCH(C72,LOTES!$F$5:$F$1004,0)),""))</f>
        <v>45691</v>
      </c>
      <c r="G72" s="15" t="n">
        <f aca="false">IF(OR(B72="",F72=""),"",B72-F72)</f>
        <v>3</v>
      </c>
      <c r="H72" s="13" t="s">
        <v>135</v>
      </c>
      <c r="I72" s="13" t="s">
        <v>131</v>
      </c>
      <c r="J72" s="13" t="s">
        <v>152</v>
      </c>
      <c r="K72" s="25" t="n">
        <v>14.5</v>
      </c>
      <c r="L72" s="25" t="n">
        <v>19.5</v>
      </c>
      <c r="M72" s="25" t="n">
        <v>39.5</v>
      </c>
      <c r="N72" s="25"/>
      <c r="O72" s="26" t="n">
        <v>35352</v>
      </c>
      <c r="P72" s="16" t="n">
        <f aca="false">IF(O72="","",IFERROR(1/(1/(IF(K72="",INDEX(CONFIG!$F$5:$F$14,MATCH(D72,CONFIG!$D$5:$D$14,0)),K72)*IF(M72="",INDEX(CONFIG!$H$5:$H$14,MATCH(D72,CONFIG!$D$5:$D$14,0)),M72))),""))</f>
        <v>572.75</v>
      </c>
      <c r="Q72" s="16" t="n">
        <f aca="false">IF(OR(O72="",P72=""),"",O72/P72)</f>
        <v>61.7232649498036</v>
      </c>
      <c r="R72" s="16" t="n">
        <f aca="false">IF(Q72="","",Q72*0.0980665)</f>
        <v>6.05298456219991</v>
      </c>
      <c r="S72" s="16" t="str">
        <f aca="false">IF(Q72="","",IFERROR(Q72/(1/(1/INDEX(CONFIG!$I$5:$I$14,MATCH(D72,CONFIG!$D$5:$D$14,0)))),""))</f>
        <v/>
      </c>
      <c r="T72" s="13" t="s">
        <v>153</v>
      </c>
      <c r="U72" s="13"/>
      <c r="V72" s="13" t="s">
        <v>154</v>
      </c>
      <c r="W72" s="13"/>
      <c r="X72" s="22" t="n">
        <f aca="false">IF(Q72="","",Q72^2)</f>
        <v>3809.76143606365</v>
      </c>
      <c r="Y72" s="22" t="str">
        <f aca="false">IF(AND(C72&lt;&gt;"",C72=CERTIFICADO!$E$4,OR(CERTIFICADO!$E$5="",B72=CERTIFICADO!$E$5)),MAX($Y$4:Y71)+1,"")</f>
        <v/>
      </c>
    </row>
    <row r="73" customFormat="false" ht="15" hidden="false" customHeight="false" outlineLevel="0" collapsed="false">
      <c r="A73" s="11" t="n">
        <f aca="false">IF(C73="","",ROW()-4)</f>
        <v>69</v>
      </c>
      <c r="B73" s="12" t="n">
        <v>45694</v>
      </c>
      <c r="C73" s="13" t="s">
        <v>151</v>
      </c>
      <c r="D73" s="23" t="str">
        <f aca="false">IF(C73="","",IFERROR(INDEX(LOTES!$D$5:$D$1004,MATCH(C73,LOTES!$F$5:$F$1004,0)),"¿Lote?"))</f>
        <v>Block 6"</v>
      </c>
      <c r="E73" s="11" t="str">
        <f aca="false">IF(C73="","",IFERROR(INDEX(LOTES!$C$5:$C$1004,MATCH(C73,LOTES!$F$5:$F$1004,0)),""))</f>
        <v>P2</v>
      </c>
      <c r="F73" s="24" t="n">
        <f aca="false">IF(C73="","",IFERROR(INDEX(LOTES!$B$5:$B$1004,MATCH(C73,LOTES!$F$5:$F$1004,0)),""))</f>
        <v>45691</v>
      </c>
      <c r="G73" s="15" t="n">
        <f aca="false">IF(OR(B73="",F73=""),"",B73-F73)</f>
        <v>3</v>
      </c>
      <c r="H73" s="13" t="s">
        <v>135</v>
      </c>
      <c r="I73" s="13" t="s">
        <v>131</v>
      </c>
      <c r="J73" s="13" t="s">
        <v>152</v>
      </c>
      <c r="K73" s="25" t="n">
        <v>14.5</v>
      </c>
      <c r="L73" s="25" t="n">
        <v>19.5</v>
      </c>
      <c r="M73" s="25" t="n">
        <v>39.5</v>
      </c>
      <c r="N73" s="25"/>
      <c r="O73" s="26" t="n">
        <v>32916</v>
      </c>
      <c r="P73" s="16" t="n">
        <f aca="false">IF(O73="","",IFERROR(1/(1/(IF(K73="",INDEX(CONFIG!$F$5:$F$14,MATCH(D73,CONFIG!$D$5:$D$14,0)),K73)*IF(M73="",INDEX(CONFIG!$H$5:$H$14,MATCH(D73,CONFIG!$D$5:$D$14,0)),M73))),""))</f>
        <v>572.75</v>
      </c>
      <c r="Q73" s="16" t="n">
        <f aca="false">IF(OR(O73="",P73=""),"",O73/P73)</f>
        <v>57.4701003928416</v>
      </c>
      <c r="R73" s="16" t="n">
        <f aca="false">IF(Q73="","",Q73*0.0980665)</f>
        <v>5.6358916001746</v>
      </c>
      <c r="S73" s="16" t="str">
        <f aca="false">IF(Q73="","",IFERROR(Q73/(1/(1/INDEX(CONFIG!$I$5:$I$14,MATCH(D73,CONFIG!$D$5:$D$14,0)))),""))</f>
        <v/>
      </c>
      <c r="T73" s="13" t="s">
        <v>153</v>
      </c>
      <c r="U73" s="13"/>
      <c r="V73" s="13" t="s">
        <v>154</v>
      </c>
      <c r="W73" s="13"/>
      <c r="X73" s="22" t="n">
        <f aca="false">IF(Q73="","",Q73^2)</f>
        <v>3302.81243916329</v>
      </c>
      <c r="Y73" s="22" t="str">
        <f aca="false">IF(AND(C73&lt;&gt;"",C73=CERTIFICADO!$E$4,OR(CERTIFICADO!$E$5="",B73=CERTIFICADO!$E$5)),MAX($Y$4:Y72)+1,"")</f>
        <v/>
      </c>
    </row>
    <row r="74" customFormat="false" ht="15" hidden="false" customHeight="false" outlineLevel="0" collapsed="false">
      <c r="A74" s="11" t="n">
        <f aca="false">IF(C74="","",ROW()-4)</f>
        <v>70</v>
      </c>
      <c r="B74" s="12" t="n">
        <v>45694</v>
      </c>
      <c r="C74" s="13" t="s">
        <v>151</v>
      </c>
      <c r="D74" s="23" t="str">
        <f aca="false">IF(C74="","",IFERROR(INDEX(LOTES!$D$5:$D$1004,MATCH(C74,LOTES!$F$5:$F$1004,0)),"¿Lote?"))</f>
        <v>Block 6"</v>
      </c>
      <c r="E74" s="11" t="str">
        <f aca="false">IF(C74="","",IFERROR(INDEX(LOTES!$C$5:$C$1004,MATCH(C74,LOTES!$F$5:$F$1004,0)),""))</f>
        <v>P2</v>
      </c>
      <c r="F74" s="24" t="n">
        <f aca="false">IF(C74="","",IFERROR(INDEX(LOTES!$B$5:$B$1004,MATCH(C74,LOTES!$F$5:$F$1004,0)),""))</f>
        <v>45691</v>
      </c>
      <c r="G74" s="15" t="n">
        <f aca="false">IF(OR(B74="",F74=""),"",B74-F74)</f>
        <v>3</v>
      </c>
      <c r="H74" s="13" t="s">
        <v>135</v>
      </c>
      <c r="I74" s="13" t="s">
        <v>131</v>
      </c>
      <c r="J74" s="13" t="s">
        <v>152</v>
      </c>
      <c r="K74" s="25" t="n">
        <v>14.5</v>
      </c>
      <c r="L74" s="25" t="n">
        <v>19.5</v>
      </c>
      <c r="M74" s="25" t="n">
        <v>39.5</v>
      </c>
      <c r="N74" s="25"/>
      <c r="O74" s="26" t="n">
        <v>40070</v>
      </c>
      <c r="P74" s="16" t="n">
        <f aca="false">IF(O74="","",IFERROR(1/(1/(IF(K74="",INDEX(CONFIG!$F$5:$F$14,MATCH(D74,CONFIG!$D$5:$D$14,0)),K74)*IF(M74="",INDEX(CONFIG!$H$5:$H$14,MATCH(D74,CONFIG!$D$5:$D$14,0)),M74))),""))</f>
        <v>572.75</v>
      </c>
      <c r="Q74" s="16" t="n">
        <f aca="false">IF(OR(O74="",P74=""),"",O74/P74)</f>
        <v>69.9607158446093</v>
      </c>
      <c r="R74" s="16" t="n">
        <f aca="false">IF(Q74="","",Q74*0.0980665)</f>
        <v>6.86080254037538</v>
      </c>
      <c r="S74" s="16" t="str">
        <f aca="false">IF(Q74="","",IFERROR(Q74/(1/(1/INDEX(CONFIG!$I$5:$I$14,MATCH(D74,CONFIG!$D$5:$D$14,0)))),""))</f>
        <v/>
      </c>
      <c r="T74" s="13" t="s">
        <v>153</v>
      </c>
      <c r="U74" s="13"/>
      <c r="V74" s="13" t="s">
        <v>154</v>
      </c>
      <c r="W74" s="13"/>
      <c r="X74" s="22" t="n">
        <f aca="false">IF(Q74="","",Q74^2)</f>
        <v>4894.50176149017</v>
      </c>
      <c r="Y74" s="22" t="str">
        <f aca="false">IF(AND(C74&lt;&gt;"",C74=CERTIFICADO!$E$4,OR(CERTIFICADO!$E$5="",B74=CERTIFICADO!$E$5)),MAX($Y$4:Y73)+1,"")</f>
        <v/>
      </c>
    </row>
    <row r="75" customFormat="false" ht="15" hidden="false" customHeight="false" outlineLevel="0" collapsed="false">
      <c r="A75" s="11" t="n">
        <f aca="false">IF(C75="","",ROW()-4)</f>
        <v>71</v>
      </c>
      <c r="B75" s="12" t="n">
        <v>45699</v>
      </c>
      <c r="C75" s="13" t="s">
        <v>155</v>
      </c>
      <c r="D75" s="23" t="str">
        <f aca="false">IF(C75="","",IFERROR(INDEX(LOTES!$D$5:$D$1004,MATCH(C75,LOTES!$F$5:$F$1004,0)),"¿Lote?"))</f>
        <v>Block 8"</v>
      </c>
      <c r="E75" s="11" t="str">
        <f aca="false">IF(C75="","",IFERROR(INDEX(LOTES!$C$5:$C$1004,MATCH(C75,LOTES!$F$5:$F$1004,0)),""))</f>
        <v>P1</v>
      </c>
      <c r="F75" s="24" t="n">
        <f aca="false">IF(C75="","",IFERROR(INDEX(LOTES!$B$5:$B$1004,MATCH(C75,LOTES!$F$5:$F$1004,0)),""))</f>
        <v>45694</v>
      </c>
      <c r="G75" s="15" t="n">
        <f aca="false">IF(OR(B75="",F75=""),"",B75-F75)</f>
        <v>5</v>
      </c>
      <c r="H75" s="13" t="s">
        <v>135</v>
      </c>
      <c r="I75" s="13" t="s">
        <v>131</v>
      </c>
      <c r="J75" s="13" t="s">
        <v>156</v>
      </c>
      <c r="K75" s="25" t="n">
        <v>19.5</v>
      </c>
      <c r="L75" s="25" t="n">
        <v>19.5</v>
      </c>
      <c r="M75" s="25" t="n">
        <v>39.5</v>
      </c>
      <c r="N75" s="25"/>
      <c r="O75" s="26" t="n">
        <v>67104</v>
      </c>
      <c r="P75" s="16" t="n">
        <f aca="false">IF(O75="","",IFERROR(1/(1/(IF(K75="",INDEX(CONFIG!$F$5:$F$14,MATCH(D75,CONFIG!$D$5:$D$14,0)),K75)*IF(M75="",INDEX(CONFIG!$H$5:$H$14,MATCH(D75,CONFIG!$D$5:$D$14,0)),M75))),""))</f>
        <v>770.25</v>
      </c>
      <c r="Q75" s="16" t="n">
        <f aca="false">IF(OR(O75="",P75=""),"",O75/P75)</f>
        <v>87.1197663096397</v>
      </c>
      <c r="R75" s="16" t="n">
        <f aca="false">IF(Q75="","",Q75*0.0980665)</f>
        <v>8.54353056280429</v>
      </c>
      <c r="S75" s="16" t="str">
        <f aca="false">IF(Q75="","",IFERROR(Q75/(1/(1/INDEX(CONFIG!$I$5:$I$14,MATCH(D75,CONFIG!$D$5:$D$14,0)))),""))</f>
        <v/>
      </c>
      <c r="T75" s="13"/>
      <c r="U75" s="13"/>
      <c r="V75" s="13"/>
      <c r="W75" s="13"/>
      <c r="X75" s="22" t="n">
        <f aca="false">IF(Q75="","",Q75^2)</f>
        <v>7589.85368184624</v>
      </c>
      <c r="Y75" s="22" t="str">
        <f aca="false">IF(AND(C75&lt;&gt;"",C75=CERTIFICADO!$E$4,OR(CERTIFICADO!$E$5="",B75=CERTIFICADO!$E$5)),MAX($Y$4:Y74)+1,"")</f>
        <v/>
      </c>
    </row>
    <row r="76" customFormat="false" ht="15" hidden="false" customHeight="false" outlineLevel="0" collapsed="false">
      <c r="A76" s="11" t="n">
        <f aca="false">IF(C76="","",ROW()-4)</f>
        <v>72</v>
      </c>
      <c r="B76" s="12" t="n">
        <v>45699</v>
      </c>
      <c r="C76" s="13" t="s">
        <v>155</v>
      </c>
      <c r="D76" s="23" t="str">
        <f aca="false">IF(C76="","",IFERROR(INDEX(LOTES!$D$5:$D$1004,MATCH(C76,LOTES!$F$5:$F$1004,0)),"¿Lote?"))</f>
        <v>Block 8"</v>
      </c>
      <c r="E76" s="11" t="str">
        <f aca="false">IF(C76="","",IFERROR(INDEX(LOTES!$C$5:$C$1004,MATCH(C76,LOTES!$F$5:$F$1004,0)),""))</f>
        <v>P1</v>
      </c>
      <c r="F76" s="24" t="n">
        <f aca="false">IF(C76="","",IFERROR(INDEX(LOTES!$B$5:$B$1004,MATCH(C76,LOTES!$F$5:$F$1004,0)),""))</f>
        <v>45694</v>
      </c>
      <c r="G76" s="15" t="n">
        <f aca="false">IF(OR(B76="",F76=""),"",B76-F76)</f>
        <v>5</v>
      </c>
      <c r="H76" s="13" t="s">
        <v>135</v>
      </c>
      <c r="I76" s="13" t="s">
        <v>131</v>
      </c>
      <c r="J76" s="13" t="s">
        <v>156</v>
      </c>
      <c r="K76" s="25" t="n">
        <v>19.5</v>
      </c>
      <c r="L76" s="25" t="n">
        <v>19.5</v>
      </c>
      <c r="M76" s="25" t="n">
        <v>39.5</v>
      </c>
      <c r="N76" s="25"/>
      <c r="O76" s="26" t="n">
        <v>70891</v>
      </c>
      <c r="P76" s="16" t="n">
        <f aca="false">IF(O76="","",IFERROR(1/(1/(IF(K76="",INDEX(CONFIG!$F$5:$F$14,MATCH(D76,CONFIG!$D$5:$D$14,0)),K76)*IF(M76="",INDEX(CONFIG!$H$5:$H$14,MATCH(D76,CONFIG!$D$5:$D$14,0)),M76))),""))</f>
        <v>770.25</v>
      </c>
      <c r="Q76" s="16" t="n">
        <f aca="false">IF(OR(O76="",P76=""),"",O76/P76)</f>
        <v>92.0363518338202</v>
      </c>
      <c r="R76" s="16" t="n">
        <f aca="false">IF(Q76="","",Q76*0.0980665)</f>
        <v>9.02568289711133</v>
      </c>
      <c r="S76" s="16" t="str">
        <f aca="false">IF(Q76="","",IFERROR(Q76/(1/(1/INDEX(CONFIG!$I$5:$I$14,MATCH(D76,CONFIG!$D$5:$D$14,0)))),""))</f>
        <v/>
      </c>
      <c r="T76" s="13"/>
      <c r="U76" s="13"/>
      <c r="V76" s="13"/>
      <c r="W76" s="13"/>
      <c r="X76" s="22" t="n">
        <f aca="false">IF(Q76="","",Q76^2)</f>
        <v>8470.69005887874</v>
      </c>
      <c r="Y76" s="22" t="str">
        <f aca="false">IF(AND(C76&lt;&gt;"",C76=CERTIFICADO!$E$4,OR(CERTIFICADO!$E$5="",B76=CERTIFICADO!$E$5)),MAX($Y$4:Y75)+1,"")</f>
        <v/>
      </c>
    </row>
    <row r="77" customFormat="false" ht="15" hidden="false" customHeight="false" outlineLevel="0" collapsed="false">
      <c r="A77" s="11" t="n">
        <f aca="false">IF(C77="","",ROW()-4)</f>
        <v>73</v>
      </c>
      <c r="B77" s="12" t="n">
        <v>45699</v>
      </c>
      <c r="C77" s="13" t="s">
        <v>155</v>
      </c>
      <c r="D77" s="23" t="str">
        <f aca="false">IF(C77="","",IFERROR(INDEX(LOTES!$D$5:$D$1004,MATCH(C77,LOTES!$F$5:$F$1004,0)),"¿Lote?"))</f>
        <v>Block 8"</v>
      </c>
      <c r="E77" s="11" t="str">
        <f aca="false">IF(C77="","",IFERROR(INDEX(LOTES!$C$5:$C$1004,MATCH(C77,LOTES!$F$5:$F$1004,0)),""))</f>
        <v>P1</v>
      </c>
      <c r="F77" s="24" t="n">
        <f aca="false">IF(C77="","",IFERROR(INDEX(LOTES!$B$5:$B$1004,MATCH(C77,LOTES!$F$5:$F$1004,0)),""))</f>
        <v>45694</v>
      </c>
      <c r="G77" s="15" t="n">
        <f aca="false">IF(OR(B77="",F77=""),"",B77-F77)</f>
        <v>5</v>
      </c>
      <c r="H77" s="13" t="s">
        <v>135</v>
      </c>
      <c r="I77" s="13" t="s">
        <v>131</v>
      </c>
      <c r="J77" s="13" t="s">
        <v>156</v>
      </c>
      <c r="K77" s="25" t="n">
        <v>19.5</v>
      </c>
      <c r="L77" s="25" t="n">
        <v>19.5</v>
      </c>
      <c r="M77" s="25" t="n">
        <v>39.5</v>
      </c>
      <c r="N77" s="25"/>
      <c r="O77" s="26" t="n">
        <v>68809</v>
      </c>
      <c r="P77" s="16" t="n">
        <f aca="false">IF(O77="","",IFERROR(1/(1/(IF(K77="",INDEX(CONFIG!$F$5:$F$14,MATCH(D77,CONFIG!$D$5:$D$14,0)),K77)*IF(M77="",INDEX(CONFIG!$H$5:$H$14,MATCH(D77,CONFIG!$D$5:$D$14,0)),M77))),""))</f>
        <v>770.25</v>
      </c>
      <c r="Q77" s="16" t="n">
        <f aca="false">IF(OR(O77="",P77=""),"",O77/P77)</f>
        <v>89.3333333333333</v>
      </c>
      <c r="R77" s="16" t="n">
        <f aca="false">IF(Q77="","",Q77*0.0980665)</f>
        <v>8.76060733333333</v>
      </c>
      <c r="S77" s="16" t="str">
        <f aca="false">IF(Q77="","",IFERROR(Q77/(1/(1/INDEX(CONFIG!$I$5:$I$14,MATCH(D77,CONFIG!$D$5:$D$14,0)))),""))</f>
        <v/>
      </c>
      <c r="T77" s="13"/>
      <c r="U77" s="13"/>
      <c r="V77" s="13"/>
      <c r="W77" s="13"/>
      <c r="X77" s="22" t="n">
        <f aca="false">IF(Q77="","",Q77^2)</f>
        <v>7980.44444444444</v>
      </c>
      <c r="Y77" s="22" t="str">
        <f aca="false">IF(AND(C77&lt;&gt;"",C77=CERTIFICADO!$E$4,OR(CERTIFICADO!$E$5="",B77=CERTIFICADO!$E$5)),MAX($Y$4:Y76)+1,"")</f>
        <v/>
      </c>
    </row>
    <row r="78" customFormat="false" ht="15" hidden="false" customHeight="false" outlineLevel="0" collapsed="false">
      <c r="A78" s="11" t="n">
        <f aca="false">IF(C78="","",ROW()-4)</f>
        <v>74</v>
      </c>
      <c r="B78" s="12" t="n">
        <v>45699</v>
      </c>
      <c r="C78" s="13" t="s">
        <v>155</v>
      </c>
      <c r="D78" s="23" t="str">
        <f aca="false">IF(C78="","",IFERROR(INDEX(LOTES!$D$5:$D$1004,MATCH(C78,LOTES!$F$5:$F$1004,0)),"¿Lote?"))</f>
        <v>Block 8"</v>
      </c>
      <c r="E78" s="11" t="str">
        <f aca="false">IF(C78="","",IFERROR(INDEX(LOTES!$C$5:$C$1004,MATCH(C78,LOTES!$F$5:$F$1004,0)),""))</f>
        <v>P1</v>
      </c>
      <c r="F78" s="24" t="n">
        <f aca="false">IF(C78="","",IFERROR(INDEX(LOTES!$B$5:$B$1004,MATCH(C78,LOTES!$F$5:$F$1004,0)),""))</f>
        <v>45694</v>
      </c>
      <c r="G78" s="15" t="n">
        <f aca="false">IF(OR(B78="",F78=""),"",B78-F78)</f>
        <v>5</v>
      </c>
      <c r="H78" s="13" t="s">
        <v>135</v>
      </c>
      <c r="I78" s="13" t="s">
        <v>131</v>
      </c>
      <c r="J78" s="13" t="s">
        <v>156</v>
      </c>
      <c r="K78" s="25" t="n">
        <v>19.5</v>
      </c>
      <c r="L78" s="25" t="n">
        <v>19.5</v>
      </c>
      <c r="M78" s="25" t="n">
        <v>39.5</v>
      </c>
      <c r="N78" s="25"/>
      <c r="O78" s="26" t="n">
        <v>63598</v>
      </c>
      <c r="P78" s="16" t="n">
        <f aca="false">IF(O78="","",IFERROR(1/(1/(IF(K78="",INDEX(CONFIG!$F$5:$F$14,MATCH(D78,CONFIG!$D$5:$D$14,0)),K78)*IF(M78="",INDEX(CONFIG!$H$5:$H$14,MATCH(D78,CONFIG!$D$5:$D$14,0)),M78))),""))</f>
        <v>770.25</v>
      </c>
      <c r="Q78" s="16" t="n">
        <f aca="false">IF(OR(O78="",P78=""),"",O78/P78)</f>
        <v>82.5679974034404</v>
      </c>
      <c r="R78" s="16" t="n">
        <f aca="false">IF(Q78="","",Q78*0.0980665)</f>
        <v>8.09715451736449</v>
      </c>
      <c r="S78" s="16" t="str">
        <f aca="false">IF(Q78="","",IFERROR(Q78/(1/(1/INDEX(CONFIG!$I$5:$I$14,MATCH(D78,CONFIG!$D$5:$D$14,0)))),""))</f>
        <v/>
      </c>
      <c r="T78" s="13"/>
      <c r="U78" s="13"/>
      <c r="V78" s="13"/>
      <c r="W78" s="13"/>
      <c r="X78" s="22" t="n">
        <f aca="false">IF(Q78="","",Q78^2)</f>
        <v>6817.47419521455</v>
      </c>
      <c r="Y78" s="22" t="str">
        <f aca="false">IF(AND(C78&lt;&gt;"",C78=CERTIFICADO!$E$4,OR(CERTIFICADO!$E$5="",B78=CERTIFICADO!$E$5)),MAX($Y$4:Y77)+1,"")</f>
        <v/>
      </c>
    </row>
    <row r="79" customFormat="false" ht="15" hidden="false" customHeight="false" outlineLevel="0" collapsed="false">
      <c r="A79" s="11" t="n">
        <f aca="false">IF(C79="","",ROW()-4)</f>
        <v>75</v>
      </c>
      <c r="B79" s="12" t="n">
        <v>45701</v>
      </c>
      <c r="C79" s="13" t="s">
        <v>157</v>
      </c>
      <c r="D79" s="23" t="str">
        <f aca="false">IF(C79="","",IFERROR(INDEX(LOTES!$D$5:$D$1004,MATCH(C79,LOTES!$F$5:$F$1004,0)),"¿Lote?"))</f>
        <v>Block 8"</v>
      </c>
      <c r="E79" s="11" t="str">
        <f aca="false">IF(C79="","",IFERROR(INDEX(LOTES!$C$5:$C$1004,MATCH(C79,LOTES!$F$5:$F$1004,0)),""))</f>
        <v>P1</v>
      </c>
      <c r="F79" s="24" t="n">
        <f aca="false">IF(C79="","",IFERROR(INDEX(LOTES!$B$5:$B$1004,MATCH(C79,LOTES!$F$5:$F$1004,0)),""))</f>
        <v>45699</v>
      </c>
      <c r="G79" s="15" t="n">
        <f aca="false">IF(OR(B79="",F79=""),"",B79-F79)</f>
        <v>2</v>
      </c>
      <c r="H79" s="13" t="s">
        <v>135</v>
      </c>
      <c r="I79" s="13" t="s">
        <v>131</v>
      </c>
      <c r="J79" s="13" t="s">
        <v>158</v>
      </c>
      <c r="K79" s="25" t="n">
        <v>19.5</v>
      </c>
      <c r="L79" s="25" t="n">
        <v>19.5</v>
      </c>
      <c r="M79" s="25" t="n">
        <v>39.5</v>
      </c>
      <c r="N79" s="25"/>
      <c r="O79" s="26" t="n">
        <v>42737</v>
      </c>
      <c r="P79" s="16" t="n">
        <f aca="false">IF(O79="","",IFERROR(1/(1/(IF(K79="",INDEX(CONFIG!$F$5:$F$14,MATCH(D79,CONFIG!$D$5:$D$14,0)),K79)*IF(M79="",INDEX(CONFIG!$H$5:$H$14,MATCH(D79,CONFIG!$D$5:$D$14,0)),M79))),""))</f>
        <v>770.25</v>
      </c>
      <c r="Q79" s="16" t="n">
        <f aca="false">IF(OR(O79="",P79=""),"",O79/P79)</f>
        <v>55.4845829276209</v>
      </c>
      <c r="R79" s="16" t="n">
        <f aca="false">IF(Q79="","",Q79*0.0980665)</f>
        <v>5.44117885167154</v>
      </c>
      <c r="S79" s="16" t="str">
        <f aca="false">IF(Q79="","",IFERROR(Q79/(1/(1/INDEX(CONFIG!$I$5:$I$14,MATCH(D79,CONFIG!$D$5:$D$14,0)))),""))</f>
        <v/>
      </c>
      <c r="T79" s="13"/>
      <c r="U79" s="13"/>
      <c r="V79" s="13"/>
      <c r="W79" s="13"/>
      <c r="X79" s="22" t="n">
        <f aca="false">IF(Q79="","",Q79^2)</f>
        <v>3078.53894265204</v>
      </c>
      <c r="Y79" s="22" t="str">
        <f aca="false">IF(AND(C79&lt;&gt;"",C79=CERTIFICADO!$E$4,OR(CERTIFICADO!$E$5="",B79=CERTIFICADO!$E$5)),MAX($Y$4:Y78)+1,"")</f>
        <v/>
      </c>
    </row>
    <row r="80" customFormat="false" ht="15" hidden="false" customHeight="false" outlineLevel="0" collapsed="false">
      <c r="A80" s="11" t="n">
        <f aca="false">IF(C80="","",ROW()-4)</f>
        <v>76</v>
      </c>
      <c r="B80" s="12" t="n">
        <v>45701</v>
      </c>
      <c r="C80" s="13" t="s">
        <v>157</v>
      </c>
      <c r="D80" s="23" t="str">
        <f aca="false">IF(C80="","",IFERROR(INDEX(LOTES!$D$5:$D$1004,MATCH(C80,LOTES!$F$5:$F$1004,0)),"¿Lote?"))</f>
        <v>Block 8"</v>
      </c>
      <c r="E80" s="11" t="str">
        <f aca="false">IF(C80="","",IFERROR(INDEX(LOTES!$C$5:$C$1004,MATCH(C80,LOTES!$F$5:$F$1004,0)),""))</f>
        <v>P1</v>
      </c>
      <c r="F80" s="24" t="n">
        <f aca="false">IF(C80="","",IFERROR(INDEX(LOTES!$B$5:$B$1004,MATCH(C80,LOTES!$F$5:$F$1004,0)),""))</f>
        <v>45699</v>
      </c>
      <c r="G80" s="15" t="n">
        <f aca="false">IF(OR(B80="",F80=""),"",B80-F80)</f>
        <v>2</v>
      </c>
      <c r="H80" s="13" t="s">
        <v>135</v>
      </c>
      <c r="I80" s="13" t="s">
        <v>131</v>
      </c>
      <c r="J80" s="13" t="s">
        <v>158</v>
      </c>
      <c r="K80" s="25" t="n">
        <v>19.5</v>
      </c>
      <c r="L80" s="25" t="n">
        <v>19.5</v>
      </c>
      <c r="M80" s="25" t="n">
        <v>39.5</v>
      </c>
      <c r="N80" s="25"/>
      <c r="O80" s="26" t="n">
        <v>51219</v>
      </c>
      <c r="P80" s="16" t="n">
        <f aca="false">IF(O80="","",IFERROR(1/(1/(IF(K80="",INDEX(CONFIG!$F$5:$F$14,MATCH(D80,CONFIG!$D$5:$D$14,0)),K80)*IF(M80="",INDEX(CONFIG!$H$5:$H$14,MATCH(D80,CONFIG!$D$5:$D$14,0)),M80))),""))</f>
        <v>770.25</v>
      </c>
      <c r="Q80" s="16" t="n">
        <f aca="false">IF(OR(O80="",P80=""),"",O80/P80)</f>
        <v>66.4965920155794</v>
      </c>
      <c r="R80" s="16" t="n">
        <f aca="false">IF(Q80="","",Q80*0.0980665)</f>
        <v>6.52108804089581</v>
      </c>
      <c r="S80" s="16" t="str">
        <f aca="false">IF(Q80="","",IFERROR(Q80/(1/(1/INDEX(CONFIG!$I$5:$I$14,MATCH(D80,CONFIG!$D$5:$D$14,0)))),""))</f>
        <v/>
      </c>
      <c r="T80" s="13"/>
      <c r="U80" s="13"/>
      <c r="V80" s="13"/>
      <c r="W80" s="13"/>
      <c r="X80" s="22" t="n">
        <f aca="false">IF(Q80="","",Q80^2)</f>
        <v>4421.79674968641</v>
      </c>
      <c r="Y80" s="22" t="str">
        <f aca="false">IF(AND(C80&lt;&gt;"",C80=CERTIFICADO!$E$4,OR(CERTIFICADO!$E$5="",B80=CERTIFICADO!$E$5)),MAX($Y$4:Y79)+1,"")</f>
        <v/>
      </c>
    </row>
    <row r="81" customFormat="false" ht="15" hidden="false" customHeight="false" outlineLevel="0" collapsed="false">
      <c r="A81" s="11" t="n">
        <f aca="false">IF(C81="","",ROW()-4)</f>
        <v>77</v>
      </c>
      <c r="B81" s="12" t="n">
        <v>45701</v>
      </c>
      <c r="C81" s="13" t="s">
        <v>157</v>
      </c>
      <c r="D81" s="23" t="str">
        <f aca="false">IF(C81="","",IFERROR(INDEX(LOTES!$D$5:$D$1004,MATCH(C81,LOTES!$F$5:$F$1004,0)),"¿Lote?"))</f>
        <v>Block 8"</v>
      </c>
      <c r="E81" s="11" t="str">
        <f aca="false">IF(C81="","",IFERROR(INDEX(LOTES!$C$5:$C$1004,MATCH(C81,LOTES!$F$5:$F$1004,0)),""))</f>
        <v>P1</v>
      </c>
      <c r="F81" s="24" t="n">
        <f aca="false">IF(C81="","",IFERROR(INDEX(LOTES!$B$5:$B$1004,MATCH(C81,LOTES!$F$5:$F$1004,0)),""))</f>
        <v>45699</v>
      </c>
      <c r="G81" s="15" t="n">
        <f aca="false">IF(OR(B81="",F81=""),"",B81-F81)</f>
        <v>2</v>
      </c>
      <c r="H81" s="13" t="s">
        <v>135</v>
      </c>
      <c r="I81" s="13" t="s">
        <v>131</v>
      </c>
      <c r="J81" s="13" t="s">
        <v>158</v>
      </c>
      <c r="K81" s="25" t="n">
        <v>19.5</v>
      </c>
      <c r="L81" s="25" t="n">
        <v>19.5</v>
      </c>
      <c r="M81" s="25" t="n">
        <v>39.5</v>
      </c>
      <c r="N81" s="25"/>
      <c r="O81" s="26" t="n">
        <v>55755</v>
      </c>
      <c r="P81" s="16" t="n">
        <f aca="false">IF(O81="","",IFERROR(1/(1/(IF(K81="",INDEX(CONFIG!$F$5:$F$14,MATCH(D81,CONFIG!$D$5:$D$14,0)),K81)*IF(M81="",INDEX(CONFIG!$H$5:$H$14,MATCH(D81,CONFIG!$D$5:$D$14,0)),M81))),""))</f>
        <v>770.25</v>
      </c>
      <c r="Q81" s="16" t="n">
        <f aca="false">IF(OR(O81="",P81=""),"",O81/P81)</f>
        <v>72.3855890944499</v>
      </c>
      <c r="R81" s="16" t="n">
        <f aca="false">IF(Q81="","",Q81*0.0980665)</f>
        <v>7.09860137293087</v>
      </c>
      <c r="S81" s="16" t="str">
        <f aca="false">IF(Q81="","",IFERROR(Q81/(1/(1/INDEX(CONFIG!$I$5:$I$14,MATCH(D81,CONFIG!$D$5:$D$14,0)))),""))</f>
        <v/>
      </c>
      <c r="T81" s="13"/>
      <c r="U81" s="13"/>
      <c r="V81" s="13"/>
      <c r="W81" s="13"/>
      <c r="X81" s="22" t="n">
        <f aca="false">IF(Q81="","",Q81^2)</f>
        <v>5239.67350855054</v>
      </c>
      <c r="Y81" s="22" t="str">
        <f aca="false">IF(AND(C81&lt;&gt;"",C81=CERTIFICADO!$E$4,OR(CERTIFICADO!$E$5="",B81=CERTIFICADO!$E$5)),MAX($Y$4:Y80)+1,"")</f>
        <v/>
      </c>
    </row>
    <row r="82" customFormat="false" ht="15" hidden="false" customHeight="false" outlineLevel="0" collapsed="false">
      <c r="A82" s="11" t="n">
        <f aca="false">IF(C82="","",ROW()-4)</f>
        <v>78</v>
      </c>
      <c r="B82" s="12" t="n">
        <v>45701</v>
      </c>
      <c r="C82" s="13" t="s">
        <v>157</v>
      </c>
      <c r="D82" s="23" t="str">
        <f aca="false">IF(C82="","",IFERROR(INDEX(LOTES!$D$5:$D$1004,MATCH(C82,LOTES!$F$5:$F$1004,0)),"¿Lote?"))</f>
        <v>Block 8"</v>
      </c>
      <c r="E82" s="11" t="str">
        <f aca="false">IF(C82="","",IFERROR(INDEX(LOTES!$C$5:$C$1004,MATCH(C82,LOTES!$F$5:$F$1004,0)),""))</f>
        <v>P1</v>
      </c>
      <c r="F82" s="24" t="n">
        <f aca="false">IF(C82="","",IFERROR(INDEX(LOTES!$B$5:$B$1004,MATCH(C82,LOTES!$F$5:$F$1004,0)),""))</f>
        <v>45699</v>
      </c>
      <c r="G82" s="15" t="n">
        <f aca="false">IF(OR(B82="",F82=""),"",B82-F82)</f>
        <v>2</v>
      </c>
      <c r="H82" s="13" t="s">
        <v>135</v>
      </c>
      <c r="I82" s="13" t="s">
        <v>131</v>
      </c>
      <c r="J82" s="13" t="s">
        <v>158</v>
      </c>
      <c r="K82" s="25" t="n">
        <v>19.5</v>
      </c>
      <c r="L82" s="25" t="n">
        <v>19.5</v>
      </c>
      <c r="M82" s="25" t="n">
        <v>39.5</v>
      </c>
      <c r="N82" s="25"/>
      <c r="O82" s="26" t="n">
        <v>48389</v>
      </c>
      <c r="P82" s="16" t="n">
        <f aca="false">IF(O82="","",IFERROR(1/(1/(IF(K82="",INDEX(CONFIG!$F$5:$F$14,MATCH(D82,CONFIG!$D$5:$D$14,0)),K82)*IF(M82="",INDEX(CONFIG!$H$5:$H$14,MATCH(D82,CONFIG!$D$5:$D$14,0)),M82))),""))</f>
        <v>770.25</v>
      </c>
      <c r="Q82" s="16" t="n">
        <f aca="false">IF(OR(O82="",P82=""),"",O82/P82)</f>
        <v>62.8224602401818</v>
      </c>
      <c r="R82" s="16" t="n">
        <f aca="false">IF(Q82="","",Q82*0.0980665)</f>
        <v>6.16077879714378</v>
      </c>
      <c r="S82" s="16" t="str">
        <f aca="false">IF(Q82="","",IFERROR(Q82/(1/(1/INDEX(CONFIG!$I$5:$I$14,MATCH(D82,CONFIG!$D$5:$D$14,0)))),""))</f>
        <v/>
      </c>
      <c r="T82" s="13"/>
      <c r="U82" s="13"/>
      <c r="V82" s="13"/>
      <c r="W82" s="13"/>
      <c r="X82" s="22" t="n">
        <f aca="false">IF(Q82="","",Q82^2)</f>
        <v>3946.66151062922</v>
      </c>
      <c r="Y82" s="22" t="str">
        <f aca="false">IF(AND(C82&lt;&gt;"",C82=CERTIFICADO!$E$4,OR(CERTIFICADO!$E$5="",B82=CERTIFICADO!$E$5)),MAX($Y$4:Y81)+1,"")</f>
        <v/>
      </c>
    </row>
    <row r="83" customFormat="false" ht="15" hidden="false" customHeight="false" outlineLevel="0" collapsed="false">
      <c r="A83" s="11" t="n">
        <f aca="false">IF(C83="","",ROW()-4)</f>
        <v>79</v>
      </c>
      <c r="B83" s="12" t="n">
        <v>45705</v>
      </c>
      <c r="C83" s="13" t="s">
        <v>159</v>
      </c>
      <c r="D83" s="23" t="str">
        <f aca="false">IF(C83="","",IFERROR(INDEX(LOTES!$D$5:$D$1004,MATCH(C83,LOTES!$F$5:$F$1004,0)),"¿Lote?"))</f>
        <v>Block 6"</v>
      </c>
      <c r="E83" s="11" t="str">
        <f aca="false">IF(C83="","",IFERROR(INDEX(LOTES!$C$5:$C$1004,MATCH(C83,LOTES!$F$5:$F$1004,0)),""))</f>
        <v>P2</v>
      </c>
      <c r="F83" s="24" t="n">
        <f aca="false">IF(C83="","",IFERROR(INDEX(LOTES!$B$5:$B$1004,MATCH(C83,LOTES!$F$5:$F$1004,0)),""))</f>
        <v>45700</v>
      </c>
      <c r="G83" s="15" t="n">
        <f aca="false">IF(OR(B83="",F83=""),"",B83-F83)</f>
        <v>5</v>
      </c>
      <c r="H83" s="13" t="s">
        <v>135</v>
      </c>
      <c r="I83" s="13" t="s">
        <v>131</v>
      </c>
      <c r="J83" s="13" t="s">
        <v>160</v>
      </c>
      <c r="K83" s="25" t="n">
        <v>14.5</v>
      </c>
      <c r="L83" s="25" t="n">
        <v>19.5</v>
      </c>
      <c r="M83" s="25" t="n">
        <v>39.5</v>
      </c>
      <c r="N83" s="25"/>
      <c r="O83" s="26" t="n">
        <v>38296</v>
      </c>
      <c r="P83" s="16" t="n">
        <f aca="false">IF(O83="","",IFERROR(1/(1/(IF(K83="",INDEX(CONFIG!$F$5:$F$14,MATCH(D83,CONFIG!$D$5:$D$14,0)),K83)*IF(M83="",INDEX(CONFIG!$H$5:$H$14,MATCH(D83,CONFIG!$D$5:$D$14,0)),M83))),""))</f>
        <v>572.75</v>
      </c>
      <c r="Q83" s="16" t="n">
        <f aca="false">IF(OR(O83="",P83=""),"",O83/P83)</f>
        <v>66.8633784373636</v>
      </c>
      <c r="R83" s="16" t="n">
        <f aca="false">IF(Q83="","",Q83*0.0980665)</f>
        <v>6.55705750152772</v>
      </c>
      <c r="S83" s="16" t="str">
        <f aca="false">IF(Q83="","",IFERROR(Q83/(1/(1/INDEX(CONFIG!$I$5:$I$14,MATCH(D83,CONFIG!$D$5:$D$14,0)))),""))</f>
        <v/>
      </c>
      <c r="T83" s="13"/>
      <c r="U83" s="13"/>
      <c r="V83" s="13"/>
      <c r="W83" s="13"/>
      <c r="X83" s="22" t="n">
        <f aca="false">IF(Q83="","",Q83^2)</f>
        <v>4470.7113760581</v>
      </c>
      <c r="Y83" s="22" t="str">
        <f aca="false">IF(AND(C83&lt;&gt;"",C83=CERTIFICADO!$E$4,OR(CERTIFICADO!$E$5="",B83=CERTIFICADO!$E$5)),MAX($Y$4:Y82)+1,"")</f>
        <v/>
      </c>
    </row>
    <row r="84" customFormat="false" ht="15" hidden="false" customHeight="false" outlineLevel="0" collapsed="false">
      <c r="A84" s="11" t="n">
        <f aca="false">IF(C84="","",ROW()-4)</f>
        <v>80</v>
      </c>
      <c r="B84" s="12" t="n">
        <v>45705</v>
      </c>
      <c r="C84" s="13" t="s">
        <v>159</v>
      </c>
      <c r="D84" s="23" t="str">
        <f aca="false">IF(C84="","",IFERROR(INDEX(LOTES!$D$5:$D$1004,MATCH(C84,LOTES!$F$5:$F$1004,0)),"¿Lote?"))</f>
        <v>Block 6"</v>
      </c>
      <c r="E84" s="11" t="str">
        <f aca="false">IF(C84="","",IFERROR(INDEX(LOTES!$C$5:$C$1004,MATCH(C84,LOTES!$F$5:$F$1004,0)),""))</f>
        <v>P2</v>
      </c>
      <c r="F84" s="24" t="n">
        <f aca="false">IF(C84="","",IFERROR(INDEX(LOTES!$B$5:$B$1004,MATCH(C84,LOTES!$F$5:$F$1004,0)),""))</f>
        <v>45700</v>
      </c>
      <c r="G84" s="15" t="n">
        <f aca="false">IF(OR(B84="",F84=""),"",B84-F84)</f>
        <v>5</v>
      </c>
      <c r="H84" s="13" t="s">
        <v>135</v>
      </c>
      <c r="I84" s="13" t="s">
        <v>131</v>
      </c>
      <c r="J84" s="13" t="s">
        <v>160</v>
      </c>
      <c r="K84" s="25" t="n">
        <v>14.5</v>
      </c>
      <c r="L84" s="25" t="n">
        <v>19.5</v>
      </c>
      <c r="M84" s="25" t="n">
        <v>39.5</v>
      </c>
      <c r="N84" s="25"/>
      <c r="O84" s="26" t="n">
        <v>34795</v>
      </c>
      <c r="P84" s="16" t="n">
        <f aca="false">IF(O84="","",IFERROR(1/(1/(IF(K84="",INDEX(CONFIG!$F$5:$F$14,MATCH(D84,CONFIG!$D$5:$D$14,0)),K84)*IF(M84="",INDEX(CONFIG!$H$5:$H$14,MATCH(D84,CONFIG!$D$5:$D$14,0)),M84))),""))</f>
        <v>572.75</v>
      </c>
      <c r="Q84" s="16" t="n">
        <f aca="false">IF(OR(O84="",P84=""),"",O84/P84)</f>
        <v>60.750763858577</v>
      </c>
      <c r="R84" s="16" t="n">
        <f aca="false">IF(Q84="","",Q84*0.0980665)</f>
        <v>5.95761478393715</v>
      </c>
      <c r="S84" s="16" t="str">
        <f aca="false">IF(Q84="","",IFERROR(Q84/(1/(1/INDEX(CONFIG!$I$5:$I$14,MATCH(D84,CONFIG!$D$5:$D$14,0)))),""))</f>
        <v/>
      </c>
      <c r="T84" s="13"/>
      <c r="U84" s="13"/>
      <c r="V84" s="13"/>
      <c r="W84" s="13"/>
      <c r="X84" s="22" t="n">
        <f aca="false">IF(Q84="","",Q84^2)</f>
        <v>3690.65530940059</v>
      </c>
      <c r="Y84" s="22" t="str">
        <f aca="false">IF(AND(C84&lt;&gt;"",C84=CERTIFICADO!$E$4,OR(CERTIFICADO!$E$5="",B84=CERTIFICADO!$E$5)),MAX($Y$4:Y83)+1,"")</f>
        <v/>
      </c>
    </row>
    <row r="85" customFormat="false" ht="15" hidden="false" customHeight="false" outlineLevel="0" collapsed="false">
      <c r="A85" s="11" t="n">
        <f aca="false">IF(C85="","",ROW()-4)</f>
        <v>81</v>
      </c>
      <c r="B85" s="12" t="n">
        <v>45705</v>
      </c>
      <c r="C85" s="13" t="s">
        <v>159</v>
      </c>
      <c r="D85" s="23" t="str">
        <f aca="false">IF(C85="","",IFERROR(INDEX(LOTES!$D$5:$D$1004,MATCH(C85,LOTES!$F$5:$F$1004,0)),"¿Lote?"))</f>
        <v>Block 6"</v>
      </c>
      <c r="E85" s="11" t="str">
        <f aca="false">IF(C85="","",IFERROR(INDEX(LOTES!$C$5:$C$1004,MATCH(C85,LOTES!$F$5:$F$1004,0)),""))</f>
        <v>P2</v>
      </c>
      <c r="F85" s="24" t="n">
        <f aca="false">IF(C85="","",IFERROR(INDEX(LOTES!$B$5:$B$1004,MATCH(C85,LOTES!$F$5:$F$1004,0)),""))</f>
        <v>45700</v>
      </c>
      <c r="G85" s="15" t="n">
        <f aca="false">IF(OR(B85="",F85=""),"",B85-F85)</f>
        <v>5</v>
      </c>
      <c r="H85" s="13" t="s">
        <v>135</v>
      </c>
      <c r="I85" s="13" t="s">
        <v>131</v>
      </c>
      <c r="J85" s="13" t="s">
        <v>160</v>
      </c>
      <c r="K85" s="25" t="n">
        <v>14.5</v>
      </c>
      <c r="L85" s="25" t="n">
        <v>19.5</v>
      </c>
      <c r="M85" s="25" t="n">
        <v>39.5</v>
      </c>
      <c r="N85" s="25"/>
      <c r="O85" s="26" t="n">
        <v>47885</v>
      </c>
      <c r="P85" s="16" t="n">
        <f aca="false">IF(O85="","",IFERROR(1/(1/(IF(K85="",INDEX(CONFIG!$F$5:$F$14,MATCH(D85,CONFIG!$D$5:$D$14,0)),K85)*IF(M85="",INDEX(CONFIG!$H$5:$H$14,MATCH(D85,CONFIG!$D$5:$D$14,0)),M85))),""))</f>
        <v>572.75</v>
      </c>
      <c r="Q85" s="16" t="n">
        <f aca="false">IF(OR(O85="",P85=""),"",O85/P85)</f>
        <v>83.6054124836316</v>
      </c>
      <c r="R85" s="16" t="n">
        <f aca="false">IF(Q85="","",Q85*0.0980665)</f>
        <v>8.19889018332606</v>
      </c>
      <c r="S85" s="16" t="str">
        <f aca="false">IF(Q85="","",IFERROR(Q85/(1/(1/INDEX(CONFIG!$I$5:$I$14,MATCH(D85,CONFIG!$D$5:$D$14,0)))),""))</f>
        <v/>
      </c>
      <c r="T85" s="13"/>
      <c r="U85" s="13"/>
      <c r="V85" s="13"/>
      <c r="W85" s="13"/>
      <c r="X85" s="22" t="n">
        <f aca="false">IF(Q85="","",Q85^2)</f>
        <v>6989.86499655818</v>
      </c>
      <c r="Y85" s="22" t="str">
        <f aca="false">IF(AND(C85&lt;&gt;"",C85=CERTIFICADO!$E$4,OR(CERTIFICADO!$E$5="",B85=CERTIFICADO!$E$5)),MAX($Y$4:Y84)+1,"")</f>
        <v/>
      </c>
    </row>
    <row r="86" customFormat="false" ht="15" hidden="false" customHeight="false" outlineLevel="0" collapsed="false">
      <c r="A86" s="11" t="n">
        <f aca="false">IF(C86="","",ROW()-4)</f>
        <v>82</v>
      </c>
      <c r="B86" s="12" t="n">
        <v>45705</v>
      </c>
      <c r="C86" s="13" t="s">
        <v>159</v>
      </c>
      <c r="D86" s="23" t="str">
        <f aca="false">IF(C86="","",IFERROR(INDEX(LOTES!$D$5:$D$1004,MATCH(C86,LOTES!$F$5:$F$1004,0)),"¿Lote?"))</f>
        <v>Block 6"</v>
      </c>
      <c r="E86" s="11" t="str">
        <f aca="false">IF(C86="","",IFERROR(INDEX(LOTES!$C$5:$C$1004,MATCH(C86,LOTES!$F$5:$F$1004,0)),""))</f>
        <v>P2</v>
      </c>
      <c r="F86" s="24" t="n">
        <f aca="false">IF(C86="","",IFERROR(INDEX(LOTES!$B$5:$B$1004,MATCH(C86,LOTES!$F$5:$F$1004,0)),""))</f>
        <v>45700</v>
      </c>
      <c r="G86" s="15" t="n">
        <f aca="false">IF(OR(B86="",F86=""),"",B86-F86)</f>
        <v>5</v>
      </c>
      <c r="H86" s="13" t="s">
        <v>135</v>
      </c>
      <c r="I86" s="13" t="s">
        <v>131</v>
      </c>
      <c r="J86" s="13" t="s">
        <v>160</v>
      </c>
      <c r="K86" s="25" t="n">
        <v>14.5</v>
      </c>
      <c r="L86" s="25" t="n">
        <v>19.5</v>
      </c>
      <c r="M86" s="25" t="n">
        <v>39.5</v>
      </c>
      <c r="N86" s="25"/>
      <c r="O86" s="26" t="n">
        <v>37888</v>
      </c>
      <c r="P86" s="16" t="n">
        <f aca="false">IF(O86="","",IFERROR(1/(1/(IF(K86="",INDEX(CONFIG!$F$5:$F$14,MATCH(D86,CONFIG!$D$5:$D$14,0)),K86)*IF(M86="",INDEX(CONFIG!$H$5:$H$14,MATCH(D86,CONFIG!$D$5:$D$14,0)),M86))),""))</f>
        <v>572.75</v>
      </c>
      <c r="Q86" s="16" t="n">
        <f aca="false">IF(OR(O86="",P86=""),"",O86/P86)</f>
        <v>66.1510257529463</v>
      </c>
      <c r="R86" s="16" t="n">
        <f aca="false">IF(Q86="","",Q86*0.0980665)</f>
        <v>6.48719956700131</v>
      </c>
      <c r="S86" s="16" t="str">
        <f aca="false">IF(Q86="","",IFERROR(Q86/(1/(1/INDEX(CONFIG!$I$5:$I$14,MATCH(D86,CONFIG!$D$5:$D$14,0)))),""))</f>
        <v/>
      </c>
      <c r="T86" s="13"/>
      <c r="U86" s="13"/>
      <c r="V86" s="13"/>
      <c r="W86" s="13"/>
      <c r="X86" s="22" t="n">
        <f aca="false">IF(Q86="","",Q86^2)</f>
        <v>4375.95820816697</v>
      </c>
      <c r="Y86" s="22" t="str">
        <f aca="false">IF(AND(C86&lt;&gt;"",C86=CERTIFICADO!$E$4,OR(CERTIFICADO!$E$5="",B86=CERTIFICADO!$E$5)),MAX($Y$4:Y85)+1,"")</f>
        <v/>
      </c>
    </row>
    <row r="87" customFormat="false" ht="15" hidden="false" customHeight="false" outlineLevel="0" collapsed="false">
      <c r="A87" s="11" t="n">
        <f aca="false">IF(C87="","",ROW()-4)</f>
        <v>83</v>
      </c>
      <c r="B87" s="12" t="n">
        <v>45705</v>
      </c>
      <c r="C87" s="13" t="s">
        <v>159</v>
      </c>
      <c r="D87" s="23" t="str">
        <f aca="false">IF(C87="","",IFERROR(INDEX(LOTES!$D$5:$D$1004,MATCH(C87,LOTES!$F$5:$F$1004,0)),"¿Lote?"))</f>
        <v>Block 6"</v>
      </c>
      <c r="E87" s="11" t="str">
        <f aca="false">IF(C87="","",IFERROR(INDEX(LOTES!$C$5:$C$1004,MATCH(C87,LOTES!$F$5:$F$1004,0)),""))</f>
        <v>P2</v>
      </c>
      <c r="F87" s="24" t="n">
        <f aca="false">IF(C87="","",IFERROR(INDEX(LOTES!$B$5:$B$1004,MATCH(C87,LOTES!$F$5:$F$1004,0)),""))</f>
        <v>45700</v>
      </c>
      <c r="G87" s="15" t="n">
        <f aca="false">IF(OR(B87="",F87=""),"",B87-F87)</f>
        <v>5</v>
      </c>
      <c r="H87" s="13" t="s">
        <v>135</v>
      </c>
      <c r="I87" s="13" t="s">
        <v>131</v>
      </c>
      <c r="J87" s="13" t="s">
        <v>160</v>
      </c>
      <c r="K87" s="25" t="n">
        <v>14.5</v>
      </c>
      <c r="L87" s="25" t="n">
        <v>19.5</v>
      </c>
      <c r="M87" s="25" t="n">
        <v>39.5</v>
      </c>
      <c r="N87" s="25"/>
      <c r="O87" s="26" t="n">
        <v>34840</v>
      </c>
      <c r="P87" s="16" t="n">
        <f aca="false">IF(O87="","",IFERROR(1/(1/(IF(K87="",INDEX(CONFIG!$F$5:$F$14,MATCH(D87,CONFIG!$D$5:$D$14,0)),K87)*IF(M87="",INDEX(CONFIG!$H$5:$H$14,MATCH(D87,CONFIG!$D$5:$D$14,0)),M87))),""))</f>
        <v>572.75</v>
      </c>
      <c r="Q87" s="16" t="n">
        <f aca="false">IF(OR(O87="",P87=""),"",O87/P87)</f>
        <v>60.8293321693584</v>
      </c>
      <c r="R87" s="16" t="n">
        <f aca="false">IF(Q87="","",Q87*0.0980665)</f>
        <v>5.96531970318638</v>
      </c>
      <c r="S87" s="16" t="str">
        <f aca="false">IF(Q87="","",IFERROR(Q87/(1/(1/INDEX(CONFIG!$I$5:$I$14,MATCH(D87,CONFIG!$D$5:$D$14,0)))),""))</f>
        <v/>
      </c>
      <c r="T87" s="13"/>
      <c r="U87" s="13"/>
      <c r="V87" s="13"/>
      <c r="W87" s="13"/>
      <c r="X87" s="22" t="n">
        <f aca="false">IF(Q87="","",Q87^2)</f>
        <v>3700.20765217014</v>
      </c>
      <c r="Y87" s="22" t="str">
        <f aca="false">IF(AND(C87&lt;&gt;"",C87=CERTIFICADO!$E$4,OR(CERTIFICADO!$E$5="",B87=CERTIFICADO!$E$5)),MAX($Y$4:Y86)+1,"")</f>
        <v/>
      </c>
    </row>
    <row r="88" customFormat="false" ht="15" hidden="false" customHeight="false" outlineLevel="0" collapsed="false">
      <c r="A88" s="11" t="n">
        <f aca="false">IF(C88="","",ROW()-4)</f>
        <v>84</v>
      </c>
      <c r="B88" s="12" t="n">
        <v>45705</v>
      </c>
      <c r="C88" s="13" t="s">
        <v>161</v>
      </c>
      <c r="D88" s="23" t="str">
        <f aca="false">IF(C88="","",IFERROR(INDEX(LOTES!$D$5:$D$1004,MATCH(C88,LOTES!$F$5:$F$1004,0)),"¿Lote?"))</f>
        <v>Block 8"</v>
      </c>
      <c r="E88" s="11" t="str">
        <f aca="false">IF(C88="","",IFERROR(INDEX(LOTES!$C$5:$C$1004,MATCH(C88,LOTES!$F$5:$F$1004,0)),""))</f>
        <v>P1</v>
      </c>
      <c r="F88" s="24" t="n">
        <f aca="false">IF(C88="","",IFERROR(INDEX(LOTES!$B$5:$B$1004,MATCH(C88,LOTES!$F$5:$F$1004,0)),""))</f>
        <v>45700</v>
      </c>
      <c r="G88" s="15" t="n">
        <f aca="false">IF(OR(B88="",F88=""),"",B88-F88)</f>
        <v>5</v>
      </c>
      <c r="H88" s="13" t="s">
        <v>135</v>
      </c>
      <c r="I88" s="13" t="s">
        <v>131</v>
      </c>
      <c r="J88" s="13" t="s">
        <v>162</v>
      </c>
      <c r="K88" s="25" t="n">
        <v>19.5</v>
      </c>
      <c r="L88" s="25" t="n">
        <v>19.5</v>
      </c>
      <c r="M88" s="25" t="n">
        <v>39.5</v>
      </c>
      <c r="N88" s="25"/>
      <c r="O88" s="26" t="n">
        <v>64986</v>
      </c>
      <c r="P88" s="16" t="n">
        <f aca="false">IF(O88="","",IFERROR(1/(1/(IF(K88="",INDEX(CONFIG!$F$5:$F$14,MATCH(D88,CONFIG!$D$5:$D$14,0)),K88)*IF(M88="",INDEX(CONFIG!$H$5:$H$14,MATCH(D88,CONFIG!$D$5:$D$14,0)),M88))),""))</f>
        <v>770.25</v>
      </c>
      <c r="Q88" s="16" t="n">
        <f aca="false">IF(OR(O88="",P88=""),"",O88/P88)</f>
        <v>84.3700097370983</v>
      </c>
      <c r="R88" s="16" t="n">
        <f aca="false">IF(Q88="","",Q88*0.0980665)</f>
        <v>8.27387155988316</v>
      </c>
      <c r="S88" s="16" t="str">
        <f aca="false">IF(Q88="","",IFERROR(Q88/(1/(1/INDEX(CONFIG!$I$5:$I$14,MATCH(D88,CONFIG!$D$5:$D$14,0)))),""))</f>
        <v/>
      </c>
      <c r="T88" s="13"/>
      <c r="U88" s="13"/>
      <c r="V88" s="13"/>
      <c r="W88" s="13"/>
      <c r="X88" s="22" t="n">
        <f aca="false">IF(Q88="","",Q88^2)</f>
        <v>7118.29854303807</v>
      </c>
      <c r="Y88" s="22" t="str">
        <f aca="false">IF(AND(C88&lt;&gt;"",C88=CERTIFICADO!$E$4,OR(CERTIFICADO!$E$5="",B88=CERTIFICADO!$E$5)),MAX($Y$4:Y87)+1,"")</f>
        <v/>
      </c>
    </row>
    <row r="89" customFormat="false" ht="15" hidden="false" customHeight="false" outlineLevel="0" collapsed="false">
      <c r="A89" s="11" t="n">
        <f aca="false">IF(C89="","",ROW()-4)</f>
        <v>85</v>
      </c>
      <c r="B89" s="12" t="n">
        <v>45705</v>
      </c>
      <c r="C89" s="13" t="s">
        <v>161</v>
      </c>
      <c r="D89" s="23" t="str">
        <f aca="false">IF(C89="","",IFERROR(INDEX(LOTES!$D$5:$D$1004,MATCH(C89,LOTES!$F$5:$F$1004,0)),"¿Lote?"))</f>
        <v>Block 8"</v>
      </c>
      <c r="E89" s="11" t="str">
        <f aca="false">IF(C89="","",IFERROR(INDEX(LOTES!$C$5:$C$1004,MATCH(C89,LOTES!$F$5:$F$1004,0)),""))</f>
        <v>P1</v>
      </c>
      <c r="F89" s="24" t="n">
        <f aca="false">IF(C89="","",IFERROR(INDEX(LOTES!$B$5:$B$1004,MATCH(C89,LOTES!$F$5:$F$1004,0)),""))</f>
        <v>45700</v>
      </c>
      <c r="G89" s="15" t="n">
        <f aca="false">IF(OR(B89="",F89=""),"",B89-F89)</f>
        <v>5</v>
      </c>
      <c r="H89" s="13" t="s">
        <v>135</v>
      </c>
      <c r="I89" s="13" t="s">
        <v>131</v>
      </c>
      <c r="J89" s="13" t="s">
        <v>162</v>
      </c>
      <c r="K89" s="25" t="n">
        <v>19.5</v>
      </c>
      <c r="L89" s="25" t="n">
        <v>19.5</v>
      </c>
      <c r="M89" s="25" t="n">
        <v>39.5</v>
      </c>
      <c r="N89" s="25"/>
      <c r="O89" s="26" t="n">
        <v>62273</v>
      </c>
      <c r="P89" s="16" t="n">
        <f aca="false">IF(O89="","",IFERROR(1/(1/(IF(K89="",INDEX(CONFIG!$F$5:$F$14,MATCH(D89,CONFIG!$D$5:$D$14,0)),K89)*IF(M89="",INDEX(CONFIG!$H$5:$H$14,MATCH(D89,CONFIG!$D$5:$D$14,0)),M89))),""))</f>
        <v>770.25</v>
      </c>
      <c r="Q89" s="16" t="n">
        <f aca="false">IF(OR(O89="",P89=""),"",O89/P89)</f>
        <v>80.847776695878</v>
      </c>
      <c r="R89" s="16" t="n">
        <f aca="false">IF(Q89="","",Q89*0.0980665)</f>
        <v>7.92845849334632</v>
      </c>
      <c r="S89" s="16" t="str">
        <f aca="false">IF(Q89="","",IFERROR(Q89/(1/(1/INDEX(CONFIG!$I$5:$I$14,MATCH(D89,CONFIG!$D$5:$D$14,0)))),""))</f>
        <v/>
      </c>
      <c r="T89" s="13"/>
      <c r="U89" s="13"/>
      <c r="V89" s="13"/>
      <c r="W89" s="13"/>
      <c r="X89" s="22" t="n">
        <f aca="false">IF(Q89="","",Q89^2)</f>
        <v>6536.36299666655</v>
      </c>
      <c r="Y89" s="22" t="str">
        <f aca="false">IF(AND(C89&lt;&gt;"",C89=CERTIFICADO!$E$4,OR(CERTIFICADO!$E$5="",B89=CERTIFICADO!$E$5)),MAX($Y$4:Y88)+1,"")</f>
        <v/>
      </c>
    </row>
    <row r="90" customFormat="false" ht="15" hidden="false" customHeight="false" outlineLevel="0" collapsed="false">
      <c r="A90" s="11" t="n">
        <f aca="false">IF(C90="","",ROW()-4)</f>
        <v>86</v>
      </c>
      <c r="B90" s="12" t="n">
        <v>45705</v>
      </c>
      <c r="C90" s="13" t="s">
        <v>161</v>
      </c>
      <c r="D90" s="23" t="str">
        <f aca="false">IF(C90="","",IFERROR(INDEX(LOTES!$D$5:$D$1004,MATCH(C90,LOTES!$F$5:$F$1004,0)),"¿Lote?"))</f>
        <v>Block 8"</v>
      </c>
      <c r="E90" s="11" t="str">
        <f aca="false">IF(C90="","",IFERROR(INDEX(LOTES!$C$5:$C$1004,MATCH(C90,LOTES!$F$5:$F$1004,0)),""))</f>
        <v>P1</v>
      </c>
      <c r="F90" s="24" t="n">
        <f aca="false">IF(C90="","",IFERROR(INDEX(LOTES!$B$5:$B$1004,MATCH(C90,LOTES!$F$5:$F$1004,0)),""))</f>
        <v>45700</v>
      </c>
      <c r="G90" s="15" t="n">
        <f aca="false">IF(OR(B90="",F90=""),"",B90-F90)</f>
        <v>5</v>
      </c>
      <c r="H90" s="13" t="s">
        <v>135</v>
      </c>
      <c r="I90" s="13" t="s">
        <v>131</v>
      </c>
      <c r="J90" s="13" t="s">
        <v>162</v>
      </c>
      <c r="K90" s="25" t="n">
        <v>19.5</v>
      </c>
      <c r="L90" s="25" t="n">
        <v>19.5</v>
      </c>
      <c r="M90" s="25" t="n">
        <v>39.5</v>
      </c>
      <c r="N90" s="25"/>
      <c r="O90" s="26" t="n">
        <v>44315</v>
      </c>
      <c r="P90" s="16" t="n">
        <f aca="false">IF(O90="","",IFERROR(1/(1/(IF(K90="",INDEX(CONFIG!$F$5:$F$14,MATCH(D90,CONFIG!$D$5:$D$14,0)),K90)*IF(M90="",INDEX(CONFIG!$H$5:$H$14,MATCH(D90,CONFIG!$D$5:$D$14,0)),M90))),""))</f>
        <v>770.25</v>
      </c>
      <c r="Q90" s="16" t="n">
        <f aca="false">IF(OR(O90="",P90=""),"",O90/P90)</f>
        <v>57.5332684193444</v>
      </c>
      <c r="R90" s="16" t="n">
        <f aca="false">IF(Q90="","",Q90*0.0980665)</f>
        <v>5.64208626744563</v>
      </c>
      <c r="S90" s="16" t="str">
        <f aca="false">IF(Q90="","",IFERROR(Q90/(1/(1/INDEX(CONFIG!$I$5:$I$14,MATCH(D90,CONFIG!$D$5:$D$14,0)))),""))</f>
        <v/>
      </c>
      <c r="T90" s="13"/>
      <c r="U90" s="13"/>
      <c r="V90" s="13"/>
      <c r="W90" s="13"/>
      <c r="X90" s="22" t="n">
        <f aca="false">IF(Q90="","",Q90^2)</f>
        <v>3310.07697501233</v>
      </c>
      <c r="Y90" s="22" t="str">
        <f aca="false">IF(AND(C90&lt;&gt;"",C90=CERTIFICADO!$E$4,OR(CERTIFICADO!$E$5="",B90=CERTIFICADO!$E$5)),MAX($Y$4:Y89)+1,"")</f>
        <v/>
      </c>
    </row>
    <row r="91" customFormat="false" ht="15" hidden="false" customHeight="false" outlineLevel="0" collapsed="false">
      <c r="A91" s="11" t="n">
        <f aca="false">IF(C91="","",ROW()-4)</f>
        <v>87</v>
      </c>
      <c r="B91" s="12" t="n">
        <v>45705</v>
      </c>
      <c r="C91" s="13" t="s">
        <v>161</v>
      </c>
      <c r="D91" s="23" t="str">
        <f aca="false">IF(C91="","",IFERROR(INDEX(LOTES!$D$5:$D$1004,MATCH(C91,LOTES!$F$5:$F$1004,0)),"¿Lote?"))</f>
        <v>Block 8"</v>
      </c>
      <c r="E91" s="11" t="str">
        <f aca="false">IF(C91="","",IFERROR(INDEX(LOTES!$C$5:$C$1004,MATCH(C91,LOTES!$F$5:$F$1004,0)),""))</f>
        <v>P1</v>
      </c>
      <c r="F91" s="24" t="n">
        <f aca="false">IF(C91="","",IFERROR(INDEX(LOTES!$B$5:$B$1004,MATCH(C91,LOTES!$F$5:$F$1004,0)),""))</f>
        <v>45700</v>
      </c>
      <c r="G91" s="15" t="n">
        <f aca="false">IF(OR(B91="",F91=""),"",B91-F91)</f>
        <v>5</v>
      </c>
      <c r="H91" s="13" t="s">
        <v>135</v>
      </c>
      <c r="I91" s="13" t="s">
        <v>131</v>
      </c>
      <c r="J91" s="13" t="s">
        <v>162</v>
      </c>
      <c r="K91" s="25" t="n">
        <v>19.5</v>
      </c>
      <c r="L91" s="25" t="n">
        <v>19.5</v>
      </c>
      <c r="M91" s="25" t="n">
        <v>39.5</v>
      </c>
      <c r="N91" s="25"/>
      <c r="O91" s="26" t="n">
        <v>70016</v>
      </c>
      <c r="P91" s="16" t="n">
        <f aca="false">IF(O91="","",IFERROR(1/(1/(IF(K91="",INDEX(CONFIG!$F$5:$F$14,MATCH(D91,CONFIG!$D$5:$D$14,0)),K91)*IF(M91="",INDEX(CONFIG!$H$5:$H$14,MATCH(D91,CONFIG!$D$5:$D$14,0)),M91))),""))</f>
        <v>770.25</v>
      </c>
      <c r="Q91" s="16" t="n">
        <f aca="false">IF(OR(O91="",P91=""),"",O91/P91)</f>
        <v>90.9003570269393</v>
      </c>
      <c r="R91" s="16" t="n">
        <f aca="false">IF(Q91="","",Q91*0.0980665)</f>
        <v>8.91427986238234</v>
      </c>
      <c r="S91" s="16" t="str">
        <f aca="false">IF(Q91="","",IFERROR(Q91/(1/(1/INDEX(CONFIG!$I$5:$I$14,MATCH(D91,CONFIG!$D$5:$D$14,0)))),""))</f>
        <v/>
      </c>
      <c r="T91" s="13"/>
      <c r="U91" s="13"/>
      <c r="V91" s="13"/>
      <c r="W91" s="13"/>
      <c r="X91" s="22" t="n">
        <f aca="false">IF(Q91="","",Q91^2)</f>
        <v>8262.87490762503</v>
      </c>
      <c r="Y91" s="22" t="str">
        <f aca="false">IF(AND(C91&lt;&gt;"",C91=CERTIFICADO!$E$4,OR(CERTIFICADO!$E$5="",B91=CERTIFICADO!$E$5)),MAX($Y$4:Y90)+1,"")</f>
        <v/>
      </c>
    </row>
    <row r="92" customFormat="false" ht="15" hidden="false" customHeight="false" outlineLevel="0" collapsed="false">
      <c r="A92" s="11" t="n">
        <f aca="false">IF(C92="","",ROW()-4)</f>
        <v>88</v>
      </c>
      <c r="B92" s="12" t="n">
        <v>45705</v>
      </c>
      <c r="C92" s="13" t="s">
        <v>161</v>
      </c>
      <c r="D92" s="23" t="str">
        <f aca="false">IF(C92="","",IFERROR(INDEX(LOTES!$D$5:$D$1004,MATCH(C92,LOTES!$F$5:$F$1004,0)),"¿Lote?"))</f>
        <v>Block 8"</v>
      </c>
      <c r="E92" s="11" t="str">
        <f aca="false">IF(C92="","",IFERROR(INDEX(LOTES!$C$5:$C$1004,MATCH(C92,LOTES!$F$5:$F$1004,0)),""))</f>
        <v>P1</v>
      </c>
      <c r="F92" s="24" t="n">
        <f aca="false">IF(C92="","",IFERROR(INDEX(LOTES!$B$5:$B$1004,MATCH(C92,LOTES!$F$5:$F$1004,0)),""))</f>
        <v>45700</v>
      </c>
      <c r="G92" s="15" t="n">
        <f aca="false">IF(OR(B92="",F92=""),"",B92-F92)</f>
        <v>5</v>
      </c>
      <c r="H92" s="13" t="s">
        <v>135</v>
      </c>
      <c r="I92" s="13" t="s">
        <v>131</v>
      </c>
      <c r="J92" s="13" t="s">
        <v>162</v>
      </c>
      <c r="K92" s="25" t="n">
        <v>19.5</v>
      </c>
      <c r="L92" s="25" t="n">
        <v>19.5</v>
      </c>
      <c r="M92" s="25" t="n">
        <v>39.5</v>
      </c>
      <c r="N92" s="25"/>
      <c r="O92" s="26" t="n">
        <v>51963</v>
      </c>
      <c r="P92" s="16" t="n">
        <f aca="false">IF(O92="","",IFERROR(1/(1/(IF(K92="",INDEX(CONFIG!$F$5:$F$14,MATCH(D92,CONFIG!$D$5:$D$14,0)),K92)*IF(M92="",INDEX(CONFIG!$H$5:$H$14,MATCH(D92,CONFIG!$D$5:$D$14,0)),M92))),""))</f>
        <v>770.25</v>
      </c>
      <c r="Q92" s="16" t="n">
        <f aca="false">IF(OR(O92="",P92=""),"",O92/P92)</f>
        <v>67.4625121713729</v>
      </c>
      <c r="R92" s="16" t="n">
        <f aca="false">IF(Q92="","",Q92*0.0980665)</f>
        <v>6.61581244985394</v>
      </c>
      <c r="S92" s="16" t="str">
        <f aca="false">IF(Q92="","",IFERROR(Q92/(1/(1/INDEX(CONFIG!$I$5:$I$14,MATCH(D92,CONFIG!$D$5:$D$14,0)))),""))</f>
        <v/>
      </c>
      <c r="T92" s="13"/>
      <c r="U92" s="13"/>
      <c r="V92" s="13"/>
      <c r="W92" s="13"/>
      <c r="X92" s="22" t="n">
        <f aca="false">IF(Q92="","",Q92^2)</f>
        <v>4551.19054847264</v>
      </c>
      <c r="Y92" s="22" t="str">
        <f aca="false">IF(AND(C92&lt;&gt;"",C92=CERTIFICADO!$E$4,OR(CERTIFICADO!$E$5="",B92=CERTIFICADO!$E$5)),MAX($Y$4:Y91)+1,"")</f>
        <v/>
      </c>
    </row>
    <row r="93" customFormat="false" ht="15" hidden="false" customHeight="false" outlineLevel="0" collapsed="false">
      <c r="A93" s="11" t="n">
        <f aca="false">IF(C93="","",ROW()-4)</f>
        <v>89</v>
      </c>
      <c r="B93" s="12" t="n">
        <v>45709</v>
      </c>
      <c r="C93" s="13" t="s">
        <v>163</v>
      </c>
      <c r="D93" s="23" t="str">
        <f aca="false">IF(C93="","",IFERROR(INDEX(LOTES!$D$5:$D$1004,MATCH(C93,LOTES!$F$5:$F$1004,0)),"¿Lote?"))</f>
        <v>Block 8"</v>
      </c>
      <c r="E93" s="11" t="str">
        <f aca="false">IF(C93="","",IFERROR(INDEX(LOTES!$C$5:$C$1004,MATCH(C93,LOTES!$F$5:$F$1004,0)),""))</f>
        <v>P1</v>
      </c>
      <c r="F93" s="24" t="n">
        <f aca="false">IF(C93="","",IFERROR(INDEX(LOTES!$B$5:$B$1004,MATCH(C93,LOTES!$F$5:$F$1004,0)),""))</f>
        <v>45706</v>
      </c>
      <c r="G93" s="15" t="n">
        <f aca="false">IF(OR(B93="",F93=""),"",B93-F93)</f>
        <v>3</v>
      </c>
      <c r="H93" s="13" t="s">
        <v>135</v>
      </c>
      <c r="I93" s="13" t="s">
        <v>131</v>
      </c>
      <c r="J93" s="13" t="s">
        <v>164</v>
      </c>
      <c r="K93" s="25" t="n">
        <v>19.5</v>
      </c>
      <c r="L93" s="25" t="n">
        <v>19.5</v>
      </c>
      <c r="M93" s="25" t="n">
        <v>39.5</v>
      </c>
      <c r="N93" s="25"/>
      <c r="O93" s="26" t="n">
        <v>56653</v>
      </c>
      <c r="P93" s="16" t="n">
        <f aca="false">IF(O93="","",IFERROR(1/(1/(IF(K93="",INDEX(CONFIG!$F$5:$F$14,MATCH(D93,CONFIG!$D$5:$D$14,0)),K93)*IF(M93="",INDEX(CONFIG!$H$5:$H$14,MATCH(D93,CONFIG!$D$5:$D$14,0)),M93))),""))</f>
        <v>770.25</v>
      </c>
      <c r="Q93" s="16" t="n">
        <f aca="false">IF(OR(O93="",P93=""),"",O93/P93)</f>
        <v>73.5514443362545</v>
      </c>
      <c r="R93" s="16" t="n">
        <f aca="false">IF(Q93="","",Q93*0.0980665)</f>
        <v>7.2129327160013</v>
      </c>
      <c r="S93" s="16" t="str">
        <f aca="false">IF(Q93="","",IFERROR(Q93/(1/(1/INDEX(CONFIG!$I$5:$I$14,MATCH(D93,CONFIG!$D$5:$D$14,0)))),""))</f>
        <v/>
      </c>
      <c r="T93" s="13"/>
      <c r="U93" s="13"/>
      <c r="V93" s="13"/>
      <c r="W93" s="13"/>
      <c r="X93" s="22" t="n">
        <f aca="false">IF(Q93="","",Q93^2)</f>
        <v>5409.81496394914</v>
      </c>
      <c r="Y93" s="22" t="str">
        <f aca="false">IF(AND(C93&lt;&gt;"",C93=CERTIFICADO!$E$4,OR(CERTIFICADO!$E$5="",B93=CERTIFICADO!$E$5)),MAX($Y$4:Y92)+1,"")</f>
        <v/>
      </c>
    </row>
    <row r="94" customFormat="false" ht="15" hidden="false" customHeight="false" outlineLevel="0" collapsed="false">
      <c r="A94" s="11" t="n">
        <f aca="false">IF(C94="","",ROW()-4)</f>
        <v>90</v>
      </c>
      <c r="B94" s="12" t="n">
        <v>45709</v>
      </c>
      <c r="C94" s="13" t="s">
        <v>163</v>
      </c>
      <c r="D94" s="23" t="str">
        <f aca="false">IF(C94="","",IFERROR(INDEX(LOTES!$D$5:$D$1004,MATCH(C94,LOTES!$F$5:$F$1004,0)),"¿Lote?"))</f>
        <v>Block 8"</v>
      </c>
      <c r="E94" s="11" t="str">
        <f aca="false">IF(C94="","",IFERROR(INDEX(LOTES!$C$5:$C$1004,MATCH(C94,LOTES!$F$5:$F$1004,0)),""))</f>
        <v>P1</v>
      </c>
      <c r="F94" s="24" t="n">
        <f aca="false">IF(C94="","",IFERROR(INDEX(LOTES!$B$5:$B$1004,MATCH(C94,LOTES!$F$5:$F$1004,0)),""))</f>
        <v>45706</v>
      </c>
      <c r="G94" s="15" t="n">
        <f aca="false">IF(OR(B94="",F94=""),"",B94-F94)</f>
        <v>3</v>
      </c>
      <c r="H94" s="13" t="s">
        <v>135</v>
      </c>
      <c r="I94" s="13" t="s">
        <v>131</v>
      </c>
      <c r="J94" s="13" t="s">
        <v>164</v>
      </c>
      <c r="K94" s="25" t="n">
        <v>19.5</v>
      </c>
      <c r="L94" s="25" t="n">
        <v>19.5</v>
      </c>
      <c r="M94" s="25" t="n">
        <v>39.5</v>
      </c>
      <c r="N94" s="25"/>
      <c r="O94" s="26" t="n">
        <v>49455</v>
      </c>
      <c r="P94" s="16" t="n">
        <f aca="false">IF(O94="","",IFERROR(1/(1/(IF(K94="",INDEX(CONFIG!$F$5:$F$14,MATCH(D94,CONFIG!$D$5:$D$14,0)),K94)*IF(M94="",INDEX(CONFIG!$H$5:$H$14,MATCH(D94,CONFIG!$D$5:$D$14,0)),M94))),""))</f>
        <v>770.25</v>
      </c>
      <c r="Q94" s="16" t="n">
        <f aca="false">IF(OR(O94="",P94=""),"",O94/P94)</f>
        <v>64.2064264849075</v>
      </c>
      <c r="R94" s="16" t="n">
        <f aca="false">IF(Q94="","",Q94*0.0980665)</f>
        <v>6.29649952288218</v>
      </c>
      <c r="S94" s="16" t="str">
        <f aca="false">IF(Q94="","",IFERROR(Q94/(1/(1/INDEX(CONFIG!$I$5:$I$14,MATCH(D94,CONFIG!$D$5:$D$14,0)))),""))</f>
        <v/>
      </c>
      <c r="T94" s="13"/>
      <c r="U94" s="13"/>
      <c r="V94" s="13"/>
      <c r="W94" s="13"/>
      <c r="X94" s="22" t="n">
        <f aca="false">IF(Q94="","",Q94^2)</f>
        <v>4122.46520196183</v>
      </c>
      <c r="Y94" s="22" t="str">
        <f aca="false">IF(AND(C94&lt;&gt;"",C94=CERTIFICADO!$E$4,OR(CERTIFICADO!$E$5="",B94=CERTIFICADO!$E$5)),MAX($Y$4:Y93)+1,"")</f>
        <v/>
      </c>
    </row>
    <row r="95" customFormat="false" ht="15" hidden="false" customHeight="false" outlineLevel="0" collapsed="false">
      <c r="A95" s="11" t="n">
        <f aca="false">IF(C95="","",ROW()-4)</f>
        <v>91</v>
      </c>
      <c r="B95" s="12" t="n">
        <v>45709</v>
      </c>
      <c r="C95" s="13" t="s">
        <v>163</v>
      </c>
      <c r="D95" s="23" t="str">
        <f aca="false">IF(C95="","",IFERROR(INDEX(LOTES!$D$5:$D$1004,MATCH(C95,LOTES!$F$5:$F$1004,0)),"¿Lote?"))</f>
        <v>Block 8"</v>
      </c>
      <c r="E95" s="11" t="str">
        <f aca="false">IF(C95="","",IFERROR(INDEX(LOTES!$C$5:$C$1004,MATCH(C95,LOTES!$F$5:$F$1004,0)),""))</f>
        <v>P1</v>
      </c>
      <c r="F95" s="24" t="n">
        <f aca="false">IF(C95="","",IFERROR(INDEX(LOTES!$B$5:$B$1004,MATCH(C95,LOTES!$F$5:$F$1004,0)),""))</f>
        <v>45706</v>
      </c>
      <c r="G95" s="15" t="n">
        <f aca="false">IF(OR(B95="",F95=""),"",B95-F95)</f>
        <v>3</v>
      </c>
      <c r="H95" s="13" t="s">
        <v>135</v>
      </c>
      <c r="I95" s="13" t="s">
        <v>131</v>
      </c>
      <c r="J95" s="13" t="s">
        <v>164</v>
      </c>
      <c r="K95" s="25" t="n">
        <v>19.5</v>
      </c>
      <c r="L95" s="25" t="n">
        <v>19.5</v>
      </c>
      <c r="M95" s="25" t="n">
        <v>39.5</v>
      </c>
      <c r="N95" s="25"/>
      <c r="O95" s="26" t="n">
        <v>58957</v>
      </c>
      <c r="P95" s="16" t="n">
        <f aca="false">IF(O95="","",IFERROR(1/(1/(IF(K95="",INDEX(CONFIG!$F$5:$F$14,MATCH(D95,CONFIG!$D$5:$D$14,0)),K95)*IF(M95="",INDEX(CONFIG!$H$5:$H$14,MATCH(D95,CONFIG!$D$5:$D$14,0)),M95))),""))</f>
        <v>770.25</v>
      </c>
      <c r="Q95" s="16" t="n">
        <f aca="false">IF(OR(O95="",P95=""),"",O95/P95)</f>
        <v>76.5426809477442</v>
      </c>
      <c r="R95" s="16" t="n">
        <f aca="false">IF(Q95="","",Q95*0.0980665)</f>
        <v>7.50627282116196</v>
      </c>
      <c r="S95" s="16" t="str">
        <f aca="false">IF(Q95="","",IFERROR(Q95/(1/(1/INDEX(CONFIG!$I$5:$I$14,MATCH(D95,CONFIG!$D$5:$D$14,0)))),""))</f>
        <v/>
      </c>
      <c r="T95" s="13"/>
      <c r="U95" s="13"/>
      <c r="V95" s="13"/>
      <c r="W95" s="13"/>
      <c r="X95" s="22" t="n">
        <f aca="false">IF(Q95="","",Q95^2)</f>
        <v>5858.78200666817</v>
      </c>
      <c r="Y95" s="22" t="str">
        <f aca="false">IF(AND(C95&lt;&gt;"",C95=CERTIFICADO!$E$4,OR(CERTIFICADO!$E$5="",B95=CERTIFICADO!$E$5)),MAX($Y$4:Y94)+1,"")</f>
        <v/>
      </c>
    </row>
    <row r="96" customFormat="false" ht="15" hidden="false" customHeight="false" outlineLevel="0" collapsed="false">
      <c r="A96" s="11" t="n">
        <f aca="false">IF(C96="","",ROW()-4)</f>
        <v>92</v>
      </c>
      <c r="B96" s="12" t="n">
        <v>45709</v>
      </c>
      <c r="C96" s="13" t="s">
        <v>163</v>
      </c>
      <c r="D96" s="23" t="str">
        <f aca="false">IF(C96="","",IFERROR(INDEX(LOTES!$D$5:$D$1004,MATCH(C96,LOTES!$F$5:$F$1004,0)),"¿Lote?"))</f>
        <v>Block 8"</v>
      </c>
      <c r="E96" s="11" t="str">
        <f aca="false">IF(C96="","",IFERROR(INDEX(LOTES!$C$5:$C$1004,MATCH(C96,LOTES!$F$5:$F$1004,0)),""))</f>
        <v>P1</v>
      </c>
      <c r="F96" s="24" t="n">
        <f aca="false">IF(C96="","",IFERROR(INDEX(LOTES!$B$5:$B$1004,MATCH(C96,LOTES!$F$5:$F$1004,0)),""))</f>
        <v>45706</v>
      </c>
      <c r="G96" s="15" t="n">
        <f aca="false">IF(OR(B96="",F96=""),"",B96-F96)</f>
        <v>3</v>
      </c>
      <c r="H96" s="13" t="s">
        <v>135</v>
      </c>
      <c r="I96" s="13" t="s">
        <v>131</v>
      </c>
      <c r="J96" s="13" t="s">
        <v>164</v>
      </c>
      <c r="K96" s="25" t="n">
        <v>19.5</v>
      </c>
      <c r="L96" s="25" t="n">
        <v>19.5</v>
      </c>
      <c r="M96" s="25" t="n">
        <v>39.5</v>
      </c>
      <c r="N96" s="25"/>
      <c r="O96" s="26" t="n">
        <v>54499</v>
      </c>
      <c r="P96" s="16" t="n">
        <f aca="false">IF(O96="","",IFERROR(1/(1/(IF(K96="",INDEX(CONFIG!$F$5:$F$14,MATCH(D96,CONFIG!$D$5:$D$14,0)),K96)*IF(M96="",INDEX(CONFIG!$H$5:$H$14,MATCH(D96,CONFIG!$D$5:$D$14,0)),M96))),""))</f>
        <v>770.25</v>
      </c>
      <c r="Q96" s="16" t="n">
        <f aca="false">IF(OR(O96="",P96=""),"",O96/P96)</f>
        <v>70.7549496916586</v>
      </c>
      <c r="R96" s="16" t="n">
        <f aca="false">IF(Q96="","",Q96*0.0980665)</f>
        <v>6.93869027393703</v>
      </c>
      <c r="S96" s="16" t="str">
        <f aca="false">IF(Q96="","",IFERROR(Q96/(1/(1/INDEX(CONFIG!$I$5:$I$14,MATCH(D96,CONFIG!$D$5:$D$14,0)))),""))</f>
        <v/>
      </c>
      <c r="T96" s="13"/>
      <c r="U96" s="13"/>
      <c r="V96" s="13"/>
      <c r="W96" s="13"/>
      <c r="X96" s="22" t="n">
        <f aca="false">IF(Q96="","",Q96^2)</f>
        <v>5006.26290586913</v>
      </c>
      <c r="Y96" s="22" t="str">
        <f aca="false">IF(AND(C96&lt;&gt;"",C96=CERTIFICADO!$E$4,OR(CERTIFICADO!$E$5="",B96=CERTIFICADO!$E$5)),MAX($Y$4:Y95)+1,"")</f>
        <v/>
      </c>
    </row>
    <row r="97" customFormat="false" ht="15" hidden="false" customHeight="false" outlineLevel="0" collapsed="false">
      <c r="A97" s="11" t="n">
        <f aca="false">IF(C97="","",ROW()-4)</f>
        <v>93</v>
      </c>
      <c r="B97" s="12" t="n">
        <v>45714</v>
      </c>
      <c r="C97" s="13" t="s">
        <v>165</v>
      </c>
      <c r="D97" s="23" t="str">
        <f aca="false">IF(C97="","",IFERROR(INDEX(LOTES!$D$5:$D$1004,MATCH(C97,LOTES!$F$5:$F$1004,0)),"¿Lote?"))</f>
        <v>Block 6"</v>
      </c>
      <c r="E97" s="11" t="str">
        <f aca="false">IF(C97="","",IFERROR(INDEX(LOTES!$C$5:$C$1004,MATCH(C97,LOTES!$F$5:$F$1004,0)),""))</f>
        <v>P2</v>
      </c>
      <c r="F97" s="24" t="n">
        <f aca="false">IF(C97="","",IFERROR(INDEX(LOTES!$B$5:$B$1004,MATCH(C97,LOTES!$F$5:$F$1004,0)),""))</f>
        <v>45709</v>
      </c>
      <c r="G97" s="15" t="n">
        <f aca="false">IF(OR(B97="",F97=""),"",B97-F97)</f>
        <v>5</v>
      </c>
      <c r="H97" s="13" t="s">
        <v>135</v>
      </c>
      <c r="I97" s="13" t="s">
        <v>131</v>
      </c>
      <c r="J97" s="13" t="s">
        <v>166</v>
      </c>
      <c r="K97" s="25" t="n">
        <v>14.5</v>
      </c>
      <c r="L97" s="25" t="n">
        <v>19.5</v>
      </c>
      <c r="M97" s="25" t="n">
        <v>39.5</v>
      </c>
      <c r="N97" s="25"/>
      <c r="O97" s="26" t="n">
        <v>42764</v>
      </c>
      <c r="P97" s="16" t="n">
        <f aca="false">IF(O97="","",IFERROR(1/(1/(IF(K97="",INDEX(CONFIG!$F$5:$F$14,MATCH(D97,CONFIG!$D$5:$D$14,0)),K97)*IF(M97="",INDEX(CONFIG!$H$5:$H$14,MATCH(D97,CONFIG!$D$5:$D$14,0)),M97))),""))</f>
        <v>572.75</v>
      </c>
      <c r="Q97" s="16" t="n">
        <f aca="false">IF(OR(O97="",P97=""),"",O97/P97)</f>
        <v>74.6643387167176</v>
      </c>
      <c r="R97" s="16" t="n">
        <f aca="false">IF(Q97="","",Q97*0.0980665)</f>
        <v>7.32207037276299</v>
      </c>
      <c r="S97" s="16" t="str">
        <f aca="false">IF(Q97="","",IFERROR(Q97/(1/(1/INDEX(CONFIG!$I$5:$I$14,MATCH(D97,CONFIG!$D$5:$D$14,0)))),""))</f>
        <v/>
      </c>
      <c r="T97" s="13"/>
      <c r="U97" s="13"/>
      <c r="V97" s="13"/>
      <c r="W97" s="13"/>
      <c r="X97" s="22" t="n">
        <f aca="false">IF(Q97="","",Q97^2)</f>
        <v>5574.76347600473</v>
      </c>
      <c r="Y97" s="22" t="str">
        <f aca="false">IF(AND(C97&lt;&gt;"",C97=CERTIFICADO!$E$4,OR(CERTIFICADO!$E$5="",B97=CERTIFICADO!$E$5)),MAX($Y$4:Y96)+1,"")</f>
        <v/>
      </c>
    </row>
    <row r="98" customFormat="false" ht="15" hidden="false" customHeight="false" outlineLevel="0" collapsed="false">
      <c r="A98" s="11" t="n">
        <f aca="false">IF(C98="","",ROW()-4)</f>
        <v>94</v>
      </c>
      <c r="B98" s="12" t="n">
        <v>45714</v>
      </c>
      <c r="C98" s="13" t="s">
        <v>165</v>
      </c>
      <c r="D98" s="23" t="str">
        <f aca="false">IF(C98="","",IFERROR(INDEX(LOTES!$D$5:$D$1004,MATCH(C98,LOTES!$F$5:$F$1004,0)),"¿Lote?"))</f>
        <v>Block 6"</v>
      </c>
      <c r="E98" s="11" t="str">
        <f aca="false">IF(C98="","",IFERROR(INDEX(LOTES!$C$5:$C$1004,MATCH(C98,LOTES!$F$5:$F$1004,0)),""))</f>
        <v>P2</v>
      </c>
      <c r="F98" s="24" t="n">
        <f aca="false">IF(C98="","",IFERROR(INDEX(LOTES!$B$5:$B$1004,MATCH(C98,LOTES!$F$5:$F$1004,0)),""))</f>
        <v>45709</v>
      </c>
      <c r="G98" s="15" t="n">
        <f aca="false">IF(OR(B98="",F98=""),"",B98-F98)</f>
        <v>5</v>
      </c>
      <c r="H98" s="13" t="s">
        <v>135</v>
      </c>
      <c r="I98" s="13" t="s">
        <v>131</v>
      </c>
      <c r="J98" s="13" t="s">
        <v>166</v>
      </c>
      <c r="K98" s="25" t="n">
        <v>14.5</v>
      </c>
      <c r="L98" s="25" t="n">
        <v>19.5</v>
      </c>
      <c r="M98" s="25" t="n">
        <v>39.5</v>
      </c>
      <c r="N98" s="25"/>
      <c r="O98" s="26" t="n">
        <v>35634</v>
      </c>
      <c r="P98" s="16" t="n">
        <f aca="false">IF(O98="","",IFERROR(1/(1/(IF(K98="",INDEX(CONFIG!$F$5:$F$14,MATCH(D98,CONFIG!$D$5:$D$14,0)),K98)*IF(M98="",INDEX(CONFIG!$H$5:$H$14,MATCH(D98,CONFIG!$D$5:$D$14,0)),M98))),""))</f>
        <v>572.75</v>
      </c>
      <c r="Q98" s="16" t="n">
        <f aca="false">IF(OR(O98="",P98=""),"",O98/P98)</f>
        <v>62.2156263640332</v>
      </c>
      <c r="R98" s="16" t="n">
        <f aca="false">IF(Q98="","",Q98*0.0980665)</f>
        <v>6.10126872282846</v>
      </c>
      <c r="S98" s="16" t="str">
        <f aca="false">IF(Q98="","",IFERROR(Q98/(1/(1/INDEX(CONFIG!$I$5:$I$14,MATCH(D98,CONFIG!$D$5:$D$14,0)))),""))</f>
        <v/>
      </c>
      <c r="T98" s="13"/>
      <c r="U98" s="13"/>
      <c r="V98" s="13"/>
      <c r="W98" s="13"/>
      <c r="X98" s="22" t="n">
        <f aca="false">IF(Q98="","",Q98^2)</f>
        <v>3870.78416386898</v>
      </c>
      <c r="Y98" s="22" t="str">
        <f aca="false">IF(AND(C98&lt;&gt;"",C98=CERTIFICADO!$E$4,OR(CERTIFICADO!$E$5="",B98=CERTIFICADO!$E$5)),MAX($Y$4:Y97)+1,"")</f>
        <v/>
      </c>
    </row>
    <row r="99" customFormat="false" ht="15" hidden="false" customHeight="false" outlineLevel="0" collapsed="false">
      <c r="A99" s="11" t="n">
        <f aca="false">IF(C99="","",ROW()-4)</f>
        <v>95</v>
      </c>
      <c r="B99" s="12" t="n">
        <v>45714</v>
      </c>
      <c r="C99" s="13" t="s">
        <v>165</v>
      </c>
      <c r="D99" s="23" t="str">
        <f aca="false">IF(C99="","",IFERROR(INDEX(LOTES!$D$5:$D$1004,MATCH(C99,LOTES!$F$5:$F$1004,0)),"¿Lote?"))</f>
        <v>Block 6"</v>
      </c>
      <c r="E99" s="11" t="str">
        <f aca="false">IF(C99="","",IFERROR(INDEX(LOTES!$C$5:$C$1004,MATCH(C99,LOTES!$F$5:$F$1004,0)),""))</f>
        <v>P2</v>
      </c>
      <c r="F99" s="24" t="n">
        <f aca="false">IF(C99="","",IFERROR(INDEX(LOTES!$B$5:$B$1004,MATCH(C99,LOTES!$F$5:$F$1004,0)),""))</f>
        <v>45709</v>
      </c>
      <c r="G99" s="15" t="n">
        <f aca="false">IF(OR(B99="",F99=""),"",B99-F99)</f>
        <v>5</v>
      </c>
      <c r="H99" s="13" t="s">
        <v>135</v>
      </c>
      <c r="I99" s="13" t="s">
        <v>131</v>
      </c>
      <c r="J99" s="13" t="s">
        <v>166</v>
      </c>
      <c r="K99" s="25" t="n">
        <v>14.5</v>
      </c>
      <c r="L99" s="25" t="n">
        <v>19.5</v>
      </c>
      <c r="M99" s="25" t="n">
        <v>39.5</v>
      </c>
      <c r="N99" s="25"/>
      <c r="O99" s="26" t="n">
        <v>35634</v>
      </c>
      <c r="P99" s="16" t="n">
        <f aca="false">IF(O99="","",IFERROR(1/(1/(IF(K99="",INDEX(CONFIG!$F$5:$F$14,MATCH(D99,CONFIG!$D$5:$D$14,0)),K99)*IF(M99="",INDEX(CONFIG!$H$5:$H$14,MATCH(D99,CONFIG!$D$5:$D$14,0)),M99))),""))</f>
        <v>572.75</v>
      </c>
      <c r="Q99" s="16" t="n">
        <f aca="false">IF(OR(O99="",P99=""),"",O99/P99)</f>
        <v>62.2156263640332</v>
      </c>
      <c r="R99" s="16" t="n">
        <f aca="false">IF(Q99="","",Q99*0.0980665)</f>
        <v>6.10126872282846</v>
      </c>
      <c r="S99" s="16" t="str">
        <f aca="false">IF(Q99="","",IFERROR(Q99/(1/(1/INDEX(CONFIG!$I$5:$I$14,MATCH(D99,CONFIG!$D$5:$D$14,0)))),""))</f>
        <v/>
      </c>
      <c r="T99" s="13"/>
      <c r="U99" s="13"/>
      <c r="V99" s="13"/>
      <c r="W99" s="13"/>
      <c r="X99" s="22" t="n">
        <f aca="false">IF(Q99="","",Q99^2)</f>
        <v>3870.78416386898</v>
      </c>
      <c r="Y99" s="22" t="str">
        <f aca="false">IF(AND(C99&lt;&gt;"",C99=CERTIFICADO!$E$4,OR(CERTIFICADO!$E$5="",B99=CERTIFICADO!$E$5)),MAX($Y$4:Y98)+1,"")</f>
        <v/>
      </c>
    </row>
    <row r="100" customFormat="false" ht="15" hidden="false" customHeight="false" outlineLevel="0" collapsed="false">
      <c r="A100" s="11" t="n">
        <f aca="false">IF(C100="","",ROW()-4)</f>
        <v>96</v>
      </c>
      <c r="B100" s="12" t="n">
        <v>45714</v>
      </c>
      <c r="C100" s="13" t="s">
        <v>165</v>
      </c>
      <c r="D100" s="23" t="str">
        <f aca="false">IF(C100="","",IFERROR(INDEX(LOTES!$D$5:$D$1004,MATCH(C100,LOTES!$F$5:$F$1004,0)),"¿Lote?"))</f>
        <v>Block 6"</v>
      </c>
      <c r="E100" s="11" t="str">
        <f aca="false">IF(C100="","",IFERROR(INDEX(LOTES!$C$5:$C$1004,MATCH(C100,LOTES!$F$5:$F$1004,0)),""))</f>
        <v>P2</v>
      </c>
      <c r="F100" s="24" t="n">
        <f aca="false">IF(C100="","",IFERROR(INDEX(LOTES!$B$5:$B$1004,MATCH(C100,LOTES!$F$5:$F$1004,0)),""))</f>
        <v>45709</v>
      </c>
      <c r="G100" s="15" t="n">
        <f aca="false">IF(OR(B100="",F100=""),"",B100-F100)</f>
        <v>5</v>
      </c>
      <c r="H100" s="13" t="s">
        <v>135</v>
      </c>
      <c r="I100" s="13" t="s">
        <v>131</v>
      </c>
      <c r="J100" s="13" t="s">
        <v>166</v>
      </c>
      <c r="K100" s="25" t="n">
        <v>14.5</v>
      </c>
      <c r="L100" s="25" t="n">
        <v>19.5</v>
      </c>
      <c r="M100" s="25" t="n">
        <v>39.5</v>
      </c>
      <c r="N100" s="25"/>
      <c r="O100" s="26" t="n">
        <v>34953</v>
      </c>
      <c r="P100" s="16" t="n">
        <f aca="false">IF(O100="","",IFERROR(1/(1/(IF(K100="",INDEX(CONFIG!$F$5:$F$14,MATCH(D100,CONFIG!$D$5:$D$14,0)),K100)*IF(M100="",INDEX(CONFIG!$H$5:$H$14,MATCH(D100,CONFIG!$D$5:$D$14,0)),M100))),""))</f>
        <v>572.75</v>
      </c>
      <c r="Q100" s="16" t="n">
        <f aca="false">IF(OR(O100="",P100=""),"",O100/P100)</f>
        <v>61.0266259275426</v>
      </c>
      <c r="R100" s="16" t="n">
        <f aca="false">IF(Q100="","",Q100*0.0980665)</f>
        <v>5.98466761152335</v>
      </c>
      <c r="S100" s="16" t="str">
        <f aca="false">IF(Q100="","",IFERROR(Q100/(1/(1/INDEX(CONFIG!$I$5:$I$14,MATCH(D100,CONFIG!$D$5:$D$14,0)))),""))</f>
        <v/>
      </c>
      <c r="T100" s="13"/>
      <c r="U100" s="13"/>
      <c r="V100" s="13"/>
      <c r="W100" s="13"/>
      <c r="X100" s="22" t="n">
        <f aca="false">IF(Q100="","",Q100^2)</f>
        <v>3724.24907210021</v>
      </c>
      <c r="Y100" s="22" t="str">
        <f aca="false">IF(AND(C100&lt;&gt;"",C100=CERTIFICADO!$E$4,OR(CERTIFICADO!$E$5="",B100=CERTIFICADO!$E$5)),MAX($Y$4:Y99)+1,"")</f>
        <v/>
      </c>
    </row>
    <row r="101" customFormat="false" ht="15" hidden="false" customHeight="false" outlineLevel="0" collapsed="false">
      <c r="A101" s="11" t="n">
        <f aca="false">IF(C101="","",ROW()-4)</f>
        <v>97</v>
      </c>
      <c r="B101" s="12" t="n">
        <v>45716</v>
      </c>
      <c r="C101" s="13" t="s">
        <v>167</v>
      </c>
      <c r="D101" s="23" t="str">
        <f aca="false">IF(C101="","",IFERROR(INDEX(LOTES!$D$5:$D$1004,MATCH(C101,LOTES!$F$5:$F$1004,0)),"¿Lote?"))</f>
        <v>Block 8"</v>
      </c>
      <c r="E101" s="11" t="str">
        <f aca="false">IF(C101="","",IFERROR(INDEX(LOTES!$C$5:$C$1004,MATCH(C101,LOTES!$F$5:$F$1004,0)),""))</f>
        <v>P1</v>
      </c>
      <c r="F101" s="24" t="n">
        <f aca="false">IF(C101="","",IFERROR(INDEX(LOTES!$B$5:$B$1004,MATCH(C101,LOTES!$F$5:$F$1004,0)),""))</f>
        <v>45707</v>
      </c>
      <c r="G101" s="15" t="n">
        <f aca="false">IF(OR(B101="",F101=""),"",B101-F101)</f>
        <v>9</v>
      </c>
      <c r="H101" s="13" t="s">
        <v>135</v>
      </c>
      <c r="I101" s="13" t="s">
        <v>131</v>
      </c>
      <c r="J101" s="13" t="s">
        <v>168</v>
      </c>
      <c r="K101" s="25" t="n">
        <v>19.5</v>
      </c>
      <c r="L101" s="25" t="n">
        <v>19.5</v>
      </c>
      <c r="M101" s="25" t="n">
        <v>39.5</v>
      </c>
      <c r="N101" s="25"/>
      <c r="O101" s="26" t="n">
        <v>53560</v>
      </c>
      <c r="P101" s="16" t="n">
        <f aca="false">IF(O101="","",IFERROR(1/(1/(IF(K101="",INDEX(CONFIG!$F$5:$F$14,MATCH(D101,CONFIG!$D$5:$D$14,0)),K101)*IF(M101="",INDEX(CONFIG!$H$5:$H$14,MATCH(D101,CONFIG!$D$5:$D$14,0)),M101))),""))</f>
        <v>770.25</v>
      </c>
      <c r="Q101" s="16" t="n">
        <f aca="false">IF(OR(O101="",P101=""),"",O101/P101)</f>
        <v>69.535864978903</v>
      </c>
      <c r="R101" s="16" t="n">
        <f aca="false">IF(Q101="","",Q101*0.0980665)</f>
        <v>6.81913890295359</v>
      </c>
      <c r="S101" s="16" t="str">
        <f aca="false">IF(Q101="","",IFERROR(Q101/(1/(1/INDEX(CONFIG!$I$5:$I$14,MATCH(D101,CONFIG!$D$5:$D$14,0)))),""))</f>
        <v/>
      </c>
      <c r="T101" s="13"/>
      <c r="U101" s="13"/>
      <c r="V101" s="13"/>
      <c r="W101" s="13"/>
      <c r="X101" s="22" t="n">
        <f aca="false">IF(Q101="","",Q101^2)</f>
        <v>4835.23651836422</v>
      </c>
      <c r="Y101" s="22" t="str">
        <f aca="false">IF(AND(C101&lt;&gt;"",C101=CERTIFICADO!$E$4,OR(CERTIFICADO!$E$5="",B101=CERTIFICADO!$E$5)),MAX($Y$4:Y100)+1,"")</f>
        <v/>
      </c>
    </row>
    <row r="102" customFormat="false" ht="15" hidden="false" customHeight="false" outlineLevel="0" collapsed="false">
      <c r="A102" s="11" t="n">
        <f aca="false">IF(C102="","",ROW()-4)</f>
        <v>98</v>
      </c>
      <c r="B102" s="12" t="n">
        <v>45716</v>
      </c>
      <c r="C102" s="13" t="s">
        <v>167</v>
      </c>
      <c r="D102" s="23" t="str">
        <f aca="false">IF(C102="","",IFERROR(INDEX(LOTES!$D$5:$D$1004,MATCH(C102,LOTES!$F$5:$F$1004,0)),"¿Lote?"))</f>
        <v>Block 8"</v>
      </c>
      <c r="E102" s="11" t="str">
        <f aca="false">IF(C102="","",IFERROR(INDEX(LOTES!$C$5:$C$1004,MATCH(C102,LOTES!$F$5:$F$1004,0)),""))</f>
        <v>P1</v>
      </c>
      <c r="F102" s="24" t="n">
        <f aca="false">IF(C102="","",IFERROR(INDEX(LOTES!$B$5:$B$1004,MATCH(C102,LOTES!$F$5:$F$1004,0)),""))</f>
        <v>45707</v>
      </c>
      <c r="G102" s="15" t="n">
        <f aca="false">IF(OR(B102="",F102=""),"",B102-F102)</f>
        <v>9</v>
      </c>
      <c r="H102" s="13" t="s">
        <v>135</v>
      </c>
      <c r="I102" s="13" t="s">
        <v>131</v>
      </c>
      <c r="J102" s="13" t="s">
        <v>168</v>
      </c>
      <c r="K102" s="25" t="n">
        <v>19.5</v>
      </c>
      <c r="L102" s="25" t="n">
        <v>19.5</v>
      </c>
      <c r="M102" s="25" t="n">
        <v>39.5</v>
      </c>
      <c r="N102" s="25"/>
      <c r="O102" s="26" t="n">
        <v>59973</v>
      </c>
      <c r="P102" s="16" t="n">
        <f aca="false">IF(O102="","",IFERROR(1/(1/(IF(K102="",INDEX(CONFIG!$F$5:$F$14,MATCH(D102,CONFIG!$D$5:$D$14,0)),K102)*IF(M102="",INDEX(CONFIG!$H$5:$H$14,MATCH(D102,CONFIG!$D$5:$D$14,0)),M102))),""))</f>
        <v>770.25</v>
      </c>
      <c r="Q102" s="16" t="n">
        <f aca="false">IF(OR(O102="",P102=""),"",O102/P102)</f>
        <v>77.8617332035054</v>
      </c>
      <c r="R102" s="16" t="n">
        <f aca="false">IF(Q102="","",Q102*0.0980665)</f>
        <v>7.63562765920156</v>
      </c>
      <c r="S102" s="16" t="str">
        <f aca="false">IF(Q102="","",IFERROR(Q102/(1/(1/INDEX(CONFIG!$I$5:$I$14,MATCH(D102,CONFIG!$D$5:$D$14,0)))),""))</f>
        <v/>
      </c>
      <c r="T102" s="13"/>
      <c r="U102" s="13"/>
      <c r="V102" s="13"/>
      <c r="W102" s="13"/>
      <c r="X102" s="22" t="n">
        <f aca="false">IF(Q102="","",Q102^2)</f>
        <v>6062.44949745385</v>
      </c>
      <c r="Y102" s="22" t="str">
        <f aca="false">IF(AND(C102&lt;&gt;"",C102=CERTIFICADO!$E$4,OR(CERTIFICADO!$E$5="",B102=CERTIFICADO!$E$5)),MAX($Y$4:Y101)+1,"")</f>
        <v/>
      </c>
    </row>
    <row r="103" customFormat="false" ht="15" hidden="false" customHeight="false" outlineLevel="0" collapsed="false">
      <c r="A103" s="11" t="n">
        <f aca="false">IF(C103="","",ROW()-4)</f>
        <v>99</v>
      </c>
      <c r="B103" s="12" t="n">
        <v>45716</v>
      </c>
      <c r="C103" s="13" t="s">
        <v>167</v>
      </c>
      <c r="D103" s="23" t="str">
        <f aca="false">IF(C103="","",IFERROR(INDEX(LOTES!$D$5:$D$1004,MATCH(C103,LOTES!$F$5:$F$1004,0)),"¿Lote?"))</f>
        <v>Block 8"</v>
      </c>
      <c r="E103" s="11" t="str">
        <f aca="false">IF(C103="","",IFERROR(INDEX(LOTES!$C$5:$C$1004,MATCH(C103,LOTES!$F$5:$F$1004,0)),""))</f>
        <v>P1</v>
      </c>
      <c r="F103" s="24" t="n">
        <f aca="false">IF(C103="","",IFERROR(INDEX(LOTES!$B$5:$B$1004,MATCH(C103,LOTES!$F$5:$F$1004,0)),""))</f>
        <v>45707</v>
      </c>
      <c r="G103" s="15" t="n">
        <f aca="false">IF(OR(B103="",F103=""),"",B103-F103)</f>
        <v>9</v>
      </c>
      <c r="H103" s="13" t="s">
        <v>135</v>
      </c>
      <c r="I103" s="13" t="s">
        <v>131</v>
      </c>
      <c r="J103" s="13" t="s">
        <v>168</v>
      </c>
      <c r="K103" s="25" t="n">
        <v>19.5</v>
      </c>
      <c r="L103" s="25" t="n">
        <v>19.5</v>
      </c>
      <c r="M103" s="25" t="n">
        <v>39.5</v>
      </c>
      <c r="N103" s="25"/>
      <c r="O103" s="26" t="n">
        <v>63611</v>
      </c>
      <c r="P103" s="16" t="n">
        <f aca="false">IF(O103="","",IFERROR(1/(1/(IF(K103="",INDEX(CONFIG!$F$5:$F$14,MATCH(D103,CONFIG!$D$5:$D$14,0)),K103)*IF(M103="",INDEX(CONFIG!$H$5:$H$14,MATCH(D103,CONFIG!$D$5:$D$14,0)),M103))),""))</f>
        <v>770.25</v>
      </c>
      <c r="Q103" s="16" t="n">
        <f aca="false">IF(OR(O103="",P103=""),"",O103/P103)</f>
        <v>82.5848750405713</v>
      </c>
      <c r="R103" s="16" t="n">
        <f aca="false">IF(Q103="","",Q103*0.0980665)</f>
        <v>8.09880964816618</v>
      </c>
      <c r="S103" s="16" t="str">
        <f aca="false">IF(Q103="","",IFERROR(Q103/(1/(1/INDEX(CONFIG!$I$5:$I$14,MATCH(D103,CONFIG!$D$5:$D$14,0)))),""))</f>
        <v/>
      </c>
      <c r="T103" s="13"/>
      <c r="U103" s="13"/>
      <c r="V103" s="13"/>
      <c r="W103" s="13"/>
      <c r="X103" s="22" t="n">
        <f aca="false">IF(Q103="","",Q103^2)</f>
        <v>6820.26158546677</v>
      </c>
      <c r="Y103" s="22" t="str">
        <f aca="false">IF(AND(C103&lt;&gt;"",C103=CERTIFICADO!$E$4,OR(CERTIFICADO!$E$5="",B103=CERTIFICADO!$E$5)),MAX($Y$4:Y102)+1,"")</f>
        <v/>
      </c>
    </row>
    <row r="104" customFormat="false" ht="15" hidden="false" customHeight="false" outlineLevel="0" collapsed="false">
      <c r="A104" s="11" t="n">
        <f aca="false">IF(C104="","",ROW()-4)</f>
        <v>100</v>
      </c>
      <c r="B104" s="12" t="n">
        <v>45716</v>
      </c>
      <c r="C104" s="13" t="s">
        <v>167</v>
      </c>
      <c r="D104" s="23" t="str">
        <f aca="false">IF(C104="","",IFERROR(INDEX(LOTES!$D$5:$D$1004,MATCH(C104,LOTES!$F$5:$F$1004,0)),"¿Lote?"))</f>
        <v>Block 8"</v>
      </c>
      <c r="E104" s="11" t="str">
        <f aca="false">IF(C104="","",IFERROR(INDEX(LOTES!$C$5:$C$1004,MATCH(C104,LOTES!$F$5:$F$1004,0)),""))</f>
        <v>P1</v>
      </c>
      <c r="F104" s="24" t="n">
        <f aca="false">IF(C104="","",IFERROR(INDEX(LOTES!$B$5:$B$1004,MATCH(C104,LOTES!$F$5:$F$1004,0)),""))</f>
        <v>45707</v>
      </c>
      <c r="G104" s="15" t="n">
        <f aca="false">IF(OR(B104="",F104=""),"",B104-F104)</f>
        <v>9</v>
      </c>
      <c r="H104" s="13" t="s">
        <v>135</v>
      </c>
      <c r="I104" s="13" t="s">
        <v>131</v>
      </c>
      <c r="J104" s="13" t="s">
        <v>168</v>
      </c>
      <c r="K104" s="25" t="n">
        <v>19.5</v>
      </c>
      <c r="L104" s="25" t="n">
        <v>19.5</v>
      </c>
      <c r="M104" s="25" t="n">
        <v>39.5</v>
      </c>
      <c r="N104" s="25"/>
      <c r="O104" s="26" t="n">
        <v>61638</v>
      </c>
      <c r="P104" s="16" t="n">
        <f aca="false">IF(O104="","",IFERROR(1/(1/(IF(K104="",INDEX(CONFIG!$F$5:$F$14,MATCH(D104,CONFIG!$D$5:$D$14,0)),K104)*IF(M104="",INDEX(CONFIG!$H$5:$H$14,MATCH(D104,CONFIG!$D$5:$D$14,0)),M104))),""))</f>
        <v>770.25</v>
      </c>
      <c r="Q104" s="16" t="n">
        <f aca="false">IF(OR(O104="",P104=""),"",O104/P104)</f>
        <v>80.0233690360273</v>
      </c>
      <c r="R104" s="16" t="n">
        <f aca="false">IF(Q104="","",Q104*0.0980665)</f>
        <v>7.84761171957157</v>
      </c>
      <c r="S104" s="16" t="str">
        <f aca="false">IF(Q104="","",IFERROR(Q104/(1/(1/INDEX(CONFIG!$I$5:$I$14,MATCH(D104,CONFIG!$D$5:$D$14,0)))),""))</f>
        <v/>
      </c>
      <c r="T104" s="13"/>
      <c r="U104" s="13"/>
      <c r="V104" s="13"/>
      <c r="W104" s="13"/>
      <c r="X104" s="22" t="n">
        <f aca="false">IF(Q104="","",Q104^2)</f>
        <v>6403.73959187621</v>
      </c>
      <c r="Y104" s="22" t="str">
        <f aca="false">IF(AND(C104&lt;&gt;"",C104=CERTIFICADO!$E$4,OR(CERTIFICADO!$E$5="",B104=CERTIFICADO!$E$5)),MAX($Y$4:Y103)+1,"")</f>
        <v/>
      </c>
    </row>
    <row r="105" customFormat="false" ht="15" hidden="false" customHeight="false" outlineLevel="0" collapsed="false">
      <c r="A105" s="11" t="n">
        <f aca="false">IF(C105="","",ROW()-4)</f>
        <v>101</v>
      </c>
      <c r="B105" s="12" t="n">
        <v>45719</v>
      </c>
      <c r="C105" s="13" t="s">
        <v>169</v>
      </c>
      <c r="D105" s="23" t="str">
        <f aca="false">IF(C105="","",IFERROR(INDEX(LOTES!$D$5:$D$1004,MATCH(C105,LOTES!$F$5:$F$1004,0)),"¿Lote?"))</f>
        <v>Block 8"</v>
      </c>
      <c r="E105" s="11" t="str">
        <f aca="false">IF(C105="","",IFERROR(INDEX(LOTES!$C$5:$C$1004,MATCH(C105,LOTES!$F$5:$F$1004,0)),""))</f>
        <v>P1</v>
      </c>
      <c r="F105" s="24" t="n">
        <f aca="false">IF(C105="","",IFERROR(INDEX(LOTES!$B$5:$B$1004,MATCH(C105,LOTES!$F$5:$F$1004,0)),""))</f>
        <v>45712</v>
      </c>
      <c r="G105" s="15" t="n">
        <f aca="false">IF(OR(B105="",F105=""),"",B105-F105)</f>
        <v>7</v>
      </c>
      <c r="H105" s="13" t="s">
        <v>135</v>
      </c>
      <c r="I105" s="13" t="s">
        <v>131</v>
      </c>
      <c r="J105" s="13" t="s">
        <v>170</v>
      </c>
      <c r="K105" s="25" t="n">
        <v>19.5</v>
      </c>
      <c r="L105" s="25" t="n">
        <v>19.5</v>
      </c>
      <c r="M105" s="25" t="n">
        <v>39.5</v>
      </c>
      <c r="N105" s="25"/>
      <c r="O105" s="26" t="n">
        <v>60699</v>
      </c>
      <c r="P105" s="16" t="n">
        <f aca="false">IF(O105="","",IFERROR(1/(1/(IF(K105="",INDEX(CONFIG!$F$5:$F$14,MATCH(D105,CONFIG!$D$5:$D$14,0)),K105)*IF(M105="",INDEX(CONFIG!$H$5:$H$14,MATCH(D105,CONFIG!$D$5:$D$14,0)),M105))),""))</f>
        <v>770.25</v>
      </c>
      <c r="Q105" s="16" t="n">
        <f aca="false">IF(OR(O105="",P105=""),"",O105/P105)</f>
        <v>78.8042843232717</v>
      </c>
      <c r="R105" s="16" t="n">
        <f aca="false">IF(Q105="","",Q105*0.0980665)</f>
        <v>7.72806034858812</v>
      </c>
      <c r="S105" s="16" t="str">
        <f aca="false">IF(Q105="","",IFERROR(Q105/(1/(1/INDEX(CONFIG!$I$5:$I$14,MATCH(D105,CONFIG!$D$5:$D$14,0)))),""))</f>
        <v/>
      </c>
      <c r="T105" s="13"/>
      <c r="U105" s="13"/>
      <c r="V105" s="13"/>
      <c r="W105" s="13"/>
      <c r="X105" s="22" t="n">
        <f aca="false">IF(Q105="","",Q105^2)</f>
        <v>6210.11522770304</v>
      </c>
      <c r="Y105" s="22" t="str">
        <f aca="false">IF(AND(C105&lt;&gt;"",C105=CERTIFICADO!$E$4,OR(CERTIFICADO!$E$5="",B105=CERTIFICADO!$E$5)),MAX($Y$4:Y104)+1,"")</f>
        <v/>
      </c>
    </row>
    <row r="106" customFormat="false" ht="15" hidden="false" customHeight="false" outlineLevel="0" collapsed="false">
      <c r="A106" s="11" t="n">
        <f aca="false">IF(C106="","",ROW()-4)</f>
        <v>102</v>
      </c>
      <c r="B106" s="12" t="n">
        <v>45719</v>
      </c>
      <c r="C106" s="13" t="s">
        <v>169</v>
      </c>
      <c r="D106" s="23" t="str">
        <f aca="false">IF(C106="","",IFERROR(INDEX(LOTES!$D$5:$D$1004,MATCH(C106,LOTES!$F$5:$F$1004,0)),"¿Lote?"))</f>
        <v>Block 8"</v>
      </c>
      <c r="E106" s="11" t="str">
        <f aca="false">IF(C106="","",IFERROR(INDEX(LOTES!$C$5:$C$1004,MATCH(C106,LOTES!$F$5:$F$1004,0)),""))</f>
        <v>P1</v>
      </c>
      <c r="F106" s="24" t="n">
        <f aca="false">IF(C106="","",IFERROR(INDEX(LOTES!$B$5:$B$1004,MATCH(C106,LOTES!$F$5:$F$1004,0)),""))</f>
        <v>45712</v>
      </c>
      <c r="G106" s="15" t="n">
        <f aca="false">IF(OR(B106="",F106=""),"",B106-F106)</f>
        <v>7</v>
      </c>
      <c r="H106" s="13" t="s">
        <v>135</v>
      </c>
      <c r="I106" s="13" t="s">
        <v>131</v>
      </c>
      <c r="J106" s="13" t="s">
        <v>170</v>
      </c>
      <c r="K106" s="25" t="n">
        <v>19.5</v>
      </c>
      <c r="L106" s="25" t="n">
        <v>19.5</v>
      </c>
      <c r="M106" s="25" t="n">
        <v>39.5</v>
      </c>
      <c r="N106" s="25"/>
      <c r="O106" s="26" t="n">
        <v>62418</v>
      </c>
      <c r="P106" s="16" t="n">
        <f aca="false">IF(O106="","",IFERROR(1/(1/(IF(K106="",INDEX(CONFIG!$F$5:$F$14,MATCH(D106,CONFIG!$D$5:$D$14,0)),K106)*IF(M106="",INDEX(CONFIG!$H$5:$H$14,MATCH(D106,CONFIG!$D$5:$D$14,0)),M106))),""))</f>
        <v>770.25</v>
      </c>
      <c r="Q106" s="16" t="n">
        <f aca="false">IF(OR(O106="",P106=""),"",O106/P106)</f>
        <v>81.0360272638754</v>
      </c>
      <c r="R106" s="16" t="n">
        <f aca="false">IF(Q106="","",Q106*0.0980665)</f>
        <v>7.94691956767283</v>
      </c>
      <c r="S106" s="16" t="str">
        <f aca="false">IF(Q106="","",IFERROR(Q106/(1/(1/INDEX(CONFIG!$I$5:$I$14,MATCH(D106,CONFIG!$D$5:$D$14,0)))),""))</f>
        <v/>
      </c>
      <c r="T106" s="13"/>
      <c r="U106" s="13"/>
      <c r="V106" s="13"/>
      <c r="W106" s="13"/>
      <c r="X106" s="22" t="n">
        <f aca="false">IF(Q106="","",Q106^2)</f>
        <v>6566.83771471155</v>
      </c>
      <c r="Y106" s="22" t="str">
        <f aca="false">IF(AND(C106&lt;&gt;"",C106=CERTIFICADO!$E$4,OR(CERTIFICADO!$E$5="",B106=CERTIFICADO!$E$5)),MAX($Y$4:Y105)+1,"")</f>
        <v/>
      </c>
    </row>
    <row r="107" customFormat="false" ht="15" hidden="false" customHeight="false" outlineLevel="0" collapsed="false">
      <c r="A107" s="11" t="n">
        <f aca="false">IF(C107="","",ROW()-4)</f>
        <v>103</v>
      </c>
      <c r="B107" s="12" t="n">
        <v>45719</v>
      </c>
      <c r="C107" s="13" t="s">
        <v>169</v>
      </c>
      <c r="D107" s="23" t="str">
        <f aca="false">IF(C107="","",IFERROR(INDEX(LOTES!$D$5:$D$1004,MATCH(C107,LOTES!$F$5:$F$1004,0)),"¿Lote?"))</f>
        <v>Block 8"</v>
      </c>
      <c r="E107" s="11" t="str">
        <f aca="false">IF(C107="","",IFERROR(INDEX(LOTES!$C$5:$C$1004,MATCH(C107,LOTES!$F$5:$F$1004,0)),""))</f>
        <v>P1</v>
      </c>
      <c r="F107" s="24" t="n">
        <f aca="false">IF(C107="","",IFERROR(INDEX(LOTES!$B$5:$B$1004,MATCH(C107,LOTES!$F$5:$F$1004,0)),""))</f>
        <v>45712</v>
      </c>
      <c r="G107" s="15" t="n">
        <f aca="false">IF(OR(B107="",F107=""),"",B107-F107)</f>
        <v>7</v>
      </c>
      <c r="H107" s="13" t="s">
        <v>135</v>
      </c>
      <c r="I107" s="13" t="s">
        <v>131</v>
      </c>
      <c r="J107" s="13" t="s">
        <v>170</v>
      </c>
      <c r="K107" s="25" t="n">
        <v>19.5</v>
      </c>
      <c r="L107" s="25" t="n">
        <v>19.5</v>
      </c>
      <c r="M107" s="25" t="n">
        <v>39.5</v>
      </c>
      <c r="N107" s="25"/>
      <c r="O107" s="26" t="n">
        <v>59738</v>
      </c>
      <c r="P107" s="16" t="n">
        <f aca="false">IF(O107="","",IFERROR(1/(1/(IF(K107="",INDEX(CONFIG!$F$5:$F$14,MATCH(D107,CONFIG!$D$5:$D$14,0)),K107)*IF(M107="",INDEX(CONFIG!$H$5:$H$14,MATCH(D107,CONFIG!$D$5:$D$14,0)),M107))),""))</f>
        <v>770.25</v>
      </c>
      <c r="Q107" s="16" t="n">
        <f aca="false">IF(OR(O107="",P107=""),"",O107/P107)</f>
        <v>77.5566374553716</v>
      </c>
      <c r="R107" s="16" t="n">
        <f aca="false">IF(Q107="","",Q107*0.0980665)</f>
        <v>7.6057079870172</v>
      </c>
      <c r="S107" s="16" t="str">
        <f aca="false">IF(Q107="","",IFERROR(Q107/(1/(1/INDEX(CONFIG!$I$5:$I$14,MATCH(D107,CONFIG!$D$5:$D$14,0)))),""))</f>
        <v/>
      </c>
      <c r="T107" s="13"/>
      <c r="U107" s="13"/>
      <c r="V107" s="13"/>
      <c r="W107" s="13"/>
      <c r="X107" s="22" t="n">
        <f aca="false">IF(Q107="","",Q107^2)</f>
        <v>6015.03201338395</v>
      </c>
      <c r="Y107" s="22" t="str">
        <f aca="false">IF(AND(C107&lt;&gt;"",C107=CERTIFICADO!$E$4,OR(CERTIFICADO!$E$5="",B107=CERTIFICADO!$E$5)),MAX($Y$4:Y106)+1,"")</f>
        <v/>
      </c>
    </row>
    <row r="108" customFormat="false" ht="15" hidden="false" customHeight="false" outlineLevel="0" collapsed="false">
      <c r="A108" s="11" t="n">
        <f aca="false">IF(C108="","",ROW()-4)</f>
        <v>104</v>
      </c>
      <c r="B108" s="12" t="n">
        <v>45719</v>
      </c>
      <c r="C108" s="13" t="s">
        <v>169</v>
      </c>
      <c r="D108" s="23" t="str">
        <f aca="false">IF(C108="","",IFERROR(INDEX(LOTES!$D$5:$D$1004,MATCH(C108,LOTES!$F$5:$F$1004,0)),"¿Lote?"))</f>
        <v>Block 8"</v>
      </c>
      <c r="E108" s="11" t="str">
        <f aca="false">IF(C108="","",IFERROR(INDEX(LOTES!$C$5:$C$1004,MATCH(C108,LOTES!$F$5:$F$1004,0)),""))</f>
        <v>P1</v>
      </c>
      <c r="F108" s="24" t="n">
        <f aca="false">IF(C108="","",IFERROR(INDEX(LOTES!$B$5:$B$1004,MATCH(C108,LOTES!$F$5:$F$1004,0)),""))</f>
        <v>45712</v>
      </c>
      <c r="G108" s="15" t="n">
        <f aca="false">IF(OR(B108="",F108=""),"",B108-F108)</f>
        <v>7</v>
      </c>
      <c r="H108" s="13" t="s">
        <v>135</v>
      </c>
      <c r="I108" s="13" t="s">
        <v>131</v>
      </c>
      <c r="J108" s="13" t="s">
        <v>170</v>
      </c>
      <c r="K108" s="25" t="n">
        <v>19.5</v>
      </c>
      <c r="L108" s="25" t="n">
        <v>19.5</v>
      </c>
      <c r="M108" s="25" t="n">
        <v>39.5</v>
      </c>
      <c r="N108" s="25"/>
      <c r="O108" s="26" t="n">
        <v>53700</v>
      </c>
      <c r="P108" s="16" t="n">
        <f aca="false">IF(O108="","",IFERROR(1/(1/(IF(K108="",INDEX(CONFIG!$F$5:$F$14,MATCH(D108,CONFIG!$D$5:$D$14,0)),K108)*IF(M108="",INDEX(CONFIG!$H$5:$H$14,MATCH(D108,CONFIG!$D$5:$D$14,0)),M108))),""))</f>
        <v>770.25</v>
      </c>
      <c r="Q108" s="16" t="n">
        <f aca="false">IF(OR(O108="",P108=""),"",O108/P108)</f>
        <v>69.7176241480039</v>
      </c>
      <c r="R108" s="16" t="n">
        <f aca="false">IF(Q108="","",Q108*0.0980665)</f>
        <v>6.83696338851022</v>
      </c>
      <c r="S108" s="16" t="str">
        <f aca="false">IF(Q108="","",IFERROR(Q108/(1/(1/INDEX(CONFIG!$I$5:$I$14,MATCH(D108,CONFIG!$D$5:$D$14,0)))),""))</f>
        <v/>
      </c>
      <c r="T108" s="13"/>
      <c r="U108" s="13"/>
      <c r="V108" s="13"/>
      <c r="W108" s="13"/>
      <c r="X108" s="22" t="n">
        <f aca="false">IF(Q108="","",Q108^2)</f>
        <v>4860.54711684234</v>
      </c>
      <c r="Y108" s="22" t="str">
        <f aca="false">IF(AND(C108&lt;&gt;"",C108=CERTIFICADO!$E$4,OR(CERTIFICADO!$E$5="",B108=CERTIFICADO!$E$5)),MAX($Y$4:Y107)+1,"")</f>
        <v/>
      </c>
    </row>
    <row r="109" customFormat="false" ht="15" hidden="false" customHeight="false" outlineLevel="0" collapsed="false">
      <c r="A109" s="11" t="n">
        <f aca="false">IF(C109="","",ROW()-4)</f>
        <v>105</v>
      </c>
      <c r="B109" s="12" t="n">
        <v>45723</v>
      </c>
      <c r="C109" s="13" t="s">
        <v>171</v>
      </c>
      <c r="D109" s="23" t="str">
        <f aca="false">IF(C109="","",IFERROR(INDEX(LOTES!$D$5:$D$1004,MATCH(C109,LOTES!$F$5:$F$1004,0)),"¿Lote?"))</f>
        <v>Block 8"</v>
      </c>
      <c r="E109" s="11" t="str">
        <f aca="false">IF(C109="","",IFERROR(INDEX(LOTES!$C$5:$C$1004,MATCH(C109,LOTES!$F$5:$F$1004,0)),""))</f>
        <v>P1</v>
      </c>
      <c r="F109" s="24" t="n">
        <f aca="false">IF(C109="","",IFERROR(INDEX(LOTES!$B$5:$B$1004,MATCH(C109,LOTES!$F$5:$F$1004,0)),""))</f>
        <v>45719</v>
      </c>
      <c r="G109" s="15" t="n">
        <f aca="false">IF(OR(B109="",F109=""),"",B109-F109)</f>
        <v>4</v>
      </c>
      <c r="H109" s="13" t="s">
        <v>135</v>
      </c>
      <c r="I109" s="13" t="s">
        <v>131</v>
      </c>
      <c r="J109" s="13" t="s">
        <v>172</v>
      </c>
      <c r="K109" s="25" t="n">
        <v>19.5</v>
      </c>
      <c r="L109" s="25" t="n">
        <v>19.5</v>
      </c>
      <c r="M109" s="25" t="n">
        <v>39.5</v>
      </c>
      <c r="N109" s="25"/>
      <c r="O109" s="26" t="n">
        <v>58272</v>
      </c>
      <c r="P109" s="16" t="n">
        <f aca="false">IF(O109="","",IFERROR(1/(1/(IF(K109="",INDEX(CONFIG!$F$5:$F$14,MATCH(D109,CONFIG!$D$5:$D$14,0)),K109)*IF(M109="",INDEX(CONFIG!$H$5:$H$14,MATCH(D109,CONFIG!$D$5:$D$14,0)),M109))),""))</f>
        <v>770.25</v>
      </c>
      <c r="Q109" s="16" t="n">
        <f aca="false">IF(OR(O109="",P109=""),"",O109/P109)</f>
        <v>75.6533592989289</v>
      </c>
      <c r="R109" s="16" t="n">
        <f aca="false">IF(Q109="","",Q109*0.0980665)</f>
        <v>7.41906015968841</v>
      </c>
      <c r="S109" s="16" t="str">
        <f aca="false">IF(Q109="","",IFERROR(Q109/(1/(1/INDEX(CONFIG!$I$5:$I$14,MATCH(D109,CONFIG!$D$5:$D$14,0)))),""))</f>
        <v/>
      </c>
      <c r="T109" s="13"/>
      <c r="U109" s="13"/>
      <c r="V109" s="13"/>
      <c r="W109" s="13"/>
      <c r="X109" s="22" t="n">
        <f aca="false">IF(Q109="","",Q109^2)</f>
        <v>5723.43077321283</v>
      </c>
      <c r="Y109" s="22" t="str">
        <f aca="false">IF(AND(C109&lt;&gt;"",C109=CERTIFICADO!$E$4,OR(CERTIFICADO!$E$5="",B109=CERTIFICADO!$E$5)),MAX($Y$4:Y108)+1,"")</f>
        <v/>
      </c>
    </row>
    <row r="110" customFormat="false" ht="15" hidden="false" customHeight="false" outlineLevel="0" collapsed="false">
      <c r="A110" s="11" t="n">
        <f aca="false">IF(C110="","",ROW()-4)</f>
        <v>106</v>
      </c>
      <c r="B110" s="12" t="n">
        <v>45723</v>
      </c>
      <c r="C110" s="13" t="s">
        <v>171</v>
      </c>
      <c r="D110" s="23" t="str">
        <f aca="false">IF(C110="","",IFERROR(INDEX(LOTES!$D$5:$D$1004,MATCH(C110,LOTES!$F$5:$F$1004,0)),"¿Lote?"))</f>
        <v>Block 8"</v>
      </c>
      <c r="E110" s="11" t="str">
        <f aca="false">IF(C110="","",IFERROR(INDEX(LOTES!$C$5:$C$1004,MATCH(C110,LOTES!$F$5:$F$1004,0)),""))</f>
        <v>P1</v>
      </c>
      <c r="F110" s="24" t="n">
        <f aca="false">IF(C110="","",IFERROR(INDEX(LOTES!$B$5:$B$1004,MATCH(C110,LOTES!$F$5:$F$1004,0)),""))</f>
        <v>45719</v>
      </c>
      <c r="G110" s="15" t="n">
        <f aca="false">IF(OR(B110="",F110=""),"",B110-F110)</f>
        <v>4</v>
      </c>
      <c r="H110" s="13" t="s">
        <v>135</v>
      </c>
      <c r="I110" s="13" t="s">
        <v>131</v>
      </c>
      <c r="J110" s="13" t="s">
        <v>172</v>
      </c>
      <c r="K110" s="25" t="n">
        <v>19.5</v>
      </c>
      <c r="L110" s="25" t="n">
        <v>19.5</v>
      </c>
      <c r="M110" s="25" t="n">
        <v>39.5</v>
      </c>
      <c r="N110" s="25"/>
      <c r="O110" s="26" t="n">
        <v>56744</v>
      </c>
      <c r="P110" s="16" t="n">
        <f aca="false">IF(O110="","",IFERROR(1/(1/(IF(K110="",INDEX(CONFIG!$F$5:$F$14,MATCH(D110,CONFIG!$D$5:$D$14,0)),K110)*IF(M110="",INDEX(CONFIG!$H$5:$H$14,MATCH(D110,CONFIG!$D$5:$D$14,0)),M110))),""))</f>
        <v>770.25</v>
      </c>
      <c r="Q110" s="16" t="n">
        <f aca="false">IF(OR(O110="",P110=""),"",O110/P110)</f>
        <v>73.6695877961701</v>
      </c>
      <c r="R110" s="16" t="n">
        <f aca="false">IF(Q110="","",Q110*0.0980665)</f>
        <v>7.22451863161311</v>
      </c>
      <c r="S110" s="16" t="str">
        <f aca="false">IF(Q110="","",IFERROR(Q110/(1/(1/INDEX(CONFIG!$I$5:$I$14,MATCH(D110,CONFIG!$D$5:$D$14,0)))),""))</f>
        <v/>
      </c>
      <c r="T110" s="13"/>
      <c r="U110" s="13"/>
      <c r="V110" s="13"/>
      <c r="W110" s="13"/>
      <c r="X110" s="22" t="n">
        <f aca="false">IF(Q110="","",Q110^2)</f>
        <v>5427.20816605761</v>
      </c>
      <c r="Y110" s="22" t="str">
        <f aca="false">IF(AND(C110&lt;&gt;"",C110=CERTIFICADO!$E$4,OR(CERTIFICADO!$E$5="",B110=CERTIFICADO!$E$5)),MAX($Y$4:Y109)+1,"")</f>
        <v/>
      </c>
    </row>
    <row r="111" customFormat="false" ht="15" hidden="false" customHeight="false" outlineLevel="0" collapsed="false">
      <c r="A111" s="11" t="n">
        <f aca="false">IF(C111="","",ROW()-4)</f>
        <v>107</v>
      </c>
      <c r="B111" s="12" t="n">
        <v>45723</v>
      </c>
      <c r="C111" s="13" t="s">
        <v>171</v>
      </c>
      <c r="D111" s="23" t="str">
        <f aca="false">IF(C111="","",IFERROR(INDEX(LOTES!$D$5:$D$1004,MATCH(C111,LOTES!$F$5:$F$1004,0)),"¿Lote?"))</f>
        <v>Block 8"</v>
      </c>
      <c r="E111" s="11" t="str">
        <f aca="false">IF(C111="","",IFERROR(INDEX(LOTES!$C$5:$C$1004,MATCH(C111,LOTES!$F$5:$F$1004,0)),""))</f>
        <v>P1</v>
      </c>
      <c r="F111" s="24" t="n">
        <f aca="false">IF(C111="","",IFERROR(INDEX(LOTES!$B$5:$B$1004,MATCH(C111,LOTES!$F$5:$F$1004,0)),""))</f>
        <v>45719</v>
      </c>
      <c r="G111" s="15" t="n">
        <f aca="false">IF(OR(B111="",F111=""),"",B111-F111)</f>
        <v>4</v>
      </c>
      <c r="H111" s="13" t="s">
        <v>135</v>
      </c>
      <c r="I111" s="13" t="s">
        <v>131</v>
      </c>
      <c r="J111" s="13" t="s">
        <v>172</v>
      </c>
      <c r="K111" s="25" t="n">
        <v>19.5</v>
      </c>
      <c r="L111" s="25" t="n">
        <v>19.5</v>
      </c>
      <c r="M111" s="25" t="n">
        <v>39.5</v>
      </c>
      <c r="N111" s="25"/>
      <c r="O111" s="26" t="n">
        <v>61883</v>
      </c>
      <c r="P111" s="16" t="n">
        <f aca="false">IF(O111="","",IFERROR(1/(1/(IF(K111="",INDEX(CONFIG!$F$5:$F$14,MATCH(D111,CONFIG!$D$5:$D$14,0)),K111)*IF(M111="",INDEX(CONFIG!$H$5:$H$14,MATCH(D111,CONFIG!$D$5:$D$14,0)),M111))),""))</f>
        <v>770.25</v>
      </c>
      <c r="Q111" s="16" t="n">
        <f aca="false">IF(OR(O111="",P111=""),"",O111/P111)</f>
        <v>80.3414475819539</v>
      </c>
      <c r="R111" s="16" t="n">
        <f aca="false">IF(Q111="","",Q111*0.0980665)</f>
        <v>7.87880456929568</v>
      </c>
      <c r="S111" s="16" t="str">
        <f aca="false">IF(Q111="","",IFERROR(Q111/(1/(1/INDEX(CONFIG!$I$5:$I$14,MATCH(D111,CONFIG!$D$5:$D$14,0)))),""))</f>
        <v/>
      </c>
      <c r="T111" s="13"/>
      <c r="U111" s="13"/>
      <c r="V111" s="13"/>
      <c r="W111" s="13"/>
      <c r="X111" s="22" t="n">
        <f aca="false">IF(Q111="","",Q111^2)</f>
        <v>6454.74819956385</v>
      </c>
      <c r="Y111" s="22" t="str">
        <f aca="false">IF(AND(C111&lt;&gt;"",C111=CERTIFICADO!$E$4,OR(CERTIFICADO!$E$5="",B111=CERTIFICADO!$E$5)),MAX($Y$4:Y110)+1,"")</f>
        <v/>
      </c>
    </row>
    <row r="112" customFormat="false" ht="15" hidden="false" customHeight="false" outlineLevel="0" collapsed="false">
      <c r="A112" s="11" t="n">
        <f aca="false">IF(C112="","",ROW()-4)</f>
        <v>108</v>
      </c>
      <c r="B112" s="12" t="n">
        <v>45723</v>
      </c>
      <c r="C112" s="13" t="s">
        <v>171</v>
      </c>
      <c r="D112" s="23" t="str">
        <f aca="false">IF(C112="","",IFERROR(INDEX(LOTES!$D$5:$D$1004,MATCH(C112,LOTES!$F$5:$F$1004,0)),"¿Lote?"))</f>
        <v>Block 8"</v>
      </c>
      <c r="E112" s="11" t="str">
        <f aca="false">IF(C112="","",IFERROR(INDEX(LOTES!$C$5:$C$1004,MATCH(C112,LOTES!$F$5:$F$1004,0)),""))</f>
        <v>P1</v>
      </c>
      <c r="F112" s="24" t="n">
        <f aca="false">IF(C112="","",IFERROR(INDEX(LOTES!$B$5:$B$1004,MATCH(C112,LOTES!$F$5:$F$1004,0)),""))</f>
        <v>45719</v>
      </c>
      <c r="G112" s="15" t="n">
        <f aca="false">IF(OR(B112="",F112=""),"",B112-F112)</f>
        <v>4</v>
      </c>
      <c r="H112" s="13" t="s">
        <v>135</v>
      </c>
      <c r="I112" s="13" t="s">
        <v>131</v>
      </c>
      <c r="J112" s="13" t="s">
        <v>172</v>
      </c>
      <c r="K112" s="25" t="n">
        <v>19.5</v>
      </c>
      <c r="L112" s="25" t="n">
        <v>19.5</v>
      </c>
      <c r="M112" s="25" t="n">
        <v>39.5</v>
      </c>
      <c r="N112" s="25"/>
      <c r="O112" s="26" t="n">
        <v>61153</v>
      </c>
      <c r="P112" s="16" t="n">
        <f aca="false">IF(O112="","",IFERROR(1/(1/(IF(K112="",INDEX(CONFIG!$F$5:$F$14,MATCH(D112,CONFIG!$D$5:$D$14,0)),K112)*IF(M112="",INDEX(CONFIG!$H$5:$H$14,MATCH(D112,CONFIG!$D$5:$D$14,0)),M112))),""))</f>
        <v>770.25</v>
      </c>
      <c r="Q112" s="16" t="n">
        <f aca="false">IF(OR(O112="",P112=""),"",O112/P112)</f>
        <v>79.3937033430704</v>
      </c>
      <c r="R112" s="16" t="n">
        <f aca="false">IF(Q112="","",Q112*0.0980665)</f>
        <v>7.78586260889322</v>
      </c>
      <c r="S112" s="16" t="str">
        <f aca="false">IF(Q112="","",IFERROR(Q112/(1/(1/INDEX(CONFIG!$I$5:$I$14,MATCH(D112,CONFIG!$D$5:$D$14,0)))),""))</f>
        <v/>
      </c>
      <c r="T112" s="13"/>
      <c r="U112" s="13"/>
      <c r="V112" s="13"/>
      <c r="W112" s="13"/>
      <c r="X112" s="22" t="n">
        <f aca="false">IF(Q112="","",Q112^2)</f>
        <v>6303.36013052747</v>
      </c>
      <c r="Y112" s="22" t="str">
        <f aca="false">IF(AND(C112&lt;&gt;"",C112=CERTIFICADO!$E$4,OR(CERTIFICADO!$E$5="",B112=CERTIFICADO!$E$5)),MAX($Y$4:Y111)+1,"")</f>
        <v/>
      </c>
    </row>
    <row r="113" customFormat="false" ht="15" hidden="false" customHeight="false" outlineLevel="0" collapsed="false">
      <c r="A113" s="11" t="n">
        <f aca="false">IF(C113="","",ROW()-4)</f>
        <v>109</v>
      </c>
      <c r="B113" s="12" t="n">
        <v>45726</v>
      </c>
      <c r="C113" s="13" t="s">
        <v>171</v>
      </c>
      <c r="D113" s="23" t="str">
        <f aca="false">IF(C113="","",IFERROR(INDEX(LOTES!$D$5:$D$1004,MATCH(C113,LOTES!$F$5:$F$1004,0)),"¿Lote?"))</f>
        <v>Block 8"</v>
      </c>
      <c r="E113" s="11" t="str">
        <f aca="false">IF(C113="","",IFERROR(INDEX(LOTES!$C$5:$C$1004,MATCH(C113,LOTES!$F$5:$F$1004,0)),""))</f>
        <v>P1</v>
      </c>
      <c r="F113" s="24" t="n">
        <f aca="false">IF(C113="","",IFERROR(INDEX(LOTES!$B$5:$B$1004,MATCH(C113,LOTES!$F$5:$F$1004,0)),""))</f>
        <v>45719</v>
      </c>
      <c r="G113" s="15" t="n">
        <f aca="false">IF(OR(B113="",F113=""),"",B113-F113)</f>
        <v>7</v>
      </c>
      <c r="H113" s="13" t="s">
        <v>135</v>
      </c>
      <c r="I113" s="13" t="s">
        <v>131</v>
      </c>
      <c r="J113" s="13" t="s">
        <v>173</v>
      </c>
      <c r="K113" s="25" t="n">
        <v>19.5</v>
      </c>
      <c r="L113" s="25" t="n">
        <v>19.5</v>
      </c>
      <c r="M113" s="25" t="n">
        <v>39.5</v>
      </c>
      <c r="N113" s="25"/>
      <c r="O113" s="26" t="n">
        <v>66269</v>
      </c>
      <c r="P113" s="16" t="n">
        <f aca="false">IF(O113="","",IFERROR(1/(1/(IF(K113="",INDEX(CONFIG!$F$5:$F$14,MATCH(D113,CONFIG!$D$5:$D$14,0)),K113)*IF(M113="",INDEX(CONFIG!$H$5:$H$14,MATCH(D113,CONFIG!$D$5:$D$14,0)),M113))),""))</f>
        <v>770.25</v>
      </c>
      <c r="Q113" s="16" t="n">
        <f aca="false">IF(OR(O113="",P113=""),"",O113/P113)</f>
        <v>86.0357026939306</v>
      </c>
      <c r="R113" s="16" t="n">
        <f aca="false">IF(Q113="","",Q113*0.0980665)</f>
        <v>8.43722023823434</v>
      </c>
      <c r="S113" s="16" t="str">
        <f aca="false">IF(Q113="","",IFERROR(Q113/(1/(1/INDEX(CONFIG!$I$5:$I$14,MATCH(D113,CONFIG!$D$5:$D$14,0)))),""))</f>
        <v/>
      </c>
      <c r="T113" s="13"/>
      <c r="U113" s="13"/>
      <c r="V113" s="13"/>
      <c r="W113" s="13"/>
      <c r="X113" s="22" t="n">
        <f aca="false">IF(Q113="","",Q113^2)</f>
        <v>7402.14213803841</v>
      </c>
      <c r="Y113" s="22" t="str">
        <f aca="false">IF(AND(C113&lt;&gt;"",C113=CERTIFICADO!$E$4,OR(CERTIFICADO!$E$5="",B113=CERTIFICADO!$E$5)),MAX($Y$4:Y112)+1,"")</f>
        <v/>
      </c>
    </row>
    <row r="114" customFormat="false" ht="15" hidden="false" customHeight="false" outlineLevel="0" collapsed="false">
      <c r="A114" s="11" t="n">
        <f aca="false">IF(C114="","",ROW()-4)</f>
        <v>110</v>
      </c>
      <c r="B114" s="12" t="n">
        <v>45726</v>
      </c>
      <c r="C114" s="13" t="s">
        <v>171</v>
      </c>
      <c r="D114" s="23" t="str">
        <f aca="false">IF(C114="","",IFERROR(INDEX(LOTES!$D$5:$D$1004,MATCH(C114,LOTES!$F$5:$F$1004,0)),"¿Lote?"))</f>
        <v>Block 8"</v>
      </c>
      <c r="E114" s="11" t="str">
        <f aca="false">IF(C114="","",IFERROR(INDEX(LOTES!$C$5:$C$1004,MATCH(C114,LOTES!$F$5:$F$1004,0)),""))</f>
        <v>P1</v>
      </c>
      <c r="F114" s="24" t="n">
        <f aca="false">IF(C114="","",IFERROR(INDEX(LOTES!$B$5:$B$1004,MATCH(C114,LOTES!$F$5:$F$1004,0)),""))</f>
        <v>45719</v>
      </c>
      <c r="G114" s="15" t="n">
        <f aca="false">IF(OR(B114="",F114=""),"",B114-F114)</f>
        <v>7</v>
      </c>
      <c r="H114" s="13" t="s">
        <v>135</v>
      </c>
      <c r="I114" s="13" t="s">
        <v>131</v>
      </c>
      <c r="J114" s="13" t="s">
        <v>173</v>
      </c>
      <c r="K114" s="25" t="n">
        <v>19.5</v>
      </c>
      <c r="L114" s="25" t="n">
        <v>19.5</v>
      </c>
      <c r="M114" s="25" t="n">
        <v>39.5</v>
      </c>
      <c r="N114" s="25"/>
      <c r="O114" s="26" t="n">
        <v>53637</v>
      </c>
      <c r="P114" s="16" t="n">
        <f aca="false">IF(O114="","",IFERROR(1/(1/(IF(K114="",INDEX(CONFIG!$F$5:$F$14,MATCH(D114,CONFIG!$D$5:$D$14,0)),K114)*IF(M114="",INDEX(CONFIG!$H$5:$H$14,MATCH(D114,CONFIG!$D$5:$D$14,0)),M114))),""))</f>
        <v>770.25</v>
      </c>
      <c r="Q114" s="16" t="n">
        <f aca="false">IF(OR(O114="",P114=""),"",O114/P114)</f>
        <v>69.6358325219085</v>
      </c>
      <c r="R114" s="16" t="n">
        <f aca="false">IF(Q114="","",Q114*0.0980665)</f>
        <v>6.82894237000974</v>
      </c>
      <c r="S114" s="16" t="str">
        <f aca="false">IF(Q114="","",IFERROR(Q114/(1/(1/INDEX(CONFIG!$I$5:$I$14,MATCH(D114,CONFIG!$D$5:$D$14,0)))),""))</f>
        <v/>
      </c>
      <c r="T114" s="13"/>
      <c r="U114" s="13"/>
      <c r="V114" s="13"/>
      <c r="W114" s="13"/>
      <c r="X114" s="22" t="n">
        <f aca="false">IF(Q114="","",Q114^2)</f>
        <v>4849.14917101929</v>
      </c>
      <c r="Y114" s="22" t="str">
        <f aca="false">IF(AND(C114&lt;&gt;"",C114=CERTIFICADO!$E$4,OR(CERTIFICADO!$E$5="",B114=CERTIFICADO!$E$5)),MAX($Y$4:Y113)+1,"")</f>
        <v/>
      </c>
    </row>
    <row r="115" customFormat="false" ht="15" hidden="false" customHeight="false" outlineLevel="0" collapsed="false">
      <c r="A115" s="11" t="n">
        <f aca="false">IF(C115="","",ROW()-4)</f>
        <v>111</v>
      </c>
      <c r="B115" s="12" t="n">
        <v>45726</v>
      </c>
      <c r="C115" s="13" t="s">
        <v>171</v>
      </c>
      <c r="D115" s="23" t="str">
        <f aca="false">IF(C115="","",IFERROR(INDEX(LOTES!$D$5:$D$1004,MATCH(C115,LOTES!$F$5:$F$1004,0)),"¿Lote?"))</f>
        <v>Block 8"</v>
      </c>
      <c r="E115" s="11" t="str">
        <f aca="false">IF(C115="","",IFERROR(INDEX(LOTES!$C$5:$C$1004,MATCH(C115,LOTES!$F$5:$F$1004,0)),""))</f>
        <v>P1</v>
      </c>
      <c r="F115" s="24" t="n">
        <f aca="false">IF(C115="","",IFERROR(INDEX(LOTES!$B$5:$B$1004,MATCH(C115,LOTES!$F$5:$F$1004,0)),""))</f>
        <v>45719</v>
      </c>
      <c r="G115" s="15" t="n">
        <f aca="false">IF(OR(B115="",F115=""),"",B115-F115)</f>
        <v>7</v>
      </c>
      <c r="H115" s="13" t="s">
        <v>135</v>
      </c>
      <c r="I115" s="13" t="s">
        <v>131</v>
      </c>
      <c r="J115" s="13" t="s">
        <v>173</v>
      </c>
      <c r="K115" s="25" t="n">
        <v>19.5</v>
      </c>
      <c r="L115" s="25" t="n">
        <v>19.5</v>
      </c>
      <c r="M115" s="25" t="n">
        <v>39.5</v>
      </c>
      <c r="N115" s="25"/>
      <c r="O115" s="26" t="n">
        <v>62359</v>
      </c>
      <c r="P115" s="16" t="n">
        <f aca="false">IF(O115="","",IFERROR(1/(1/(IF(K115="",INDEX(CONFIG!$F$5:$F$14,MATCH(D115,CONFIG!$D$5:$D$14,0)),K115)*IF(M115="",INDEX(CONFIG!$H$5:$H$14,MATCH(D115,CONFIG!$D$5:$D$14,0)),M115))),""))</f>
        <v>770.25</v>
      </c>
      <c r="Q115" s="16" t="n">
        <f aca="false">IF(OR(O115="",P115=""),"",O115/P115)</f>
        <v>80.9594287568971</v>
      </c>
      <c r="R115" s="16" t="n">
        <f aca="false">IF(Q115="","",Q115*0.0980665)</f>
        <v>7.93940782018825</v>
      </c>
      <c r="S115" s="16" t="str">
        <f aca="false">IF(Q115="","",IFERROR(Q115/(1/(1/INDEX(CONFIG!$I$5:$I$14,MATCH(D115,CONFIG!$D$5:$D$14,0)))),""))</f>
        <v/>
      </c>
      <c r="T115" s="13"/>
      <c r="U115" s="13"/>
      <c r="V115" s="13"/>
      <c r="W115" s="13"/>
      <c r="X115" s="22" t="n">
        <f aca="false">IF(Q115="","",Q115^2)</f>
        <v>6554.4291046431</v>
      </c>
      <c r="Y115" s="22" t="str">
        <f aca="false">IF(AND(C115&lt;&gt;"",C115=CERTIFICADO!$E$4,OR(CERTIFICADO!$E$5="",B115=CERTIFICADO!$E$5)),MAX($Y$4:Y114)+1,"")</f>
        <v/>
      </c>
    </row>
    <row r="116" customFormat="false" ht="15" hidden="false" customHeight="false" outlineLevel="0" collapsed="false">
      <c r="A116" s="11" t="n">
        <f aca="false">IF(C116="","",ROW()-4)</f>
        <v>112</v>
      </c>
      <c r="B116" s="12" t="n">
        <v>45726</v>
      </c>
      <c r="C116" s="13" t="s">
        <v>171</v>
      </c>
      <c r="D116" s="23" t="str">
        <f aca="false">IF(C116="","",IFERROR(INDEX(LOTES!$D$5:$D$1004,MATCH(C116,LOTES!$F$5:$F$1004,0)),"¿Lote?"))</f>
        <v>Block 8"</v>
      </c>
      <c r="E116" s="11" t="str">
        <f aca="false">IF(C116="","",IFERROR(INDEX(LOTES!$C$5:$C$1004,MATCH(C116,LOTES!$F$5:$F$1004,0)),""))</f>
        <v>P1</v>
      </c>
      <c r="F116" s="24" t="n">
        <f aca="false">IF(C116="","",IFERROR(INDEX(LOTES!$B$5:$B$1004,MATCH(C116,LOTES!$F$5:$F$1004,0)),""))</f>
        <v>45719</v>
      </c>
      <c r="G116" s="15" t="n">
        <f aca="false">IF(OR(B116="",F116=""),"",B116-F116)</f>
        <v>7</v>
      </c>
      <c r="H116" s="13" t="s">
        <v>135</v>
      </c>
      <c r="I116" s="13" t="s">
        <v>131</v>
      </c>
      <c r="J116" s="13" t="s">
        <v>173</v>
      </c>
      <c r="K116" s="25" t="n">
        <v>19.5</v>
      </c>
      <c r="L116" s="25" t="n">
        <v>19.5</v>
      </c>
      <c r="M116" s="25" t="n">
        <v>39.5</v>
      </c>
      <c r="N116" s="25"/>
      <c r="O116" s="26" t="n">
        <v>67036</v>
      </c>
      <c r="P116" s="16" t="n">
        <f aca="false">IF(O116="","",IFERROR(1/(1/(IF(K116="",INDEX(CONFIG!$F$5:$F$14,MATCH(D116,CONFIG!$D$5:$D$14,0)),K116)*IF(M116="",INDEX(CONFIG!$H$5:$H$14,MATCH(D116,CONFIG!$D$5:$D$14,0)),M116))),""))</f>
        <v>770.25</v>
      </c>
      <c r="Q116" s="16" t="n">
        <f aca="false">IF(OR(O116="",P116=""),"",O116/P116)</f>
        <v>87.0314832846479</v>
      </c>
      <c r="R116" s="16" t="n">
        <f aca="false">IF(Q116="","",Q116*0.0980665)</f>
        <v>8.53487295553392</v>
      </c>
      <c r="S116" s="16" t="str">
        <f aca="false">IF(Q116="","",IFERROR(Q116/(1/(1/INDEX(CONFIG!$I$5:$I$14,MATCH(D116,CONFIG!$D$5:$D$14,0)))),""))</f>
        <v/>
      </c>
      <c r="T116" s="13"/>
      <c r="U116" s="13"/>
      <c r="V116" s="13"/>
      <c r="W116" s="13"/>
      <c r="X116" s="22" t="n">
        <f aca="false">IF(Q116="","",Q116^2)</f>
        <v>7574.47908272594</v>
      </c>
      <c r="Y116" s="22" t="str">
        <f aca="false">IF(AND(C116&lt;&gt;"",C116=CERTIFICADO!$E$4,OR(CERTIFICADO!$E$5="",B116=CERTIFICADO!$E$5)),MAX($Y$4:Y115)+1,"")</f>
        <v/>
      </c>
    </row>
    <row r="117" customFormat="false" ht="15" hidden="false" customHeight="false" outlineLevel="0" collapsed="false">
      <c r="A117" s="11" t="n">
        <f aca="false">IF(C117="","",ROW()-4)</f>
        <v>113</v>
      </c>
      <c r="B117" s="12" t="n">
        <v>45729</v>
      </c>
      <c r="C117" s="13" t="s">
        <v>174</v>
      </c>
      <c r="D117" s="23" t="str">
        <f aca="false">IF(C117="","",IFERROR(INDEX(LOTES!$D$5:$D$1004,MATCH(C117,LOTES!$F$5:$F$1004,0)),"¿Lote?"))</f>
        <v>Block 8"</v>
      </c>
      <c r="E117" s="11" t="str">
        <f aca="false">IF(C117="","",IFERROR(INDEX(LOTES!$C$5:$C$1004,MATCH(C117,LOTES!$F$5:$F$1004,0)),""))</f>
        <v>P1</v>
      </c>
      <c r="F117" s="24" t="n">
        <f aca="false">IF(C117="","",IFERROR(INDEX(LOTES!$B$5:$B$1004,MATCH(C117,LOTES!$F$5:$F$1004,0)),""))</f>
        <v>45723</v>
      </c>
      <c r="G117" s="15" t="n">
        <f aca="false">IF(OR(B117="",F117=""),"",B117-F117)</f>
        <v>6</v>
      </c>
      <c r="H117" s="13" t="s">
        <v>135</v>
      </c>
      <c r="I117" s="13" t="s">
        <v>131</v>
      </c>
      <c r="J117" s="13" t="s">
        <v>175</v>
      </c>
      <c r="K117" s="25" t="n">
        <v>19.5</v>
      </c>
      <c r="L117" s="25" t="n">
        <v>19.5</v>
      </c>
      <c r="M117" s="25" t="n">
        <v>39.5</v>
      </c>
      <c r="N117" s="25"/>
      <c r="O117" s="26" t="n">
        <v>61779</v>
      </c>
      <c r="P117" s="16" t="n">
        <f aca="false">IF(O117="","",IFERROR(1/(1/(IF(K117="",INDEX(CONFIG!$F$5:$F$14,MATCH(D117,CONFIG!$D$5:$D$14,0)),K117)*IF(M117="",INDEX(CONFIG!$H$5:$H$14,MATCH(D117,CONFIG!$D$5:$D$14,0)),M117))),""))</f>
        <v>770.25</v>
      </c>
      <c r="Q117" s="16" t="n">
        <f aca="false">IF(OR(O117="",P117=""),"",O117/P117)</f>
        <v>80.2064264849075</v>
      </c>
      <c r="R117" s="16" t="n">
        <f aca="false">IF(Q117="","",Q117*0.0980665)</f>
        <v>7.86556352288218</v>
      </c>
      <c r="S117" s="16" t="str">
        <f aca="false">IF(Q117="","",IFERROR(Q117/(1/(1/INDEX(CONFIG!$I$5:$I$14,MATCH(D117,CONFIG!$D$5:$D$14,0)))),""))</f>
        <v/>
      </c>
      <c r="T117" s="13"/>
      <c r="U117" s="13"/>
      <c r="V117" s="13"/>
      <c r="W117" s="13"/>
      <c r="X117" s="22" t="n">
        <f aca="false">IF(Q117="","",Q117^2)</f>
        <v>6433.07084947887</v>
      </c>
      <c r="Y117" s="22" t="str">
        <f aca="false">IF(AND(C117&lt;&gt;"",C117=CERTIFICADO!$E$4,OR(CERTIFICADO!$E$5="",B117=CERTIFICADO!$E$5)),MAX($Y$4:Y116)+1,"")</f>
        <v/>
      </c>
    </row>
    <row r="118" customFormat="false" ht="15" hidden="false" customHeight="false" outlineLevel="0" collapsed="false">
      <c r="A118" s="11" t="n">
        <f aca="false">IF(C118="","",ROW()-4)</f>
        <v>114</v>
      </c>
      <c r="B118" s="12" t="n">
        <v>45729</v>
      </c>
      <c r="C118" s="13" t="s">
        <v>174</v>
      </c>
      <c r="D118" s="23" t="str">
        <f aca="false">IF(C118="","",IFERROR(INDEX(LOTES!$D$5:$D$1004,MATCH(C118,LOTES!$F$5:$F$1004,0)),"¿Lote?"))</f>
        <v>Block 8"</v>
      </c>
      <c r="E118" s="11" t="str">
        <f aca="false">IF(C118="","",IFERROR(INDEX(LOTES!$C$5:$C$1004,MATCH(C118,LOTES!$F$5:$F$1004,0)),""))</f>
        <v>P1</v>
      </c>
      <c r="F118" s="24" t="n">
        <f aca="false">IF(C118="","",IFERROR(INDEX(LOTES!$B$5:$B$1004,MATCH(C118,LOTES!$F$5:$F$1004,0)),""))</f>
        <v>45723</v>
      </c>
      <c r="G118" s="15" t="n">
        <f aca="false">IF(OR(B118="",F118=""),"",B118-F118)</f>
        <v>6</v>
      </c>
      <c r="H118" s="13" t="s">
        <v>135</v>
      </c>
      <c r="I118" s="13" t="s">
        <v>131</v>
      </c>
      <c r="J118" s="13" t="s">
        <v>175</v>
      </c>
      <c r="K118" s="25" t="n">
        <v>19.5</v>
      </c>
      <c r="L118" s="25" t="n">
        <v>19.5</v>
      </c>
      <c r="M118" s="25" t="n">
        <v>39.5</v>
      </c>
      <c r="N118" s="25"/>
      <c r="O118" s="26" t="n">
        <v>56889</v>
      </c>
      <c r="P118" s="16" t="n">
        <f aca="false">IF(O118="","",IFERROR(1/(1/(IF(K118="",INDEX(CONFIG!$F$5:$F$14,MATCH(D118,CONFIG!$D$5:$D$14,0)),K118)*IF(M118="",INDEX(CONFIG!$H$5:$H$14,MATCH(D118,CONFIG!$D$5:$D$14,0)),M118))),""))</f>
        <v>770.25</v>
      </c>
      <c r="Q118" s="16" t="n">
        <f aca="false">IF(OR(O118="",P118=""),"",O118/P118)</f>
        <v>73.8578383641675</v>
      </c>
      <c r="R118" s="16" t="n">
        <f aca="false">IF(Q118="","",Q118*0.0980665)</f>
        <v>7.24297970593963</v>
      </c>
      <c r="S118" s="16" t="str">
        <f aca="false">IF(Q118="","",IFERROR(Q118/(1/(1/INDEX(CONFIG!$I$5:$I$14,MATCH(D118,CONFIG!$D$5:$D$14,0)))),""))</f>
        <v/>
      </c>
      <c r="T118" s="13"/>
      <c r="U118" s="13"/>
      <c r="V118" s="13"/>
      <c r="W118" s="13"/>
      <c r="X118" s="22" t="n">
        <f aca="false">IF(Q118="","",Q118^2)</f>
        <v>5454.98028782749</v>
      </c>
      <c r="Y118" s="22" t="str">
        <f aca="false">IF(AND(C118&lt;&gt;"",C118=CERTIFICADO!$E$4,OR(CERTIFICADO!$E$5="",B118=CERTIFICADO!$E$5)),MAX($Y$4:Y117)+1,"")</f>
        <v/>
      </c>
    </row>
    <row r="119" customFormat="false" ht="15" hidden="false" customHeight="false" outlineLevel="0" collapsed="false">
      <c r="A119" s="11" t="n">
        <f aca="false">IF(C119="","",ROW()-4)</f>
        <v>115</v>
      </c>
      <c r="B119" s="12" t="n">
        <v>45729</v>
      </c>
      <c r="C119" s="13" t="s">
        <v>174</v>
      </c>
      <c r="D119" s="23" t="str">
        <f aca="false">IF(C119="","",IFERROR(INDEX(LOTES!$D$5:$D$1004,MATCH(C119,LOTES!$F$5:$F$1004,0)),"¿Lote?"))</f>
        <v>Block 8"</v>
      </c>
      <c r="E119" s="11" t="str">
        <f aca="false">IF(C119="","",IFERROR(INDEX(LOTES!$C$5:$C$1004,MATCH(C119,LOTES!$F$5:$F$1004,0)),""))</f>
        <v>P1</v>
      </c>
      <c r="F119" s="24" t="n">
        <f aca="false">IF(C119="","",IFERROR(INDEX(LOTES!$B$5:$B$1004,MATCH(C119,LOTES!$F$5:$F$1004,0)),""))</f>
        <v>45723</v>
      </c>
      <c r="G119" s="15" t="n">
        <f aca="false">IF(OR(B119="",F119=""),"",B119-F119)</f>
        <v>6</v>
      </c>
      <c r="H119" s="13" t="s">
        <v>135</v>
      </c>
      <c r="I119" s="13" t="s">
        <v>131</v>
      </c>
      <c r="J119" s="13" t="s">
        <v>175</v>
      </c>
      <c r="K119" s="25" t="n">
        <v>19.5</v>
      </c>
      <c r="L119" s="25" t="n">
        <v>19.5</v>
      </c>
      <c r="M119" s="25" t="n">
        <v>39.5</v>
      </c>
      <c r="N119" s="25"/>
      <c r="O119" s="26" t="n">
        <v>63230</v>
      </c>
      <c r="P119" s="16" t="n">
        <f aca="false">IF(O119="","",IFERROR(1/(1/(IF(K119="",INDEX(CONFIG!$F$5:$F$14,MATCH(D119,CONFIG!$D$5:$D$14,0)),K119)*IF(M119="",INDEX(CONFIG!$H$5:$H$14,MATCH(D119,CONFIG!$D$5:$D$14,0)),M119))),""))</f>
        <v>770.25</v>
      </c>
      <c r="Q119" s="16" t="n">
        <f aca="false">IF(OR(O119="",P119=""),"",O119/P119)</f>
        <v>82.0902304446608</v>
      </c>
      <c r="R119" s="16" t="n">
        <f aca="false">IF(Q119="","",Q119*0.0980665)</f>
        <v>8.05030158390133</v>
      </c>
      <c r="S119" s="16" t="str">
        <f aca="false">IF(Q119="","",IFERROR(Q119/(1/(1/INDEX(CONFIG!$I$5:$I$14,MATCH(D119,CONFIG!$D$5:$D$14,0)))),""))</f>
        <v/>
      </c>
      <c r="T119" s="13"/>
      <c r="U119" s="13"/>
      <c r="V119" s="13"/>
      <c r="W119" s="13"/>
      <c r="X119" s="22" t="n">
        <f aca="false">IF(Q119="","",Q119^2)</f>
        <v>6738.80593445752</v>
      </c>
      <c r="Y119" s="22" t="str">
        <f aca="false">IF(AND(C119&lt;&gt;"",C119=CERTIFICADO!$E$4,OR(CERTIFICADO!$E$5="",B119=CERTIFICADO!$E$5)),MAX($Y$4:Y118)+1,"")</f>
        <v/>
      </c>
    </row>
    <row r="120" customFormat="false" ht="15" hidden="false" customHeight="false" outlineLevel="0" collapsed="false">
      <c r="A120" s="11" t="n">
        <f aca="false">IF(C120="","",ROW()-4)</f>
        <v>116</v>
      </c>
      <c r="B120" s="12" t="n">
        <v>45729</v>
      </c>
      <c r="C120" s="13" t="s">
        <v>174</v>
      </c>
      <c r="D120" s="23" t="str">
        <f aca="false">IF(C120="","",IFERROR(INDEX(LOTES!$D$5:$D$1004,MATCH(C120,LOTES!$F$5:$F$1004,0)),"¿Lote?"))</f>
        <v>Block 8"</v>
      </c>
      <c r="E120" s="11" t="str">
        <f aca="false">IF(C120="","",IFERROR(INDEX(LOTES!$C$5:$C$1004,MATCH(C120,LOTES!$F$5:$F$1004,0)),""))</f>
        <v>P1</v>
      </c>
      <c r="F120" s="24" t="n">
        <f aca="false">IF(C120="","",IFERROR(INDEX(LOTES!$B$5:$B$1004,MATCH(C120,LOTES!$F$5:$F$1004,0)),""))</f>
        <v>45723</v>
      </c>
      <c r="G120" s="15" t="n">
        <f aca="false">IF(OR(B120="",F120=""),"",B120-F120)</f>
        <v>6</v>
      </c>
      <c r="H120" s="13" t="s">
        <v>135</v>
      </c>
      <c r="I120" s="13" t="s">
        <v>131</v>
      </c>
      <c r="J120" s="13" t="s">
        <v>175</v>
      </c>
      <c r="K120" s="25" t="n">
        <v>19.5</v>
      </c>
      <c r="L120" s="25" t="n">
        <v>19.5</v>
      </c>
      <c r="M120" s="25" t="n">
        <v>39.5</v>
      </c>
      <c r="N120" s="25"/>
      <c r="O120" s="26" t="n">
        <v>53292</v>
      </c>
      <c r="P120" s="16" t="n">
        <f aca="false">IF(O120="","",IFERROR(1/(1/(IF(K120="",INDEX(CONFIG!$F$5:$F$14,MATCH(D120,CONFIG!$D$5:$D$14,0)),K120)*IF(M120="",INDEX(CONFIG!$H$5:$H$14,MATCH(D120,CONFIG!$D$5:$D$14,0)),M120))),""))</f>
        <v>770.25</v>
      </c>
      <c r="Q120" s="16" t="n">
        <f aca="false">IF(OR(O120="",P120=""),"",O120/P120)</f>
        <v>69.1879259980526</v>
      </c>
      <c r="R120" s="16" t="n">
        <f aca="false">IF(Q120="","",Q120*0.0980665)</f>
        <v>6.78501774488802</v>
      </c>
      <c r="S120" s="16" t="str">
        <f aca="false">IF(Q120="","",IFERROR(Q120/(1/(1/INDEX(CONFIG!$I$5:$I$14,MATCH(D120,CONFIG!$D$5:$D$14,0)))),""))</f>
        <v/>
      </c>
      <c r="T120" s="13"/>
      <c r="U120" s="13"/>
      <c r="V120" s="13"/>
      <c r="W120" s="13"/>
      <c r="X120" s="22" t="n">
        <f aca="false">IF(Q120="","",Q120^2)</f>
        <v>4786.969103912</v>
      </c>
      <c r="Y120" s="22" t="str">
        <f aca="false">IF(AND(C120&lt;&gt;"",C120=CERTIFICADO!$E$4,OR(CERTIFICADO!$E$5="",B120=CERTIFICADO!$E$5)),MAX($Y$4:Y119)+1,"")</f>
        <v/>
      </c>
    </row>
    <row r="121" customFormat="false" ht="15" hidden="false" customHeight="false" outlineLevel="0" collapsed="false">
      <c r="A121" s="11" t="n">
        <f aca="false">IF(C121="","",ROW()-4)</f>
        <v>117</v>
      </c>
      <c r="B121" s="12" t="n">
        <v>45729</v>
      </c>
      <c r="C121" s="13" t="s">
        <v>174</v>
      </c>
      <c r="D121" s="23" t="str">
        <f aca="false">IF(C121="","",IFERROR(INDEX(LOTES!$D$5:$D$1004,MATCH(C121,LOTES!$F$5:$F$1004,0)),"¿Lote?"))</f>
        <v>Block 8"</v>
      </c>
      <c r="E121" s="11" t="str">
        <f aca="false">IF(C121="","",IFERROR(INDEX(LOTES!$C$5:$C$1004,MATCH(C121,LOTES!$F$5:$F$1004,0)),""))</f>
        <v>P1</v>
      </c>
      <c r="F121" s="24" t="n">
        <f aca="false">IF(C121="","",IFERROR(INDEX(LOTES!$B$5:$B$1004,MATCH(C121,LOTES!$F$5:$F$1004,0)),""))</f>
        <v>45723</v>
      </c>
      <c r="G121" s="15" t="n">
        <f aca="false">IF(OR(B121="",F121=""),"",B121-F121)</f>
        <v>6</v>
      </c>
      <c r="H121" s="13" t="s">
        <v>135</v>
      </c>
      <c r="I121" s="13" t="s">
        <v>131</v>
      </c>
      <c r="J121" s="13" t="s">
        <v>175</v>
      </c>
      <c r="K121" s="25" t="n">
        <v>19.5</v>
      </c>
      <c r="L121" s="25" t="n">
        <v>19.5</v>
      </c>
      <c r="M121" s="25" t="n">
        <v>39.5</v>
      </c>
      <c r="N121" s="25"/>
      <c r="O121" s="26" t="n">
        <v>51423</v>
      </c>
      <c r="P121" s="16" t="n">
        <f aca="false">IF(O121="","",IFERROR(1/(1/(IF(K121="",INDEX(CONFIG!$F$5:$F$14,MATCH(D121,CONFIG!$D$5:$D$14,0)),K121)*IF(M121="",INDEX(CONFIG!$H$5:$H$14,MATCH(D121,CONFIG!$D$5:$D$14,0)),M121))),""))</f>
        <v>770.25</v>
      </c>
      <c r="Q121" s="16" t="n">
        <f aca="false">IF(OR(O121="",P121=""),"",O121/P121)</f>
        <v>66.761441090555</v>
      </c>
      <c r="R121" s="16" t="n">
        <f aca="false">IF(Q121="","",Q121*0.0980665)</f>
        <v>6.54706086270691</v>
      </c>
      <c r="S121" s="16" t="str">
        <f aca="false">IF(Q121="","",IFERROR(Q121/(1/(1/INDEX(CONFIG!$I$5:$I$14,MATCH(D121,CONFIG!$D$5:$D$14,0)))),""))</f>
        <v/>
      </c>
      <c r="T121" s="13"/>
      <c r="U121" s="13"/>
      <c r="V121" s="13"/>
      <c r="W121" s="13"/>
      <c r="X121" s="22" t="n">
        <f aca="false">IF(Q121="","",Q121^2)</f>
        <v>4457.09001648765</v>
      </c>
      <c r="Y121" s="22" t="str">
        <f aca="false">IF(AND(C121&lt;&gt;"",C121=CERTIFICADO!$E$4,OR(CERTIFICADO!$E$5="",B121=CERTIFICADO!$E$5)),MAX($Y$4:Y120)+1,"")</f>
        <v/>
      </c>
    </row>
    <row r="122" customFormat="false" ht="15" hidden="false" customHeight="false" outlineLevel="0" collapsed="false">
      <c r="A122" s="11" t="n">
        <f aca="false">IF(C122="","",ROW()-4)</f>
        <v>118</v>
      </c>
      <c r="B122" s="12" t="n">
        <v>45729</v>
      </c>
      <c r="C122" s="13" t="s">
        <v>174</v>
      </c>
      <c r="D122" s="23" t="str">
        <f aca="false">IF(C122="","",IFERROR(INDEX(LOTES!$D$5:$D$1004,MATCH(C122,LOTES!$F$5:$F$1004,0)),"¿Lote?"))</f>
        <v>Block 8"</v>
      </c>
      <c r="E122" s="11" t="str">
        <f aca="false">IF(C122="","",IFERROR(INDEX(LOTES!$C$5:$C$1004,MATCH(C122,LOTES!$F$5:$F$1004,0)),""))</f>
        <v>P1</v>
      </c>
      <c r="F122" s="24" t="n">
        <f aca="false">IF(C122="","",IFERROR(INDEX(LOTES!$B$5:$B$1004,MATCH(C122,LOTES!$F$5:$F$1004,0)),""))</f>
        <v>45723</v>
      </c>
      <c r="G122" s="15" t="n">
        <f aca="false">IF(OR(B122="",F122=""),"",B122-F122)</f>
        <v>6</v>
      </c>
      <c r="H122" s="13" t="s">
        <v>135</v>
      </c>
      <c r="I122" s="13" t="s">
        <v>131</v>
      </c>
      <c r="J122" s="13" t="s">
        <v>175</v>
      </c>
      <c r="K122" s="25" t="n">
        <v>19.5</v>
      </c>
      <c r="L122" s="25" t="n">
        <v>19.5</v>
      </c>
      <c r="M122" s="25" t="n">
        <v>39.5</v>
      </c>
      <c r="N122" s="25"/>
      <c r="O122" s="26" t="n">
        <v>62695</v>
      </c>
      <c r="P122" s="16" t="n">
        <f aca="false">IF(O122="","",IFERROR(1/(1/(IF(K122="",INDEX(CONFIG!$F$5:$F$14,MATCH(D122,CONFIG!$D$5:$D$14,0)),K122)*IF(M122="",INDEX(CONFIG!$H$5:$H$14,MATCH(D122,CONFIG!$D$5:$D$14,0)),M122))),""))</f>
        <v>770.25</v>
      </c>
      <c r="Q122" s="16" t="n">
        <f aca="false">IF(OR(O122="",P122=""),"",O122/P122)</f>
        <v>81.3956507627394</v>
      </c>
      <c r="R122" s="16" t="n">
        <f aca="false">IF(Q122="","",Q122*0.0980665)</f>
        <v>7.98218658552418</v>
      </c>
      <c r="S122" s="16" t="str">
        <f aca="false">IF(Q122="","",IFERROR(Q122/(1/(1/INDEX(CONFIG!$I$5:$I$14,MATCH(D122,CONFIG!$D$5:$D$14,0)))),""))</f>
        <v/>
      </c>
      <c r="T122" s="13"/>
      <c r="U122" s="13"/>
      <c r="V122" s="13"/>
      <c r="W122" s="13"/>
      <c r="X122" s="22" t="n">
        <f aca="false">IF(Q122="","",Q122^2)</f>
        <v>6625.25196308983</v>
      </c>
      <c r="Y122" s="22" t="str">
        <f aca="false">IF(AND(C122&lt;&gt;"",C122=CERTIFICADO!$E$4,OR(CERTIFICADO!$E$5="",B122=CERTIFICADO!$E$5)),MAX($Y$4:Y121)+1,"")</f>
        <v/>
      </c>
    </row>
    <row r="123" customFormat="false" ht="15" hidden="false" customHeight="false" outlineLevel="0" collapsed="false">
      <c r="A123" s="11" t="n">
        <f aca="false">IF(C123="","",ROW()-4)</f>
        <v>119</v>
      </c>
      <c r="B123" s="12" t="n">
        <v>45729</v>
      </c>
      <c r="C123" s="13" t="s">
        <v>174</v>
      </c>
      <c r="D123" s="23" t="str">
        <f aca="false">IF(C123="","",IFERROR(INDEX(LOTES!$D$5:$D$1004,MATCH(C123,LOTES!$F$5:$F$1004,0)),"¿Lote?"))</f>
        <v>Block 8"</v>
      </c>
      <c r="E123" s="11" t="str">
        <f aca="false">IF(C123="","",IFERROR(INDEX(LOTES!$C$5:$C$1004,MATCH(C123,LOTES!$F$5:$F$1004,0)),""))</f>
        <v>P1</v>
      </c>
      <c r="F123" s="24" t="n">
        <f aca="false">IF(C123="","",IFERROR(INDEX(LOTES!$B$5:$B$1004,MATCH(C123,LOTES!$F$5:$F$1004,0)),""))</f>
        <v>45723</v>
      </c>
      <c r="G123" s="15" t="n">
        <f aca="false">IF(OR(B123="",F123=""),"",B123-F123)</f>
        <v>6</v>
      </c>
      <c r="H123" s="13" t="s">
        <v>135</v>
      </c>
      <c r="I123" s="13" t="s">
        <v>131</v>
      </c>
      <c r="J123" s="13" t="s">
        <v>175</v>
      </c>
      <c r="K123" s="25" t="n">
        <v>19.5</v>
      </c>
      <c r="L123" s="25" t="n">
        <v>19.5</v>
      </c>
      <c r="M123" s="25" t="n">
        <v>39.5</v>
      </c>
      <c r="N123" s="25"/>
      <c r="O123" s="26" t="n">
        <v>49632</v>
      </c>
      <c r="P123" s="16" t="n">
        <f aca="false">IF(O123="","",IFERROR(1/(1/(IF(K123="",INDEX(CONFIG!$F$5:$F$14,MATCH(D123,CONFIG!$D$5:$D$14,0)),K123)*IF(M123="",INDEX(CONFIG!$H$5:$H$14,MATCH(D123,CONFIG!$D$5:$D$14,0)),M123))),""))</f>
        <v>770.25</v>
      </c>
      <c r="Q123" s="16" t="n">
        <f aca="false">IF(OR(O123="",P123=""),"",O123/P123)</f>
        <v>64.4362220058423</v>
      </c>
      <c r="R123" s="16" t="n">
        <f aca="false">IF(Q123="","",Q123*0.0980665)</f>
        <v>6.31903476533593</v>
      </c>
      <c r="S123" s="16" t="str">
        <f aca="false">IF(Q123="","",IFERROR(Q123/(1/(1/INDEX(CONFIG!$I$5:$I$14,MATCH(D123,CONFIG!$D$5:$D$14,0)))),""))</f>
        <v/>
      </c>
      <c r="T123" s="13"/>
      <c r="U123" s="13"/>
      <c r="V123" s="13"/>
      <c r="W123" s="13"/>
      <c r="X123" s="22" t="n">
        <f aca="false">IF(Q123="","",Q123^2)</f>
        <v>4152.02670638619</v>
      </c>
      <c r="Y123" s="22" t="str">
        <f aca="false">IF(AND(C123&lt;&gt;"",C123=CERTIFICADO!$E$4,OR(CERTIFICADO!$E$5="",B123=CERTIFICADO!$E$5)),MAX($Y$4:Y122)+1,"")</f>
        <v/>
      </c>
    </row>
    <row r="124" customFormat="false" ht="15" hidden="false" customHeight="false" outlineLevel="0" collapsed="false">
      <c r="A124" s="11" t="n">
        <f aca="false">IF(C124="","",ROW()-4)</f>
        <v>120</v>
      </c>
      <c r="B124" s="12" t="n">
        <v>45729</v>
      </c>
      <c r="C124" s="13" t="s">
        <v>174</v>
      </c>
      <c r="D124" s="23" t="str">
        <f aca="false">IF(C124="","",IFERROR(INDEX(LOTES!$D$5:$D$1004,MATCH(C124,LOTES!$F$5:$F$1004,0)),"¿Lote?"))</f>
        <v>Block 8"</v>
      </c>
      <c r="E124" s="11" t="str">
        <f aca="false">IF(C124="","",IFERROR(INDEX(LOTES!$C$5:$C$1004,MATCH(C124,LOTES!$F$5:$F$1004,0)),""))</f>
        <v>P1</v>
      </c>
      <c r="F124" s="24" t="n">
        <f aca="false">IF(C124="","",IFERROR(INDEX(LOTES!$B$5:$B$1004,MATCH(C124,LOTES!$F$5:$F$1004,0)),""))</f>
        <v>45723</v>
      </c>
      <c r="G124" s="15" t="n">
        <f aca="false">IF(OR(B124="",F124=""),"",B124-F124)</f>
        <v>6</v>
      </c>
      <c r="H124" s="13" t="s">
        <v>135</v>
      </c>
      <c r="I124" s="13" t="s">
        <v>131</v>
      </c>
      <c r="J124" s="13" t="s">
        <v>175</v>
      </c>
      <c r="K124" s="25" t="n">
        <v>19.5</v>
      </c>
      <c r="L124" s="25" t="n">
        <v>19.5</v>
      </c>
      <c r="M124" s="25" t="n">
        <v>39.5</v>
      </c>
      <c r="N124" s="25"/>
      <c r="O124" s="26" t="n">
        <v>59633</v>
      </c>
      <c r="P124" s="16" t="n">
        <f aca="false">IF(O124="","",IFERROR(1/(1/(IF(K124="",INDEX(CONFIG!$F$5:$F$14,MATCH(D124,CONFIG!$D$5:$D$14,0)),K124)*IF(M124="",INDEX(CONFIG!$H$5:$H$14,MATCH(D124,CONFIG!$D$5:$D$14,0)),M124))),""))</f>
        <v>770.25</v>
      </c>
      <c r="Q124" s="16" t="n">
        <f aca="false">IF(OR(O124="",P124=""),"",O124/P124)</f>
        <v>77.4203180785459</v>
      </c>
      <c r="R124" s="16" t="n">
        <f aca="false">IF(Q124="","",Q124*0.0980665)</f>
        <v>7.59233962284973</v>
      </c>
      <c r="S124" s="16" t="str">
        <f aca="false">IF(Q124="","",IFERROR(Q124/(1/(1/INDEX(CONFIG!$I$5:$I$14,MATCH(D124,CONFIG!$D$5:$D$14,0)))),""))</f>
        <v/>
      </c>
      <c r="T124" s="13"/>
      <c r="U124" s="13"/>
      <c r="V124" s="13"/>
      <c r="W124" s="13"/>
      <c r="X124" s="22" t="n">
        <f aca="false">IF(Q124="","",Q124^2)</f>
        <v>5993.90565138323</v>
      </c>
      <c r="Y124" s="22" t="str">
        <f aca="false">IF(AND(C124&lt;&gt;"",C124=CERTIFICADO!$E$4,OR(CERTIFICADO!$E$5="",B124=CERTIFICADO!$E$5)),MAX($Y$4:Y123)+1,"")</f>
        <v/>
      </c>
    </row>
    <row r="125" customFormat="false" ht="15" hidden="false" customHeight="false" outlineLevel="0" collapsed="false">
      <c r="A125" s="11" t="n">
        <f aca="false">IF(C125="","",ROW()-4)</f>
        <v>121</v>
      </c>
      <c r="B125" s="12" t="n">
        <v>45733</v>
      </c>
      <c r="C125" s="13" t="s">
        <v>176</v>
      </c>
      <c r="D125" s="23" t="str">
        <f aca="false">IF(C125="","",IFERROR(INDEX(LOTES!$D$5:$D$1004,MATCH(C125,LOTES!$F$5:$F$1004,0)),"¿Lote?"))</f>
        <v>Block 6"</v>
      </c>
      <c r="E125" s="11" t="str">
        <f aca="false">IF(C125="","",IFERROR(INDEX(LOTES!$C$5:$C$1004,MATCH(C125,LOTES!$F$5:$F$1004,0)),""))</f>
        <v>P2</v>
      </c>
      <c r="F125" s="24" t="n">
        <f aca="false">IF(C125="","",IFERROR(INDEX(LOTES!$B$5:$B$1004,MATCH(C125,LOTES!$F$5:$F$1004,0)),""))</f>
        <v>45730</v>
      </c>
      <c r="G125" s="15" t="n">
        <f aca="false">IF(OR(B125="",F125=""),"",B125-F125)</f>
        <v>3</v>
      </c>
      <c r="H125" s="13" t="s">
        <v>135</v>
      </c>
      <c r="I125" s="13" t="s">
        <v>131</v>
      </c>
      <c r="J125" s="13" t="s">
        <v>177</v>
      </c>
      <c r="K125" s="25" t="n">
        <v>14.5</v>
      </c>
      <c r="L125" s="25" t="n">
        <v>19.5</v>
      </c>
      <c r="M125" s="25" t="n">
        <v>39.5</v>
      </c>
      <c r="N125" s="25"/>
      <c r="O125" s="26" t="n">
        <v>41168</v>
      </c>
      <c r="P125" s="16" t="n">
        <f aca="false">IF(O125="","",IFERROR(1/(1/(IF(K125="",INDEX(CONFIG!$F$5:$F$14,MATCH(D125,CONFIG!$D$5:$D$14,0)),K125)*IF(M125="",INDEX(CONFIG!$H$5:$H$14,MATCH(D125,CONFIG!$D$5:$D$14,0)),M125))),""))</f>
        <v>572.75</v>
      </c>
      <c r="Q125" s="16" t="n">
        <f aca="false">IF(OR(O125="",P125=""),"",O125/P125)</f>
        <v>71.8777826276735</v>
      </c>
      <c r="R125" s="16" t="n">
        <f aca="false">IF(Q125="","",Q125*0.0980665)</f>
        <v>7.04880257005674</v>
      </c>
      <c r="S125" s="16" t="str">
        <f aca="false">IF(Q125="","",IFERROR(Q125/(1/(1/INDEX(CONFIG!$I$5:$I$14,MATCH(D125,CONFIG!$D$5:$D$14,0)))),""))</f>
        <v/>
      </c>
      <c r="T125" s="13"/>
      <c r="U125" s="13"/>
      <c r="V125" s="13"/>
      <c r="W125" s="13"/>
      <c r="X125" s="22" t="n">
        <f aca="false">IF(Q125="","",Q125^2)</f>
        <v>5166.41563547108</v>
      </c>
      <c r="Y125" s="22" t="str">
        <f aca="false">IF(AND(C125&lt;&gt;"",C125=CERTIFICADO!$E$4,OR(CERTIFICADO!$E$5="",B125=CERTIFICADO!$E$5)),MAX($Y$4:Y124)+1,"")</f>
        <v/>
      </c>
    </row>
    <row r="126" customFormat="false" ht="15" hidden="false" customHeight="false" outlineLevel="0" collapsed="false">
      <c r="A126" s="11" t="n">
        <f aca="false">IF(C126="","",ROW()-4)</f>
        <v>122</v>
      </c>
      <c r="B126" s="12" t="n">
        <v>45733</v>
      </c>
      <c r="C126" s="13" t="s">
        <v>176</v>
      </c>
      <c r="D126" s="23" t="str">
        <f aca="false">IF(C126="","",IFERROR(INDEX(LOTES!$D$5:$D$1004,MATCH(C126,LOTES!$F$5:$F$1004,0)),"¿Lote?"))</f>
        <v>Block 6"</v>
      </c>
      <c r="E126" s="11" t="str">
        <f aca="false">IF(C126="","",IFERROR(INDEX(LOTES!$C$5:$C$1004,MATCH(C126,LOTES!$F$5:$F$1004,0)),""))</f>
        <v>P2</v>
      </c>
      <c r="F126" s="24" t="n">
        <f aca="false">IF(C126="","",IFERROR(INDEX(LOTES!$B$5:$B$1004,MATCH(C126,LOTES!$F$5:$F$1004,0)),""))</f>
        <v>45730</v>
      </c>
      <c r="G126" s="15" t="n">
        <f aca="false">IF(OR(B126="",F126=""),"",B126-F126)</f>
        <v>3</v>
      </c>
      <c r="H126" s="13" t="s">
        <v>135</v>
      </c>
      <c r="I126" s="13" t="s">
        <v>131</v>
      </c>
      <c r="J126" s="13" t="s">
        <v>177</v>
      </c>
      <c r="K126" s="25" t="n">
        <v>14.5</v>
      </c>
      <c r="L126" s="25" t="n">
        <v>19.5</v>
      </c>
      <c r="M126" s="25" t="n">
        <v>39.5</v>
      </c>
      <c r="N126" s="25"/>
      <c r="O126" s="26" t="n">
        <v>42188</v>
      </c>
      <c r="P126" s="16" t="n">
        <f aca="false">IF(O126="","",IFERROR(1/(1/(IF(K126="",INDEX(CONFIG!$F$5:$F$14,MATCH(D126,CONFIG!$D$5:$D$14,0)),K126)*IF(M126="",INDEX(CONFIG!$H$5:$H$14,MATCH(D126,CONFIG!$D$5:$D$14,0)),M126))),""))</f>
        <v>572.75</v>
      </c>
      <c r="Q126" s="16" t="n">
        <f aca="false">IF(OR(O126="",P126=""),"",O126/P126)</f>
        <v>73.6586643387167</v>
      </c>
      <c r="R126" s="16" t="n">
        <f aca="false">IF(Q126="","",Q126*0.0980665)</f>
        <v>7.22344740637276</v>
      </c>
      <c r="S126" s="16" t="str">
        <f aca="false">IF(Q126="","",IFERROR(Q126/(1/(1/INDEX(CONFIG!$I$5:$I$14,MATCH(D126,CONFIG!$D$5:$D$14,0)))),""))</f>
        <v/>
      </c>
      <c r="T126" s="13"/>
      <c r="U126" s="13"/>
      <c r="V126" s="13"/>
      <c r="W126" s="13"/>
      <c r="X126" s="22" t="n">
        <f aca="false">IF(Q126="","",Q126^2)</f>
        <v>5425.59883216374</v>
      </c>
      <c r="Y126" s="22" t="str">
        <f aca="false">IF(AND(C126&lt;&gt;"",C126=CERTIFICADO!$E$4,OR(CERTIFICADO!$E$5="",B126=CERTIFICADO!$E$5)),MAX($Y$4:Y125)+1,"")</f>
        <v/>
      </c>
    </row>
    <row r="127" customFormat="false" ht="15" hidden="false" customHeight="false" outlineLevel="0" collapsed="false">
      <c r="A127" s="11" t="n">
        <f aca="false">IF(C127="","",ROW()-4)</f>
        <v>123</v>
      </c>
      <c r="B127" s="12" t="n">
        <v>45733</v>
      </c>
      <c r="C127" s="13" t="s">
        <v>176</v>
      </c>
      <c r="D127" s="23" t="str">
        <f aca="false">IF(C127="","",IFERROR(INDEX(LOTES!$D$5:$D$1004,MATCH(C127,LOTES!$F$5:$F$1004,0)),"¿Lote?"))</f>
        <v>Block 6"</v>
      </c>
      <c r="E127" s="11" t="str">
        <f aca="false">IF(C127="","",IFERROR(INDEX(LOTES!$C$5:$C$1004,MATCH(C127,LOTES!$F$5:$F$1004,0)),""))</f>
        <v>P2</v>
      </c>
      <c r="F127" s="24" t="n">
        <f aca="false">IF(C127="","",IFERROR(INDEX(LOTES!$B$5:$B$1004,MATCH(C127,LOTES!$F$5:$F$1004,0)),""))</f>
        <v>45730</v>
      </c>
      <c r="G127" s="15" t="n">
        <f aca="false">IF(OR(B127="",F127=""),"",B127-F127)</f>
        <v>3</v>
      </c>
      <c r="H127" s="13" t="s">
        <v>135</v>
      </c>
      <c r="I127" s="13" t="s">
        <v>131</v>
      </c>
      <c r="J127" s="13" t="s">
        <v>177</v>
      </c>
      <c r="K127" s="25" t="n">
        <v>14.5</v>
      </c>
      <c r="L127" s="25" t="n">
        <v>19.5</v>
      </c>
      <c r="M127" s="25" t="n">
        <v>39.5</v>
      </c>
      <c r="N127" s="25"/>
      <c r="O127" s="26" t="n">
        <v>40360</v>
      </c>
      <c r="P127" s="16" t="n">
        <f aca="false">IF(O127="","",IFERROR(1/(1/(IF(K127="",INDEX(CONFIG!$F$5:$F$14,MATCH(D127,CONFIG!$D$5:$D$14,0)),K127)*IF(M127="",INDEX(CONFIG!$H$5:$H$14,MATCH(D127,CONFIG!$D$5:$D$14,0)),M127))),""))</f>
        <v>572.75</v>
      </c>
      <c r="Q127" s="16" t="n">
        <f aca="false">IF(OR(O127="",P127=""),"",O127/P127)</f>
        <v>70.4670449585334</v>
      </c>
      <c r="R127" s="16" t="n">
        <f aca="false">IF(Q127="","",Q127*0.0980665)</f>
        <v>6.91045646442602</v>
      </c>
      <c r="S127" s="16" t="str">
        <f aca="false">IF(Q127="","",IFERROR(Q127/(1/(1/INDEX(CONFIG!$I$5:$I$14,MATCH(D127,CONFIG!$D$5:$D$14,0)))),""))</f>
        <v/>
      </c>
      <c r="T127" s="13"/>
      <c r="U127" s="13"/>
      <c r="V127" s="13"/>
      <c r="W127" s="13"/>
      <c r="X127" s="22" t="n">
        <f aca="false">IF(Q127="","",Q127^2)</f>
        <v>4965.60442518797</v>
      </c>
      <c r="Y127" s="22" t="str">
        <f aca="false">IF(AND(C127&lt;&gt;"",C127=CERTIFICADO!$E$4,OR(CERTIFICADO!$E$5="",B127=CERTIFICADO!$E$5)),MAX($Y$4:Y126)+1,"")</f>
        <v/>
      </c>
    </row>
    <row r="128" customFormat="false" ht="15" hidden="false" customHeight="false" outlineLevel="0" collapsed="false">
      <c r="A128" s="11" t="n">
        <f aca="false">IF(C128="","",ROW()-4)</f>
        <v>124</v>
      </c>
      <c r="B128" s="12" t="n">
        <v>45733</v>
      </c>
      <c r="C128" s="13" t="s">
        <v>176</v>
      </c>
      <c r="D128" s="23" t="str">
        <f aca="false">IF(C128="","",IFERROR(INDEX(LOTES!$D$5:$D$1004,MATCH(C128,LOTES!$F$5:$F$1004,0)),"¿Lote?"))</f>
        <v>Block 6"</v>
      </c>
      <c r="E128" s="11" t="str">
        <f aca="false">IF(C128="","",IFERROR(INDEX(LOTES!$C$5:$C$1004,MATCH(C128,LOTES!$F$5:$F$1004,0)),""))</f>
        <v>P2</v>
      </c>
      <c r="F128" s="24" t="n">
        <f aca="false">IF(C128="","",IFERROR(INDEX(LOTES!$B$5:$B$1004,MATCH(C128,LOTES!$F$5:$F$1004,0)),""))</f>
        <v>45730</v>
      </c>
      <c r="G128" s="15" t="n">
        <f aca="false">IF(OR(B128="",F128=""),"",B128-F128)</f>
        <v>3</v>
      </c>
      <c r="H128" s="13" t="s">
        <v>135</v>
      </c>
      <c r="I128" s="13" t="s">
        <v>131</v>
      </c>
      <c r="J128" s="13" t="s">
        <v>177</v>
      </c>
      <c r="K128" s="25" t="n">
        <v>14.5</v>
      </c>
      <c r="L128" s="25" t="n">
        <v>19.5</v>
      </c>
      <c r="M128" s="25" t="n">
        <v>39.5</v>
      </c>
      <c r="N128" s="25"/>
      <c r="O128" s="26" t="n">
        <v>36545</v>
      </c>
      <c r="P128" s="16" t="n">
        <f aca="false">IF(O128="","",IFERROR(1/(1/(IF(K128="",INDEX(CONFIG!$F$5:$F$14,MATCH(D128,CONFIG!$D$5:$D$14,0)),K128)*IF(M128="",INDEX(CONFIG!$H$5:$H$14,MATCH(D128,CONFIG!$D$5:$D$14,0)),M128))),""))</f>
        <v>572.75</v>
      </c>
      <c r="Q128" s="16" t="n">
        <f aca="false">IF(OR(O128="",P128=""),"",O128/P128)</f>
        <v>63.8061981667394</v>
      </c>
      <c r="R128" s="16" t="n">
        <f aca="false">IF(Q128="","",Q128*0.0980665)</f>
        <v>6.25725053251855</v>
      </c>
      <c r="S128" s="16" t="str">
        <f aca="false">IF(Q128="","",IFERROR(Q128/(1/(1/INDEX(CONFIG!$I$5:$I$14,MATCH(D128,CONFIG!$D$5:$D$14,0)))),""))</f>
        <v/>
      </c>
      <c r="T128" s="13"/>
      <c r="U128" s="13"/>
      <c r="V128" s="13"/>
      <c r="W128" s="13"/>
      <c r="X128" s="22" t="n">
        <f aca="false">IF(Q128="","",Q128^2)</f>
        <v>4071.23092449322</v>
      </c>
      <c r="Y128" s="22" t="str">
        <f aca="false">IF(AND(C128&lt;&gt;"",C128=CERTIFICADO!$E$4,OR(CERTIFICADO!$E$5="",B128=CERTIFICADO!$E$5)),MAX($Y$4:Y127)+1,"")</f>
        <v/>
      </c>
    </row>
    <row r="129" customFormat="false" ht="15" hidden="false" customHeight="false" outlineLevel="0" collapsed="false">
      <c r="A129" s="11" t="n">
        <f aca="false">IF(C129="","",ROW()-4)</f>
        <v>125</v>
      </c>
      <c r="B129" s="12" t="n">
        <v>45735</v>
      </c>
      <c r="C129" s="13" t="s">
        <v>178</v>
      </c>
      <c r="D129" s="23" t="str">
        <f aca="false">IF(C129="","",IFERROR(INDEX(LOTES!$D$5:$D$1004,MATCH(C129,LOTES!$F$5:$F$1004,0)),"¿Lote?"))</f>
        <v>Block 8"</v>
      </c>
      <c r="E129" s="11" t="str">
        <f aca="false">IF(C129="","",IFERROR(INDEX(LOTES!$C$5:$C$1004,MATCH(C129,LOTES!$F$5:$F$1004,0)),""))</f>
        <v>P1</v>
      </c>
      <c r="F129" s="24" t="n">
        <f aca="false">IF(C129="","",IFERROR(INDEX(LOTES!$B$5:$B$1004,MATCH(C129,LOTES!$F$5:$F$1004,0)),""))</f>
        <v>45730</v>
      </c>
      <c r="G129" s="15" t="n">
        <f aca="false">IF(OR(B129="",F129=""),"",B129-F129)</f>
        <v>5</v>
      </c>
      <c r="H129" s="13" t="s">
        <v>135</v>
      </c>
      <c r="I129" s="13" t="s">
        <v>131</v>
      </c>
      <c r="J129" s="13" t="s">
        <v>179</v>
      </c>
      <c r="K129" s="25" t="n">
        <v>19.5</v>
      </c>
      <c r="L129" s="25" t="n">
        <v>19.5</v>
      </c>
      <c r="M129" s="25" t="n">
        <v>39.5</v>
      </c>
      <c r="N129" s="25"/>
      <c r="O129" s="26" t="n">
        <v>60051</v>
      </c>
      <c r="P129" s="16" t="n">
        <f aca="false">IF(O129="","",IFERROR(1/(1/(IF(K129="",INDEX(CONFIG!$F$5:$F$14,MATCH(D129,CONFIG!$D$5:$D$14,0)),K129)*IF(M129="",INDEX(CONFIG!$H$5:$H$14,MATCH(D129,CONFIG!$D$5:$D$14,0)),M129))),""))</f>
        <v>770.25</v>
      </c>
      <c r="Q129" s="16" t="n">
        <f aca="false">IF(OR(O129="",P129=""),"",O129/P129)</f>
        <v>77.9629990262902</v>
      </c>
      <c r="R129" s="16" t="n">
        <f aca="false">IF(Q129="","",Q129*0.0980665)</f>
        <v>7.64555844401169</v>
      </c>
      <c r="S129" s="16" t="str">
        <f aca="false">IF(Q129="","",IFERROR(Q129/(1/(1/INDEX(CONFIG!$I$5:$I$14,MATCH(D129,CONFIG!$D$5:$D$14,0)))),""))</f>
        <v/>
      </c>
      <c r="T129" s="13"/>
      <c r="U129" s="13"/>
      <c r="V129" s="13"/>
      <c r="W129" s="13"/>
      <c r="X129" s="22" t="n">
        <f aca="false">IF(Q129="","",Q129^2)</f>
        <v>6078.22921717332</v>
      </c>
      <c r="Y129" s="22" t="str">
        <f aca="false">IF(AND(C129&lt;&gt;"",C129=CERTIFICADO!$E$4,OR(CERTIFICADO!$E$5="",B129=CERTIFICADO!$E$5)),MAX($Y$4:Y128)+1,"")</f>
        <v/>
      </c>
    </row>
    <row r="130" customFormat="false" ht="15" hidden="false" customHeight="false" outlineLevel="0" collapsed="false">
      <c r="A130" s="11" t="n">
        <f aca="false">IF(C130="","",ROW()-4)</f>
        <v>126</v>
      </c>
      <c r="B130" s="12" t="n">
        <v>45735</v>
      </c>
      <c r="C130" s="13" t="s">
        <v>178</v>
      </c>
      <c r="D130" s="23" t="str">
        <f aca="false">IF(C130="","",IFERROR(INDEX(LOTES!$D$5:$D$1004,MATCH(C130,LOTES!$F$5:$F$1004,0)),"¿Lote?"))</f>
        <v>Block 8"</v>
      </c>
      <c r="E130" s="11" t="str">
        <f aca="false">IF(C130="","",IFERROR(INDEX(LOTES!$C$5:$C$1004,MATCH(C130,LOTES!$F$5:$F$1004,0)),""))</f>
        <v>P1</v>
      </c>
      <c r="F130" s="24" t="n">
        <f aca="false">IF(C130="","",IFERROR(INDEX(LOTES!$B$5:$B$1004,MATCH(C130,LOTES!$F$5:$F$1004,0)),""))</f>
        <v>45730</v>
      </c>
      <c r="G130" s="15" t="n">
        <f aca="false">IF(OR(B130="",F130=""),"",B130-F130)</f>
        <v>5</v>
      </c>
      <c r="H130" s="13" t="s">
        <v>135</v>
      </c>
      <c r="I130" s="13" t="s">
        <v>131</v>
      </c>
      <c r="J130" s="13" t="s">
        <v>179</v>
      </c>
      <c r="K130" s="25" t="n">
        <v>19.5</v>
      </c>
      <c r="L130" s="25" t="n">
        <v>19.5</v>
      </c>
      <c r="M130" s="25" t="n">
        <v>39.5</v>
      </c>
      <c r="N130" s="25"/>
      <c r="O130" s="26" t="n">
        <v>44111</v>
      </c>
      <c r="P130" s="16" t="n">
        <f aca="false">IF(O130="","",IFERROR(1/(1/(IF(K130="",INDEX(CONFIG!$F$5:$F$14,MATCH(D130,CONFIG!$D$5:$D$14,0)),K130)*IF(M130="",INDEX(CONFIG!$H$5:$H$14,MATCH(D130,CONFIG!$D$5:$D$14,0)),M130))),""))</f>
        <v>770.25</v>
      </c>
      <c r="Q130" s="16" t="n">
        <f aca="false">IF(OR(O130="",P130=""),"",O130/P130)</f>
        <v>57.2684193443687</v>
      </c>
      <c r="R130" s="16" t="n">
        <f aca="false">IF(Q130="","",Q130*0.0980665)</f>
        <v>5.61611344563453</v>
      </c>
      <c r="S130" s="16" t="str">
        <f aca="false">IF(Q130="","",IFERROR(Q130/(1/(1/INDEX(CONFIG!$I$5:$I$14,MATCH(D130,CONFIG!$D$5:$D$14,0)))),""))</f>
        <v/>
      </c>
      <c r="T130" s="13"/>
      <c r="U130" s="13"/>
      <c r="V130" s="13"/>
      <c r="W130" s="13"/>
      <c r="X130" s="22" t="n">
        <f aca="false">IF(Q130="","",Q130^2)</f>
        <v>3279.67185420246</v>
      </c>
      <c r="Y130" s="22" t="str">
        <f aca="false">IF(AND(C130&lt;&gt;"",C130=CERTIFICADO!$E$4,OR(CERTIFICADO!$E$5="",B130=CERTIFICADO!$E$5)),MAX($Y$4:Y129)+1,"")</f>
        <v/>
      </c>
    </row>
    <row r="131" customFormat="false" ht="15" hidden="false" customHeight="false" outlineLevel="0" collapsed="false">
      <c r="A131" s="11" t="n">
        <f aca="false">IF(C131="","",ROW()-4)</f>
        <v>127</v>
      </c>
      <c r="B131" s="12" t="n">
        <v>45735</v>
      </c>
      <c r="C131" s="13" t="s">
        <v>178</v>
      </c>
      <c r="D131" s="23" t="str">
        <f aca="false">IF(C131="","",IFERROR(INDEX(LOTES!$D$5:$D$1004,MATCH(C131,LOTES!$F$5:$F$1004,0)),"¿Lote?"))</f>
        <v>Block 8"</v>
      </c>
      <c r="E131" s="11" t="str">
        <f aca="false">IF(C131="","",IFERROR(INDEX(LOTES!$C$5:$C$1004,MATCH(C131,LOTES!$F$5:$F$1004,0)),""))</f>
        <v>P1</v>
      </c>
      <c r="F131" s="24" t="n">
        <f aca="false">IF(C131="","",IFERROR(INDEX(LOTES!$B$5:$B$1004,MATCH(C131,LOTES!$F$5:$F$1004,0)),""))</f>
        <v>45730</v>
      </c>
      <c r="G131" s="15" t="n">
        <f aca="false">IF(OR(B131="",F131=""),"",B131-F131)</f>
        <v>5</v>
      </c>
      <c r="H131" s="13" t="s">
        <v>135</v>
      </c>
      <c r="I131" s="13" t="s">
        <v>131</v>
      </c>
      <c r="J131" s="13" t="s">
        <v>179</v>
      </c>
      <c r="K131" s="25" t="n">
        <v>19.5</v>
      </c>
      <c r="L131" s="25" t="n">
        <v>19.5</v>
      </c>
      <c r="M131" s="25" t="n">
        <v>39.5</v>
      </c>
      <c r="N131" s="25"/>
      <c r="O131" s="26" t="n">
        <v>63235</v>
      </c>
      <c r="P131" s="16" t="n">
        <f aca="false">IF(O131="","",IFERROR(1/(1/(IF(K131="",INDEX(CONFIG!$F$5:$F$14,MATCH(D131,CONFIG!$D$5:$D$14,0)),K131)*IF(M131="",INDEX(CONFIG!$H$5:$H$14,MATCH(D131,CONFIG!$D$5:$D$14,0)),M131))),""))</f>
        <v>770.25</v>
      </c>
      <c r="Q131" s="16" t="n">
        <f aca="false">IF(OR(O131="",P131=""),"",O131/P131)</f>
        <v>82.0967218435573</v>
      </c>
      <c r="R131" s="16" t="n">
        <f aca="false">IF(Q131="","",Q131*0.0980665)</f>
        <v>8.05093817267121</v>
      </c>
      <c r="S131" s="16" t="str">
        <f aca="false">IF(Q131="","",IFERROR(Q131/(1/(1/INDEX(CONFIG!$I$5:$I$14,MATCH(D131,CONFIG!$D$5:$D$14,0)))),""))</f>
        <v/>
      </c>
      <c r="T131" s="13"/>
      <c r="U131" s="13"/>
      <c r="V131" s="13"/>
      <c r="W131" s="13"/>
      <c r="X131" s="22" t="n">
        <f aca="false">IF(Q131="","",Q131^2)</f>
        <v>6739.87173745842</v>
      </c>
      <c r="Y131" s="22" t="str">
        <f aca="false">IF(AND(C131&lt;&gt;"",C131=CERTIFICADO!$E$4,OR(CERTIFICADO!$E$5="",B131=CERTIFICADO!$E$5)),MAX($Y$4:Y130)+1,"")</f>
        <v/>
      </c>
    </row>
    <row r="132" customFormat="false" ht="15" hidden="false" customHeight="false" outlineLevel="0" collapsed="false">
      <c r="A132" s="11" t="n">
        <f aca="false">IF(C132="","",ROW()-4)</f>
        <v>128</v>
      </c>
      <c r="B132" s="12" t="n">
        <v>45735</v>
      </c>
      <c r="C132" s="13" t="s">
        <v>178</v>
      </c>
      <c r="D132" s="23" t="str">
        <f aca="false">IF(C132="","",IFERROR(INDEX(LOTES!$D$5:$D$1004,MATCH(C132,LOTES!$F$5:$F$1004,0)),"¿Lote?"))</f>
        <v>Block 8"</v>
      </c>
      <c r="E132" s="11" t="str">
        <f aca="false">IF(C132="","",IFERROR(INDEX(LOTES!$C$5:$C$1004,MATCH(C132,LOTES!$F$5:$F$1004,0)),""))</f>
        <v>P1</v>
      </c>
      <c r="F132" s="24" t="n">
        <f aca="false">IF(C132="","",IFERROR(INDEX(LOTES!$B$5:$B$1004,MATCH(C132,LOTES!$F$5:$F$1004,0)),""))</f>
        <v>45730</v>
      </c>
      <c r="G132" s="15" t="n">
        <f aca="false">IF(OR(B132="",F132=""),"",B132-F132)</f>
        <v>5</v>
      </c>
      <c r="H132" s="13" t="s">
        <v>135</v>
      </c>
      <c r="I132" s="13" t="s">
        <v>131</v>
      </c>
      <c r="J132" s="13" t="s">
        <v>179</v>
      </c>
      <c r="K132" s="25" t="n">
        <v>19.5</v>
      </c>
      <c r="L132" s="25" t="n">
        <v>19.5</v>
      </c>
      <c r="M132" s="25" t="n">
        <v>39.5</v>
      </c>
      <c r="N132" s="25"/>
      <c r="O132" s="26" t="n">
        <v>65385</v>
      </c>
      <c r="P132" s="16" t="n">
        <f aca="false">IF(O132="","",IFERROR(1/(1/(IF(K132="",INDEX(CONFIG!$F$5:$F$14,MATCH(D132,CONFIG!$D$5:$D$14,0)),K132)*IF(M132="",INDEX(CONFIG!$H$5:$H$14,MATCH(D132,CONFIG!$D$5:$D$14,0)),M132))),""))</f>
        <v>770.25</v>
      </c>
      <c r="Q132" s="16" t="n">
        <f aca="false">IF(OR(O132="",P132=""),"",O132/P132)</f>
        <v>84.888023369036</v>
      </c>
      <c r="R132" s="16" t="n">
        <f aca="false">IF(Q132="","",Q132*0.0980665)</f>
        <v>8.32467134371957</v>
      </c>
      <c r="S132" s="16" t="str">
        <f aca="false">IF(Q132="","",IFERROR(Q132/(1/(1/INDEX(CONFIG!$I$5:$I$14,MATCH(D132,CONFIG!$D$5:$D$14,0)))),""))</f>
        <v/>
      </c>
      <c r="T132" s="13"/>
      <c r="U132" s="13"/>
      <c r="V132" s="13"/>
      <c r="W132" s="13"/>
      <c r="X132" s="22" t="n">
        <f aca="false">IF(Q132="","",Q132^2)</f>
        <v>7205.97651150201</v>
      </c>
      <c r="Y132" s="22" t="str">
        <f aca="false">IF(AND(C132&lt;&gt;"",C132=CERTIFICADO!$E$4,OR(CERTIFICADO!$E$5="",B132=CERTIFICADO!$E$5)),MAX($Y$4:Y131)+1,"")</f>
        <v/>
      </c>
    </row>
    <row r="133" customFormat="false" ht="15" hidden="false" customHeight="false" outlineLevel="0" collapsed="false">
      <c r="A133" s="11" t="n">
        <f aca="false">IF(C133="","",ROW()-4)</f>
        <v>129</v>
      </c>
      <c r="B133" s="12" t="n">
        <v>45738</v>
      </c>
      <c r="C133" s="13" t="s">
        <v>180</v>
      </c>
      <c r="D133" s="23" t="str">
        <f aca="false">IF(C133="","",IFERROR(INDEX(LOTES!$D$5:$D$1004,MATCH(C133,LOTES!$F$5:$F$1004,0)),"¿Lote?"))</f>
        <v>Block 6"</v>
      </c>
      <c r="E133" s="11" t="str">
        <f aca="false">IF(C133="","",IFERROR(INDEX(LOTES!$C$5:$C$1004,MATCH(C133,LOTES!$F$5:$F$1004,0)),""))</f>
        <v>P2</v>
      </c>
      <c r="F133" s="24" t="n">
        <f aca="false">IF(C133="","",IFERROR(INDEX(LOTES!$B$5:$B$1004,MATCH(C133,LOTES!$F$5:$F$1004,0)),""))</f>
        <v>45736</v>
      </c>
      <c r="G133" s="15" t="n">
        <f aca="false">IF(OR(B133="",F133=""),"",B133-F133)</f>
        <v>2</v>
      </c>
      <c r="H133" s="13" t="s">
        <v>135</v>
      </c>
      <c r="I133" s="13" t="s">
        <v>131</v>
      </c>
      <c r="J133" s="13" t="s">
        <v>181</v>
      </c>
      <c r="K133" s="25" t="n">
        <v>14.5</v>
      </c>
      <c r="L133" s="25" t="n">
        <v>19.5</v>
      </c>
      <c r="M133" s="25" t="n">
        <v>39.5</v>
      </c>
      <c r="N133" s="25"/>
      <c r="O133" s="26" t="n">
        <v>39367</v>
      </c>
      <c r="P133" s="16" t="n">
        <f aca="false">IF(O133="","",IFERROR(1/(1/(IF(K133="",INDEX(CONFIG!$F$5:$F$14,MATCH(D133,CONFIG!$D$5:$D$14,0)),K133)*IF(M133="",INDEX(CONFIG!$H$5:$H$14,MATCH(D133,CONFIG!$D$5:$D$14,0)),M133))),""))</f>
        <v>572.75</v>
      </c>
      <c r="Q133" s="16" t="n">
        <f aca="false">IF(OR(O133="",P133=""),"",O133/P133)</f>
        <v>68.733304233959</v>
      </c>
      <c r="R133" s="16" t="n">
        <f aca="false">IF(Q133="","",Q133*0.0980665)</f>
        <v>6.74043457965954</v>
      </c>
      <c r="S133" s="16" t="str">
        <f aca="false">IF(Q133="","",IFERROR(Q133/(1/(1/INDEX(CONFIG!$I$5:$I$14,MATCH(D133,CONFIG!$D$5:$D$14,0)))),""))</f>
        <v/>
      </c>
      <c r="T133" s="13"/>
      <c r="U133" s="13"/>
      <c r="V133" s="13"/>
      <c r="W133" s="13"/>
      <c r="X133" s="22" t="n">
        <f aca="false">IF(Q133="","",Q133^2)</f>
        <v>4724.26711091796</v>
      </c>
      <c r="Y133" s="22" t="str">
        <f aca="false">IF(AND(C133&lt;&gt;"",C133=CERTIFICADO!$E$4,OR(CERTIFICADO!$E$5="",B133=CERTIFICADO!$E$5)),MAX($Y$4:Y132)+1,"")</f>
        <v/>
      </c>
    </row>
    <row r="134" customFormat="false" ht="15" hidden="false" customHeight="false" outlineLevel="0" collapsed="false">
      <c r="A134" s="11" t="n">
        <f aca="false">IF(C134="","",ROW()-4)</f>
        <v>130</v>
      </c>
      <c r="B134" s="12" t="n">
        <v>45738</v>
      </c>
      <c r="C134" s="13" t="s">
        <v>180</v>
      </c>
      <c r="D134" s="23" t="str">
        <f aca="false">IF(C134="","",IFERROR(INDEX(LOTES!$D$5:$D$1004,MATCH(C134,LOTES!$F$5:$F$1004,0)),"¿Lote?"))</f>
        <v>Block 6"</v>
      </c>
      <c r="E134" s="11" t="str">
        <f aca="false">IF(C134="","",IFERROR(INDEX(LOTES!$C$5:$C$1004,MATCH(C134,LOTES!$F$5:$F$1004,0)),""))</f>
        <v>P2</v>
      </c>
      <c r="F134" s="24" t="n">
        <f aca="false">IF(C134="","",IFERROR(INDEX(LOTES!$B$5:$B$1004,MATCH(C134,LOTES!$F$5:$F$1004,0)),""))</f>
        <v>45736</v>
      </c>
      <c r="G134" s="15" t="n">
        <f aca="false">IF(OR(B134="",F134=""),"",B134-F134)</f>
        <v>2</v>
      </c>
      <c r="H134" s="13" t="s">
        <v>135</v>
      </c>
      <c r="I134" s="13" t="s">
        <v>131</v>
      </c>
      <c r="J134" s="13" t="s">
        <v>181</v>
      </c>
      <c r="K134" s="25" t="n">
        <v>14.5</v>
      </c>
      <c r="L134" s="25" t="n">
        <v>19.5</v>
      </c>
      <c r="M134" s="25" t="n">
        <v>39.5</v>
      </c>
      <c r="N134" s="25"/>
      <c r="O134" s="26" t="n">
        <v>34586</v>
      </c>
      <c r="P134" s="16" t="n">
        <f aca="false">IF(O134="","",IFERROR(1/(1/(IF(K134="",INDEX(CONFIG!$F$5:$F$14,MATCH(D134,CONFIG!$D$5:$D$14,0)),K134)*IF(M134="",INDEX(CONFIG!$H$5:$H$14,MATCH(D134,CONFIG!$D$5:$D$14,0)),M134))),""))</f>
        <v>572.75</v>
      </c>
      <c r="Q134" s="16" t="n">
        <f aca="false">IF(OR(O134="",P134=""),"",O134/P134)</f>
        <v>60.3858577040594</v>
      </c>
      <c r="R134" s="16" t="n">
        <f aca="false">IF(Q134="","",Q134*0.0980665)</f>
        <v>5.92182971453514</v>
      </c>
      <c r="S134" s="16" t="str">
        <f aca="false">IF(Q134="","",IFERROR(Q134/(1/(1/INDEX(CONFIG!$I$5:$I$14,MATCH(D134,CONFIG!$D$5:$D$14,0)))),""))</f>
        <v/>
      </c>
      <c r="T134" s="13"/>
      <c r="U134" s="13"/>
      <c r="V134" s="13"/>
      <c r="W134" s="13"/>
      <c r="X134" s="22" t="n">
        <f aca="false">IF(Q134="","",Q134^2)</f>
        <v>3646.45181065491</v>
      </c>
      <c r="Y134" s="22" t="str">
        <f aca="false">IF(AND(C134&lt;&gt;"",C134=CERTIFICADO!$E$4,OR(CERTIFICADO!$E$5="",B134=CERTIFICADO!$E$5)),MAX($Y$4:Y133)+1,"")</f>
        <v/>
      </c>
    </row>
    <row r="135" customFormat="false" ht="15" hidden="false" customHeight="false" outlineLevel="0" collapsed="false">
      <c r="A135" s="11" t="n">
        <f aca="false">IF(C135="","",ROW()-4)</f>
        <v>131</v>
      </c>
      <c r="B135" s="12" t="n">
        <v>45738</v>
      </c>
      <c r="C135" s="13" t="s">
        <v>180</v>
      </c>
      <c r="D135" s="23" t="str">
        <f aca="false">IF(C135="","",IFERROR(INDEX(LOTES!$D$5:$D$1004,MATCH(C135,LOTES!$F$5:$F$1004,0)),"¿Lote?"))</f>
        <v>Block 6"</v>
      </c>
      <c r="E135" s="11" t="str">
        <f aca="false">IF(C135="","",IFERROR(INDEX(LOTES!$C$5:$C$1004,MATCH(C135,LOTES!$F$5:$F$1004,0)),""))</f>
        <v>P2</v>
      </c>
      <c r="F135" s="24" t="n">
        <f aca="false">IF(C135="","",IFERROR(INDEX(LOTES!$B$5:$B$1004,MATCH(C135,LOTES!$F$5:$F$1004,0)),""))</f>
        <v>45736</v>
      </c>
      <c r="G135" s="15" t="n">
        <f aca="false">IF(OR(B135="",F135=""),"",B135-F135)</f>
        <v>2</v>
      </c>
      <c r="H135" s="13" t="s">
        <v>135</v>
      </c>
      <c r="I135" s="13" t="s">
        <v>131</v>
      </c>
      <c r="J135" s="13" t="s">
        <v>181</v>
      </c>
      <c r="K135" s="25" t="n">
        <v>14.5</v>
      </c>
      <c r="L135" s="25" t="n">
        <v>19.5</v>
      </c>
      <c r="M135" s="25" t="n">
        <v>39.5</v>
      </c>
      <c r="N135" s="25"/>
      <c r="O135" s="26" t="n">
        <v>38931</v>
      </c>
      <c r="P135" s="16" t="n">
        <f aca="false">IF(O135="","",IFERROR(1/(1/(IF(K135="",INDEX(CONFIG!$F$5:$F$14,MATCH(D135,CONFIG!$D$5:$D$14,0)),K135)*IF(M135="",INDEX(CONFIG!$H$5:$H$14,MATCH(D135,CONFIG!$D$5:$D$14,0)),M135))),""))</f>
        <v>572.75</v>
      </c>
      <c r="Q135" s="16" t="n">
        <f aca="false">IF(OR(O135="",P135=""),"",O135/P135)</f>
        <v>67.9720646006111</v>
      </c>
      <c r="R135" s="16" t="n">
        <f aca="false">IF(Q135="","",Q135*0.0980665)</f>
        <v>6.66578247315583</v>
      </c>
      <c r="S135" s="16" t="str">
        <f aca="false">IF(Q135="","",IFERROR(Q135/(1/(1/INDEX(CONFIG!$I$5:$I$14,MATCH(D135,CONFIG!$D$5:$D$14,0)))),""))</f>
        <v/>
      </c>
      <c r="T135" s="13"/>
      <c r="U135" s="13"/>
      <c r="V135" s="13"/>
      <c r="W135" s="13"/>
      <c r="X135" s="22" t="n">
        <f aca="false">IF(Q135="","",Q135^2)</f>
        <v>4620.20156606965</v>
      </c>
      <c r="Y135" s="22" t="str">
        <f aca="false">IF(AND(C135&lt;&gt;"",C135=CERTIFICADO!$E$4,OR(CERTIFICADO!$E$5="",B135=CERTIFICADO!$E$5)),MAX($Y$4:Y134)+1,"")</f>
        <v/>
      </c>
    </row>
    <row r="136" customFormat="false" ht="15" hidden="false" customHeight="false" outlineLevel="0" collapsed="false">
      <c r="A136" s="11" t="n">
        <f aca="false">IF(C136="","",ROW()-4)</f>
        <v>132</v>
      </c>
      <c r="B136" s="12" t="n">
        <v>45738</v>
      </c>
      <c r="C136" s="13" t="s">
        <v>180</v>
      </c>
      <c r="D136" s="23" t="str">
        <f aca="false">IF(C136="","",IFERROR(INDEX(LOTES!$D$5:$D$1004,MATCH(C136,LOTES!$F$5:$F$1004,0)),"¿Lote?"))</f>
        <v>Block 6"</v>
      </c>
      <c r="E136" s="11" t="str">
        <f aca="false">IF(C136="","",IFERROR(INDEX(LOTES!$C$5:$C$1004,MATCH(C136,LOTES!$F$5:$F$1004,0)),""))</f>
        <v>P2</v>
      </c>
      <c r="F136" s="24" t="n">
        <f aca="false">IF(C136="","",IFERROR(INDEX(LOTES!$B$5:$B$1004,MATCH(C136,LOTES!$F$5:$F$1004,0)),""))</f>
        <v>45736</v>
      </c>
      <c r="G136" s="15" t="n">
        <f aca="false">IF(OR(B136="",F136=""),"",B136-F136)</f>
        <v>2</v>
      </c>
      <c r="H136" s="13" t="s">
        <v>135</v>
      </c>
      <c r="I136" s="13" t="s">
        <v>131</v>
      </c>
      <c r="J136" s="13" t="s">
        <v>181</v>
      </c>
      <c r="K136" s="25" t="n">
        <v>14.5</v>
      </c>
      <c r="L136" s="25" t="n">
        <v>19.5</v>
      </c>
      <c r="M136" s="25" t="n">
        <v>39.5</v>
      </c>
      <c r="N136" s="25"/>
      <c r="O136" s="26" t="n">
        <v>38079</v>
      </c>
      <c r="P136" s="16" t="n">
        <f aca="false">IF(O136="","",IFERROR(1/(1/(IF(K136="",INDEX(CONFIG!$F$5:$F$14,MATCH(D136,CONFIG!$D$5:$D$14,0)),K136)*IF(M136="",INDEX(CONFIG!$H$5:$H$14,MATCH(D136,CONFIG!$D$5:$D$14,0)),M136))),""))</f>
        <v>572.75</v>
      </c>
      <c r="Q136" s="16" t="n">
        <f aca="false">IF(OR(O136="",P136=""),"",O136/P136)</f>
        <v>66.4845045831515</v>
      </c>
      <c r="R136" s="16" t="n">
        <f aca="false">IF(Q136="","",Q136*0.0980665)</f>
        <v>6.51990266870362</v>
      </c>
      <c r="S136" s="16" t="str">
        <f aca="false">IF(Q136="","",IFERROR(Q136/(1/(1/INDEX(CONFIG!$I$5:$I$14,MATCH(D136,CONFIG!$D$5:$D$14,0)))),""))</f>
        <v/>
      </c>
      <c r="T136" s="13"/>
      <c r="U136" s="13"/>
      <c r="V136" s="13"/>
      <c r="W136" s="13"/>
      <c r="X136" s="22" t="n">
        <f aca="false">IF(Q136="","",Q136^2)</f>
        <v>4420.18934966709</v>
      </c>
      <c r="Y136" s="22" t="str">
        <f aca="false">IF(AND(C136&lt;&gt;"",C136=CERTIFICADO!$E$4,OR(CERTIFICADO!$E$5="",B136=CERTIFICADO!$E$5)),MAX($Y$4:Y135)+1,"")</f>
        <v/>
      </c>
    </row>
    <row r="137" customFormat="false" ht="15" hidden="false" customHeight="false" outlineLevel="0" collapsed="false">
      <c r="A137" s="11" t="n">
        <f aca="false">IF(C137="","",ROW()-4)</f>
        <v>133</v>
      </c>
      <c r="B137" s="12" t="n">
        <v>45740</v>
      </c>
      <c r="C137" s="13" t="s">
        <v>182</v>
      </c>
      <c r="D137" s="23" t="str">
        <f aca="false">IF(C137="","",IFERROR(INDEX(LOTES!$D$5:$D$1004,MATCH(C137,LOTES!$F$5:$F$1004,0)),"¿Lote?"))</f>
        <v>Block 8"</v>
      </c>
      <c r="E137" s="11" t="str">
        <f aca="false">IF(C137="","",IFERROR(INDEX(LOTES!$C$5:$C$1004,MATCH(C137,LOTES!$F$5:$F$1004,0)),""))</f>
        <v>P1</v>
      </c>
      <c r="F137" s="24" t="n">
        <f aca="false">IF(C137="","",IFERROR(INDEX(LOTES!$B$5:$B$1004,MATCH(C137,LOTES!$F$5:$F$1004,0)),""))</f>
        <v>45736</v>
      </c>
      <c r="G137" s="15" t="n">
        <f aca="false">IF(OR(B137="",F137=""),"",B137-F137)</f>
        <v>4</v>
      </c>
      <c r="H137" s="13" t="s">
        <v>135</v>
      </c>
      <c r="I137" s="13" t="s">
        <v>131</v>
      </c>
      <c r="J137" s="13" t="s">
        <v>179</v>
      </c>
      <c r="K137" s="25" t="n">
        <v>19.5</v>
      </c>
      <c r="L137" s="25" t="n">
        <v>19.5</v>
      </c>
      <c r="M137" s="25" t="n">
        <v>39.5</v>
      </c>
      <c r="N137" s="25"/>
      <c r="O137" s="26" t="n">
        <v>47128</v>
      </c>
      <c r="P137" s="16" t="n">
        <f aca="false">IF(O137="","",IFERROR(1/(1/(IF(K137="",INDEX(CONFIG!$F$5:$F$14,MATCH(D137,CONFIG!$D$5:$D$14,0)),K137)*IF(M137="",INDEX(CONFIG!$H$5:$H$14,MATCH(D137,CONFIG!$D$5:$D$14,0)),M137))),""))</f>
        <v>770.25</v>
      </c>
      <c r="Q137" s="16" t="n">
        <f aca="false">IF(OR(O137="",P137=""),"",O137/P137)</f>
        <v>61.185329438494</v>
      </c>
      <c r="R137" s="16" t="n">
        <f aca="false">IF(Q137="","",Q137*0.0980665)</f>
        <v>6.00023110938007</v>
      </c>
      <c r="S137" s="16" t="str">
        <f aca="false">IF(Q137="","",IFERROR(Q137/(1/(1/INDEX(CONFIG!$I$5:$I$14,MATCH(D137,CONFIG!$D$5:$D$14,0)))),""))</f>
        <v/>
      </c>
      <c r="T137" s="13"/>
      <c r="U137" s="13"/>
      <c r="V137" s="13"/>
      <c r="W137" s="13"/>
      <c r="X137" s="22" t="n">
        <f aca="false">IF(Q137="","",Q137^2)</f>
        <v>3743.64453849704</v>
      </c>
      <c r="Y137" s="22" t="str">
        <f aca="false">IF(AND(C137&lt;&gt;"",C137=CERTIFICADO!$E$4,OR(CERTIFICADO!$E$5="",B137=CERTIFICADO!$E$5)),MAX($Y$4:Y136)+1,"")</f>
        <v/>
      </c>
    </row>
    <row r="138" customFormat="false" ht="15" hidden="false" customHeight="false" outlineLevel="0" collapsed="false">
      <c r="A138" s="11" t="n">
        <f aca="false">IF(C138="","",ROW()-4)</f>
        <v>134</v>
      </c>
      <c r="B138" s="12" t="n">
        <v>45740</v>
      </c>
      <c r="C138" s="13" t="s">
        <v>182</v>
      </c>
      <c r="D138" s="23" t="str">
        <f aca="false">IF(C138="","",IFERROR(INDEX(LOTES!$D$5:$D$1004,MATCH(C138,LOTES!$F$5:$F$1004,0)),"¿Lote?"))</f>
        <v>Block 8"</v>
      </c>
      <c r="E138" s="11" t="str">
        <f aca="false">IF(C138="","",IFERROR(INDEX(LOTES!$C$5:$C$1004,MATCH(C138,LOTES!$F$5:$F$1004,0)),""))</f>
        <v>P1</v>
      </c>
      <c r="F138" s="24" t="n">
        <f aca="false">IF(C138="","",IFERROR(INDEX(LOTES!$B$5:$B$1004,MATCH(C138,LOTES!$F$5:$F$1004,0)),""))</f>
        <v>45736</v>
      </c>
      <c r="G138" s="15" t="n">
        <f aca="false">IF(OR(B138="",F138=""),"",B138-F138)</f>
        <v>4</v>
      </c>
      <c r="H138" s="13" t="s">
        <v>135</v>
      </c>
      <c r="I138" s="13" t="s">
        <v>131</v>
      </c>
      <c r="J138" s="13" t="s">
        <v>179</v>
      </c>
      <c r="K138" s="25" t="n">
        <v>19.5</v>
      </c>
      <c r="L138" s="25" t="n">
        <v>19.5</v>
      </c>
      <c r="M138" s="25" t="n">
        <v>39.5</v>
      </c>
      <c r="N138" s="25"/>
      <c r="O138" s="26" t="n">
        <v>53972</v>
      </c>
      <c r="P138" s="16" t="n">
        <f aca="false">IF(O138="","",IFERROR(1/(1/(IF(K138="",INDEX(CONFIG!$F$5:$F$14,MATCH(D138,CONFIG!$D$5:$D$14,0)),K138)*IF(M138="",INDEX(CONFIG!$H$5:$H$14,MATCH(D138,CONFIG!$D$5:$D$14,0)),M138))),""))</f>
        <v>770.25</v>
      </c>
      <c r="Q138" s="16" t="n">
        <f aca="false">IF(OR(O138="",P138=""),"",O138/P138)</f>
        <v>70.0707562479714</v>
      </c>
      <c r="R138" s="16" t="n">
        <f aca="false">IF(Q138="","",Q138*0.0980665)</f>
        <v>6.87159381759169</v>
      </c>
      <c r="S138" s="16" t="str">
        <f aca="false">IF(Q138="","",IFERROR(Q138/(1/(1/INDEX(CONFIG!$I$5:$I$14,MATCH(D138,CONFIG!$D$5:$D$14,0)))),""))</f>
        <v/>
      </c>
      <c r="T138" s="13"/>
      <c r="U138" s="13"/>
      <c r="V138" s="13"/>
      <c r="W138" s="13"/>
      <c r="X138" s="22" t="n">
        <f aca="false">IF(Q138="","",Q138^2)</f>
        <v>4909.91088116263</v>
      </c>
      <c r="Y138" s="22" t="str">
        <f aca="false">IF(AND(C138&lt;&gt;"",C138=CERTIFICADO!$E$4,OR(CERTIFICADO!$E$5="",B138=CERTIFICADO!$E$5)),MAX($Y$4:Y137)+1,"")</f>
        <v/>
      </c>
    </row>
    <row r="139" customFormat="false" ht="15" hidden="false" customHeight="false" outlineLevel="0" collapsed="false">
      <c r="A139" s="11" t="n">
        <f aca="false">IF(C139="","",ROW()-4)</f>
        <v>135</v>
      </c>
      <c r="B139" s="12" t="n">
        <v>45740</v>
      </c>
      <c r="C139" s="13" t="s">
        <v>182</v>
      </c>
      <c r="D139" s="23" t="str">
        <f aca="false">IF(C139="","",IFERROR(INDEX(LOTES!$D$5:$D$1004,MATCH(C139,LOTES!$F$5:$F$1004,0)),"¿Lote?"))</f>
        <v>Block 8"</v>
      </c>
      <c r="E139" s="11" t="str">
        <f aca="false">IF(C139="","",IFERROR(INDEX(LOTES!$C$5:$C$1004,MATCH(C139,LOTES!$F$5:$F$1004,0)),""))</f>
        <v>P1</v>
      </c>
      <c r="F139" s="24" t="n">
        <f aca="false">IF(C139="","",IFERROR(INDEX(LOTES!$B$5:$B$1004,MATCH(C139,LOTES!$F$5:$F$1004,0)),""))</f>
        <v>45736</v>
      </c>
      <c r="G139" s="15" t="n">
        <f aca="false">IF(OR(B139="",F139=""),"",B139-F139)</f>
        <v>4</v>
      </c>
      <c r="H139" s="13" t="s">
        <v>135</v>
      </c>
      <c r="I139" s="13" t="s">
        <v>131</v>
      </c>
      <c r="J139" s="13" t="s">
        <v>179</v>
      </c>
      <c r="K139" s="25" t="n">
        <v>19.5</v>
      </c>
      <c r="L139" s="25" t="n">
        <v>19.5</v>
      </c>
      <c r="M139" s="25" t="n">
        <v>39.5</v>
      </c>
      <c r="N139" s="25"/>
      <c r="O139" s="26" t="n">
        <v>60672</v>
      </c>
      <c r="P139" s="16" t="n">
        <f aca="false">IF(O139="","",IFERROR(1/(1/(IF(K139="",INDEX(CONFIG!$F$5:$F$14,MATCH(D139,CONFIG!$D$5:$D$14,0)),K139)*IF(M139="",INDEX(CONFIG!$H$5:$H$14,MATCH(D139,CONFIG!$D$5:$D$14,0)),M139))),""))</f>
        <v>770.25</v>
      </c>
      <c r="Q139" s="16" t="n">
        <f aca="false">IF(OR(O139="",P139=""),"",O139/P139)</f>
        <v>78.7692307692308</v>
      </c>
      <c r="R139" s="16" t="n">
        <f aca="false">IF(Q139="","",Q139*0.0980665)</f>
        <v>7.72462276923077</v>
      </c>
      <c r="S139" s="16" t="str">
        <f aca="false">IF(Q139="","",IFERROR(Q139/(1/(1/INDEX(CONFIG!$I$5:$I$14,MATCH(D139,CONFIG!$D$5:$D$14,0)))),""))</f>
        <v/>
      </c>
      <c r="T139" s="13"/>
      <c r="U139" s="13"/>
      <c r="V139" s="13"/>
      <c r="W139" s="13"/>
      <c r="X139" s="22" t="n">
        <f aca="false">IF(Q139="","",Q139^2)</f>
        <v>6204.59171597633</v>
      </c>
      <c r="Y139" s="22" t="str">
        <f aca="false">IF(AND(C139&lt;&gt;"",C139=CERTIFICADO!$E$4,OR(CERTIFICADO!$E$5="",B139=CERTIFICADO!$E$5)),MAX($Y$4:Y138)+1,"")</f>
        <v/>
      </c>
    </row>
    <row r="140" customFormat="false" ht="15" hidden="false" customHeight="false" outlineLevel="0" collapsed="false">
      <c r="A140" s="11" t="n">
        <f aca="false">IF(C140="","",ROW()-4)</f>
        <v>136</v>
      </c>
      <c r="B140" s="12" t="n">
        <v>45740</v>
      </c>
      <c r="C140" s="13" t="s">
        <v>182</v>
      </c>
      <c r="D140" s="23" t="str">
        <f aca="false">IF(C140="","",IFERROR(INDEX(LOTES!$D$5:$D$1004,MATCH(C140,LOTES!$F$5:$F$1004,0)),"¿Lote?"))</f>
        <v>Block 8"</v>
      </c>
      <c r="E140" s="11" t="str">
        <f aca="false">IF(C140="","",IFERROR(INDEX(LOTES!$C$5:$C$1004,MATCH(C140,LOTES!$F$5:$F$1004,0)),""))</f>
        <v>P1</v>
      </c>
      <c r="F140" s="24" t="n">
        <f aca="false">IF(C140="","",IFERROR(INDEX(LOTES!$B$5:$B$1004,MATCH(C140,LOTES!$F$5:$F$1004,0)),""))</f>
        <v>45736</v>
      </c>
      <c r="G140" s="15" t="n">
        <f aca="false">IF(OR(B140="",F140=""),"",B140-F140)</f>
        <v>4</v>
      </c>
      <c r="H140" s="13" t="s">
        <v>135</v>
      </c>
      <c r="I140" s="13" t="s">
        <v>131</v>
      </c>
      <c r="J140" s="13" t="s">
        <v>179</v>
      </c>
      <c r="K140" s="25" t="n">
        <v>19.5</v>
      </c>
      <c r="L140" s="25" t="n">
        <v>19.5</v>
      </c>
      <c r="M140" s="25" t="n">
        <v>39.5</v>
      </c>
      <c r="N140" s="25"/>
      <c r="O140" s="26" t="n">
        <v>56317</v>
      </c>
      <c r="P140" s="16" t="n">
        <f aca="false">IF(O140="","",IFERROR(1/(1/(IF(K140="",INDEX(CONFIG!$F$5:$F$14,MATCH(D140,CONFIG!$D$5:$D$14,0)),K140)*IF(M140="",INDEX(CONFIG!$H$5:$H$14,MATCH(D140,CONFIG!$D$5:$D$14,0)),M140))),""))</f>
        <v>770.25</v>
      </c>
      <c r="Q140" s="16" t="n">
        <f aca="false">IF(OR(O140="",P140=""),"",O140/P140)</f>
        <v>73.1152223304122</v>
      </c>
      <c r="R140" s="16" t="n">
        <f aca="false">IF(Q140="","",Q140*0.0980665)</f>
        <v>7.17015395066537</v>
      </c>
      <c r="S140" s="16" t="str">
        <f aca="false">IF(Q140="","",IFERROR(Q140/(1/(1/INDEX(CONFIG!$I$5:$I$14,MATCH(D140,CONFIG!$D$5:$D$14,0)))),""))</f>
        <v/>
      </c>
      <c r="T140" s="13"/>
      <c r="U140" s="13"/>
      <c r="V140" s="13"/>
      <c r="W140" s="13"/>
      <c r="X140" s="22" t="n">
        <f aca="false">IF(Q140="","",Q140^2)</f>
        <v>5345.83573642561</v>
      </c>
      <c r="Y140" s="22" t="str">
        <f aca="false">IF(AND(C140&lt;&gt;"",C140=CERTIFICADO!$E$4,OR(CERTIFICADO!$E$5="",B140=CERTIFICADO!$E$5)),MAX($Y$4:Y139)+1,"")</f>
        <v/>
      </c>
    </row>
    <row r="141" customFormat="false" ht="15" hidden="false" customHeight="false" outlineLevel="0" collapsed="false">
      <c r="A141" s="11" t="n">
        <f aca="false">IF(C141="","",ROW()-4)</f>
        <v>137</v>
      </c>
      <c r="B141" s="12" t="n">
        <v>45743</v>
      </c>
      <c r="C141" s="13" t="s">
        <v>183</v>
      </c>
      <c r="D141" s="23" t="str">
        <f aca="false">IF(C141="","",IFERROR(INDEX(LOTES!$D$5:$D$1004,MATCH(C141,LOTES!$F$5:$F$1004,0)),"¿Lote?"))</f>
        <v>Block 8"</v>
      </c>
      <c r="E141" s="11" t="str">
        <f aca="false">IF(C141="","",IFERROR(INDEX(LOTES!$C$5:$C$1004,MATCH(C141,LOTES!$F$5:$F$1004,0)),""))</f>
        <v>P1</v>
      </c>
      <c r="F141" s="24" t="n">
        <f aca="false">IF(C141="","",IFERROR(INDEX(LOTES!$B$5:$B$1004,MATCH(C141,LOTES!$F$5:$F$1004,0)),""))</f>
        <v>45740</v>
      </c>
      <c r="G141" s="15" t="n">
        <f aca="false">IF(OR(B141="",F141=""),"",B141-F141)</f>
        <v>3</v>
      </c>
      <c r="H141" s="13" t="s">
        <v>135</v>
      </c>
      <c r="I141" s="13" t="s">
        <v>131</v>
      </c>
      <c r="J141" s="13" t="s">
        <v>184</v>
      </c>
      <c r="K141" s="25" t="n">
        <v>19.5</v>
      </c>
      <c r="L141" s="25" t="n">
        <v>19.5</v>
      </c>
      <c r="M141" s="25" t="n">
        <v>39.5</v>
      </c>
      <c r="N141" s="25"/>
      <c r="O141" s="26" t="n">
        <v>51795</v>
      </c>
      <c r="P141" s="16" t="n">
        <f aca="false">IF(O141="","",IFERROR(1/(1/(IF(K141="",INDEX(CONFIG!$F$5:$F$14,MATCH(D141,CONFIG!$D$5:$D$14,0)),K141)*IF(M141="",INDEX(CONFIG!$H$5:$H$14,MATCH(D141,CONFIG!$D$5:$D$14,0)),M141))),""))</f>
        <v>770.25</v>
      </c>
      <c r="Q141" s="16" t="n">
        <f aca="false">IF(OR(O141="",P141=""),"",O141/P141)</f>
        <v>67.2444011684518</v>
      </c>
      <c r="R141" s="16" t="n">
        <f aca="false">IF(Q141="","",Q141*0.0980665)</f>
        <v>6.59442306718598</v>
      </c>
      <c r="S141" s="16" t="str">
        <f aca="false">IF(Q141="","",IFERROR(Q141/(1/(1/INDEX(CONFIG!$I$5:$I$14,MATCH(D141,CONFIG!$D$5:$D$14,0)))),""))</f>
        <v/>
      </c>
      <c r="T141" s="13"/>
      <c r="U141" s="13"/>
      <c r="V141" s="13"/>
      <c r="W141" s="13"/>
      <c r="X141" s="22" t="n">
        <f aca="false">IF(Q141="","",Q141^2)</f>
        <v>4521.80948850368</v>
      </c>
      <c r="Y141" s="22" t="str">
        <f aca="false">IF(AND(C141&lt;&gt;"",C141=CERTIFICADO!$E$4,OR(CERTIFICADO!$E$5="",B141=CERTIFICADO!$E$5)),MAX($Y$4:Y140)+1,"")</f>
        <v/>
      </c>
    </row>
    <row r="142" customFormat="false" ht="15" hidden="false" customHeight="false" outlineLevel="0" collapsed="false">
      <c r="A142" s="11" t="n">
        <f aca="false">IF(C142="","",ROW()-4)</f>
        <v>138</v>
      </c>
      <c r="B142" s="12" t="n">
        <v>45743</v>
      </c>
      <c r="C142" s="13" t="s">
        <v>183</v>
      </c>
      <c r="D142" s="23" t="str">
        <f aca="false">IF(C142="","",IFERROR(INDEX(LOTES!$D$5:$D$1004,MATCH(C142,LOTES!$F$5:$F$1004,0)),"¿Lote?"))</f>
        <v>Block 8"</v>
      </c>
      <c r="E142" s="11" t="str">
        <f aca="false">IF(C142="","",IFERROR(INDEX(LOTES!$C$5:$C$1004,MATCH(C142,LOTES!$F$5:$F$1004,0)),""))</f>
        <v>P1</v>
      </c>
      <c r="F142" s="24" t="n">
        <f aca="false">IF(C142="","",IFERROR(INDEX(LOTES!$B$5:$B$1004,MATCH(C142,LOTES!$F$5:$F$1004,0)),""))</f>
        <v>45740</v>
      </c>
      <c r="G142" s="15" t="n">
        <f aca="false">IF(OR(B142="",F142=""),"",B142-F142)</f>
        <v>3</v>
      </c>
      <c r="H142" s="13" t="s">
        <v>135</v>
      </c>
      <c r="I142" s="13" t="s">
        <v>131</v>
      </c>
      <c r="J142" s="13" t="s">
        <v>184</v>
      </c>
      <c r="K142" s="25" t="n">
        <v>19.5</v>
      </c>
      <c r="L142" s="25" t="n">
        <v>19.5</v>
      </c>
      <c r="M142" s="25" t="n">
        <v>39.5</v>
      </c>
      <c r="N142" s="25"/>
      <c r="O142" s="26" t="n">
        <v>56476</v>
      </c>
      <c r="P142" s="16" t="n">
        <f aca="false">IF(O142="","",IFERROR(1/(1/(IF(K142="",INDEX(CONFIG!$F$5:$F$14,MATCH(D142,CONFIG!$D$5:$D$14,0)),K142)*IF(M142="",INDEX(CONFIG!$H$5:$H$14,MATCH(D142,CONFIG!$D$5:$D$14,0)),M142))),""))</f>
        <v>770.25</v>
      </c>
      <c r="Q142" s="16" t="n">
        <f aca="false">IF(OR(O142="",P142=""),"",O142/P142)</f>
        <v>73.3216488153197</v>
      </c>
      <c r="R142" s="16" t="n">
        <f aca="false">IF(Q142="","",Q142*0.0980665)</f>
        <v>7.19039747354755</v>
      </c>
      <c r="S142" s="16" t="str">
        <f aca="false">IF(Q142="","",IFERROR(Q142/(1/(1/INDEX(CONFIG!$I$5:$I$14,MATCH(D142,CONFIG!$D$5:$D$14,0)))),""))</f>
        <v/>
      </c>
      <c r="T142" s="13"/>
      <c r="U142" s="13"/>
      <c r="V142" s="13"/>
      <c r="W142" s="13"/>
      <c r="X142" s="22" t="n">
        <f aca="false">IF(Q142="","",Q142^2)</f>
        <v>5376.06418499707</v>
      </c>
      <c r="Y142" s="22" t="str">
        <f aca="false">IF(AND(C142&lt;&gt;"",C142=CERTIFICADO!$E$4,OR(CERTIFICADO!$E$5="",B142=CERTIFICADO!$E$5)),MAX($Y$4:Y141)+1,"")</f>
        <v/>
      </c>
    </row>
    <row r="143" customFormat="false" ht="15" hidden="false" customHeight="false" outlineLevel="0" collapsed="false">
      <c r="A143" s="11" t="n">
        <f aca="false">IF(C143="","",ROW()-4)</f>
        <v>139</v>
      </c>
      <c r="B143" s="12" t="n">
        <v>45743</v>
      </c>
      <c r="C143" s="13" t="s">
        <v>183</v>
      </c>
      <c r="D143" s="23" t="str">
        <f aca="false">IF(C143="","",IFERROR(INDEX(LOTES!$D$5:$D$1004,MATCH(C143,LOTES!$F$5:$F$1004,0)),"¿Lote?"))</f>
        <v>Block 8"</v>
      </c>
      <c r="E143" s="11" t="str">
        <f aca="false">IF(C143="","",IFERROR(INDEX(LOTES!$C$5:$C$1004,MATCH(C143,LOTES!$F$5:$F$1004,0)),""))</f>
        <v>P1</v>
      </c>
      <c r="F143" s="24" t="n">
        <f aca="false">IF(C143="","",IFERROR(INDEX(LOTES!$B$5:$B$1004,MATCH(C143,LOTES!$F$5:$F$1004,0)),""))</f>
        <v>45740</v>
      </c>
      <c r="G143" s="15" t="n">
        <f aca="false">IF(OR(B143="",F143=""),"",B143-F143)</f>
        <v>3</v>
      </c>
      <c r="H143" s="13" t="s">
        <v>135</v>
      </c>
      <c r="I143" s="13" t="s">
        <v>131</v>
      </c>
      <c r="J143" s="13" t="s">
        <v>184</v>
      </c>
      <c r="K143" s="25" t="n">
        <v>19.5</v>
      </c>
      <c r="L143" s="25" t="n">
        <v>19.5</v>
      </c>
      <c r="M143" s="25" t="n">
        <v>39.5</v>
      </c>
      <c r="N143" s="25"/>
      <c r="O143" s="26" t="n">
        <v>49164</v>
      </c>
      <c r="P143" s="16" t="n">
        <f aca="false">IF(O143="","",IFERROR(1/(1/(IF(K143="",INDEX(CONFIG!$F$5:$F$14,MATCH(D143,CONFIG!$D$5:$D$14,0)),K143)*IF(M143="",INDEX(CONFIG!$H$5:$H$14,MATCH(D143,CONFIG!$D$5:$D$14,0)),M143))),""))</f>
        <v>770.25</v>
      </c>
      <c r="Q143" s="16" t="n">
        <f aca="false">IF(OR(O143="",P143=""),"",O143/P143)</f>
        <v>63.8286270691334</v>
      </c>
      <c r="R143" s="16" t="n">
        <f aca="false">IF(Q143="","",Q143*0.0980665)</f>
        <v>6.25945005647517</v>
      </c>
      <c r="S143" s="16" t="str">
        <f aca="false">IF(Q143="","",IFERROR(Q143/(1/(1/INDEX(CONFIG!$I$5:$I$14,MATCH(D143,CONFIG!$D$5:$D$14,0)))),""))</f>
        <v/>
      </c>
      <c r="T143" s="13"/>
      <c r="U143" s="13"/>
      <c r="V143" s="13"/>
      <c r="W143" s="13"/>
      <c r="X143" s="22" t="n">
        <f aca="false">IF(Q143="","",Q143^2)</f>
        <v>4074.09363353051</v>
      </c>
      <c r="Y143" s="22" t="str">
        <f aca="false">IF(AND(C143&lt;&gt;"",C143=CERTIFICADO!$E$4,OR(CERTIFICADO!$E$5="",B143=CERTIFICADO!$E$5)),MAX($Y$4:Y142)+1,"")</f>
        <v/>
      </c>
    </row>
    <row r="144" customFormat="false" ht="15" hidden="false" customHeight="false" outlineLevel="0" collapsed="false">
      <c r="A144" s="11" t="n">
        <f aca="false">IF(C144="","",ROW()-4)</f>
        <v>140</v>
      </c>
      <c r="B144" s="12" t="n">
        <v>45743</v>
      </c>
      <c r="C144" s="13" t="s">
        <v>183</v>
      </c>
      <c r="D144" s="23" t="str">
        <f aca="false">IF(C144="","",IFERROR(INDEX(LOTES!$D$5:$D$1004,MATCH(C144,LOTES!$F$5:$F$1004,0)),"¿Lote?"))</f>
        <v>Block 8"</v>
      </c>
      <c r="E144" s="11" t="str">
        <f aca="false">IF(C144="","",IFERROR(INDEX(LOTES!$C$5:$C$1004,MATCH(C144,LOTES!$F$5:$F$1004,0)),""))</f>
        <v>P1</v>
      </c>
      <c r="F144" s="24" t="n">
        <f aca="false">IF(C144="","",IFERROR(INDEX(LOTES!$B$5:$B$1004,MATCH(C144,LOTES!$F$5:$F$1004,0)),""))</f>
        <v>45740</v>
      </c>
      <c r="G144" s="15" t="n">
        <f aca="false">IF(OR(B144="",F144=""),"",B144-F144)</f>
        <v>3</v>
      </c>
      <c r="H144" s="13" t="s">
        <v>135</v>
      </c>
      <c r="I144" s="13" t="s">
        <v>131</v>
      </c>
      <c r="J144" s="13" t="s">
        <v>184</v>
      </c>
      <c r="K144" s="25" t="n">
        <v>19.5</v>
      </c>
      <c r="L144" s="25" t="n">
        <v>19.5</v>
      </c>
      <c r="M144" s="25" t="n">
        <v>39.5</v>
      </c>
      <c r="N144" s="25"/>
      <c r="O144" s="26" t="n">
        <v>57774</v>
      </c>
      <c r="P144" s="16" t="n">
        <f aca="false">IF(O144="","",IFERROR(1/(1/(IF(K144="",INDEX(CONFIG!$F$5:$F$14,MATCH(D144,CONFIG!$D$5:$D$14,0)),K144)*IF(M144="",INDEX(CONFIG!$H$5:$H$14,MATCH(D144,CONFIG!$D$5:$D$14,0)),M144))),""))</f>
        <v>770.25</v>
      </c>
      <c r="Q144" s="16" t="n">
        <f aca="false">IF(OR(O144="",P144=""),"",O144/P144)</f>
        <v>75.0068159688413</v>
      </c>
      <c r="R144" s="16" t="n">
        <f aca="false">IF(Q144="","",Q144*0.0980665)</f>
        <v>7.35565591820837</v>
      </c>
      <c r="S144" s="16" t="str">
        <f aca="false">IF(Q144="","",IFERROR(Q144/(1/(1/INDEX(CONFIG!$I$5:$I$14,MATCH(D144,CONFIG!$D$5:$D$14,0)))),""))</f>
        <v/>
      </c>
      <c r="T144" s="13"/>
      <c r="U144" s="13"/>
      <c r="V144" s="13"/>
      <c r="W144" s="13"/>
      <c r="X144" s="22" t="n">
        <f aca="false">IF(Q144="","",Q144^2)</f>
        <v>5626.02244178362</v>
      </c>
      <c r="Y144" s="22" t="str">
        <f aca="false">IF(AND(C144&lt;&gt;"",C144=CERTIFICADO!$E$4,OR(CERTIFICADO!$E$5="",B144=CERTIFICADO!$E$5)),MAX($Y$4:Y143)+1,"")</f>
        <v/>
      </c>
    </row>
    <row r="145" customFormat="false" ht="15" hidden="false" customHeight="false" outlineLevel="0" collapsed="false">
      <c r="A145" s="11" t="n">
        <f aca="false">IF(C145="","",ROW()-4)</f>
        <v>141</v>
      </c>
      <c r="B145" s="12" t="n">
        <v>45745</v>
      </c>
      <c r="C145" s="13" t="s">
        <v>185</v>
      </c>
      <c r="D145" s="23" t="str">
        <f aca="false">IF(C145="","",IFERROR(INDEX(LOTES!$D$5:$D$1004,MATCH(C145,LOTES!$F$5:$F$1004,0)),"¿Lote?"))</f>
        <v>Block 8"</v>
      </c>
      <c r="E145" s="11" t="str">
        <f aca="false">IF(C145="","",IFERROR(INDEX(LOTES!$C$5:$C$1004,MATCH(C145,LOTES!$F$5:$F$1004,0)),""))</f>
        <v>P1</v>
      </c>
      <c r="F145" s="24" t="n">
        <f aca="false">IF(C145="","",IFERROR(INDEX(LOTES!$B$5:$B$1004,MATCH(C145,LOTES!$F$5:$F$1004,0)),""))</f>
        <v>45743</v>
      </c>
      <c r="G145" s="15" t="n">
        <f aca="false">IF(OR(B145="",F145=""),"",B145-F145)</f>
        <v>2</v>
      </c>
      <c r="H145" s="13" t="s">
        <v>135</v>
      </c>
      <c r="I145" s="13" t="s">
        <v>131</v>
      </c>
      <c r="J145" s="13" t="s">
        <v>186</v>
      </c>
      <c r="K145" s="25" t="n">
        <v>19.5</v>
      </c>
      <c r="L145" s="25" t="n">
        <v>19.5</v>
      </c>
      <c r="M145" s="25" t="n">
        <v>39.5</v>
      </c>
      <c r="N145" s="25"/>
      <c r="O145" s="26" t="n">
        <v>49559</v>
      </c>
      <c r="P145" s="16" t="n">
        <f aca="false">IF(O145="","",IFERROR(1/(1/(IF(K145="",INDEX(CONFIG!$F$5:$F$14,MATCH(D145,CONFIG!$D$5:$D$14,0)),K145)*IF(M145="",INDEX(CONFIG!$H$5:$H$14,MATCH(D145,CONFIG!$D$5:$D$14,0)),M145))),""))</f>
        <v>770.25</v>
      </c>
      <c r="Q145" s="16" t="n">
        <f aca="false">IF(OR(O145="",P145=""),"",O145/P145)</f>
        <v>64.3414475819539</v>
      </c>
      <c r="R145" s="16" t="n">
        <f aca="false">IF(Q145="","",Q145*0.0980665)</f>
        <v>6.30974056929568</v>
      </c>
      <c r="S145" s="16" t="str">
        <f aca="false">IF(Q145="","",IFERROR(Q145/(1/(1/INDEX(CONFIG!$I$5:$I$14,MATCH(D145,CONFIG!$D$5:$D$14,0)))),""))</f>
        <v/>
      </c>
      <c r="T145" s="13"/>
      <c r="U145" s="13"/>
      <c r="V145" s="13"/>
      <c r="W145" s="13"/>
      <c r="X145" s="22" t="n">
        <f aca="false">IF(Q145="","",Q145^2)</f>
        <v>4139.82187694132</v>
      </c>
      <c r="Y145" s="22" t="str">
        <f aca="false">IF(AND(C145&lt;&gt;"",C145=CERTIFICADO!$E$4,OR(CERTIFICADO!$E$5="",B145=CERTIFICADO!$E$5)),MAX($Y$4:Y144)+1,"")</f>
        <v/>
      </c>
    </row>
    <row r="146" customFormat="false" ht="15" hidden="false" customHeight="false" outlineLevel="0" collapsed="false">
      <c r="A146" s="11" t="n">
        <f aca="false">IF(C146="","",ROW()-4)</f>
        <v>142</v>
      </c>
      <c r="B146" s="12" t="n">
        <v>45745</v>
      </c>
      <c r="C146" s="13" t="s">
        <v>185</v>
      </c>
      <c r="D146" s="23" t="str">
        <f aca="false">IF(C146="","",IFERROR(INDEX(LOTES!$D$5:$D$1004,MATCH(C146,LOTES!$F$5:$F$1004,0)),"¿Lote?"))</f>
        <v>Block 8"</v>
      </c>
      <c r="E146" s="11" t="str">
        <f aca="false">IF(C146="","",IFERROR(INDEX(LOTES!$C$5:$C$1004,MATCH(C146,LOTES!$F$5:$F$1004,0)),""))</f>
        <v>P1</v>
      </c>
      <c r="F146" s="24" t="n">
        <f aca="false">IF(C146="","",IFERROR(INDEX(LOTES!$B$5:$B$1004,MATCH(C146,LOTES!$F$5:$F$1004,0)),""))</f>
        <v>45743</v>
      </c>
      <c r="G146" s="15" t="n">
        <f aca="false">IF(OR(B146="",F146=""),"",B146-F146)</f>
        <v>2</v>
      </c>
      <c r="H146" s="13" t="s">
        <v>135</v>
      </c>
      <c r="I146" s="13" t="s">
        <v>131</v>
      </c>
      <c r="J146" s="13" t="s">
        <v>186</v>
      </c>
      <c r="K146" s="25" t="n">
        <v>19.5</v>
      </c>
      <c r="L146" s="25" t="n">
        <v>19.5</v>
      </c>
      <c r="M146" s="25" t="n">
        <v>39.5</v>
      </c>
      <c r="N146" s="25"/>
      <c r="O146" s="26" t="n">
        <v>50983</v>
      </c>
      <c r="P146" s="16" t="n">
        <f aca="false">IF(O146="","",IFERROR(1/(1/(IF(K146="",INDEX(CONFIG!$F$5:$F$14,MATCH(D146,CONFIG!$D$5:$D$14,0)),K146)*IF(M146="",INDEX(CONFIG!$H$5:$H$14,MATCH(D146,CONFIG!$D$5:$D$14,0)),M146))),""))</f>
        <v>770.25</v>
      </c>
      <c r="Q146" s="16" t="n">
        <f aca="false">IF(OR(O146="",P146=""),"",O146/P146)</f>
        <v>66.1901979876663</v>
      </c>
      <c r="R146" s="16" t="n">
        <f aca="false">IF(Q146="","",Q146*0.0980665)</f>
        <v>6.49104105095748</v>
      </c>
      <c r="S146" s="16" t="str">
        <f aca="false">IF(Q146="","",IFERROR(Q146/(1/(1/INDEX(CONFIG!$I$5:$I$14,MATCH(D146,CONFIG!$D$5:$D$14,0)))),""))</f>
        <v/>
      </c>
      <c r="T146" s="13"/>
      <c r="U146" s="13"/>
      <c r="V146" s="13"/>
      <c r="W146" s="13"/>
      <c r="X146" s="22" t="n">
        <f aca="false">IF(Q146="","",Q146^2)</f>
        <v>4381.14230964647</v>
      </c>
      <c r="Y146" s="22" t="str">
        <f aca="false">IF(AND(C146&lt;&gt;"",C146=CERTIFICADO!$E$4,OR(CERTIFICADO!$E$5="",B146=CERTIFICADO!$E$5)),MAX($Y$4:Y145)+1,"")</f>
        <v/>
      </c>
    </row>
    <row r="147" customFormat="false" ht="15" hidden="false" customHeight="false" outlineLevel="0" collapsed="false">
      <c r="A147" s="11" t="n">
        <f aca="false">IF(C147="","",ROW()-4)</f>
        <v>143</v>
      </c>
      <c r="B147" s="12" t="n">
        <v>45745</v>
      </c>
      <c r="C147" s="13" t="s">
        <v>185</v>
      </c>
      <c r="D147" s="23" t="str">
        <f aca="false">IF(C147="","",IFERROR(INDEX(LOTES!$D$5:$D$1004,MATCH(C147,LOTES!$F$5:$F$1004,0)),"¿Lote?"))</f>
        <v>Block 8"</v>
      </c>
      <c r="E147" s="11" t="str">
        <f aca="false">IF(C147="","",IFERROR(INDEX(LOTES!$C$5:$C$1004,MATCH(C147,LOTES!$F$5:$F$1004,0)),""))</f>
        <v>P1</v>
      </c>
      <c r="F147" s="24" t="n">
        <f aca="false">IF(C147="","",IFERROR(INDEX(LOTES!$B$5:$B$1004,MATCH(C147,LOTES!$F$5:$F$1004,0)),""))</f>
        <v>45743</v>
      </c>
      <c r="G147" s="15" t="n">
        <f aca="false">IF(OR(B147="",F147=""),"",B147-F147)</f>
        <v>2</v>
      </c>
      <c r="H147" s="13" t="s">
        <v>135</v>
      </c>
      <c r="I147" s="13" t="s">
        <v>131</v>
      </c>
      <c r="J147" s="13" t="s">
        <v>186</v>
      </c>
      <c r="K147" s="25" t="n">
        <v>19.5</v>
      </c>
      <c r="L147" s="25" t="n">
        <v>19.5</v>
      </c>
      <c r="M147" s="25" t="n">
        <v>39.5</v>
      </c>
      <c r="N147" s="25"/>
      <c r="O147" s="26" t="n">
        <v>57606</v>
      </c>
      <c r="P147" s="16" t="n">
        <f aca="false">IF(O147="","",IFERROR(1/(1/(IF(K147="",INDEX(CONFIG!$F$5:$F$14,MATCH(D147,CONFIG!$D$5:$D$14,0)),K147)*IF(M147="",INDEX(CONFIG!$H$5:$H$14,MATCH(D147,CONFIG!$D$5:$D$14,0)),M147))),""))</f>
        <v>770.25</v>
      </c>
      <c r="Q147" s="16" t="n">
        <f aca="false">IF(OR(O147="",P147=""),"",O147/P147)</f>
        <v>74.7887049659202</v>
      </c>
      <c r="R147" s="16" t="n">
        <f aca="false">IF(Q147="","",Q147*0.0980665)</f>
        <v>7.33426653554041</v>
      </c>
      <c r="S147" s="16" t="str">
        <f aca="false">IF(Q147="","",IFERROR(Q147/(1/(1/INDEX(CONFIG!$I$5:$I$14,MATCH(D147,CONFIG!$D$5:$D$14,0)))),""))</f>
        <v/>
      </c>
      <c r="T147" s="13"/>
      <c r="U147" s="13"/>
      <c r="V147" s="13"/>
      <c r="W147" s="13"/>
      <c r="X147" s="22" t="n">
        <f aca="false">IF(Q147="","",Q147^2)</f>
        <v>5593.35039047945</v>
      </c>
      <c r="Y147" s="22" t="str">
        <f aca="false">IF(AND(C147&lt;&gt;"",C147=CERTIFICADO!$E$4,OR(CERTIFICADO!$E$5="",B147=CERTIFICADO!$E$5)),MAX($Y$4:Y146)+1,"")</f>
        <v/>
      </c>
    </row>
    <row r="148" customFormat="false" ht="15" hidden="false" customHeight="false" outlineLevel="0" collapsed="false">
      <c r="A148" s="11" t="n">
        <f aca="false">IF(C148="","",ROW()-4)</f>
        <v>144</v>
      </c>
      <c r="B148" s="12" t="n">
        <v>45745</v>
      </c>
      <c r="C148" s="13" t="s">
        <v>185</v>
      </c>
      <c r="D148" s="23" t="str">
        <f aca="false">IF(C148="","",IFERROR(INDEX(LOTES!$D$5:$D$1004,MATCH(C148,LOTES!$F$5:$F$1004,0)),"¿Lote?"))</f>
        <v>Block 8"</v>
      </c>
      <c r="E148" s="11" t="str">
        <f aca="false">IF(C148="","",IFERROR(INDEX(LOTES!$C$5:$C$1004,MATCH(C148,LOTES!$F$5:$F$1004,0)),""))</f>
        <v>P1</v>
      </c>
      <c r="F148" s="24" t="n">
        <f aca="false">IF(C148="","",IFERROR(INDEX(LOTES!$B$5:$B$1004,MATCH(C148,LOTES!$F$5:$F$1004,0)),""))</f>
        <v>45743</v>
      </c>
      <c r="G148" s="15" t="n">
        <f aca="false">IF(OR(B148="",F148=""),"",B148-F148)</f>
        <v>2</v>
      </c>
      <c r="H148" s="13" t="s">
        <v>135</v>
      </c>
      <c r="I148" s="13" t="s">
        <v>131</v>
      </c>
      <c r="J148" s="13" t="s">
        <v>186</v>
      </c>
      <c r="K148" s="25" t="n">
        <v>19.5</v>
      </c>
      <c r="L148" s="25" t="n">
        <v>19.5</v>
      </c>
      <c r="M148" s="25" t="n">
        <v>39.5</v>
      </c>
      <c r="N148" s="25"/>
      <c r="O148" s="26" t="n">
        <v>54902</v>
      </c>
      <c r="P148" s="16" t="n">
        <f aca="false">IF(O148="","",IFERROR(1/(1/(IF(K148="",INDEX(CONFIG!$F$5:$F$14,MATCH(D148,CONFIG!$D$5:$D$14,0)),K148)*IF(M148="",INDEX(CONFIG!$H$5:$H$14,MATCH(D148,CONFIG!$D$5:$D$14,0)),M148))),""))</f>
        <v>770.25</v>
      </c>
      <c r="Q148" s="16" t="n">
        <f aca="false">IF(OR(O148="",P148=""),"",O148/P148)</f>
        <v>71.2781564427134</v>
      </c>
      <c r="R148" s="16" t="n">
        <f aca="false">IF(Q148="","",Q148*0.0980665)</f>
        <v>6.98999932878936</v>
      </c>
      <c r="S148" s="16" t="str">
        <f aca="false">IF(Q148="","",IFERROR(Q148/(1/(1/INDEX(CONFIG!$I$5:$I$14,MATCH(D148,CONFIG!$D$5:$D$14,0)))),""))</f>
        <v/>
      </c>
      <c r="T148" s="13"/>
      <c r="U148" s="13"/>
      <c r="V148" s="13"/>
      <c r="W148" s="13"/>
      <c r="X148" s="22" t="n">
        <f aca="false">IF(Q148="","",Q148^2)</f>
        <v>5080.57558587193</v>
      </c>
      <c r="Y148" s="22" t="str">
        <f aca="false">IF(AND(C148&lt;&gt;"",C148=CERTIFICADO!$E$4,OR(CERTIFICADO!$E$5="",B148=CERTIFICADO!$E$5)),MAX($Y$4:Y147)+1,"")</f>
        <v/>
      </c>
    </row>
    <row r="149" customFormat="false" ht="15" hidden="false" customHeight="false" outlineLevel="0" collapsed="false">
      <c r="A149" s="11" t="n">
        <f aca="false">IF(C149="","",ROW()-4)</f>
        <v>145</v>
      </c>
      <c r="B149" s="12" t="n">
        <v>45748</v>
      </c>
      <c r="C149" s="13" t="s">
        <v>187</v>
      </c>
      <c r="D149" s="23" t="str">
        <f aca="false">IF(C149="","",IFERROR(INDEX(LOTES!$D$5:$D$1004,MATCH(C149,LOTES!$F$5:$F$1004,0)),"¿Lote?"))</f>
        <v>Block 6"</v>
      </c>
      <c r="E149" s="11" t="str">
        <f aca="false">IF(C149="","",IFERROR(INDEX(LOTES!$C$5:$C$1004,MATCH(C149,LOTES!$F$5:$F$1004,0)),""))</f>
        <v>P2</v>
      </c>
      <c r="F149" s="24" t="n">
        <f aca="false">IF(C149="","",IFERROR(INDEX(LOTES!$B$5:$B$1004,MATCH(C149,LOTES!$F$5:$F$1004,0)),""))</f>
        <v>45745</v>
      </c>
      <c r="G149" s="15" t="n">
        <f aca="false">IF(OR(B149="",F149=""),"",B149-F149)</f>
        <v>3</v>
      </c>
      <c r="H149" s="13" t="s">
        <v>135</v>
      </c>
      <c r="I149" s="13" t="s">
        <v>131</v>
      </c>
      <c r="J149" s="13" t="s">
        <v>188</v>
      </c>
      <c r="K149" s="25" t="n">
        <v>14.5</v>
      </c>
      <c r="L149" s="25" t="n">
        <v>19.5</v>
      </c>
      <c r="M149" s="25" t="n">
        <v>39.5</v>
      </c>
      <c r="N149" s="25"/>
      <c r="O149" s="26" t="n">
        <v>41149</v>
      </c>
      <c r="P149" s="16" t="n">
        <f aca="false">IF(O149="","",IFERROR(1/(1/(IF(K149="",INDEX(CONFIG!$F$5:$F$14,MATCH(D149,CONFIG!$D$5:$D$14,0)),K149)*IF(M149="",INDEX(CONFIG!$H$5:$H$14,MATCH(D149,CONFIG!$D$5:$D$14,0)),M149))),""))</f>
        <v>572.75</v>
      </c>
      <c r="Q149" s="16" t="n">
        <f aca="false">IF(OR(O149="",P149=""),"",O149/P149)</f>
        <v>71.8446093408992</v>
      </c>
      <c r="R149" s="16" t="n">
        <f aca="false">IF(Q149="","",Q149*0.0980665)</f>
        <v>7.04554938192929</v>
      </c>
      <c r="S149" s="16" t="str">
        <f aca="false">IF(Q149="","",IFERROR(Q149/(1/(1/INDEX(CONFIG!$I$5:$I$14,MATCH(D149,CONFIG!$D$5:$D$14,0)))),""))</f>
        <v/>
      </c>
      <c r="T149" s="13"/>
      <c r="U149" s="13"/>
      <c r="V149" s="13"/>
      <c r="W149" s="13"/>
      <c r="X149" s="22" t="n">
        <f aca="false">IF(Q149="","",Q149^2)</f>
        <v>5161.64789134642</v>
      </c>
      <c r="Y149" s="22" t="str">
        <f aca="false">IF(AND(C149&lt;&gt;"",C149=CERTIFICADO!$E$4,OR(CERTIFICADO!$E$5="",B149=CERTIFICADO!$E$5)),MAX($Y$4:Y148)+1,"")</f>
        <v/>
      </c>
    </row>
    <row r="150" customFormat="false" ht="15" hidden="false" customHeight="false" outlineLevel="0" collapsed="false">
      <c r="A150" s="11" t="n">
        <f aca="false">IF(C150="","",ROW()-4)</f>
        <v>146</v>
      </c>
      <c r="B150" s="12" t="n">
        <v>45748</v>
      </c>
      <c r="C150" s="13" t="s">
        <v>187</v>
      </c>
      <c r="D150" s="23" t="str">
        <f aca="false">IF(C150="","",IFERROR(INDEX(LOTES!$D$5:$D$1004,MATCH(C150,LOTES!$F$5:$F$1004,0)),"¿Lote?"))</f>
        <v>Block 6"</v>
      </c>
      <c r="E150" s="11" t="str">
        <f aca="false">IF(C150="","",IFERROR(INDEX(LOTES!$C$5:$C$1004,MATCH(C150,LOTES!$F$5:$F$1004,0)),""))</f>
        <v>P2</v>
      </c>
      <c r="F150" s="24" t="n">
        <f aca="false">IF(C150="","",IFERROR(INDEX(LOTES!$B$5:$B$1004,MATCH(C150,LOTES!$F$5:$F$1004,0)),""))</f>
        <v>45745</v>
      </c>
      <c r="G150" s="15" t="n">
        <f aca="false">IF(OR(B150="",F150=""),"",B150-F150)</f>
        <v>3</v>
      </c>
      <c r="H150" s="13" t="s">
        <v>135</v>
      </c>
      <c r="I150" s="13" t="s">
        <v>131</v>
      </c>
      <c r="J150" s="13" t="s">
        <v>188</v>
      </c>
      <c r="K150" s="25" t="n">
        <v>14.5</v>
      </c>
      <c r="L150" s="25" t="n">
        <v>19.5</v>
      </c>
      <c r="M150" s="25" t="n">
        <v>39.5</v>
      </c>
      <c r="N150" s="25"/>
      <c r="O150" s="26" t="n">
        <v>41558</v>
      </c>
      <c r="P150" s="16" t="n">
        <f aca="false">IF(O150="","",IFERROR(1/(1/(IF(K150="",INDEX(CONFIG!$F$5:$F$14,MATCH(D150,CONFIG!$D$5:$D$14,0)),K150)*IF(M150="",INDEX(CONFIG!$H$5:$H$14,MATCH(D150,CONFIG!$D$5:$D$14,0)),M150))),""))</f>
        <v>572.75</v>
      </c>
      <c r="Q150" s="16" t="n">
        <f aca="false">IF(OR(O150="",P150=""),"",O150/P150)</f>
        <v>72.5587079877783</v>
      </c>
      <c r="R150" s="16" t="n">
        <f aca="false">IF(Q150="","",Q150*0.0980665)</f>
        <v>7.11557853688346</v>
      </c>
      <c r="S150" s="16" t="str">
        <f aca="false">IF(Q150="","",IFERROR(Q150/(1/(1/INDEX(CONFIG!$I$5:$I$14,MATCH(D150,CONFIG!$D$5:$D$14,0)))),""))</f>
        <v/>
      </c>
      <c r="T150" s="13"/>
      <c r="U150" s="13"/>
      <c r="V150" s="13"/>
      <c r="W150" s="13"/>
      <c r="X150" s="22" t="n">
        <f aca="false">IF(Q150="","",Q150^2)</f>
        <v>5264.76610485568</v>
      </c>
      <c r="Y150" s="22" t="str">
        <f aca="false">IF(AND(C150&lt;&gt;"",C150=CERTIFICADO!$E$4,OR(CERTIFICADO!$E$5="",B150=CERTIFICADO!$E$5)),MAX($Y$4:Y149)+1,"")</f>
        <v/>
      </c>
    </row>
    <row r="151" customFormat="false" ht="15" hidden="false" customHeight="false" outlineLevel="0" collapsed="false">
      <c r="A151" s="11" t="n">
        <f aca="false">IF(C151="","",ROW()-4)</f>
        <v>147</v>
      </c>
      <c r="B151" s="12" t="n">
        <v>45748</v>
      </c>
      <c r="C151" s="13" t="s">
        <v>187</v>
      </c>
      <c r="D151" s="23" t="str">
        <f aca="false">IF(C151="","",IFERROR(INDEX(LOTES!$D$5:$D$1004,MATCH(C151,LOTES!$F$5:$F$1004,0)),"¿Lote?"))</f>
        <v>Block 6"</v>
      </c>
      <c r="E151" s="11" t="str">
        <f aca="false">IF(C151="","",IFERROR(INDEX(LOTES!$C$5:$C$1004,MATCH(C151,LOTES!$F$5:$F$1004,0)),""))</f>
        <v>P2</v>
      </c>
      <c r="F151" s="24" t="n">
        <f aca="false">IF(C151="","",IFERROR(INDEX(LOTES!$B$5:$B$1004,MATCH(C151,LOTES!$F$5:$F$1004,0)),""))</f>
        <v>45745</v>
      </c>
      <c r="G151" s="15" t="n">
        <f aca="false">IF(OR(B151="",F151=""),"",B151-F151)</f>
        <v>3</v>
      </c>
      <c r="H151" s="13" t="s">
        <v>135</v>
      </c>
      <c r="I151" s="13" t="s">
        <v>131</v>
      </c>
      <c r="J151" s="13" t="s">
        <v>188</v>
      </c>
      <c r="K151" s="25" t="n">
        <v>14.5</v>
      </c>
      <c r="L151" s="25" t="n">
        <v>19.5</v>
      </c>
      <c r="M151" s="25" t="n">
        <v>39.5</v>
      </c>
      <c r="N151" s="25"/>
      <c r="O151" s="26" t="n">
        <v>37167</v>
      </c>
      <c r="P151" s="16" t="n">
        <f aca="false">IF(O151="","",IFERROR(1/(1/(IF(K151="",INDEX(CONFIG!$F$5:$F$14,MATCH(D151,CONFIG!$D$5:$D$14,0)),K151)*IF(M151="",INDEX(CONFIG!$H$5:$H$14,MATCH(D151,CONFIG!$D$5:$D$14,0)),M151))),""))</f>
        <v>572.75</v>
      </c>
      <c r="Q151" s="16" t="n">
        <f aca="false">IF(OR(O151="",P151=""),"",O151/P151)</f>
        <v>64.8921868179834</v>
      </c>
      <c r="R151" s="16" t="n">
        <f aca="false">IF(Q151="","",Q151*0.0980665)</f>
        <v>6.36374963858577</v>
      </c>
      <c r="S151" s="16" t="str">
        <f aca="false">IF(Q151="","",IFERROR(Q151/(1/(1/INDEX(CONFIG!$I$5:$I$14,MATCH(D151,CONFIG!$D$5:$D$14,0)))),""))</f>
        <v/>
      </c>
      <c r="T151" s="13"/>
      <c r="U151" s="13"/>
      <c r="V151" s="13"/>
      <c r="W151" s="13"/>
      <c r="X151" s="22" t="n">
        <f aca="false">IF(Q151="","",Q151^2)</f>
        <v>4210.99591002006</v>
      </c>
      <c r="Y151" s="22" t="str">
        <f aca="false">IF(AND(C151&lt;&gt;"",C151=CERTIFICADO!$E$4,OR(CERTIFICADO!$E$5="",B151=CERTIFICADO!$E$5)),MAX($Y$4:Y150)+1,"")</f>
        <v/>
      </c>
    </row>
    <row r="152" customFormat="false" ht="15" hidden="false" customHeight="false" outlineLevel="0" collapsed="false">
      <c r="A152" s="11" t="n">
        <f aca="false">IF(C152="","",ROW()-4)</f>
        <v>148</v>
      </c>
      <c r="B152" s="12" t="n">
        <v>45748</v>
      </c>
      <c r="C152" s="13" t="s">
        <v>187</v>
      </c>
      <c r="D152" s="23" t="str">
        <f aca="false">IF(C152="","",IFERROR(INDEX(LOTES!$D$5:$D$1004,MATCH(C152,LOTES!$F$5:$F$1004,0)),"¿Lote?"))</f>
        <v>Block 6"</v>
      </c>
      <c r="E152" s="11" t="str">
        <f aca="false">IF(C152="","",IFERROR(INDEX(LOTES!$C$5:$C$1004,MATCH(C152,LOTES!$F$5:$F$1004,0)),""))</f>
        <v>P2</v>
      </c>
      <c r="F152" s="24" t="n">
        <f aca="false">IF(C152="","",IFERROR(INDEX(LOTES!$B$5:$B$1004,MATCH(C152,LOTES!$F$5:$F$1004,0)),""))</f>
        <v>45745</v>
      </c>
      <c r="G152" s="15" t="n">
        <f aca="false">IF(OR(B152="",F152=""),"",B152-F152)</f>
        <v>3</v>
      </c>
      <c r="H152" s="13" t="s">
        <v>135</v>
      </c>
      <c r="I152" s="13" t="s">
        <v>131</v>
      </c>
      <c r="J152" s="13" t="s">
        <v>188</v>
      </c>
      <c r="K152" s="25" t="n">
        <v>14.5</v>
      </c>
      <c r="L152" s="25" t="n">
        <v>19.5</v>
      </c>
      <c r="M152" s="25" t="n">
        <v>39.5</v>
      </c>
      <c r="N152" s="25"/>
      <c r="O152" s="26" t="n">
        <v>46361</v>
      </c>
      <c r="P152" s="16" t="n">
        <f aca="false">IF(O152="","",IFERROR(1/(1/(IF(K152="",INDEX(CONFIG!$F$5:$F$14,MATCH(D152,CONFIG!$D$5:$D$14,0)),K152)*IF(M152="",INDEX(CONFIG!$H$5:$H$14,MATCH(D152,CONFIG!$D$5:$D$14,0)),M152))),""))</f>
        <v>572.75</v>
      </c>
      <c r="Q152" s="16" t="n">
        <f aca="false">IF(OR(O152="",P152=""),"",O152/P152)</f>
        <v>80.9445656918376</v>
      </c>
      <c r="R152" s="16" t="n">
        <f aca="false">IF(Q152="","",Q152*0.0980665)</f>
        <v>7.93795025141859</v>
      </c>
      <c r="S152" s="16" t="str">
        <f aca="false">IF(Q152="","",IFERROR(Q152/(1/(1/INDEX(CONFIG!$I$5:$I$14,MATCH(D152,CONFIG!$D$5:$D$14,0)))),""))</f>
        <v/>
      </c>
      <c r="T152" s="13"/>
      <c r="U152" s="13"/>
      <c r="V152" s="13"/>
      <c r="W152" s="13"/>
      <c r="X152" s="22" t="n">
        <f aca="false">IF(Q152="","",Q152^2)</f>
        <v>6552.02271504022</v>
      </c>
      <c r="Y152" s="22" t="str">
        <f aca="false">IF(AND(C152&lt;&gt;"",C152=CERTIFICADO!$E$4,OR(CERTIFICADO!$E$5="",B152=CERTIFICADO!$E$5)),MAX($Y$4:Y151)+1,"")</f>
        <v/>
      </c>
    </row>
    <row r="153" customFormat="false" ht="15" hidden="false" customHeight="false" outlineLevel="0" collapsed="false">
      <c r="A153" s="11" t="n">
        <f aca="false">IF(C153="","",ROW()-4)</f>
        <v>149</v>
      </c>
      <c r="B153" s="12" t="n">
        <v>45751</v>
      </c>
      <c r="C153" s="13" t="s">
        <v>189</v>
      </c>
      <c r="D153" s="23" t="str">
        <f aca="false">IF(C153="","",IFERROR(INDEX(LOTES!$D$5:$D$1004,MATCH(C153,LOTES!$F$5:$F$1004,0)),"¿Lote?"))</f>
        <v>Block 8"</v>
      </c>
      <c r="E153" s="11" t="str">
        <f aca="false">IF(C153="","",IFERROR(INDEX(LOTES!$C$5:$C$1004,MATCH(C153,LOTES!$F$5:$F$1004,0)),""))</f>
        <v>P1</v>
      </c>
      <c r="F153" s="24" t="n">
        <f aca="false">IF(C153="","",IFERROR(INDEX(LOTES!$B$5:$B$1004,MATCH(C153,LOTES!$F$5:$F$1004,0)),""))</f>
        <v>45749</v>
      </c>
      <c r="G153" s="15" t="n">
        <f aca="false">IF(OR(B153="",F153=""),"",B153-F153)</f>
        <v>2</v>
      </c>
      <c r="H153" s="13" t="s">
        <v>135</v>
      </c>
      <c r="I153" s="13" t="s">
        <v>131</v>
      </c>
      <c r="J153" s="13" t="s">
        <v>190</v>
      </c>
      <c r="K153" s="25" t="n">
        <v>19.5</v>
      </c>
      <c r="L153" s="25" t="n">
        <v>19.5</v>
      </c>
      <c r="M153" s="25" t="n">
        <v>39.5</v>
      </c>
      <c r="N153" s="25"/>
      <c r="O153" s="26" t="n">
        <v>51732</v>
      </c>
      <c r="P153" s="16" t="n">
        <f aca="false">IF(O153="","",IFERROR(1/(1/(IF(K153="",INDEX(CONFIG!$F$5:$F$14,MATCH(D153,CONFIG!$D$5:$D$14,0)),K153)*IF(M153="",INDEX(CONFIG!$H$5:$H$14,MATCH(D153,CONFIG!$D$5:$D$14,0)),M153))),""))</f>
        <v>770.25</v>
      </c>
      <c r="Q153" s="16" t="n">
        <f aca="false">IF(OR(O153="",P153=""),"",O153/P153)</f>
        <v>67.1626095423564</v>
      </c>
      <c r="R153" s="16" t="n">
        <f aca="false">IF(Q153="","",Q153*0.0980665)</f>
        <v>6.58640204868549</v>
      </c>
      <c r="S153" s="16" t="str">
        <f aca="false">IF(Q153="","",IFERROR(Q153/(1/(1/INDEX(CONFIG!$I$5:$I$14,MATCH(D153,CONFIG!$D$5:$D$14,0)))),""))</f>
        <v/>
      </c>
      <c r="T153" s="13"/>
      <c r="U153" s="13"/>
      <c r="V153" s="13"/>
      <c r="W153" s="13"/>
      <c r="X153" s="22" t="n">
        <f aca="false">IF(Q153="","",Q153^2)</f>
        <v>4510.81612053902</v>
      </c>
      <c r="Y153" s="22" t="str">
        <f aca="false">IF(AND(C153&lt;&gt;"",C153=CERTIFICADO!$E$4,OR(CERTIFICADO!$E$5="",B153=CERTIFICADO!$E$5)),MAX($Y$4:Y152)+1,"")</f>
        <v/>
      </c>
    </row>
    <row r="154" customFormat="false" ht="15" hidden="false" customHeight="false" outlineLevel="0" collapsed="false">
      <c r="A154" s="11" t="n">
        <f aca="false">IF(C154="","",ROW()-4)</f>
        <v>150</v>
      </c>
      <c r="B154" s="12" t="n">
        <v>45751</v>
      </c>
      <c r="C154" s="13" t="s">
        <v>189</v>
      </c>
      <c r="D154" s="23" t="str">
        <f aca="false">IF(C154="","",IFERROR(INDEX(LOTES!$D$5:$D$1004,MATCH(C154,LOTES!$F$5:$F$1004,0)),"¿Lote?"))</f>
        <v>Block 8"</v>
      </c>
      <c r="E154" s="11" t="str">
        <f aca="false">IF(C154="","",IFERROR(INDEX(LOTES!$C$5:$C$1004,MATCH(C154,LOTES!$F$5:$F$1004,0)),""))</f>
        <v>P1</v>
      </c>
      <c r="F154" s="24" t="n">
        <f aca="false">IF(C154="","",IFERROR(INDEX(LOTES!$B$5:$B$1004,MATCH(C154,LOTES!$F$5:$F$1004,0)),""))</f>
        <v>45749</v>
      </c>
      <c r="G154" s="15" t="n">
        <f aca="false">IF(OR(B154="",F154=""),"",B154-F154)</f>
        <v>2</v>
      </c>
      <c r="H154" s="13" t="s">
        <v>135</v>
      </c>
      <c r="I154" s="13" t="s">
        <v>131</v>
      </c>
      <c r="J154" s="13" t="s">
        <v>190</v>
      </c>
      <c r="K154" s="25" t="n">
        <v>19.5</v>
      </c>
      <c r="L154" s="25" t="n">
        <v>19.5</v>
      </c>
      <c r="M154" s="25" t="n">
        <v>39.5</v>
      </c>
      <c r="N154" s="25"/>
      <c r="O154" s="26" t="n">
        <v>51201</v>
      </c>
      <c r="P154" s="16" t="n">
        <f aca="false">IF(O154="","",IFERROR(1/(1/(IF(K154="",INDEX(CONFIG!$F$5:$F$14,MATCH(D154,CONFIG!$D$5:$D$14,0)),K154)*IF(M154="",INDEX(CONFIG!$H$5:$H$14,MATCH(D154,CONFIG!$D$5:$D$14,0)),M154))),""))</f>
        <v>770.25</v>
      </c>
      <c r="Q154" s="16" t="n">
        <f aca="false">IF(OR(O154="",P154=""),"",O154/P154)</f>
        <v>66.4732229795521</v>
      </c>
      <c r="R154" s="16" t="n">
        <f aca="false">IF(Q154="","",Q154*0.0980665)</f>
        <v>6.51879632132425</v>
      </c>
      <c r="S154" s="16" t="str">
        <f aca="false">IF(Q154="","",IFERROR(Q154/(1/(1/INDEX(CONFIG!$I$5:$I$14,MATCH(D154,CONFIG!$D$5:$D$14,0)))),""))</f>
        <v/>
      </c>
      <c r="T154" s="13"/>
      <c r="U154" s="13"/>
      <c r="V154" s="13"/>
      <c r="W154" s="13"/>
      <c r="X154" s="22" t="n">
        <f aca="false">IF(Q154="","",Q154^2)</f>
        <v>4418.68937328925</v>
      </c>
      <c r="Y154" s="22" t="str">
        <f aca="false">IF(AND(C154&lt;&gt;"",C154=CERTIFICADO!$E$4,OR(CERTIFICADO!$E$5="",B154=CERTIFICADO!$E$5)),MAX($Y$4:Y153)+1,"")</f>
        <v/>
      </c>
    </row>
    <row r="155" customFormat="false" ht="15" hidden="false" customHeight="false" outlineLevel="0" collapsed="false">
      <c r="A155" s="11" t="n">
        <f aca="false">IF(C155="","",ROW()-4)</f>
        <v>151</v>
      </c>
      <c r="B155" s="12" t="n">
        <v>45751</v>
      </c>
      <c r="C155" s="13" t="s">
        <v>189</v>
      </c>
      <c r="D155" s="23" t="str">
        <f aca="false">IF(C155="","",IFERROR(INDEX(LOTES!$D$5:$D$1004,MATCH(C155,LOTES!$F$5:$F$1004,0)),"¿Lote?"))</f>
        <v>Block 8"</v>
      </c>
      <c r="E155" s="11" t="str">
        <f aca="false">IF(C155="","",IFERROR(INDEX(LOTES!$C$5:$C$1004,MATCH(C155,LOTES!$F$5:$F$1004,0)),""))</f>
        <v>P1</v>
      </c>
      <c r="F155" s="24" t="n">
        <f aca="false">IF(C155="","",IFERROR(INDEX(LOTES!$B$5:$B$1004,MATCH(C155,LOTES!$F$5:$F$1004,0)),""))</f>
        <v>45749</v>
      </c>
      <c r="G155" s="15" t="n">
        <f aca="false">IF(OR(B155="",F155=""),"",B155-F155)</f>
        <v>2</v>
      </c>
      <c r="H155" s="13" t="s">
        <v>135</v>
      </c>
      <c r="I155" s="13" t="s">
        <v>131</v>
      </c>
      <c r="J155" s="13" t="s">
        <v>190</v>
      </c>
      <c r="K155" s="25" t="n">
        <v>19.5</v>
      </c>
      <c r="L155" s="25" t="n">
        <v>19.5</v>
      </c>
      <c r="M155" s="25" t="n">
        <v>39.5</v>
      </c>
      <c r="N155" s="25"/>
      <c r="O155" s="26" t="n">
        <v>56141</v>
      </c>
      <c r="P155" s="16" t="n">
        <f aca="false">IF(O155="","",IFERROR(1/(1/(IF(K155="",INDEX(CONFIG!$F$5:$F$14,MATCH(D155,CONFIG!$D$5:$D$14,0)),K155)*IF(M155="",INDEX(CONFIG!$H$5:$H$14,MATCH(D155,CONFIG!$D$5:$D$14,0)),M155))),""))</f>
        <v>770.25</v>
      </c>
      <c r="Q155" s="16" t="n">
        <f aca="false">IF(OR(O155="",P155=""),"",O155/P155)</f>
        <v>72.8867250892567</v>
      </c>
      <c r="R155" s="16" t="n">
        <f aca="false">IF(Q155="","",Q155*0.0980665)</f>
        <v>7.1477460259656</v>
      </c>
      <c r="S155" s="16" t="str">
        <f aca="false">IF(Q155="","",IFERROR(Q155/(1/(1/INDEX(CONFIG!$I$5:$I$14,MATCH(D155,CONFIG!$D$5:$D$14,0)))),""))</f>
        <v/>
      </c>
      <c r="T155" s="13"/>
      <c r="U155" s="13"/>
      <c r="V155" s="13"/>
      <c r="W155" s="13"/>
      <c r="X155" s="22" t="n">
        <f aca="false">IF(Q155="","",Q155^2)</f>
        <v>5312.47469423689</v>
      </c>
      <c r="Y155" s="22" t="str">
        <f aca="false">IF(AND(C155&lt;&gt;"",C155=CERTIFICADO!$E$4,OR(CERTIFICADO!$E$5="",B155=CERTIFICADO!$E$5)),MAX($Y$4:Y154)+1,"")</f>
        <v/>
      </c>
    </row>
    <row r="156" customFormat="false" ht="15" hidden="false" customHeight="false" outlineLevel="0" collapsed="false">
      <c r="A156" s="11" t="n">
        <f aca="false">IF(C156="","",ROW()-4)</f>
        <v>152</v>
      </c>
      <c r="B156" s="12" t="n">
        <v>45751</v>
      </c>
      <c r="C156" s="13" t="s">
        <v>189</v>
      </c>
      <c r="D156" s="23" t="str">
        <f aca="false">IF(C156="","",IFERROR(INDEX(LOTES!$D$5:$D$1004,MATCH(C156,LOTES!$F$5:$F$1004,0)),"¿Lote?"))</f>
        <v>Block 8"</v>
      </c>
      <c r="E156" s="11" t="str">
        <f aca="false">IF(C156="","",IFERROR(INDEX(LOTES!$C$5:$C$1004,MATCH(C156,LOTES!$F$5:$F$1004,0)),""))</f>
        <v>P1</v>
      </c>
      <c r="F156" s="24" t="n">
        <f aca="false">IF(C156="","",IFERROR(INDEX(LOTES!$B$5:$B$1004,MATCH(C156,LOTES!$F$5:$F$1004,0)),""))</f>
        <v>45749</v>
      </c>
      <c r="G156" s="15" t="n">
        <f aca="false">IF(OR(B156="",F156=""),"",B156-F156)</f>
        <v>2</v>
      </c>
      <c r="H156" s="13" t="s">
        <v>135</v>
      </c>
      <c r="I156" s="13" t="s">
        <v>131</v>
      </c>
      <c r="J156" s="13" t="s">
        <v>190</v>
      </c>
      <c r="K156" s="25" t="n">
        <v>19.5</v>
      </c>
      <c r="L156" s="25" t="n">
        <v>19.5</v>
      </c>
      <c r="M156" s="25" t="n">
        <v>39.5</v>
      </c>
      <c r="N156" s="25"/>
      <c r="O156" s="26" t="n">
        <v>58676</v>
      </c>
      <c r="P156" s="16" t="n">
        <f aca="false">IF(O156="","",IFERROR(1/(1/(IF(K156="",INDEX(CONFIG!$F$5:$F$14,MATCH(D156,CONFIG!$D$5:$D$14,0)),K156)*IF(M156="",INDEX(CONFIG!$H$5:$H$14,MATCH(D156,CONFIG!$D$5:$D$14,0)),M156))),""))</f>
        <v>770.25</v>
      </c>
      <c r="Q156" s="16" t="n">
        <f aca="false">IF(OR(O156="",P156=""),"",O156/P156)</f>
        <v>76.1778643297631</v>
      </c>
      <c r="R156" s="16" t="n">
        <f aca="false">IF(Q156="","",Q156*0.0980665)</f>
        <v>7.47049653229471</v>
      </c>
      <c r="S156" s="16" t="str">
        <f aca="false">IF(Q156="","",IFERROR(Q156/(1/(1/INDEX(CONFIG!$I$5:$I$14,MATCH(D156,CONFIG!$D$5:$D$14,0)))),""))</f>
        <v/>
      </c>
      <c r="T156" s="13"/>
      <c r="U156" s="13"/>
      <c r="V156" s="13"/>
      <c r="W156" s="13"/>
      <c r="X156" s="22" t="n">
        <f aca="false">IF(Q156="","",Q156^2)</f>
        <v>5803.06701384379</v>
      </c>
      <c r="Y156" s="22" t="str">
        <f aca="false">IF(AND(C156&lt;&gt;"",C156=CERTIFICADO!$E$4,OR(CERTIFICADO!$E$5="",B156=CERTIFICADO!$E$5)),MAX($Y$4:Y155)+1,"")</f>
        <v/>
      </c>
    </row>
    <row r="157" customFormat="false" ht="15" hidden="false" customHeight="false" outlineLevel="0" collapsed="false">
      <c r="A157" s="11" t="n">
        <f aca="false">IF(C157="","",ROW()-4)</f>
        <v>153</v>
      </c>
      <c r="B157" s="12" t="n">
        <v>45776</v>
      </c>
      <c r="C157" s="13" t="s">
        <v>191</v>
      </c>
      <c r="D157" s="23" t="str">
        <f aca="false">IF(C157="","",IFERROR(INDEX(LOTES!$D$5:$D$1004,MATCH(C157,LOTES!$F$5:$F$1004,0)),"¿Lote?"))</f>
        <v>Block 8"</v>
      </c>
      <c r="E157" s="11" t="str">
        <f aca="false">IF(C157="","",IFERROR(INDEX(LOTES!$C$5:$C$1004,MATCH(C157,LOTES!$F$5:$F$1004,0)),""))</f>
        <v>P1</v>
      </c>
      <c r="F157" s="24" t="n">
        <f aca="false">IF(C157="","",IFERROR(INDEX(LOTES!$B$5:$B$1004,MATCH(C157,LOTES!$F$5:$F$1004,0)),""))</f>
        <v>45773</v>
      </c>
      <c r="G157" s="15" t="n">
        <f aca="false">IF(OR(B157="",F157=""),"",B157-F157)</f>
        <v>3</v>
      </c>
      <c r="H157" s="13" t="s">
        <v>135</v>
      </c>
      <c r="I157" s="13" t="s">
        <v>131</v>
      </c>
      <c r="J157" s="13" t="s">
        <v>192</v>
      </c>
      <c r="K157" s="25" t="n">
        <v>19.5</v>
      </c>
      <c r="L157" s="25" t="n">
        <v>19.5</v>
      </c>
      <c r="M157" s="25" t="n">
        <v>39.5</v>
      </c>
      <c r="N157" s="25"/>
      <c r="O157" s="26" t="n">
        <v>47949</v>
      </c>
      <c r="P157" s="16" t="n">
        <f aca="false">IF(O157="","",IFERROR(1/(1/(IF(K157="",INDEX(CONFIG!$F$5:$F$14,MATCH(D157,CONFIG!$D$5:$D$14,0)),K157)*IF(M157="",INDEX(CONFIG!$H$5:$H$14,MATCH(D157,CONFIG!$D$5:$D$14,0)),M157))),""))</f>
        <v>770.25</v>
      </c>
      <c r="Q157" s="16" t="n">
        <f aca="false">IF(OR(O157="",P157=""),"",O157/P157)</f>
        <v>62.2512171372931</v>
      </c>
      <c r="R157" s="16" t="n">
        <f aca="false">IF(Q157="","",Q157*0.0980665)</f>
        <v>6.10475898539435</v>
      </c>
      <c r="S157" s="16" t="str">
        <f aca="false">IF(Q157="","",IFERROR(Q157/(1/(1/INDEX(CONFIG!$I$5:$I$14,MATCH(D157,CONFIG!$D$5:$D$14,0)))),""))</f>
        <v/>
      </c>
      <c r="T157" s="13"/>
      <c r="U157" s="13"/>
      <c r="V157" s="13"/>
      <c r="W157" s="13"/>
      <c r="X157" s="22" t="n">
        <f aca="false">IF(Q157="","",Q157^2)</f>
        <v>3875.21403507441</v>
      </c>
      <c r="Y157" s="22" t="str">
        <f aca="false">IF(AND(C157&lt;&gt;"",C157=CERTIFICADO!$E$4,OR(CERTIFICADO!$E$5="",B157=CERTIFICADO!$E$5)),MAX($Y$4:Y156)+1,"")</f>
        <v/>
      </c>
    </row>
    <row r="158" customFormat="false" ht="15" hidden="false" customHeight="false" outlineLevel="0" collapsed="false">
      <c r="A158" s="11" t="n">
        <f aca="false">IF(C158="","",ROW()-4)</f>
        <v>154</v>
      </c>
      <c r="B158" s="12" t="n">
        <v>45776</v>
      </c>
      <c r="C158" s="13" t="s">
        <v>191</v>
      </c>
      <c r="D158" s="23" t="str">
        <f aca="false">IF(C158="","",IFERROR(INDEX(LOTES!$D$5:$D$1004,MATCH(C158,LOTES!$F$5:$F$1004,0)),"¿Lote?"))</f>
        <v>Block 8"</v>
      </c>
      <c r="E158" s="11" t="str">
        <f aca="false">IF(C158="","",IFERROR(INDEX(LOTES!$C$5:$C$1004,MATCH(C158,LOTES!$F$5:$F$1004,0)),""))</f>
        <v>P1</v>
      </c>
      <c r="F158" s="24" t="n">
        <f aca="false">IF(C158="","",IFERROR(INDEX(LOTES!$B$5:$B$1004,MATCH(C158,LOTES!$F$5:$F$1004,0)),""))</f>
        <v>45773</v>
      </c>
      <c r="G158" s="15" t="n">
        <f aca="false">IF(OR(B158="",F158=""),"",B158-F158)</f>
        <v>3</v>
      </c>
      <c r="H158" s="13" t="s">
        <v>135</v>
      </c>
      <c r="I158" s="13" t="s">
        <v>131</v>
      </c>
      <c r="J158" s="13" t="s">
        <v>192</v>
      </c>
      <c r="K158" s="25" t="n">
        <v>19.5</v>
      </c>
      <c r="L158" s="25" t="n">
        <v>19.5</v>
      </c>
      <c r="M158" s="25" t="n">
        <v>39.5</v>
      </c>
      <c r="N158" s="25"/>
      <c r="O158" s="26" t="n">
        <v>54689</v>
      </c>
      <c r="P158" s="16" t="n">
        <f aca="false">IF(O158="","",IFERROR(1/(1/(IF(K158="",INDEX(CONFIG!$F$5:$F$14,MATCH(D158,CONFIG!$D$5:$D$14,0)),K158)*IF(M158="",INDEX(CONFIG!$H$5:$H$14,MATCH(D158,CONFIG!$D$5:$D$14,0)),M158))),""))</f>
        <v>770.25</v>
      </c>
      <c r="Q158" s="16" t="n">
        <f aca="false">IF(OR(O158="",P158=""),"",O158/P158)</f>
        <v>71.0016228497241</v>
      </c>
      <c r="R158" s="16" t="n">
        <f aca="false">IF(Q158="","",Q158*0.0980665)</f>
        <v>6.96288064719247</v>
      </c>
      <c r="S158" s="16" t="str">
        <f aca="false">IF(Q158="","",IFERROR(Q158/(1/(1/INDEX(CONFIG!$I$5:$I$14,MATCH(D158,CONFIG!$D$5:$D$14,0)))),""))</f>
        <v/>
      </c>
      <c r="T158" s="13"/>
      <c r="U158" s="13"/>
      <c r="V158" s="13"/>
      <c r="W158" s="13"/>
      <c r="X158" s="22" t="n">
        <f aca="false">IF(Q158="","",Q158^2)</f>
        <v>5041.23044729447</v>
      </c>
      <c r="Y158" s="22" t="str">
        <f aca="false">IF(AND(C158&lt;&gt;"",C158=CERTIFICADO!$E$4,OR(CERTIFICADO!$E$5="",B158=CERTIFICADO!$E$5)),MAX($Y$4:Y157)+1,"")</f>
        <v/>
      </c>
    </row>
    <row r="159" customFormat="false" ht="15" hidden="false" customHeight="false" outlineLevel="0" collapsed="false">
      <c r="A159" s="11" t="n">
        <f aca="false">IF(C159="","",ROW()-4)</f>
        <v>155</v>
      </c>
      <c r="B159" s="12" t="n">
        <v>45776</v>
      </c>
      <c r="C159" s="13" t="s">
        <v>191</v>
      </c>
      <c r="D159" s="23" t="str">
        <f aca="false">IF(C159="","",IFERROR(INDEX(LOTES!$D$5:$D$1004,MATCH(C159,LOTES!$F$5:$F$1004,0)),"¿Lote?"))</f>
        <v>Block 8"</v>
      </c>
      <c r="E159" s="11" t="str">
        <f aca="false">IF(C159="","",IFERROR(INDEX(LOTES!$C$5:$C$1004,MATCH(C159,LOTES!$F$5:$F$1004,0)),""))</f>
        <v>P1</v>
      </c>
      <c r="F159" s="24" t="n">
        <f aca="false">IF(C159="","",IFERROR(INDEX(LOTES!$B$5:$B$1004,MATCH(C159,LOTES!$F$5:$F$1004,0)),""))</f>
        <v>45773</v>
      </c>
      <c r="G159" s="15" t="n">
        <f aca="false">IF(OR(B159="",F159=""),"",B159-F159)</f>
        <v>3</v>
      </c>
      <c r="H159" s="13" t="s">
        <v>135</v>
      </c>
      <c r="I159" s="13" t="s">
        <v>131</v>
      </c>
      <c r="J159" s="13" t="s">
        <v>192</v>
      </c>
      <c r="K159" s="25" t="n">
        <v>19.5</v>
      </c>
      <c r="L159" s="25" t="n">
        <v>19.5</v>
      </c>
      <c r="M159" s="25" t="n">
        <v>39.5</v>
      </c>
      <c r="N159" s="25"/>
      <c r="O159" s="26" t="n">
        <v>56789</v>
      </c>
      <c r="P159" s="16" t="n">
        <f aca="false">IF(O159="","",IFERROR(1/(1/(IF(K159="",INDEX(CONFIG!$F$5:$F$14,MATCH(D159,CONFIG!$D$5:$D$14,0)),K159)*IF(M159="",INDEX(CONFIG!$H$5:$H$14,MATCH(D159,CONFIG!$D$5:$D$14,0)),M159))),""))</f>
        <v>770.25</v>
      </c>
      <c r="Q159" s="16" t="n">
        <f aca="false">IF(OR(O159="",P159=""),"",O159/P159)</f>
        <v>73.7280103862382</v>
      </c>
      <c r="R159" s="16" t="n">
        <f aca="false">IF(Q159="","",Q159*0.0980665)</f>
        <v>7.23024793054203</v>
      </c>
      <c r="S159" s="16" t="str">
        <f aca="false">IF(Q159="","",IFERROR(Q159/(1/(1/INDEX(CONFIG!$I$5:$I$14,MATCH(D159,CONFIG!$D$5:$D$14,0)))),""))</f>
        <v/>
      </c>
      <c r="T159" s="13"/>
      <c r="U159" s="13"/>
      <c r="V159" s="13"/>
      <c r="W159" s="13"/>
      <c r="X159" s="22" t="n">
        <f aca="false">IF(Q159="","",Q159^2)</f>
        <v>5435.81951551325</v>
      </c>
      <c r="Y159" s="22" t="str">
        <f aca="false">IF(AND(C159&lt;&gt;"",C159=CERTIFICADO!$E$4,OR(CERTIFICADO!$E$5="",B159=CERTIFICADO!$E$5)),MAX($Y$4:Y158)+1,"")</f>
        <v/>
      </c>
    </row>
    <row r="160" customFormat="false" ht="15" hidden="false" customHeight="false" outlineLevel="0" collapsed="false">
      <c r="A160" s="11" t="n">
        <f aca="false">IF(C160="","",ROW()-4)</f>
        <v>156</v>
      </c>
      <c r="B160" s="12" t="n">
        <v>45776</v>
      </c>
      <c r="C160" s="13" t="s">
        <v>191</v>
      </c>
      <c r="D160" s="23" t="str">
        <f aca="false">IF(C160="","",IFERROR(INDEX(LOTES!$D$5:$D$1004,MATCH(C160,LOTES!$F$5:$F$1004,0)),"¿Lote?"))</f>
        <v>Block 8"</v>
      </c>
      <c r="E160" s="11" t="str">
        <f aca="false">IF(C160="","",IFERROR(INDEX(LOTES!$C$5:$C$1004,MATCH(C160,LOTES!$F$5:$F$1004,0)),""))</f>
        <v>P1</v>
      </c>
      <c r="F160" s="24" t="n">
        <f aca="false">IF(C160="","",IFERROR(INDEX(LOTES!$B$5:$B$1004,MATCH(C160,LOTES!$F$5:$F$1004,0)),""))</f>
        <v>45773</v>
      </c>
      <c r="G160" s="15" t="n">
        <f aca="false">IF(OR(B160="",F160=""),"",B160-F160)</f>
        <v>3</v>
      </c>
      <c r="H160" s="13" t="s">
        <v>135</v>
      </c>
      <c r="I160" s="13" t="s">
        <v>131</v>
      </c>
      <c r="J160" s="13" t="s">
        <v>192</v>
      </c>
      <c r="K160" s="25" t="n">
        <v>19.5</v>
      </c>
      <c r="L160" s="25" t="n">
        <v>19.5</v>
      </c>
      <c r="M160" s="25" t="n">
        <v>39.5</v>
      </c>
      <c r="N160" s="25"/>
      <c r="O160" s="26" t="n">
        <v>55333</v>
      </c>
      <c r="P160" s="16" t="n">
        <f aca="false">IF(O160="","",IFERROR(1/(1/(IF(K160="",INDEX(CONFIG!$F$5:$F$14,MATCH(D160,CONFIG!$D$5:$D$14,0)),K160)*IF(M160="",INDEX(CONFIG!$H$5:$H$14,MATCH(D160,CONFIG!$D$5:$D$14,0)),M160))),""))</f>
        <v>770.25</v>
      </c>
      <c r="Q160" s="16" t="n">
        <f aca="false">IF(OR(O160="",P160=""),"",O160/P160)</f>
        <v>71.8377150275884</v>
      </c>
      <c r="R160" s="16" t="n">
        <f aca="false">IF(Q160="","",Q160*0.0980665)</f>
        <v>7.044873280753</v>
      </c>
      <c r="S160" s="16" t="str">
        <f aca="false">IF(Q160="","",IFERROR(Q160/(1/(1/INDEX(CONFIG!$I$5:$I$14,MATCH(D160,CONFIG!$D$5:$D$14,0)))),""))</f>
        <v/>
      </c>
      <c r="T160" s="13"/>
      <c r="U160" s="13"/>
      <c r="V160" s="13"/>
      <c r="W160" s="13"/>
      <c r="X160" s="22" t="n">
        <f aca="false">IF(Q160="","",Q160^2)</f>
        <v>5160.65730038501</v>
      </c>
      <c r="Y160" s="22" t="str">
        <f aca="false">IF(AND(C160&lt;&gt;"",C160=CERTIFICADO!$E$4,OR(CERTIFICADO!$E$5="",B160=CERTIFICADO!$E$5)),MAX($Y$4:Y159)+1,"")</f>
        <v/>
      </c>
    </row>
    <row r="161" customFormat="false" ht="15" hidden="false" customHeight="false" outlineLevel="0" collapsed="false">
      <c r="A161" s="11" t="n">
        <f aca="false">IF(C161="","",ROW()-4)</f>
        <v>157</v>
      </c>
      <c r="B161" s="12" t="n">
        <v>45777</v>
      </c>
      <c r="C161" s="13" t="s">
        <v>193</v>
      </c>
      <c r="D161" s="23" t="str">
        <f aca="false">IF(C161="","",IFERROR(INDEX(LOTES!$D$5:$D$1004,MATCH(C161,LOTES!$F$5:$F$1004,0)),"¿Lote?"))</f>
        <v>Block 8"</v>
      </c>
      <c r="E161" s="11" t="str">
        <f aca="false">IF(C161="","",IFERROR(INDEX(LOTES!$C$5:$C$1004,MATCH(C161,LOTES!$F$5:$F$1004,0)),""))</f>
        <v>P1</v>
      </c>
      <c r="F161" s="24" t="n">
        <f aca="false">IF(C161="","",IFERROR(INDEX(LOTES!$B$5:$B$1004,MATCH(C161,LOTES!$F$5:$F$1004,0)),""))</f>
        <v>45775</v>
      </c>
      <c r="G161" s="15" t="n">
        <f aca="false">IF(OR(B161="",F161=""),"",B161-F161)</f>
        <v>2</v>
      </c>
      <c r="H161" s="13" t="s">
        <v>135</v>
      </c>
      <c r="I161" s="13" t="s">
        <v>131</v>
      </c>
      <c r="J161" s="13" t="s">
        <v>194</v>
      </c>
      <c r="K161" s="25" t="n">
        <v>19.5</v>
      </c>
      <c r="L161" s="25" t="n">
        <v>19.5</v>
      </c>
      <c r="M161" s="25" t="n">
        <v>39.5</v>
      </c>
      <c r="N161" s="25"/>
      <c r="O161" s="26" t="n">
        <v>53256</v>
      </c>
      <c r="P161" s="16" t="n">
        <f aca="false">IF(O161="","",IFERROR(1/(1/(IF(K161="",INDEX(CONFIG!$F$5:$F$14,MATCH(D161,CONFIG!$D$5:$D$14,0)),K161)*IF(M161="",INDEX(CONFIG!$H$5:$H$14,MATCH(D161,CONFIG!$D$5:$D$14,0)),M161))),""))</f>
        <v>770.25</v>
      </c>
      <c r="Q161" s="16" t="n">
        <f aca="false">IF(OR(O161="",P161=""),"",O161/P161)</f>
        <v>69.1411879259981</v>
      </c>
      <c r="R161" s="16" t="n">
        <f aca="false">IF(Q161="","",Q161*0.0980665)</f>
        <v>6.78043430574489</v>
      </c>
      <c r="S161" s="16" t="str">
        <f aca="false">IF(Q161="","",IFERROR(Q161/(1/(1/INDEX(CONFIG!$I$5:$I$14,MATCH(D161,CONFIG!$D$5:$D$14,0)))),""))</f>
        <v/>
      </c>
      <c r="T161" s="13"/>
      <c r="U161" s="13"/>
      <c r="V161" s="13"/>
      <c r="W161" s="13"/>
      <c r="X161" s="22" t="n">
        <f aca="false">IF(Q161="","",Q161^2)</f>
        <v>4780.50386781818</v>
      </c>
      <c r="Y161" s="22" t="str">
        <f aca="false">IF(AND(C161&lt;&gt;"",C161=CERTIFICADO!$E$4,OR(CERTIFICADO!$E$5="",B161=CERTIFICADO!$E$5)),MAX($Y$4:Y160)+1,"")</f>
        <v/>
      </c>
    </row>
    <row r="162" customFormat="false" ht="15" hidden="false" customHeight="false" outlineLevel="0" collapsed="false">
      <c r="A162" s="11" t="n">
        <f aca="false">IF(C162="","",ROW()-4)</f>
        <v>158</v>
      </c>
      <c r="B162" s="12" t="n">
        <v>45777</v>
      </c>
      <c r="C162" s="13" t="s">
        <v>193</v>
      </c>
      <c r="D162" s="23" t="str">
        <f aca="false">IF(C162="","",IFERROR(INDEX(LOTES!$D$5:$D$1004,MATCH(C162,LOTES!$F$5:$F$1004,0)),"¿Lote?"))</f>
        <v>Block 8"</v>
      </c>
      <c r="E162" s="11" t="str">
        <f aca="false">IF(C162="","",IFERROR(INDEX(LOTES!$C$5:$C$1004,MATCH(C162,LOTES!$F$5:$F$1004,0)),""))</f>
        <v>P1</v>
      </c>
      <c r="F162" s="24" t="n">
        <f aca="false">IF(C162="","",IFERROR(INDEX(LOTES!$B$5:$B$1004,MATCH(C162,LOTES!$F$5:$F$1004,0)),""))</f>
        <v>45775</v>
      </c>
      <c r="G162" s="15" t="n">
        <f aca="false">IF(OR(B162="",F162=""),"",B162-F162)</f>
        <v>2</v>
      </c>
      <c r="H162" s="13" t="s">
        <v>135</v>
      </c>
      <c r="I162" s="13" t="s">
        <v>131</v>
      </c>
      <c r="J162" s="13" t="s">
        <v>194</v>
      </c>
      <c r="K162" s="25" t="n">
        <v>19.5</v>
      </c>
      <c r="L162" s="25" t="n">
        <v>19.5</v>
      </c>
      <c r="M162" s="25" t="n">
        <v>39.5</v>
      </c>
      <c r="N162" s="25"/>
      <c r="O162" s="26" t="n">
        <v>50371</v>
      </c>
      <c r="P162" s="16" t="n">
        <f aca="false">IF(O162="","",IFERROR(1/(1/(IF(K162="",INDEX(CONFIG!$F$5:$F$14,MATCH(D162,CONFIG!$D$5:$D$14,0)),K162)*IF(M162="",INDEX(CONFIG!$H$5:$H$14,MATCH(D162,CONFIG!$D$5:$D$14,0)),M162))),""))</f>
        <v>770.25</v>
      </c>
      <c r="Q162" s="16" t="n">
        <f aca="false">IF(OR(O162="",P162=""),"",O162/P162)</f>
        <v>65.3956507627394</v>
      </c>
      <c r="R162" s="16" t="n">
        <f aca="false">IF(Q162="","",Q162*0.0980665)</f>
        <v>6.41312258552418</v>
      </c>
      <c r="S162" s="16" t="str">
        <f aca="false">IF(Q162="","",IFERROR(Q162/(1/(1/INDEX(CONFIG!$I$5:$I$14,MATCH(D162,CONFIG!$D$5:$D$14,0)))),""))</f>
        <v/>
      </c>
      <c r="T162" s="13"/>
      <c r="U162" s="13"/>
      <c r="V162" s="13"/>
      <c r="W162" s="13"/>
      <c r="X162" s="22" t="n">
        <f aca="false">IF(Q162="","",Q162^2)</f>
        <v>4276.59113868217</v>
      </c>
      <c r="Y162" s="22" t="str">
        <f aca="false">IF(AND(C162&lt;&gt;"",C162=CERTIFICADO!$E$4,OR(CERTIFICADO!$E$5="",B162=CERTIFICADO!$E$5)),MAX($Y$4:Y161)+1,"")</f>
        <v/>
      </c>
    </row>
    <row r="163" customFormat="false" ht="15" hidden="false" customHeight="false" outlineLevel="0" collapsed="false">
      <c r="A163" s="11" t="n">
        <f aca="false">IF(C163="","",ROW()-4)</f>
        <v>159</v>
      </c>
      <c r="B163" s="12" t="n">
        <v>45777</v>
      </c>
      <c r="C163" s="13" t="s">
        <v>193</v>
      </c>
      <c r="D163" s="23" t="str">
        <f aca="false">IF(C163="","",IFERROR(INDEX(LOTES!$D$5:$D$1004,MATCH(C163,LOTES!$F$5:$F$1004,0)),"¿Lote?"))</f>
        <v>Block 8"</v>
      </c>
      <c r="E163" s="11" t="str">
        <f aca="false">IF(C163="","",IFERROR(INDEX(LOTES!$C$5:$C$1004,MATCH(C163,LOTES!$F$5:$F$1004,0)),""))</f>
        <v>P1</v>
      </c>
      <c r="F163" s="24" t="n">
        <f aca="false">IF(C163="","",IFERROR(INDEX(LOTES!$B$5:$B$1004,MATCH(C163,LOTES!$F$5:$F$1004,0)),""))</f>
        <v>45775</v>
      </c>
      <c r="G163" s="15" t="n">
        <f aca="false">IF(OR(B163="",F163=""),"",B163-F163)</f>
        <v>2</v>
      </c>
      <c r="H163" s="13" t="s">
        <v>135</v>
      </c>
      <c r="I163" s="13" t="s">
        <v>131</v>
      </c>
      <c r="J163" s="13" t="s">
        <v>194</v>
      </c>
      <c r="K163" s="25" t="n">
        <v>19.5</v>
      </c>
      <c r="L163" s="25" t="n">
        <v>19.5</v>
      </c>
      <c r="M163" s="25" t="n">
        <v>39.5</v>
      </c>
      <c r="N163" s="25"/>
      <c r="O163" s="26" t="n">
        <v>52566</v>
      </c>
      <c r="P163" s="16" t="n">
        <f aca="false">IF(O163="","",IFERROR(1/(1/(IF(K163="",INDEX(CONFIG!$F$5:$F$14,MATCH(D163,CONFIG!$D$5:$D$14,0)),K163)*IF(M163="",INDEX(CONFIG!$H$5:$H$14,MATCH(D163,CONFIG!$D$5:$D$14,0)),M163))),""))</f>
        <v>770.25</v>
      </c>
      <c r="Q163" s="16" t="n">
        <f aca="false">IF(OR(O163="",P163=""),"",O163/P163)</f>
        <v>68.2453748782863</v>
      </c>
      <c r="R163" s="16" t="n">
        <f aca="false">IF(Q163="","",Q163*0.0980665)</f>
        <v>6.69258505550146</v>
      </c>
      <c r="S163" s="16" t="str">
        <f aca="false">IF(Q163="","",IFERROR(Q163/(1/(1/INDEX(CONFIG!$I$5:$I$14,MATCH(D163,CONFIG!$D$5:$D$14,0)))),""))</f>
        <v/>
      </c>
      <c r="T163" s="13"/>
      <c r="U163" s="13"/>
      <c r="V163" s="13"/>
      <c r="W163" s="13"/>
      <c r="X163" s="22" t="n">
        <f aca="false">IF(Q163="","",Q163^2)</f>
        <v>4657.43119227783</v>
      </c>
      <c r="Y163" s="22" t="str">
        <f aca="false">IF(AND(C163&lt;&gt;"",C163=CERTIFICADO!$E$4,OR(CERTIFICADO!$E$5="",B163=CERTIFICADO!$E$5)),MAX($Y$4:Y162)+1,"")</f>
        <v/>
      </c>
    </row>
    <row r="164" customFormat="false" ht="15" hidden="false" customHeight="false" outlineLevel="0" collapsed="false">
      <c r="A164" s="11" t="n">
        <f aca="false">IF(C164="","",ROW()-4)</f>
        <v>160</v>
      </c>
      <c r="B164" s="12" t="n">
        <v>45777</v>
      </c>
      <c r="C164" s="13" t="s">
        <v>193</v>
      </c>
      <c r="D164" s="23" t="str">
        <f aca="false">IF(C164="","",IFERROR(INDEX(LOTES!$D$5:$D$1004,MATCH(C164,LOTES!$F$5:$F$1004,0)),"¿Lote?"))</f>
        <v>Block 8"</v>
      </c>
      <c r="E164" s="11" t="str">
        <f aca="false">IF(C164="","",IFERROR(INDEX(LOTES!$C$5:$C$1004,MATCH(C164,LOTES!$F$5:$F$1004,0)),""))</f>
        <v>P1</v>
      </c>
      <c r="F164" s="24" t="n">
        <f aca="false">IF(C164="","",IFERROR(INDEX(LOTES!$B$5:$B$1004,MATCH(C164,LOTES!$F$5:$F$1004,0)),""))</f>
        <v>45775</v>
      </c>
      <c r="G164" s="15" t="n">
        <f aca="false">IF(OR(B164="",F164=""),"",B164-F164)</f>
        <v>2</v>
      </c>
      <c r="H164" s="13" t="s">
        <v>135</v>
      </c>
      <c r="I164" s="13" t="s">
        <v>131</v>
      </c>
      <c r="J164" s="13" t="s">
        <v>194</v>
      </c>
      <c r="K164" s="25" t="n">
        <v>19.5</v>
      </c>
      <c r="L164" s="25" t="n">
        <v>19.5</v>
      </c>
      <c r="M164" s="25" t="n">
        <v>39.5</v>
      </c>
      <c r="N164" s="25"/>
      <c r="O164" s="26" t="n">
        <v>56871</v>
      </c>
      <c r="P164" s="16" t="n">
        <f aca="false">IF(O164="","",IFERROR(1/(1/(IF(K164="",INDEX(CONFIG!$F$5:$F$14,MATCH(D164,CONFIG!$D$5:$D$14,0)),K164)*IF(M164="",INDEX(CONFIG!$H$5:$H$14,MATCH(D164,CONFIG!$D$5:$D$14,0)),M164))),""))</f>
        <v>770.25</v>
      </c>
      <c r="Q164" s="16" t="n">
        <f aca="false">IF(OR(O164="",P164=""),"",O164/P164)</f>
        <v>73.8344693281402</v>
      </c>
      <c r="R164" s="16" t="n">
        <f aca="false">IF(Q164="","",Q164*0.0980665)</f>
        <v>7.24068798636806</v>
      </c>
      <c r="S164" s="16" t="str">
        <f aca="false">IF(Q164="","",IFERROR(Q164/(1/(1/INDEX(CONFIG!$I$5:$I$14,MATCH(D164,CONFIG!$D$5:$D$14,0)))),""))</f>
        <v/>
      </c>
      <c r="T164" s="13"/>
      <c r="U164" s="13"/>
      <c r="V164" s="13"/>
      <c r="W164" s="13"/>
      <c r="X164" s="22" t="n">
        <f aca="false">IF(Q164="","",Q164^2)</f>
        <v>5451.52886096808</v>
      </c>
      <c r="Y164" s="22" t="str">
        <f aca="false">IF(AND(C164&lt;&gt;"",C164=CERTIFICADO!$E$4,OR(CERTIFICADO!$E$5="",B164=CERTIFICADO!$E$5)),MAX($Y$4:Y163)+1,"")</f>
        <v/>
      </c>
    </row>
    <row r="165" customFormat="false" ht="15" hidden="false" customHeight="false" outlineLevel="0" collapsed="false">
      <c r="A165" s="11" t="n">
        <f aca="false">IF(C165="","",ROW()-4)</f>
        <v>161</v>
      </c>
      <c r="B165" s="12" t="n">
        <v>45783</v>
      </c>
      <c r="C165" s="13" t="s">
        <v>195</v>
      </c>
      <c r="D165" s="23" t="str">
        <f aca="false">IF(C165="","",IFERROR(INDEX(LOTES!$D$5:$D$1004,MATCH(C165,LOTES!$F$5:$F$1004,0)),"¿Lote?"))</f>
        <v>Block 8"</v>
      </c>
      <c r="E165" s="11" t="str">
        <f aca="false">IF(C165="","",IFERROR(INDEX(LOTES!$C$5:$C$1004,MATCH(C165,LOTES!$F$5:$F$1004,0)),""))</f>
        <v>P1</v>
      </c>
      <c r="F165" s="24" t="n">
        <f aca="false">IF(C165="","",IFERROR(INDEX(LOTES!$B$5:$B$1004,MATCH(C165,LOTES!$F$5:$F$1004,0)),""))</f>
        <v>45778</v>
      </c>
      <c r="G165" s="15" t="n">
        <f aca="false">IF(OR(B165="",F165=""),"",B165-F165)</f>
        <v>5</v>
      </c>
      <c r="H165" s="13" t="s">
        <v>135</v>
      </c>
      <c r="I165" s="13" t="s">
        <v>131</v>
      </c>
      <c r="J165" s="13" t="s">
        <v>196</v>
      </c>
      <c r="K165" s="25" t="n">
        <v>19.5</v>
      </c>
      <c r="L165" s="25" t="n">
        <v>19.5</v>
      </c>
      <c r="M165" s="25" t="n">
        <v>39.5</v>
      </c>
      <c r="N165" s="25"/>
      <c r="O165" s="26" t="n">
        <v>55555</v>
      </c>
      <c r="P165" s="16" t="n">
        <f aca="false">IF(O165="","",IFERROR(1/(1/(IF(K165="",INDEX(CONFIG!$F$5:$F$14,MATCH(D165,CONFIG!$D$5:$D$14,0)),K165)*IF(M165="",INDEX(CONFIG!$H$5:$H$14,MATCH(D165,CONFIG!$D$5:$D$14,0)),M165))),""))</f>
        <v>770.25</v>
      </c>
      <c r="Q165" s="16" t="n">
        <f aca="false">IF(OR(O165="",P165=""),"",O165/P165)</f>
        <v>72.1259331385914</v>
      </c>
      <c r="R165" s="16" t="n">
        <f aca="false">IF(Q165="","",Q165*0.0980665)</f>
        <v>7.07313782213567</v>
      </c>
      <c r="S165" s="16" t="str">
        <f aca="false">IF(Q165="","",IFERROR(Q165/(1/(1/INDEX(CONFIG!$I$5:$I$14,MATCH(D165,CONFIG!$D$5:$D$14,0)))),""))</f>
        <v/>
      </c>
      <c r="T165" s="13"/>
      <c r="U165" s="13"/>
      <c r="V165" s="13" t="s">
        <v>197</v>
      </c>
      <c r="W165" s="13"/>
      <c r="X165" s="22" t="n">
        <f aca="false">IF(Q165="","",Q165^2)</f>
        <v>5202.15023111255</v>
      </c>
      <c r="Y165" s="22" t="str">
        <f aca="false">IF(AND(C165&lt;&gt;"",C165=CERTIFICADO!$E$4,OR(CERTIFICADO!$E$5="",B165=CERTIFICADO!$E$5)),MAX($Y$4:Y164)+1,"")</f>
        <v/>
      </c>
    </row>
    <row r="166" customFormat="false" ht="15" hidden="false" customHeight="false" outlineLevel="0" collapsed="false">
      <c r="A166" s="11" t="n">
        <f aca="false">IF(C166="","",ROW()-4)</f>
        <v>162</v>
      </c>
      <c r="B166" s="12" t="n">
        <v>45783</v>
      </c>
      <c r="C166" s="13" t="s">
        <v>195</v>
      </c>
      <c r="D166" s="23" t="str">
        <f aca="false">IF(C166="","",IFERROR(INDEX(LOTES!$D$5:$D$1004,MATCH(C166,LOTES!$F$5:$F$1004,0)),"¿Lote?"))</f>
        <v>Block 8"</v>
      </c>
      <c r="E166" s="11" t="str">
        <f aca="false">IF(C166="","",IFERROR(INDEX(LOTES!$C$5:$C$1004,MATCH(C166,LOTES!$F$5:$F$1004,0)),""))</f>
        <v>P1</v>
      </c>
      <c r="F166" s="24" t="n">
        <f aca="false">IF(C166="","",IFERROR(INDEX(LOTES!$B$5:$B$1004,MATCH(C166,LOTES!$F$5:$F$1004,0)),""))</f>
        <v>45778</v>
      </c>
      <c r="G166" s="15" t="n">
        <f aca="false">IF(OR(B166="",F166=""),"",B166-F166)</f>
        <v>5</v>
      </c>
      <c r="H166" s="13" t="s">
        <v>135</v>
      </c>
      <c r="I166" s="13" t="s">
        <v>131</v>
      </c>
      <c r="J166" s="13" t="s">
        <v>196</v>
      </c>
      <c r="K166" s="25" t="n">
        <v>19.5</v>
      </c>
      <c r="L166" s="25" t="n">
        <v>19.5</v>
      </c>
      <c r="M166" s="25" t="n">
        <v>39.5</v>
      </c>
      <c r="N166" s="25"/>
      <c r="O166" s="26" t="n">
        <v>55143</v>
      </c>
      <c r="P166" s="16" t="n">
        <f aca="false">IF(O166="","",IFERROR(1/(1/(IF(K166="",INDEX(CONFIG!$F$5:$F$14,MATCH(D166,CONFIG!$D$5:$D$14,0)),K166)*IF(M166="",INDEX(CONFIG!$H$5:$H$14,MATCH(D166,CONFIG!$D$5:$D$14,0)),M166))),""))</f>
        <v>770.25</v>
      </c>
      <c r="Q166" s="16" t="n">
        <f aca="false">IF(OR(O166="",P166=""),"",O166/P166)</f>
        <v>71.5910418695229</v>
      </c>
      <c r="R166" s="16" t="n">
        <f aca="false">IF(Q166="","",Q166*0.0980665)</f>
        <v>7.02068290749757</v>
      </c>
      <c r="S166" s="16" t="str">
        <f aca="false">IF(Q166="","",IFERROR(Q166/(1/(1/INDEX(CONFIG!$I$5:$I$14,MATCH(D166,CONFIG!$D$5:$D$14,0)))),""))</f>
        <v/>
      </c>
      <c r="T166" s="13"/>
      <c r="U166" s="13"/>
      <c r="V166" s="13" t="s">
        <v>197</v>
      </c>
      <c r="W166" s="13"/>
      <c r="X166" s="22" t="n">
        <f aca="false">IF(Q166="","",Q166^2)</f>
        <v>5125.27727596378</v>
      </c>
      <c r="Y166" s="22" t="str">
        <f aca="false">IF(AND(C166&lt;&gt;"",C166=CERTIFICADO!$E$4,OR(CERTIFICADO!$E$5="",B166=CERTIFICADO!$E$5)),MAX($Y$4:Y165)+1,"")</f>
        <v/>
      </c>
    </row>
    <row r="167" customFormat="false" ht="15" hidden="false" customHeight="false" outlineLevel="0" collapsed="false">
      <c r="A167" s="11" t="n">
        <f aca="false">IF(C167="","",ROW()-4)</f>
        <v>163</v>
      </c>
      <c r="B167" s="12" t="n">
        <v>45783</v>
      </c>
      <c r="C167" s="13" t="s">
        <v>195</v>
      </c>
      <c r="D167" s="23" t="str">
        <f aca="false">IF(C167="","",IFERROR(INDEX(LOTES!$D$5:$D$1004,MATCH(C167,LOTES!$F$5:$F$1004,0)),"¿Lote?"))</f>
        <v>Block 8"</v>
      </c>
      <c r="E167" s="11" t="str">
        <f aca="false">IF(C167="","",IFERROR(INDEX(LOTES!$C$5:$C$1004,MATCH(C167,LOTES!$F$5:$F$1004,0)),""))</f>
        <v>P1</v>
      </c>
      <c r="F167" s="24" t="n">
        <f aca="false">IF(C167="","",IFERROR(INDEX(LOTES!$B$5:$B$1004,MATCH(C167,LOTES!$F$5:$F$1004,0)),""))</f>
        <v>45778</v>
      </c>
      <c r="G167" s="15" t="n">
        <f aca="false">IF(OR(B167="",F167=""),"",B167-F167)</f>
        <v>5</v>
      </c>
      <c r="H167" s="13" t="s">
        <v>135</v>
      </c>
      <c r="I167" s="13" t="s">
        <v>131</v>
      </c>
      <c r="J167" s="13" t="s">
        <v>196</v>
      </c>
      <c r="K167" s="25" t="n">
        <v>19.5</v>
      </c>
      <c r="L167" s="25" t="n">
        <v>19.5</v>
      </c>
      <c r="M167" s="25" t="n">
        <v>39.5</v>
      </c>
      <c r="N167" s="25"/>
      <c r="O167" s="26" t="n">
        <v>54199</v>
      </c>
      <c r="P167" s="16" t="n">
        <f aca="false">IF(O167="","",IFERROR(1/(1/(IF(K167="",INDEX(CONFIG!$F$5:$F$14,MATCH(D167,CONFIG!$D$5:$D$14,0)),K167)*IF(M167="",INDEX(CONFIG!$H$5:$H$14,MATCH(D167,CONFIG!$D$5:$D$14,0)),M167))),""))</f>
        <v>770.25</v>
      </c>
      <c r="Q167" s="16" t="n">
        <f aca="false">IF(OR(O167="",P167=""),"",O167/P167)</f>
        <v>70.3654657578708</v>
      </c>
      <c r="R167" s="16" t="n">
        <f aca="false">IF(Q167="","",Q167*0.0980665)</f>
        <v>6.90049494774424</v>
      </c>
      <c r="S167" s="16" t="str">
        <f aca="false">IF(Q167="","",IFERROR(Q167/(1/(1/INDEX(CONFIG!$I$5:$I$14,MATCH(D167,CONFIG!$D$5:$D$14,0)))),""))</f>
        <v/>
      </c>
      <c r="T167" s="13"/>
      <c r="U167" s="13"/>
      <c r="V167" s="13" t="s">
        <v>197</v>
      </c>
      <c r="W167" s="13"/>
      <c r="X167" s="22" t="n">
        <f aca="false">IF(Q167="","",Q167^2)</f>
        <v>4951.29877132209</v>
      </c>
      <c r="Y167" s="22" t="str">
        <f aca="false">IF(AND(C167&lt;&gt;"",C167=CERTIFICADO!$E$4,OR(CERTIFICADO!$E$5="",B167=CERTIFICADO!$E$5)),MAX($Y$4:Y166)+1,"")</f>
        <v/>
      </c>
    </row>
    <row r="168" customFormat="false" ht="15" hidden="false" customHeight="false" outlineLevel="0" collapsed="false">
      <c r="A168" s="11" t="n">
        <f aca="false">IF(C168="","",ROW()-4)</f>
        <v>164</v>
      </c>
      <c r="B168" s="12" t="n">
        <v>45783</v>
      </c>
      <c r="C168" s="13" t="s">
        <v>195</v>
      </c>
      <c r="D168" s="23" t="str">
        <f aca="false">IF(C168="","",IFERROR(INDEX(LOTES!$D$5:$D$1004,MATCH(C168,LOTES!$F$5:$F$1004,0)),"¿Lote?"))</f>
        <v>Block 8"</v>
      </c>
      <c r="E168" s="11" t="str">
        <f aca="false">IF(C168="","",IFERROR(INDEX(LOTES!$C$5:$C$1004,MATCH(C168,LOTES!$F$5:$F$1004,0)),""))</f>
        <v>P1</v>
      </c>
      <c r="F168" s="24" t="n">
        <f aca="false">IF(C168="","",IFERROR(INDEX(LOTES!$B$5:$B$1004,MATCH(C168,LOTES!$F$5:$F$1004,0)),""))</f>
        <v>45778</v>
      </c>
      <c r="G168" s="15" t="n">
        <f aca="false">IF(OR(B168="",F168=""),"",B168-F168)</f>
        <v>5</v>
      </c>
      <c r="H168" s="13" t="s">
        <v>135</v>
      </c>
      <c r="I168" s="13" t="s">
        <v>131</v>
      </c>
      <c r="J168" s="13" t="s">
        <v>196</v>
      </c>
      <c r="K168" s="25" t="n">
        <v>19.5</v>
      </c>
      <c r="L168" s="25" t="n">
        <v>19.5</v>
      </c>
      <c r="M168" s="25" t="n">
        <v>39.5</v>
      </c>
      <c r="N168" s="25"/>
      <c r="O168" s="26" t="n">
        <v>58867</v>
      </c>
      <c r="P168" s="16" t="n">
        <f aca="false">IF(O168="","",IFERROR(1/(1/(IF(K168="",INDEX(CONFIG!$F$5:$F$14,MATCH(D168,CONFIG!$D$5:$D$14,0)),K168)*IF(M168="",INDEX(CONFIG!$H$5:$H$14,MATCH(D168,CONFIG!$D$5:$D$14,0)),M168))),""))</f>
        <v>770.25</v>
      </c>
      <c r="Q168" s="16" t="n">
        <f aca="false">IF(OR(O168="",P168=""),"",O168/P168)</f>
        <v>76.4258357676079</v>
      </c>
      <c r="R168" s="16" t="n">
        <f aca="false">IF(Q168="","",Q168*0.0980665)</f>
        <v>7.49481422330412</v>
      </c>
      <c r="S168" s="16" t="str">
        <f aca="false">IF(Q168="","",IFERROR(Q168/(1/(1/INDEX(CONFIG!$I$5:$I$14,MATCH(D168,CONFIG!$D$5:$D$14,0)))),""))</f>
        <v/>
      </c>
      <c r="T168" s="13"/>
      <c r="U168" s="13"/>
      <c r="V168" s="13" t="s">
        <v>197</v>
      </c>
      <c r="W168" s="13"/>
      <c r="X168" s="22" t="n">
        <f aca="false">IF(Q168="","",Q168^2)</f>
        <v>5840.90837277738</v>
      </c>
      <c r="Y168" s="22" t="str">
        <f aca="false">IF(AND(C168&lt;&gt;"",C168=CERTIFICADO!$E$4,OR(CERTIFICADO!$E$5="",B168=CERTIFICADO!$E$5)),MAX($Y$4:Y167)+1,"")</f>
        <v/>
      </c>
    </row>
    <row r="169" customFormat="false" ht="15" hidden="false" customHeight="false" outlineLevel="0" collapsed="false">
      <c r="A169" s="11" t="n">
        <f aca="false">IF(C169="","",ROW()-4)</f>
        <v>165</v>
      </c>
      <c r="B169" s="12" t="n">
        <v>45787</v>
      </c>
      <c r="C169" s="13" t="s">
        <v>198</v>
      </c>
      <c r="D169" s="23" t="str">
        <f aca="false">IF(C169="","",IFERROR(INDEX(LOTES!$D$5:$D$1004,MATCH(C169,LOTES!$F$5:$F$1004,0)),"¿Lote?"))</f>
        <v>Block 8"</v>
      </c>
      <c r="E169" s="11" t="str">
        <f aca="false">IF(C169="","",IFERROR(INDEX(LOTES!$C$5:$C$1004,MATCH(C169,LOTES!$F$5:$F$1004,0)),""))</f>
        <v>P1</v>
      </c>
      <c r="F169" s="24" t="n">
        <f aca="false">IF(C169="","",IFERROR(INDEX(LOTES!$B$5:$B$1004,MATCH(C169,LOTES!$F$5:$F$1004,0)),""))</f>
        <v>45787</v>
      </c>
      <c r="G169" s="15" t="n">
        <f aca="false">IF(OR(B169="",F169=""),"",B169-F169)</f>
        <v>0</v>
      </c>
      <c r="H169" s="13" t="s">
        <v>135</v>
      </c>
      <c r="I169" s="13" t="s">
        <v>131</v>
      </c>
      <c r="J169" s="13" t="s">
        <v>199</v>
      </c>
      <c r="K169" s="25" t="n">
        <v>19.5</v>
      </c>
      <c r="L169" s="25" t="n">
        <v>19.5</v>
      </c>
      <c r="M169" s="25" t="n">
        <v>39.5</v>
      </c>
      <c r="N169" s="25"/>
      <c r="O169" s="26" t="n">
        <v>51482</v>
      </c>
      <c r="P169" s="16" t="n">
        <f aca="false">IF(O169="","",IFERROR(1/(1/(IF(K169="",INDEX(CONFIG!$F$5:$F$14,MATCH(D169,CONFIG!$D$5:$D$14,0)),K169)*IF(M169="",INDEX(CONFIG!$H$5:$H$14,MATCH(D169,CONFIG!$D$5:$D$14,0)),M169))),""))</f>
        <v>770.25</v>
      </c>
      <c r="Q169" s="16" t="n">
        <f aca="false">IF(OR(O169="",P169=""),"",O169/P169)</f>
        <v>66.8380395975333</v>
      </c>
      <c r="R169" s="16" t="n">
        <f aca="false">IF(Q169="","",Q169*0.0980665)</f>
        <v>6.5545726101915</v>
      </c>
      <c r="S169" s="16" t="str">
        <f aca="false">IF(Q169="","",IFERROR(Q169/(1/(1/INDEX(CONFIG!$I$5:$I$14,MATCH(D169,CONFIG!$D$5:$D$14,0)))),""))</f>
        <v/>
      </c>
      <c r="T169" s="13"/>
      <c r="U169" s="13"/>
      <c r="V169" s="13" t="s">
        <v>200</v>
      </c>
      <c r="W169" s="13"/>
      <c r="X169" s="22" t="n">
        <f aca="false">IF(Q169="","",Q169^2)</f>
        <v>4467.32353724143</v>
      </c>
      <c r="Y169" s="22" t="str">
        <f aca="false">IF(AND(C169&lt;&gt;"",C169=CERTIFICADO!$E$4,OR(CERTIFICADO!$E$5="",B169=CERTIFICADO!$E$5)),MAX($Y$4:Y168)+1,"")</f>
        <v/>
      </c>
    </row>
    <row r="170" customFormat="false" ht="15" hidden="false" customHeight="false" outlineLevel="0" collapsed="false">
      <c r="A170" s="11" t="n">
        <f aca="false">IF(C170="","",ROW()-4)</f>
        <v>166</v>
      </c>
      <c r="B170" s="12" t="n">
        <v>45787</v>
      </c>
      <c r="C170" s="13" t="s">
        <v>198</v>
      </c>
      <c r="D170" s="23" t="str">
        <f aca="false">IF(C170="","",IFERROR(INDEX(LOTES!$D$5:$D$1004,MATCH(C170,LOTES!$F$5:$F$1004,0)),"¿Lote?"))</f>
        <v>Block 8"</v>
      </c>
      <c r="E170" s="11" t="str">
        <f aca="false">IF(C170="","",IFERROR(INDEX(LOTES!$C$5:$C$1004,MATCH(C170,LOTES!$F$5:$F$1004,0)),""))</f>
        <v>P1</v>
      </c>
      <c r="F170" s="24" t="n">
        <f aca="false">IF(C170="","",IFERROR(INDEX(LOTES!$B$5:$B$1004,MATCH(C170,LOTES!$F$5:$F$1004,0)),""))</f>
        <v>45787</v>
      </c>
      <c r="G170" s="15" t="n">
        <f aca="false">IF(OR(B170="",F170=""),"",B170-F170)</f>
        <v>0</v>
      </c>
      <c r="H170" s="13" t="s">
        <v>135</v>
      </c>
      <c r="I170" s="13" t="s">
        <v>131</v>
      </c>
      <c r="J170" s="13" t="s">
        <v>199</v>
      </c>
      <c r="K170" s="25" t="n">
        <v>19.5</v>
      </c>
      <c r="L170" s="25" t="n">
        <v>19.5</v>
      </c>
      <c r="M170" s="25" t="n">
        <v>39.5</v>
      </c>
      <c r="N170" s="25"/>
      <c r="O170" s="26" t="n">
        <v>51305</v>
      </c>
      <c r="P170" s="16" t="n">
        <f aca="false">IF(O170="","",IFERROR(1/(1/(IF(K170="",INDEX(CONFIG!$F$5:$F$14,MATCH(D170,CONFIG!$D$5:$D$14,0)),K170)*IF(M170="",INDEX(CONFIG!$H$5:$H$14,MATCH(D170,CONFIG!$D$5:$D$14,0)),M170))),""))</f>
        <v>770.25</v>
      </c>
      <c r="Q170" s="16" t="n">
        <f aca="false">IF(OR(O170="",P170=""),"",O170/P170)</f>
        <v>66.6082440765985</v>
      </c>
      <c r="R170" s="16" t="n">
        <f aca="false">IF(Q170="","",Q170*0.0980665)</f>
        <v>6.53203736773775</v>
      </c>
      <c r="S170" s="16" t="str">
        <f aca="false">IF(Q170="","",IFERROR(Q170/(1/(1/INDEX(CONFIG!$I$5:$I$14,MATCH(D170,CONFIG!$D$5:$D$14,0)))),""))</f>
        <v/>
      </c>
      <c r="T170" s="13"/>
      <c r="U170" s="13"/>
      <c r="V170" s="13" t="s">
        <v>200</v>
      </c>
      <c r="W170" s="13"/>
      <c r="X170" s="22" t="n">
        <f aca="false">IF(Q170="","",Q170^2)</f>
        <v>4436.65817896772</v>
      </c>
      <c r="Y170" s="22" t="str">
        <f aca="false">IF(AND(C170&lt;&gt;"",C170=CERTIFICADO!$E$4,OR(CERTIFICADO!$E$5="",B170=CERTIFICADO!$E$5)),MAX($Y$4:Y169)+1,"")</f>
        <v/>
      </c>
    </row>
    <row r="171" customFormat="false" ht="15" hidden="false" customHeight="false" outlineLevel="0" collapsed="false">
      <c r="A171" s="11" t="n">
        <f aca="false">IF(C171="","",ROW()-4)</f>
        <v>167</v>
      </c>
      <c r="B171" s="12" t="n">
        <v>45787</v>
      </c>
      <c r="C171" s="13" t="s">
        <v>198</v>
      </c>
      <c r="D171" s="23" t="str">
        <f aca="false">IF(C171="","",IFERROR(INDEX(LOTES!$D$5:$D$1004,MATCH(C171,LOTES!$F$5:$F$1004,0)),"¿Lote?"))</f>
        <v>Block 8"</v>
      </c>
      <c r="E171" s="11" t="str">
        <f aca="false">IF(C171="","",IFERROR(INDEX(LOTES!$C$5:$C$1004,MATCH(C171,LOTES!$F$5:$F$1004,0)),""))</f>
        <v>P1</v>
      </c>
      <c r="F171" s="24" t="n">
        <f aca="false">IF(C171="","",IFERROR(INDEX(LOTES!$B$5:$B$1004,MATCH(C171,LOTES!$F$5:$F$1004,0)),""))</f>
        <v>45787</v>
      </c>
      <c r="G171" s="15" t="n">
        <f aca="false">IF(OR(B171="",F171=""),"",B171-F171)</f>
        <v>0</v>
      </c>
      <c r="H171" s="13" t="s">
        <v>135</v>
      </c>
      <c r="I171" s="13" t="s">
        <v>131</v>
      </c>
      <c r="J171" s="13" t="s">
        <v>199</v>
      </c>
      <c r="K171" s="25" t="n">
        <v>19.5</v>
      </c>
      <c r="L171" s="25" t="n">
        <v>19.5</v>
      </c>
      <c r="M171" s="25" t="n">
        <v>39.5</v>
      </c>
      <c r="N171" s="25"/>
      <c r="O171" s="26" t="n">
        <v>46633</v>
      </c>
      <c r="P171" s="16" t="n">
        <f aca="false">IF(O171="","",IFERROR(1/(1/(IF(K171="",INDEX(CONFIG!$F$5:$F$14,MATCH(D171,CONFIG!$D$5:$D$14,0)),K171)*IF(M171="",INDEX(CONFIG!$H$5:$H$14,MATCH(D171,CONFIG!$D$5:$D$14,0)),M171))),""))</f>
        <v>770.25</v>
      </c>
      <c r="Q171" s="16" t="n">
        <f aca="false">IF(OR(O171="",P171=""),"",O171/P171)</f>
        <v>60.5426809477442</v>
      </c>
      <c r="R171" s="16" t="n">
        <f aca="false">IF(Q171="","",Q171*0.0980665)</f>
        <v>5.93720882116196</v>
      </c>
      <c r="S171" s="16" t="str">
        <f aca="false">IF(Q171="","",IFERROR(Q171/(1/(1/INDEX(CONFIG!$I$5:$I$14,MATCH(D171,CONFIG!$D$5:$D$14,0)))),""))</f>
        <v/>
      </c>
      <c r="T171" s="13"/>
      <c r="U171" s="13"/>
      <c r="V171" s="13" t="s">
        <v>200</v>
      </c>
      <c r="W171" s="13"/>
      <c r="X171" s="22" t="n">
        <f aca="false">IF(Q171="","",Q171^2)</f>
        <v>3665.41621634035</v>
      </c>
      <c r="Y171" s="22" t="str">
        <f aca="false">IF(AND(C171&lt;&gt;"",C171=CERTIFICADO!$E$4,OR(CERTIFICADO!$E$5="",B171=CERTIFICADO!$E$5)),MAX($Y$4:Y170)+1,"")</f>
        <v/>
      </c>
    </row>
    <row r="172" customFormat="false" ht="15" hidden="false" customHeight="false" outlineLevel="0" collapsed="false">
      <c r="A172" s="11" t="n">
        <f aca="false">IF(C172="","",ROW()-4)</f>
        <v>168</v>
      </c>
      <c r="B172" s="12" t="n">
        <v>45787</v>
      </c>
      <c r="C172" s="13" t="s">
        <v>198</v>
      </c>
      <c r="D172" s="23" t="str">
        <f aca="false">IF(C172="","",IFERROR(INDEX(LOTES!$D$5:$D$1004,MATCH(C172,LOTES!$F$5:$F$1004,0)),"¿Lote?"))</f>
        <v>Block 8"</v>
      </c>
      <c r="E172" s="11" t="str">
        <f aca="false">IF(C172="","",IFERROR(INDEX(LOTES!$C$5:$C$1004,MATCH(C172,LOTES!$F$5:$F$1004,0)),""))</f>
        <v>P1</v>
      </c>
      <c r="F172" s="24" t="n">
        <f aca="false">IF(C172="","",IFERROR(INDEX(LOTES!$B$5:$B$1004,MATCH(C172,LOTES!$F$5:$F$1004,0)),""))</f>
        <v>45787</v>
      </c>
      <c r="G172" s="15" t="n">
        <f aca="false">IF(OR(B172="",F172=""),"",B172-F172)</f>
        <v>0</v>
      </c>
      <c r="H172" s="13" t="s">
        <v>135</v>
      </c>
      <c r="I172" s="13" t="s">
        <v>131</v>
      </c>
      <c r="J172" s="13" t="s">
        <v>199</v>
      </c>
      <c r="K172" s="25" t="n">
        <v>19.5</v>
      </c>
      <c r="L172" s="25" t="n">
        <v>19.5</v>
      </c>
      <c r="M172" s="25" t="n">
        <v>39.5</v>
      </c>
      <c r="N172" s="25"/>
      <c r="O172" s="26" t="n">
        <v>47241</v>
      </c>
      <c r="P172" s="16" t="n">
        <f aca="false">IF(O172="","",IFERROR(1/(1/(IF(K172="",INDEX(CONFIG!$F$5:$F$14,MATCH(D172,CONFIG!$D$5:$D$14,0)),K172)*IF(M172="",INDEX(CONFIG!$H$5:$H$14,MATCH(D172,CONFIG!$D$5:$D$14,0)),M172))),""))</f>
        <v>770.25</v>
      </c>
      <c r="Q172" s="16" t="n">
        <f aca="false">IF(OR(O172="",P172=""),"",O172/P172)</f>
        <v>61.332035053554</v>
      </c>
      <c r="R172" s="16" t="n">
        <f aca="false">IF(Q172="","",Q172*0.0980665)</f>
        <v>6.01461801557936</v>
      </c>
      <c r="S172" s="16" t="str">
        <f aca="false">IF(Q172="","",IFERROR(Q172/(1/(1/INDEX(CONFIG!$I$5:$I$14,MATCH(D172,CONFIG!$D$5:$D$14,0)))),""))</f>
        <v/>
      </c>
      <c r="T172" s="13"/>
      <c r="U172" s="13"/>
      <c r="V172" s="13" t="s">
        <v>200</v>
      </c>
      <c r="W172" s="13"/>
      <c r="X172" s="22" t="n">
        <f aca="false">IF(Q172="","",Q172^2)</f>
        <v>3761.61852381038</v>
      </c>
      <c r="Y172" s="22" t="str">
        <f aca="false">IF(AND(C172&lt;&gt;"",C172=CERTIFICADO!$E$4,OR(CERTIFICADO!$E$5="",B172=CERTIFICADO!$E$5)),MAX($Y$4:Y171)+1,"")</f>
        <v/>
      </c>
    </row>
    <row r="173" customFormat="false" ht="15" hidden="false" customHeight="false" outlineLevel="0" collapsed="false">
      <c r="A173" s="11" t="n">
        <f aca="false">IF(C173="","",ROW()-4)</f>
        <v>169</v>
      </c>
      <c r="B173" s="12" t="n">
        <v>45797</v>
      </c>
      <c r="C173" s="13" t="s">
        <v>201</v>
      </c>
      <c r="D173" s="23" t="str">
        <f aca="false">IF(C173="","",IFERROR(INDEX(LOTES!$D$5:$D$1004,MATCH(C173,LOTES!$F$5:$F$1004,0)),"¿Lote?"))</f>
        <v>Block 8"</v>
      </c>
      <c r="E173" s="11" t="str">
        <f aca="false">IF(C173="","",IFERROR(INDEX(LOTES!$C$5:$C$1004,MATCH(C173,LOTES!$F$5:$F$1004,0)),""))</f>
        <v>P1</v>
      </c>
      <c r="F173" s="24" t="n">
        <f aca="false">IF(C173="","",IFERROR(INDEX(LOTES!$B$5:$B$1004,MATCH(C173,LOTES!$F$5:$F$1004,0)),""))</f>
        <v>45793</v>
      </c>
      <c r="G173" s="15" t="n">
        <f aca="false">IF(OR(B173="",F173=""),"",B173-F173)</f>
        <v>4</v>
      </c>
      <c r="H173" s="13" t="s">
        <v>135</v>
      </c>
      <c r="I173" s="13" t="s">
        <v>131</v>
      </c>
      <c r="J173" s="13" t="s">
        <v>202</v>
      </c>
      <c r="K173" s="25" t="n">
        <v>19.5</v>
      </c>
      <c r="L173" s="25" t="n">
        <v>19.5</v>
      </c>
      <c r="M173" s="25" t="n">
        <v>39.5</v>
      </c>
      <c r="N173" s="25"/>
      <c r="O173" s="26" t="n">
        <v>55528</v>
      </c>
      <c r="P173" s="16" t="n">
        <f aca="false">IF(O173="","",IFERROR(1/(1/(IF(K173="",INDEX(CONFIG!$F$5:$F$14,MATCH(D173,CONFIG!$D$5:$D$14,0)),K173)*IF(M173="",INDEX(CONFIG!$H$5:$H$14,MATCH(D173,CONFIG!$D$5:$D$14,0)),M173))),""))</f>
        <v>770.25</v>
      </c>
      <c r="Q173" s="16" t="n">
        <f aca="false">IF(OR(O173="",P173=""),"",O173/P173)</f>
        <v>72.0908795845505</v>
      </c>
      <c r="R173" s="16" t="n">
        <f aca="false">IF(Q173="","",Q173*0.0980665)</f>
        <v>7.06970024277832</v>
      </c>
      <c r="S173" s="16" t="str">
        <f aca="false">IF(Q173="","",IFERROR(Q173/(1/(1/INDEX(CONFIG!$I$5:$I$14,MATCH(D173,CONFIG!$D$5:$D$14,0)))),""))</f>
        <v/>
      </c>
      <c r="T173" s="13"/>
      <c r="U173" s="13"/>
      <c r="V173" s="13"/>
      <c r="W173" s="13"/>
      <c r="X173" s="22" t="n">
        <f aca="false">IF(Q173="","",Q173^2)</f>
        <v>5197.09491927416</v>
      </c>
      <c r="Y173" s="22" t="str">
        <f aca="false">IF(AND(C173&lt;&gt;"",C173=CERTIFICADO!$E$4,OR(CERTIFICADO!$E$5="",B173=CERTIFICADO!$E$5)),MAX($Y$4:Y172)+1,"")</f>
        <v/>
      </c>
    </row>
    <row r="174" customFormat="false" ht="15" hidden="false" customHeight="false" outlineLevel="0" collapsed="false">
      <c r="A174" s="11" t="n">
        <f aca="false">IF(C174="","",ROW()-4)</f>
        <v>170</v>
      </c>
      <c r="B174" s="12" t="n">
        <v>45797</v>
      </c>
      <c r="C174" s="13" t="s">
        <v>201</v>
      </c>
      <c r="D174" s="23" t="str">
        <f aca="false">IF(C174="","",IFERROR(INDEX(LOTES!$D$5:$D$1004,MATCH(C174,LOTES!$F$5:$F$1004,0)),"¿Lote?"))</f>
        <v>Block 8"</v>
      </c>
      <c r="E174" s="11" t="str">
        <f aca="false">IF(C174="","",IFERROR(INDEX(LOTES!$C$5:$C$1004,MATCH(C174,LOTES!$F$5:$F$1004,0)),""))</f>
        <v>P1</v>
      </c>
      <c r="F174" s="24" t="n">
        <f aca="false">IF(C174="","",IFERROR(INDEX(LOTES!$B$5:$B$1004,MATCH(C174,LOTES!$F$5:$F$1004,0)),""))</f>
        <v>45793</v>
      </c>
      <c r="G174" s="15" t="n">
        <f aca="false">IF(OR(B174="",F174=""),"",B174-F174)</f>
        <v>4</v>
      </c>
      <c r="H174" s="13" t="s">
        <v>135</v>
      </c>
      <c r="I174" s="13" t="s">
        <v>131</v>
      </c>
      <c r="J174" s="13" t="s">
        <v>202</v>
      </c>
      <c r="K174" s="25" t="n">
        <v>19.5</v>
      </c>
      <c r="L174" s="25" t="n">
        <v>19.5</v>
      </c>
      <c r="M174" s="25" t="n">
        <v>39.5</v>
      </c>
      <c r="N174" s="25"/>
      <c r="O174" s="26" t="n">
        <v>58799</v>
      </c>
      <c r="P174" s="16" t="n">
        <f aca="false">IF(O174="","",IFERROR(1/(1/(IF(K174="",INDEX(CONFIG!$F$5:$F$14,MATCH(D174,CONFIG!$D$5:$D$14,0)),K174)*IF(M174="",INDEX(CONFIG!$H$5:$H$14,MATCH(D174,CONFIG!$D$5:$D$14,0)),M174))),""))</f>
        <v>770.25</v>
      </c>
      <c r="Q174" s="16" t="n">
        <f aca="false">IF(OR(O174="",P174=""),"",O174/P174)</f>
        <v>76.337552742616</v>
      </c>
      <c r="R174" s="16" t="n">
        <f aca="false">IF(Q174="","",Q174*0.0980665)</f>
        <v>7.48615661603376</v>
      </c>
      <c r="S174" s="16" t="str">
        <f aca="false">IF(Q174="","",IFERROR(Q174/(1/(1/INDEX(CONFIG!$I$5:$I$14,MATCH(D174,CONFIG!$D$5:$D$14,0)))),""))</f>
        <v/>
      </c>
      <c r="T174" s="13"/>
      <c r="U174" s="13"/>
      <c r="V174" s="13"/>
      <c r="W174" s="13"/>
      <c r="X174" s="22" t="n">
        <f aca="false">IF(Q174="","",Q174^2)</f>
        <v>5827.42195873169</v>
      </c>
      <c r="Y174" s="22" t="str">
        <f aca="false">IF(AND(C174&lt;&gt;"",C174=CERTIFICADO!$E$4,OR(CERTIFICADO!$E$5="",B174=CERTIFICADO!$E$5)),MAX($Y$4:Y173)+1,"")</f>
        <v/>
      </c>
    </row>
    <row r="175" customFormat="false" ht="15" hidden="false" customHeight="false" outlineLevel="0" collapsed="false">
      <c r="A175" s="11" t="n">
        <f aca="false">IF(C175="","",ROW()-4)</f>
        <v>171</v>
      </c>
      <c r="B175" s="12" t="n">
        <v>45797</v>
      </c>
      <c r="C175" s="13" t="s">
        <v>201</v>
      </c>
      <c r="D175" s="23" t="str">
        <f aca="false">IF(C175="","",IFERROR(INDEX(LOTES!$D$5:$D$1004,MATCH(C175,LOTES!$F$5:$F$1004,0)),"¿Lote?"))</f>
        <v>Block 8"</v>
      </c>
      <c r="E175" s="11" t="str">
        <f aca="false">IF(C175="","",IFERROR(INDEX(LOTES!$C$5:$C$1004,MATCH(C175,LOTES!$F$5:$F$1004,0)),""))</f>
        <v>P1</v>
      </c>
      <c r="F175" s="24" t="n">
        <f aca="false">IF(C175="","",IFERROR(INDEX(LOTES!$B$5:$B$1004,MATCH(C175,LOTES!$F$5:$F$1004,0)),""))</f>
        <v>45793</v>
      </c>
      <c r="G175" s="15" t="n">
        <f aca="false">IF(OR(B175="",F175=""),"",B175-F175)</f>
        <v>4</v>
      </c>
      <c r="H175" s="13" t="s">
        <v>135</v>
      </c>
      <c r="I175" s="13" t="s">
        <v>131</v>
      </c>
      <c r="J175" s="13" t="s">
        <v>202</v>
      </c>
      <c r="K175" s="25" t="n">
        <v>19.5</v>
      </c>
      <c r="L175" s="25" t="n">
        <v>19.5</v>
      </c>
      <c r="M175" s="25" t="n">
        <v>39.5</v>
      </c>
      <c r="N175" s="25"/>
      <c r="O175" s="26" t="n">
        <v>49845</v>
      </c>
      <c r="P175" s="16" t="n">
        <f aca="false">IF(O175="","",IFERROR(1/(1/(IF(K175="",INDEX(CONFIG!$F$5:$F$14,MATCH(D175,CONFIG!$D$5:$D$14,0)),K175)*IF(M175="",INDEX(CONFIG!$H$5:$H$14,MATCH(D175,CONFIG!$D$5:$D$14,0)),M175))),""))</f>
        <v>770.25</v>
      </c>
      <c r="Q175" s="16" t="n">
        <f aca="false">IF(OR(O175="",P175=""),"",O175/P175)</f>
        <v>64.7127555988316</v>
      </c>
      <c r="R175" s="16" t="n">
        <f aca="false">IF(Q175="","",Q175*0.0980665)</f>
        <v>6.34615344693281</v>
      </c>
      <c r="S175" s="16" t="str">
        <f aca="false">IF(Q175="","",IFERROR(Q175/(1/(1/INDEX(CONFIG!$I$5:$I$14,MATCH(D175,CONFIG!$D$5:$D$14,0)))),""))</f>
        <v/>
      </c>
      <c r="T175" s="13"/>
      <c r="U175" s="13"/>
      <c r="V175" s="13"/>
      <c r="W175" s="13"/>
      <c r="X175" s="22" t="n">
        <f aca="false">IF(Q175="","",Q175^2)</f>
        <v>4187.7407371941</v>
      </c>
      <c r="Y175" s="22" t="str">
        <f aca="false">IF(AND(C175&lt;&gt;"",C175=CERTIFICADO!$E$4,OR(CERTIFICADO!$E$5="",B175=CERTIFICADO!$E$5)),MAX($Y$4:Y174)+1,"")</f>
        <v/>
      </c>
    </row>
    <row r="176" customFormat="false" ht="15" hidden="false" customHeight="false" outlineLevel="0" collapsed="false">
      <c r="A176" s="11" t="n">
        <f aca="false">IF(C176="","",ROW()-4)</f>
        <v>172</v>
      </c>
      <c r="B176" s="12" t="n">
        <v>45797</v>
      </c>
      <c r="C176" s="13" t="s">
        <v>201</v>
      </c>
      <c r="D176" s="23" t="str">
        <f aca="false">IF(C176="","",IFERROR(INDEX(LOTES!$D$5:$D$1004,MATCH(C176,LOTES!$F$5:$F$1004,0)),"¿Lote?"))</f>
        <v>Block 8"</v>
      </c>
      <c r="E176" s="11" t="str">
        <f aca="false">IF(C176="","",IFERROR(INDEX(LOTES!$C$5:$C$1004,MATCH(C176,LOTES!$F$5:$F$1004,0)),""))</f>
        <v>P1</v>
      </c>
      <c r="F176" s="24" t="n">
        <f aca="false">IF(C176="","",IFERROR(INDEX(LOTES!$B$5:$B$1004,MATCH(C176,LOTES!$F$5:$F$1004,0)),""))</f>
        <v>45793</v>
      </c>
      <c r="G176" s="15" t="n">
        <f aca="false">IF(OR(B176="",F176=""),"",B176-F176)</f>
        <v>4</v>
      </c>
      <c r="H176" s="13" t="s">
        <v>135</v>
      </c>
      <c r="I176" s="13" t="s">
        <v>131</v>
      </c>
      <c r="J176" s="13" t="s">
        <v>202</v>
      </c>
      <c r="K176" s="25" t="n">
        <v>19.5</v>
      </c>
      <c r="L176" s="25" t="n">
        <v>19.5</v>
      </c>
      <c r="M176" s="25" t="n">
        <v>39.5</v>
      </c>
      <c r="N176" s="25"/>
      <c r="O176" s="26" t="n">
        <v>53578</v>
      </c>
      <c r="P176" s="16" t="n">
        <f aca="false">IF(O176="","",IFERROR(1/(1/(IF(K176="",INDEX(CONFIG!$F$5:$F$14,MATCH(D176,CONFIG!$D$5:$D$14,0)),K176)*IF(M176="",INDEX(CONFIG!$H$5:$H$14,MATCH(D176,CONFIG!$D$5:$D$14,0)),M176))),""))</f>
        <v>770.25</v>
      </c>
      <c r="Q176" s="16" t="n">
        <f aca="false">IF(OR(O176="",P176=""),"",O176/P176)</f>
        <v>69.5592340149302</v>
      </c>
      <c r="R176" s="16" t="n">
        <f aca="false">IF(Q176="","",Q176*0.0980665)</f>
        <v>6.82143062252515</v>
      </c>
      <c r="S176" s="16" t="str">
        <f aca="false">IF(Q176="","",IFERROR(Q176/(1/(1/INDEX(CONFIG!$I$5:$I$14,MATCH(D176,CONFIG!$D$5:$D$14,0)))),""))</f>
        <v/>
      </c>
      <c r="T176" s="13"/>
      <c r="U176" s="13"/>
      <c r="V176" s="13"/>
      <c r="W176" s="13"/>
      <c r="X176" s="22" t="n">
        <f aca="false">IF(Q176="","",Q176^2)</f>
        <v>4838.48703674382</v>
      </c>
      <c r="Y176" s="22" t="str">
        <f aca="false">IF(AND(C176&lt;&gt;"",C176=CERTIFICADO!$E$4,OR(CERTIFICADO!$E$5="",B176=CERTIFICADO!$E$5)),MAX($Y$4:Y175)+1,"")</f>
        <v/>
      </c>
    </row>
    <row r="177" customFormat="false" ht="15" hidden="false" customHeight="false" outlineLevel="0" collapsed="false">
      <c r="A177" s="11" t="n">
        <f aca="false">IF(C177="","",ROW()-4)</f>
        <v>173</v>
      </c>
      <c r="B177" s="12" t="n">
        <v>45800</v>
      </c>
      <c r="C177" s="13" t="s">
        <v>203</v>
      </c>
      <c r="D177" s="23" t="str">
        <f aca="false">IF(C177="","",IFERROR(INDEX(LOTES!$D$5:$D$1004,MATCH(C177,LOTES!$F$5:$F$1004,0)),"¿Lote?"))</f>
        <v>Block 6"</v>
      </c>
      <c r="E177" s="11" t="str">
        <f aca="false">IF(C177="","",IFERROR(INDEX(LOTES!$C$5:$C$1004,MATCH(C177,LOTES!$F$5:$F$1004,0)),""))</f>
        <v>P2</v>
      </c>
      <c r="F177" s="24" t="n">
        <f aca="false">IF(C177="","",IFERROR(INDEX(LOTES!$B$5:$B$1004,MATCH(C177,LOTES!$F$5:$F$1004,0)),""))</f>
        <v>45798</v>
      </c>
      <c r="G177" s="15" t="n">
        <f aca="false">IF(OR(B177="",F177=""),"",B177-F177)</f>
        <v>2</v>
      </c>
      <c r="H177" s="13" t="s">
        <v>135</v>
      </c>
      <c r="I177" s="13" t="s">
        <v>131</v>
      </c>
      <c r="J177" s="13" t="s">
        <v>204</v>
      </c>
      <c r="K177" s="25" t="n">
        <v>14.5</v>
      </c>
      <c r="L177" s="25" t="n">
        <v>19.5</v>
      </c>
      <c r="M177" s="25" t="n">
        <v>39.5</v>
      </c>
      <c r="N177" s="25"/>
      <c r="O177" s="26" t="n">
        <v>40161</v>
      </c>
      <c r="P177" s="16" t="n">
        <f aca="false">IF(O177="","",IFERROR(1/(1/(IF(K177="",INDEX(CONFIG!$F$5:$F$14,MATCH(D177,CONFIG!$D$5:$D$14,0)),K177)*IF(M177="",INDEX(CONFIG!$H$5:$H$14,MATCH(D177,CONFIG!$D$5:$D$14,0)),M177))),""))</f>
        <v>572.75</v>
      </c>
      <c r="Q177" s="16" t="n">
        <f aca="false">IF(OR(O177="",P177=""),"",O177/P177)</f>
        <v>70.1195984286338</v>
      </c>
      <c r="R177" s="16" t="n">
        <f aca="false">IF(Q177="","",Q177*0.0980665)</f>
        <v>6.87638359930161</v>
      </c>
      <c r="S177" s="16" t="str">
        <f aca="false">IF(Q177="","",IFERROR(Q177/(1/(1/INDEX(CONFIG!$I$5:$I$14,MATCH(D177,CONFIG!$D$5:$D$14,0)))),""))</f>
        <v/>
      </c>
      <c r="T177" s="13"/>
      <c r="U177" s="13"/>
      <c r="V177" s="13"/>
      <c r="W177" s="13"/>
      <c r="X177" s="22" t="n">
        <f aca="false">IF(Q177="","",Q177^2)</f>
        <v>4916.75808379286</v>
      </c>
      <c r="Y177" s="22" t="str">
        <f aca="false">IF(AND(C177&lt;&gt;"",C177=CERTIFICADO!$E$4,OR(CERTIFICADO!$E$5="",B177=CERTIFICADO!$E$5)),MAX($Y$4:Y176)+1,"")</f>
        <v/>
      </c>
    </row>
    <row r="178" customFormat="false" ht="15" hidden="false" customHeight="false" outlineLevel="0" collapsed="false">
      <c r="A178" s="11" t="n">
        <f aca="false">IF(C178="","",ROW()-4)</f>
        <v>174</v>
      </c>
      <c r="B178" s="12" t="n">
        <v>45800</v>
      </c>
      <c r="C178" s="13" t="s">
        <v>203</v>
      </c>
      <c r="D178" s="23" t="str">
        <f aca="false">IF(C178="","",IFERROR(INDEX(LOTES!$D$5:$D$1004,MATCH(C178,LOTES!$F$5:$F$1004,0)),"¿Lote?"))</f>
        <v>Block 6"</v>
      </c>
      <c r="E178" s="11" t="str">
        <f aca="false">IF(C178="","",IFERROR(INDEX(LOTES!$C$5:$C$1004,MATCH(C178,LOTES!$F$5:$F$1004,0)),""))</f>
        <v>P2</v>
      </c>
      <c r="F178" s="24" t="n">
        <f aca="false">IF(C178="","",IFERROR(INDEX(LOTES!$B$5:$B$1004,MATCH(C178,LOTES!$F$5:$F$1004,0)),""))</f>
        <v>45798</v>
      </c>
      <c r="G178" s="15" t="n">
        <f aca="false">IF(OR(B178="",F178=""),"",B178-F178)</f>
        <v>2</v>
      </c>
      <c r="H178" s="13" t="s">
        <v>135</v>
      </c>
      <c r="I178" s="13" t="s">
        <v>131</v>
      </c>
      <c r="J178" s="13" t="s">
        <v>204</v>
      </c>
      <c r="K178" s="25" t="n">
        <v>14.5</v>
      </c>
      <c r="L178" s="25" t="n">
        <v>19.5</v>
      </c>
      <c r="M178" s="25" t="n">
        <v>39.5</v>
      </c>
      <c r="N178" s="25"/>
      <c r="O178" s="26" t="n">
        <v>37108</v>
      </c>
      <c r="P178" s="16" t="n">
        <f aca="false">IF(O178="","",IFERROR(1/(1/(IF(K178="",INDEX(CONFIG!$F$5:$F$14,MATCH(D178,CONFIG!$D$5:$D$14,0)),K178)*IF(M178="",INDEX(CONFIG!$H$5:$H$14,MATCH(D178,CONFIG!$D$5:$D$14,0)),M178))),""))</f>
        <v>572.75</v>
      </c>
      <c r="Q178" s="16" t="n">
        <f aca="false">IF(OR(O178="",P178=""),"",O178/P178)</f>
        <v>64.7891750327368</v>
      </c>
      <c r="R178" s="16" t="n">
        <f aca="false">IF(Q178="","",Q178*0.0980665)</f>
        <v>6.35364763334788</v>
      </c>
      <c r="S178" s="16" t="str">
        <f aca="false">IF(Q178="","",IFERROR(Q178/(1/(1/INDEX(CONFIG!$I$5:$I$14,MATCH(D178,CONFIG!$D$5:$D$14,0)))),""))</f>
        <v/>
      </c>
      <c r="T178" s="13"/>
      <c r="U178" s="13"/>
      <c r="V178" s="13"/>
      <c r="W178" s="13"/>
      <c r="X178" s="22" t="n">
        <f aca="false">IF(Q178="","",Q178^2)</f>
        <v>4197.6372014226</v>
      </c>
      <c r="Y178" s="22" t="str">
        <f aca="false">IF(AND(C178&lt;&gt;"",C178=CERTIFICADO!$E$4,OR(CERTIFICADO!$E$5="",B178=CERTIFICADO!$E$5)),MAX($Y$4:Y177)+1,"")</f>
        <v/>
      </c>
    </row>
    <row r="179" customFormat="false" ht="15" hidden="false" customHeight="false" outlineLevel="0" collapsed="false">
      <c r="A179" s="11" t="n">
        <f aca="false">IF(C179="","",ROW()-4)</f>
        <v>175</v>
      </c>
      <c r="B179" s="12" t="n">
        <v>45800</v>
      </c>
      <c r="C179" s="13" t="s">
        <v>203</v>
      </c>
      <c r="D179" s="23" t="str">
        <f aca="false">IF(C179="","",IFERROR(INDEX(LOTES!$D$5:$D$1004,MATCH(C179,LOTES!$F$5:$F$1004,0)),"¿Lote?"))</f>
        <v>Block 6"</v>
      </c>
      <c r="E179" s="11" t="str">
        <f aca="false">IF(C179="","",IFERROR(INDEX(LOTES!$C$5:$C$1004,MATCH(C179,LOTES!$F$5:$F$1004,0)),""))</f>
        <v>P2</v>
      </c>
      <c r="F179" s="24" t="n">
        <f aca="false">IF(C179="","",IFERROR(INDEX(LOTES!$B$5:$B$1004,MATCH(C179,LOTES!$F$5:$F$1004,0)),""))</f>
        <v>45798</v>
      </c>
      <c r="G179" s="15" t="n">
        <f aca="false">IF(OR(B179="",F179=""),"",B179-F179)</f>
        <v>2</v>
      </c>
      <c r="H179" s="13" t="s">
        <v>135</v>
      </c>
      <c r="I179" s="13" t="s">
        <v>131</v>
      </c>
      <c r="J179" s="13" t="s">
        <v>204</v>
      </c>
      <c r="K179" s="25" t="n">
        <v>14.5</v>
      </c>
      <c r="L179" s="25" t="n">
        <v>19.5</v>
      </c>
      <c r="M179" s="25" t="n">
        <v>39.5</v>
      </c>
      <c r="N179" s="25"/>
      <c r="O179" s="26" t="n">
        <v>40056</v>
      </c>
      <c r="P179" s="16" t="n">
        <f aca="false">IF(O179="","",IFERROR(1/(1/(IF(K179="",INDEX(CONFIG!$F$5:$F$14,MATCH(D179,CONFIG!$D$5:$D$14,0)),K179)*IF(M179="",INDEX(CONFIG!$H$5:$H$14,MATCH(D179,CONFIG!$D$5:$D$14,0)),M179))),""))</f>
        <v>572.75</v>
      </c>
      <c r="Q179" s="16" t="n">
        <f aca="false">IF(OR(O179="",P179=""),"",O179/P179)</f>
        <v>69.936272370144</v>
      </c>
      <c r="R179" s="16" t="n">
        <f aca="false">IF(Q179="","",Q179*0.0980665)</f>
        <v>6.85840545438673</v>
      </c>
      <c r="S179" s="16" t="str">
        <f aca="false">IF(Q179="","",IFERROR(Q179/(1/(1/INDEX(CONFIG!$I$5:$I$14,MATCH(D179,CONFIG!$D$5:$D$14,0)))),""))</f>
        <v/>
      </c>
      <c r="T179" s="13"/>
      <c r="U179" s="13"/>
      <c r="V179" s="13"/>
      <c r="W179" s="13"/>
      <c r="X179" s="22" t="n">
        <f aca="false">IF(Q179="","",Q179^2)</f>
        <v>4891.08219303097</v>
      </c>
      <c r="Y179" s="22" t="str">
        <f aca="false">IF(AND(C179&lt;&gt;"",C179=CERTIFICADO!$E$4,OR(CERTIFICADO!$E$5="",B179=CERTIFICADO!$E$5)),MAX($Y$4:Y178)+1,"")</f>
        <v/>
      </c>
    </row>
    <row r="180" customFormat="false" ht="15" hidden="false" customHeight="false" outlineLevel="0" collapsed="false">
      <c r="A180" s="11" t="n">
        <f aca="false">IF(C180="","",ROW()-4)</f>
        <v>176</v>
      </c>
      <c r="B180" s="12" t="n">
        <v>45800</v>
      </c>
      <c r="C180" s="13" t="s">
        <v>203</v>
      </c>
      <c r="D180" s="23" t="str">
        <f aca="false">IF(C180="","",IFERROR(INDEX(LOTES!$D$5:$D$1004,MATCH(C180,LOTES!$F$5:$F$1004,0)),"¿Lote?"))</f>
        <v>Block 6"</v>
      </c>
      <c r="E180" s="11" t="str">
        <f aca="false">IF(C180="","",IFERROR(INDEX(LOTES!$C$5:$C$1004,MATCH(C180,LOTES!$F$5:$F$1004,0)),""))</f>
        <v>P2</v>
      </c>
      <c r="F180" s="24" t="n">
        <f aca="false">IF(C180="","",IFERROR(INDEX(LOTES!$B$5:$B$1004,MATCH(C180,LOTES!$F$5:$F$1004,0)),""))</f>
        <v>45798</v>
      </c>
      <c r="G180" s="15" t="n">
        <f aca="false">IF(OR(B180="",F180=""),"",B180-F180)</f>
        <v>2</v>
      </c>
      <c r="H180" s="13" t="s">
        <v>135</v>
      </c>
      <c r="I180" s="13" t="s">
        <v>131</v>
      </c>
      <c r="J180" s="13" t="s">
        <v>204</v>
      </c>
      <c r="K180" s="25" t="n">
        <v>14.5</v>
      </c>
      <c r="L180" s="25" t="n">
        <v>19.5</v>
      </c>
      <c r="M180" s="25" t="n">
        <v>39.5</v>
      </c>
      <c r="N180" s="25"/>
      <c r="O180" s="26" t="n">
        <v>40573</v>
      </c>
      <c r="P180" s="16" t="n">
        <f aca="false">IF(O180="","",IFERROR(1/(1/(IF(K180="",INDEX(CONFIG!$F$5:$F$14,MATCH(D180,CONFIG!$D$5:$D$14,0)),K180)*IF(M180="",INDEX(CONFIG!$H$5:$H$14,MATCH(D180,CONFIG!$D$5:$D$14,0)),M180))),""))</f>
        <v>572.75</v>
      </c>
      <c r="Q180" s="16" t="n">
        <f aca="false">IF(OR(O180="",P180=""),"",O180/P180)</f>
        <v>70.8389349628983</v>
      </c>
      <c r="R180" s="16" t="n">
        <f aca="false">IF(Q180="","",Q180*0.0980665)</f>
        <v>6.94692641553907</v>
      </c>
      <c r="S180" s="16" t="str">
        <f aca="false">IF(Q180="","",IFERROR(Q180/(1/(1/INDEX(CONFIG!$I$5:$I$14,MATCH(D180,CONFIG!$D$5:$D$14,0)))),""))</f>
        <v/>
      </c>
      <c r="T180" s="13"/>
      <c r="U180" s="13"/>
      <c r="V180" s="13"/>
      <c r="W180" s="13"/>
      <c r="X180" s="22" t="n">
        <f aca="false">IF(Q180="","",Q180^2)</f>
        <v>5018.15470667773</v>
      </c>
      <c r="Y180" s="22" t="str">
        <f aca="false">IF(AND(C180&lt;&gt;"",C180=CERTIFICADO!$E$4,OR(CERTIFICADO!$E$5="",B180=CERTIFICADO!$E$5)),MAX($Y$4:Y179)+1,"")</f>
        <v/>
      </c>
    </row>
    <row r="181" customFormat="false" ht="15" hidden="false" customHeight="false" outlineLevel="0" collapsed="false">
      <c r="A181" s="11" t="n">
        <f aca="false">IF(C181="","",ROW()-4)</f>
        <v>177</v>
      </c>
      <c r="B181" s="12" t="n">
        <v>45800</v>
      </c>
      <c r="C181" s="13" t="s">
        <v>205</v>
      </c>
      <c r="D181" s="23" t="str">
        <f aca="false">IF(C181="","",IFERROR(INDEX(LOTES!$D$5:$D$1004,MATCH(C181,LOTES!$F$5:$F$1004,0)),"¿Lote?"))</f>
        <v>Block 8"</v>
      </c>
      <c r="E181" s="11" t="str">
        <f aca="false">IF(C181="","",IFERROR(INDEX(LOTES!$C$5:$C$1004,MATCH(C181,LOTES!$F$5:$F$1004,0)),""))</f>
        <v>P1</v>
      </c>
      <c r="F181" s="24" t="n">
        <f aca="false">IF(C181="","",IFERROR(INDEX(LOTES!$B$5:$B$1004,MATCH(C181,LOTES!$F$5:$F$1004,0)),""))</f>
        <v>45798</v>
      </c>
      <c r="G181" s="15" t="n">
        <f aca="false">IF(OR(B181="",F181=""),"",B181-F181)</f>
        <v>2</v>
      </c>
      <c r="H181" s="13" t="s">
        <v>135</v>
      </c>
      <c r="I181" s="13" t="s">
        <v>131</v>
      </c>
      <c r="J181" s="13" t="s">
        <v>206</v>
      </c>
      <c r="K181" s="25" t="n">
        <v>19.5</v>
      </c>
      <c r="L181" s="25" t="n">
        <v>19.5</v>
      </c>
      <c r="M181" s="25" t="n">
        <v>39.5</v>
      </c>
      <c r="N181" s="25"/>
      <c r="O181" s="26" t="n">
        <v>47023</v>
      </c>
      <c r="P181" s="16" t="n">
        <f aca="false">IF(O181="","",IFERROR(1/(1/(IF(K181="",INDEX(CONFIG!$F$5:$F$14,MATCH(D181,CONFIG!$D$5:$D$14,0)),K181)*IF(M181="",INDEX(CONFIG!$H$5:$H$14,MATCH(D181,CONFIG!$D$5:$D$14,0)),M181))),""))</f>
        <v>770.25</v>
      </c>
      <c r="Q181" s="16" t="n">
        <f aca="false">IF(OR(O181="",P181=""),"",O181/P181)</f>
        <v>61.0490100616683</v>
      </c>
      <c r="R181" s="16" t="n">
        <f aca="false">IF(Q181="","",Q181*0.0980665)</f>
        <v>5.98686274521259</v>
      </c>
      <c r="S181" s="16" t="str">
        <f aca="false">IF(Q181="","",IFERROR(Q181/(1/(1/INDEX(CONFIG!$I$5:$I$14,MATCH(D181,CONFIG!$D$5:$D$14,0)))),""))</f>
        <v/>
      </c>
      <c r="T181" s="13"/>
      <c r="U181" s="13"/>
      <c r="V181" s="13"/>
      <c r="W181" s="13"/>
      <c r="X181" s="22" t="n">
        <f aca="false">IF(Q181="","",Q181^2)</f>
        <v>3726.98162950968</v>
      </c>
      <c r="Y181" s="22" t="str">
        <f aca="false">IF(AND(C181&lt;&gt;"",C181=CERTIFICADO!$E$4,OR(CERTIFICADO!$E$5="",B181=CERTIFICADO!$E$5)),MAX($Y$4:Y180)+1,"")</f>
        <v/>
      </c>
    </row>
    <row r="182" customFormat="false" ht="15" hidden="false" customHeight="false" outlineLevel="0" collapsed="false">
      <c r="A182" s="11" t="n">
        <f aca="false">IF(C182="","",ROW()-4)</f>
        <v>178</v>
      </c>
      <c r="B182" s="12" t="n">
        <v>45800</v>
      </c>
      <c r="C182" s="13" t="s">
        <v>205</v>
      </c>
      <c r="D182" s="23" t="str">
        <f aca="false">IF(C182="","",IFERROR(INDEX(LOTES!$D$5:$D$1004,MATCH(C182,LOTES!$F$5:$F$1004,0)),"¿Lote?"))</f>
        <v>Block 8"</v>
      </c>
      <c r="E182" s="11" t="str">
        <f aca="false">IF(C182="","",IFERROR(INDEX(LOTES!$C$5:$C$1004,MATCH(C182,LOTES!$F$5:$F$1004,0)),""))</f>
        <v>P1</v>
      </c>
      <c r="F182" s="24" t="n">
        <f aca="false">IF(C182="","",IFERROR(INDEX(LOTES!$B$5:$B$1004,MATCH(C182,LOTES!$F$5:$F$1004,0)),""))</f>
        <v>45798</v>
      </c>
      <c r="G182" s="15" t="n">
        <f aca="false">IF(OR(B182="",F182=""),"",B182-F182)</f>
        <v>2</v>
      </c>
      <c r="H182" s="13" t="s">
        <v>135</v>
      </c>
      <c r="I182" s="13" t="s">
        <v>131</v>
      </c>
      <c r="J182" s="13" t="s">
        <v>206</v>
      </c>
      <c r="K182" s="25" t="n">
        <v>19.5</v>
      </c>
      <c r="L182" s="25" t="n">
        <v>19.5</v>
      </c>
      <c r="M182" s="25" t="n">
        <v>39.5</v>
      </c>
      <c r="N182" s="25"/>
      <c r="O182" s="26" t="n">
        <v>46221</v>
      </c>
      <c r="P182" s="16" t="n">
        <f aca="false">IF(O182="","",IFERROR(1/(1/(IF(K182="",INDEX(CONFIG!$F$5:$F$14,MATCH(D182,CONFIG!$D$5:$D$14,0)),K182)*IF(M182="",INDEX(CONFIG!$H$5:$H$14,MATCH(D182,CONFIG!$D$5:$D$14,0)),M182))),""))</f>
        <v>770.25</v>
      </c>
      <c r="Q182" s="16" t="n">
        <f aca="false">IF(OR(O182="",P182=""),"",O182/P182)</f>
        <v>60.0077896786758</v>
      </c>
      <c r="R182" s="16" t="n">
        <f aca="false">IF(Q182="","",Q182*0.0980665)</f>
        <v>5.88475390652386</v>
      </c>
      <c r="S182" s="16" t="str">
        <f aca="false">IF(Q182="","",IFERROR(Q182/(1/(1/INDEX(CONFIG!$I$5:$I$14,MATCH(D182,CONFIG!$D$5:$D$14,0)))),""))</f>
        <v/>
      </c>
      <c r="T182" s="13"/>
      <c r="U182" s="13"/>
      <c r="V182" s="13"/>
      <c r="W182" s="13"/>
      <c r="X182" s="22" t="n">
        <f aca="false">IF(Q182="","",Q182^2)</f>
        <v>3600.93482212018</v>
      </c>
      <c r="Y182" s="22" t="str">
        <f aca="false">IF(AND(C182&lt;&gt;"",C182=CERTIFICADO!$E$4,OR(CERTIFICADO!$E$5="",B182=CERTIFICADO!$E$5)),MAX($Y$4:Y181)+1,"")</f>
        <v/>
      </c>
    </row>
    <row r="183" customFormat="false" ht="15" hidden="false" customHeight="false" outlineLevel="0" collapsed="false">
      <c r="A183" s="11" t="n">
        <f aca="false">IF(C183="","",ROW()-4)</f>
        <v>179</v>
      </c>
      <c r="B183" s="12" t="n">
        <v>45800</v>
      </c>
      <c r="C183" s="13" t="s">
        <v>205</v>
      </c>
      <c r="D183" s="23" t="str">
        <f aca="false">IF(C183="","",IFERROR(INDEX(LOTES!$D$5:$D$1004,MATCH(C183,LOTES!$F$5:$F$1004,0)),"¿Lote?"))</f>
        <v>Block 8"</v>
      </c>
      <c r="E183" s="11" t="str">
        <f aca="false">IF(C183="","",IFERROR(INDEX(LOTES!$C$5:$C$1004,MATCH(C183,LOTES!$F$5:$F$1004,0)),""))</f>
        <v>P1</v>
      </c>
      <c r="F183" s="24" t="n">
        <f aca="false">IF(C183="","",IFERROR(INDEX(LOTES!$B$5:$B$1004,MATCH(C183,LOTES!$F$5:$F$1004,0)),""))</f>
        <v>45798</v>
      </c>
      <c r="G183" s="15" t="n">
        <f aca="false">IF(OR(B183="",F183=""),"",B183-F183)</f>
        <v>2</v>
      </c>
      <c r="H183" s="13" t="s">
        <v>135</v>
      </c>
      <c r="I183" s="13" t="s">
        <v>131</v>
      </c>
      <c r="J183" s="13" t="s">
        <v>206</v>
      </c>
      <c r="K183" s="25" t="n">
        <v>19.5</v>
      </c>
      <c r="L183" s="25" t="n">
        <v>19.5</v>
      </c>
      <c r="M183" s="25" t="n">
        <v>39.5</v>
      </c>
      <c r="N183" s="25"/>
      <c r="O183" s="26" t="n">
        <v>54689</v>
      </c>
      <c r="P183" s="16" t="n">
        <f aca="false">IF(O183="","",IFERROR(1/(1/(IF(K183="",INDEX(CONFIG!$F$5:$F$14,MATCH(D183,CONFIG!$D$5:$D$14,0)),K183)*IF(M183="",INDEX(CONFIG!$H$5:$H$14,MATCH(D183,CONFIG!$D$5:$D$14,0)),M183))),""))</f>
        <v>770.25</v>
      </c>
      <c r="Q183" s="16" t="n">
        <f aca="false">IF(OR(O183="",P183=""),"",O183/P183)</f>
        <v>71.0016228497241</v>
      </c>
      <c r="R183" s="16" t="n">
        <f aca="false">IF(Q183="","",Q183*0.0980665)</f>
        <v>6.96288064719247</v>
      </c>
      <c r="S183" s="16" t="str">
        <f aca="false">IF(Q183="","",IFERROR(Q183/(1/(1/INDEX(CONFIG!$I$5:$I$14,MATCH(D183,CONFIG!$D$5:$D$14,0)))),""))</f>
        <v/>
      </c>
      <c r="T183" s="13"/>
      <c r="U183" s="13"/>
      <c r="V183" s="13"/>
      <c r="W183" s="13"/>
      <c r="X183" s="22" t="n">
        <f aca="false">IF(Q183="","",Q183^2)</f>
        <v>5041.23044729447</v>
      </c>
      <c r="Y183" s="22" t="str">
        <f aca="false">IF(AND(C183&lt;&gt;"",C183=CERTIFICADO!$E$4,OR(CERTIFICADO!$E$5="",B183=CERTIFICADO!$E$5)),MAX($Y$4:Y182)+1,"")</f>
        <v/>
      </c>
    </row>
    <row r="184" customFormat="false" ht="15" hidden="false" customHeight="false" outlineLevel="0" collapsed="false">
      <c r="A184" s="11" t="n">
        <f aca="false">IF(C184="","",ROW()-4)</f>
        <v>180</v>
      </c>
      <c r="B184" s="12" t="n">
        <v>45800</v>
      </c>
      <c r="C184" s="13" t="s">
        <v>205</v>
      </c>
      <c r="D184" s="23" t="str">
        <f aca="false">IF(C184="","",IFERROR(INDEX(LOTES!$D$5:$D$1004,MATCH(C184,LOTES!$F$5:$F$1004,0)),"¿Lote?"))</f>
        <v>Block 8"</v>
      </c>
      <c r="E184" s="11" t="str">
        <f aca="false">IF(C184="","",IFERROR(INDEX(LOTES!$C$5:$C$1004,MATCH(C184,LOTES!$F$5:$F$1004,0)),""))</f>
        <v>P1</v>
      </c>
      <c r="F184" s="24" t="n">
        <f aca="false">IF(C184="","",IFERROR(INDEX(LOTES!$B$5:$B$1004,MATCH(C184,LOTES!$F$5:$F$1004,0)),""))</f>
        <v>45798</v>
      </c>
      <c r="G184" s="15" t="n">
        <f aca="false">IF(OR(B184="",F184=""),"",B184-F184)</f>
        <v>2</v>
      </c>
      <c r="H184" s="13" t="s">
        <v>135</v>
      </c>
      <c r="I184" s="13" t="s">
        <v>131</v>
      </c>
      <c r="J184" s="13" t="s">
        <v>206</v>
      </c>
      <c r="K184" s="25" t="n">
        <v>19.5</v>
      </c>
      <c r="L184" s="25" t="n">
        <v>19.5</v>
      </c>
      <c r="M184" s="25" t="n">
        <v>39.5</v>
      </c>
      <c r="N184" s="25"/>
      <c r="O184" s="26" t="n">
        <v>58989</v>
      </c>
      <c r="P184" s="16" t="n">
        <f aca="false">IF(O184="","",IFERROR(1/(1/(IF(K184="",INDEX(CONFIG!$F$5:$F$14,MATCH(D184,CONFIG!$D$5:$D$14,0)),K184)*IF(M184="",INDEX(CONFIG!$H$5:$H$14,MATCH(D184,CONFIG!$D$5:$D$14,0)),M184))),""))</f>
        <v>770.25</v>
      </c>
      <c r="Q184" s="16" t="n">
        <f aca="false">IF(OR(O184="",P184=""),"",O184/P184)</f>
        <v>76.5842259006816</v>
      </c>
      <c r="R184" s="16" t="n">
        <f aca="false">IF(Q184="","",Q184*0.0980665)</f>
        <v>7.51034698928919</v>
      </c>
      <c r="S184" s="16" t="str">
        <f aca="false">IF(Q184="","",IFERROR(Q184/(1/(1/INDEX(CONFIG!$I$5:$I$14,MATCH(D184,CONFIG!$D$5:$D$14,0)))),""))</f>
        <v/>
      </c>
      <c r="T184" s="13"/>
      <c r="U184" s="13"/>
      <c r="V184" s="13"/>
      <c r="W184" s="13"/>
      <c r="X184" s="22" t="n">
        <f aca="false">IF(Q184="","",Q184^2)</f>
        <v>5865.14365680663</v>
      </c>
      <c r="Y184" s="22" t="str">
        <f aca="false">IF(AND(C184&lt;&gt;"",C184=CERTIFICADO!$E$4,OR(CERTIFICADO!$E$5="",B184=CERTIFICADO!$E$5)),MAX($Y$4:Y183)+1,"")</f>
        <v/>
      </c>
    </row>
    <row r="185" customFormat="false" ht="15" hidden="false" customHeight="false" outlineLevel="0" collapsed="false">
      <c r="A185" s="11" t="n">
        <f aca="false">IF(C185="","",ROW()-4)</f>
        <v>181</v>
      </c>
      <c r="B185" s="12" t="n">
        <v>45801</v>
      </c>
      <c r="C185" s="13" t="s">
        <v>207</v>
      </c>
      <c r="D185" s="23" t="str">
        <f aca="false">IF(C185="","",IFERROR(INDEX(LOTES!$D$5:$D$1004,MATCH(C185,LOTES!$F$5:$F$1004,0)),"¿Lote?"))</f>
        <v>Block 8"</v>
      </c>
      <c r="E185" s="11" t="str">
        <f aca="false">IF(C185="","",IFERROR(INDEX(LOTES!$C$5:$C$1004,MATCH(C185,LOTES!$F$5:$F$1004,0)),""))</f>
        <v>P1</v>
      </c>
      <c r="F185" s="24" t="n">
        <f aca="false">IF(C185="","",IFERROR(INDEX(LOTES!$B$5:$B$1004,MATCH(C185,LOTES!$F$5:$F$1004,0)),""))</f>
        <v>45799</v>
      </c>
      <c r="G185" s="15" t="n">
        <f aca="false">IF(OR(B185="",F185=""),"",B185-F185)</f>
        <v>2</v>
      </c>
      <c r="H185" s="13" t="s">
        <v>135</v>
      </c>
      <c r="I185" s="13" t="s">
        <v>131</v>
      </c>
      <c r="J185" s="13" t="s">
        <v>208</v>
      </c>
      <c r="K185" s="25" t="n">
        <v>19.5</v>
      </c>
      <c r="L185" s="25" t="n">
        <v>19.5</v>
      </c>
      <c r="M185" s="25" t="n">
        <v>39.5</v>
      </c>
      <c r="N185" s="25"/>
      <c r="O185" s="26" t="n">
        <v>57125</v>
      </c>
      <c r="P185" s="16" t="n">
        <f aca="false">IF(O185="","",IFERROR(1/(1/(IF(K185="",INDEX(CONFIG!$F$5:$F$14,MATCH(D185,CONFIG!$D$5:$D$14,0)),K185)*IF(M185="",INDEX(CONFIG!$H$5:$H$14,MATCH(D185,CONFIG!$D$5:$D$14,0)),M185))),""))</f>
        <v>770.25</v>
      </c>
      <c r="Q185" s="16" t="n">
        <f aca="false">IF(OR(O185="",P185=""),"",O185/P185)</f>
        <v>74.1642323920805</v>
      </c>
      <c r="R185" s="16" t="n">
        <f aca="false">IF(Q185="","",Q185*0.0980665)</f>
        <v>7.27302669587796</v>
      </c>
      <c r="S185" s="16" t="str">
        <f aca="false">IF(Q185="","",IFERROR(Q185/(1/(1/INDEX(CONFIG!$I$5:$I$14,MATCH(D185,CONFIG!$D$5:$D$14,0)))),""))</f>
        <v/>
      </c>
      <c r="T185" s="13"/>
      <c r="U185" s="13"/>
      <c r="V185" s="13"/>
      <c r="W185" s="13"/>
      <c r="X185" s="22" t="n">
        <f aca="false">IF(Q185="","",Q185^2)</f>
        <v>5500.33336630652</v>
      </c>
      <c r="Y185" s="22" t="str">
        <f aca="false">IF(AND(C185&lt;&gt;"",C185=CERTIFICADO!$E$4,OR(CERTIFICADO!$E$5="",B185=CERTIFICADO!$E$5)),MAX($Y$4:Y184)+1,"")</f>
        <v/>
      </c>
    </row>
    <row r="186" customFormat="false" ht="15" hidden="false" customHeight="false" outlineLevel="0" collapsed="false">
      <c r="A186" s="11" t="n">
        <f aca="false">IF(C186="","",ROW()-4)</f>
        <v>182</v>
      </c>
      <c r="B186" s="12" t="n">
        <v>45801</v>
      </c>
      <c r="C186" s="13" t="s">
        <v>207</v>
      </c>
      <c r="D186" s="23" t="str">
        <f aca="false">IF(C186="","",IFERROR(INDEX(LOTES!$D$5:$D$1004,MATCH(C186,LOTES!$F$5:$F$1004,0)),"¿Lote?"))</f>
        <v>Block 8"</v>
      </c>
      <c r="E186" s="11" t="str">
        <f aca="false">IF(C186="","",IFERROR(INDEX(LOTES!$C$5:$C$1004,MATCH(C186,LOTES!$F$5:$F$1004,0)),""))</f>
        <v>P1</v>
      </c>
      <c r="F186" s="24" t="n">
        <f aca="false">IF(C186="","",IFERROR(INDEX(LOTES!$B$5:$B$1004,MATCH(C186,LOTES!$F$5:$F$1004,0)),""))</f>
        <v>45799</v>
      </c>
      <c r="G186" s="15" t="n">
        <f aca="false">IF(OR(B186="",F186=""),"",B186-F186)</f>
        <v>2</v>
      </c>
      <c r="H186" s="13" t="s">
        <v>135</v>
      </c>
      <c r="I186" s="13" t="s">
        <v>131</v>
      </c>
      <c r="J186" s="13" t="s">
        <v>208</v>
      </c>
      <c r="K186" s="25" t="n">
        <v>19.5</v>
      </c>
      <c r="L186" s="25" t="n">
        <v>19.5</v>
      </c>
      <c r="M186" s="25" t="n">
        <v>39.5</v>
      </c>
      <c r="N186" s="25"/>
      <c r="O186" s="26" t="n">
        <v>54177</v>
      </c>
      <c r="P186" s="16" t="n">
        <f aca="false">IF(O186="","",IFERROR(1/(1/(IF(K186="",INDEX(CONFIG!$F$5:$F$14,MATCH(D186,CONFIG!$D$5:$D$14,0)),K186)*IF(M186="",INDEX(CONFIG!$H$5:$H$14,MATCH(D186,CONFIG!$D$5:$D$14,0)),M186))),""))</f>
        <v>770.25</v>
      </c>
      <c r="Q186" s="16" t="n">
        <f aca="false">IF(OR(O186="",P186=""),"",O186/P186)</f>
        <v>70.3369036027264</v>
      </c>
      <c r="R186" s="16" t="n">
        <f aca="false">IF(Q186="","",Q186*0.0980665)</f>
        <v>6.89769395715677</v>
      </c>
      <c r="S186" s="16" t="str">
        <f aca="false">IF(Q186="","",IFERROR(Q186/(1/(1/INDEX(CONFIG!$I$5:$I$14,MATCH(D186,CONFIG!$D$5:$D$14,0)))),""))</f>
        <v/>
      </c>
      <c r="T186" s="13"/>
      <c r="U186" s="13"/>
      <c r="V186" s="13"/>
      <c r="W186" s="13"/>
      <c r="X186" s="22" t="n">
        <f aca="false">IF(Q186="","",Q186^2)</f>
        <v>4947.28000841923</v>
      </c>
      <c r="Y186" s="22" t="str">
        <f aca="false">IF(AND(C186&lt;&gt;"",C186=CERTIFICADO!$E$4,OR(CERTIFICADO!$E$5="",B186=CERTIFICADO!$E$5)),MAX($Y$4:Y185)+1,"")</f>
        <v/>
      </c>
    </row>
    <row r="187" customFormat="false" ht="15" hidden="false" customHeight="false" outlineLevel="0" collapsed="false">
      <c r="A187" s="11" t="n">
        <f aca="false">IF(C187="","",ROW()-4)</f>
        <v>183</v>
      </c>
      <c r="B187" s="12" t="n">
        <v>45801</v>
      </c>
      <c r="C187" s="13" t="s">
        <v>207</v>
      </c>
      <c r="D187" s="23" t="str">
        <f aca="false">IF(C187="","",IFERROR(INDEX(LOTES!$D$5:$D$1004,MATCH(C187,LOTES!$F$5:$F$1004,0)),"¿Lote?"))</f>
        <v>Block 8"</v>
      </c>
      <c r="E187" s="11" t="str">
        <f aca="false">IF(C187="","",IFERROR(INDEX(LOTES!$C$5:$C$1004,MATCH(C187,LOTES!$F$5:$F$1004,0)),""))</f>
        <v>P1</v>
      </c>
      <c r="F187" s="24" t="n">
        <f aca="false">IF(C187="","",IFERROR(INDEX(LOTES!$B$5:$B$1004,MATCH(C187,LOTES!$F$5:$F$1004,0)),""))</f>
        <v>45799</v>
      </c>
      <c r="G187" s="15" t="n">
        <f aca="false">IF(OR(B187="",F187=""),"",B187-F187)</f>
        <v>2</v>
      </c>
      <c r="H187" s="13" t="s">
        <v>135</v>
      </c>
      <c r="I187" s="13" t="s">
        <v>131</v>
      </c>
      <c r="J187" s="13" t="s">
        <v>208</v>
      </c>
      <c r="K187" s="25" t="n">
        <v>19.5</v>
      </c>
      <c r="L187" s="25" t="n">
        <v>19.5</v>
      </c>
      <c r="M187" s="25" t="n">
        <v>39.5</v>
      </c>
      <c r="N187" s="25"/>
      <c r="O187" s="26" t="n">
        <v>54843</v>
      </c>
      <c r="P187" s="16" t="n">
        <f aca="false">IF(O187="","",IFERROR(1/(1/(IF(K187="",INDEX(CONFIG!$F$5:$F$14,MATCH(D187,CONFIG!$D$5:$D$14,0)),K187)*IF(M187="",INDEX(CONFIG!$H$5:$H$14,MATCH(D187,CONFIG!$D$5:$D$14,0)),M187))),""))</f>
        <v>770.25</v>
      </c>
      <c r="Q187" s="16" t="n">
        <f aca="false">IF(OR(O187="",P187=""),"",O187/P187)</f>
        <v>71.2015579357352</v>
      </c>
      <c r="R187" s="16" t="n">
        <f aca="false">IF(Q187="","",Q187*0.0980665)</f>
        <v>6.98248758130477</v>
      </c>
      <c r="S187" s="16" t="str">
        <f aca="false">IF(Q187="","",IFERROR(Q187/(1/(1/INDEX(CONFIG!$I$5:$I$14,MATCH(D187,CONFIG!$D$5:$D$14,0)))),""))</f>
        <v/>
      </c>
      <c r="T187" s="13"/>
      <c r="U187" s="13"/>
      <c r="V187" s="13"/>
      <c r="W187" s="13"/>
      <c r="X187" s="22" t="n">
        <f aca="false">IF(Q187="","",Q187^2)</f>
        <v>5069.66185247585</v>
      </c>
      <c r="Y187" s="22" t="str">
        <f aca="false">IF(AND(C187&lt;&gt;"",C187=CERTIFICADO!$E$4,OR(CERTIFICADO!$E$5="",B187=CERTIFICADO!$E$5)),MAX($Y$4:Y186)+1,"")</f>
        <v/>
      </c>
    </row>
    <row r="188" customFormat="false" ht="15" hidden="false" customHeight="false" outlineLevel="0" collapsed="false">
      <c r="A188" s="11" t="n">
        <f aca="false">IF(C188="","",ROW()-4)</f>
        <v>184</v>
      </c>
      <c r="B188" s="12" t="n">
        <v>45801</v>
      </c>
      <c r="C188" s="13" t="s">
        <v>207</v>
      </c>
      <c r="D188" s="23" t="str">
        <f aca="false">IF(C188="","",IFERROR(INDEX(LOTES!$D$5:$D$1004,MATCH(C188,LOTES!$F$5:$F$1004,0)),"¿Lote?"))</f>
        <v>Block 8"</v>
      </c>
      <c r="E188" s="11" t="str">
        <f aca="false">IF(C188="","",IFERROR(INDEX(LOTES!$C$5:$C$1004,MATCH(C188,LOTES!$F$5:$F$1004,0)),""))</f>
        <v>P1</v>
      </c>
      <c r="F188" s="24" t="n">
        <f aca="false">IF(C188="","",IFERROR(INDEX(LOTES!$B$5:$B$1004,MATCH(C188,LOTES!$F$5:$F$1004,0)),""))</f>
        <v>45799</v>
      </c>
      <c r="G188" s="15" t="n">
        <f aca="false">IF(OR(B188="",F188=""),"",B188-F188)</f>
        <v>2</v>
      </c>
      <c r="H188" s="13" t="s">
        <v>135</v>
      </c>
      <c r="I188" s="13" t="s">
        <v>131</v>
      </c>
      <c r="J188" s="13" t="s">
        <v>208</v>
      </c>
      <c r="K188" s="25" t="n">
        <v>19.5</v>
      </c>
      <c r="L188" s="25" t="n">
        <v>19.5</v>
      </c>
      <c r="M188" s="25" t="n">
        <v>39.5</v>
      </c>
      <c r="N188" s="25"/>
      <c r="O188" s="26" t="n">
        <v>43218</v>
      </c>
      <c r="P188" s="16" t="n">
        <f aca="false">IF(O188="","",IFERROR(1/(1/(IF(K188="",INDEX(CONFIG!$F$5:$F$14,MATCH(D188,CONFIG!$D$5:$D$14,0)),K188)*IF(M188="",INDEX(CONFIG!$H$5:$H$14,MATCH(D188,CONFIG!$D$5:$D$14,0)),M188))),""))</f>
        <v>770.25</v>
      </c>
      <c r="Q188" s="16" t="n">
        <f aca="false">IF(OR(O188="",P188=""),"",O188/P188)</f>
        <v>56.1090555014606</v>
      </c>
      <c r="R188" s="16" t="n">
        <f aca="false">IF(Q188="","",Q188*0.0980665)</f>
        <v>5.50241869133398</v>
      </c>
      <c r="S188" s="16" t="str">
        <f aca="false">IF(Q188="","",IFERROR(Q188/(1/(1/INDEX(CONFIG!$I$5:$I$14,MATCH(D188,CONFIG!$D$5:$D$14,0)))),""))</f>
        <v/>
      </c>
      <c r="T188" s="13"/>
      <c r="U188" s="13"/>
      <c r="V188" s="13"/>
      <c r="W188" s="13"/>
      <c r="X188" s="22" t="n">
        <f aca="false">IF(Q188="","",Q188^2)</f>
        <v>3148.22610926598</v>
      </c>
      <c r="Y188" s="22" t="str">
        <f aca="false">IF(AND(C188&lt;&gt;"",C188=CERTIFICADO!$E$4,OR(CERTIFICADO!$E$5="",B188=CERTIFICADO!$E$5)),MAX($Y$4:Y187)+1,"")</f>
        <v/>
      </c>
    </row>
    <row r="189" customFormat="false" ht="15" hidden="false" customHeight="false" outlineLevel="0" collapsed="false">
      <c r="A189" s="11" t="n">
        <f aca="false">IF(C189="","",ROW()-4)</f>
        <v>185</v>
      </c>
      <c r="B189" s="12" t="n">
        <v>45804</v>
      </c>
      <c r="C189" s="13" t="s">
        <v>209</v>
      </c>
      <c r="D189" s="23" t="str">
        <f aca="false">IF(C189="","",IFERROR(INDEX(LOTES!$D$5:$D$1004,MATCH(C189,LOTES!$F$5:$F$1004,0)),"¿Lote?"))</f>
        <v>Block 8"</v>
      </c>
      <c r="E189" s="11" t="str">
        <f aca="false">IF(C189="","",IFERROR(INDEX(LOTES!$C$5:$C$1004,MATCH(C189,LOTES!$F$5:$F$1004,0)),""))</f>
        <v>P1</v>
      </c>
      <c r="F189" s="24" t="n">
        <f aca="false">IF(C189="","",IFERROR(INDEX(LOTES!$B$5:$B$1004,MATCH(C189,LOTES!$F$5:$F$1004,0)),""))</f>
        <v>45801</v>
      </c>
      <c r="G189" s="15" t="n">
        <f aca="false">IF(OR(B189="",F189=""),"",B189-F189)</f>
        <v>3</v>
      </c>
      <c r="H189" s="13" t="s">
        <v>135</v>
      </c>
      <c r="I189" s="13" t="s">
        <v>131</v>
      </c>
      <c r="J189" s="13" t="s">
        <v>210</v>
      </c>
      <c r="K189" s="25" t="n">
        <v>19.5</v>
      </c>
      <c r="L189" s="25" t="n">
        <v>19.5</v>
      </c>
      <c r="M189" s="25" t="n">
        <v>39.5</v>
      </c>
      <c r="N189" s="25"/>
      <c r="O189" s="26" t="n">
        <v>59728</v>
      </c>
      <c r="P189" s="16" t="n">
        <f aca="false">IF(O189="","",IFERROR(1/(1/(IF(K189="",INDEX(CONFIG!$F$5:$F$14,MATCH(D189,CONFIG!$D$5:$D$14,0)),K189)*IF(M189="",INDEX(CONFIG!$H$5:$H$14,MATCH(D189,CONFIG!$D$5:$D$14,0)),M189))),""))</f>
        <v>770.25</v>
      </c>
      <c r="Q189" s="16" t="n">
        <f aca="false">IF(OR(O189="",P189=""),"",O189/P189)</f>
        <v>77.5436546575787</v>
      </c>
      <c r="R189" s="16" t="n">
        <f aca="false">IF(Q189="","",Q189*0.0980665)</f>
        <v>7.60443480947744</v>
      </c>
      <c r="S189" s="16" t="str">
        <f aca="false">IF(Q189="","",IFERROR(Q189/(1/(1/INDEX(CONFIG!$I$5:$I$14,MATCH(D189,CONFIG!$D$5:$D$14,0)))),""))</f>
        <v/>
      </c>
      <c r="T189" s="13"/>
      <c r="U189" s="13"/>
      <c r="V189" s="13"/>
      <c r="W189" s="13"/>
      <c r="X189" s="22" t="n">
        <f aca="false">IF(Q189="","",Q189^2)</f>
        <v>6013.01837765383</v>
      </c>
      <c r="Y189" s="22" t="str">
        <f aca="false">IF(AND(C189&lt;&gt;"",C189=CERTIFICADO!$E$4,OR(CERTIFICADO!$E$5="",B189=CERTIFICADO!$E$5)),MAX($Y$4:Y188)+1,"")</f>
        <v/>
      </c>
    </row>
    <row r="190" customFormat="false" ht="15" hidden="false" customHeight="false" outlineLevel="0" collapsed="false">
      <c r="A190" s="11" t="n">
        <f aca="false">IF(C190="","",ROW()-4)</f>
        <v>186</v>
      </c>
      <c r="B190" s="12" t="n">
        <v>45804</v>
      </c>
      <c r="C190" s="13" t="s">
        <v>209</v>
      </c>
      <c r="D190" s="23" t="str">
        <f aca="false">IF(C190="","",IFERROR(INDEX(LOTES!$D$5:$D$1004,MATCH(C190,LOTES!$F$5:$F$1004,0)),"¿Lote?"))</f>
        <v>Block 8"</v>
      </c>
      <c r="E190" s="11" t="str">
        <f aca="false">IF(C190="","",IFERROR(INDEX(LOTES!$C$5:$C$1004,MATCH(C190,LOTES!$F$5:$F$1004,0)),""))</f>
        <v>P1</v>
      </c>
      <c r="F190" s="24" t="n">
        <f aca="false">IF(C190="","",IFERROR(INDEX(LOTES!$B$5:$B$1004,MATCH(C190,LOTES!$F$5:$F$1004,0)),""))</f>
        <v>45801</v>
      </c>
      <c r="G190" s="15" t="n">
        <f aca="false">IF(OR(B190="",F190=""),"",B190-F190)</f>
        <v>3</v>
      </c>
      <c r="H190" s="13" t="s">
        <v>135</v>
      </c>
      <c r="I190" s="13" t="s">
        <v>131</v>
      </c>
      <c r="J190" s="13" t="s">
        <v>210</v>
      </c>
      <c r="K190" s="25" t="n">
        <v>19.5</v>
      </c>
      <c r="L190" s="25" t="n">
        <v>19.5</v>
      </c>
      <c r="M190" s="25" t="n">
        <v>39.5</v>
      </c>
      <c r="N190" s="25"/>
      <c r="O190" s="26" t="n">
        <v>55510</v>
      </c>
      <c r="P190" s="16" t="n">
        <f aca="false">IF(O190="","",IFERROR(1/(1/(IF(K190="",INDEX(CONFIG!$F$5:$F$14,MATCH(D190,CONFIG!$D$5:$D$14,0)),K190)*IF(M190="",INDEX(CONFIG!$H$5:$H$14,MATCH(D190,CONFIG!$D$5:$D$14,0)),M190))),""))</f>
        <v>770.25</v>
      </c>
      <c r="Q190" s="16" t="n">
        <f aca="false">IF(OR(O190="",P190=""),"",O190/P190)</f>
        <v>72.0675105485232</v>
      </c>
      <c r="R190" s="16" t="n">
        <f aca="false">IF(Q190="","",Q190*0.0980665)</f>
        <v>7.06740852320675</v>
      </c>
      <c r="S190" s="16" t="str">
        <f aca="false">IF(Q190="","",IFERROR(Q190/(1/(1/INDEX(CONFIG!$I$5:$I$14,MATCH(D190,CONFIG!$D$5:$D$14,0)))),""))</f>
        <v/>
      </c>
      <c r="T190" s="13"/>
      <c r="U190" s="13"/>
      <c r="V190" s="13"/>
      <c r="W190" s="13"/>
      <c r="X190" s="22" t="n">
        <f aca="false">IF(Q190="","",Q190^2)</f>
        <v>5193.7260766615</v>
      </c>
      <c r="Y190" s="22" t="str">
        <f aca="false">IF(AND(C190&lt;&gt;"",C190=CERTIFICADO!$E$4,OR(CERTIFICADO!$E$5="",B190=CERTIFICADO!$E$5)),MAX($Y$4:Y189)+1,"")</f>
        <v/>
      </c>
    </row>
    <row r="191" customFormat="false" ht="15" hidden="false" customHeight="false" outlineLevel="0" collapsed="false">
      <c r="A191" s="11" t="n">
        <f aca="false">IF(C191="","",ROW()-4)</f>
        <v>187</v>
      </c>
      <c r="B191" s="12" t="n">
        <v>45804</v>
      </c>
      <c r="C191" s="13" t="s">
        <v>209</v>
      </c>
      <c r="D191" s="23" t="str">
        <f aca="false">IF(C191="","",IFERROR(INDEX(LOTES!$D$5:$D$1004,MATCH(C191,LOTES!$F$5:$F$1004,0)),"¿Lote?"))</f>
        <v>Block 8"</v>
      </c>
      <c r="E191" s="11" t="str">
        <f aca="false">IF(C191="","",IFERROR(INDEX(LOTES!$C$5:$C$1004,MATCH(C191,LOTES!$F$5:$F$1004,0)),""))</f>
        <v>P1</v>
      </c>
      <c r="F191" s="24" t="n">
        <f aca="false">IF(C191="","",IFERROR(INDEX(LOTES!$B$5:$B$1004,MATCH(C191,LOTES!$F$5:$F$1004,0)),""))</f>
        <v>45801</v>
      </c>
      <c r="G191" s="15" t="n">
        <f aca="false">IF(OR(B191="",F191=""),"",B191-F191)</f>
        <v>3</v>
      </c>
      <c r="H191" s="13" t="s">
        <v>135</v>
      </c>
      <c r="I191" s="13" t="s">
        <v>131</v>
      </c>
      <c r="J191" s="13" t="s">
        <v>210</v>
      </c>
      <c r="K191" s="25" t="n">
        <v>19.5</v>
      </c>
      <c r="L191" s="25" t="n">
        <v>19.5</v>
      </c>
      <c r="M191" s="25" t="n">
        <v>39.5</v>
      </c>
      <c r="N191" s="25"/>
      <c r="O191" s="26" t="n">
        <v>53210</v>
      </c>
      <c r="P191" s="16" t="n">
        <f aca="false">IF(O191="","",IFERROR(1/(1/(IF(K191="",INDEX(CONFIG!$F$5:$F$14,MATCH(D191,CONFIG!$D$5:$D$14,0)),K191)*IF(M191="",INDEX(CONFIG!$H$5:$H$14,MATCH(D191,CONFIG!$D$5:$D$14,0)),M191))),""))</f>
        <v>770.25</v>
      </c>
      <c r="Q191" s="16" t="n">
        <f aca="false">IF(OR(O191="",P191=""),"",O191/P191)</f>
        <v>69.0814670561506</v>
      </c>
      <c r="R191" s="16" t="n">
        <f aca="false">IF(Q191="","",Q191*0.0980665)</f>
        <v>6.77457768906199</v>
      </c>
      <c r="S191" s="16" t="str">
        <f aca="false">IF(Q191="","",IFERROR(Q191/(1/(1/INDEX(CONFIG!$I$5:$I$14,MATCH(D191,CONFIG!$D$5:$D$14,0)))),""))</f>
        <v/>
      </c>
      <c r="T191" s="13"/>
      <c r="U191" s="13"/>
      <c r="V191" s="13"/>
      <c r="W191" s="13"/>
      <c r="X191" s="22" t="n">
        <f aca="false">IF(Q191="","",Q191^2)</f>
        <v>4772.24909063002</v>
      </c>
      <c r="Y191" s="22" t="str">
        <f aca="false">IF(AND(C191&lt;&gt;"",C191=CERTIFICADO!$E$4,OR(CERTIFICADO!$E$5="",B191=CERTIFICADO!$E$5)),MAX($Y$4:Y190)+1,"")</f>
        <v/>
      </c>
    </row>
    <row r="192" customFormat="false" ht="15" hidden="false" customHeight="false" outlineLevel="0" collapsed="false">
      <c r="A192" s="11" t="n">
        <f aca="false">IF(C192="","",ROW()-4)</f>
        <v>188</v>
      </c>
      <c r="B192" s="12" t="n">
        <v>45804</v>
      </c>
      <c r="C192" s="13" t="s">
        <v>209</v>
      </c>
      <c r="D192" s="23" t="str">
        <f aca="false">IF(C192="","",IFERROR(INDEX(LOTES!$D$5:$D$1004,MATCH(C192,LOTES!$F$5:$F$1004,0)),"¿Lote?"))</f>
        <v>Block 8"</v>
      </c>
      <c r="E192" s="11" t="str">
        <f aca="false">IF(C192="","",IFERROR(INDEX(LOTES!$C$5:$C$1004,MATCH(C192,LOTES!$F$5:$F$1004,0)),""))</f>
        <v>P1</v>
      </c>
      <c r="F192" s="24" t="n">
        <f aca="false">IF(C192="","",IFERROR(INDEX(LOTES!$B$5:$B$1004,MATCH(C192,LOTES!$F$5:$F$1004,0)),""))</f>
        <v>45801</v>
      </c>
      <c r="G192" s="15" t="n">
        <f aca="false">IF(OR(B192="",F192=""),"",B192-F192)</f>
        <v>3</v>
      </c>
      <c r="H192" s="13" t="s">
        <v>135</v>
      </c>
      <c r="I192" s="13" t="s">
        <v>131</v>
      </c>
      <c r="J192" s="13" t="s">
        <v>210</v>
      </c>
      <c r="K192" s="25" t="n">
        <v>19.5</v>
      </c>
      <c r="L192" s="25" t="n">
        <v>19.5</v>
      </c>
      <c r="M192" s="25" t="n">
        <v>39.5</v>
      </c>
      <c r="N192" s="25"/>
      <c r="O192" s="26" t="n">
        <v>55546</v>
      </c>
      <c r="P192" s="16" t="n">
        <f aca="false">IF(O192="","",IFERROR(1/(1/(IF(K192="",INDEX(CONFIG!$F$5:$F$14,MATCH(D192,CONFIG!$D$5:$D$14,0)),K192)*IF(M192="",INDEX(CONFIG!$H$5:$H$14,MATCH(D192,CONFIG!$D$5:$D$14,0)),M192))),""))</f>
        <v>770.25</v>
      </c>
      <c r="Q192" s="16" t="n">
        <f aca="false">IF(OR(O192="",P192=""),"",O192/P192)</f>
        <v>72.1142486205777</v>
      </c>
      <c r="R192" s="16" t="n">
        <f aca="false">IF(Q192="","",Q192*0.0980665)</f>
        <v>7.07199196234989</v>
      </c>
      <c r="S192" s="16" t="str">
        <f aca="false">IF(Q192="","",IFERROR(Q192/(1/(1/INDEX(CONFIG!$I$5:$I$14,MATCH(D192,CONFIG!$D$5:$D$14,0)))),""))</f>
        <v/>
      </c>
      <c r="T192" s="13"/>
      <c r="U192" s="13"/>
      <c r="V192" s="13"/>
      <c r="W192" s="13"/>
      <c r="X192" s="22" t="n">
        <f aca="false">IF(Q192="","",Q192^2)</f>
        <v>5200.4648541105</v>
      </c>
      <c r="Y192" s="22" t="str">
        <f aca="false">IF(AND(C192&lt;&gt;"",C192=CERTIFICADO!$E$4,OR(CERTIFICADO!$E$5="",B192=CERTIFICADO!$E$5)),MAX($Y$4:Y191)+1,"")</f>
        <v/>
      </c>
    </row>
    <row r="193" customFormat="false" ht="15" hidden="false" customHeight="false" outlineLevel="0" collapsed="false">
      <c r="A193" s="11" t="n">
        <f aca="false">IF(C193="","",ROW()-4)</f>
        <v>189</v>
      </c>
      <c r="B193" s="12" t="n">
        <v>45808</v>
      </c>
      <c r="C193" s="13" t="s">
        <v>211</v>
      </c>
      <c r="D193" s="23" t="str">
        <f aca="false">IF(C193="","",IFERROR(INDEX(LOTES!$D$5:$D$1004,MATCH(C193,LOTES!$F$5:$F$1004,0)),"¿Lote?"))</f>
        <v>Block 8"</v>
      </c>
      <c r="E193" s="11" t="str">
        <f aca="false">IF(C193="","",IFERROR(INDEX(LOTES!$C$5:$C$1004,MATCH(C193,LOTES!$F$5:$F$1004,0)),""))</f>
        <v>P1</v>
      </c>
      <c r="F193" s="24" t="n">
        <f aca="false">IF(C193="","",IFERROR(INDEX(LOTES!$B$5:$B$1004,MATCH(C193,LOTES!$F$5:$F$1004,0)),""))</f>
        <v>45806</v>
      </c>
      <c r="G193" s="15" t="n">
        <f aca="false">IF(OR(B193="",F193=""),"",B193-F193)</f>
        <v>2</v>
      </c>
      <c r="H193" s="13" t="s">
        <v>135</v>
      </c>
      <c r="I193" s="13" t="s">
        <v>131</v>
      </c>
      <c r="J193" s="13" t="s">
        <v>212</v>
      </c>
      <c r="K193" s="25" t="n">
        <v>19.5</v>
      </c>
      <c r="L193" s="25" t="n">
        <v>19.5</v>
      </c>
      <c r="M193" s="25" t="n">
        <v>39.5</v>
      </c>
      <c r="N193" s="25"/>
      <c r="O193" s="26" t="n">
        <v>60146</v>
      </c>
      <c r="P193" s="16" t="n">
        <f aca="false">IF(O193="","",IFERROR(1/(1/(IF(K193="",INDEX(CONFIG!$F$5:$F$14,MATCH(D193,CONFIG!$D$5:$D$14,0)),K193)*IF(M193="",INDEX(CONFIG!$H$5:$H$14,MATCH(D193,CONFIG!$D$5:$D$14,0)),M193))),""))</f>
        <v>770.25</v>
      </c>
      <c r="Q193" s="16" t="n">
        <f aca="false">IF(OR(O193="",P193=""),"",O193/P193)</f>
        <v>78.0863356053229</v>
      </c>
      <c r="R193" s="16" t="n">
        <f aca="false">IF(Q193="","",Q193*0.0980665)</f>
        <v>7.6576536306394</v>
      </c>
      <c r="S193" s="16" t="str">
        <f aca="false">IF(Q193="","",IFERROR(Q193/(1/(1/INDEX(CONFIG!$I$5:$I$14,MATCH(D193,CONFIG!$D$5:$D$14,0)))),""))</f>
        <v/>
      </c>
      <c r="T193" s="13"/>
      <c r="U193" s="13"/>
      <c r="V193" s="13"/>
      <c r="W193" s="13"/>
      <c r="X193" s="22" t="n">
        <f aca="false">IF(Q193="","",Q193^2)</f>
        <v>6097.47580826713</v>
      </c>
      <c r="Y193" s="22" t="str">
        <f aca="false">IF(AND(C193&lt;&gt;"",C193=CERTIFICADO!$E$4,OR(CERTIFICADO!$E$5="",B193=CERTIFICADO!$E$5)),MAX($Y$4:Y192)+1,"")</f>
        <v/>
      </c>
    </row>
    <row r="194" customFormat="false" ht="15" hidden="false" customHeight="false" outlineLevel="0" collapsed="false">
      <c r="A194" s="11" t="n">
        <f aca="false">IF(C194="","",ROW()-4)</f>
        <v>190</v>
      </c>
      <c r="B194" s="12" t="n">
        <v>45808</v>
      </c>
      <c r="C194" s="13" t="s">
        <v>211</v>
      </c>
      <c r="D194" s="23" t="str">
        <f aca="false">IF(C194="","",IFERROR(INDEX(LOTES!$D$5:$D$1004,MATCH(C194,LOTES!$F$5:$F$1004,0)),"¿Lote?"))</f>
        <v>Block 8"</v>
      </c>
      <c r="E194" s="11" t="str">
        <f aca="false">IF(C194="","",IFERROR(INDEX(LOTES!$C$5:$C$1004,MATCH(C194,LOTES!$F$5:$F$1004,0)),""))</f>
        <v>P1</v>
      </c>
      <c r="F194" s="24" t="n">
        <f aca="false">IF(C194="","",IFERROR(INDEX(LOTES!$B$5:$B$1004,MATCH(C194,LOTES!$F$5:$F$1004,0)),""))</f>
        <v>45806</v>
      </c>
      <c r="G194" s="15" t="n">
        <f aca="false">IF(OR(B194="",F194=""),"",B194-F194)</f>
        <v>2</v>
      </c>
      <c r="H194" s="13" t="s">
        <v>135</v>
      </c>
      <c r="I194" s="13" t="s">
        <v>131</v>
      </c>
      <c r="J194" s="13" t="s">
        <v>212</v>
      </c>
      <c r="K194" s="25" t="n">
        <v>19.5</v>
      </c>
      <c r="L194" s="25" t="n">
        <v>19.5</v>
      </c>
      <c r="M194" s="25" t="n">
        <v>39.5</v>
      </c>
      <c r="N194" s="25"/>
      <c r="O194" s="26" t="n">
        <v>51065</v>
      </c>
      <c r="P194" s="16" t="n">
        <f aca="false">IF(O194="","",IFERROR(1/(1/(IF(K194="",INDEX(CONFIG!$F$5:$F$14,MATCH(D194,CONFIG!$D$5:$D$14,0)),K194)*IF(M194="",INDEX(CONFIG!$H$5:$H$14,MATCH(D194,CONFIG!$D$5:$D$14,0)),M194))),""))</f>
        <v>770.25</v>
      </c>
      <c r="Q194" s="16" t="n">
        <f aca="false">IF(OR(O194="",P194=""),"",O194/P194)</f>
        <v>66.2966569295683</v>
      </c>
      <c r="R194" s="16" t="n">
        <f aca="false">IF(Q194="","",Q194*0.0980665)</f>
        <v>6.50148110678351</v>
      </c>
      <c r="S194" s="16" t="str">
        <f aca="false">IF(Q194="","",IFERROR(Q194/(1/(1/INDEX(CONFIG!$I$5:$I$14,MATCH(D194,CONFIG!$D$5:$D$14,0)))),""))</f>
        <v/>
      </c>
      <c r="T194" s="13"/>
      <c r="U194" s="13"/>
      <c r="V194" s="13"/>
      <c r="W194" s="13"/>
      <c r="X194" s="22" t="n">
        <f aca="false">IF(Q194="","",Q194^2)</f>
        <v>4395.24672003688</v>
      </c>
      <c r="Y194" s="22" t="str">
        <f aca="false">IF(AND(C194&lt;&gt;"",C194=CERTIFICADO!$E$4,OR(CERTIFICADO!$E$5="",B194=CERTIFICADO!$E$5)),MAX($Y$4:Y193)+1,"")</f>
        <v/>
      </c>
    </row>
    <row r="195" customFormat="false" ht="15" hidden="false" customHeight="false" outlineLevel="0" collapsed="false">
      <c r="A195" s="11" t="n">
        <f aca="false">IF(C195="","",ROW()-4)</f>
        <v>191</v>
      </c>
      <c r="B195" s="12" t="n">
        <v>45808</v>
      </c>
      <c r="C195" s="13" t="s">
        <v>211</v>
      </c>
      <c r="D195" s="23" t="str">
        <f aca="false">IF(C195="","",IFERROR(INDEX(LOTES!$D$5:$D$1004,MATCH(C195,LOTES!$F$5:$F$1004,0)),"¿Lote?"))</f>
        <v>Block 8"</v>
      </c>
      <c r="E195" s="11" t="str">
        <f aca="false">IF(C195="","",IFERROR(INDEX(LOTES!$C$5:$C$1004,MATCH(C195,LOTES!$F$5:$F$1004,0)),""))</f>
        <v>P1</v>
      </c>
      <c r="F195" s="24" t="n">
        <f aca="false">IF(C195="","",IFERROR(INDEX(LOTES!$B$5:$B$1004,MATCH(C195,LOTES!$F$5:$F$1004,0)),""))</f>
        <v>45806</v>
      </c>
      <c r="G195" s="15" t="n">
        <f aca="false">IF(OR(B195="",F195=""),"",B195-F195)</f>
        <v>2</v>
      </c>
      <c r="H195" s="13" t="s">
        <v>135</v>
      </c>
      <c r="I195" s="13" t="s">
        <v>131</v>
      </c>
      <c r="J195" s="13" t="s">
        <v>212</v>
      </c>
      <c r="K195" s="25" t="n">
        <v>19.5</v>
      </c>
      <c r="L195" s="25" t="n">
        <v>19.5</v>
      </c>
      <c r="M195" s="25" t="n">
        <v>39.5</v>
      </c>
      <c r="N195" s="25"/>
      <c r="O195" s="26" t="n">
        <v>56336</v>
      </c>
      <c r="P195" s="16" t="n">
        <f aca="false">IF(O195="","",IFERROR(1/(1/(IF(K195="",INDEX(CONFIG!$F$5:$F$14,MATCH(D195,CONFIG!$D$5:$D$14,0)),K195)*IF(M195="",INDEX(CONFIG!$H$5:$H$14,MATCH(D195,CONFIG!$D$5:$D$14,0)),M195))),""))</f>
        <v>770.25</v>
      </c>
      <c r="Q195" s="16" t="n">
        <f aca="false">IF(OR(O195="",P195=""),"",O195/P195)</f>
        <v>73.1398896462188</v>
      </c>
      <c r="R195" s="16" t="n">
        <f aca="false">IF(Q195="","",Q195*0.0980665)</f>
        <v>7.17257298799091</v>
      </c>
      <c r="S195" s="16" t="str">
        <f aca="false">IF(Q195="","",IFERROR(Q195/(1/(1/INDEX(CONFIG!$I$5:$I$14,MATCH(D195,CONFIG!$D$5:$D$14,0)))),""))</f>
        <v/>
      </c>
      <c r="T195" s="13"/>
      <c r="U195" s="13"/>
      <c r="V195" s="13"/>
      <c r="W195" s="13"/>
      <c r="X195" s="22" t="n">
        <f aca="false">IF(Q195="","",Q195^2)</f>
        <v>5349.44345746106</v>
      </c>
      <c r="Y195" s="22" t="str">
        <f aca="false">IF(AND(C195&lt;&gt;"",C195=CERTIFICADO!$E$4,OR(CERTIFICADO!$E$5="",B195=CERTIFICADO!$E$5)),MAX($Y$4:Y194)+1,"")</f>
        <v/>
      </c>
    </row>
    <row r="196" customFormat="false" ht="15" hidden="false" customHeight="false" outlineLevel="0" collapsed="false">
      <c r="A196" s="11" t="n">
        <f aca="false">IF(C196="","",ROW()-4)</f>
        <v>192</v>
      </c>
      <c r="B196" s="12" t="n">
        <v>45808</v>
      </c>
      <c r="C196" s="13" t="s">
        <v>211</v>
      </c>
      <c r="D196" s="23" t="str">
        <f aca="false">IF(C196="","",IFERROR(INDEX(LOTES!$D$5:$D$1004,MATCH(C196,LOTES!$F$5:$F$1004,0)),"¿Lote?"))</f>
        <v>Block 8"</v>
      </c>
      <c r="E196" s="11" t="str">
        <f aca="false">IF(C196="","",IFERROR(INDEX(LOTES!$C$5:$C$1004,MATCH(C196,LOTES!$F$5:$F$1004,0)),""))</f>
        <v>P1</v>
      </c>
      <c r="F196" s="24" t="n">
        <f aca="false">IF(C196="","",IFERROR(INDEX(LOTES!$B$5:$B$1004,MATCH(C196,LOTES!$F$5:$F$1004,0)),""))</f>
        <v>45806</v>
      </c>
      <c r="G196" s="15" t="n">
        <f aca="false">IF(OR(B196="",F196=""),"",B196-F196)</f>
        <v>2</v>
      </c>
      <c r="H196" s="13" t="s">
        <v>135</v>
      </c>
      <c r="I196" s="13" t="s">
        <v>131</v>
      </c>
      <c r="J196" s="13" t="s">
        <v>212</v>
      </c>
      <c r="K196" s="25" t="n">
        <v>19.5</v>
      </c>
      <c r="L196" s="25" t="n">
        <v>19.5</v>
      </c>
      <c r="M196" s="25" t="n">
        <v>39.5</v>
      </c>
      <c r="N196" s="25"/>
      <c r="O196" s="26" t="n">
        <v>58209</v>
      </c>
      <c r="P196" s="16" t="n">
        <f aca="false">IF(O196="","",IFERROR(1/(1/(IF(K196="",INDEX(CONFIG!$F$5:$F$14,MATCH(D196,CONFIG!$D$5:$D$14,0)),K196)*IF(M196="",INDEX(CONFIG!$H$5:$H$14,MATCH(D196,CONFIG!$D$5:$D$14,0)),M196))),""))</f>
        <v>770.25</v>
      </c>
      <c r="Q196" s="16" t="n">
        <f aca="false">IF(OR(O196="",P196=""),"",O196/P196)</f>
        <v>75.5715676728335</v>
      </c>
      <c r="R196" s="16" t="n">
        <f aca="false">IF(Q196="","",Q196*0.0980665)</f>
        <v>7.41103914118793</v>
      </c>
      <c r="S196" s="16" t="str">
        <f aca="false">IF(Q196="","",IFERROR(Q196/(1/(1/INDEX(CONFIG!$I$5:$I$14,MATCH(D196,CONFIG!$D$5:$D$14,0)))),""))</f>
        <v/>
      </c>
      <c r="T196" s="13"/>
      <c r="U196" s="13"/>
      <c r="V196" s="13"/>
      <c r="W196" s="13"/>
      <c r="X196" s="22" t="n">
        <f aca="false">IF(Q196="","",Q196^2)</f>
        <v>5711.06184052965</v>
      </c>
      <c r="Y196" s="22" t="str">
        <f aca="false">IF(AND(C196&lt;&gt;"",C196=CERTIFICADO!$E$4,OR(CERTIFICADO!$E$5="",B196=CERTIFICADO!$E$5)),MAX($Y$4:Y195)+1,"")</f>
        <v/>
      </c>
    </row>
    <row r="197" customFormat="false" ht="15" hidden="false" customHeight="false" outlineLevel="0" collapsed="false">
      <c r="A197" s="11" t="n">
        <f aca="false">IF(C197="","",ROW()-4)</f>
        <v>193</v>
      </c>
      <c r="B197" s="12" t="n">
        <v>45813</v>
      </c>
      <c r="C197" s="13" t="s">
        <v>213</v>
      </c>
      <c r="D197" s="23" t="str">
        <f aca="false">IF(C197="","",IFERROR(INDEX(LOTES!$D$5:$D$1004,MATCH(C197,LOTES!$F$5:$F$1004,0)),"¿Lote?"))</f>
        <v>Block 8"</v>
      </c>
      <c r="E197" s="11" t="str">
        <f aca="false">IF(C197="","",IFERROR(INDEX(LOTES!$C$5:$C$1004,MATCH(C197,LOTES!$F$5:$F$1004,0)),""))</f>
        <v>P2</v>
      </c>
      <c r="F197" s="24" t="n">
        <f aca="false">IF(C197="","",IFERROR(INDEX(LOTES!$B$5:$B$1004,MATCH(C197,LOTES!$F$5:$F$1004,0)),""))</f>
        <v>45813</v>
      </c>
      <c r="G197" s="15" t="n">
        <f aca="false">IF(OR(B197="",F197=""),"",B197-F197)</f>
        <v>0</v>
      </c>
      <c r="H197" s="13" t="s">
        <v>135</v>
      </c>
      <c r="I197" s="13" t="s">
        <v>131</v>
      </c>
      <c r="J197" s="13" t="s">
        <v>214</v>
      </c>
      <c r="K197" s="25" t="n">
        <v>19.5</v>
      </c>
      <c r="L197" s="25" t="n">
        <v>19.5</v>
      </c>
      <c r="M197" s="25" t="n">
        <v>39.5</v>
      </c>
      <c r="N197" s="25"/>
      <c r="O197" s="26" t="n">
        <v>52807</v>
      </c>
      <c r="P197" s="16" t="n">
        <f aca="false">IF(O197="","",IFERROR(1/(1/(IF(K197="",INDEX(CONFIG!$F$5:$F$14,MATCH(D197,CONFIG!$D$5:$D$14,0)),K197)*IF(M197="",INDEX(CONFIG!$H$5:$H$14,MATCH(D197,CONFIG!$D$5:$D$14,0)),M197))),""))</f>
        <v>770.25</v>
      </c>
      <c r="Q197" s="16" t="n">
        <f aca="false">IF(OR(O197="",P197=""),"",O197/P197)</f>
        <v>68.5582603050957</v>
      </c>
      <c r="R197" s="16" t="n">
        <f aca="false">IF(Q197="","",Q197*0.0980665)</f>
        <v>6.72326863420967</v>
      </c>
      <c r="S197" s="16" t="str">
        <f aca="false">IF(Q197="","",IFERROR(Q197/(1/(1/INDEX(CONFIG!$I$5:$I$14,MATCH(D197,CONFIG!$D$5:$D$14,0)))),""))</f>
        <v/>
      </c>
      <c r="T197" s="13"/>
      <c r="U197" s="13"/>
      <c r="V197" s="13" t="s">
        <v>215</v>
      </c>
      <c r="W197" s="13"/>
      <c r="X197" s="22" t="n">
        <f aca="false">IF(Q197="","",Q197^2)</f>
        <v>4700.23505606127</v>
      </c>
      <c r="Y197" s="22" t="str">
        <f aca="false">IF(AND(C197&lt;&gt;"",C197=CERTIFICADO!$E$4,OR(CERTIFICADO!$E$5="",B197=CERTIFICADO!$E$5)),MAX($Y$4:Y196)+1,"")</f>
        <v/>
      </c>
    </row>
    <row r="198" customFormat="false" ht="15" hidden="false" customHeight="false" outlineLevel="0" collapsed="false">
      <c r="A198" s="11" t="n">
        <f aca="false">IF(C198="","",ROW()-4)</f>
        <v>194</v>
      </c>
      <c r="B198" s="12" t="n">
        <v>45813</v>
      </c>
      <c r="C198" s="13" t="s">
        <v>213</v>
      </c>
      <c r="D198" s="23" t="str">
        <f aca="false">IF(C198="","",IFERROR(INDEX(LOTES!$D$5:$D$1004,MATCH(C198,LOTES!$F$5:$F$1004,0)),"¿Lote?"))</f>
        <v>Block 8"</v>
      </c>
      <c r="E198" s="11" t="str">
        <f aca="false">IF(C198="","",IFERROR(INDEX(LOTES!$C$5:$C$1004,MATCH(C198,LOTES!$F$5:$F$1004,0)),""))</f>
        <v>P2</v>
      </c>
      <c r="F198" s="24" t="n">
        <f aca="false">IF(C198="","",IFERROR(INDEX(LOTES!$B$5:$B$1004,MATCH(C198,LOTES!$F$5:$F$1004,0)),""))</f>
        <v>45813</v>
      </c>
      <c r="G198" s="15" t="n">
        <f aca="false">IF(OR(B198="",F198=""),"",B198-F198)</f>
        <v>0</v>
      </c>
      <c r="H198" s="13" t="s">
        <v>135</v>
      </c>
      <c r="I198" s="13" t="s">
        <v>131</v>
      </c>
      <c r="J198" s="13" t="s">
        <v>214</v>
      </c>
      <c r="K198" s="25" t="n">
        <v>19.5</v>
      </c>
      <c r="L198" s="25" t="n">
        <v>19.5</v>
      </c>
      <c r="M198" s="25" t="n">
        <v>39.5</v>
      </c>
      <c r="N198" s="25"/>
      <c r="O198" s="26" t="n">
        <v>47065</v>
      </c>
      <c r="P198" s="16" t="n">
        <f aca="false">IF(O198="","",IFERROR(1/(1/(IF(K198="",INDEX(CONFIG!$F$5:$F$14,MATCH(D198,CONFIG!$D$5:$D$14,0)),K198)*IF(M198="",INDEX(CONFIG!$H$5:$H$14,MATCH(D198,CONFIG!$D$5:$D$14,0)),M198))),""))</f>
        <v>770.25</v>
      </c>
      <c r="Q198" s="16" t="n">
        <f aca="false">IF(OR(O198="",P198=""),"",O198/P198)</f>
        <v>61.1035378123986</v>
      </c>
      <c r="R198" s="16" t="n">
        <f aca="false">IF(Q198="","",Q198*0.0980665)</f>
        <v>5.99221009087959</v>
      </c>
      <c r="S198" s="16" t="str">
        <f aca="false">IF(Q198="","",IFERROR(Q198/(1/(1/INDEX(CONFIG!$I$5:$I$14,MATCH(D198,CONFIG!$D$5:$D$14,0)))),""))</f>
        <v/>
      </c>
      <c r="T198" s="13"/>
      <c r="U198" s="13"/>
      <c r="V198" s="13" t="s">
        <v>215</v>
      </c>
      <c r="W198" s="13"/>
      <c r="X198" s="22" t="n">
        <f aca="false">IF(Q198="","",Q198^2)</f>
        <v>3733.64233319122</v>
      </c>
      <c r="Y198" s="22" t="str">
        <f aca="false">IF(AND(C198&lt;&gt;"",C198=CERTIFICADO!$E$4,OR(CERTIFICADO!$E$5="",B198=CERTIFICADO!$E$5)),MAX($Y$4:Y197)+1,"")</f>
        <v/>
      </c>
    </row>
    <row r="199" customFormat="false" ht="15" hidden="false" customHeight="false" outlineLevel="0" collapsed="false">
      <c r="A199" s="11" t="n">
        <f aca="false">IF(C199="","",ROW()-4)</f>
        <v>195</v>
      </c>
      <c r="B199" s="12" t="n">
        <v>45813</v>
      </c>
      <c r="C199" s="13" t="s">
        <v>213</v>
      </c>
      <c r="D199" s="23" t="str">
        <f aca="false">IF(C199="","",IFERROR(INDEX(LOTES!$D$5:$D$1004,MATCH(C199,LOTES!$F$5:$F$1004,0)),"¿Lote?"))</f>
        <v>Block 8"</v>
      </c>
      <c r="E199" s="11" t="str">
        <f aca="false">IF(C199="","",IFERROR(INDEX(LOTES!$C$5:$C$1004,MATCH(C199,LOTES!$F$5:$F$1004,0)),""))</f>
        <v>P2</v>
      </c>
      <c r="F199" s="24" t="n">
        <f aca="false">IF(C199="","",IFERROR(INDEX(LOTES!$B$5:$B$1004,MATCH(C199,LOTES!$F$5:$F$1004,0)),""))</f>
        <v>45813</v>
      </c>
      <c r="G199" s="15" t="n">
        <f aca="false">IF(OR(B199="",F199=""),"",B199-F199)</f>
        <v>0</v>
      </c>
      <c r="H199" s="13" t="s">
        <v>135</v>
      </c>
      <c r="I199" s="13" t="s">
        <v>131</v>
      </c>
      <c r="J199" s="13" t="s">
        <v>214</v>
      </c>
      <c r="K199" s="25" t="n">
        <v>19.5</v>
      </c>
      <c r="L199" s="25" t="n">
        <v>19.5</v>
      </c>
      <c r="M199" s="25" t="n">
        <v>39.5</v>
      </c>
      <c r="N199" s="25"/>
      <c r="O199" s="26" t="n">
        <v>50629</v>
      </c>
      <c r="P199" s="16" t="n">
        <f aca="false">IF(O199="","",IFERROR(1/(1/(IF(K199="",INDEX(CONFIG!$F$5:$F$14,MATCH(D199,CONFIG!$D$5:$D$14,0)),K199)*IF(M199="",INDEX(CONFIG!$H$5:$H$14,MATCH(D199,CONFIG!$D$5:$D$14,0)),M199))),""))</f>
        <v>770.25</v>
      </c>
      <c r="Q199" s="16" t="n">
        <f aca="false">IF(OR(O199="",P199=""),"",O199/P199)</f>
        <v>65.7306069457968</v>
      </c>
      <c r="R199" s="16" t="n">
        <f aca="false">IF(Q199="","",Q199*0.0980665)</f>
        <v>6.44597056604998</v>
      </c>
      <c r="S199" s="16" t="str">
        <f aca="false">IF(Q199="","",IFERROR(Q199/(1/(1/INDEX(CONFIG!$I$5:$I$14,MATCH(D199,CONFIG!$D$5:$D$14,0)))),""))</f>
        <v/>
      </c>
      <c r="T199" s="13"/>
      <c r="U199" s="13"/>
      <c r="V199" s="13" t="s">
        <v>215</v>
      </c>
      <c r="W199" s="13"/>
      <c r="X199" s="22" t="n">
        <f aca="false">IF(Q199="","",Q199^2)</f>
        <v>4320.51268946283</v>
      </c>
      <c r="Y199" s="22" t="str">
        <f aca="false">IF(AND(C199&lt;&gt;"",C199=CERTIFICADO!$E$4,OR(CERTIFICADO!$E$5="",B199=CERTIFICADO!$E$5)),MAX($Y$4:Y198)+1,"")</f>
        <v/>
      </c>
    </row>
    <row r="200" customFormat="false" ht="15" hidden="false" customHeight="false" outlineLevel="0" collapsed="false">
      <c r="A200" s="11" t="n">
        <f aca="false">IF(C200="","",ROW()-4)</f>
        <v>196</v>
      </c>
      <c r="B200" s="12" t="n">
        <v>45813</v>
      </c>
      <c r="C200" s="13" t="s">
        <v>213</v>
      </c>
      <c r="D200" s="23" t="str">
        <f aca="false">IF(C200="","",IFERROR(INDEX(LOTES!$D$5:$D$1004,MATCH(C200,LOTES!$F$5:$F$1004,0)),"¿Lote?"))</f>
        <v>Block 8"</v>
      </c>
      <c r="E200" s="11" t="str">
        <f aca="false">IF(C200="","",IFERROR(INDEX(LOTES!$C$5:$C$1004,MATCH(C200,LOTES!$F$5:$F$1004,0)),""))</f>
        <v>P2</v>
      </c>
      <c r="F200" s="24" t="n">
        <f aca="false">IF(C200="","",IFERROR(INDEX(LOTES!$B$5:$B$1004,MATCH(C200,LOTES!$F$5:$F$1004,0)),""))</f>
        <v>45813</v>
      </c>
      <c r="G200" s="15" t="n">
        <f aca="false">IF(OR(B200="",F200=""),"",B200-F200)</f>
        <v>0</v>
      </c>
      <c r="H200" s="13" t="s">
        <v>135</v>
      </c>
      <c r="I200" s="13" t="s">
        <v>131</v>
      </c>
      <c r="J200" s="13" t="s">
        <v>214</v>
      </c>
      <c r="K200" s="25" t="n">
        <v>19.5</v>
      </c>
      <c r="L200" s="25" t="n">
        <v>19.5</v>
      </c>
      <c r="M200" s="25" t="n">
        <v>39.5</v>
      </c>
      <c r="N200" s="25"/>
      <c r="O200" s="26" t="n">
        <v>45059</v>
      </c>
      <c r="P200" s="16" t="n">
        <f aca="false">IF(O200="","",IFERROR(1/(1/(IF(K200="",INDEX(CONFIG!$F$5:$F$14,MATCH(D200,CONFIG!$D$5:$D$14,0)),K200)*IF(M200="",INDEX(CONFIG!$H$5:$H$14,MATCH(D200,CONFIG!$D$5:$D$14,0)),M200))),""))</f>
        <v>770.25</v>
      </c>
      <c r="Q200" s="16" t="n">
        <f aca="false">IF(OR(O200="",P200=""),"",O200/P200)</f>
        <v>58.4991885751379</v>
      </c>
      <c r="R200" s="16" t="n">
        <f aca="false">IF(Q200="","",Q200*0.0980665)</f>
        <v>5.73681067640377</v>
      </c>
      <c r="S200" s="16" t="str">
        <f aca="false">IF(Q200="","",IFERROR(Q200/(1/(1/INDEX(CONFIG!$I$5:$I$14,MATCH(D200,CONFIG!$D$5:$D$14,0)))),""))</f>
        <v/>
      </c>
      <c r="T200" s="13"/>
      <c r="U200" s="13"/>
      <c r="V200" s="13" t="s">
        <v>215</v>
      </c>
      <c r="W200" s="13"/>
      <c r="X200" s="22" t="n">
        <f aca="false">IF(Q200="","",Q200^2)</f>
        <v>3422.15506394955</v>
      </c>
      <c r="Y200" s="22" t="str">
        <f aca="false">IF(AND(C200&lt;&gt;"",C200=CERTIFICADO!$E$4,OR(CERTIFICADO!$E$5="",B200=CERTIFICADO!$E$5)),MAX($Y$4:Y199)+1,"")</f>
        <v/>
      </c>
    </row>
    <row r="201" customFormat="false" ht="15" hidden="false" customHeight="false" outlineLevel="0" collapsed="false">
      <c r="A201" s="11" t="n">
        <f aca="false">IF(C201="","",ROW()-4)</f>
        <v>197</v>
      </c>
      <c r="B201" s="12" t="n">
        <v>45814</v>
      </c>
      <c r="C201" s="13" t="s">
        <v>213</v>
      </c>
      <c r="D201" s="23" t="str">
        <f aca="false">IF(C201="","",IFERROR(INDEX(LOTES!$D$5:$D$1004,MATCH(C201,LOTES!$F$5:$F$1004,0)),"¿Lote?"))</f>
        <v>Block 8"</v>
      </c>
      <c r="E201" s="11" t="str">
        <f aca="false">IF(C201="","",IFERROR(INDEX(LOTES!$C$5:$C$1004,MATCH(C201,LOTES!$F$5:$F$1004,0)),""))</f>
        <v>P2</v>
      </c>
      <c r="F201" s="24" t="n">
        <f aca="false">IF(C201="","",IFERROR(INDEX(LOTES!$B$5:$B$1004,MATCH(C201,LOTES!$F$5:$F$1004,0)),""))</f>
        <v>45813</v>
      </c>
      <c r="G201" s="15" t="n">
        <f aca="false">IF(OR(B201="",F201=""),"",B201-F201)</f>
        <v>1</v>
      </c>
      <c r="H201" s="13" t="s">
        <v>135</v>
      </c>
      <c r="I201" s="13" t="s">
        <v>131</v>
      </c>
      <c r="J201" s="13" t="s">
        <v>216</v>
      </c>
      <c r="K201" s="25" t="n">
        <v>19.5</v>
      </c>
      <c r="L201" s="25" t="n">
        <v>19.5</v>
      </c>
      <c r="M201" s="25" t="n">
        <v>39.5</v>
      </c>
      <c r="N201" s="25"/>
      <c r="O201" s="26" t="n">
        <v>46825</v>
      </c>
      <c r="P201" s="16" t="n">
        <f aca="false">IF(O201="","",IFERROR(1/(1/(IF(K201="",INDEX(CONFIG!$F$5:$F$14,MATCH(D201,CONFIG!$D$5:$D$14,0)),K201)*IF(M201="",INDEX(CONFIG!$H$5:$H$14,MATCH(D201,CONFIG!$D$5:$D$14,0)),M201))),""))</f>
        <v>770.25</v>
      </c>
      <c r="Q201" s="16" t="n">
        <f aca="false">IF(OR(O201="",P201=""),"",O201/P201)</f>
        <v>60.7919506653684</v>
      </c>
      <c r="R201" s="16" t="n">
        <f aca="false">IF(Q201="","",Q201*0.0980665)</f>
        <v>5.96165382992535</v>
      </c>
      <c r="S201" s="16" t="str">
        <f aca="false">IF(Q201="","",IFERROR(Q201/(1/(1/INDEX(CONFIG!$I$5:$I$14,MATCH(D201,CONFIG!$D$5:$D$14,0)))),""))</f>
        <v/>
      </c>
      <c r="T201" s="13"/>
      <c r="U201" s="13"/>
      <c r="V201" s="13"/>
      <c r="W201" s="13"/>
      <c r="X201" s="22" t="n">
        <f aca="false">IF(Q201="","",Q201^2)</f>
        <v>3695.66126570058</v>
      </c>
      <c r="Y201" s="22" t="str">
        <f aca="false">IF(AND(C201&lt;&gt;"",C201=CERTIFICADO!$E$4,OR(CERTIFICADO!$E$5="",B201=CERTIFICADO!$E$5)),MAX($Y$4:Y200)+1,"")</f>
        <v/>
      </c>
    </row>
    <row r="202" customFormat="false" ht="15" hidden="false" customHeight="false" outlineLevel="0" collapsed="false">
      <c r="A202" s="11" t="n">
        <f aca="false">IF(C202="","",ROW()-4)</f>
        <v>198</v>
      </c>
      <c r="B202" s="12" t="n">
        <v>45814</v>
      </c>
      <c r="C202" s="13" t="s">
        <v>213</v>
      </c>
      <c r="D202" s="23" t="str">
        <f aca="false">IF(C202="","",IFERROR(INDEX(LOTES!$D$5:$D$1004,MATCH(C202,LOTES!$F$5:$F$1004,0)),"¿Lote?"))</f>
        <v>Block 8"</v>
      </c>
      <c r="E202" s="11" t="str">
        <f aca="false">IF(C202="","",IFERROR(INDEX(LOTES!$C$5:$C$1004,MATCH(C202,LOTES!$F$5:$F$1004,0)),""))</f>
        <v>P2</v>
      </c>
      <c r="F202" s="24" t="n">
        <f aca="false">IF(C202="","",IFERROR(INDEX(LOTES!$B$5:$B$1004,MATCH(C202,LOTES!$F$5:$F$1004,0)),""))</f>
        <v>45813</v>
      </c>
      <c r="G202" s="15" t="n">
        <f aca="false">IF(OR(B202="",F202=""),"",B202-F202)</f>
        <v>1</v>
      </c>
      <c r="H202" s="13" t="s">
        <v>135</v>
      </c>
      <c r="I202" s="13" t="s">
        <v>131</v>
      </c>
      <c r="J202" s="13" t="s">
        <v>216</v>
      </c>
      <c r="K202" s="25" t="n">
        <v>19.5</v>
      </c>
      <c r="L202" s="25" t="n">
        <v>19.5</v>
      </c>
      <c r="M202" s="25" t="n">
        <v>39.5</v>
      </c>
      <c r="N202" s="25"/>
      <c r="O202" s="26" t="n">
        <v>49623</v>
      </c>
      <c r="P202" s="16" t="n">
        <f aca="false">IF(O202="","",IFERROR(1/(1/(IF(K202="",INDEX(CONFIG!$F$5:$F$14,MATCH(D202,CONFIG!$D$5:$D$14,0)),K202)*IF(M202="",INDEX(CONFIG!$H$5:$H$14,MATCH(D202,CONFIG!$D$5:$D$14,0)),M202))),""))</f>
        <v>770.25</v>
      </c>
      <c r="Q202" s="16" t="n">
        <f aca="false">IF(OR(O202="",P202=""),"",O202/P202)</f>
        <v>64.4245374878286</v>
      </c>
      <c r="R202" s="16" t="n">
        <f aca="false">IF(Q202="","",Q202*0.0980665)</f>
        <v>6.31788890555015</v>
      </c>
      <c r="S202" s="16" t="str">
        <f aca="false">IF(Q202="","",IFERROR(Q202/(1/(1/INDEX(CONFIG!$I$5:$I$14,MATCH(D202,CONFIG!$D$5:$D$14,0)))),""))</f>
        <v/>
      </c>
      <c r="T202" s="13"/>
      <c r="U202" s="13"/>
      <c r="V202" s="13"/>
      <c r="W202" s="13"/>
      <c r="X202" s="22" t="n">
        <f aca="false">IF(Q202="","",Q202^2)</f>
        <v>4150.52103052064</v>
      </c>
      <c r="Y202" s="22" t="str">
        <f aca="false">IF(AND(C202&lt;&gt;"",C202=CERTIFICADO!$E$4,OR(CERTIFICADO!$E$5="",B202=CERTIFICADO!$E$5)),MAX($Y$4:Y201)+1,"")</f>
        <v/>
      </c>
    </row>
    <row r="203" customFormat="false" ht="15" hidden="false" customHeight="false" outlineLevel="0" collapsed="false">
      <c r="A203" s="11" t="n">
        <f aca="false">IF(C203="","",ROW()-4)</f>
        <v>199</v>
      </c>
      <c r="B203" s="12" t="n">
        <v>45814</v>
      </c>
      <c r="C203" s="13" t="s">
        <v>213</v>
      </c>
      <c r="D203" s="23" t="str">
        <f aca="false">IF(C203="","",IFERROR(INDEX(LOTES!$D$5:$D$1004,MATCH(C203,LOTES!$F$5:$F$1004,0)),"¿Lote?"))</f>
        <v>Block 8"</v>
      </c>
      <c r="E203" s="11" t="str">
        <f aca="false">IF(C203="","",IFERROR(INDEX(LOTES!$C$5:$C$1004,MATCH(C203,LOTES!$F$5:$F$1004,0)),""))</f>
        <v>P2</v>
      </c>
      <c r="F203" s="24" t="n">
        <f aca="false">IF(C203="","",IFERROR(INDEX(LOTES!$B$5:$B$1004,MATCH(C203,LOTES!$F$5:$F$1004,0)),""))</f>
        <v>45813</v>
      </c>
      <c r="G203" s="15" t="n">
        <f aca="false">IF(OR(B203="",F203=""),"",B203-F203)</f>
        <v>1</v>
      </c>
      <c r="H203" s="13" t="s">
        <v>135</v>
      </c>
      <c r="I203" s="13" t="s">
        <v>131</v>
      </c>
      <c r="J203" s="13" t="s">
        <v>216</v>
      </c>
      <c r="K203" s="25" t="n">
        <v>19.5</v>
      </c>
      <c r="L203" s="25" t="n">
        <v>19.5</v>
      </c>
      <c r="M203" s="25" t="n">
        <v>39.5</v>
      </c>
      <c r="N203" s="25"/>
      <c r="O203" s="26" t="n">
        <v>45632</v>
      </c>
      <c r="P203" s="16" t="n">
        <f aca="false">IF(O203="","",IFERROR(1/(1/(IF(K203="",INDEX(CONFIG!$F$5:$F$14,MATCH(D203,CONFIG!$D$5:$D$14,0)),K203)*IF(M203="",INDEX(CONFIG!$H$5:$H$14,MATCH(D203,CONFIG!$D$5:$D$14,0)),M203))),""))</f>
        <v>770.25</v>
      </c>
      <c r="Q203" s="16" t="n">
        <f aca="false">IF(OR(O203="",P203=""),"",O203/P203)</f>
        <v>59.2431028886725</v>
      </c>
      <c r="R203" s="16" t="n">
        <f aca="false">IF(Q203="","",Q203*0.0980665)</f>
        <v>5.809763749432</v>
      </c>
      <c r="S203" s="16" t="str">
        <f aca="false">IF(Q203="","",IFERROR(Q203/(1/(1/INDEX(CONFIG!$I$5:$I$14,MATCH(D203,CONFIG!$D$5:$D$14,0)))),""))</f>
        <v/>
      </c>
      <c r="T203" s="13"/>
      <c r="U203" s="13"/>
      <c r="V203" s="13"/>
      <c r="W203" s="13"/>
      <c r="X203" s="22" t="n">
        <f aca="false">IF(Q203="","",Q203^2)</f>
        <v>3509.74523987784</v>
      </c>
      <c r="Y203" s="22" t="str">
        <f aca="false">IF(AND(C203&lt;&gt;"",C203=CERTIFICADO!$E$4,OR(CERTIFICADO!$E$5="",B203=CERTIFICADO!$E$5)),MAX($Y$4:Y202)+1,"")</f>
        <v/>
      </c>
    </row>
    <row r="204" customFormat="false" ht="15" hidden="false" customHeight="false" outlineLevel="0" collapsed="false">
      <c r="A204" s="11" t="n">
        <f aca="false">IF(C204="","",ROW()-4)</f>
        <v>200</v>
      </c>
      <c r="B204" s="12" t="n">
        <v>45814</v>
      </c>
      <c r="C204" s="13" t="s">
        <v>213</v>
      </c>
      <c r="D204" s="23" t="str">
        <f aca="false">IF(C204="","",IFERROR(INDEX(LOTES!$D$5:$D$1004,MATCH(C204,LOTES!$F$5:$F$1004,0)),"¿Lote?"))</f>
        <v>Block 8"</v>
      </c>
      <c r="E204" s="11" t="str">
        <f aca="false">IF(C204="","",IFERROR(INDEX(LOTES!$C$5:$C$1004,MATCH(C204,LOTES!$F$5:$F$1004,0)),""))</f>
        <v>P2</v>
      </c>
      <c r="F204" s="24" t="n">
        <f aca="false">IF(C204="","",IFERROR(INDEX(LOTES!$B$5:$B$1004,MATCH(C204,LOTES!$F$5:$F$1004,0)),""))</f>
        <v>45813</v>
      </c>
      <c r="G204" s="15" t="n">
        <f aca="false">IF(OR(B204="",F204=""),"",B204-F204)</f>
        <v>1</v>
      </c>
      <c r="H204" s="13" t="s">
        <v>135</v>
      </c>
      <c r="I204" s="13" t="s">
        <v>131</v>
      </c>
      <c r="J204" s="13" t="s">
        <v>216</v>
      </c>
      <c r="K204" s="25" t="n">
        <v>19.5</v>
      </c>
      <c r="L204" s="25" t="n">
        <v>19.5</v>
      </c>
      <c r="M204" s="25" t="n">
        <v>39.5</v>
      </c>
      <c r="N204" s="25"/>
      <c r="O204" s="26" t="n">
        <v>47781</v>
      </c>
      <c r="P204" s="16" t="n">
        <f aca="false">IF(O204="","",IFERROR(1/(1/(IF(K204="",INDEX(CONFIG!$F$5:$F$14,MATCH(D204,CONFIG!$D$5:$D$14,0)),K204)*IF(M204="",INDEX(CONFIG!$H$5:$H$14,MATCH(D204,CONFIG!$D$5:$D$14,0)),M204))),""))</f>
        <v>770.25</v>
      </c>
      <c r="Q204" s="16" t="n">
        <f aca="false">IF(OR(O204="",P204=""),"",O204/P204)</f>
        <v>62.033106134372</v>
      </c>
      <c r="R204" s="16" t="n">
        <f aca="false">IF(Q204="","",Q204*0.0980665)</f>
        <v>6.08336960272639</v>
      </c>
      <c r="S204" s="16" t="str">
        <f aca="false">IF(Q204="","",IFERROR(Q204/(1/(1/INDEX(CONFIG!$I$5:$I$14,MATCH(D204,CONFIG!$D$5:$D$14,0)))),""))</f>
        <v/>
      </c>
      <c r="T204" s="13"/>
      <c r="U204" s="13"/>
      <c r="V204" s="13"/>
      <c r="W204" s="13"/>
      <c r="X204" s="22" t="n">
        <f aca="false">IF(Q204="","",Q204^2)</f>
        <v>3848.10625667826</v>
      </c>
      <c r="Y204" s="22" t="str">
        <f aca="false">IF(AND(C204&lt;&gt;"",C204=CERTIFICADO!$E$4,OR(CERTIFICADO!$E$5="",B204=CERTIFICADO!$E$5)),MAX($Y$4:Y203)+1,"")</f>
        <v/>
      </c>
    </row>
    <row r="205" customFormat="false" ht="15" hidden="false" customHeight="false" outlineLevel="0" collapsed="false">
      <c r="A205" s="11" t="n">
        <f aca="false">IF(C205="","",ROW()-4)</f>
        <v>201</v>
      </c>
      <c r="B205" s="12" t="n">
        <v>45815</v>
      </c>
      <c r="C205" s="13" t="s">
        <v>213</v>
      </c>
      <c r="D205" s="23" t="str">
        <f aca="false">IF(C205="","",IFERROR(INDEX(LOTES!$D$5:$D$1004,MATCH(C205,LOTES!$F$5:$F$1004,0)),"¿Lote?"))</f>
        <v>Block 8"</v>
      </c>
      <c r="E205" s="11" t="str">
        <f aca="false">IF(C205="","",IFERROR(INDEX(LOTES!$C$5:$C$1004,MATCH(C205,LOTES!$F$5:$F$1004,0)),""))</f>
        <v>P2</v>
      </c>
      <c r="F205" s="24" t="n">
        <f aca="false">IF(C205="","",IFERROR(INDEX(LOTES!$B$5:$B$1004,MATCH(C205,LOTES!$F$5:$F$1004,0)),""))</f>
        <v>45813</v>
      </c>
      <c r="G205" s="15" t="n">
        <f aca="false">IF(OR(B205="",F205=""),"",B205-F205)</f>
        <v>2</v>
      </c>
      <c r="H205" s="13" t="s">
        <v>135</v>
      </c>
      <c r="I205" s="13" t="s">
        <v>131</v>
      </c>
      <c r="J205" s="13" t="s">
        <v>217</v>
      </c>
      <c r="K205" s="25" t="n">
        <v>19.5</v>
      </c>
      <c r="L205" s="25" t="n">
        <v>19.5</v>
      </c>
      <c r="M205" s="25" t="n">
        <v>39.5</v>
      </c>
      <c r="N205" s="25"/>
      <c r="O205" s="26" t="n">
        <v>49364</v>
      </c>
      <c r="P205" s="16" t="n">
        <f aca="false">IF(O205="","",IFERROR(1/(1/(IF(K205="",INDEX(CONFIG!$F$5:$F$14,MATCH(D205,CONFIG!$D$5:$D$14,0)),K205)*IF(M205="",INDEX(CONFIG!$H$5:$H$14,MATCH(D205,CONFIG!$D$5:$D$14,0)),M205))),""))</f>
        <v>770.25</v>
      </c>
      <c r="Q205" s="16" t="n">
        <f aca="false">IF(OR(O205="",P205=""),"",O205/P205)</f>
        <v>64.0882830249919</v>
      </c>
      <c r="R205" s="16" t="n">
        <f aca="false">IF(Q205="","",Q205*0.0980665)</f>
        <v>6.28491360727037</v>
      </c>
      <c r="S205" s="16" t="str">
        <f aca="false">IF(Q205="","",IFERROR(Q205/(1/(1/INDEX(CONFIG!$I$5:$I$14,MATCH(D205,CONFIG!$D$5:$D$14,0)))),""))</f>
        <v/>
      </c>
      <c r="T205" s="13"/>
      <c r="U205" s="13"/>
      <c r="V205" s="13"/>
      <c r="W205" s="13"/>
      <c r="X205" s="22" t="n">
        <f aca="false">IF(Q205="","",Q205^2)</f>
        <v>4107.30802109146</v>
      </c>
      <c r="Y205" s="22" t="str">
        <f aca="false">IF(AND(C205&lt;&gt;"",C205=CERTIFICADO!$E$4,OR(CERTIFICADO!$E$5="",B205=CERTIFICADO!$E$5)),MAX($Y$4:Y204)+1,"")</f>
        <v/>
      </c>
    </row>
    <row r="206" customFormat="false" ht="15" hidden="false" customHeight="false" outlineLevel="0" collapsed="false">
      <c r="A206" s="11" t="n">
        <f aca="false">IF(C206="","",ROW()-4)</f>
        <v>202</v>
      </c>
      <c r="B206" s="12" t="n">
        <v>45815</v>
      </c>
      <c r="C206" s="13" t="s">
        <v>213</v>
      </c>
      <c r="D206" s="23" t="str">
        <f aca="false">IF(C206="","",IFERROR(INDEX(LOTES!$D$5:$D$1004,MATCH(C206,LOTES!$F$5:$F$1004,0)),"¿Lote?"))</f>
        <v>Block 8"</v>
      </c>
      <c r="E206" s="11" t="str">
        <f aca="false">IF(C206="","",IFERROR(INDEX(LOTES!$C$5:$C$1004,MATCH(C206,LOTES!$F$5:$F$1004,0)),""))</f>
        <v>P2</v>
      </c>
      <c r="F206" s="24" t="n">
        <f aca="false">IF(C206="","",IFERROR(INDEX(LOTES!$B$5:$B$1004,MATCH(C206,LOTES!$F$5:$F$1004,0)),""))</f>
        <v>45813</v>
      </c>
      <c r="G206" s="15" t="n">
        <f aca="false">IF(OR(B206="",F206=""),"",B206-F206)</f>
        <v>2</v>
      </c>
      <c r="H206" s="13" t="s">
        <v>135</v>
      </c>
      <c r="I206" s="13" t="s">
        <v>131</v>
      </c>
      <c r="J206" s="13" t="s">
        <v>217</v>
      </c>
      <c r="K206" s="25" t="n">
        <v>19.5</v>
      </c>
      <c r="L206" s="25" t="n">
        <v>19.5</v>
      </c>
      <c r="M206" s="25" t="n">
        <v>39.5</v>
      </c>
      <c r="N206" s="25"/>
      <c r="O206" s="26" t="n">
        <v>47840</v>
      </c>
      <c r="P206" s="16" t="n">
        <f aca="false">IF(O206="","",IFERROR(1/(1/(IF(K206="",INDEX(CONFIG!$F$5:$F$14,MATCH(D206,CONFIG!$D$5:$D$14,0)),K206)*IF(M206="",INDEX(CONFIG!$H$5:$H$14,MATCH(D206,CONFIG!$D$5:$D$14,0)),M206))),""))</f>
        <v>770.25</v>
      </c>
      <c r="Q206" s="16" t="n">
        <f aca="false">IF(OR(O206="",P206=""),"",O206/P206)</f>
        <v>62.1097046413502</v>
      </c>
      <c r="R206" s="16" t="n">
        <f aca="false">IF(Q206="","",Q206*0.0980665)</f>
        <v>6.09088135021097</v>
      </c>
      <c r="S206" s="16" t="str">
        <f aca="false">IF(Q206="","",IFERROR(Q206/(1/(1/INDEX(CONFIG!$I$5:$I$14,MATCH(D206,CONFIG!$D$5:$D$14,0)))),""))</f>
        <v/>
      </c>
      <c r="T206" s="13"/>
      <c r="U206" s="13"/>
      <c r="V206" s="13"/>
      <c r="W206" s="13"/>
      <c r="X206" s="22" t="n">
        <f aca="false">IF(Q206="","",Q206^2)</f>
        <v>3857.61541063576</v>
      </c>
      <c r="Y206" s="22" t="str">
        <f aca="false">IF(AND(C206&lt;&gt;"",C206=CERTIFICADO!$E$4,OR(CERTIFICADO!$E$5="",B206=CERTIFICADO!$E$5)),MAX($Y$4:Y205)+1,"")</f>
        <v/>
      </c>
    </row>
    <row r="207" customFormat="false" ht="15" hidden="false" customHeight="false" outlineLevel="0" collapsed="false">
      <c r="A207" s="11" t="n">
        <f aca="false">IF(C207="","",ROW()-4)</f>
        <v>203</v>
      </c>
      <c r="B207" s="12" t="n">
        <v>45815</v>
      </c>
      <c r="C207" s="13" t="s">
        <v>213</v>
      </c>
      <c r="D207" s="23" t="str">
        <f aca="false">IF(C207="","",IFERROR(INDEX(LOTES!$D$5:$D$1004,MATCH(C207,LOTES!$F$5:$F$1004,0)),"¿Lote?"))</f>
        <v>Block 8"</v>
      </c>
      <c r="E207" s="11" t="str">
        <f aca="false">IF(C207="","",IFERROR(INDEX(LOTES!$C$5:$C$1004,MATCH(C207,LOTES!$F$5:$F$1004,0)),""))</f>
        <v>P2</v>
      </c>
      <c r="F207" s="24" t="n">
        <f aca="false">IF(C207="","",IFERROR(INDEX(LOTES!$B$5:$B$1004,MATCH(C207,LOTES!$F$5:$F$1004,0)),""))</f>
        <v>45813</v>
      </c>
      <c r="G207" s="15" t="n">
        <f aca="false">IF(OR(B207="",F207=""),"",B207-F207)</f>
        <v>2</v>
      </c>
      <c r="H207" s="13" t="s">
        <v>135</v>
      </c>
      <c r="I207" s="13" t="s">
        <v>131</v>
      </c>
      <c r="J207" s="13" t="s">
        <v>217</v>
      </c>
      <c r="K207" s="25" t="n">
        <v>19.5</v>
      </c>
      <c r="L207" s="25" t="n">
        <v>19.5</v>
      </c>
      <c r="M207" s="25" t="n">
        <v>39.5</v>
      </c>
      <c r="N207" s="25"/>
      <c r="O207" s="26" t="n">
        <v>49859</v>
      </c>
      <c r="P207" s="16" t="n">
        <f aca="false">IF(O207="","",IFERROR(1/(1/(IF(K207="",INDEX(CONFIG!$F$5:$F$14,MATCH(D207,CONFIG!$D$5:$D$14,0)),K207)*IF(M207="",INDEX(CONFIG!$H$5:$H$14,MATCH(D207,CONFIG!$D$5:$D$14,0)),M207))),""))</f>
        <v>770.25</v>
      </c>
      <c r="Q207" s="16" t="n">
        <f aca="false">IF(OR(O207="",P207=""),"",O207/P207)</f>
        <v>64.7309315157416</v>
      </c>
      <c r="R207" s="16" t="n">
        <f aca="false">IF(Q207="","",Q207*0.0980665)</f>
        <v>6.34793589548848</v>
      </c>
      <c r="S207" s="16" t="str">
        <f aca="false">IF(Q207="","",IFERROR(Q207/(1/(1/INDEX(CONFIG!$I$5:$I$14,MATCH(D207,CONFIG!$D$5:$D$14,0)))),""))</f>
        <v/>
      </c>
      <c r="T207" s="13"/>
      <c r="U207" s="13"/>
      <c r="V207" s="13"/>
      <c r="W207" s="13"/>
      <c r="X207" s="22" t="n">
        <f aca="false">IF(Q207="","",Q207^2)</f>
        <v>4190.09349489564</v>
      </c>
      <c r="Y207" s="22" t="str">
        <f aca="false">IF(AND(C207&lt;&gt;"",C207=CERTIFICADO!$E$4,OR(CERTIFICADO!$E$5="",B207=CERTIFICADO!$E$5)),MAX($Y$4:Y206)+1,"")</f>
        <v/>
      </c>
    </row>
    <row r="208" customFormat="false" ht="15" hidden="false" customHeight="false" outlineLevel="0" collapsed="false">
      <c r="A208" s="11" t="n">
        <f aca="false">IF(C208="","",ROW()-4)</f>
        <v>204</v>
      </c>
      <c r="B208" s="12" t="n">
        <v>45815</v>
      </c>
      <c r="C208" s="13" t="s">
        <v>213</v>
      </c>
      <c r="D208" s="23" t="str">
        <f aca="false">IF(C208="","",IFERROR(INDEX(LOTES!$D$5:$D$1004,MATCH(C208,LOTES!$F$5:$F$1004,0)),"¿Lote?"))</f>
        <v>Block 8"</v>
      </c>
      <c r="E208" s="11" t="str">
        <f aca="false">IF(C208="","",IFERROR(INDEX(LOTES!$C$5:$C$1004,MATCH(C208,LOTES!$F$5:$F$1004,0)),""))</f>
        <v>P2</v>
      </c>
      <c r="F208" s="24" t="n">
        <f aca="false">IF(C208="","",IFERROR(INDEX(LOTES!$B$5:$B$1004,MATCH(C208,LOTES!$F$5:$F$1004,0)),""))</f>
        <v>45813</v>
      </c>
      <c r="G208" s="15" t="n">
        <f aca="false">IF(OR(B208="",F208=""),"",B208-F208)</f>
        <v>2</v>
      </c>
      <c r="H208" s="13" t="s">
        <v>135</v>
      </c>
      <c r="I208" s="13" t="s">
        <v>131</v>
      </c>
      <c r="J208" s="13" t="s">
        <v>217</v>
      </c>
      <c r="K208" s="25" t="n">
        <v>19.5</v>
      </c>
      <c r="L208" s="25" t="n">
        <v>19.5</v>
      </c>
      <c r="M208" s="25" t="n">
        <v>39.5</v>
      </c>
      <c r="N208" s="25"/>
      <c r="O208" s="26" t="n">
        <v>47014</v>
      </c>
      <c r="P208" s="16" t="n">
        <f aca="false">IF(O208="","",IFERROR(1/(1/(IF(K208="",INDEX(CONFIG!$F$5:$F$14,MATCH(D208,CONFIG!$D$5:$D$14,0)),K208)*IF(M208="",INDEX(CONFIG!$H$5:$H$14,MATCH(D208,CONFIG!$D$5:$D$14,0)),M208))),""))</f>
        <v>770.25</v>
      </c>
      <c r="Q208" s="16" t="n">
        <f aca="false">IF(OR(O208="",P208=""),"",O208/P208)</f>
        <v>61.0373255436547</v>
      </c>
      <c r="R208" s="16" t="n">
        <f aca="false">IF(Q208="","",Q208*0.0980665)</f>
        <v>5.98571688542681</v>
      </c>
      <c r="S208" s="16" t="str">
        <f aca="false">IF(Q208="","",IFERROR(Q208/(1/(1/INDEX(CONFIG!$I$5:$I$14,MATCH(D208,CONFIG!$D$5:$D$14,0)))),""))</f>
        <v/>
      </c>
      <c r="T208" s="13"/>
      <c r="U208" s="13"/>
      <c r="V208" s="13"/>
      <c r="W208" s="13"/>
      <c r="X208" s="22" t="n">
        <f aca="false">IF(Q208="","",Q208^2)</f>
        <v>3725.55510952208</v>
      </c>
      <c r="Y208" s="22" t="str">
        <f aca="false">IF(AND(C208&lt;&gt;"",C208=CERTIFICADO!$E$4,OR(CERTIFICADO!$E$5="",B208=CERTIFICADO!$E$5)),MAX($Y$4:Y207)+1,"")</f>
        <v/>
      </c>
    </row>
    <row r="209" customFormat="false" ht="15" hidden="false" customHeight="false" outlineLevel="0" collapsed="false">
      <c r="A209" s="11" t="n">
        <f aca="false">IF(C209="","",ROW()-4)</f>
        <v>205</v>
      </c>
      <c r="B209" s="12" t="n">
        <v>45818</v>
      </c>
      <c r="C209" s="13" t="s">
        <v>218</v>
      </c>
      <c r="D209" s="23" t="str">
        <f aca="false">IF(C209="","",IFERROR(INDEX(LOTES!$D$5:$D$1004,MATCH(C209,LOTES!$F$5:$F$1004,0)),"¿Lote?"))</f>
        <v>Block 8"</v>
      </c>
      <c r="E209" s="11" t="str">
        <f aca="false">IF(C209="","",IFERROR(INDEX(LOTES!$C$5:$C$1004,MATCH(C209,LOTES!$F$5:$F$1004,0)),""))</f>
        <v>P2</v>
      </c>
      <c r="F209" s="24" t="n">
        <f aca="false">IF(C209="","",IFERROR(INDEX(LOTES!$B$5:$B$1004,MATCH(C209,LOTES!$F$5:$F$1004,0)),""))</f>
        <v>45815</v>
      </c>
      <c r="G209" s="15" t="n">
        <f aca="false">IF(OR(B209="",F209=""),"",B209-F209)</f>
        <v>3</v>
      </c>
      <c r="H209" s="13" t="s">
        <v>135</v>
      </c>
      <c r="I209" s="13" t="s">
        <v>131</v>
      </c>
      <c r="J209" s="13" t="s">
        <v>219</v>
      </c>
      <c r="K209" s="25" t="n">
        <v>19.5</v>
      </c>
      <c r="L209" s="25" t="n">
        <v>19.5</v>
      </c>
      <c r="M209" s="25" t="n">
        <v>39.5</v>
      </c>
      <c r="N209" s="25"/>
      <c r="O209" s="26" t="n">
        <v>56277</v>
      </c>
      <c r="P209" s="16" t="n">
        <f aca="false">IF(O209="","",IFERROR(1/(1/(IF(K209="",INDEX(CONFIG!$F$5:$F$14,MATCH(D209,CONFIG!$D$5:$D$14,0)),K209)*IF(M209="",INDEX(CONFIG!$H$5:$H$14,MATCH(D209,CONFIG!$D$5:$D$14,0)),M209))),""))</f>
        <v>770.25</v>
      </c>
      <c r="Q209" s="16" t="n">
        <f aca="false">IF(OR(O209="",P209=""),"",O209/P209)</f>
        <v>73.0632911392405</v>
      </c>
      <c r="R209" s="16" t="n">
        <f aca="false">IF(Q209="","",Q209*0.0980665)</f>
        <v>7.16506124050633</v>
      </c>
      <c r="S209" s="16" t="str">
        <f aca="false">IF(Q209="","",IFERROR(Q209/(1/(1/INDEX(CONFIG!$I$5:$I$14,MATCH(D209,CONFIG!$D$5:$D$14,0)))),""))</f>
        <v/>
      </c>
      <c r="T209" s="13"/>
      <c r="U209" s="13"/>
      <c r="V209" s="13"/>
      <c r="W209" s="13"/>
      <c r="X209" s="22" t="n">
        <f aca="false">IF(Q209="","",Q209^2)</f>
        <v>5338.24451209742</v>
      </c>
      <c r="Y209" s="22" t="str">
        <f aca="false">IF(AND(C209&lt;&gt;"",C209=CERTIFICADO!$E$4,OR(CERTIFICADO!$E$5="",B209=CERTIFICADO!$E$5)),MAX($Y$4:Y208)+1,"")</f>
        <v/>
      </c>
    </row>
    <row r="210" customFormat="false" ht="15" hidden="false" customHeight="false" outlineLevel="0" collapsed="false">
      <c r="A210" s="11" t="n">
        <f aca="false">IF(C210="","",ROW()-4)</f>
        <v>206</v>
      </c>
      <c r="B210" s="12" t="n">
        <v>45818</v>
      </c>
      <c r="C210" s="13" t="s">
        <v>218</v>
      </c>
      <c r="D210" s="23" t="str">
        <f aca="false">IF(C210="","",IFERROR(INDEX(LOTES!$D$5:$D$1004,MATCH(C210,LOTES!$F$5:$F$1004,0)),"¿Lote?"))</f>
        <v>Block 8"</v>
      </c>
      <c r="E210" s="11" t="str">
        <f aca="false">IF(C210="","",IFERROR(INDEX(LOTES!$C$5:$C$1004,MATCH(C210,LOTES!$F$5:$F$1004,0)),""))</f>
        <v>P2</v>
      </c>
      <c r="F210" s="24" t="n">
        <f aca="false">IF(C210="","",IFERROR(INDEX(LOTES!$B$5:$B$1004,MATCH(C210,LOTES!$F$5:$F$1004,0)),""))</f>
        <v>45815</v>
      </c>
      <c r="G210" s="15" t="n">
        <f aca="false">IF(OR(B210="",F210=""),"",B210-F210)</f>
        <v>3</v>
      </c>
      <c r="H210" s="13" t="s">
        <v>135</v>
      </c>
      <c r="I210" s="13" t="s">
        <v>131</v>
      </c>
      <c r="J210" s="13" t="s">
        <v>219</v>
      </c>
      <c r="K210" s="25" t="n">
        <v>19.5</v>
      </c>
      <c r="L210" s="25" t="n">
        <v>19.5</v>
      </c>
      <c r="M210" s="25" t="n">
        <v>39.5</v>
      </c>
      <c r="N210" s="25"/>
      <c r="O210" s="26" t="n">
        <v>54331</v>
      </c>
      <c r="P210" s="16" t="n">
        <f aca="false">IF(O210="","",IFERROR(1/(1/(IF(K210="",INDEX(CONFIG!$F$5:$F$14,MATCH(D210,CONFIG!$D$5:$D$14,0)),K210)*IF(M210="",INDEX(CONFIG!$H$5:$H$14,MATCH(D210,CONFIG!$D$5:$D$14,0)),M210))),""))</f>
        <v>770.25</v>
      </c>
      <c r="Q210" s="16" t="n">
        <f aca="false">IF(OR(O210="",P210=""),"",O210/P210)</f>
        <v>70.5368386887374</v>
      </c>
      <c r="R210" s="16" t="n">
        <f aca="false">IF(Q210="","",Q210*0.0980665)</f>
        <v>6.91730089126907</v>
      </c>
      <c r="S210" s="16" t="str">
        <f aca="false">IF(Q210="","",IFERROR(Q210/(1/(1/INDEX(CONFIG!$I$5:$I$14,MATCH(D210,CONFIG!$D$5:$D$14,0)))),""))</f>
        <v/>
      </c>
      <c r="T210" s="13"/>
      <c r="U210" s="13"/>
      <c r="V210" s="13"/>
      <c r="W210" s="13"/>
      <c r="X210" s="22" t="n">
        <f aca="false">IF(Q210="","",Q210^2)</f>
        <v>4975.44561220096</v>
      </c>
      <c r="Y210" s="22" t="str">
        <f aca="false">IF(AND(C210&lt;&gt;"",C210=CERTIFICADO!$E$4,OR(CERTIFICADO!$E$5="",B210=CERTIFICADO!$E$5)),MAX($Y$4:Y209)+1,"")</f>
        <v/>
      </c>
    </row>
    <row r="211" customFormat="false" ht="15" hidden="false" customHeight="false" outlineLevel="0" collapsed="false">
      <c r="A211" s="11" t="n">
        <f aca="false">IF(C211="","",ROW()-4)</f>
        <v>207</v>
      </c>
      <c r="B211" s="12" t="n">
        <v>45818</v>
      </c>
      <c r="C211" s="13" t="s">
        <v>218</v>
      </c>
      <c r="D211" s="23" t="str">
        <f aca="false">IF(C211="","",IFERROR(INDEX(LOTES!$D$5:$D$1004,MATCH(C211,LOTES!$F$5:$F$1004,0)),"¿Lote?"))</f>
        <v>Block 8"</v>
      </c>
      <c r="E211" s="11" t="str">
        <f aca="false">IF(C211="","",IFERROR(INDEX(LOTES!$C$5:$C$1004,MATCH(C211,LOTES!$F$5:$F$1004,0)),""))</f>
        <v>P2</v>
      </c>
      <c r="F211" s="24" t="n">
        <f aca="false">IF(C211="","",IFERROR(INDEX(LOTES!$B$5:$B$1004,MATCH(C211,LOTES!$F$5:$F$1004,0)),""))</f>
        <v>45815</v>
      </c>
      <c r="G211" s="15" t="n">
        <f aca="false">IF(OR(B211="",F211=""),"",B211-F211)</f>
        <v>3</v>
      </c>
      <c r="H211" s="13" t="s">
        <v>135</v>
      </c>
      <c r="I211" s="13" t="s">
        <v>131</v>
      </c>
      <c r="J211" s="13" t="s">
        <v>219</v>
      </c>
      <c r="K211" s="25" t="n">
        <v>19.5</v>
      </c>
      <c r="L211" s="25" t="n">
        <v>19.5</v>
      </c>
      <c r="M211" s="25" t="n">
        <v>39.5</v>
      </c>
      <c r="N211" s="25"/>
      <c r="O211" s="26" t="n">
        <v>53578</v>
      </c>
      <c r="P211" s="16" t="n">
        <f aca="false">IF(O211="","",IFERROR(1/(1/(IF(K211="",INDEX(CONFIG!$F$5:$F$14,MATCH(D211,CONFIG!$D$5:$D$14,0)),K211)*IF(M211="",INDEX(CONFIG!$H$5:$H$14,MATCH(D211,CONFIG!$D$5:$D$14,0)),M211))),""))</f>
        <v>770.25</v>
      </c>
      <c r="Q211" s="16" t="n">
        <f aca="false">IF(OR(O211="",P211=""),"",O211/P211)</f>
        <v>69.5592340149302</v>
      </c>
      <c r="R211" s="16" t="n">
        <f aca="false">IF(Q211="","",Q211*0.0980665)</f>
        <v>6.82143062252515</v>
      </c>
      <c r="S211" s="16" t="str">
        <f aca="false">IF(Q211="","",IFERROR(Q211/(1/(1/INDEX(CONFIG!$I$5:$I$14,MATCH(D211,CONFIG!$D$5:$D$14,0)))),""))</f>
        <v/>
      </c>
      <c r="T211" s="13"/>
      <c r="U211" s="13"/>
      <c r="V211" s="13"/>
      <c r="W211" s="13"/>
      <c r="X211" s="22" t="n">
        <f aca="false">IF(Q211="","",Q211^2)</f>
        <v>4838.48703674382</v>
      </c>
      <c r="Y211" s="22" t="str">
        <f aca="false">IF(AND(C211&lt;&gt;"",C211=CERTIFICADO!$E$4,OR(CERTIFICADO!$E$5="",B211=CERTIFICADO!$E$5)),MAX($Y$4:Y210)+1,"")</f>
        <v/>
      </c>
    </row>
    <row r="212" customFormat="false" ht="15" hidden="false" customHeight="false" outlineLevel="0" collapsed="false">
      <c r="A212" s="11" t="n">
        <f aca="false">IF(C212="","",ROW()-4)</f>
        <v>208</v>
      </c>
      <c r="B212" s="12" t="n">
        <v>45818</v>
      </c>
      <c r="C212" s="13" t="s">
        <v>218</v>
      </c>
      <c r="D212" s="23" t="str">
        <f aca="false">IF(C212="","",IFERROR(INDEX(LOTES!$D$5:$D$1004,MATCH(C212,LOTES!$F$5:$F$1004,0)),"¿Lote?"))</f>
        <v>Block 8"</v>
      </c>
      <c r="E212" s="11" t="str">
        <f aca="false">IF(C212="","",IFERROR(INDEX(LOTES!$C$5:$C$1004,MATCH(C212,LOTES!$F$5:$F$1004,0)),""))</f>
        <v>P2</v>
      </c>
      <c r="F212" s="24" t="n">
        <f aca="false">IF(C212="","",IFERROR(INDEX(LOTES!$B$5:$B$1004,MATCH(C212,LOTES!$F$5:$F$1004,0)),""))</f>
        <v>45815</v>
      </c>
      <c r="G212" s="15" t="n">
        <f aca="false">IF(OR(B212="",F212=""),"",B212-F212)</f>
        <v>3</v>
      </c>
      <c r="H212" s="13" t="s">
        <v>135</v>
      </c>
      <c r="I212" s="13" t="s">
        <v>131</v>
      </c>
      <c r="J212" s="13" t="s">
        <v>219</v>
      </c>
      <c r="K212" s="25" t="n">
        <v>19.5</v>
      </c>
      <c r="L212" s="25" t="n">
        <v>19.5</v>
      </c>
      <c r="M212" s="25" t="n">
        <v>39.5</v>
      </c>
      <c r="N212" s="25"/>
      <c r="O212" s="26" t="n">
        <v>47341</v>
      </c>
      <c r="P212" s="16" t="n">
        <f aca="false">IF(O212="","",IFERROR(1/(1/(IF(K212="",INDEX(CONFIG!$F$5:$F$14,MATCH(D212,CONFIG!$D$5:$D$14,0)),K212)*IF(M212="",INDEX(CONFIG!$H$5:$H$14,MATCH(D212,CONFIG!$D$5:$D$14,0)),M212))),""))</f>
        <v>770.25</v>
      </c>
      <c r="Q212" s="16" t="n">
        <f aca="false">IF(OR(O212="",P212=""),"",O212/P212)</f>
        <v>61.4618630314833</v>
      </c>
      <c r="R212" s="16" t="n">
        <f aca="false">IF(Q212="","",Q212*0.0980665)</f>
        <v>6.02734979097696</v>
      </c>
      <c r="S212" s="16" t="str">
        <f aca="false">IF(Q212="","",IFERROR(Q212/(1/(1/INDEX(CONFIG!$I$5:$I$14,MATCH(D212,CONFIG!$D$5:$D$14,0)))),""))</f>
        <v/>
      </c>
      <c r="T212" s="13"/>
      <c r="U212" s="13"/>
      <c r="V212" s="13"/>
      <c r="W212" s="13"/>
      <c r="X212" s="22" t="n">
        <f aca="false">IF(Q212="","",Q212^2)</f>
        <v>3777.56060730081</v>
      </c>
      <c r="Y212" s="22" t="str">
        <f aca="false">IF(AND(C212&lt;&gt;"",C212=CERTIFICADO!$E$4,OR(CERTIFICADO!$E$5="",B212=CERTIFICADO!$E$5)),MAX($Y$4:Y211)+1,"")</f>
        <v/>
      </c>
    </row>
    <row r="213" customFormat="false" ht="15" hidden="false" customHeight="false" outlineLevel="0" collapsed="false">
      <c r="A213" s="11" t="n">
        <f aca="false">IF(C213="","",ROW()-4)</f>
        <v>209</v>
      </c>
      <c r="B213" s="12" t="n">
        <v>45957</v>
      </c>
      <c r="C213" s="13" t="s">
        <v>220</v>
      </c>
      <c r="D213" s="23" t="str">
        <f aca="false">IF(C213="","",IFERROR(INDEX(LOTES!$D$5:$D$1004,MATCH(C213,LOTES!$F$5:$F$1004,0)),"¿Lote?"))</f>
        <v>Block 6"</v>
      </c>
      <c r="E213" s="11" t="str">
        <f aca="false">IF(C213="","",IFERROR(INDEX(LOTES!$C$5:$C$1004,MATCH(C213,LOTES!$F$5:$F$1004,0)),""))</f>
        <v>P3</v>
      </c>
      <c r="F213" s="24" t="n">
        <f aca="false">IF(C213="","",IFERROR(INDEX(LOTES!$B$5:$B$1004,MATCH(C213,LOTES!$F$5:$F$1004,0)),""))</f>
        <v>45954</v>
      </c>
      <c r="G213" s="15" t="n">
        <f aca="false">IF(OR(B213="",F213=""),"",B213-F213)</f>
        <v>3</v>
      </c>
      <c r="H213" s="13" t="s">
        <v>135</v>
      </c>
      <c r="I213" s="13" t="s">
        <v>131</v>
      </c>
      <c r="J213" s="13" t="s">
        <v>221</v>
      </c>
      <c r="K213" s="25" t="n">
        <v>14.5</v>
      </c>
      <c r="L213" s="25" t="n">
        <v>19.5</v>
      </c>
      <c r="M213" s="25" t="n">
        <v>39.5</v>
      </c>
      <c r="N213" s="25"/>
      <c r="O213" s="26" t="n">
        <v>56680</v>
      </c>
      <c r="P213" s="16" t="n">
        <f aca="false">IF(O213="","",IFERROR(1/(1/(IF(K213="",INDEX(CONFIG!$F$5:$F$14,MATCH(D213,CONFIG!$D$5:$D$14,0)),K213)*IF(M213="",INDEX(CONFIG!$H$5:$H$14,MATCH(D213,CONFIG!$D$5:$D$14,0)),M213))),""))</f>
        <v>572.75</v>
      </c>
      <c r="Q213" s="16" t="n">
        <f aca="false">IF(OR(O213="",P213=""),"",O213/P213)</f>
        <v>98.9611523352248</v>
      </c>
      <c r="R213" s="16" t="n">
        <f aca="false">IF(Q213="","",Q213*0.0980665)</f>
        <v>9.70477384548232</v>
      </c>
      <c r="S213" s="16" t="str">
        <f aca="false">IF(Q213="","",IFERROR(Q213/(1/(1/INDEX(CONFIG!$I$5:$I$14,MATCH(D213,CONFIG!$D$5:$D$14,0)))),""))</f>
        <v/>
      </c>
      <c r="T213" s="13"/>
      <c r="U213" s="13"/>
      <c r="V213" s="13"/>
      <c r="W213" s="13"/>
      <c r="X213" s="22" t="n">
        <f aca="false">IF(Q213="","",Q213^2)</f>
        <v>9793.30967151557</v>
      </c>
      <c r="Y213" s="22" t="str">
        <f aca="false">IF(AND(C213&lt;&gt;"",C213=CERTIFICADO!$E$4,OR(CERTIFICADO!$E$5="",B213=CERTIFICADO!$E$5)),MAX($Y$4:Y212)+1,"")</f>
        <v/>
      </c>
    </row>
    <row r="214" customFormat="false" ht="15" hidden="false" customHeight="false" outlineLevel="0" collapsed="false">
      <c r="A214" s="11" t="n">
        <f aca="false">IF(C214="","",ROW()-4)</f>
        <v>210</v>
      </c>
      <c r="B214" s="12" t="n">
        <v>45957</v>
      </c>
      <c r="C214" s="13" t="s">
        <v>220</v>
      </c>
      <c r="D214" s="23" t="str">
        <f aca="false">IF(C214="","",IFERROR(INDEX(LOTES!$D$5:$D$1004,MATCH(C214,LOTES!$F$5:$F$1004,0)),"¿Lote?"))</f>
        <v>Block 6"</v>
      </c>
      <c r="E214" s="11" t="str">
        <f aca="false">IF(C214="","",IFERROR(INDEX(LOTES!$C$5:$C$1004,MATCH(C214,LOTES!$F$5:$F$1004,0)),""))</f>
        <v>P3</v>
      </c>
      <c r="F214" s="24" t="n">
        <f aca="false">IF(C214="","",IFERROR(INDEX(LOTES!$B$5:$B$1004,MATCH(C214,LOTES!$F$5:$F$1004,0)),""))</f>
        <v>45954</v>
      </c>
      <c r="G214" s="15" t="n">
        <f aca="false">IF(OR(B214="",F214=""),"",B214-F214)</f>
        <v>3</v>
      </c>
      <c r="H214" s="13" t="s">
        <v>135</v>
      </c>
      <c r="I214" s="13" t="s">
        <v>131</v>
      </c>
      <c r="J214" s="13" t="s">
        <v>221</v>
      </c>
      <c r="K214" s="25" t="n">
        <v>14.5</v>
      </c>
      <c r="L214" s="25" t="n">
        <v>19.5</v>
      </c>
      <c r="M214" s="25" t="n">
        <v>39.5</v>
      </c>
      <c r="N214" s="25"/>
      <c r="O214" s="26" t="n">
        <v>52108</v>
      </c>
      <c r="P214" s="16" t="n">
        <f aca="false">IF(O214="","",IFERROR(1/(1/(IF(K214="",INDEX(CONFIG!$F$5:$F$14,MATCH(D214,CONFIG!$D$5:$D$14,0)),K214)*IF(M214="",INDEX(CONFIG!$H$5:$H$14,MATCH(D214,CONFIG!$D$5:$D$14,0)),M214))),""))</f>
        <v>572.75</v>
      </c>
      <c r="Q214" s="16" t="n">
        <f aca="false">IF(OR(O214="",P214=""),"",O214/P214)</f>
        <v>90.9786119598429</v>
      </c>
      <c r="R214" s="16" t="n">
        <f aca="false">IF(Q214="","",Q214*0.0980665)</f>
        <v>8.92195404975993</v>
      </c>
      <c r="S214" s="16" t="str">
        <f aca="false">IF(Q214="","",IFERROR(Q214/(1/(1/INDEX(CONFIG!$I$5:$I$14,MATCH(D214,CONFIG!$D$5:$D$14,0)))),""))</f>
        <v/>
      </c>
      <c r="T214" s="13"/>
      <c r="U214" s="13"/>
      <c r="V214" s="13"/>
      <c r="W214" s="13"/>
      <c r="X214" s="22" t="n">
        <f aca="false">IF(Q214="","",Q214^2)</f>
        <v>8277.10783413966</v>
      </c>
      <c r="Y214" s="22" t="str">
        <f aca="false">IF(AND(C214&lt;&gt;"",C214=CERTIFICADO!$E$4,OR(CERTIFICADO!$E$5="",B214=CERTIFICADO!$E$5)),MAX($Y$4:Y213)+1,"")</f>
        <v/>
      </c>
    </row>
    <row r="215" customFormat="false" ht="15" hidden="false" customHeight="false" outlineLevel="0" collapsed="false">
      <c r="A215" s="11" t="n">
        <f aca="false">IF(C215="","",ROW()-4)</f>
        <v>211</v>
      </c>
      <c r="B215" s="12" t="n">
        <v>45957</v>
      </c>
      <c r="C215" s="13" t="s">
        <v>220</v>
      </c>
      <c r="D215" s="23" t="str">
        <f aca="false">IF(C215="","",IFERROR(INDEX(LOTES!$D$5:$D$1004,MATCH(C215,LOTES!$F$5:$F$1004,0)),"¿Lote?"))</f>
        <v>Block 6"</v>
      </c>
      <c r="E215" s="11" t="str">
        <f aca="false">IF(C215="","",IFERROR(INDEX(LOTES!$C$5:$C$1004,MATCH(C215,LOTES!$F$5:$F$1004,0)),""))</f>
        <v>P3</v>
      </c>
      <c r="F215" s="24" t="n">
        <f aca="false">IF(C215="","",IFERROR(INDEX(LOTES!$B$5:$B$1004,MATCH(C215,LOTES!$F$5:$F$1004,0)),""))</f>
        <v>45954</v>
      </c>
      <c r="G215" s="15" t="n">
        <f aca="false">IF(OR(B215="",F215=""),"",B215-F215)</f>
        <v>3</v>
      </c>
      <c r="H215" s="13" t="s">
        <v>135</v>
      </c>
      <c r="I215" s="13" t="s">
        <v>131</v>
      </c>
      <c r="J215" s="13" t="s">
        <v>221</v>
      </c>
      <c r="K215" s="25" t="n">
        <v>14.5</v>
      </c>
      <c r="L215" s="25" t="n">
        <v>19.5</v>
      </c>
      <c r="M215" s="25" t="n">
        <v>39.5</v>
      </c>
      <c r="N215" s="25"/>
      <c r="O215" s="26" t="n">
        <v>39893</v>
      </c>
      <c r="P215" s="16" t="n">
        <f aca="false">IF(O215="","",IFERROR(1/(1/(IF(K215="",INDEX(CONFIG!$F$5:$F$14,MATCH(D215,CONFIG!$D$5:$D$14,0)),K215)*IF(M215="",INDEX(CONFIG!$H$5:$H$14,MATCH(D215,CONFIG!$D$5:$D$14,0)),M215))),""))</f>
        <v>572.75</v>
      </c>
      <c r="Q215" s="16" t="n">
        <f aca="false">IF(OR(O215="",P215=""),"",O215/P215)</f>
        <v>69.6516804888695</v>
      </c>
      <c r="R215" s="16" t="n">
        <f aca="false">IF(Q215="","",Q215*0.0980665)</f>
        <v>6.83049652466172</v>
      </c>
      <c r="S215" s="16" t="str">
        <f aca="false">IF(Q215="","",IFERROR(Q215/(1/(1/INDEX(CONFIG!$I$5:$I$14,MATCH(D215,CONFIG!$D$5:$D$14,0)))),""))</f>
        <v/>
      </c>
      <c r="T215" s="13"/>
      <c r="U215" s="13"/>
      <c r="V215" s="13"/>
      <c r="W215" s="13"/>
      <c r="X215" s="22" t="n">
        <f aca="false">IF(Q215="","",Q215^2)</f>
        <v>4851.35659492356</v>
      </c>
      <c r="Y215" s="22" t="str">
        <f aca="false">IF(AND(C215&lt;&gt;"",C215=CERTIFICADO!$E$4,OR(CERTIFICADO!$E$5="",B215=CERTIFICADO!$E$5)),MAX($Y$4:Y214)+1,"")</f>
        <v/>
      </c>
    </row>
    <row r="216" customFormat="false" ht="15" hidden="false" customHeight="false" outlineLevel="0" collapsed="false">
      <c r="A216" s="11" t="n">
        <f aca="false">IF(C216="","",ROW()-4)</f>
        <v>212</v>
      </c>
      <c r="B216" s="12" t="n">
        <v>45957</v>
      </c>
      <c r="C216" s="13" t="s">
        <v>220</v>
      </c>
      <c r="D216" s="23" t="str">
        <f aca="false">IF(C216="","",IFERROR(INDEX(LOTES!$D$5:$D$1004,MATCH(C216,LOTES!$F$5:$F$1004,0)),"¿Lote?"))</f>
        <v>Block 6"</v>
      </c>
      <c r="E216" s="11" t="str">
        <f aca="false">IF(C216="","",IFERROR(INDEX(LOTES!$C$5:$C$1004,MATCH(C216,LOTES!$F$5:$F$1004,0)),""))</f>
        <v>P3</v>
      </c>
      <c r="F216" s="24" t="n">
        <f aca="false">IF(C216="","",IFERROR(INDEX(LOTES!$B$5:$B$1004,MATCH(C216,LOTES!$F$5:$F$1004,0)),""))</f>
        <v>45954</v>
      </c>
      <c r="G216" s="15" t="n">
        <f aca="false">IF(OR(B216="",F216=""),"",B216-F216)</f>
        <v>3</v>
      </c>
      <c r="H216" s="13" t="s">
        <v>135</v>
      </c>
      <c r="I216" s="13" t="s">
        <v>131</v>
      </c>
      <c r="J216" s="13" t="s">
        <v>221</v>
      </c>
      <c r="K216" s="25" t="n">
        <v>14.5</v>
      </c>
      <c r="L216" s="25" t="n">
        <v>19.5</v>
      </c>
      <c r="M216" s="25" t="n">
        <v>39.5</v>
      </c>
      <c r="N216" s="25"/>
      <c r="O216" s="26" t="n">
        <v>52979</v>
      </c>
      <c r="P216" s="16" t="n">
        <f aca="false">IF(O216="","",IFERROR(1/(1/(IF(K216="",INDEX(CONFIG!$F$5:$F$14,MATCH(D216,CONFIG!$D$5:$D$14,0)),K216)*IF(M216="",INDEX(CONFIG!$H$5:$H$14,MATCH(D216,CONFIG!$D$5:$D$14,0)),M216))),""))</f>
        <v>572.75</v>
      </c>
      <c r="Q216" s="16" t="n">
        <f aca="false">IF(OR(O216="",P216=""),"",O216/P216)</f>
        <v>92.4993452640768</v>
      </c>
      <c r="R216" s="16" t="n">
        <f aca="false">IF(Q216="","",Q216*0.0980665)</f>
        <v>9.07108704233959</v>
      </c>
      <c r="S216" s="16" t="str">
        <f aca="false">IF(Q216="","",IFERROR(Q216/(1/(1/INDEX(CONFIG!$I$5:$I$14,MATCH(D216,CONFIG!$D$5:$D$14,0)))),""))</f>
        <v/>
      </c>
      <c r="T216" s="13"/>
      <c r="U216" s="13"/>
      <c r="V216" s="13"/>
      <c r="W216" s="13"/>
      <c r="X216" s="22" t="n">
        <f aca="false">IF(Q216="","",Q216^2)</f>
        <v>8556.12887428289</v>
      </c>
      <c r="Y216" s="22" t="str">
        <f aca="false">IF(AND(C216&lt;&gt;"",C216=CERTIFICADO!$E$4,OR(CERTIFICADO!$E$5="",B216=CERTIFICADO!$E$5)),MAX($Y$4:Y215)+1,"")</f>
        <v/>
      </c>
    </row>
    <row r="217" customFormat="false" ht="15" hidden="false" customHeight="false" outlineLevel="0" collapsed="false">
      <c r="A217" s="11" t="n">
        <f aca="false">IF(C217="","",ROW()-4)</f>
        <v>213</v>
      </c>
      <c r="B217" s="12" t="n">
        <v>45974</v>
      </c>
      <c r="C217" s="13" t="s">
        <v>222</v>
      </c>
      <c r="D217" s="23" t="str">
        <f aca="false">IF(C217="","",IFERROR(INDEX(LOTES!$D$5:$D$1004,MATCH(C217,LOTES!$F$5:$F$1004,0)),"¿Lote?"))</f>
        <v>Block 8"</v>
      </c>
      <c r="E217" s="11" t="str">
        <f aca="false">IF(C217="","",IFERROR(INDEX(LOTES!$C$5:$C$1004,MATCH(C217,LOTES!$F$5:$F$1004,0)),""))</f>
        <v>P1</v>
      </c>
      <c r="F217" s="24" t="n">
        <f aca="false">IF(C217="","",IFERROR(INDEX(LOTES!$B$5:$B$1004,MATCH(C217,LOTES!$F$5:$F$1004,0)),""))</f>
        <v>45971</v>
      </c>
      <c r="G217" s="15" t="n">
        <f aca="false">IF(OR(B217="",F217=""),"",B217-F217)</f>
        <v>3</v>
      </c>
      <c r="H217" s="13" t="s">
        <v>135</v>
      </c>
      <c r="I217" s="13" t="s">
        <v>131</v>
      </c>
      <c r="J217" s="13" t="s">
        <v>223</v>
      </c>
      <c r="K217" s="25" t="n">
        <v>19.5</v>
      </c>
      <c r="L217" s="25" t="n">
        <v>19.5</v>
      </c>
      <c r="M217" s="25" t="n">
        <v>39.5</v>
      </c>
      <c r="N217" s="25"/>
      <c r="O217" s="26" t="n">
        <v>71259</v>
      </c>
      <c r="P217" s="16" t="n">
        <f aca="false">IF(O217="","",IFERROR(1/(1/(IF(K217="",INDEX(CONFIG!$F$5:$F$14,MATCH(D217,CONFIG!$D$5:$D$14,0)),K217)*IF(M217="",INDEX(CONFIG!$H$5:$H$14,MATCH(D217,CONFIG!$D$5:$D$14,0)),M217))),""))</f>
        <v>770.25</v>
      </c>
      <c r="Q217" s="16" t="n">
        <f aca="false">IF(OR(O217="",P217=""),"",O217/P217)</f>
        <v>92.5141187925998</v>
      </c>
      <c r="R217" s="16" t="n">
        <f aca="false">IF(Q217="","",Q217*0.0980665)</f>
        <v>9.07253583057449</v>
      </c>
      <c r="S217" s="16" t="str">
        <f aca="false">IF(Q217="","",IFERROR(Q217/(1/(1/INDEX(CONFIG!$I$5:$I$14,MATCH(D217,CONFIG!$D$5:$D$14,0)))),""))</f>
        <v/>
      </c>
      <c r="T217" s="13"/>
      <c r="U217" s="13"/>
      <c r="V217" s="13"/>
      <c r="W217" s="13"/>
      <c r="X217" s="22" t="n">
        <f aca="false">IF(Q217="","",Q217^2)</f>
        <v>8558.86217597127</v>
      </c>
      <c r="Y217" s="22" t="n">
        <f aca="false">IF(AND(C217&lt;&gt;"",C217=CERTIFICADO!$E$4,OR(CERTIFICADO!$E$5="",B217=CERTIFICADO!$E$5)),MAX($Y$4:Y216)+1,"")</f>
        <v>1</v>
      </c>
    </row>
    <row r="218" customFormat="false" ht="15" hidden="false" customHeight="false" outlineLevel="0" collapsed="false">
      <c r="A218" s="11" t="n">
        <f aca="false">IF(C218="","",ROW()-4)</f>
        <v>214</v>
      </c>
      <c r="B218" s="12" t="n">
        <v>45974</v>
      </c>
      <c r="C218" s="13" t="s">
        <v>222</v>
      </c>
      <c r="D218" s="23" t="str">
        <f aca="false">IF(C218="","",IFERROR(INDEX(LOTES!$D$5:$D$1004,MATCH(C218,LOTES!$F$5:$F$1004,0)),"¿Lote?"))</f>
        <v>Block 8"</v>
      </c>
      <c r="E218" s="11" t="str">
        <f aca="false">IF(C218="","",IFERROR(INDEX(LOTES!$C$5:$C$1004,MATCH(C218,LOTES!$F$5:$F$1004,0)),""))</f>
        <v>P1</v>
      </c>
      <c r="F218" s="24" t="n">
        <f aca="false">IF(C218="","",IFERROR(INDEX(LOTES!$B$5:$B$1004,MATCH(C218,LOTES!$F$5:$F$1004,0)),""))</f>
        <v>45971</v>
      </c>
      <c r="G218" s="15" t="n">
        <f aca="false">IF(OR(B218="",F218=""),"",B218-F218)</f>
        <v>3</v>
      </c>
      <c r="H218" s="13" t="s">
        <v>135</v>
      </c>
      <c r="I218" s="13" t="s">
        <v>131</v>
      </c>
      <c r="J218" s="13" t="s">
        <v>223</v>
      </c>
      <c r="K218" s="25" t="n">
        <v>19.5</v>
      </c>
      <c r="L218" s="25" t="n">
        <v>19.5</v>
      </c>
      <c r="M218" s="25" t="n">
        <v>39.5</v>
      </c>
      <c r="N218" s="25"/>
      <c r="O218" s="26" t="n">
        <v>70687</v>
      </c>
      <c r="P218" s="16" t="n">
        <f aca="false">IF(O218="","",IFERROR(1/(1/(IF(K218="",INDEX(CONFIG!$F$5:$F$14,MATCH(D218,CONFIG!$D$5:$D$14,0)),K218)*IF(M218="",INDEX(CONFIG!$H$5:$H$14,MATCH(D218,CONFIG!$D$5:$D$14,0)),M218))),""))</f>
        <v>770.25</v>
      </c>
      <c r="Q218" s="16" t="n">
        <f aca="false">IF(OR(O218="",P218=""),"",O218/P218)</f>
        <v>91.7715027588445</v>
      </c>
      <c r="R218" s="16" t="n">
        <f aca="false">IF(Q218="","",Q218*0.0980665)</f>
        <v>8.99971007530023</v>
      </c>
      <c r="S218" s="16" t="str">
        <f aca="false">IF(Q218="","",IFERROR(Q218/(1/(1/INDEX(CONFIG!$I$5:$I$14,MATCH(D218,CONFIG!$D$5:$D$14,0)))),""))</f>
        <v/>
      </c>
      <c r="T218" s="13"/>
      <c r="U218" s="13"/>
      <c r="V218" s="13"/>
      <c r="W218" s="13"/>
      <c r="X218" s="22" t="n">
        <f aca="false">IF(Q218="","",Q218^2)</f>
        <v>8422.00871861661</v>
      </c>
      <c r="Y218" s="22" t="n">
        <f aca="false">IF(AND(C218&lt;&gt;"",C218=CERTIFICADO!$E$4,OR(CERTIFICADO!$E$5="",B218=CERTIFICADO!$E$5)),MAX($Y$4:Y217)+1,"")</f>
        <v>2</v>
      </c>
    </row>
    <row r="219" customFormat="false" ht="15" hidden="false" customHeight="false" outlineLevel="0" collapsed="false">
      <c r="A219" s="11" t="n">
        <f aca="false">IF(C219="","",ROW()-4)</f>
        <v>215</v>
      </c>
      <c r="B219" s="12" t="n">
        <v>45974</v>
      </c>
      <c r="C219" s="13" t="s">
        <v>222</v>
      </c>
      <c r="D219" s="23" t="str">
        <f aca="false">IF(C219="","",IFERROR(INDEX(LOTES!$D$5:$D$1004,MATCH(C219,LOTES!$F$5:$F$1004,0)),"¿Lote?"))</f>
        <v>Block 8"</v>
      </c>
      <c r="E219" s="11" t="str">
        <f aca="false">IF(C219="","",IFERROR(INDEX(LOTES!$C$5:$C$1004,MATCH(C219,LOTES!$F$5:$F$1004,0)),""))</f>
        <v>P1</v>
      </c>
      <c r="F219" s="24" t="n">
        <f aca="false">IF(C219="","",IFERROR(INDEX(LOTES!$B$5:$B$1004,MATCH(C219,LOTES!$F$5:$F$1004,0)),""))</f>
        <v>45971</v>
      </c>
      <c r="G219" s="15" t="n">
        <f aca="false">IF(OR(B219="",F219=""),"",B219-F219)</f>
        <v>3</v>
      </c>
      <c r="H219" s="13" t="s">
        <v>135</v>
      </c>
      <c r="I219" s="13" t="s">
        <v>131</v>
      </c>
      <c r="J219" s="13" t="s">
        <v>223</v>
      </c>
      <c r="K219" s="25" t="n">
        <v>19.5</v>
      </c>
      <c r="L219" s="25" t="n">
        <v>19.5</v>
      </c>
      <c r="M219" s="25" t="n">
        <v>39.5</v>
      </c>
      <c r="N219" s="25"/>
      <c r="O219" s="26" t="n">
        <v>46583</v>
      </c>
      <c r="P219" s="16" t="n">
        <f aca="false">IF(O219="","",IFERROR(1/(1/(IF(K219="",INDEX(CONFIG!$F$5:$F$14,MATCH(D219,CONFIG!$D$5:$D$14,0)),K219)*IF(M219="",INDEX(CONFIG!$H$5:$H$14,MATCH(D219,CONFIG!$D$5:$D$14,0)),M219))),""))</f>
        <v>770.25</v>
      </c>
      <c r="Q219" s="16" t="n">
        <f aca="false">IF(OR(O219="",P219=""),"",O219/P219)</f>
        <v>60.4777669587796</v>
      </c>
      <c r="R219" s="16" t="n">
        <f aca="false">IF(Q219="","",Q219*0.0980665)</f>
        <v>5.93084293346316</v>
      </c>
      <c r="S219" s="16" t="str">
        <f aca="false">IF(Q219="","",IFERROR(Q219/(1/(1/INDEX(CONFIG!$I$5:$I$14,MATCH(D219,CONFIG!$D$5:$D$14,0)))),""))</f>
        <v/>
      </c>
      <c r="T219" s="13"/>
      <c r="U219" s="13"/>
      <c r="V219" s="13"/>
      <c r="W219" s="13"/>
      <c r="X219" s="22" t="n">
        <f aca="false">IF(Q219="","",Q219^2)</f>
        <v>3657.56029632046</v>
      </c>
      <c r="Y219" s="22" t="n">
        <f aca="false">IF(AND(C219&lt;&gt;"",C219=CERTIFICADO!$E$4,OR(CERTIFICADO!$E$5="",B219=CERTIFICADO!$E$5)),MAX($Y$4:Y218)+1,"")</f>
        <v>3</v>
      </c>
    </row>
    <row r="220" customFormat="false" ht="15" hidden="false" customHeight="false" outlineLevel="0" collapsed="false">
      <c r="A220" s="11" t="n">
        <f aca="false">IF(C220="","",ROW()-4)</f>
        <v>216</v>
      </c>
      <c r="B220" s="12" t="n">
        <v>45974</v>
      </c>
      <c r="C220" s="13" t="s">
        <v>222</v>
      </c>
      <c r="D220" s="23" t="str">
        <f aca="false">IF(C220="","",IFERROR(INDEX(LOTES!$D$5:$D$1004,MATCH(C220,LOTES!$F$5:$F$1004,0)),"¿Lote?"))</f>
        <v>Block 8"</v>
      </c>
      <c r="E220" s="11" t="str">
        <f aca="false">IF(C220="","",IFERROR(INDEX(LOTES!$C$5:$C$1004,MATCH(C220,LOTES!$F$5:$F$1004,0)),""))</f>
        <v>P1</v>
      </c>
      <c r="F220" s="24" t="n">
        <f aca="false">IF(C220="","",IFERROR(INDEX(LOTES!$B$5:$B$1004,MATCH(C220,LOTES!$F$5:$F$1004,0)),""))</f>
        <v>45971</v>
      </c>
      <c r="G220" s="15" t="n">
        <f aca="false">IF(OR(B220="",F220=""),"",B220-F220)</f>
        <v>3</v>
      </c>
      <c r="H220" s="13" t="s">
        <v>135</v>
      </c>
      <c r="I220" s="13" t="s">
        <v>131</v>
      </c>
      <c r="J220" s="13" t="s">
        <v>223</v>
      </c>
      <c r="K220" s="25" t="n">
        <v>19.5</v>
      </c>
      <c r="L220" s="25" t="n">
        <v>19.5</v>
      </c>
      <c r="M220" s="25" t="n">
        <v>39.5</v>
      </c>
      <c r="N220" s="25"/>
      <c r="O220" s="26" t="n">
        <v>56594</v>
      </c>
      <c r="P220" s="16" t="n">
        <f aca="false">IF(O220="","",IFERROR(1/(1/(IF(K220="",INDEX(CONFIG!$F$5:$F$14,MATCH(D220,CONFIG!$D$5:$D$14,0)),K220)*IF(M220="",INDEX(CONFIG!$H$5:$H$14,MATCH(D220,CONFIG!$D$5:$D$14,0)),M220))),""))</f>
        <v>770.25</v>
      </c>
      <c r="Q220" s="16" t="n">
        <f aca="false">IF(OR(O220="",P220=""),"",O220/P220)</f>
        <v>73.4748458292762</v>
      </c>
      <c r="R220" s="16" t="n">
        <f aca="false">IF(Q220="","",Q220*0.0980665)</f>
        <v>7.20542096851672</v>
      </c>
      <c r="S220" s="16" t="str">
        <f aca="false">IF(Q220="","",IFERROR(Q220/(1/(1/INDEX(CONFIG!$I$5:$I$14,MATCH(D220,CONFIG!$D$5:$D$14,0)))),""))</f>
        <v/>
      </c>
      <c r="T220" s="13"/>
      <c r="U220" s="13"/>
      <c r="V220" s="13"/>
      <c r="W220" s="13"/>
      <c r="X220" s="22" t="n">
        <f aca="false">IF(Q220="","",Q220^2)</f>
        <v>5398.55296963591</v>
      </c>
      <c r="Y220" s="22" t="n">
        <f aca="false">IF(AND(C220&lt;&gt;"",C220=CERTIFICADO!$E$4,OR(CERTIFICADO!$E$5="",B220=CERTIFICADO!$E$5)),MAX($Y$4:Y219)+1,"")</f>
        <v>4</v>
      </c>
    </row>
    <row r="221" customFormat="false" ht="15" hidden="false" customHeight="false" outlineLevel="0" collapsed="false">
      <c r="A221" s="11" t="str">
        <f aca="false">IF(C221="","",ROW()-4)</f>
        <v/>
      </c>
      <c r="B221" s="12"/>
      <c r="C221" s="13"/>
      <c r="D221" s="23" t="str">
        <f aca="false">IF(C221="","",IFERROR(INDEX(LOTES!$D$5:$D$1004,MATCH(C221,LOTES!$F$5:$F$1004,0)),"¿Lote?"))</f>
        <v/>
      </c>
      <c r="E221" s="11" t="str">
        <f aca="false">IF(C221="","",IFERROR(INDEX(LOTES!$C$5:$C$1004,MATCH(C221,LOTES!$F$5:$F$1004,0)),""))</f>
        <v/>
      </c>
      <c r="F221" s="24" t="str">
        <f aca="false">IF(C221="","",IFERROR(INDEX(LOTES!$B$5:$B$1004,MATCH(C221,LOTES!$F$5:$F$1004,0)),""))</f>
        <v/>
      </c>
      <c r="G221" s="15" t="str">
        <f aca="false">IF(OR(B221="",F221=""),"",B221-F221)</f>
        <v/>
      </c>
      <c r="H221" s="13"/>
      <c r="I221" s="13"/>
      <c r="J221" s="13"/>
      <c r="K221" s="25"/>
      <c r="L221" s="25"/>
      <c r="M221" s="25"/>
      <c r="N221" s="25"/>
      <c r="O221" s="26"/>
      <c r="P221" s="16" t="str">
        <f aca="false">IF(O221="","",IFERROR(1/(1/(IF(K221="",INDEX(CONFIG!$F$5:$F$14,MATCH(D221,CONFIG!$D$5:$D$14,0)),K221)*IF(M221="",INDEX(CONFIG!$H$5:$H$14,MATCH(D221,CONFIG!$D$5:$D$14,0)),M221))),""))</f>
        <v/>
      </c>
      <c r="Q221" s="16" t="str">
        <f aca="false">IF(OR(O221="",P221=""),"",O221/P221)</f>
        <v/>
      </c>
      <c r="R221" s="16" t="str">
        <f aca="false">IF(Q221="","",Q221*0.0980665)</f>
        <v/>
      </c>
      <c r="S221" s="16" t="str">
        <f aca="false">IF(Q221="","",IFERROR(Q221/(1/(1/INDEX(CONFIG!$I$5:$I$14,MATCH(D221,CONFIG!$D$5:$D$14,0)))),""))</f>
        <v/>
      </c>
      <c r="T221" s="13"/>
      <c r="U221" s="13"/>
      <c r="V221" s="13"/>
      <c r="W221" s="13"/>
      <c r="X221" s="22" t="str">
        <f aca="false">IF(Q221="","",Q221^2)</f>
        <v/>
      </c>
      <c r="Y221" s="22" t="str">
        <f aca="false">IF(AND(C221&lt;&gt;"",C221=CERTIFICADO!$E$4,OR(CERTIFICADO!$E$5="",B221=CERTIFICADO!$E$5)),MAX($Y$4:Y220)+1,"")</f>
        <v/>
      </c>
    </row>
    <row r="222" customFormat="false" ht="15" hidden="false" customHeight="false" outlineLevel="0" collapsed="false">
      <c r="A222" s="11" t="str">
        <f aca="false">IF(C222="","",ROW()-4)</f>
        <v/>
      </c>
      <c r="B222" s="12"/>
      <c r="C222" s="13"/>
      <c r="D222" s="23" t="str">
        <f aca="false">IF(C222="","",IFERROR(INDEX(LOTES!$D$5:$D$1004,MATCH(C222,LOTES!$F$5:$F$1004,0)),"¿Lote?"))</f>
        <v/>
      </c>
      <c r="E222" s="11" t="str">
        <f aca="false">IF(C222="","",IFERROR(INDEX(LOTES!$C$5:$C$1004,MATCH(C222,LOTES!$F$5:$F$1004,0)),""))</f>
        <v/>
      </c>
      <c r="F222" s="24" t="str">
        <f aca="false">IF(C222="","",IFERROR(INDEX(LOTES!$B$5:$B$1004,MATCH(C222,LOTES!$F$5:$F$1004,0)),""))</f>
        <v/>
      </c>
      <c r="G222" s="15" t="str">
        <f aca="false">IF(OR(B222="",F222=""),"",B222-F222)</f>
        <v/>
      </c>
      <c r="H222" s="13"/>
      <c r="I222" s="13"/>
      <c r="J222" s="13"/>
      <c r="K222" s="25"/>
      <c r="L222" s="25"/>
      <c r="M222" s="25"/>
      <c r="N222" s="25"/>
      <c r="O222" s="26"/>
      <c r="P222" s="16" t="str">
        <f aca="false">IF(O222="","",IFERROR(1/(1/(IF(K222="",INDEX(CONFIG!$F$5:$F$14,MATCH(D222,CONFIG!$D$5:$D$14,0)),K222)*IF(M222="",INDEX(CONFIG!$H$5:$H$14,MATCH(D222,CONFIG!$D$5:$D$14,0)),M222))),""))</f>
        <v/>
      </c>
      <c r="Q222" s="16" t="str">
        <f aca="false">IF(OR(O222="",P222=""),"",O222/P222)</f>
        <v/>
      </c>
      <c r="R222" s="16" t="str">
        <f aca="false">IF(Q222="","",Q222*0.0980665)</f>
        <v/>
      </c>
      <c r="S222" s="16" t="str">
        <f aca="false">IF(Q222="","",IFERROR(Q222/(1/(1/INDEX(CONFIG!$I$5:$I$14,MATCH(D222,CONFIG!$D$5:$D$14,0)))),""))</f>
        <v/>
      </c>
      <c r="T222" s="13"/>
      <c r="U222" s="13"/>
      <c r="V222" s="13"/>
      <c r="W222" s="13"/>
      <c r="X222" s="22" t="str">
        <f aca="false">IF(Q222="","",Q222^2)</f>
        <v/>
      </c>
      <c r="Y222" s="22" t="str">
        <f aca="false">IF(AND(C222&lt;&gt;"",C222=CERTIFICADO!$E$4,OR(CERTIFICADO!$E$5="",B222=CERTIFICADO!$E$5)),MAX($Y$4:Y221)+1,"")</f>
        <v/>
      </c>
    </row>
    <row r="223" customFormat="false" ht="15" hidden="false" customHeight="false" outlineLevel="0" collapsed="false">
      <c r="A223" s="11" t="str">
        <f aca="false">IF(C223="","",ROW()-4)</f>
        <v/>
      </c>
      <c r="B223" s="12"/>
      <c r="C223" s="13"/>
      <c r="D223" s="23" t="str">
        <f aca="false">IF(C223="","",IFERROR(INDEX(LOTES!$D$5:$D$1004,MATCH(C223,LOTES!$F$5:$F$1004,0)),"¿Lote?"))</f>
        <v/>
      </c>
      <c r="E223" s="11" t="str">
        <f aca="false">IF(C223="","",IFERROR(INDEX(LOTES!$C$5:$C$1004,MATCH(C223,LOTES!$F$5:$F$1004,0)),""))</f>
        <v/>
      </c>
      <c r="F223" s="24" t="str">
        <f aca="false">IF(C223="","",IFERROR(INDEX(LOTES!$B$5:$B$1004,MATCH(C223,LOTES!$F$5:$F$1004,0)),""))</f>
        <v/>
      </c>
      <c r="G223" s="15" t="str">
        <f aca="false">IF(OR(B223="",F223=""),"",B223-F223)</f>
        <v/>
      </c>
      <c r="H223" s="13"/>
      <c r="I223" s="13"/>
      <c r="J223" s="13"/>
      <c r="K223" s="25"/>
      <c r="L223" s="25"/>
      <c r="M223" s="25"/>
      <c r="N223" s="25"/>
      <c r="O223" s="26"/>
      <c r="P223" s="16" t="str">
        <f aca="false">IF(O223="","",IFERROR(1/(1/(IF(K223="",INDEX(CONFIG!$F$5:$F$14,MATCH(D223,CONFIG!$D$5:$D$14,0)),K223)*IF(M223="",INDEX(CONFIG!$H$5:$H$14,MATCH(D223,CONFIG!$D$5:$D$14,0)),M223))),""))</f>
        <v/>
      </c>
      <c r="Q223" s="16" t="str">
        <f aca="false">IF(OR(O223="",P223=""),"",O223/P223)</f>
        <v/>
      </c>
      <c r="R223" s="16" t="str">
        <f aca="false">IF(Q223="","",Q223*0.0980665)</f>
        <v/>
      </c>
      <c r="S223" s="16" t="str">
        <f aca="false">IF(Q223="","",IFERROR(Q223/(1/(1/INDEX(CONFIG!$I$5:$I$14,MATCH(D223,CONFIG!$D$5:$D$14,0)))),""))</f>
        <v/>
      </c>
      <c r="T223" s="13"/>
      <c r="U223" s="13"/>
      <c r="V223" s="13"/>
      <c r="W223" s="13"/>
      <c r="X223" s="22" t="str">
        <f aca="false">IF(Q223="","",Q223^2)</f>
        <v/>
      </c>
      <c r="Y223" s="22" t="str">
        <f aca="false">IF(AND(C223&lt;&gt;"",C223=CERTIFICADO!$E$4,OR(CERTIFICADO!$E$5="",B223=CERTIFICADO!$E$5)),MAX($Y$4:Y222)+1,"")</f>
        <v/>
      </c>
    </row>
    <row r="224" customFormat="false" ht="15" hidden="false" customHeight="false" outlineLevel="0" collapsed="false">
      <c r="A224" s="11" t="str">
        <f aca="false">IF(C224="","",ROW()-4)</f>
        <v/>
      </c>
      <c r="B224" s="12"/>
      <c r="C224" s="13"/>
      <c r="D224" s="23" t="str">
        <f aca="false">IF(C224="","",IFERROR(INDEX(LOTES!$D$5:$D$1004,MATCH(C224,LOTES!$F$5:$F$1004,0)),"¿Lote?"))</f>
        <v/>
      </c>
      <c r="E224" s="11" t="str">
        <f aca="false">IF(C224="","",IFERROR(INDEX(LOTES!$C$5:$C$1004,MATCH(C224,LOTES!$F$5:$F$1004,0)),""))</f>
        <v/>
      </c>
      <c r="F224" s="24" t="str">
        <f aca="false">IF(C224="","",IFERROR(INDEX(LOTES!$B$5:$B$1004,MATCH(C224,LOTES!$F$5:$F$1004,0)),""))</f>
        <v/>
      </c>
      <c r="G224" s="15" t="str">
        <f aca="false">IF(OR(B224="",F224=""),"",B224-F224)</f>
        <v/>
      </c>
      <c r="H224" s="13"/>
      <c r="I224" s="13"/>
      <c r="J224" s="13"/>
      <c r="K224" s="25"/>
      <c r="L224" s="25"/>
      <c r="M224" s="25"/>
      <c r="N224" s="25"/>
      <c r="O224" s="26"/>
      <c r="P224" s="16" t="str">
        <f aca="false">IF(O224="","",IFERROR(1/(1/(IF(K224="",INDEX(CONFIG!$F$5:$F$14,MATCH(D224,CONFIG!$D$5:$D$14,0)),K224)*IF(M224="",INDEX(CONFIG!$H$5:$H$14,MATCH(D224,CONFIG!$D$5:$D$14,0)),M224))),""))</f>
        <v/>
      </c>
      <c r="Q224" s="16" t="str">
        <f aca="false">IF(OR(O224="",P224=""),"",O224/P224)</f>
        <v/>
      </c>
      <c r="R224" s="16" t="str">
        <f aca="false">IF(Q224="","",Q224*0.0980665)</f>
        <v/>
      </c>
      <c r="S224" s="16" t="str">
        <f aca="false">IF(Q224="","",IFERROR(Q224/(1/(1/INDEX(CONFIG!$I$5:$I$14,MATCH(D224,CONFIG!$D$5:$D$14,0)))),""))</f>
        <v/>
      </c>
      <c r="T224" s="13"/>
      <c r="U224" s="13"/>
      <c r="V224" s="13"/>
      <c r="W224" s="13"/>
      <c r="X224" s="22" t="str">
        <f aca="false">IF(Q224="","",Q224^2)</f>
        <v/>
      </c>
      <c r="Y224" s="22" t="str">
        <f aca="false">IF(AND(C224&lt;&gt;"",C224=CERTIFICADO!$E$4,OR(CERTIFICADO!$E$5="",B224=CERTIFICADO!$E$5)),MAX($Y$4:Y223)+1,"")</f>
        <v/>
      </c>
    </row>
    <row r="225" customFormat="false" ht="15" hidden="false" customHeight="false" outlineLevel="0" collapsed="false">
      <c r="A225" s="11" t="str">
        <f aca="false">IF(C225="","",ROW()-4)</f>
        <v/>
      </c>
      <c r="B225" s="12"/>
      <c r="C225" s="13"/>
      <c r="D225" s="23" t="str">
        <f aca="false">IF(C225="","",IFERROR(INDEX(LOTES!$D$5:$D$1004,MATCH(C225,LOTES!$F$5:$F$1004,0)),"¿Lote?"))</f>
        <v/>
      </c>
      <c r="E225" s="11" t="str">
        <f aca="false">IF(C225="","",IFERROR(INDEX(LOTES!$C$5:$C$1004,MATCH(C225,LOTES!$F$5:$F$1004,0)),""))</f>
        <v/>
      </c>
      <c r="F225" s="24" t="str">
        <f aca="false">IF(C225="","",IFERROR(INDEX(LOTES!$B$5:$B$1004,MATCH(C225,LOTES!$F$5:$F$1004,0)),""))</f>
        <v/>
      </c>
      <c r="G225" s="15" t="str">
        <f aca="false">IF(OR(B225="",F225=""),"",B225-F225)</f>
        <v/>
      </c>
      <c r="H225" s="13"/>
      <c r="I225" s="13"/>
      <c r="J225" s="13"/>
      <c r="K225" s="25"/>
      <c r="L225" s="25"/>
      <c r="M225" s="25"/>
      <c r="N225" s="25"/>
      <c r="O225" s="26"/>
      <c r="P225" s="16" t="str">
        <f aca="false">IF(O225="","",IFERROR(1/(1/(IF(K225="",INDEX(CONFIG!$F$5:$F$14,MATCH(D225,CONFIG!$D$5:$D$14,0)),K225)*IF(M225="",INDEX(CONFIG!$H$5:$H$14,MATCH(D225,CONFIG!$D$5:$D$14,0)),M225))),""))</f>
        <v/>
      </c>
      <c r="Q225" s="16" t="str">
        <f aca="false">IF(OR(O225="",P225=""),"",O225/P225)</f>
        <v/>
      </c>
      <c r="R225" s="16" t="str">
        <f aca="false">IF(Q225="","",Q225*0.0980665)</f>
        <v/>
      </c>
      <c r="S225" s="16" t="str">
        <f aca="false">IF(Q225="","",IFERROR(Q225/(1/(1/INDEX(CONFIG!$I$5:$I$14,MATCH(D225,CONFIG!$D$5:$D$14,0)))),""))</f>
        <v/>
      </c>
      <c r="T225" s="13"/>
      <c r="U225" s="13"/>
      <c r="V225" s="13"/>
      <c r="W225" s="13"/>
      <c r="X225" s="22" t="str">
        <f aca="false">IF(Q225="","",Q225^2)</f>
        <v/>
      </c>
      <c r="Y225" s="22" t="str">
        <f aca="false">IF(AND(C225&lt;&gt;"",C225=CERTIFICADO!$E$4,OR(CERTIFICADO!$E$5="",B225=CERTIFICADO!$E$5)),MAX($Y$4:Y224)+1,"")</f>
        <v/>
      </c>
    </row>
    <row r="226" customFormat="false" ht="15" hidden="false" customHeight="false" outlineLevel="0" collapsed="false">
      <c r="A226" s="11" t="str">
        <f aca="false">IF(C226="","",ROW()-4)</f>
        <v/>
      </c>
      <c r="B226" s="12"/>
      <c r="C226" s="13"/>
      <c r="D226" s="23" t="str">
        <f aca="false">IF(C226="","",IFERROR(INDEX(LOTES!$D$5:$D$1004,MATCH(C226,LOTES!$F$5:$F$1004,0)),"¿Lote?"))</f>
        <v/>
      </c>
      <c r="E226" s="11" t="str">
        <f aca="false">IF(C226="","",IFERROR(INDEX(LOTES!$C$5:$C$1004,MATCH(C226,LOTES!$F$5:$F$1004,0)),""))</f>
        <v/>
      </c>
      <c r="F226" s="24" t="str">
        <f aca="false">IF(C226="","",IFERROR(INDEX(LOTES!$B$5:$B$1004,MATCH(C226,LOTES!$F$5:$F$1004,0)),""))</f>
        <v/>
      </c>
      <c r="G226" s="15" t="str">
        <f aca="false">IF(OR(B226="",F226=""),"",B226-F226)</f>
        <v/>
      </c>
      <c r="H226" s="13"/>
      <c r="I226" s="13"/>
      <c r="J226" s="13"/>
      <c r="K226" s="25"/>
      <c r="L226" s="25"/>
      <c r="M226" s="25"/>
      <c r="N226" s="25"/>
      <c r="O226" s="26"/>
      <c r="P226" s="16" t="str">
        <f aca="false">IF(O226="","",IFERROR(1/(1/(IF(K226="",INDEX(CONFIG!$F$5:$F$14,MATCH(D226,CONFIG!$D$5:$D$14,0)),K226)*IF(M226="",INDEX(CONFIG!$H$5:$H$14,MATCH(D226,CONFIG!$D$5:$D$14,0)),M226))),""))</f>
        <v/>
      </c>
      <c r="Q226" s="16" t="str">
        <f aca="false">IF(OR(O226="",P226=""),"",O226/P226)</f>
        <v/>
      </c>
      <c r="R226" s="16" t="str">
        <f aca="false">IF(Q226="","",Q226*0.0980665)</f>
        <v/>
      </c>
      <c r="S226" s="16" t="str">
        <f aca="false">IF(Q226="","",IFERROR(Q226/(1/(1/INDEX(CONFIG!$I$5:$I$14,MATCH(D226,CONFIG!$D$5:$D$14,0)))),""))</f>
        <v/>
      </c>
      <c r="T226" s="13"/>
      <c r="U226" s="13"/>
      <c r="V226" s="13"/>
      <c r="W226" s="13"/>
      <c r="X226" s="22" t="str">
        <f aca="false">IF(Q226="","",Q226^2)</f>
        <v/>
      </c>
      <c r="Y226" s="22" t="str">
        <f aca="false">IF(AND(C226&lt;&gt;"",C226=CERTIFICADO!$E$4,OR(CERTIFICADO!$E$5="",B226=CERTIFICADO!$E$5)),MAX($Y$4:Y225)+1,"")</f>
        <v/>
      </c>
    </row>
    <row r="227" customFormat="false" ht="15" hidden="false" customHeight="false" outlineLevel="0" collapsed="false">
      <c r="A227" s="11" t="str">
        <f aca="false">IF(C227="","",ROW()-4)</f>
        <v/>
      </c>
      <c r="B227" s="12"/>
      <c r="C227" s="13"/>
      <c r="D227" s="23" t="str">
        <f aca="false">IF(C227="","",IFERROR(INDEX(LOTES!$D$5:$D$1004,MATCH(C227,LOTES!$F$5:$F$1004,0)),"¿Lote?"))</f>
        <v/>
      </c>
      <c r="E227" s="11" t="str">
        <f aca="false">IF(C227="","",IFERROR(INDEX(LOTES!$C$5:$C$1004,MATCH(C227,LOTES!$F$5:$F$1004,0)),""))</f>
        <v/>
      </c>
      <c r="F227" s="24" t="str">
        <f aca="false">IF(C227="","",IFERROR(INDEX(LOTES!$B$5:$B$1004,MATCH(C227,LOTES!$F$5:$F$1004,0)),""))</f>
        <v/>
      </c>
      <c r="G227" s="15" t="str">
        <f aca="false">IF(OR(B227="",F227=""),"",B227-F227)</f>
        <v/>
      </c>
      <c r="H227" s="13"/>
      <c r="I227" s="13"/>
      <c r="J227" s="13"/>
      <c r="K227" s="25"/>
      <c r="L227" s="25"/>
      <c r="M227" s="25"/>
      <c r="N227" s="25"/>
      <c r="O227" s="26"/>
      <c r="P227" s="16" t="str">
        <f aca="false">IF(O227="","",IFERROR(1/(1/(IF(K227="",INDEX(CONFIG!$F$5:$F$14,MATCH(D227,CONFIG!$D$5:$D$14,0)),K227)*IF(M227="",INDEX(CONFIG!$H$5:$H$14,MATCH(D227,CONFIG!$D$5:$D$14,0)),M227))),""))</f>
        <v/>
      </c>
      <c r="Q227" s="16" t="str">
        <f aca="false">IF(OR(O227="",P227=""),"",O227/P227)</f>
        <v/>
      </c>
      <c r="R227" s="16" t="str">
        <f aca="false">IF(Q227="","",Q227*0.0980665)</f>
        <v/>
      </c>
      <c r="S227" s="16" t="str">
        <f aca="false">IF(Q227="","",IFERROR(Q227/(1/(1/INDEX(CONFIG!$I$5:$I$14,MATCH(D227,CONFIG!$D$5:$D$14,0)))),""))</f>
        <v/>
      </c>
      <c r="T227" s="13"/>
      <c r="U227" s="13"/>
      <c r="V227" s="13"/>
      <c r="W227" s="13"/>
      <c r="X227" s="22" t="str">
        <f aca="false">IF(Q227="","",Q227^2)</f>
        <v/>
      </c>
      <c r="Y227" s="22" t="str">
        <f aca="false">IF(AND(C227&lt;&gt;"",C227=CERTIFICADO!$E$4,OR(CERTIFICADO!$E$5="",B227=CERTIFICADO!$E$5)),MAX($Y$4:Y226)+1,"")</f>
        <v/>
      </c>
    </row>
    <row r="228" customFormat="false" ht="15" hidden="false" customHeight="false" outlineLevel="0" collapsed="false">
      <c r="A228" s="11" t="str">
        <f aca="false">IF(C228="","",ROW()-4)</f>
        <v/>
      </c>
      <c r="B228" s="12"/>
      <c r="C228" s="13"/>
      <c r="D228" s="23" t="str">
        <f aca="false">IF(C228="","",IFERROR(INDEX(LOTES!$D$5:$D$1004,MATCH(C228,LOTES!$F$5:$F$1004,0)),"¿Lote?"))</f>
        <v/>
      </c>
      <c r="E228" s="11" t="str">
        <f aca="false">IF(C228="","",IFERROR(INDEX(LOTES!$C$5:$C$1004,MATCH(C228,LOTES!$F$5:$F$1004,0)),""))</f>
        <v/>
      </c>
      <c r="F228" s="24" t="str">
        <f aca="false">IF(C228="","",IFERROR(INDEX(LOTES!$B$5:$B$1004,MATCH(C228,LOTES!$F$5:$F$1004,0)),""))</f>
        <v/>
      </c>
      <c r="G228" s="15" t="str">
        <f aca="false">IF(OR(B228="",F228=""),"",B228-F228)</f>
        <v/>
      </c>
      <c r="H228" s="13"/>
      <c r="I228" s="13"/>
      <c r="J228" s="13"/>
      <c r="K228" s="25"/>
      <c r="L228" s="25"/>
      <c r="M228" s="25"/>
      <c r="N228" s="25"/>
      <c r="O228" s="26"/>
      <c r="P228" s="16" t="str">
        <f aca="false">IF(O228="","",IFERROR(1/(1/(IF(K228="",INDEX(CONFIG!$F$5:$F$14,MATCH(D228,CONFIG!$D$5:$D$14,0)),K228)*IF(M228="",INDEX(CONFIG!$H$5:$H$14,MATCH(D228,CONFIG!$D$5:$D$14,0)),M228))),""))</f>
        <v/>
      </c>
      <c r="Q228" s="16" t="str">
        <f aca="false">IF(OR(O228="",P228=""),"",O228/P228)</f>
        <v/>
      </c>
      <c r="R228" s="16" t="str">
        <f aca="false">IF(Q228="","",Q228*0.0980665)</f>
        <v/>
      </c>
      <c r="S228" s="16" t="str">
        <f aca="false">IF(Q228="","",IFERROR(Q228/(1/(1/INDEX(CONFIG!$I$5:$I$14,MATCH(D228,CONFIG!$D$5:$D$14,0)))),""))</f>
        <v/>
      </c>
      <c r="T228" s="13"/>
      <c r="U228" s="13"/>
      <c r="V228" s="13"/>
      <c r="W228" s="13"/>
      <c r="X228" s="22" t="str">
        <f aca="false">IF(Q228="","",Q228^2)</f>
        <v/>
      </c>
      <c r="Y228" s="22" t="str">
        <f aca="false">IF(AND(C228&lt;&gt;"",C228=CERTIFICADO!$E$4,OR(CERTIFICADO!$E$5="",B228=CERTIFICADO!$E$5)),MAX($Y$4:Y227)+1,"")</f>
        <v/>
      </c>
    </row>
    <row r="229" customFormat="false" ht="15" hidden="false" customHeight="false" outlineLevel="0" collapsed="false">
      <c r="A229" s="11" t="str">
        <f aca="false">IF(C229="","",ROW()-4)</f>
        <v/>
      </c>
      <c r="B229" s="12"/>
      <c r="C229" s="13"/>
      <c r="D229" s="23" t="str">
        <f aca="false">IF(C229="","",IFERROR(INDEX(LOTES!$D$5:$D$1004,MATCH(C229,LOTES!$F$5:$F$1004,0)),"¿Lote?"))</f>
        <v/>
      </c>
      <c r="E229" s="11" t="str">
        <f aca="false">IF(C229="","",IFERROR(INDEX(LOTES!$C$5:$C$1004,MATCH(C229,LOTES!$F$5:$F$1004,0)),""))</f>
        <v/>
      </c>
      <c r="F229" s="24" t="str">
        <f aca="false">IF(C229="","",IFERROR(INDEX(LOTES!$B$5:$B$1004,MATCH(C229,LOTES!$F$5:$F$1004,0)),""))</f>
        <v/>
      </c>
      <c r="G229" s="15" t="str">
        <f aca="false">IF(OR(B229="",F229=""),"",B229-F229)</f>
        <v/>
      </c>
      <c r="H229" s="13"/>
      <c r="I229" s="13"/>
      <c r="J229" s="13"/>
      <c r="K229" s="25"/>
      <c r="L229" s="25"/>
      <c r="M229" s="25"/>
      <c r="N229" s="25"/>
      <c r="O229" s="26"/>
      <c r="P229" s="16" t="str">
        <f aca="false">IF(O229="","",IFERROR(1/(1/(IF(K229="",INDEX(CONFIG!$F$5:$F$14,MATCH(D229,CONFIG!$D$5:$D$14,0)),K229)*IF(M229="",INDEX(CONFIG!$H$5:$H$14,MATCH(D229,CONFIG!$D$5:$D$14,0)),M229))),""))</f>
        <v/>
      </c>
      <c r="Q229" s="16" t="str">
        <f aca="false">IF(OR(O229="",P229=""),"",O229/P229)</f>
        <v/>
      </c>
      <c r="R229" s="16" t="str">
        <f aca="false">IF(Q229="","",Q229*0.0980665)</f>
        <v/>
      </c>
      <c r="S229" s="16" t="str">
        <f aca="false">IF(Q229="","",IFERROR(Q229/(1/(1/INDEX(CONFIG!$I$5:$I$14,MATCH(D229,CONFIG!$D$5:$D$14,0)))),""))</f>
        <v/>
      </c>
      <c r="T229" s="13"/>
      <c r="U229" s="13"/>
      <c r="V229" s="13"/>
      <c r="W229" s="13"/>
      <c r="X229" s="22" t="str">
        <f aca="false">IF(Q229="","",Q229^2)</f>
        <v/>
      </c>
      <c r="Y229" s="22" t="str">
        <f aca="false">IF(AND(C229&lt;&gt;"",C229=CERTIFICADO!$E$4,OR(CERTIFICADO!$E$5="",B229=CERTIFICADO!$E$5)),MAX($Y$4:Y228)+1,"")</f>
        <v/>
      </c>
    </row>
    <row r="230" customFormat="false" ht="15" hidden="false" customHeight="false" outlineLevel="0" collapsed="false">
      <c r="A230" s="11" t="str">
        <f aca="false">IF(C230="","",ROW()-4)</f>
        <v/>
      </c>
      <c r="B230" s="12"/>
      <c r="C230" s="13"/>
      <c r="D230" s="23" t="str">
        <f aca="false">IF(C230="","",IFERROR(INDEX(LOTES!$D$5:$D$1004,MATCH(C230,LOTES!$F$5:$F$1004,0)),"¿Lote?"))</f>
        <v/>
      </c>
      <c r="E230" s="11" t="str">
        <f aca="false">IF(C230="","",IFERROR(INDEX(LOTES!$C$5:$C$1004,MATCH(C230,LOTES!$F$5:$F$1004,0)),""))</f>
        <v/>
      </c>
      <c r="F230" s="24" t="str">
        <f aca="false">IF(C230="","",IFERROR(INDEX(LOTES!$B$5:$B$1004,MATCH(C230,LOTES!$F$5:$F$1004,0)),""))</f>
        <v/>
      </c>
      <c r="G230" s="15" t="str">
        <f aca="false">IF(OR(B230="",F230=""),"",B230-F230)</f>
        <v/>
      </c>
      <c r="H230" s="13"/>
      <c r="I230" s="13"/>
      <c r="J230" s="13"/>
      <c r="K230" s="25"/>
      <c r="L230" s="25"/>
      <c r="M230" s="25"/>
      <c r="N230" s="25"/>
      <c r="O230" s="26"/>
      <c r="P230" s="16" t="str">
        <f aca="false">IF(O230="","",IFERROR(1/(1/(IF(K230="",INDEX(CONFIG!$F$5:$F$14,MATCH(D230,CONFIG!$D$5:$D$14,0)),K230)*IF(M230="",INDEX(CONFIG!$H$5:$H$14,MATCH(D230,CONFIG!$D$5:$D$14,0)),M230))),""))</f>
        <v/>
      </c>
      <c r="Q230" s="16" t="str">
        <f aca="false">IF(OR(O230="",P230=""),"",O230/P230)</f>
        <v/>
      </c>
      <c r="R230" s="16" t="str">
        <f aca="false">IF(Q230="","",Q230*0.0980665)</f>
        <v/>
      </c>
      <c r="S230" s="16" t="str">
        <f aca="false">IF(Q230="","",IFERROR(Q230/(1/(1/INDEX(CONFIG!$I$5:$I$14,MATCH(D230,CONFIG!$D$5:$D$14,0)))),""))</f>
        <v/>
      </c>
      <c r="T230" s="13"/>
      <c r="U230" s="13"/>
      <c r="V230" s="13"/>
      <c r="W230" s="13"/>
      <c r="X230" s="22" t="str">
        <f aca="false">IF(Q230="","",Q230^2)</f>
        <v/>
      </c>
      <c r="Y230" s="22" t="str">
        <f aca="false">IF(AND(C230&lt;&gt;"",C230=CERTIFICADO!$E$4,OR(CERTIFICADO!$E$5="",B230=CERTIFICADO!$E$5)),MAX($Y$4:Y229)+1,"")</f>
        <v/>
      </c>
    </row>
    <row r="231" customFormat="false" ht="15" hidden="false" customHeight="false" outlineLevel="0" collapsed="false">
      <c r="A231" s="11" t="str">
        <f aca="false">IF(C231="","",ROW()-4)</f>
        <v/>
      </c>
      <c r="B231" s="12"/>
      <c r="C231" s="13"/>
      <c r="D231" s="23" t="str">
        <f aca="false">IF(C231="","",IFERROR(INDEX(LOTES!$D$5:$D$1004,MATCH(C231,LOTES!$F$5:$F$1004,0)),"¿Lote?"))</f>
        <v/>
      </c>
      <c r="E231" s="11" t="str">
        <f aca="false">IF(C231="","",IFERROR(INDEX(LOTES!$C$5:$C$1004,MATCH(C231,LOTES!$F$5:$F$1004,0)),""))</f>
        <v/>
      </c>
      <c r="F231" s="24" t="str">
        <f aca="false">IF(C231="","",IFERROR(INDEX(LOTES!$B$5:$B$1004,MATCH(C231,LOTES!$F$5:$F$1004,0)),""))</f>
        <v/>
      </c>
      <c r="G231" s="15" t="str">
        <f aca="false">IF(OR(B231="",F231=""),"",B231-F231)</f>
        <v/>
      </c>
      <c r="H231" s="13"/>
      <c r="I231" s="13"/>
      <c r="J231" s="13"/>
      <c r="K231" s="25"/>
      <c r="L231" s="25"/>
      <c r="M231" s="25"/>
      <c r="N231" s="25"/>
      <c r="O231" s="26"/>
      <c r="P231" s="16" t="str">
        <f aca="false">IF(O231="","",IFERROR(1/(1/(IF(K231="",INDEX(CONFIG!$F$5:$F$14,MATCH(D231,CONFIG!$D$5:$D$14,0)),K231)*IF(M231="",INDEX(CONFIG!$H$5:$H$14,MATCH(D231,CONFIG!$D$5:$D$14,0)),M231))),""))</f>
        <v/>
      </c>
      <c r="Q231" s="16" t="str">
        <f aca="false">IF(OR(O231="",P231=""),"",O231/P231)</f>
        <v/>
      </c>
      <c r="R231" s="16" t="str">
        <f aca="false">IF(Q231="","",Q231*0.0980665)</f>
        <v/>
      </c>
      <c r="S231" s="16" t="str">
        <f aca="false">IF(Q231="","",IFERROR(Q231/(1/(1/INDEX(CONFIG!$I$5:$I$14,MATCH(D231,CONFIG!$D$5:$D$14,0)))),""))</f>
        <v/>
      </c>
      <c r="T231" s="13"/>
      <c r="U231" s="13"/>
      <c r="V231" s="13"/>
      <c r="W231" s="13"/>
      <c r="X231" s="22" t="str">
        <f aca="false">IF(Q231="","",Q231^2)</f>
        <v/>
      </c>
      <c r="Y231" s="22" t="str">
        <f aca="false">IF(AND(C231&lt;&gt;"",C231=CERTIFICADO!$E$4,OR(CERTIFICADO!$E$5="",B231=CERTIFICADO!$E$5)),MAX($Y$4:Y230)+1,"")</f>
        <v/>
      </c>
    </row>
    <row r="232" customFormat="false" ht="15" hidden="false" customHeight="false" outlineLevel="0" collapsed="false">
      <c r="A232" s="11" t="str">
        <f aca="false">IF(C232="","",ROW()-4)</f>
        <v/>
      </c>
      <c r="B232" s="12"/>
      <c r="C232" s="13"/>
      <c r="D232" s="23" t="str">
        <f aca="false">IF(C232="","",IFERROR(INDEX(LOTES!$D$5:$D$1004,MATCH(C232,LOTES!$F$5:$F$1004,0)),"¿Lote?"))</f>
        <v/>
      </c>
      <c r="E232" s="11" t="str">
        <f aca="false">IF(C232="","",IFERROR(INDEX(LOTES!$C$5:$C$1004,MATCH(C232,LOTES!$F$5:$F$1004,0)),""))</f>
        <v/>
      </c>
      <c r="F232" s="24" t="str">
        <f aca="false">IF(C232="","",IFERROR(INDEX(LOTES!$B$5:$B$1004,MATCH(C232,LOTES!$F$5:$F$1004,0)),""))</f>
        <v/>
      </c>
      <c r="G232" s="15" t="str">
        <f aca="false">IF(OR(B232="",F232=""),"",B232-F232)</f>
        <v/>
      </c>
      <c r="H232" s="13"/>
      <c r="I232" s="13"/>
      <c r="J232" s="13"/>
      <c r="K232" s="25"/>
      <c r="L232" s="25"/>
      <c r="M232" s="25"/>
      <c r="N232" s="25"/>
      <c r="O232" s="26"/>
      <c r="P232" s="16" t="str">
        <f aca="false">IF(O232="","",IFERROR(1/(1/(IF(K232="",INDEX(CONFIG!$F$5:$F$14,MATCH(D232,CONFIG!$D$5:$D$14,0)),K232)*IF(M232="",INDEX(CONFIG!$H$5:$H$14,MATCH(D232,CONFIG!$D$5:$D$14,0)),M232))),""))</f>
        <v/>
      </c>
      <c r="Q232" s="16" t="str">
        <f aca="false">IF(OR(O232="",P232=""),"",O232/P232)</f>
        <v/>
      </c>
      <c r="R232" s="16" t="str">
        <f aca="false">IF(Q232="","",Q232*0.0980665)</f>
        <v/>
      </c>
      <c r="S232" s="16" t="str">
        <f aca="false">IF(Q232="","",IFERROR(Q232/(1/(1/INDEX(CONFIG!$I$5:$I$14,MATCH(D232,CONFIG!$D$5:$D$14,0)))),""))</f>
        <v/>
      </c>
      <c r="T232" s="13"/>
      <c r="U232" s="13"/>
      <c r="V232" s="13"/>
      <c r="W232" s="13"/>
      <c r="X232" s="22" t="str">
        <f aca="false">IF(Q232="","",Q232^2)</f>
        <v/>
      </c>
      <c r="Y232" s="22" t="str">
        <f aca="false">IF(AND(C232&lt;&gt;"",C232=CERTIFICADO!$E$4,OR(CERTIFICADO!$E$5="",B232=CERTIFICADO!$E$5)),MAX($Y$4:Y231)+1,"")</f>
        <v/>
      </c>
    </row>
    <row r="233" customFormat="false" ht="15" hidden="false" customHeight="false" outlineLevel="0" collapsed="false">
      <c r="A233" s="11" t="str">
        <f aca="false">IF(C233="","",ROW()-4)</f>
        <v/>
      </c>
      <c r="B233" s="12"/>
      <c r="C233" s="13"/>
      <c r="D233" s="23" t="str">
        <f aca="false">IF(C233="","",IFERROR(INDEX(LOTES!$D$5:$D$1004,MATCH(C233,LOTES!$F$5:$F$1004,0)),"¿Lote?"))</f>
        <v/>
      </c>
      <c r="E233" s="11" t="str">
        <f aca="false">IF(C233="","",IFERROR(INDEX(LOTES!$C$5:$C$1004,MATCH(C233,LOTES!$F$5:$F$1004,0)),""))</f>
        <v/>
      </c>
      <c r="F233" s="24" t="str">
        <f aca="false">IF(C233="","",IFERROR(INDEX(LOTES!$B$5:$B$1004,MATCH(C233,LOTES!$F$5:$F$1004,0)),""))</f>
        <v/>
      </c>
      <c r="G233" s="15" t="str">
        <f aca="false">IF(OR(B233="",F233=""),"",B233-F233)</f>
        <v/>
      </c>
      <c r="H233" s="13"/>
      <c r="I233" s="13"/>
      <c r="J233" s="13"/>
      <c r="K233" s="25"/>
      <c r="L233" s="25"/>
      <c r="M233" s="25"/>
      <c r="N233" s="25"/>
      <c r="O233" s="26"/>
      <c r="P233" s="16" t="str">
        <f aca="false">IF(O233="","",IFERROR(1/(1/(IF(K233="",INDEX(CONFIG!$F$5:$F$14,MATCH(D233,CONFIG!$D$5:$D$14,0)),K233)*IF(M233="",INDEX(CONFIG!$H$5:$H$14,MATCH(D233,CONFIG!$D$5:$D$14,0)),M233))),""))</f>
        <v/>
      </c>
      <c r="Q233" s="16" t="str">
        <f aca="false">IF(OR(O233="",P233=""),"",O233/P233)</f>
        <v/>
      </c>
      <c r="R233" s="16" t="str">
        <f aca="false">IF(Q233="","",Q233*0.0980665)</f>
        <v/>
      </c>
      <c r="S233" s="16" t="str">
        <f aca="false">IF(Q233="","",IFERROR(Q233/(1/(1/INDEX(CONFIG!$I$5:$I$14,MATCH(D233,CONFIG!$D$5:$D$14,0)))),""))</f>
        <v/>
      </c>
      <c r="T233" s="13"/>
      <c r="U233" s="13"/>
      <c r="V233" s="13"/>
      <c r="W233" s="13"/>
      <c r="X233" s="22" t="str">
        <f aca="false">IF(Q233="","",Q233^2)</f>
        <v/>
      </c>
      <c r="Y233" s="22" t="str">
        <f aca="false">IF(AND(C233&lt;&gt;"",C233=CERTIFICADO!$E$4,OR(CERTIFICADO!$E$5="",B233=CERTIFICADO!$E$5)),MAX($Y$4:Y232)+1,"")</f>
        <v/>
      </c>
    </row>
    <row r="234" customFormat="false" ht="15" hidden="false" customHeight="false" outlineLevel="0" collapsed="false">
      <c r="A234" s="11" t="str">
        <f aca="false">IF(C234="","",ROW()-4)</f>
        <v/>
      </c>
      <c r="B234" s="12"/>
      <c r="C234" s="13"/>
      <c r="D234" s="23" t="str">
        <f aca="false">IF(C234="","",IFERROR(INDEX(LOTES!$D$5:$D$1004,MATCH(C234,LOTES!$F$5:$F$1004,0)),"¿Lote?"))</f>
        <v/>
      </c>
      <c r="E234" s="11" t="str">
        <f aca="false">IF(C234="","",IFERROR(INDEX(LOTES!$C$5:$C$1004,MATCH(C234,LOTES!$F$5:$F$1004,0)),""))</f>
        <v/>
      </c>
      <c r="F234" s="24" t="str">
        <f aca="false">IF(C234="","",IFERROR(INDEX(LOTES!$B$5:$B$1004,MATCH(C234,LOTES!$F$5:$F$1004,0)),""))</f>
        <v/>
      </c>
      <c r="G234" s="15" t="str">
        <f aca="false">IF(OR(B234="",F234=""),"",B234-F234)</f>
        <v/>
      </c>
      <c r="H234" s="13"/>
      <c r="I234" s="13"/>
      <c r="J234" s="13"/>
      <c r="K234" s="25"/>
      <c r="L234" s="25"/>
      <c r="M234" s="25"/>
      <c r="N234" s="25"/>
      <c r="O234" s="26"/>
      <c r="P234" s="16" t="str">
        <f aca="false">IF(O234="","",IFERROR(1/(1/(IF(K234="",INDEX(CONFIG!$F$5:$F$14,MATCH(D234,CONFIG!$D$5:$D$14,0)),K234)*IF(M234="",INDEX(CONFIG!$H$5:$H$14,MATCH(D234,CONFIG!$D$5:$D$14,0)),M234))),""))</f>
        <v/>
      </c>
      <c r="Q234" s="16" t="str">
        <f aca="false">IF(OR(O234="",P234=""),"",O234/P234)</f>
        <v/>
      </c>
      <c r="R234" s="16" t="str">
        <f aca="false">IF(Q234="","",Q234*0.0980665)</f>
        <v/>
      </c>
      <c r="S234" s="16" t="str">
        <f aca="false">IF(Q234="","",IFERROR(Q234/(1/(1/INDEX(CONFIG!$I$5:$I$14,MATCH(D234,CONFIG!$D$5:$D$14,0)))),""))</f>
        <v/>
      </c>
      <c r="T234" s="13"/>
      <c r="U234" s="13"/>
      <c r="V234" s="13"/>
      <c r="W234" s="13"/>
      <c r="X234" s="22" t="str">
        <f aca="false">IF(Q234="","",Q234^2)</f>
        <v/>
      </c>
      <c r="Y234" s="22" t="str">
        <f aca="false">IF(AND(C234&lt;&gt;"",C234=CERTIFICADO!$E$4,OR(CERTIFICADO!$E$5="",B234=CERTIFICADO!$E$5)),MAX($Y$4:Y233)+1,"")</f>
        <v/>
      </c>
    </row>
    <row r="235" customFormat="false" ht="15" hidden="false" customHeight="false" outlineLevel="0" collapsed="false">
      <c r="A235" s="11" t="str">
        <f aca="false">IF(C235="","",ROW()-4)</f>
        <v/>
      </c>
      <c r="B235" s="12"/>
      <c r="C235" s="13"/>
      <c r="D235" s="23" t="str">
        <f aca="false">IF(C235="","",IFERROR(INDEX(LOTES!$D$5:$D$1004,MATCH(C235,LOTES!$F$5:$F$1004,0)),"¿Lote?"))</f>
        <v/>
      </c>
      <c r="E235" s="11" t="str">
        <f aca="false">IF(C235="","",IFERROR(INDEX(LOTES!$C$5:$C$1004,MATCH(C235,LOTES!$F$5:$F$1004,0)),""))</f>
        <v/>
      </c>
      <c r="F235" s="24" t="str">
        <f aca="false">IF(C235="","",IFERROR(INDEX(LOTES!$B$5:$B$1004,MATCH(C235,LOTES!$F$5:$F$1004,0)),""))</f>
        <v/>
      </c>
      <c r="G235" s="15" t="str">
        <f aca="false">IF(OR(B235="",F235=""),"",B235-F235)</f>
        <v/>
      </c>
      <c r="H235" s="13"/>
      <c r="I235" s="13"/>
      <c r="J235" s="13"/>
      <c r="K235" s="25"/>
      <c r="L235" s="25"/>
      <c r="M235" s="25"/>
      <c r="N235" s="25"/>
      <c r="O235" s="26"/>
      <c r="P235" s="16" t="str">
        <f aca="false">IF(O235="","",IFERROR(1/(1/(IF(K235="",INDEX(CONFIG!$F$5:$F$14,MATCH(D235,CONFIG!$D$5:$D$14,0)),K235)*IF(M235="",INDEX(CONFIG!$H$5:$H$14,MATCH(D235,CONFIG!$D$5:$D$14,0)),M235))),""))</f>
        <v/>
      </c>
      <c r="Q235" s="16" t="str">
        <f aca="false">IF(OR(O235="",P235=""),"",O235/P235)</f>
        <v/>
      </c>
      <c r="R235" s="16" t="str">
        <f aca="false">IF(Q235="","",Q235*0.0980665)</f>
        <v/>
      </c>
      <c r="S235" s="16" t="str">
        <f aca="false">IF(Q235="","",IFERROR(Q235/(1/(1/INDEX(CONFIG!$I$5:$I$14,MATCH(D235,CONFIG!$D$5:$D$14,0)))),""))</f>
        <v/>
      </c>
      <c r="T235" s="13"/>
      <c r="U235" s="13"/>
      <c r="V235" s="13"/>
      <c r="W235" s="13"/>
      <c r="X235" s="22" t="str">
        <f aca="false">IF(Q235="","",Q235^2)</f>
        <v/>
      </c>
      <c r="Y235" s="22" t="str">
        <f aca="false">IF(AND(C235&lt;&gt;"",C235=CERTIFICADO!$E$4,OR(CERTIFICADO!$E$5="",B235=CERTIFICADO!$E$5)),MAX($Y$4:Y234)+1,"")</f>
        <v/>
      </c>
    </row>
    <row r="236" customFormat="false" ht="15" hidden="false" customHeight="false" outlineLevel="0" collapsed="false">
      <c r="A236" s="11" t="str">
        <f aca="false">IF(C236="","",ROW()-4)</f>
        <v/>
      </c>
      <c r="B236" s="12"/>
      <c r="C236" s="13"/>
      <c r="D236" s="23" t="str">
        <f aca="false">IF(C236="","",IFERROR(INDEX(LOTES!$D$5:$D$1004,MATCH(C236,LOTES!$F$5:$F$1004,0)),"¿Lote?"))</f>
        <v/>
      </c>
      <c r="E236" s="11" t="str">
        <f aca="false">IF(C236="","",IFERROR(INDEX(LOTES!$C$5:$C$1004,MATCH(C236,LOTES!$F$5:$F$1004,0)),""))</f>
        <v/>
      </c>
      <c r="F236" s="24" t="str">
        <f aca="false">IF(C236="","",IFERROR(INDEX(LOTES!$B$5:$B$1004,MATCH(C236,LOTES!$F$5:$F$1004,0)),""))</f>
        <v/>
      </c>
      <c r="G236" s="15" t="str">
        <f aca="false">IF(OR(B236="",F236=""),"",B236-F236)</f>
        <v/>
      </c>
      <c r="H236" s="13"/>
      <c r="I236" s="13"/>
      <c r="J236" s="13"/>
      <c r="K236" s="25"/>
      <c r="L236" s="25"/>
      <c r="M236" s="25"/>
      <c r="N236" s="25"/>
      <c r="O236" s="26"/>
      <c r="P236" s="16" t="str">
        <f aca="false">IF(O236="","",IFERROR(1/(1/(IF(K236="",INDEX(CONFIG!$F$5:$F$14,MATCH(D236,CONFIG!$D$5:$D$14,0)),K236)*IF(M236="",INDEX(CONFIG!$H$5:$H$14,MATCH(D236,CONFIG!$D$5:$D$14,0)),M236))),""))</f>
        <v/>
      </c>
      <c r="Q236" s="16" t="str">
        <f aca="false">IF(OR(O236="",P236=""),"",O236/P236)</f>
        <v/>
      </c>
      <c r="R236" s="16" t="str">
        <f aca="false">IF(Q236="","",Q236*0.0980665)</f>
        <v/>
      </c>
      <c r="S236" s="16" t="str">
        <f aca="false">IF(Q236="","",IFERROR(Q236/(1/(1/INDEX(CONFIG!$I$5:$I$14,MATCH(D236,CONFIG!$D$5:$D$14,0)))),""))</f>
        <v/>
      </c>
      <c r="T236" s="13"/>
      <c r="U236" s="13"/>
      <c r="V236" s="13"/>
      <c r="W236" s="13"/>
      <c r="X236" s="22" t="str">
        <f aca="false">IF(Q236="","",Q236^2)</f>
        <v/>
      </c>
      <c r="Y236" s="22" t="str">
        <f aca="false">IF(AND(C236&lt;&gt;"",C236=CERTIFICADO!$E$4,OR(CERTIFICADO!$E$5="",B236=CERTIFICADO!$E$5)),MAX($Y$4:Y235)+1,"")</f>
        <v/>
      </c>
    </row>
    <row r="237" customFormat="false" ht="15" hidden="false" customHeight="false" outlineLevel="0" collapsed="false">
      <c r="A237" s="11" t="str">
        <f aca="false">IF(C237="","",ROW()-4)</f>
        <v/>
      </c>
      <c r="B237" s="12"/>
      <c r="C237" s="13"/>
      <c r="D237" s="23" t="str">
        <f aca="false">IF(C237="","",IFERROR(INDEX(LOTES!$D$5:$D$1004,MATCH(C237,LOTES!$F$5:$F$1004,0)),"¿Lote?"))</f>
        <v/>
      </c>
      <c r="E237" s="11" t="str">
        <f aca="false">IF(C237="","",IFERROR(INDEX(LOTES!$C$5:$C$1004,MATCH(C237,LOTES!$F$5:$F$1004,0)),""))</f>
        <v/>
      </c>
      <c r="F237" s="24" t="str">
        <f aca="false">IF(C237="","",IFERROR(INDEX(LOTES!$B$5:$B$1004,MATCH(C237,LOTES!$F$5:$F$1004,0)),""))</f>
        <v/>
      </c>
      <c r="G237" s="15" t="str">
        <f aca="false">IF(OR(B237="",F237=""),"",B237-F237)</f>
        <v/>
      </c>
      <c r="H237" s="13"/>
      <c r="I237" s="13"/>
      <c r="J237" s="13"/>
      <c r="K237" s="25"/>
      <c r="L237" s="25"/>
      <c r="M237" s="25"/>
      <c r="N237" s="25"/>
      <c r="O237" s="26"/>
      <c r="P237" s="16" t="str">
        <f aca="false">IF(O237="","",IFERROR(1/(1/(IF(K237="",INDEX(CONFIG!$F$5:$F$14,MATCH(D237,CONFIG!$D$5:$D$14,0)),K237)*IF(M237="",INDEX(CONFIG!$H$5:$H$14,MATCH(D237,CONFIG!$D$5:$D$14,0)),M237))),""))</f>
        <v/>
      </c>
      <c r="Q237" s="16" t="str">
        <f aca="false">IF(OR(O237="",P237=""),"",O237/P237)</f>
        <v/>
      </c>
      <c r="R237" s="16" t="str">
        <f aca="false">IF(Q237="","",Q237*0.0980665)</f>
        <v/>
      </c>
      <c r="S237" s="16" t="str">
        <f aca="false">IF(Q237="","",IFERROR(Q237/(1/(1/INDEX(CONFIG!$I$5:$I$14,MATCH(D237,CONFIG!$D$5:$D$14,0)))),""))</f>
        <v/>
      </c>
      <c r="T237" s="13"/>
      <c r="U237" s="13"/>
      <c r="V237" s="13"/>
      <c r="W237" s="13"/>
      <c r="X237" s="22" t="str">
        <f aca="false">IF(Q237="","",Q237^2)</f>
        <v/>
      </c>
      <c r="Y237" s="22" t="str">
        <f aca="false">IF(AND(C237&lt;&gt;"",C237=CERTIFICADO!$E$4,OR(CERTIFICADO!$E$5="",B237=CERTIFICADO!$E$5)),MAX($Y$4:Y236)+1,"")</f>
        <v/>
      </c>
    </row>
    <row r="238" customFormat="false" ht="15" hidden="false" customHeight="false" outlineLevel="0" collapsed="false">
      <c r="A238" s="11" t="str">
        <f aca="false">IF(C238="","",ROW()-4)</f>
        <v/>
      </c>
      <c r="B238" s="12"/>
      <c r="C238" s="13"/>
      <c r="D238" s="23" t="str">
        <f aca="false">IF(C238="","",IFERROR(INDEX(LOTES!$D$5:$D$1004,MATCH(C238,LOTES!$F$5:$F$1004,0)),"¿Lote?"))</f>
        <v/>
      </c>
      <c r="E238" s="11" t="str">
        <f aca="false">IF(C238="","",IFERROR(INDEX(LOTES!$C$5:$C$1004,MATCH(C238,LOTES!$F$5:$F$1004,0)),""))</f>
        <v/>
      </c>
      <c r="F238" s="24" t="str">
        <f aca="false">IF(C238="","",IFERROR(INDEX(LOTES!$B$5:$B$1004,MATCH(C238,LOTES!$F$5:$F$1004,0)),""))</f>
        <v/>
      </c>
      <c r="G238" s="15" t="str">
        <f aca="false">IF(OR(B238="",F238=""),"",B238-F238)</f>
        <v/>
      </c>
      <c r="H238" s="13"/>
      <c r="I238" s="13"/>
      <c r="J238" s="13"/>
      <c r="K238" s="25"/>
      <c r="L238" s="25"/>
      <c r="M238" s="25"/>
      <c r="N238" s="25"/>
      <c r="O238" s="26"/>
      <c r="P238" s="16" t="str">
        <f aca="false">IF(O238="","",IFERROR(1/(1/(IF(K238="",INDEX(CONFIG!$F$5:$F$14,MATCH(D238,CONFIG!$D$5:$D$14,0)),K238)*IF(M238="",INDEX(CONFIG!$H$5:$H$14,MATCH(D238,CONFIG!$D$5:$D$14,0)),M238))),""))</f>
        <v/>
      </c>
      <c r="Q238" s="16" t="str">
        <f aca="false">IF(OR(O238="",P238=""),"",O238/P238)</f>
        <v/>
      </c>
      <c r="R238" s="16" t="str">
        <f aca="false">IF(Q238="","",Q238*0.0980665)</f>
        <v/>
      </c>
      <c r="S238" s="16" t="str">
        <f aca="false">IF(Q238="","",IFERROR(Q238/(1/(1/INDEX(CONFIG!$I$5:$I$14,MATCH(D238,CONFIG!$D$5:$D$14,0)))),""))</f>
        <v/>
      </c>
      <c r="T238" s="13"/>
      <c r="U238" s="13"/>
      <c r="V238" s="13"/>
      <c r="W238" s="13"/>
      <c r="X238" s="22" t="str">
        <f aca="false">IF(Q238="","",Q238^2)</f>
        <v/>
      </c>
      <c r="Y238" s="22" t="str">
        <f aca="false">IF(AND(C238&lt;&gt;"",C238=CERTIFICADO!$E$4,OR(CERTIFICADO!$E$5="",B238=CERTIFICADO!$E$5)),MAX($Y$4:Y237)+1,"")</f>
        <v/>
      </c>
    </row>
    <row r="239" customFormat="false" ht="15" hidden="false" customHeight="false" outlineLevel="0" collapsed="false">
      <c r="A239" s="11" t="str">
        <f aca="false">IF(C239="","",ROW()-4)</f>
        <v/>
      </c>
      <c r="B239" s="12"/>
      <c r="C239" s="13"/>
      <c r="D239" s="23" t="str">
        <f aca="false">IF(C239="","",IFERROR(INDEX(LOTES!$D$5:$D$1004,MATCH(C239,LOTES!$F$5:$F$1004,0)),"¿Lote?"))</f>
        <v/>
      </c>
      <c r="E239" s="11" t="str">
        <f aca="false">IF(C239="","",IFERROR(INDEX(LOTES!$C$5:$C$1004,MATCH(C239,LOTES!$F$5:$F$1004,0)),""))</f>
        <v/>
      </c>
      <c r="F239" s="24" t="str">
        <f aca="false">IF(C239="","",IFERROR(INDEX(LOTES!$B$5:$B$1004,MATCH(C239,LOTES!$F$5:$F$1004,0)),""))</f>
        <v/>
      </c>
      <c r="G239" s="15" t="str">
        <f aca="false">IF(OR(B239="",F239=""),"",B239-F239)</f>
        <v/>
      </c>
      <c r="H239" s="13"/>
      <c r="I239" s="13"/>
      <c r="J239" s="13"/>
      <c r="K239" s="25"/>
      <c r="L239" s="25"/>
      <c r="M239" s="25"/>
      <c r="N239" s="25"/>
      <c r="O239" s="26"/>
      <c r="P239" s="16" t="str">
        <f aca="false">IF(O239="","",IFERROR(1/(1/(IF(K239="",INDEX(CONFIG!$F$5:$F$14,MATCH(D239,CONFIG!$D$5:$D$14,0)),K239)*IF(M239="",INDEX(CONFIG!$H$5:$H$14,MATCH(D239,CONFIG!$D$5:$D$14,0)),M239))),""))</f>
        <v/>
      </c>
      <c r="Q239" s="16" t="str">
        <f aca="false">IF(OR(O239="",P239=""),"",O239/P239)</f>
        <v/>
      </c>
      <c r="R239" s="16" t="str">
        <f aca="false">IF(Q239="","",Q239*0.0980665)</f>
        <v/>
      </c>
      <c r="S239" s="16" t="str">
        <f aca="false">IF(Q239="","",IFERROR(Q239/(1/(1/INDEX(CONFIG!$I$5:$I$14,MATCH(D239,CONFIG!$D$5:$D$14,0)))),""))</f>
        <v/>
      </c>
      <c r="T239" s="13"/>
      <c r="U239" s="13"/>
      <c r="V239" s="13"/>
      <c r="W239" s="13"/>
      <c r="X239" s="22" t="str">
        <f aca="false">IF(Q239="","",Q239^2)</f>
        <v/>
      </c>
      <c r="Y239" s="22" t="str">
        <f aca="false">IF(AND(C239&lt;&gt;"",C239=CERTIFICADO!$E$4,OR(CERTIFICADO!$E$5="",B239=CERTIFICADO!$E$5)),MAX($Y$4:Y238)+1,"")</f>
        <v/>
      </c>
    </row>
    <row r="240" customFormat="false" ht="15" hidden="false" customHeight="false" outlineLevel="0" collapsed="false">
      <c r="A240" s="11" t="str">
        <f aca="false">IF(C240="","",ROW()-4)</f>
        <v/>
      </c>
      <c r="B240" s="12"/>
      <c r="C240" s="13"/>
      <c r="D240" s="23" t="str">
        <f aca="false">IF(C240="","",IFERROR(INDEX(LOTES!$D$5:$D$1004,MATCH(C240,LOTES!$F$5:$F$1004,0)),"¿Lote?"))</f>
        <v/>
      </c>
      <c r="E240" s="11" t="str">
        <f aca="false">IF(C240="","",IFERROR(INDEX(LOTES!$C$5:$C$1004,MATCH(C240,LOTES!$F$5:$F$1004,0)),""))</f>
        <v/>
      </c>
      <c r="F240" s="24" t="str">
        <f aca="false">IF(C240="","",IFERROR(INDEX(LOTES!$B$5:$B$1004,MATCH(C240,LOTES!$F$5:$F$1004,0)),""))</f>
        <v/>
      </c>
      <c r="G240" s="15" t="str">
        <f aca="false">IF(OR(B240="",F240=""),"",B240-F240)</f>
        <v/>
      </c>
      <c r="H240" s="13"/>
      <c r="I240" s="13"/>
      <c r="J240" s="13"/>
      <c r="K240" s="25"/>
      <c r="L240" s="25"/>
      <c r="M240" s="25"/>
      <c r="N240" s="25"/>
      <c r="O240" s="26"/>
      <c r="P240" s="16" t="str">
        <f aca="false">IF(O240="","",IFERROR(1/(1/(IF(K240="",INDEX(CONFIG!$F$5:$F$14,MATCH(D240,CONFIG!$D$5:$D$14,0)),K240)*IF(M240="",INDEX(CONFIG!$H$5:$H$14,MATCH(D240,CONFIG!$D$5:$D$14,0)),M240))),""))</f>
        <v/>
      </c>
      <c r="Q240" s="16" t="str">
        <f aca="false">IF(OR(O240="",P240=""),"",O240/P240)</f>
        <v/>
      </c>
      <c r="R240" s="16" t="str">
        <f aca="false">IF(Q240="","",Q240*0.0980665)</f>
        <v/>
      </c>
      <c r="S240" s="16" t="str">
        <f aca="false">IF(Q240="","",IFERROR(Q240/(1/(1/INDEX(CONFIG!$I$5:$I$14,MATCH(D240,CONFIG!$D$5:$D$14,0)))),""))</f>
        <v/>
      </c>
      <c r="T240" s="13"/>
      <c r="U240" s="13"/>
      <c r="V240" s="13"/>
      <c r="W240" s="13"/>
      <c r="X240" s="22" t="str">
        <f aca="false">IF(Q240="","",Q240^2)</f>
        <v/>
      </c>
      <c r="Y240" s="22" t="str">
        <f aca="false">IF(AND(C240&lt;&gt;"",C240=CERTIFICADO!$E$4,OR(CERTIFICADO!$E$5="",B240=CERTIFICADO!$E$5)),MAX($Y$4:Y239)+1,"")</f>
        <v/>
      </c>
    </row>
    <row r="241" customFormat="false" ht="15" hidden="false" customHeight="false" outlineLevel="0" collapsed="false">
      <c r="A241" s="11" t="str">
        <f aca="false">IF(C241="","",ROW()-4)</f>
        <v/>
      </c>
      <c r="B241" s="12"/>
      <c r="C241" s="13"/>
      <c r="D241" s="23" t="str">
        <f aca="false">IF(C241="","",IFERROR(INDEX(LOTES!$D$5:$D$1004,MATCH(C241,LOTES!$F$5:$F$1004,0)),"¿Lote?"))</f>
        <v/>
      </c>
      <c r="E241" s="11" t="str">
        <f aca="false">IF(C241="","",IFERROR(INDEX(LOTES!$C$5:$C$1004,MATCH(C241,LOTES!$F$5:$F$1004,0)),""))</f>
        <v/>
      </c>
      <c r="F241" s="24" t="str">
        <f aca="false">IF(C241="","",IFERROR(INDEX(LOTES!$B$5:$B$1004,MATCH(C241,LOTES!$F$5:$F$1004,0)),""))</f>
        <v/>
      </c>
      <c r="G241" s="15" t="str">
        <f aca="false">IF(OR(B241="",F241=""),"",B241-F241)</f>
        <v/>
      </c>
      <c r="H241" s="13"/>
      <c r="I241" s="13"/>
      <c r="J241" s="13"/>
      <c r="K241" s="25"/>
      <c r="L241" s="25"/>
      <c r="M241" s="25"/>
      <c r="N241" s="25"/>
      <c r="O241" s="26"/>
      <c r="P241" s="16" t="str">
        <f aca="false">IF(O241="","",IFERROR(1/(1/(IF(K241="",INDEX(CONFIG!$F$5:$F$14,MATCH(D241,CONFIG!$D$5:$D$14,0)),K241)*IF(M241="",INDEX(CONFIG!$H$5:$H$14,MATCH(D241,CONFIG!$D$5:$D$14,0)),M241))),""))</f>
        <v/>
      </c>
      <c r="Q241" s="16" t="str">
        <f aca="false">IF(OR(O241="",P241=""),"",O241/P241)</f>
        <v/>
      </c>
      <c r="R241" s="16" t="str">
        <f aca="false">IF(Q241="","",Q241*0.0980665)</f>
        <v/>
      </c>
      <c r="S241" s="16" t="str">
        <f aca="false">IF(Q241="","",IFERROR(Q241/(1/(1/INDEX(CONFIG!$I$5:$I$14,MATCH(D241,CONFIG!$D$5:$D$14,0)))),""))</f>
        <v/>
      </c>
      <c r="T241" s="13"/>
      <c r="U241" s="13"/>
      <c r="V241" s="13"/>
      <c r="W241" s="13"/>
      <c r="X241" s="22" t="str">
        <f aca="false">IF(Q241="","",Q241^2)</f>
        <v/>
      </c>
      <c r="Y241" s="22" t="str">
        <f aca="false">IF(AND(C241&lt;&gt;"",C241=CERTIFICADO!$E$4,OR(CERTIFICADO!$E$5="",B241=CERTIFICADO!$E$5)),MAX($Y$4:Y240)+1,"")</f>
        <v/>
      </c>
    </row>
    <row r="242" customFormat="false" ht="15" hidden="false" customHeight="false" outlineLevel="0" collapsed="false">
      <c r="A242" s="11" t="str">
        <f aca="false">IF(C242="","",ROW()-4)</f>
        <v/>
      </c>
      <c r="B242" s="12"/>
      <c r="C242" s="13"/>
      <c r="D242" s="23" t="str">
        <f aca="false">IF(C242="","",IFERROR(INDEX(LOTES!$D$5:$D$1004,MATCH(C242,LOTES!$F$5:$F$1004,0)),"¿Lote?"))</f>
        <v/>
      </c>
      <c r="E242" s="11" t="str">
        <f aca="false">IF(C242="","",IFERROR(INDEX(LOTES!$C$5:$C$1004,MATCH(C242,LOTES!$F$5:$F$1004,0)),""))</f>
        <v/>
      </c>
      <c r="F242" s="24" t="str">
        <f aca="false">IF(C242="","",IFERROR(INDEX(LOTES!$B$5:$B$1004,MATCH(C242,LOTES!$F$5:$F$1004,0)),""))</f>
        <v/>
      </c>
      <c r="G242" s="15" t="str">
        <f aca="false">IF(OR(B242="",F242=""),"",B242-F242)</f>
        <v/>
      </c>
      <c r="H242" s="13"/>
      <c r="I242" s="13"/>
      <c r="J242" s="13"/>
      <c r="K242" s="25"/>
      <c r="L242" s="25"/>
      <c r="M242" s="25"/>
      <c r="N242" s="25"/>
      <c r="O242" s="26"/>
      <c r="P242" s="16" t="str">
        <f aca="false">IF(O242="","",IFERROR(1/(1/(IF(K242="",INDEX(CONFIG!$F$5:$F$14,MATCH(D242,CONFIG!$D$5:$D$14,0)),K242)*IF(M242="",INDEX(CONFIG!$H$5:$H$14,MATCH(D242,CONFIG!$D$5:$D$14,0)),M242))),""))</f>
        <v/>
      </c>
      <c r="Q242" s="16" t="str">
        <f aca="false">IF(OR(O242="",P242=""),"",O242/P242)</f>
        <v/>
      </c>
      <c r="R242" s="16" t="str">
        <f aca="false">IF(Q242="","",Q242*0.0980665)</f>
        <v/>
      </c>
      <c r="S242" s="16" t="str">
        <f aca="false">IF(Q242="","",IFERROR(Q242/(1/(1/INDEX(CONFIG!$I$5:$I$14,MATCH(D242,CONFIG!$D$5:$D$14,0)))),""))</f>
        <v/>
      </c>
      <c r="T242" s="13"/>
      <c r="U242" s="13"/>
      <c r="V242" s="13"/>
      <c r="W242" s="13"/>
      <c r="X242" s="22" t="str">
        <f aca="false">IF(Q242="","",Q242^2)</f>
        <v/>
      </c>
      <c r="Y242" s="22" t="str">
        <f aca="false">IF(AND(C242&lt;&gt;"",C242=CERTIFICADO!$E$4,OR(CERTIFICADO!$E$5="",B242=CERTIFICADO!$E$5)),MAX($Y$4:Y241)+1,"")</f>
        <v/>
      </c>
    </row>
    <row r="243" customFormat="false" ht="15" hidden="false" customHeight="false" outlineLevel="0" collapsed="false">
      <c r="A243" s="11" t="str">
        <f aca="false">IF(C243="","",ROW()-4)</f>
        <v/>
      </c>
      <c r="B243" s="12"/>
      <c r="C243" s="13"/>
      <c r="D243" s="23" t="str">
        <f aca="false">IF(C243="","",IFERROR(INDEX(LOTES!$D$5:$D$1004,MATCH(C243,LOTES!$F$5:$F$1004,0)),"¿Lote?"))</f>
        <v/>
      </c>
      <c r="E243" s="11" t="str">
        <f aca="false">IF(C243="","",IFERROR(INDEX(LOTES!$C$5:$C$1004,MATCH(C243,LOTES!$F$5:$F$1004,0)),""))</f>
        <v/>
      </c>
      <c r="F243" s="24" t="str">
        <f aca="false">IF(C243="","",IFERROR(INDEX(LOTES!$B$5:$B$1004,MATCH(C243,LOTES!$F$5:$F$1004,0)),""))</f>
        <v/>
      </c>
      <c r="G243" s="15" t="str">
        <f aca="false">IF(OR(B243="",F243=""),"",B243-F243)</f>
        <v/>
      </c>
      <c r="H243" s="13"/>
      <c r="I243" s="13"/>
      <c r="J243" s="13"/>
      <c r="K243" s="25"/>
      <c r="L243" s="25"/>
      <c r="M243" s="25"/>
      <c r="N243" s="25"/>
      <c r="O243" s="26"/>
      <c r="P243" s="16" t="str">
        <f aca="false">IF(O243="","",IFERROR(1/(1/(IF(K243="",INDEX(CONFIG!$F$5:$F$14,MATCH(D243,CONFIG!$D$5:$D$14,0)),K243)*IF(M243="",INDEX(CONFIG!$H$5:$H$14,MATCH(D243,CONFIG!$D$5:$D$14,0)),M243))),""))</f>
        <v/>
      </c>
      <c r="Q243" s="16" t="str">
        <f aca="false">IF(OR(O243="",P243=""),"",O243/P243)</f>
        <v/>
      </c>
      <c r="R243" s="16" t="str">
        <f aca="false">IF(Q243="","",Q243*0.0980665)</f>
        <v/>
      </c>
      <c r="S243" s="16" t="str">
        <f aca="false">IF(Q243="","",IFERROR(Q243/(1/(1/INDEX(CONFIG!$I$5:$I$14,MATCH(D243,CONFIG!$D$5:$D$14,0)))),""))</f>
        <v/>
      </c>
      <c r="T243" s="13"/>
      <c r="U243" s="13"/>
      <c r="V243" s="13"/>
      <c r="W243" s="13"/>
      <c r="X243" s="22" t="str">
        <f aca="false">IF(Q243="","",Q243^2)</f>
        <v/>
      </c>
      <c r="Y243" s="22" t="str">
        <f aca="false">IF(AND(C243&lt;&gt;"",C243=CERTIFICADO!$E$4,OR(CERTIFICADO!$E$5="",B243=CERTIFICADO!$E$5)),MAX($Y$4:Y242)+1,"")</f>
        <v/>
      </c>
    </row>
    <row r="244" customFormat="false" ht="15" hidden="false" customHeight="false" outlineLevel="0" collapsed="false">
      <c r="A244" s="11" t="str">
        <f aca="false">IF(C244="","",ROW()-4)</f>
        <v/>
      </c>
      <c r="B244" s="12"/>
      <c r="C244" s="13"/>
      <c r="D244" s="23" t="str">
        <f aca="false">IF(C244="","",IFERROR(INDEX(LOTES!$D$5:$D$1004,MATCH(C244,LOTES!$F$5:$F$1004,0)),"¿Lote?"))</f>
        <v/>
      </c>
      <c r="E244" s="11" t="str">
        <f aca="false">IF(C244="","",IFERROR(INDEX(LOTES!$C$5:$C$1004,MATCH(C244,LOTES!$F$5:$F$1004,0)),""))</f>
        <v/>
      </c>
      <c r="F244" s="24" t="str">
        <f aca="false">IF(C244="","",IFERROR(INDEX(LOTES!$B$5:$B$1004,MATCH(C244,LOTES!$F$5:$F$1004,0)),""))</f>
        <v/>
      </c>
      <c r="G244" s="15" t="str">
        <f aca="false">IF(OR(B244="",F244=""),"",B244-F244)</f>
        <v/>
      </c>
      <c r="H244" s="13"/>
      <c r="I244" s="13"/>
      <c r="J244" s="13"/>
      <c r="K244" s="25"/>
      <c r="L244" s="25"/>
      <c r="M244" s="25"/>
      <c r="N244" s="25"/>
      <c r="O244" s="26"/>
      <c r="P244" s="16" t="str">
        <f aca="false">IF(O244="","",IFERROR(1/(1/(IF(K244="",INDEX(CONFIG!$F$5:$F$14,MATCH(D244,CONFIG!$D$5:$D$14,0)),K244)*IF(M244="",INDEX(CONFIG!$H$5:$H$14,MATCH(D244,CONFIG!$D$5:$D$14,0)),M244))),""))</f>
        <v/>
      </c>
      <c r="Q244" s="16" t="str">
        <f aca="false">IF(OR(O244="",P244=""),"",O244/P244)</f>
        <v/>
      </c>
      <c r="R244" s="16" t="str">
        <f aca="false">IF(Q244="","",Q244*0.0980665)</f>
        <v/>
      </c>
      <c r="S244" s="16" t="str">
        <f aca="false">IF(Q244="","",IFERROR(Q244/(1/(1/INDEX(CONFIG!$I$5:$I$14,MATCH(D244,CONFIG!$D$5:$D$14,0)))),""))</f>
        <v/>
      </c>
      <c r="T244" s="13"/>
      <c r="U244" s="13"/>
      <c r="V244" s="13"/>
      <c r="W244" s="13"/>
      <c r="X244" s="22" t="str">
        <f aca="false">IF(Q244="","",Q244^2)</f>
        <v/>
      </c>
      <c r="Y244" s="22" t="str">
        <f aca="false">IF(AND(C244&lt;&gt;"",C244=CERTIFICADO!$E$4,OR(CERTIFICADO!$E$5="",B244=CERTIFICADO!$E$5)),MAX($Y$4:Y243)+1,"")</f>
        <v/>
      </c>
    </row>
    <row r="245" customFormat="false" ht="15" hidden="false" customHeight="false" outlineLevel="0" collapsed="false">
      <c r="A245" s="11" t="str">
        <f aca="false">IF(C245="","",ROW()-4)</f>
        <v/>
      </c>
      <c r="B245" s="12"/>
      <c r="C245" s="13"/>
      <c r="D245" s="23" t="str">
        <f aca="false">IF(C245="","",IFERROR(INDEX(LOTES!$D$5:$D$1004,MATCH(C245,LOTES!$F$5:$F$1004,0)),"¿Lote?"))</f>
        <v/>
      </c>
      <c r="E245" s="11" t="str">
        <f aca="false">IF(C245="","",IFERROR(INDEX(LOTES!$C$5:$C$1004,MATCH(C245,LOTES!$F$5:$F$1004,0)),""))</f>
        <v/>
      </c>
      <c r="F245" s="24" t="str">
        <f aca="false">IF(C245="","",IFERROR(INDEX(LOTES!$B$5:$B$1004,MATCH(C245,LOTES!$F$5:$F$1004,0)),""))</f>
        <v/>
      </c>
      <c r="G245" s="15" t="str">
        <f aca="false">IF(OR(B245="",F245=""),"",B245-F245)</f>
        <v/>
      </c>
      <c r="H245" s="13"/>
      <c r="I245" s="13"/>
      <c r="J245" s="13"/>
      <c r="K245" s="25"/>
      <c r="L245" s="25"/>
      <c r="M245" s="25"/>
      <c r="N245" s="25"/>
      <c r="O245" s="26"/>
      <c r="P245" s="16" t="str">
        <f aca="false">IF(O245="","",IFERROR(1/(1/(IF(K245="",INDEX(CONFIG!$F$5:$F$14,MATCH(D245,CONFIG!$D$5:$D$14,0)),K245)*IF(M245="",INDEX(CONFIG!$H$5:$H$14,MATCH(D245,CONFIG!$D$5:$D$14,0)),M245))),""))</f>
        <v/>
      </c>
      <c r="Q245" s="16" t="str">
        <f aca="false">IF(OR(O245="",P245=""),"",O245/P245)</f>
        <v/>
      </c>
      <c r="R245" s="16" t="str">
        <f aca="false">IF(Q245="","",Q245*0.0980665)</f>
        <v/>
      </c>
      <c r="S245" s="16" t="str">
        <f aca="false">IF(Q245="","",IFERROR(Q245/(1/(1/INDEX(CONFIG!$I$5:$I$14,MATCH(D245,CONFIG!$D$5:$D$14,0)))),""))</f>
        <v/>
      </c>
      <c r="T245" s="13"/>
      <c r="U245" s="13"/>
      <c r="V245" s="13"/>
      <c r="W245" s="13"/>
      <c r="X245" s="22" t="str">
        <f aca="false">IF(Q245="","",Q245^2)</f>
        <v/>
      </c>
      <c r="Y245" s="22" t="str">
        <f aca="false">IF(AND(C245&lt;&gt;"",C245=CERTIFICADO!$E$4,OR(CERTIFICADO!$E$5="",B245=CERTIFICADO!$E$5)),MAX($Y$4:Y244)+1,"")</f>
        <v/>
      </c>
    </row>
    <row r="246" customFormat="false" ht="15" hidden="false" customHeight="false" outlineLevel="0" collapsed="false">
      <c r="A246" s="11" t="str">
        <f aca="false">IF(C246="","",ROW()-4)</f>
        <v/>
      </c>
      <c r="B246" s="12"/>
      <c r="C246" s="13"/>
      <c r="D246" s="23" t="str">
        <f aca="false">IF(C246="","",IFERROR(INDEX(LOTES!$D$5:$D$1004,MATCH(C246,LOTES!$F$5:$F$1004,0)),"¿Lote?"))</f>
        <v/>
      </c>
      <c r="E246" s="11" t="str">
        <f aca="false">IF(C246="","",IFERROR(INDEX(LOTES!$C$5:$C$1004,MATCH(C246,LOTES!$F$5:$F$1004,0)),""))</f>
        <v/>
      </c>
      <c r="F246" s="24" t="str">
        <f aca="false">IF(C246="","",IFERROR(INDEX(LOTES!$B$5:$B$1004,MATCH(C246,LOTES!$F$5:$F$1004,0)),""))</f>
        <v/>
      </c>
      <c r="G246" s="15" t="str">
        <f aca="false">IF(OR(B246="",F246=""),"",B246-F246)</f>
        <v/>
      </c>
      <c r="H246" s="13"/>
      <c r="I246" s="13"/>
      <c r="J246" s="13"/>
      <c r="K246" s="25"/>
      <c r="L246" s="25"/>
      <c r="M246" s="25"/>
      <c r="N246" s="25"/>
      <c r="O246" s="26"/>
      <c r="P246" s="16" t="str">
        <f aca="false">IF(O246="","",IFERROR(1/(1/(IF(K246="",INDEX(CONFIG!$F$5:$F$14,MATCH(D246,CONFIG!$D$5:$D$14,0)),K246)*IF(M246="",INDEX(CONFIG!$H$5:$H$14,MATCH(D246,CONFIG!$D$5:$D$14,0)),M246))),""))</f>
        <v/>
      </c>
      <c r="Q246" s="16" t="str">
        <f aca="false">IF(OR(O246="",P246=""),"",O246/P246)</f>
        <v/>
      </c>
      <c r="R246" s="16" t="str">
        <f aca="false">IF(Q246="","",Q246*0.0980665)</f>
        <v/>
      </c>
      <c r="S246" s="16" t="str">
        <f aca="false">IF(Q246="","",IFERROR(Q246/(1/(1/INDEX(CONFIG!$I$5:$I$14,MATCH(D246,CONFIG!$D$5:$D$14,0)))),""))</f>
        <v/>
      </c>
      <c r="T246" s="13"/>
      <c r="U246" s="13"/>
      <c r="V246" s="13"/>
      <c r="W246" s="13"/>
      <c r="X246" s="22" t="str">
        <f aca="false">IF(Q246="","",Q246^2)</f>
        <v/>
      </c>
      <c r="Y246" s="22" t="str">
        <f aca="false">IF(AND(C246&lt;&gt;"",C246=CERTIFICADO!$E$4,OR(CERTIFICADO!$E$5="",B246=CERTIFICADO!$E$5)),MAX($Y$4:Y245)+1,"")</f>
        <v/>
      </c>
    </row>
    <row r="247" customFormat="false" ht="15" hidden="false" customHeight="false" outlineLevel="0" collapsed="false">
      <c r="A247" s="11" t="str">
        <f aca="false">IF(C247="","",ROW()-4)</f>
        <v/>
      </c>
      <c r="B247" s="12"/>
      <c r="C247" s="13"/>
      <c r="D247" s="23" t="str">
        <f aca="false">IF(C247="","",IFERROR(INDEX(LOTES!$D$5:$D$1004,MATCH(C247,LOTES!$F$5:$F$1004,0)),"¿Lote?"))</f>
        <v/>
      </c>
      <c r="E247" s="11" t="str">
        <f aca="false">IF(C247="","",IFERROR(INDEX(LOTES!$C$5:$C$1004,MATCH(C247,LOTES!$F$5:$F$1004,0)),""))</f>
        <v/>
      </c>
      <c r="F247" s="24" t="str">
        <f aca="false">IF(C247="","",IFERROR(INDEX(LOTES!$B$5:$B$1004,MATCH(C247,LOTES!$F$5:$F$1004,0)),""))</f>
        <v/>
      </c>
      <c r="G247" s="15" t="str">
        <f aca="false">IF(OR(B247="",F247=""),"",B247-F247)</f>
        <v/>
      </c>
      <c r="H247" s="13"/>
      <c r="I247" s="13"/>
      <c r="J247" s="13"/>
      <c r="K247" s="25"/>
      <c r="L247" s="25"/>
      <c r="M247" s="25"/>
      <c r="N247" s="25"/>
      <c r="O247" s="26"/>
      <c r="P247" s="16" t="str">
        <f aca="false">IF(O247="","",IFERROR(1/(1/(IF(K247="",INDEX(CONFIG!$F$5:$F$14,MATCH(D247,CONFIG!$D$5:$D$14,0)),K247)*IF(M247="",INDEX(CONFIG!$H$5:$H$14,MATCH(D247,CONFIG!$D$5:$D$14,0)),M247))),""))</f>
        <v/>
      </c>
      <c r="Q247" s="16" t="str">
        <f aca="false">IF(OR(O247="",P247=""),"",O247/P247)</f>
        <v/>
      </c>
      <c r="R247" s="16" t="str">
        <f aca="false">IF(Q247="","",Q247*0.0980665)</f>
        <v/>
      </c>
      <c r="S247" s="16" t="str">
        <f aca="false">IF(Q247="","",IFERROR(Q247/(1/(1/INDEX(CONFIG!$I$5:$I$14,MATCH(D247,CONFIG!$D$5:$D$14,0)))),""))</f>
        <v/>
      </c>
      <c r="T247" s="13"/>
      <c r="U247" s="13"/>
      <c r="V247" s="13"/>
      <c r="W247" s="13"/>
      <c r="X247" s="22" t="str">
        <f aca="false">IF(Q247="","",Q247^2)</f>
        <v/>
      </c>
      <c r="Y247" s="22" t="str">
        <f aca="false">IF(AND(C247&lt;&gt;"",C247=CERTIFICADO!$E$4,OR(CERTIFICADO!$E$5="",B247=CERTIFICADO!$E$5)),MAX($Y$4:Y246)+1,"")</f>
        <v/>
      </c>
    </row>
    <row r="248" customFormat="false" ht="15" hidden="false" customHeight="false" outlineLevel="0" collapsed="false">
      <c r="A248" s="11" t="str">
        <f aca="false">IF(C248="","",ROW()-4)</f>
        <v/>
      </c>
      <c r="B248" s="12"/>
      <c r="C248" s="13"/>
      <c r="D248" s="23" t="str">
        <f aca="false">IF(C248="","",IFERROR(INDEX(LOTES!$D$5:$D$1004,MATCH(C248,LOTES!$F$5:$F$1004,0)),"¿Lote?"))</f>
        <v/>
      </c>
      <c r="E248" s="11" t="str">
        <f aca="false">IF(C248="","",IFERROR(INDEX(LOTES!$C$5:$C$1004,MATCH(C248,LOTES!$F$5:$F$1004,0)),""))</f>
        <v/>
      </c>
      <c r="F248" s="24" t="str">
        <f aca="false">IF(C248="","",IFERROR(INDEX(LOTES!$B$5:$B$1004,MATCH(C248,LOTES!$F$5:$F$1004,0)),""))</f>
        <v/>
      </c>
      <c r="G248" s="15" t="str">
        <f aca="false">IF(OR(B248="",F248=""),"",B248-F248)</f>
        <v/>
      </c>
      <c r="H248" s="13"/>
      <c r="I248" s="13"/>
      <c r="J248" s="13"/>
      <c r="K248" s="25"/>
      <c r="L248" s="25"/>
      <c r="M248" s="25"/>
      <c r="N248" s="25"/>
      <c r="O248" s="26"/>
      <c r="P248" s="16" t="str">
        <f aca="false">IF(O248="","",IFERROR(1/(1/(IF(K248="",INDEX(CONFIG!$F$5:$F$14,MATCH(D248,CONFIG!$D$5:$D$14,0)),K248)*IF(M248="",INDEX(CONFIG!$H$5:$H$14,MATCH(D248,CONFIG!$D$5:$D$14,0)),M248))),""))</f>
        <v/>
      </c>
      <c r="Q248" s="16" t="str">
        <f aca="false">IF(OR(O248="",P248=""),"",O248/P248)</f>
        <v/>
      </c>
      <c r="R248" s="16" t="str">
        <f aca="false">IF(Q248="","",Q248*0.0980665)</f>
        <v/>
      </c>
      <c r="S248" s="16" t="str">
        <f aca="false">IF(Q248="","",IFERROR(Q248/(1/(1/INDEX(CONFIG!$I$5:$I$14,MATCH(D248,CONFIG!$D$5:$D$14,0)))),""))</f>
        <v/>
      </c>
      <c r="T248" s="13"/>
      <c r="U248" s="13"/>
      <c r="V248" s="13"/>
      <c r="W248" s="13"/>
      <c r="X248" s="22" t="str">
        <f aca="false">IF(Q248="","",Q248^2)</f>
        <v/>
      </c>
      <c r="Y248" s="22" t="str">
        <f aca="false">IF(AND(C248&lt;&gt;"",C248=CERTIFICADO!$E$4,OR(CERTIFICADO!$E$5="",B248=CERTIFICADO!$E$5)),MAX($Y$4:Y247)+1,"")</f>
        <v/>
      </c>
    </row>
    <row r="249" customFormat="false" ht="15" hidden="false" customHeight="false" outlineLevel="0" collapsed="false">
      <c r="A249" s="11" t="str">
        <f aca="false">IF(C249="","",ROW()-4)</f>
        <v/>
      </c>
      <c r="B249" s="12"/>
      <c r="C249" s="13"/>
      <c r="D249" s="23" t="str">
        <f aca="false">IF(C249="","",IFERROR(INDEX(LOTES!$D$5:$D$1004,MATCH(C249,LOTES!$F$5:$F$1004,0)),"¿Lote?"))</f>
        <v/>
      </c>
      <c r="E249" s="11" t="str">
        <f aca="false">IF(C249="","",IFERROR(INDEX(LOTES!$C$5:$C$1004,MATCH(C249,LOTES!$F$5:$F$1004,0)),""))</f>
        <v/>
      </c>
      <c r="F249" s="24" t="str">
        <f aca="false">IF(C249="","",IFERROR(INDEX(LOTES!$B$5:$B$1004,MATCH(C249,LOTES!$F$5:$F$1004,0)),""))</f>
        <v/>
      </c>
      <c r="G249" s="15" t="str">
        <f aca="false">IF(OR(B249="",F249=""),"",B249-F249)</f>
        <v/>
      </c>
      <c r="H249" s="13"/>
      <c r="I249" s="13"/>
      <c r="J249" s="13"/>
      <c r="K249" s="25"/>
      <c r="L249" s="25"/>
      <c r="M249" s="25"/>
      <c r="N249" s="25"/>
      <c r="O249" s="26"/>
      <c r="P249" s="16" t="str">
        <f aca="false">IF(O249="","",IFERROR(1/(1/(IF(K249="",INDEX(CONFIG!$F$5:$F$14,MATCH(D249,CONFIG!$D$5:$D$14,0)),K249)*IF(M249="",INDEX(CONFIG!$H$5:$H$14,MATCH(D249,CONFIG!$D$5:$D$14,0)),M249))),""))</f>
        <v/>
      </c>
      <c r="Q249" s="16" t="str">
        <f aca="false">IF(OR(O249="",P249=""),"",O249/P249)</f>
        <v/>
      </c>
      <c r="R249" s="16" t="str">
        <f aca="false">IF(Q249="","",Q249*0.0980665)</f>
        <v/>
      </c>
      <c r="S249" s="16" t="str">
        <f aca="false">IF(Q249="","",IFERROR(Q249/(1/(1/INDEX(CONFIG!$I$5:$I$14,MATCH(D249,CONFIG!$D$5:$D$14,0)))),""))</f>
        <v/>
      </c>
      <c r="T249" s="13"/>
      <c r="U249" s="13"/>
      <c r="V249" s="13"/>
      <c r="W249" s="13"/>
      <c r="X249" s="22" t="str">
        <f aca="false">IF(Q249="","",Q249^2)</f>
        <v/>
      </c>
      <c r="Y249" s="22" t="str">
        <f aca="false">IF(AND(C249&lt;&gt;"",C249=CERTIFICADO!$E$4,OR(CERTIFICADO!$E$5="",B249=CERTIFICADO!$E$5)),MAX($Y$4:Y248)+1,"")</f>
        <v/>
      </c>
    </row>
    <row r="250" customFormat="false" ht="15" hidden="false" customHeight="false" outlineLevel="0" collapsed="false">
      <c r="A250" s="11" t="str">
        <f aca="false">IF(C250="","",ROW()-4)</f>
        <v/>
      </c>
      <c r="B250" s="12"/>
      <c r="C250" s="13"/>
      <c r="D250" s="23" t="str">
        <f aca="false">IF(C250="","",IFERROR(INDEX(LOTES!$D$5:$D$1004,MATCH(C250,LOTES!$F$5:$F$1004,0)),"¿Lote?"))</f>
        <v/>
      </c>
      <c r="E250" s="11" t="str">
        <f aca="false">IF(C250="","",IFERROR(INDEX(LOTES!$C$5:$C$1004,MATCH(C250,LOTES!$F$5:$F$1004,0)),""))</f>
        <v/>
      </c>
      <c r="F250" s="24" t="str">
        <f aca="false">IF(C250="","",IFERROR(INDEX(LOTES!$B$5:$B$1004,MATCH(C250,LOTES!$F$5:$F$1004,0)),""))</f>
        <v/>
      </c>
      <c r="G250" s="15" t="str">
        <f aca="false">IF(OR(B250="",F250=""),"",B250-F250)</f>
        <v/>
      </c>
      <c r="H250" s="13"/>
      <c r="I250" s="13"/>
      <c r="J250" s="13"/>
      <c r="K250" s="25"/>
      <c r="L250" s="25"/>
      <c r="M250" s="25"/>
      <c r="N250" s="25"/>
      <c r="O250" s="26"/>
      <c r="P250" s="16" t="str">
        <f aca="false">IF(O250="","",IFERROR(1/(1/(IF(K250="",INDEX(CONFIG!$F$5:$F$14,MATCH(D250,CONFIG!$D$5:$D$14,0)),K250)*IF(M250="",INDEX(CONFIG!$H$5:$H$14,MATCH(D250,CONFIG!$D$5:$D$14,0)),M250))),""))</f>
        <v/>
      </c>
      <c r="Q250" s="16" t="str">
        <f aca="false">IF(OR(O250="",P250=""),"",O250/P250)</f>
        <v/>
      </c>
      <c r="R250" s="16" t="str">
        <f aca="false">IF(Q250="","",Q250*0.0980665)</f>
        <v/>
      </c>
      <c r="S250" s="16" t="str">
        <f aca="false">IF(Q250="","",IFERROR(Q250/(1/(1/INDEX(CONFIG!$I$5:$I$14,MATCH(D250,CONFIG!$D$5:$D$14,0)))),""))</f>
        <v/>
      </c>
      <c r="T250" s="13"/>
      <c r="U250" s="13"/>
      <c r="V250" s="13"/>
      <c r="W250" s="13"/>
      <c r="X250" s="22" t="str">
        <f aca="false">IF(Q250="","",Q250^2)</f>
        <v/>
      </c>
      <c r="Y250" s="22" t="str">
        <f aca="false">IF(AND(C250&lt;&gt;"",C250=CERTIFICADO!$E$4,OR(CERTIFICADO!$E$5="",B250=CERTIFICADO!$E$5)),MAX($Y$4:Y249)+1,"")</f>
        <v/>
      </c>
    </row>
    <row r="251" customFormat="false" ht="15" hidden="false" customHeight="false" outlineLevel="0" collapsed="false">
      <c r="A251" s="11" t="str">
        <f aca="false">IF(C251="","",ROW()-4)</f>
        <v/>
      </c>
      <c r="B251" s="12"/>
      <c r="C251" s="13"/>
      <c r="D251" s="23" t="str">
        <f aca="false">IF(C251="","",IFERROR(INDEX(LOTES!$D$5:$D$1004,MATCH(C251,LOTES!$F$5:$F$1004,0)),"¿Lote?"))</f>
        <v/>
      </c>
      <c r="E251" s="11" t="str">
        <f aca="false">IF(C251="","",IFERROR(INDEX(LOTES!$C$5:$C$1004,MATCH(C251,LOTES!$F$5:$F$1004,0)),""))</f>
        <v/>
      </c>
      <c r="F251" s="24" t="str">
        <f aca="false">IF(C251="","",IFERROR(INDEX(LOTES!$B$5:$B$1004,MATCH(C251,LOTES!$F$5:$F$1004,0)),""))</f>
        <v/>
      </c>
      <c r="G251" s="15" t="str">
        <f aca="false">IF(OR(B251="",F251=""),"",B251-F251)</f>
        <v/>
      </c>
      <c r="H251" s="13"/>
      <c r="I251" s="13"/>
      <c r="J251" s="13"/>
      <c r="K251" s="25"/>
      <c r="L251" s="25"/>
      <c r="M251" s="25"/>
      <c r="N251" s="25"/>
      <c r="O251" s="26"/>
      <c r="P251" s="16" t="str">
        <f aca="false">IF(O251="","",IFERROR(1/(1/(IF(K251="",INDEX(CONFIG!$F$5:$F$14,MATCH(D251,CONFIG!$D$5:$D$14,0)),K251)*IF(M251="",INDEX(CONFIG!$H$5:$H$14,MATCH(D251,CONFIG!$D$5:$D$14,0)),M251))),""))</f>
        <v/>
      </c>
      <c r="Q251" s="16" t="str">
        <f aca="false">IF(OR(O251="",P251=""),"",O251/P251)</f>
        <v/>
      </c>
      <c r="R251" s="16" t="str">
        <f aca="false">IF(Q251="","",Q251*0.0980665)</f>
        <v/>
      </c>
      <c r="S251" s="16" t="str">
        <f aca="false">IF(Q251="","",IFERROR(Q251/(1/(1/INDEX(CONFIG!$I$5:$I$14,MATCH(D251,CONFIG!$D$5:$D$14,0)))),""))</f>
        <v/>
      </c>
      <c r="T251" s="13"/>
      <c r="U251" s="13"/>
      <c r="V251" s="13"/>
      <c r="W251" s="13"/>
      <c r="X251" s="22" t="str">
        <f aca="false">IF(Q251="","",Q251^2)</f>
        <v/>
      </c>
      <c r="Y251" s="22" t="str">
        <f aca="false">IF(AND(C251&lt;&gt;"",C251=CERTIFICADO!$E$4,OR(CERTIFICADO!$E$5="",B251=CERTIFICADO!$E$5)),MAX($Y$4:Y250)+1,"")</f>
        <v/>
      </c>
    </row>
    <row r="252" customFormat="false" ht="15" hidden="false" customHeight="false" outlineLevel="0" collapsed="false">
      <c r="A252" s="11" t="str">
        <f aca="false">IF(C252="","",ROW()-4)</f>
        <v/>
      </c>
      <c r="B252" s="12"/>
      <c r="C252" s="13"/>
      <c r="D252" s="23" t="str">
        <f aca="false">IF(C252="","",IFERROR(INDEX(LOTES!$D$5:$D$1004,MATCH(C252,LOTES!$F$5:$F$1004,0)),"¿Lote?"))</f>
        <v/>
      </c>
      <c r="E252" s="11" t="str">
        <f aca="false">IF(C252="","",IFERROR(INDEX(LOTES!$C$5:$C$1004,MATCH(C252,LOTES!$F$5:$F$1004,0)),""))</f>
        <v/>
      </c>
      <c r="F252" s="24" t="str">
        <f aca="false">IF(C252="","",IFERROR(INDEX(LOTES!$B$5:$B$1004,MATCH(C252,LOTES!$F$5:$F$1004,0)),""))</f>
        <v/>
      </c>
      <c r="G252" s="15" t="str">
        <f aca="false">IF(OR(B252="",F252=""),"",B252-F252)</f>
        <v/>
      </c>
      <c r="H252" s="13"/>
      <c r="I252" s="13"/>
      <c r="J252" s="13"/>
      <c r="K252" s="25"/>
      <c r="L252" s="25"/>
      <c r="M252" s="25"/>
      <c r="N252" s="25"/>
      <c r="O252" s="26"/>
      <c r="P252" s="16" t="str">
        <f aca="false">IF(O252="","",IFERROR(1/(1/(IF(K252="",INDEX(CONFIG!$F$5:$F$14,MATCH(D252,CONFIG!$D$5:$D$14,0)),K252)*IF(M252="",INDEX(CONFIG!$H$5:$H$14,MATCH(D252,CONFIG!$D$5:$D$14,0)),M252))),""))</f>
        <v/>
      </c>
      <c r="Q252" s="16" t="str">
        <f aca="false">IF(OR(O252="",P252=""),"",O252/P252)</f>
        <v/>
      </c>
      <c r="R252" s="16" t="str">
        <f aca="false">IF(Q252="","",Q252*0.0980665)</f>
        <v/>
      </c>
      <c r="S252" s="16" t="str">
        <f aca="false">IF(Q252="","",IFERROR(Q252/(1/(1/INDEX(CONFIG!$I$5:$I$14,MATCH(D252,CONFIG!$D$5:$D$14,0)))),""))</f>
        <v/>
      </c>
      <c r="T252" s="13"/>
      <c r="U252" s="13"/>
      <c r="V252" s="13"/>
      <c r="W252" s="13"/>
      <c r="X252" s="22" t="str">
        <f aca="false">IF(Q252="","",Q252^2)</f>
        <v/>
      </c>
      <c r="Y252" s="22" t="str">
        <f aca="false">IF(AND(C252&lt;&gt;"",C252=CERTIFICADO!$E$4,OR(CERTIFICADO!$E$5="",B252=CERTIFICADO!$E$5)),MAX($Y$4:Y251)+1,"")</f>
        <v/>
      </c>
    </row>
    <row r="253" customFormat="false" ht="15" hidden="false" customHeight="false" outlineLevel="0" collapsed="false">
      <c r="A253" s="11" t="str">
        <f aca="false">IF(C253="","",ROW()-4)</f>
        <v/>
      </c>
      <c r="B253" s="12"/>
      <c r="C253" s="13"/>
      <c r="D253" s="23" t="str">
        <f aca="false">IF(C253="","",IFERROR(INDEX(LOTES!$D$5:$D$1004,MATCH(C253,LOTES!$F$5:$F$1004,0)),"¿Lote?"))</f>
        <v/>
      </c>
      <c r="E253" s="11" t="str">
        <f aca="false">IF(C253="","",IFERROR(INDEX(LOTES!$C$5:$C$1004,MATCH(C253,LOTES!$F$5:$F$1004,0)),""))</f>
        <v/>
      </c>
      <c r="F253" s="24" t="str">
        <f aca="false">IF(C253="","",IFERROR(INDEX(LOTES!$B$5:$B$1004,MATCH(C253,LOTES!$F$5:$F$1004,0)),""))</f>
        <v/>
      </c>
      <c r="G253" s="15" t="str">
        <f aca="false">IF(OR(B253="",F253=""),"",B253-F253)</f>
        <v/>
      </c>
      <c r="H253" s="13"/>
      <c r="I253" s="13"/>
      <c r="J253" s="13"/>
      <c r="K253" s="25"/>
      <c r="L253" s="25"/>
      <c r="M253" s="25"/>
      <c r="N253" s="25"/>
      <c r="O253" s="26"/>
      <c r="P253" s="16" t="str">
        <f aca="false">IF(O253="","",IFERROR(1/(1/(IF(K253="",INDEX(CONFIG!$F$5:$F$14,MATCH(D253,CONFIG!$D$5:$D$14,0)),K253)*IF(M253="",INDEX(CONFIG!$H$5:$H$14,MATCH(D253,CONFIG!$D$5:$D$14,0)),M253))),""))</f>
        <v/>
      </c>
      <c r="Q253" s="16" t="str">
        <f aca="false">IF(OR(O253="",P253=""),"",O253/P253)</f>
        <v/>
      </c>
      <c r="R253" s="16" t="str">
        <f aca="false">IF(Q253="","",Q253*0.0980665)</f>
        <v/>
      </c>
      <c r="S253" s="16" t="str">
        <f aca="false">IF(Q253="","",IFERROR(Q253/(1/(1/INDEX(CONFIG!$I$5:$I$14,MATCH(D253,CONFIG!$D$5:$D$14,0)))),""))</f>
        <v/>
      </c>
      <c r="T253" s="13"/>
      <c r="U253" s="13"/>
      <c r="V253" s="13"/>
      <c r="W253" s="13"/>
      <c r="X253" s="22" t="str">
        <f aca="false">IF(Q253="","",Q253^2)</f>
        <v/>
      </c>
      <c r="Y253" s="22" t="str">
        <f aca="false">IF(AND(C253&lt;&gt;"",C253=CERTIFICADO!$E$4,OR(CERTIFICADO!$E$5="",B253=CERTIFICADO!$E$5)),MAX($Y$4:Y252)+1,"")</f>
        <v/>
      </c>
    </row>
    <row r="254" customFormat="false" ht="15" hidden="false" customHeight="false" outlineLevel="0" collapsed="false">
      <c r="A254" s="11" t="str">
        <f aca="false">IF(C254="","",ROW()-4)</f>
        <v/>
      </c>
      <c r="B254" s="12"/>
      <c r="C254" s="13"/>
      <c r="D254" s="23" t="str">
        <f aca="false">IF(C254="","",IFERROR(INDEX(LOTES!$D$5:$D$1004,MATCH(C254,LOTES!$F$5:$F$1004,0)),"¿Lote?"))</f>
        <v/>
      </c>
      <c r="E254" s="11" t="str">
        <f aca="false">IF(C254="","",IFERROR(INDEX(LOTES!$C$5:$C$1004,MATCH(C254,LOTES!$F$5:$F$1004,0)),""))</f>
        <v/>
      </c>
      <c r="F254" s="24" t="str">
        <f aca="false">IF(C254="","",IFERROR(INDEX(LOTES!$B$5:$B$1004,MATCH(C254,LOTES!$F$5:$F$1004,0)),""))</f>
        <v/>
      </c>
      <c r="G254" s="15" t="str">
        <f aca="false">IF(OR(B254="",F254=""),"",B254-F254)</f>
        <v/>
      </c>
      <c r="H254" s="13"/>
      <c r="I254" s="13"/>
      <c r="J254" s="13"/>
      <c r="K254" s="25"/>
      <c r="L254" s="25"/>
      <c r="M254" s="25"/>
      <c r="N254" s="25"/>
      <c r="O254" s="26"/>
      <c r="P254" s="16" t="str">
        <f aca="false">IF(O254="","",IFERROR(1/(1/(IF(K254="",INDEX(CONFIG!$F$5:$F$14,MATCH(D254,CONFIG!$D$5:$D$14,0)),K254)*IF(M254="",INDEX(CONFIG!$H$5:$H$14,MATCH(D254,CONFIG!$D$5:$D$14,0)),M254))),""))</f>
        <v/>
      </c>
      <c r="Q254" s="16" t="str">
        <f aca="false">IF(OR(O254="",P254=""),"",O254/P254)</f>
        <v/>
      </c>
      <c r="R254" s="16" t="str">
        <f aca="false">IF(Q254="","",Q254*0.0980665)</f>
        <v/>
      </c>
      <c r="S254" s="16" t="str">
        <f aca="false">IF(Q254="","",IFERROR(Q254/(1/(1/INDEX(CONFIG!$I$5:$I$14,MATCH(D254,CONFIG!$D$5:$D$14,0)))),""))</f>
        <v/>
      </c>
      <c r="T254" s="13"/>
      <c r="U254" s="13"/>
      <c r="V254" s="13"/>
      <c r="W254" s="13"/>
      <c r="X254" s="22" t="str">
        <f aca="false">IF(Q254="","",Q254^2)</f>
        <v/>
      </c>
      <c r="Y254" s="22" t="str">
        <f aca="false">IF(AND(C254&lt;&gt;"",C254=CERTIFICADO!$E$4,OR(CERTIFICADO!$E$5="",B254=CERTIFICADO!$E$5)),MAX($Y$4:Y253)+1,"")</f>
        <v/>
      </c>
    </row>
    <row r="255" customFormat="false" ht="15" hidden="false" customHeight="false" outlineLevel="0" collapsed="false">
      <c r="A255" s="11" t="str">
        <f aca="false">IF(C255="","",ROW()-4)</f>
        <v/>
      </c>
      <c r="B255" s="12"/>
      <c r="C255" s="13"/>
      <c r="D255" s="23" t="str">
        <f aca="false">IF(C255="","",IFERROR(INDEX(LOTES!$D$5:$D$1004,MATCH(C255,LOTES!$F$5:$F$1004,0)),"¿Lote?"))</f>
        <v/>
      </c>
      <c r="E255" s="11" t="str">
        <f aca="false">IF(C255="","",IFERROR(INDEX(LOTES!$C$5:$C$1004,MATCH(C255,LOTES!$F$5:$F$1004,0)),""))</f>
        <v/>
      </c>
      <c r="F255" s="24" t="str">
        <f aca="false">IF(C255="","",IFERROR(INDEX(LOTES!$B$5:$B$1004,MATCH(C255,LOTES!$F$5:$F$1004,0)),""))</f>
        <v/>
      </c>
      <c r="G255" s="15" t="str">
        <f aca="false">IF(OR(B255="",F255=""),"",B255-F255)</f>
        <v/>
      </c>
      <c r="H255" s="13"/>
      <c r="I255" s="13"/>
      <c r="J255" s="13"/>
      <c r="K255" s="25"/>
      <c r="L255" s="25"/>
      <c r="M255" s="25"/>
      <c r="N255" s="25"/>
      <c r="O255" s="26"/>
      <c r="P255" s="16" t="str">
        <f aca="false">IF(O255="","",IFERROR(1/(1/(IF(K255="",INDEX(CONFIG!$F$5:$F$14,MATCH(D255,CONFIG!$D$5:$D$14,0)),K255)*IF(M255="",INDEX(CONFIG!$H$5:$H$14,MATCH(D255,CONFIG!$D$5:$D$14,0)),M255))),""))</f>
        <v/>
      </c>
      <c r="Q255" s="16" t="str">
        <f aca="false">IF(OR(O255="",P255=""),"",O255/P255)</f>
        <v/>
      </c>
      <c r="R255" s="16" t="str">
        <f aca="false">IF(Q255="","",Q255*0.0980665)</f>
        <v/>
      </c>
      <c r="S255" s="16" t="str">
        <f aca="false">IF(Q255="","",IFERROR(Q255/(1/(1/INDEX(CONFIG!$I$5:$I$14,MATCH(D255,CONFIG!$D$5:$D$14,0)))),""))</f>
        <v/>
      </c>
      <c r="T255" s="13"/>
      <c r="U255" s="13"/>
      <c r="V255" s="13"/>
      <c r="W255" s="13"/>
      <c r="X255" s="22" t="str">
        <f aca="false">IF(Q255="","",Q255^2)</f>
        <v/>
      </c>
      <c r="Y255" s="22" t="str">
        <f aca="false">IF(AND(C255&lt;&gt;"",C255=CERTIFICADO!$E$4,OR(CERTIFICADO!$E$5="",B255=CERTIFICADO!$E$5)),MAX($Y$4:Y254)+1,"")</f>
        <v/>
      </c>
    </row>
    <row r="256" customFormat="false" ht="15" hidden="false" customHeight="false" outlineLevel="0" collapsed="false">
      <c r="A256" s="11" t="str">
        <f aca="false">IF(C256="","",ROW()-4)</f>
        <v/>
      </c>
      <c r="B256" s="12"/>
      <c r="C256" s="13"/>
      <c r="D256" s="23" t="str">
        <f aca="false">IF(C256="","",IFERROR(INDEX(LOTES!$D$5:$D$1004,MATCH(C256,LOTES!$F$5:$F$1004,0)),"¿Lote?"))</f>
        <v/>
      </c>
      <c r="E256" s="11" t="str">
        <f aca="false">IF(C256="","",IFERROR(INDEX(LOTES!$C$5:$C$1004,MATCH(C256,LOTES!$F$5:$F$1004,0)),""))</f>
        <v/>
      </c>
      <c r="F256" s="24" t="str">
        <f aca="false">IF(C256="","",IFERROR(INDEX(LOTES!$B$5:$B$1004,MATCH(C256,LOTES!$F$5:$F$1004,0)),""))</f>
        <v/>
      </c>
      <c r="G256" s="15" t="str">
        <f aca="false">IF(OR(B256="",F256=""),"",B256-F256)</f>
        <v/>
      </c>
      <c r="H256" s="13"/>
      <c r="I256" s="13"/>
      <c r="J256" s="13"/>
      <c r="K256" s="25"/>
      <c r="L256" s="25"/>
      <c r="M256" s="25"/>
      <c r="N256" s="25"/>
      <c r="O256" s="26"/>
      <c r="P256" s="16" t="str">
        <f aca="false">IF(O256="","",IFERROR(1/(1/(IF(K256="",INDEX(CONFIG!$F$5:$F$14,MATCH(D256,CONFIG!$D$5:$D$14,0)),K256)*IF(M256="",INDEX(CONFIG!$H$5:$H$14,MATCH(D256,CONFIG!$D$5:$D$14,0)),M256))),""))</f>
        <v/>
      </c>
      <c r="Q256" s="16" t="str">
        <f aca="false">IF(OR(O256="",P256=""),"",O256/P256)</f>
        <v/>
      </c>
      <c r="R256" s="16" t="str">
        <f aca="false">IF(Q256="","",Q256*0.0980665)</f>
        <v/>
      </c>
      <c r="S256" s="16" t="str">
        <f aca="false">IF(Q256="","",IFERROR(Q256/(1/(1/INDEX(CONFIG!$I$5:$I$14,MATCH(D256,CONFIG!$D$5:$D$14,0)))),""))</f>
        <v/>
      </c>
      <c r="T256" s="13"/>
      <c r="U256" s="13"/>
      <c r="V256" s="13"/>
      <c r="W256" s="13"/>
      <c r="X256" s="22" t="str">
        <f aca="false">IF(Q256="","",Q256^2)</f>
        <v/>
      </c>
      <c r="Y256" s="22" t="str">
        <f aca="false">IF(AND(C256&lt;&gt;"",C256=CERTIFICADO!$E$4,OR(CERTIFICADO!$E$5="",B256=CERTIFICADO!$E$5)),MAX($Y$4:Y255)+1,"")</f>
        <v/>
      </c>
    </row>
    <row r="257" customFormat="false" ht="15" hidden="false" customHeight="false" outlineLevel="0" collapsed="false">
      <c r="A257" s="11" t="str">
        <f aca="false">IF(C257="","",ROW()-4)</f>
        <v/>
      </c>
      <c r="B257" s="12"/>
      <c r="C257" s="13"/>
      <c r="D257" s="23" t="str">
        <f aca="false">IF(C257="","",IFERROR(INDEX(LOTES!$D$5:$D$1004,MATCH(C257,LOTES!$F$5:$F$1004,0)),"¿Lote?"))</f>
        <v/>
      </c>
      <c r="E257" s="11" t="str">
        <f aca="false">IF(C257="","",IFERROR(INDEX(LOTES!$C$5:$C$1004,MATCH(C257,LOTES!$F$5:$F$1004,0)),""))</f>
        <v/>
      </c>
      <c r="F257" s="24" t="str">
        <f aca="false">IF(C257="","",IFERROR(INDEX(LOTES!$B$5:$B$1004,MATCH(C257,LOTES!$F$5:$F$1004,0)),""))</f>
        <v/>
      </c>
      <c r="G257" s="15" t="str">
        <f aca="false">IF(OR(B257="",F257=""),"",B257-F257)</f>
        <v/>
      </c>
      <c r="H257" s="13"/>
      <c r="I257" s="13"/>
      <c r="J257" s="13"/>
      <c r="K257" s="25"/>
      <c r="L257" s="25"/>
      <c r="M257" s="25"/>
      <c r="N257" s="25"/>
      <c r="O257" s="26"/>
      <c r="P257" s="16" t="str">
        <f aca="false">IF(O257="","",IFERROR(1/(1/(IF(K257="",INDEX(CONFIG!$F$5:$F$14,MATCH(D257,CONFIG!$D$5:$D$14,0)),K257)*IF(M257="",INDEX(CONFIG!$H$5:$H$14,MATCH(D257,CONFIG!$D$5:$D$14,0)),M257))),""))</f>
        <v/>
      </c>
      <c r="Q257" s="16" t="str">
        <f aca="false">IF(OR(O257="",P257=""),"",O257/P257)</f>
        <v/>
      </c>
      <c r="R257" s="16" t="str">
        <f aca="false">IF(Q257="","",Q257*0.0980665)</f>
        <v/>
      </c>
      <c r="S257" s="16" t="str">
        <f aca="false">IF(Q257="","",IFERROR(Q257/(1/(1/INDEX(CONFIG!$I$5:$I$14,MATCH(D257,CONFIG!$D$5:$D$14,0)))),""))</f>
        <v/>
      </c>
      <c r="T257" s="13"/>
      <c r="U257" s="13"/>
      <c r="V257" s="13"/>
      <c r="W257" s="13"/>
      <c r="X257" s="22" t="str">
        <f aca="false">IF(Q257="","",Q257^2)</f>
        <v/>
      </c>
      <c r="Y257" s="22" t="str">
        <f aca="false">IF(AND(C257&lt;&gt;"",C257=CERTIFICADO!$E$4,OR(CERTIFICADO!$E$5="",B257=CERTIFICADO!$E$5)),MAX($Y$4:Y256)+1,"")</f>
        <v/>
      </c>
    </row>
    <row r="258" customFormat="false" ht="15" hidden="false" customHeight="false" outlineLevel="0" collapsed="false">
      <c r="A258" s="11" t="str">
        <f aca="false">IF(C258="","",ROW()-4)</f>
        <v/>
      </c>
      <c r="B258" s="12"/>
      <c r="C258" s="13"/>
      <c r="D258" s="23" t="str">
        <f aca="false">IF(C258="","",IFERROR(INDEX(LOTES!$D$5:$D$1004,MATCH(C258,LOTES!$F$5:$F$1004,0)),"¿Lote?"))</f>
        <v/>
      </c>
      <c r="E258" s="11" t="str">
        <f aca="false">IF(C258="","",IFERROR(INDEX(LOTES!$C$5:$C$1004,MATCH(C258,LOTES!$F$5:$F$1004,0)),""))</f>
        <v/>
      </c>
      <c r="F258" s="24" t="str">
        <f aca="false">IF(C258="","",IFERROR(INDEX(LOTES!$B$5:$B$1004,MATCH(C258,LOTES!$F$5:$F$1004,0)),""))</f>
        <v/>
      </c>
      <c r="G258" s="15" t="str">
        <f aca="false">IF(OR(B258="",F258=""),"",B258-F258)</f>
        <v/>
      </c>
      <c r="H258" s="13"/>
      <c r="I258" s="13"/>
      <c r="J258" s="13"/>
      <c r="K258" s="25"/>
      <c r="L258" s="25"/>
      <c r="M258" s="25"/>
      <c r="N258" s="25"/>
      <c r="O258" s="26"/>
      <c r="P258" s="16" t="str">
        <f aca="false">IF(O258="","",IFERROR(1/(1/(IF(K258="",INDEX(CONFIG!$F$5:$F$14,MATCH(D258,CONFIG!$D$5:$D$14,0)),K258)*IF(M258="",INDEX(CONFIG!$H$5:$H$14,MATCH(D258,CONFIG!$D$5:$D$14,0)),M258))),""))</f>
        <v/>
      </c>
      <c r="Q258" s="16" t="str">
        <f aca="false">IF(OR(O258="",P258=""),"",O258/P258)</f>
        <v/>
      </c>
      <c r="R258" s="16" t="str">
        <f aca="false">IF(Q258="","",Q258*0.0980665)</f>
        <v/>
      </c>
      <c r="S258" s="16" t="str">
        <f aca="false">IF(Q258="","",IFERROR(Q258/(1/(1/INDEX(CONFIG!$I$5:$I$14,MATCH(D258,CONFIG!$D$5:$D$14,0)))),""))</f>
        <v/>
      </c>
      <c r="T258" s="13"/>
      <c r="U258" s="13"/>
      <c r="V258" s="13"/>
      <c r="W258" s="13"/>
      <c r="X258" s="22" t="str">
        <f aca="false">IF(Q258="","",Q258^2)</f>
        <v/>
      </c>
      <c r="Y258" s="22" t="str">
        <f aca="false">IF(AND(C258&lt;&gt;"",C258=CERTIFICADO!$E$4,OR(CERTIFICADO!$E$5="",B258=CERTIFICADO!$E$5)),MAX($Y$4:Y257)+1,"")</f>
        <v/>
      </c>
    </row>
    <row r="259" customFormat="false" ht="15" hidden="false" customHeight="false" outlineLevel="0" collapsed="false">
      <c r="A259" s="11" t="str">
        <f aca="false">IF(C259="","",ROW()-4)</f>
        <v/>
      </c>
      <c r="B259" s="12"/>
      <c r="C259" s="13"/>
      <c r="D259" s="23" t="str">
        <f aca="false">IF(C259="","",IFERROR(INDEX(LOTES!$D$5:$D$1004,MATCH(C259,LOTES!$F$5:$F$1004,0)),"¿Lote?"))</f>
        <v/>
      </c>
      <c r="E259" s="11" t="str">
        <f aca="false">IF(C259="","",IFERROR(INDEX(LOTES!$C$5:$C$1004,MATCH(C259,LOTES!$F$5:$F$1004,0)),""))</f>
        <v/>
      </c>
      <c r="F259" s="24" t="str">
        <f aca="false">IF(C259="","",IFERROR(INDEX(LOTES!$B$5:$B$1004,MATCH(C259,LOTES!$F$5:$F$1004,0)),""))</f>
        <v/>
      </c>
      <c r="G259" s="15" t="str">
        <f aca="false">IF(OR(B259="",F259=""),"",B259-F259)</f>
        <v/>
      </c>
      <c r="H259" s="13"/>
      <c r="I259" s="13"/>
      <c r="J259" s="13"/>
      <c r="K259" s="25"/>
      <c r="L259" s="25"/>
      <c r="M259" s="25"/>
      <c r="N259" s="25"/>
      <c r="O259" s="26"/>
      <c r="P259" s="16" t="str">
        <f aca="false">IF(O259="","",IFERROR(1/(1/(IF(K259="",INDEX(CONFIG!$F$5:$F$14,MATCH(D259,CONFIG!$D$5:$D$14,0)),K259)*IF(M259="",INDEX(CONFIG!$H$5:$H$14,MATCH(D259,CONFIG!$D$5:$D$14,0)),M259))),""))</f>
        <v/>
      </c>
      <c r="Q259" s="16" t="str">
        <f aca="false">IF(OR(O259="",P259=""),"",O259/P259)</f>
        <v/>
      </c>
      <c r="R259" s="16" t="str">
        <f aca="false">IF(Q259="","",Q259*0.0980665)</f>
        <v/>
      </c>
      <c r="S259" s="16" t="str">
        <f aca="false">IF(Q259="","",IFERROR(Q259/(1/(1/INDEX(CONFIG!$I$5:$I$14,MATCH(D259,CONFIG!$D$5:$D$14,0)))),""))</f>
        <v/>
      </c>
      <c r="T259" s="13"/>
      <c r="U259" s="13"/>
      <c r="V259" s="13"/>
      <c r="W259" s="13"/>
      <c r="X259" s="22" t="str">
        <f aca="false">IF(Q259="","",Q259^2)</f>
        <v/>
      </c>
      <c r="Y259" s="22" t="str">
        <f aca="false">IF(AND(C259&lt;&gt;"",C259=CERTIFICADO!$E$4,OR(CERTIFICADO!$E$5="",B259=CERTIFICADO!$E$5)),MAX($Y$4:Y258)+1,"")</f>
        <v/>
      </c>
    </row>
    <row r="260" customFormat="false" ht="15" hidden="false" customHeight="false" outlineLevel="0" collapsed="false">
      <c r="A260" s="11" t="str">
        <f aca="false">IF(C260="","",ROW()-4)</f>
        <v/>
      </c>
      <c r="B260" s="12"/>
      <c r="C260" s="13"/>
      <c r="D260" s="23" t="str">
        <f aca="false">IF(C260="","",IFERROR(INDEX(LOTES!$D$5:$D$1004,MATCH(C260,LOTES!$F$5:$F$1004,0)),"¿Lote?"))</f>
        <v/>
      </c>
      <c r="E260" s="11" t="str">
        <f aca="false">IF(C260="","",IFERROR(INDEX(LOTES!$C$5:$C$1004,MATCH(C260,LOTES!$F$5:$F$1004,0)),""))</f>
        <v/>
      </c>
      <c r="F260" s="24" t="str">
        <f aca="false">IF(C260="","",IFERROR(INDEX(LOTES!$B$5:$B$1004,MATCH(C260,LOTES!$F$5:$F$1004,0)),""))</f>
        <v/>
      </c>
      <c r="G260" s="15" t="str">
        <f aca="false">IF(OR(B260="",F260=""),"",B260-F260)</f>
        <v/>
      </c>
      <c r="H260" s="13"/>
      <c r="I260" s="13"/>
      <c r="J260" s="13"/>
      <c r="K260" s="25"/>
      <c r="L260" s="25"/>
      <c r="M260" s="25"/>
      <c r="N260" s="25"/>
      <c r="O260" s="26"/>
      <c r="P260" s="16" t="str">
        <f aca="false">IF(O260="","",IFERROR(1/(1/(IF(K260="",INDEX(CONFIG!$F$5:$F$14,MATCH(D260,CONFIG!$D$5:$D$14,0)),K260)*IF(M260="",INDEX(CONFIG!$H$5:$H$14,MATCH(D260,CONFIG!$D$5:$D$14,0)),M260))),""))</f>
        <v/>
      </c>
      <c r="Q260" s="16" t="str">
        <f aca="false">IF(OR(O260="",P260=""),"",O260/P260)</f>
        <v/>
      </c>
      <c r="R260" s="16" t="str">
        <f aca="false">IF(Q260="","",Q260*0.0980665)</f>
        <v/>
      </c>
      <c r="S260" s="16" t="str">
        <f aca="false">IF(Q260="","",IFERROR(Q260/(1/(1/INDEX(CONFIG!$I$5:$I$14,MATCH(D260,CONFIG!$D$5:$D$14,0)))),""))</f>
        <v/>
      </c>
      <c r="T260" s="13"/>
      <c r="U260" s="13"/>
      <c r="V260" s="13"/>
      <c r="W260" s="13"/>
      <c r="X260" s="22" t="str">
        <f aca="false">IF(Q260="","",Q260^2)</f>
        <v/>
      </c>
      <c r="Y260" s="22" t="str">
        <f aca="false">IF(AND(C260&lt;&gt;"",C260=CERTIFICADO!$E$4,OR(CERTIFICADO!$E$5="",B260=CERTIFICADO!$E$5)),MAX($Y$4:Y259)+1,"")</f>
        <v/>
      </c>
    </row>
    <row r="261" customFormat="false" ht="15" hidden="false" customHeight="false" outlineLevel="0" collapsed="false">
      <c r="A261" s="11" t="str">
        <f aca="false">IF(C261="","",ROW()-4)</f>
        <v/>
      </c>
      <c r="B261" s="12"/>
      <c r="C261" s="13"/>
      <c r="D261" s="23" t="str">
        <f aca="false">IF(C261="","",IFERROR(INDEX(LOTES!$D$5:$D$1004,MATCH(C261,LOTES!$F$5:$F$1004,0)),"¿Lote?"))</f>
        <v/>
      </c>
      <c r="E261" s="11" t="str">
        <f aca="false">IF(C261="","",IFERROR(INDEX(LOTES!$C$5:$C$1004,MATCH(C261,LOTES!$F$5:$F$1004,0)),""))</f>
        <v/>
      </c>
      <c r="F261" s="24" t="str">
        <f aca="false">IF(C261="","",IFERROR(INDEX(LOTES!$B$5:$B$1004,MATCH(C261,LOTES!$F$5:$F$1004,0)),""))</f>
        <v/>
      </c>
      <c r="G261" s="15" t="str">
        <f aca="false">IF(OR(B261="",F261=""),"",B261-F261)</f>
        <v/>
      </c>
      <c r="H261" s="13"/>
      <c r="I261" s="13"/>
      <c r="J261" s="13"/>
      <c r="K261" s="25"/>
      <c r="L261" s="25"/>
      <c r="M261" s="25"/>
      <c r="N261" s="25"/>
      <c r="O261" s="26"/>
      <c r="P261" s="16" t="str">
        <f aca="false">IF(O261="","",IFERROR(1/(1/(IF(K261="",INDEX(CONFIG!$F$5:$F$14,MATCH(D261,CONFIG!$D$5:$D$14,0)),K261)*IF(M261="",INDEX(CONFIG!$H$5:$H$14,MATCH(D261,CONFIG!$D$5:$D$14,0)),M261))),""))</f>
        <v/>
      </c>
      <c r="Q261" s="16" t="str">
        <f aca="false">IF(OR(O261="",P261=""),"",O261/P261)</f>
        <v/>
      </c>
      <c r="R261" s="16" t="str">
        <f aca="false">IF(Q261="","",Q261*0.0980665)</f>
        <v/>
      </c>
      <c r="S261" s="16" t="str">
        <f aca="false">IF(Q261="","",IFERROR(Q261/(1/(1/INDEX(CONFIG!$I$5:$I$14,MATCH(D261,CONFIG!$D$5:$D$14,0)))),""))</f>
        <v/>
      </c>
      <c r="T261" s="13"/>
      <c r="U261" s="13"/>
      <c r="V261" s="13"/>
      <c r="W261" s="13"/>
      <c r="X261" s="22" t="str">
        <f aca="false">IF(Q261="","",Q261^2)</f>
        <v/>
      </c>
      <c r="Y261" s="22" t="str">
        <f aca="false">IF(AND(C261&lt;&gt;"",C261=CERTIFICADO!$E$4,OR(CERTIFICADO!$E$5="",B261=CERTIFICADO!$E$5)),MAX($Y$4:Y260)+1,"")</f>
        <v/>
      </c>
    </row>
    <row r="262" customFormat="false" ht="15" hidden="false" customHeight="false" outlineLevel="0" collapsed="false">
      <c r="A262" s="11" t="str">
        <f aca="false">IF(C262="","",ROW()-4)</f>
        <v/>
      </c>
      <c r="B262" s="12"/>
      <c r="C262" s="13"/>
      <c r="D262" s="23" t="str">
        <f aca="false">IF(C262="","",IFERROR(INDEX(LOTES!$D$5:$D$1004,MATCH(C262,LOTES!$F$5:$F$1004,0)),"¿Lote?"))</f>
        <v/>
      </c>
      <c r="E262" s="11" t="str">
        <f aca="false">IF(C262="","",IFERROR(INDEX(LOTES!$C$5:$C$1004,MATCH(C262,LOTES!$F$5:$F$1004,0)),""))</f>
        <v/>
      </c>
      <c r="F262" s="24" t="str">
        <f aca="false">IF(C262="","",IFERROR(INDEX(LOTES!$B$5:$B$1004,MATCH(C262,LOTES!$F$5:$F$1004,0)),""))</f>
        <v/>
      </c>
      <c r="G262" s="15" t="str">
        <f aca="false">IF(OR(B262="",F262=""),"",B262-F262)</f>
        <v/>
      </c>
      <c r="H262" s="13"/>
      <c r="I262" s="13"/>
      <c r="J262" s="13"/>
      <c r="K262" s="25"/>
      <c r="L262" s="25"/>
      <c r="M262" s="25"/>
      <c r="N262" s="25"/>
      <c r="O262" s="26"/>
      <c r="P262" s="16" t="str">
        <f aca="false">IF(O262="","",IFERROR(1/(1/(IF(K262="",INDEX(CONFIG!$F$5:$F$14,MATCH(D262,CONFIG!$D$5:$D$14,0)),K262)*IF(M262="",INDEX(CONFIG!$H$5:$H$14,MATCH(D262,CONFIG!$D$5:$D$14,0)),M262))),""))</f>
        <v/>
      </c>
      <c r="Q262" s="16" t="str">
        <f aca="false">IF(OR(O262="",P262=""),"",O262/P262)</f>
        <v/>
      </c>
      <c r="R262" s="16" t="str">
        <f aca="false">IF(Q262="","",Q262*0.0980665)</f>
        <v/>
      </c>
      <c r="S262" s="16" t="str">
        <f aca="false">IF(Q262="","",IFERROR(Q262/(1/(1/INDEX(CONFIG!$I$5:$I$14,MATCH(D262,CONFIG!$D$5:$D$14,0)))),""))</f>
        <v/>
      </c>
      <c r="T262" s="13"/>
      <c r="U262" s="13"/>
      <c r="V262" s="13"/>
      <c r="W262" s="13"/>
      <c r="X262" s="22" t="str">
        <f aca="false">IF(Q262="","",Q262^2)</f>
        <v/>
      </c>
      <c r="Y262" s="22" t="str">
        <f aca="false">IF(AND(C262&lt;&gt;"",C262=CERTIFICADO!$E$4,OR(CERTIFICADO!$E$5="",B262=CERTIFICADO!$E$5)),MAX($Y$4:Y261)+1,"")</f>
        <v/>
      </c>
    </row>
    <row r="263" customFormat="false" ht="15" hidden="false" customHeight="false" outlineLevel="0" collapsed="false">
      <c r="A263" s="11" t="str">
        <f aca="false">IF(C263="","",ROW()-4)</f>
        <v/>
      </c>
      <c r="B263" s="12"/>
      <c r="C263" s="13"/>
      <c r="D263" s="23" t="str">
        <f aca="false">IF(C263="","",IFERROR(INDEX(LOTES!$D$5:$D$1004,MATCH(C263,LOTES!$F$5:$F$1004,0)),"¿Lote?"))</f>
        <v/>
      </c>
      <c r="E263" s="11" t="str">
        <f aca="false">IF(C263="","",IFERROR(INDEX(LOTES!$C$5:$C$1004,MATCH(C263,LOTES!$F$5:$F$1004,0)),""))</f>
        <v/>
      </c>
      <c r="F263" s="24" t="str">
        <f aca="false">IF(C263="","",IFERROR(INDEX(LOTES!$B$5:$B$1004,MATCH(C263,LOTES!$F$5:$F$1004,0)),""))</f>
        <v/>
      </c>
      <c r="G263" s="15" t="str">
        <f aca="false">IF(OR(B263="",F263=""),"",B263-F263)</f>
        <v/>
      </c>
      <c r="H263" s="13"/>
      <c r="I263" s="13"/>
      <c r="J263" s="13"/>
      <c r="K263" s="25"/>
      <c r="L263" s="25"/>
      <c r="M263" s="25"/>
      <c r="N263" s="25"/>
      <c r="O263" s="26"/>
      <c r="P263" s="16" t="str">
        <f aca="false">IF(O263="","",IFERROR(1/(1/(IF(K263="",INDEX(CONFIG!$F$5:$F$14,MATCH(D263,CONFIG!$D$5:$D$14,0)),K263)*IF(M263="",INDEX(CONFIG!$H$5:$H$14,MATCH(D263,CONFIG!$D$5:$D$14,0)),M263))),""))</f>
        <v/>
      </c>
      <c r="Q263" s="16" t="str">
        <f aca="false">IF(OR(O263="",P263=""),"",O263/P263)</f>
        <v/>
      </c>
      <c r="R263" s="16" t="str">
        <f aca="false">IF(Q263="","",Q263*0.0980665)</f>
        <v/>
      </c>
      <c r="S263" s="16" t="str">
        <f aca="false">IF(Q263="","",IFERROR(Q263/(1/(1/INDEX(CONFIG!$I$5:$I$14,MATCH(D263,CONFIG!$D$5:$D$14,0)))),""))</f>
        <v/>
      </c>
      <c r="T263" s="13"/>
      <c r="U263" s="13"/>
      <c r="V263" s="13"/>
      <c r="W263" s="13"/>
      <c r="X263" s="22" t="str">
        <f aca="false">IF(Q263="","",Q263^2)</f>
        <v/>
      </c>
      <c r="Y263" s="22" t="str">
        <f aca="false">IF(AND(C263&lt;&gt;"",C263=CERTIFICADO!$E$4,OR(CERTIFICADO!$E$5="",B263=CERTIFICADO!$E$5)),MAX($Y$4:Y262)+1,"")</f>
        <v/>
      </c>
    </row>
    <row r="264" customFormat="false" ht="15" hidden="false" customHeight="false" outlineLevel="0" collapsed="false">
      <c r="A264" s="11" t="str">
        <f aca="false">IF(C264="","",ROW()-4)</f>
        <v/>
      </c>
      <c r="B264" s="12"/>
      <c r="C264" s="13"/>
      <c r="D264" s="23" t="str">
        <f aca="false">IF(C264="","",IFERROR(INDEX(LOTES!$D$5:$D$1004,MATCH(C264,LOTES!$F$5:$F$1004,0)),"¿Lote?"))</f>
        <v/>
      </c>
      <c r="E264" s="11" t="str">
        <f aca="false">IF(C264="","",IFERROR(INDEX(LOTES!$C$5:$C$1004,MATCH(C264,LOTES!$F$5:$F$1004,0)),""))</f>
        <v/>
      </c>
      <c r="F264" s="24" t="str">
        <f aca="false">IF(C264="","",IFERROR(INDEX(LOTES!$B$5:$B$1004,MATCH(C264,LOTES!$F$5:$F$1004,0)),""))</f>
        <v/>
      </c>
      <c r="G264" s="15" t="str">
        <f aca="false">IF(OR(B264="",F264=""),"",B264-F264)</f>
        <v/>
      </c>
      <c r="H264" s="13"/>
      <c r="I264" s="13"/>
      <c r="J264" s="13"/>
      <c r="K264" s="25"/>
      <c r="L264" s="25"/>
      <c r="M264" s="25"/>
      <c r="N264" s="25"/>
      <c r="O264" s="26"/>
      <c r="P264" s="16" t="str">
        <f aca="false">IF(O264="","",IFERROR(1/(1/(IF(K264="",INDEX(CONFIG!$F$5:$F$14,MATCH(D264,CONFIG!$D$5:$D$14,0)),K264)*IF(M264="",INDEX(CONFIG!$H$5:$H$14,MATCH(D264,CONFIG!$D$5:$D$14,0)),M264))),""))</f>
        <v/>
      </c>
      <c r="Q264" s="16" t="str">
        <f aca="false">IF(OR(O264="",P264=""),"",O264/P264)</f>
        <v/>
      </c>
      <c r="R264" s="16" t="str">
        <f aca="false">IF(Q264="","",Q264*0.0980665)</f>
        <v/>
      </c>
      <c r="S264" s="16" t="str">
        <f aca="false">IF(Q264="","",IFERROR(Q264/(1/(1/INDEX(CONFIG!$I$5:$I$14,MATCH(D264,CONFIG!$D$5:$D$14,0)))),""))</f>
        <v/>
      </c>
      <c r="T264" s="13"/>
      <c r="U264" s="13"/>
      <c r="V264" s="13"/>
      <c r="W264" s="13"/>
      <c r="X264" s="22" t="str">
        <f aca="false">IF(Q264="","",Q264^2)</f>
        <v/>
      </c>
      <c r="Y264" s="22" t="str">
        <f aca="false">IF(AND(C264&lt;&gt;"",C264=CERTIFICADO!$E$4,OR(CERTIFICADO!$E$5="",B264=CERTIFICADO!$E$5)),MAX($Y$4:Y263)+1,"")</f>
        <v/>
      </c>
    </row>
    <row r="265" customFormat="false" ht="15" hidden="false" customHeight="false" outlineLevel="0" collapsed="false">
      <c r="A265" s="11" t="str">
        <f aca="false">IF(C265="","",ROW()-4)</f>
        <v/>
      </c>
      <c r="B265" s="12"/>
      <c r="C265" s="13"/>
      <c r="D265" s="23" t="str">
        <f aca="false">IF(C265="","",IFERROR(INDEX(LOTES!$D$5:$D$1004,MATCH(C265,LOTES!$F$5:$F$1004,0)),"¿Lote?"))</f>
        <v/>
      </c>
      <c r="E265" s="11" t="str">
        <f aca="false">IF(C265="","",IFERROR(INDEX(LOTES!$C$5:$C$1004,MATCH(C265,LOTES!$F$5:$F$1004,0)),""))</f>
        <v/>
      </c>
      <c r="F265" s="24" t="str">
        <f aca="false">IF(C265="","",IFERROR(INDEX(LOTES!$B$5:$B$1004,MATCH(C265,LOTES!$F$5:$F$1004,0)),""))</f>
        <v/>
      </c>
      <c r="G265" s="15" t="str">
        <f aca="false">IF(OR(B265="",F265=""),"",B265-F265)</f>
        <v/>
      </c>
      <c r="H265" s="13"/>
      <c r="I265" s="13"/>
      <c r="J265" s="13"/>
      <c r="K265" s="25"/>
      <c r="L265" s="25"/>
      <c r="M265" s="25"/>
      <c r="N265" s="25"/>
      <c r="O265" s="26"/>
      <c r="P265" s="16" t="str">
        <f aca="false">IF(O265="","",IFERROR(1/(1/(IF(K265="",INDEX(CONFIG!$F$5:$F$14,MATCH(D265,CONFIG!$D$5:$D$14,0)),K265)*IF(M265="",INDEX(CONFIG!$H$5:$H$14,MATCH(D265,CONFIG!$D$5:$D$14,0)),M265))),""))</f>
        <v/>
      </c>
      <c r="Q265" s="16" t="str">
        <f aca="false">IF(OR(O265="",P265=""),"",O265/P265)</f>
        <v/>
      </c>
      <c r="R265" s="16" t="str">
        <f aca="false">IF(Q265="","",Q265*0.0980665)</f>
        <v/>
      </c>
      <c r="S265" s="16" t="str">
        <f aca="false">IF(Q265="","",IFERROR(Q265/(1/(1/INDEX(CONFIG!$I$5:$I$14,MATCH(D265,CONFIG!$D$5:$D$14,0)))),""))</f>
        <v/>
      </c>
      <c r="T265" s="13"/>
      <c r="U265" s="13"/>
      <c r="V265" s="13"/>
      <c r="W265" s="13"/>
      <c r="X265" s="22" t="str">
        <f aca="false">IF(Q265="","",Q265^2)</f>
        <v/>
      </c>
      <c r="Y265" s="22" t="str">
        <f aca="false">IF(AND(C265&lt;&gt;"",C265=CERTIFICADO!$E$4,OR(CERTIFICADO!$E$5="",B265=CERTIFICADO!$E$5)),MAX($Y$4:Y264)+1,"")</f>
        <v/>
      </c>
    </row>
    <row r="266" customFormat="false" ht="15" hidden="false" customHeight="false" outlineLevel="0" collapsed="false">
      <c r="A266" s="11" t="str">
        <f aca="false">IF(C266="","",ROW()-4)</f>
        <v/>
      </c>
      <c r="B266" s="12"/>
      <c r="C266" s="13"/>
      <c r="D266" s="23" t="str">
        <f aca="false">IF(C266="","",IFERROR(INDEX(LOTES!$D$5:$D$1004,MATCH(C266,LOTES!$F$5:$F$1004,0)),"¿Lote?"))</f>
        <v/>
      </c>
      <c r="E266" s="11" t="str">
        <f aca="false">IF(C266="","",IFERROR(INDEX(LOTES!$C$5:$C$1004,MATCH(C266,LOTES!$F$5:$F$1004,0)),""))</f>
        <v/>
      </c>
      <c r="F266" s="24" t="str">
        <f aca="false">IF(C266="","",IFERROR(INDEX(LOTES!$B$5:$B$1004,MATCH(C266,LOTES!$F$5:$F$1004,0)),""))</f>
        <v/>
      </c>
      <c r="G266" s="15" t="str">
        <f aca="false">IF(OR(B266="",F266=""),"",B266-F266)</f>
        <v/>
      </c>
      <c r="H266" s="13"/>
      <c r="I266" s="13"/>
      <c r="J266" s="13"/>
      <c r="K266" s="25"/>
      <c r="L266" s="25"/>
      <c r="M266" s="25"/>
      <c r="N266" s="25"/>
      <c r="O266" s="26"/>
      <c r="P266" s="16" t="str">
        <f aca="false">IF(O266="","",IFERROR(1/(1/(IF(K266="",INDEX(CONFIG!$F$5:$F$14,MATCH(D266,CONFIG!$D$5:$D$14,0)),K266)*IF(M266="",INDEX(CONFIG!$H$5:$H$14,MATCH(D266,CONFIG!$D$5:$D$14,0)),M266))),""))</f>
        <v/>
      </c>
      <c r="Q266" s="16" t="str">
        <f aca="false">IF(OR(O266="",P266=""),"",O266/P266)</f>
        <v/>
      </c>
      <c r="R266" s="16" t="str">
        <f aca="false">IF(Q266="","",Q266*0.0980665)</f>
        <v/>
      </c>
      <c r="S266" s="16" t="str">
        <f aca="false">IF(Q266="","",IFERROR(Q266/(1/(1/INDEX(CONFIG!$I$5:$I$14,MATCH(D266,CONFIG!$D$5:$D$14,0)))),""))</f>
        <v/>
      </c>
      <c r="T266" s="13"/>
      <c r="U266" s="13"/>
      <c r="V266" s="13"/>
      <c r="W266" s="13"/>
      <c r="X266" s="22" t="str">
        <f aca="false">IF(Q266="","",Q266^2)</f>
        <v/>
      </c>
      <c r="Y266" s="22" t="str">
        <f aca="false">IF(AND(C266&lt;&gt;"",C266=CERTIFICADO!$E$4,OR(CERTIFICADO!$E$5="",B266=CERTIFICADO!$E$5)),MAX($Y$4:Y265)+1,"")</f>
        <v/>
      </c>
    </row>
    <row r="267" customFormat="false" ht="15" hidden="false" customHeight="false" outlineLevel="0" collapsed="false">
      <c r="A267" s="11" t="str">
        <f aca="false">IF(C267="","",ROW()-4)</f>
        <v/>
      </c>
      <c r="B267" s="12"/>
      <c r="C267" s="13"/>
      <c r="D267" s="23" t="str">
        <f aca="false">IF(C267="","",IFERROR(INDEX(LOTES!$D$5:$D$1004,MATCH(C267,LOTES!$F$5:$F$1004,0)),"¿Lote?"))</f>
        <v/>
      </c>
      <c r="E267" s="11" t="str">
        <f aca="false">IF(C267="","",IFERROR(INDEX(LOTES!$C$5:$C$1004,MATCH(C267,LOTES!$F$5:$F$1004,0)),""))</f>
        <v/>
      </c>
      <c r="F267" s="24" t="str">
        <f aca="false">IF(C267="","",IFERROR(INDEX(LOTES!$B$5:$B$1004,MATCH(C267,LOTES!$F$5:$F$1004,0)),""))</f>
        <v/>
      </c>
      <c r="G267" s="15" t="str">
        <f aca="false">IF(OR(B267="",F267=""),"",B267-F267)</f>
        <v/>
      </c>
      <c r="H267" s="13"/>
      <c r="I267" s="13"/>
      <c r="J267" s="13"/>
      <c r="K267" s="25"/>
      <c r="L267" s="25"/>
      <c r="M267" s="25"/>
      <c r="N267" s="25"/>
      <c r="O267" s="26"/>
      <c r="P267" s="16" t="str">
        <f aca="false">IF(O267="","",IFERROR(1/(1/(IF(K267="",INDEX(CONFIG!$F$5:$F$14,MATCH(D267,CONFIG!$D$5:$D$14,0)),K267)*IF(M267="",INDEX(CONFIG!$H$5:$H$14,MATCH(D267,CONFIG!$D$5:$D$14,0)),M267))),""))</f>
        <v/>
      </c>
      <c r="Q267" s="16" t="str">
        <f aca="false">IF(OR(O267="",P267=""),"",O267/P267)</f>
        <v/>
      </c>
      <c r="R267" s="16" t="str">
        <f aca="false">IF(Q267="","",Q267*0.0980665)</f>
        <v/>
      </c>
      <c r="S267" s="16" t="str">
        <f aca="false">IF(Q267="","",IFERROR(Q267/(1/(1/INDEX(CONFIG!$I$5:$I$14,MATCH(D267,CONFIG!$D$5:$D$14,0)))),""))</f>
        <v/>
      </c>
      <c r="T267" s="13"/>
      <c r="U267" s="13"/>
      <c r="V267" s="13"/>
      <c r="W267" s="13"/>
      <c r="X267" s="22" t="str">
        <f aca="false">IF(Q267="","",Q267^2)</f>
        <v/>
      </c>
      <c r="Y267" s="22" t="str">
        <f aca="false">IF(AND(C267&lt;&gt;"",C267=CERTIFICADO!$E$4,OR(CERTIFICADO!$E$5="",B267=CERTIFICADO!$E$5)),MAX($Y$4:Y266)+1,"")</f>
        <v/>
      </c>
    </row>
    <row r="268" customFormat="false" ht="15" hidden="false" customHeight="false" outlineLevel="0" collapsed="false">
      <c r="A268" s="11" t="str">
        <f aca="false">IF(C268="","",ROW()-4)</f>
        <v/>
      </c>
      <c r="B268" s="12"/>
      <c r="C268" s="13"/>
      <c r="D268" s="23" t="str">
        <f aca="false">IF(C268="","",IFERROR(INDEX(LOTES!$D$5:$D$1004,MATCH(C268,LOTES!$F$5:$F$1004,0)),"¿Lote?"))</f>
        <v/>
      </c>
      <c r="E268" s="11" t="str">
        <f aca="false">IF(C268="","",IFERROR(INDEX(LOTES!$C$5:$C$1004,MATCH(C268,LOTES!$F$5:$F$1004,0)),""))</f>
        <v/>
      </c>
      <c r="F268" s="24" t="str">
        <f aca="false">IF(C268="","",IFERROR(INDEX(LOTES!$B$5:$B$1004,MATCH(C268,LOTES!$F$5:$F$1004,0)),""))</f>
        <v/>
      </c>
      <c r="G268" s="15" t="str">
        <f aca="false">IF(OR(B268="",F268=""),"",B268-F268)</f>
        <v/>
      </c>
      <c r="H268" s="13"/>
      <c r="I268" s="13"/>
      <c r="J268" s="13"/>
      <c r="K268" s="25"/>
      <c r="L268" s="25"/>
      <c r="M268" s="25"/>
      <c r="N268" s="25"/>
      <c r="O268" s="26"/>
      <c r="P268" s="16" t="str">
        <f aca="false">IF(O268="","",IFERROR(1/(1/(IF(K268="",INDEX(CONFIG!$F$5:$F$14,MATCH(D268,CONFIG!$D$5:$D$14,0)),K268)*IF(M268="",INDEX(CONFIG!$H$5:$H$14,MATCH(D268,CONFIG!$D$5:$D$14,0)),M268))),""))</f>
        <v/>
      </c>
      <c r="Q268" s="16" t="str">
        <f aca="false">IF(OR(O268="",P268=""),"",O268/P268)</f>
        <v/>
      </c>
      <c r="R268" s="16" t="str">
        <f aca="false">IF(Q268="","",Q268*0.0980665)</f>
        <v/>
      </c>
      <c r="S268" s="16" t="str">
        <f aca="false">IF(Q268="","",IFERROR(Q268/(1/(1/INDEX(CONFIG!$I$5:$I$14,MATCH(D268,CONFIG!$D$5:$D$14,0)))),""))</f>
        <v/>
      </c>
      <c r="T268" s="13"/>
      <c r="U268" s="13"/>
      <c r="V268" s="13"/>
      <c r="W268" s="13"/>
      <c r="X268" s="22" t="str">
        <f aca="false">IF(Q268="","",Q268^2)</f>
        <v/>
      </c>
      <c r="Y268" s="22" t="str">
        <f aca="false">IF(AND(C268&lt;&gt;"",C268=CERTIFICADO!$E$4,OR(CERTIFICADO!$E$5="",B268=CERTIFICADO!$E$5)),MAX($Y$4:Y267)+1,"")</f>
        <v/>
      </c>
    </row>
    <row r="269" customFormat="false" ht="15" hidden="false" customHeight="false" outlineLevel="0" collapsed="false">
      <c r="A269" s="11" t="str">
        <f aca="false">IF(C269="","",ROW()-4)</f>
        <v/>
      </c>
      <c r="B269" s="12"/>
      <c r="C269" s="13"/>
      <c r="D269" s="23" t="str">
        <f aca="false">IF(C269="","",IFERROR(INDEX(LOTES!$D$5:$D$1004,MATCH(C269,LOTES!$F$5:$F$1004,0)),"¿Lote?"))</f>
        <v/>
      </c>
      <c r="E269" s="11" t="str">
        <f aca="false">IF(C269="","",IFERROR(INDEX(LOTES!$C$5:$C$1004,MATCH(C269,LOTES!$F$5:$F$1004,0)),""))</f>
        <v/>
      </c>
      <c r="F269" s="24" t="str">
        <f aca="false">IF(C269="","",IFERROR(INDEX(LOTES!$B$5:$B$1004,MATCH(C269,LOTES!$F$5:$F$1004,0)),""))</f>
        <v/>
      </c>
      <c r="G269" s="15" t="str">
        <f aca="false">IF(OR(B269="",F269=""),"",B269-F269)</f>
        <v/>
      </c>
      <c r="H269" s="13"/>
      <c r="I269" s="13"/>
      <c r="J269" s="13"/>
      <c r="K269" s="25"/>
      <c r="L269" s="25"/>
      <c r="M269" s="25"/>
      <c r="N269" s="25"/>
      <c r="O269" s="26"/>
      <c r="P269" s="16" t="str">
        <f aca="false">IF(O269="","",IFERROR(1/(1/(IF(K269="",INDEX(CONFIG!$F$5:$F$14,MATCH(D269,CONFIG!$D$5:$D$14,0)),K269)*IF(M269="",INDEX(CONFIG!$H$5:$H$14,MATCH(D269,CONFIG!$D$5:$D$14,0)),M269))),""))</f>
        <v/>
      </c>
      <c r="Q269" s="16" t="str">
        <f aca="false">IF(OR(O269="",P269=""),"",O269/P269)</f>
        <v/>
      </c>
      <c r="R269" s="16" t="str">
        <f aca="false">IF(Q269="","",Q269*0.0980665)</f>
        <v/>
      </c>
      <c r="S269" s="16" t="str">
        <f aca="false">IF(Q269="","",IFERROR(Q269/(1/(1/INDEX(CONFIG!$I$5:$I$14,MATCH(D269,CONFIG!$D$5:$D$14,0)))),""))</f>
        <v/>
      </c>
      <c r="T269" s="13"/>
      <c r="U269" s="13"/>
      <c r="V269" s="13"/>
      <c r="W269" s="13"/>
      <c r="X269" s="22" t="str">
        <f aca="false">IF(Q269="","",Q269^2)</f>
        <v/>
      </c>
      <c r="Y269" s="22" t="str">
        <f aca="false">IF(AND(C269&lt;&gt;"",C269=CERTIFICADO!$E$4,OR(CERTIFICADO!$E$5="",B269=CERTIFICADO!$E$5)),MAX($Y$4:Y268)+1,"")</f>
        <v/>
      </c>
    </row>
    <row r="270" customFormat="false" ht="15" hidden="false" customHeight="false" outlineLevel="0" collapsed="false">
      <c r="A270" s="11" t="str">
        <f aca="false">IF(C270="","",ROW()-4)</f>
        <v/>
      </c>
      <c r="B270" s="12"/>
      <c r="C270" s="13"/>
      <c r="D270" s="23" t="str">
        <f aca="false">IF(C270="","",IFERROR(INDEX(LOTES!$D$5:$D$1004,MATCH(C270,LOTES!$F$5:$F$1004,0)),"¿Lote?"))</f>
        <v/>
      </c>
      <c r="E270" s="11" t="str">
        <f aca="false">IF(C270="","",IFERROR(INDEX(LOTES!$C$5:$C$1004,MATCH(C270,LOTES!$F$5:$F$1004,0)),""))</f>
        <v/>
      </c>
      <c r="F270" s="24" t="str">
        <f aca="false">IF(C270="","",IFERROR(INDEX(LOTES!$B$5:$B$1004,MATCH(C270,LOTES!$F$5:$F$1004,0)),""))</f>
        <v/>
      </c>
      <c r="G270" s="15" t="str">
        <f aca="false">IF(OR(B270="",F270=""),"",B270-F270)</f>
        <v/>
      </c>
      <c r="H270" s="13"/>
      <c r="I270" s="13"/>
      <c r="J270" s="13"/>
      <c r="K270" s="25"/>
      <c r="L270" s="25"/>
      <c r="M270" s="25"/>
      <c r="N270" s="25"/>
      <c r="O270" s="26"/>
      <c r="P270" s="16" t="str">
        <f aca="false">IF(O270="","",IFERROR(1/(1/(IF(K270="",INDEX(CONFIG!$F$5:$F$14,MATCH(D270,CONFIG!$D$5:$D$14,0)),K270)*IF(M270="",INDEX(CONFIG!$H$5:$H$14,MATCH(D270,CONFIG!$D$5:$D$14,0)),M270))),""))</f>
        <v/>
      </c>
      <c r="Q270" s="16" t="str">
        <f aca="false">IF(OR(O270="",P270=""),"",O270/P270)</f>
        <v/>
      </c>
      <c r="R270" s="16" t="str">
        <f aca="false">IF(Q270="","",Q270*0.0980665)</f>
        <v/>
      </c>
      <c r="S270" s="16" t="str">
        <f aca="false">IF(Q270="","",IFERROR(Q270/(1/(1/INDEX(CONFIG!$I$5:$I$14,MATCH(D270,CONFIG!$D$5:$D$14,0)))),""))</f>
        <v/>
      </c>
      <c r="T270" s="13"/>
      <c r="U270" s="13"/>
      <c r="V270" s="13"/>
      <c r="W270" s="13"/>
      <c r="X270" s="22" t="str">
        <f aca="false">IF(Q270="","",Q270^2)</f>
        <v/>
      </c>
      <c r="Y270" s="22" t="str">
        <f aca="false">IF(AND(C270&lt;&gt;"",C270=CERTIFICADO!$E$4,OR(CERTIFICADO!$E$5="",B270=CERTIFICADO!$E$5)),MAX($Y$4:Y269)+1,"")</f>
        <v/>
      </c>
    </row>
    <row r="271" customFormat="false" ht="15" hidden="false" customHeight="false" outlineLevel="0" collapsed="false">
      <c r="A271" s="11" t="str">
        <f aca="false">IF(C271="","",ROW()-4)</f>
        <v/>
      </c>
      <c r="B271" s="12"/>
      <c r="C271" s="13"/>
      <c r="D271" s="23" t="str">
        <f aca="false">IF(C271="","",IFERROR(INDEX(LOTES!$D$5:$D$1004,MATCH(C271,LOTES!$F$5:$F$1004,0)),"¿Lote?"))</f>
        <v/>
      </c>
      <c r="E271" s="11" t="str">
        <f aca="false">IF(C271="","",IFERROR(INDEX(LOTES!$C$5:$C$1004,MATCH(C271,LOTES!$F$5:$F$1004,0)),""))</f>
        <v/>
      </c>
      <c r="F271" s="24" t="str">
        <f aca="false">IF(C271="","",IFERROR(INDEX(LOTES!$B$5:$B$1004,MATCH(C271,LOTES!$F$5:$F$1004,0)),""))</f>
        <v/>
      </c>
      <c r="G271" s="15" t="str">
        <f aca="false">IF(OR(B271="",F271=""),"",B271-F271)</f>
        <v/>
      </c>
      <c r="H271" s="13"/>
      <c r="I271" s="13"/>
      <c r="J271" s="13"/>
      <c r="K271" s="25"/>
      <c r="L271" s="25"/>
      <c r="M271" s="25"/>
      <c r="N271" s="25"/>
      <c r="O271" s="26"/>
      <c r="P271" s="16" t="str">
        <f aca="false">IF(O271="","",IFERROR(1/(1/(IF(K271="",INDEX(CONFIG!$F$5:$F$14,MATCH(D271,CONFIG!$D$5:$D$14,0)),K271)*IF(M271="",INDEX(CONFIG!$H$5:$H$14,MATCH(D271,CONFIG!$D$5:$D$14,0)),M271))),""))</f>
        <v/>
      </c>
      <c r="Q271" s="16" t="str">
        <f aca="false">IF(OR(O271="",P271=""),"",O271/P271)</f>
        <v/>
      </c>
      <c r="R271" s="16" t="str">
        <f aca="false">IF(Q271="","",Q271*0.0980665)</f>
        <v/>
      </c>
      <c r="S271" s="16" t="str">
        <f aca="false">IF(Q271="","",IFERROR(Q271/(1/(1/INDEX(CONFIG!$I$5:$I$14,MATCH(D271,CONFIG!$D$5:$D$14,0)))),""))</f>
        <v/>
      </c>
      <c r="T271" s="13"/>
      <c r="U271" s="13"/>
      <c r="V271" s="13"/>
      <c r="W271" s="13"/>
      <c r="X271" s="22" t="str">
        <f aca="false">IF(Q271="","",Q271^2)</f>
        <v/>
      </c>
      <c r="Y271" s="22" t="str">
        <f aca="false">IF(AND(C271&lt;&gt;"",C271=CERTIFICADO!$E$4,OR(CERTIFICADO!$E$5="",B271=CERTIFICADO!$E$5)),MAX($Y$4:Y270)+1,"")</f>
        <v/>
      </c>
    </row>
    <row r="272" customFormat="false" ht="15" hidden="false" customHeight="false" outlineLevel="0" collapsed="false">
      <c r="A272" s="11" t="str">
        <f aca="false">IF(C272="","",ROW()-4)</f>
        <v/>
      </c>
      <c r="B272" s="12"/>
      <c r="C272" s="13"/>
      <c r="D272" s="23" t="str">
        <f aca="false">IF(C272="","",IFERROR(INDEX(LOTES!$D$5:$D$1004,MATCH(C272,LOTES!$F$5:$F$1004,0)),"¿Lote?"))</f>
        <v/>
      </c>
      <c r="E272" s="11" t="str">
        <f aca="false">IF(C272="","",IFERROR(INDEX(LOTES!$C$5:$C$1004,MATCH(C272,LOTES!$F$5:$F$1004,0)),""))</f>
        <v/>
      </c>
      <c r="F272" s="24" t="str">
        <f aca="false">IF(C272="","",IFERROR(INDEX(LOTES!$B$5:$B$1004,MATCH(C272,LOTES!$F$5:$F$1004,0)),""))</f>
        <v/>
      </c>
      <c r="G272" s="15" t="str">
        <f aca="false">IF(OR(B272="",F272=""),"",B272-F272)</f>
        <v/>
      </c>
      <c r="H272" s="13"/>
      <c r="I272" s="13"/>
      <c r="J272" s="13"/>
      <c r="K272" s="25"/>
      <c r="L272" s="25"/>
      <c r="M272" s="25"/>
      <c r="N272" s="25"/>
      <c r="O272" s="26"/>
      <c r="P272" s="16" t="str">
        <f aca="false">IF(O272="","",IFERROR(1/(1/(IF(K272="",INDEX(CONFIG!$F$5:$F$14,MATCH(D272,CONFIG!$D$5:$D$14,0)),K272)*IF(M272="",INDEX(CONFIG!$H$5:$H$14,MATCH(D272,CONFIG!$D$5:$D$14,0)),M272))),""))</f>
        <v/>
      </c>
      <c r="Q272" s="16" t="str">
        <f aca="false">IF(OR(O272="",P272=""),"",O272/P272)</f>
        <v/>
      </c>
      <c r="R272" s="16" t="str">
        <f aca="false">IF(Q272="","",Q272*0.0980665)</f>
        <v/>
      </c>
      <c r="S272" s="16" t="str">
        <f aca="false">IF(Q272="","",IFERROR(Q272/(1/(1/INDEX(CONFIG!$I$5:$I$14,MATCH(D272,CONFIG!$D$5:$D$14,0)))),""))</f>
        <v/>
      </c>
      <c r="T272" s="13"/>
      <c r="U272" s="13"/>
      <c r="V272" s="13"/>
      <c r="W272" s="13"/>
      <c r="X272" s="22" t="str">
        <f aca="false">IF(Q272="","",Q272^2)</f>
        <v/>
      </c>
      <c r="Y272" s="22" t="str">
        <f aca="false">IF(AND(C272&lt;&gt;"",C272=CERTIFICADO!$E$4,OR(CERTIFICADO!$E$5="",B272=CERTIFICADO!$E$5)),MAX($Y$4:Y271)+1,"")</f>
        <v/>
      </c>
    </row>
    <row r="273" customFormat="false" ht="15" hidden="false" customHeight="false" outlineLevel="0" collapsed="false">
      <c r="A273" s="11" t="str">
        <f aca="false">IF(C273="","",ROW()-4)</f>
        <v/>
      </c>
      <c r="B273" s="12"/>
      <c r="C273" s="13"/>
      <c r="D273" s="23" t="str">
        <f aca="false">IF(C273="","",IFERROR(INDEX(LOTES!$D$5:$D$1004,MATCH(C273,LOTES!$F$5:$F$1004,0)),"¿Lote?"))</f>
        <v/>
      </c>
      <c r="E273" s="11" t="str">
        <f aca="false">IF(C273="","",IFERROR(INDEX(LOTES!$C$5:$C$1004,MATCH(C273,LOTES!$F$5:$F$1004,0)),""))</f>
        <v/>
      </c>
      <c r="F273" s="24" t="str">
        <f aca="false">IF(C273="","",IFERROR(INDEX(LOTES!$B$5:$B$1004,MATCH(C273,LOTES!$F$5:$F$1004,0)),""))</f>
        <v/>
      </c>
      <c r="G273" s="15" t="str">
        <f aca="false">IF(OR(B273="",F273=""),"",B273-F273)</f>
        <v/>
      </c>
      <c r="H273" s="13"/>
      <c r="I273" s="13"/>
      <c r="J273" s="13"/>
      <c r="K273" s="25"/>
      <c r="L273" s="25"/>
      <c r="M273" s="25"/>
      <c r="N273" s="25"/>
      <c r="O273" s="26"/>
      <c r="P273" s="16" t="str">
        <f aca="false">IF(O273="","",IFERROR(1/(1/(IF(K273="",INDEX(CONFIG!$F$5:$F$14,MATCH(D273,CONFIG!$D$5:$D$14,0)),K273)*IF(M273="",INDEX(CONFIG!$H$5:$H$14,MATCH(D273,CONFIG!$D$5:$D$14,0)),M273))),""))</f>
        <v/>
      </c>
      <c r="Q273" s="16" t="str">
        <f aca="false">IF(OR(O273="",P273=""),"",O273/P273)</f>
        <v/>
      </c>
      <c r="R273" s="16" t="str">
        <f aca="false">IF(Q273="","",Q273*0.0980665)</f>
        <v/>
      </c>
      <c r="S273" s="16" t="str">
        <f aca="false">IF(Q273="","",IFERROR(Q273/(1/(1/INDEX(CONFIG!$I$5:$I$14,MATCH(D273,CONFIG!$D$5:$D$14,0)))),""))</f>
        <v/>
      </c>
      <c r="T273" s="13"/>
      <c r="U273" s="13"/>
      <c r="V273" s="13"/>
      <c r="W273" s="13"/>
      <c r="X273" s="22" t="str">
        <f aca="false">IF(Q273="","",Q273^2)</f>
        <v/>
      </c>
      <c r="Y273" s="22" t="str">
        <f aca="false">IF(AND(C273&lt;&gt;"",C273=CERTIFICADO!$E$4,OR(CERTIFICADO!$E$5="",B273=CERTIFICADO!$E$5)),MAX($Y$4:Y272)+1,"")</f>
        <v/>
      </c>
    </row>
    <row r="274" customFormat="false" ht="15" hidden="false" customHeight="false" outlineLevel="0" collapsed="false">
      <c r="A274" s="11" t="str">
        <f aca="false">IF(C274="","",ROW()-4)</f>
        <v/>
      </c>
      <c r="B274" s="12"/>
      <c r="C274" s="13"/>
      <c r="D274" s="23" t="str">
        <f aca="false">IF(C274="","",IFERROR(INDEX(LOTES!$D$5:$D$1004,MATCH(C274,LOTES!$F$5:$F$1004,0)),"¿Lote?"))</f>
        <v/>
      </c>
      <c r="E274" s="11" t="str">
        <f aca="false">IF(C274="","",IFERROR(INDEX(LOTES!$C$5:$C$1004,MATCH(C274,LOTES!$F$5:$F$1004,0)),""))</f>
        <v/>
      </c>
      <c r="F274" s="24" t="str">
        <f aca="false">IF(C274="","",IFERROR(INDEX(LOTES!$B$5:$B$1004,MATCH(C274,LOTES!$F$5:$F$1004,0)),""))</f>
        <v/>
      </c>
      <c r="G274" s="15" t="str">
        <f aca="false">IF(OR(B274="",F274=""),"",B274-F274)</f>
        <v/>
      </c>
      <c r="H274" s="13"/>
      <c r="I274" s="13"/>
      <c r="J274" s="13"/>
      <c r="K274" s="25"/>
      <c r="L274" s="25"/>
      <c r="M274" s="25"/>
      <c r="N274" s="25"/>
      <c r="O274" s="26"/>
      <c r="P274" s="16" t="str">
        <f aca="false">IF(O274="","",IFERROR(1/(1/(IF(K274="",INDEX(CONFIG!$F$5:$F$14,MATCH(D274,CONFIG!$D$5:$D$14,0)),K274)*IF(M274="",INDEX(CONFIG!$H$5:$H$14,MATCH(D274,CONFIG!$D$5:$D$14,0)),M274))),""))</f>
        <v/>
      </c>
      <c r="Q274" s="16" t="str">
        <f aca="false">IF(OR(O274="",P274=""),"",O274/P274)</f>
        <v/>
      </c>
      <c r="R274" s="16" t="str">
        <f aca="false">IF(Q274="","",Q274*0.0980665)</f>
        <v/>
      </c>
      <c r="S274" s="16" t="str">
        <f aca="false">IF(Q274="","",IFERROR(Q274/(1/(1/INDEX(CONFIG!$I$5:$I$14,MATCH(D274,CONFIG!$D$5:$D$14,0)))),""))</f>
        <v/>
      </c>
      <c r="T274" s="13"/>
      <c r="U274" s="13"/>
      <c r="V274" s="13"/>
      <c r="W274" s="13"/>
      <c r="X274" s="22" t="str">
        <f aca="false">IF(Q274="","",Q274^2)</f>
        <v/>
      </c>
      <c r="Y274" s="22" t="str">
        <f aca="false">IF(AND(C274&lt;&gt;"",C274=CERTIFICADO!$E$4,OR(CERTIFICADO!$E$5="",B274=CERTIFICADO!$E$5)),MAX($Y$4:Y273)+1,"")</f>
        <v/>
      </c>
    </row>
    <row r="275" customFormat="false" ht="15" hidden="false" customHeight="false" outlineLevel="0" collapsed="false">
      <c r="A275" s="11" t="str">
        <f aca="false">IF(C275="","",ROW()-4)</f>
        <v/>
      </c>
      <c r="B275" s="12"/>
      <c r="C275" s="13"/>
      <c r="D275" s="23" t="str">
        <f aca="false">IF(C275="","",IFERROR(INDEX(LOTES!$D$5:$D$1004,MATCH(C275,LOTES!$F$5:$F$1004,0)),"¿Lote?"))</f>
        <v/>
      </c>
      <c r="E275" s="11" t="str">
        <f aca="false">IF(C275="","",IFERROR(INDEX(LOTES!$C$5:$C$1004,MATCH(C275,LOTES!$F$5:$F$1004,0)),""))</f>
        <v/>
      </c>
      <c r="F275" s="24" t="str">
        <f aca="false">IF(C275="","",IFERROR(INDEX(LOTES!$B$5:$B$1004,MATCH(C275,LOTES!$F$5:$F$1004,0)),""))</f>
        <v/>
      </c>
      <c r="G275" s="15" t="str">
        <f aca="false">IF(OR(B275="",F275=""),"",B275-F275)</f>
        <v/>
      </c>
      <c r="H275" s="13"/>
      <c r="I275" s="13"/>
      <c r="J275" s="13"/>
      <c r="K275" s="25"/>
      <c r="L275" s="25"/>
      <c r="M275" s="25"/>
      <c r="N275" s="25"/>
      <c r="O275" s="26"/>
      <c r="P275" s="16" t="str">
        <f aca="false">IF(O275="","",IFERROR(1/(1/(IF(K275="",INDEX(CONFIG!$F$5:$F$14,MATCH(D275,CONFIG!$D$5:$D$14,0)),K275)*IF(M275="",INDEX(CONFIG!$H$5:$H$14,MATCH(D275,CONFIG!$D$5:$D$14,0)),M275))),""))</f>
        <v/>
      </c>
      <c r="Q275" s="16" t="str">
        <f aca="false">IF(OR(O275="",P275=""),"",O275/P275)</f>
        <v/>
      </c>
      <c r="R275" s="16" t="str">
        <f aca="false">IF(Q275="","",Q275*0.0980665)</f>
        <v/>
      </c>
      <c r="S275" s="16" t="str">
        <f aca="false">IF(Q275="","",IFERROR(Q275/(1/(1/INDEX(CONFIG!$I$5:$I$14,MATCH(D275,CONFIG!$D$5:$D$14,0)))),""))</f>
        <v/>
      </c>
      <c r="T275" s="13"/>
      <c r="U275" s="13"/>
      <c r="V275" s="13"/>
      <c r="W275" s="13"/>
      <c r="X275" s="22" t="str">
        <f aca="false">IF(Q275="","",Q275^2)</f>
        <v/>
      </c>
      <c r="Y275" s="22" t="str">
        <f aca="false">IF(AND(C275&lt;&gt;"",C275=CERTIFICADO!$E$4,OR(CERTIFICADO!$E$5="",B275=CERTIFICADO!$E$5)),MAX($Y$4:Y274)+1,"")</f>
        <v/>
      </c>
    </row>
    <row r="276" customFormat="false" ht="15" hidden="false" customHeight="false" outlineLevel="0" collapsed="false">
      <c r="A276" s="11" t="str">
        <f aca="false">IF(C276="","",ROW()-4)</f>
        <v/>
      </c>
      <c r="B276" s="12"/>
      <c r="C276" s="13"/>
      <c r="D276" s="23" t="str">
        <f aca="false">IF(C276="","",IFERROR(INDEX(LOTES!$D$5:$D$1004,MATCH(C276,LOTES!$F$5:$F$1004,0)),"¿Lote?"))</f>
        <v/>
      </c>
      <c r="E276" s="11" t="str">
        <f aca="false">IF(C276="","",IFERROR(INDEX(LOTES!$C$5:$C$1004,MATCH(C276,LOTES!$F$5:$F$1004,0)),""))</f>
        <v/>
      </c>
      <c r="F276" s="24" t="str">
        <f aca="false">IF(C276="","",IFERROR(INDEX(LOTES!$B$5:$B$1004,MATCH(C276,LOTES!$F$5:$F$1004,0)),""))</f>
        <v/>
      </c>
      <c r="G276" s="15" t="str">
        <f aca="false">IF(OR(B276="",F276=""),"",B276-F276)</f>
        <v/>
      </c>
      <c r="H276" s="13"/>
      <c r="I276" s="13"/>
      <c r="J276" s="13"/>
      <c r="K276" s="25"/>
      <c r="L276" s="25"/>
      <c r="M276" s="25"/>
      <c r="N276" s="25"/>
      <c r="O276" s="26"/>
      <c r="P276" s="16" t="str">
        <f aca="false">IF(O276="","",IFERROR(1/(1/(IF(K276="",INDEX(CONFIG!$F$5:$F$14,MATCH(D276,CONFIG!$D$5:$D$14,0)),K276)*IF(M276="",INDEX(CONFIG!$H$5:$H$14,MATCH(D276,CONFIG!$D$5:$D$14,0)),M276))),""))</f>
        <v/>
      </c>
      <c r="Q276" s="16" t="str">
        <f aca="false">IF(OR(O276="",P276=""),"",O276/P276)</f>
        <v/>
      </c>
      <c r="R276" s="16" t="str">
        <f aca="false">IF(Q276="","",Q276*0.0980665)</f>
        <v/>
      </c>
      <c r="S276" s="16" t="str">
        <f aca="false">IF(Q276="","",IFERROR(Q276/(1/(1/INDEX(CONFIG!$I$5:$I$14,MATCH(D276,CONFIG!$D$5:$D$14,0)))),""))</f>
        <v/>
      </c>
      <c r="T276" s="13"/>
      <c r="U276" s="13"/>
      <c r="V276" s="13"/>
      <c r="W276" s="13"/>
      <c r="X276" s="22" t="str">
        <f aca="false">IF(Q276="","",Q276^2)</f>
        <v/>
      </c>
      <c r="Y276" s="22" t="str">
        <f aca="false">IF(AND(C276&lt;&gt;"",C276=CERTIFICADO!$E$4,OR(CERTIFICADO!$E$5="",B276=CERTIFICADO!$E$5)),MAX($Y$4:Y275)+1,"")</f>
        <v/>
      </c>
    </row>
    <row r="277" customFormat="false" ht="15" hidden="false" customHeight="false" outlineLevel="0" collapsed="false">
      <c r="A277" s="11" t="str">
        <f aca="false">IF(C277="","",ROW()-4)</f>
        <v/>
      </c>
      <c r="B277" s="12"/>
      <c r="C277" s="13"/>
      <c r="D277" s="23" t="str">
        <f aca="false">IF(C277="","",IFERROR(INDEX(LOTES!$D$5:$D$1004,MATCH(C277,LOTES!$F$5:$F$1004,0)),"¿Lote?"))</f>
        <v/>
      </c>
      <c r="E277" s="11" t="str">
        <f aca="false">IF(C277="","",IFERROR(INDEX(LOTES!$C$5:$C$1004,MATCH(C277,LOTES!$F$5:$F$1004,0)),""))</f>
        <v/>
      </c>
      <c r="F277" s="24" t="str">
        <f aca="false">IF(C277="","",IFERROR(INDEX(LOTES!$B$5:$B$1004,MATCH(C277,LOTES!$F$5:$F$1004,0)),""))</f>
        <v/>
      </c>
      <c r="G277" s="15" t="str">
        <f aca="false">IF(OR(B277="",F277=""),"",B277-F277)</f>
        <v/>
      </c>
      <c r="H277" s="13"/>
      <c r="I277" s="13"/>
      <c r="J277" s="13"/>
      <c r="K277" s="25"/>
      <c r="L277" s="25"/>
      <c r="M277" s="25"/>
      <c r="N277" s="25"/>
      <c r="O277" s="26"/>
      <c r="P277" s="16" t="str">
        <f aca="false">IF(O277="","",IFERROR(1/(1/(IF(K277="",INDEX(CONFIG!$F$5:$F$14,MATCH(D277,CONFIG!$D$5:$D$14,0)),K277)*IF(M277="",INDEX(CONFIG!$H$5:$H$14,MATCH(D277,CONFIG!$D$5:$D$14,0)),M277))),""))</f>
        <v/>
      </c>
      <c r="Q277" s="16" t="str">
        <f aca="false">IF(OR(O277="",P277=""),"",O277/P277)</f>
        <v/>
      </c>
      <c r="R277" s="16" t="str">
        <f aca="false">IF(Q277="","",Q277*0.0980665)</f>
        <v/>
      </c>
      <c r="S277" s="16" t="str">
        <f aca="false">IF(Q277="","",IFERROR(Q277/(1/(1/INDEX(CONFIG!$I$5:$I$14,MATCH(D277,CONFIG!$D$5:$D$14,0)))),""))</f>
        <v/>
      </c>
      <c r="T277" s="13"/>
      <c r="U277" s="13"/>
      <c r="V277" s="13"/>
      <c r="W277" s="13"/>
      <c r="X277" s="22" t="str">
        <f aca="false">IF(Q277="","",Q277^2)</f>
        <v/>
      </c>
      <c r="Y277" s="22" t="str">
        <f aca="false">IF(AND(C277&lt;&gt;"",C277=CERTIFICADO!$E$4,OR(CERTIFICADO!$E$5="",B277=CERTIFICADO!$E$5)),MAX($Y$4:Y276)+1,"")</f>
        <v/>
      </c>
    </row>
    <row r="278" customFormat="false" ht="15" hidden="false" customHeight="false" outlineLevel="0" collapsed="false">
      <c r="A278" s="11" t="str">
        <f aca="false">IF(C278="","",ROW()-4)</f>
        <v/>
      </c>
      <c r="B278" s="12"/>
      <c r="C278" s="13"/>
      <c r="D278" s="23" t="str">
        <f aca="false">IF(C278="","",IFERROR(INDEX(LOTES!$D$5:$D$1004,MATCH(C278,LOTES!$F$5:$F$1004,0)),"¿Lote?"))</f>
        <v/>
      </c>
      <c r="E278" s="11" t="str">
        <f aca="false">IF(C278="","",IFERROR(INDEX(LOTES!$C$5:$C$1004,MATCH(C278,LOTES!$F$5:$F$1004,0)),""))</f>
        <v/>
      </c>
      <c r="F278" s="24" t="str">
        <f aca="false">IF(C278="","",IFERROR(INDEX(LOTES!$B$5:$B$1004,MATCH(C278,LOTES!$F$5:$F$1004,0)),""))</f>
        <v/>
      </c>
      <c r="G278" s="15" t="str">
        <f aca="false">IF(OR(B278="",F278=""),"",B278-F278)</f>
        <v/>
      </c>
      <c r="H278" s="13"/>
      <c r="I278" s="13"/>
      <c r="J278" s="13"/>
      <c r="K278" s="25"/>
      <c r="L278" s="25"/>
      <c r="M278" s="25"/>
      <c r="N278" s="25"/>
      <c r="O278" s="26"/>
      <c r="P278" s="16" t="str">
        <f aca="false">IF(O278="","",IFERROR(1/(1/(IF(K278="",INDEX(CONFIG!$F$5:$F$14,MATCH(D278,CONFIG!$D$5:$D$14,0)),K278)*IF(M278="",INDEX(CONFIG!$H$5:$H$14,MATCH(D278,CONFIG!$D$5:$D$14,0)),M278))),""))</f>
        <v/>
      </c>
      <c r="Q278" s="16" t="str">
        <f aca="false">IF(OR(O278="",P278=""),"",O278/P278)</f>
        <v/>
      </c>
      <c r="R278" s="16" t="str">
        <f aca="false">IF(Q278="","",Q278*0.0980665)</f>
        <v/>
      </c>
      <c r="S278" s="16" t="str">
        <f aca="false">IF(Q278="","",IFERROR(Q278/(1/(1/INDEX(CONFIG!$I$5:$I$14,MATCH(D278,CONFIG!$D$5:$D$14,0)))),""))</f>
        <v/>
      </c>
      <c r="T278" s="13"/>
      <c r="U278" s="13"/>
      <c r="V278" s="13"/>
      <c r="W278" s="13"/>
      <c r="X278" s="22" t="str">
        <f aca="false">IF(Q278="","",Q278^2)</f>
        <v/>
      </c>
      <c r="Y278" s="22" t="str">
        <f aca="false">IF(AND(C278&lt;&gt;"",C278=CERTIFICADO!$E$4,OR(CERTIFICADO!$E$5="",B278=CERTIFICADO!$E$5)),MAX($Y$4:Y277)+1,"")</f>
        <v/>
      </c>
    </row>
    <row r="279" customFormat="false" ht="15" hidden="false" customHeight="false" outlineLevel="0" collapsed="false">
      <c r="A279" s="11" t="str">
        <f aca="false">IF(C279="","",ROW()-4)</f>
        <v/>
      </c>
      <c r="B279" s="12"/>
      <c r="C279" s="13"/>
      <c r="D279" s="23" t="str">
        <f aca="false">IF(C279="","",IFERROR(INDEX(LOTES!$D$5:$D$1004,MATCH(C279,LOTES!$F$5:$F$1004,0)),"¿Lote?"))</f>
        <v/>
      </c>
      <c r="E279" s="11" t="str">
        <f aca="false">IF(C279="","",IFERROR(INDEX(LOTES!$C$5:$C$1004,MATCH(C279,LOTES!$F$5:$F$1004,0)),""))</f>
        <v/>
      </c>
      <c r="F279" s="24" t="str">
        <f aca="false">IF(C279="","",IFERROR(INDEX(LOTES!$B$5:$B$1004,MATCH(C279,LOTES!$F$5:$F$1004,0)),""))</f>
        <v/>
      </c>
      <c r="G279" s="15" t="str">
        <f aca="false">IF(OR(B279="",F279=""),"",B279-F279)</f>
        <v/>
      </c>
      <c r="H279" s="13"/>
      <c r="I279" s="13"/>
      <c r="J279" s="13"/>
      <c r="K279" s="25"/>
      <c r="L279" s="25"/>
      <c r="M279" s="25"/>
      <c r="N279" s="25"/>
      <c r="O279" s="26"/>
      <c r="P279" s="16" t="str">
        <f aca="false">IF(O279="","",IFERROR(1/(1/(IF(K279="",INDEX(CONFIG!$F$5:$F$14,MATCH(D279,CONFIG!$D$5:$D$14,0)),K279)*IF(M279="",INDEX(CONFIG!$H$5:$H$14,MATCH(D279,CONFIG!$D$5:$D$14,0)),M279))),""))</f>
        <v/>
      </c>
      <c r="Q279" s="16" t="str">
        <f aca="false">IF(OR(O279="",P279=""),"",O279/P279)</f>
        <v/>
      </c>
      <c r="R279" s="16" t="str">
        <f aca="false">IF(Q279="","",Q279*0.0980665)</f>
        <v/>
      </c>
      <c r="S279" s="16" t="str">
        <f aca="false">IF(Q279="","",IFERROR(Q279/(1/(1/INDEX(CONFIG!$I$5:$I$14,MATCH(D279,CONFIG!$D$5:$D$14,0)))),""))</f>
        <v/>
      </c>
      <c r="T279" s="13"/>
      <c r="U279" s="13"/>
      <c r="V279" s="13"/>
      <c r="W279" s="13"/>
      <c r="X279" s="22" t="str">
        <f aca="false">IF(Q279="","",Q279^2)</f>
        <v/>
      </c>
      <c r="Y279" s="22" t="str">
        <f aca="false">IF(AND(C279&lt;&gt;"",C279=CERTIFICADO!$E$4,OR(CERTIFICADO!$E$5="",B279=CERTIFICADO!$E$5)),MAX($Y$4:Y278)+1,"")</f>
        <v/>
      </c>
    </row>
    <row r="280" customFormat="false" ht="15" hidden="false" customHeight="false" outlineLevel="0" collapsed="false">
      <c r="A280" s="11" t="str">
        <f aca="false">IF(C280="","",ROW()-4)</f>
        <v/>
      </c>
      <c r="B280" s="12"/>
      <c r="C280" s="13"/>
      <c r="D280" s="23" t="str">
        <f aca="false">IF(C280="","",IFERROR(INDEX(LOTES!$D$5:$D$1004,MATCH(C280,LOTES!$F$5:$F$1004,0)),"¿Lote?"))</f>
        <v/>
      </c>
      <c r="E280" s="11" t="str">
        <f aca="false">IF(C280="","",IFERROR(INDEX(LOTES!$C$5:$C$1004,MATCH(C280,LOTES!$F$5:$F$1004,0)),""))</f>
        <v/>
      </c>
      <c r="F280" s="24" t="str">
        <f aca="false">IF(C280="","",IFERROR(INDEX(LOTES!$B$5:$B$1004,MATCH(C280,LOTES!$F$5:$F$1004,0)),""))</f>
        <v/>
      </c>
      <c r="G280" s="15" t="str">
        <f aca="false">IF(OR(B280="",F280=""),"",B280-F280)</f>
        <v/>
      </c>
      <c r="H280" s="13"/>
      <c r="I280" s="13"/>
      <c r="J280" s="13"/>
      <c r="K280" s="25"/>
      <c r="L280" s="25"/>
      <c r="M280" s="25"/>
      <c r="N280" s="25"/>
      <c r="O280" s="26"/>
      <c r="P280" s="16" t="str">
        <f aca="false">IF(O280="","",IFERROR(1/(1/(IF(K280="",INDEX(CONFIG!$F$5:$F$14,MATCH(D280,CONFIG!$D$5:$D$14,0)),K280)*IF(M280="",INDEX(CONFIG!$H$5:$H$14,MATCH(D280,CONFIG!$D$5:$D$14,0)),M280))),""))</f>
        <v/>
      </c>
      <c r="Q280" s="16" t="str">
        <f aca="false">IF(OR(O280="",P280=""),"",O280/P280)</f>
        <v/>
      </c>
      <c r="R280" s="16" t="str">
        <f aca="false">IF(Q280="","",Q280*0.0980665)</f>
        <v/>
      </c>
      <c r="S280" s="16" t="str">
        <f aca="false">IF(Q280="","",IFERROR(Q280/(1/(1/INDEX(CONFIG!$I$5:$I$14,MATCH(D280,CONFIG!$D$5:$D$14,0)))),""))</f>
        <v/>
      </c>
      <c r="T280" s="13"/>
      <c r="U280" s="13"/>
      <c r="V280" s="13"/>
      <c r="W280" s="13"/>
      <c r="X280" s="22" t="str">
        <f aca="false">IF(Q280="","",Q280^2)</f>
        <v/>
      </c>
      <c r="Y280" s="22" t="str">
        <f aca="false">IF(AND(C280&lt;&gt;"",C280=CERTIFICADO!$E$4,OR(CERTIFICADO!$E$5="",B280=CERTIFICADO!$E$5)),MAX($Y$4:Y279)+1,"")</f>
        <v/>
      </c>
    </row>
    <row r="281" customFormat="false" ht="15" hidden="false" customHeight="false" outlineLevel="0" collapsed="false">
      <c r="A281" s="11" t="str">
        <f aca="false">IF(C281="","",ROW()-4)</f>
        <v/>
      </c>
      <c r="B281" s="12"/>
      <c r="C281" s="13"/>
      <c r="D281" s="23" t="str">
        <f aca="false">IF(C281="","",IFERROR(INDEX(LOTES!$D$5:$D$1004,MATCH(C281,LOTES!$F$5:$F$1004,0)),"¿Lote?"))</f>
        <v/>
      </c>
      <c r="E281" s="11" t="str">
        <f aca="false">IF(C281="","",IFERROR(INDEX(LOTES!$C$5:$C$1004,MATCH(C281,LOTES!$F$5:$F$1004,0)),""))</f>
        <v/>
      </c>
      <c r="F281" s="24" t="str">
        <f aca="false">IF(C281="","",IFERROR(INDEX(LOTES!$B$5:$B$1004,MATCH(C281,LOTES!$F$5:$F$1004,0)),""))</f>
        <v/>
      </c>
      <c r="G281" s="15" t="str">
        <f aca="false">IF(OR(B281="",F281=""),"",B281-F281)</f>
        <v/>
      </c>
      <c r="H281" s="13"/>
      <c r="I281" s="13"/>
      <c r="J281" s="13"/>
      <c r="K281" s="25"/>
      <c r="L281" s="25"/>
      <c r="M281" s="25"/>
      <c r="N281" s="25"/>
      <c r="O281" s="26"/>
      <c r="P281" s="16" t="str">
        <f aca="false">IF(O281="","",IFERROR(1/(1/(IF(K281="",INDEX(CONFIG!$F$5:$F$14,MATCH(D281,CONFIG!$D$5:$D$14,0)),K281)*IF(M281="",INDEX(CONFIG!$H$5:$H$14,MATCH(D281,CONFIG!$D$5:$D$14,0)),M281))),""))</f>
        <v/>
      </c>
      <c r="Q281" s="16" t="str">
        <f aca="false">IF(OR(O281="",P281=""),"",O281/P281)</f>
        <v/>
      </c>
      <c r="R281" s="16" t="str">
        <f aca="false">IF(Q281="","",Q281*0.0980665)</f>
        <v/>
      </c>
      <c r="S281" s="16" t="str">
        <f aca="false">IF(Q281="","",IFERROR(Q281/(1/(1/INDEX(CONFIG!$I$5:$I$14,MATCH(D281,CONFIG!$D$5:$D$14,0)))),""))</f>
        <v/>
      </c>
      <c r="T281" s="13"/>
      <c r="U281" s="13"/>
      <c r="V281" s="13"/>
      <c r="W281" s="13"/>
      <c r="X281" s="22" t="str">
        <f aca="false">IF(Q281="","",Q281^2)</f>
        <v/>
      </c>
      <c r="Y281" s="22" t="str">
        <f aca="false">IF(AND(C281&lt;&gt;"",C281=CERTIFICADO!$E$4,OR(CERTIFICADO!$E$5="",B281=CERTIFICADO!$E$5)),MAX($Y$4:Y280)+1,"")</f>
        <v/>
      </c>
    </row>
    <row r="282" customFormat="false" ht="15" hidden="false" customHeight="false" outlineLevel="0" collapsed="false">
      <c r="A282" s="11" t="str">
        <f aca="false">IF(C282="","",ROW()-4)</f>
        <v/>
      </c>
      <c r="B282" s="12"/>
      <c r="C282" s="13"/>
      <c r="D282" s="23" t="str">
        <f aca="false">IF(C282="","",IFERROR(INDEX(LOTES!$D$5:$D$1004,MATCH(C282,LOTES!$F$5:$F$1004,0)),"¿Lote?"))</f>
        <v/>
      </c>
      <c r="E282" s="11" t="str">
        <f aca="false">IF(C282="","",IFERROR(INDEX(LOTES!$C$5:$C$1004,MATCH(C282,LOTES!$F$5:$F$1004,0)),""))</f>
        <v/>
      </c>
      <c r="F282" s="24" t="str">
        <f aca="false">IF(C282="","",IFERROR(INDEX(LOTES!$B$5:$B$1004,MATCH(C282,LOTES!$F$5:$F$1004,0)),""))</f>
        <v/>
      </c>
      <c r="G282" s="15" t="str">
        <f aca="false">IF(OR(B282="",F282=""),"",B282-F282)</f>
        <v/>
      </c>
      <c r="H282" s="13"/>
      <c r="I282" s="13"/>
      <c r="J282" s="13"/>
      <c r="K282" s="25"/>
      <c r="L282" s="25"/>
      <c r="M282" s="25"/>
      <c r="N282" s="25"/>
      <c r="O282" s="26"/>
      <c r="P282" s="16" t="str">
        <f aca="false">IF(O282="","",IFERROR(1/(1/(IF(K282="",INDEX(CONFIG!$F$5:$F$14,MATCH(D282,CONFIG!$D$5:$D$14,0)),K282)*IF(M282="",INDEX(CONFIG!$H$5:$H$14,MATCH(D282,CONFIG!$D$5:$D$14,0)),M282))),""))</f>
        <v/>
      </c>
      <c r="Q282" s="16" t="str">
        <f aca="false">IF(OR(O282="",P282=""),"",O282/P282)</f>
        <v/>
      </c>
      <c r="R282" s="16" t="str">
        <f aca="false">IF(Q282="","",Q282*0.0980665)</f>
        <v/>
      </c>
      <c r="S282" s="16" t="str">
        <f aca="false">IF(Q282="","",IFERROR(Q282/(1/(1/INDEX(CONFIG!$I$5:$I$14,MATCH(D282,CONFIG!$D$5:$D$14,0)))),""))</f>
        <v/>
      </c>
      <c r="T282" s="13"/>
      <c r="U282" s="13"/>
      <c r="V282" s="13"/>
      <c r="W282" s="13"/>
      <c r="X282" s="22" t="str">
        <f aca="false">IF(Q282="","",Q282^2)</f>
        <v/>
      </c>
      <c r="Y282" s="22" t="str">
        <f aca="false">IF(AND(C282&lt;&gt;"",C282=CERTIFICADO!$E$4,OR(CERTIFICADO!$E$5="",B282=CERTIFICADO!$E$5)),MAX($Y$4:Y281)+1,"")</f>
        <v/>
      </c>
    </row>
    <row r="283" customFormat="false" ht="15" hidden="false" customHeight="false" outlineLevel="0" collapsed="false">
      <c r="A283" s="11" t="str">
        <f aca="false">IF(C283="","",ROW()-4)</f>
        <v/>
      </c>
      <c r="B283" s="12"/>
      <c r="C283" s="13"/>
      <c r="D283" s="23" t="str">
        <f aca="false">IF(C283="","",IFERROR(INDEX(LOTES!$D$5:$D$1004,MATCH(C283,LOTES!$F$5:$F$1004,0)),"¿Lote?"))</f>
        <v/>
      </c>
      <c r="E283" s="11" t="str">
        <f aca="false">IF(C283="","",IFERROR(INDEX(LOTES!$C$5:$C$1004,MATCH(C283,LOTES!$F$5:$F$1004,0)),""))</f>
        <v/>
      </c>
      <c r="F283" s="24" t="str">
        <f aca="false">IF(C283="","",IFERROR(INDEX(LOTES!$B$5:$B$1004,MATCH(C283,LOTES!$F$5:$F$1004,0)),""))</f>
        <v/>
      </c>
      <c r="G283" s="15" t="str">
        <f aca="false">IF(OR(B283="",F283=""),"",B283-F283)</f>
        <v/>
      </c>
      <c r="H283" s="13"/>
      <c r="I283" s="13"/>
      <c r="J283" s="13"/>
      <c r="K283" s="25"/>
      <c r="L283" s="25"/>
      <c r="M283" s="25"/>
      <c r="N283" s="25"/>
      <c r="O283" s="26"/>
      <c r="P283" s="16" t="str">
        <f aca="false">IF(O283="","",IFERROR(1/(1/(IF(K283="",INDEX(CONFIG!$F$5:$F$14,MATCH(D283,CONFIG!$D$5:$D$14,0)),K283)*IF(M283="",INDEX(CONFIG!$H$5:$H$14,MATCH(D283,CONFIG!$D$5:$D$14,0)),M283))),""))</f>
        <v/>
      </c>
      <c r="Q283" s="16" t="str">
        <f aca="false">IF(OR(O283="",P283=""),"",O283/P283)</f>
        <v/>
      </c>
      <c r="R283" s="16" t="str">
        <f aca="false">IF(Q283="","",Q283*0.0980665)</f>
        <v/>
      </c>
      <c r="S283" s="16" t="str">
        <f aca="false">IF(Q283="","",IFERROR(Q283/(1/(1/INDEX(CONFIG!$I$5:$I$14,MATCH(D283,CONFIG!$D$5:$D$14,0)))),""))</f>
        <v/>
      </c>
      <c r="T283" s="13"/>
      <c r="U283" s="13"/>
      <c r="V283" s="13"/>
      <c r="W283" s="13"/>
      <c r="X283" s="22" t="str">
        <f aca="false">IF(Q283="","",Q283^2)</f>
        <v/>
      </c>
      <c r="Y283" s="22" t="str">
        <f aca="false">IF(AND(C283&lt;&gt;"",C283=CERTIFICADO!$E$4,OR(CERTIFICADO!$E$5="",B283=CERTIFICADO!$E$5)),MAX($Y$4:Y282)+1,"")</f>
        <v/>
      </c>
    </row>
    <row r="284" customFormat="false" ht="15" hidden="false" customHeight="false" outlineLevel="0" collapsed="false">
      <c r="A284" s="11" t="str">
        <f aca="false">IF(C284="","",ROW()-4)</f>
        <v/>
      </c>
      <c r="B284" s="12"/>
      <c r="C284" s="13"/>
      <c r="D284" s="23" t="str">
        <f aca="false">IF(C284="","",IFERROR(INDEX(LOTES!$D$5:$D$1004,MATCH(C284,LOTES!$F$5:$F$1004,0)),"¿Lote?"))</f>
        <v/>
      </c>
      <c r="E284" s="11" t="str">
        <f aca="false">IF(C284="","",IFERROR(INDEX(LOTES!$C$5:$C$1004,MATCH(C284,LOTES!$F$5:$F$1004,0)),""))</f>
        <v/>
      </c>
      <c r="F284" s="24" t="str">
        <f aca="false">IF(C284="","",IFERROR(INDEX(LOTES!$B$5:$B$1004,MATCH(C284,LOTES!$F$5:$F$1004,0)),""))</f>
        <v/>
      </c>
      <c r="G284" s="15" t="str">
        <f aca="false">IF(OR(B284="",F284=""),"",B284-F284)</f>
        <v/>
      </c>
      <c r="H284" s="13"/>
      <c r="I284" s="13"/>
      <c r="J284" s="13"/>
      <c r="K284" s="25"/>
      <c r="L284" s="25"/>
      <c r="M284" s="25"/>
      <c r="N284" s="25"/>
      <c r="O284" s="26"/>
      <c r="P284" s="16" t="str">
        <f aca="false">IF(O284="","",IFERROR(1/(1/(IF(K284="",INDEX(CONFIG!$F$5:$F$14,MATCH(D284,CONFIG!$D$5:$D$14,0)),K284)*IF(M284="",INDEX(CONFIG!$H$5:$H$14,MATCH(D284,CONFIG!$D$5:$D$14,0)),M284))),""))</f>
        <v/>
      </c>
      <c r="Q284" s="16" t="str">
        <f aca="false">IF(OR(O284="",P284=""),"",O284/P284)</f>
        <v/>
      </c>
      <c r="R284" s="16" t="str">
        <f aca="false">IF(Q284="","",Q284*0.0980665)</f>
        <v/>
      </c>
      <c r="S284" s="16" t="str">
        <f aca="false">IF(Q284="","",IFERROR(Q284/(1/(1/INDEX(CONFIG!$I$5:$I$14,MATCH(D284,CONFIG!$D$5:$D$14,0)))),""))</f>
        <v/>
      </c>
      <c r="T284" s="13"/>
      <c r="U284" s="13"/>
      <c r="V284" s="13"/>
      <c r="W284" s="13"/>
      <c r="X284" s="22" t="str">
        <f aca="false">IF(Q284="","",Q284^2)</f>
        <v/>
      </c>
      <c r="Y284" s="22" t="str">
        <f aca="false">IF(AND(C284&lt;&gt;"",C284=CERTIFICADO!$E$4,OR(CERTIFICADO!$E$5="",B284=CERTIFICADO!$E$5)),MAX($Y$4:Y283)+1,"")</f>
        <v/>
      </c>
    </row>
    <row r="285" customFormat="false" ht="15" hidden="false" customHeight="false" outlineLevel="0" collapsed="false">
      <c r="A285" s="11" t="str">
        <f aca="false">IF(C285="","",ROW()-4)</f>
        <v/>
      </c>
      <c r="B285" s="12"/>
      <c r="C285" s="13"/>
      <c r="D285" s="23" t="str">
        <f aca="false">IF(C285="","",IFERROR(INDEX(LOTES!$D$5:$D$1004,MATCH(C285,LOTES!$F$5:$F$1004,0)),"¿Lote?"))</f>
        <v/>
      </c>
      <c r="E285" s="11" t="str">
        <f aca="false">IF(C285="","",IFERROR(INDEX(LOTES!$C$5:$C$1004,MATCH(C285,LOTES!$F$5:$F$1004,0)),""))</f>
        <v/>
      </c>
      <c r="F285" s="24" t="str">
        <f aca="false">IF(C285="","",IFERROR(INDEX(LOTES!$B$5:$B$1004,MATCH(C285,LOTES!$F$5:$F$1004,0)),""))</f>
        <v/>
      </c>
      <c r="G285" s="15" t="str">
        <f aca="false">IF(OR(B285="",F285=""),"",B285-F285)</f>
        <v/>
      </c>
      <c r="H285" s="13"/>
      <c r="I285" s="13"/>
      <c r="J285" s="13"/>
      <c r="K285" s="25"/>
      <c r="L285" s="25"/>
      <c r="M285" s="25"/>
      <c r="N285" s="25"/>
      <c r="O285" s="26"/>
      <c r="P285" s="16" t="str">
        <f aca="false">IF(O285="","",IFERROR(1/(1/(IF(K285="",INDEX(CONFIG!$F$5:$F$14,MATCH(D285,CONFIG!$D$5:$D$14,0)),K285)*IF(M285="",INDEX(CONFIG!$H$5:$H$14,MATCH(D285,CONFIG!$D$5:$D$14,0)),M285))),""))</f>
        <v/>
      </c>
      <c r="Q285" s="16" t="str">
        <f aca="false">IF(OR(O285="",P285=""),"",O285/P285)</f>
        <v/>
      </c>
      <c r="R285" s="16" t="str">
        <f aca="false">IF(Q285="","",Q285*0.0980665)</f>
        <v/>
      </c>
      <c r="S285" s="16" t="str">
        <f aca="false">IF(Q285="","",IFERROR(Q285/(1/(1/INDEX(CONFIG!$I$5:$I$14,MATCH(D285,CONFIG!$D$5:$D$14,0)))),""))</f>
        <v/>
      </c>
      <c r="T285" s="13"/>
      <c r="U285" s="13"/>
      <c r="V285" s="13"/>
      <c r="W285" s="13"/>
      <c r="X285" s="22" t="str">
        <f aca="false">IF(Q285="","",Q285^2)</f>
        <v/>
      </c>
      <c r="Y285" s="22" t="str">
        <f aca="false">IF(AND(C285&lt;&gt;"",C285=CERTIFICADO!$E$4,OR(CERTIFICADO!$E$5="",B285=CERTIFICADO!$E$5)),MAX($Y$4:Y284)+1,"")</f>
        <v/>
      </c>
    </row>
    <row r="286" customFormat="false" ht="15" hidden="false" customHeight="false" outlineLevel="0" collapsed="false">
      <c r="A286" s="11" t="str">
        <f aca="false">IF(C286="","",ROW()-4)</f>
        <v/>
      </c>
      <c r="B286" s="12"/>
      <c r="C286" s="13"/>
      <c r="D286" s="23" t="str">
        <f aca="false">IF(C286="","",IFERROR(INDEX(LOTES!$D$5:$D$1004,MATCH(C286,LOTES!$F$5:$F$1004,0)),"¿Lote?"))</f>
        <v/>
      </c>
      <c r="E286" s="11" t="str">
        <f aca="false">IF(C286="","",IFERROR(INDEX(LOTES!$C$5:$C$1004,MATCH(C286,LOTES!$F$5:$F$1004,0)),""))</f>
        <v/>
      </c>
      <c r="F286" s="24" t="str">
        <f aca="false">IF(C286="","",IFERROR(INDEX(LOTES!$B$5:$B$1004,MATCH(C286,LOTES!$F$5:$F$1004,0)),""))</f>
        <v/>
      </c>
      <c r="G286" s="15" t="str">
        <f aca="false">IF(OR(B286="",F286=""),"",B286-F286)</f>
        <v/>
      </c>
      <c r="H286" s="13"/>
      <c r="I286" s="13"/>
      <c r="J286" s="13"/>
      <c r="K286" s="25"/>
      <c r="L286" s="25"/>
      <c r="M286" s="25"/>
      <c r="N286" s="25"/>
      <c r="O286" s="26"/>
      <c r="P286" s="16" t="str">
        <f aca="false">IF(O286="","",IFERROR(1/(1/(IF(K286="",INDEX(CONFIG!$F$5:$F$14,MATCH(D286,CONFIG!$D$5:$D$14,0)),K286)*IF(M286="",INDEX(CONFIG!$H$5:$H$14,MATCH(D286,CONFIG!$D$5:$D$14,0)),M286))),""))</f>
        <v/>
      </c>
      <c r="Q286" s="16" t="str">
        <f aca="false">IF(OR(O286="",P286=""),"",O286/P286)</f>
        <v/>
      </c>
      <c r="R286" s="16" t="str">
        <f aca="false">IF(Q286="","",Q286*0.0980665)</f>
        <v/>
      </c>
      <c r="S286" s="16" t="str">
        <f aca="false">IF(Q286="","",IFERROR(Q286/(1/(1/INDEX(CONFIG!$I$5:$I$14,MATCH(D286,CONFIG!$D$5:$D$14,0)))),""))</f>
        <v/>
      </c>
      <c r="T286" s="13"/>
      <c r="U286" s="13"/>
      <c r="V286" s="13"/>
      <c r="W286" s="13"/>
      <c r="X286" s="22" t="str">
        <f aca="false">IF(Q286="","",Q286^2)</f>
        <v/>
      </c>
      <c r="Y286" s="22" t="str">
        <f aca="false">IF(AND(C286&lt;&gt;"",C286=CERTIFICADO!$E$4,OR(CERTIFICADO!$E$5="",B286=CERTIFICADO!$E$5)),MAX($Y$4:Y285)+1,"")</f>
        <v/>
      </c>
    </row>
    <row r="287" customFormat="false" ht="15" hidden="false" customHeight="false" outlineLevel="0" collapsed="false">
      <c r="A287" s="11" t="str">
        <f aca="false">IF(C287="","",ROW()-4)</f>
        <v/>
      </c>
      <c r="B287" s="12"/>
      <c r="C287" s="13"/>
      <c r="D287" s="23" t="str">
        <f aca="false">IF(C287="","",IFERROR(INDEX(LOTES!$D$5:$D$1004,MATCH(C287,LOTES!$F$5:$F$1004,0)),"¿Lote?"))</f>
        <v/>
      </c>
      <c r="E287" s="11" t="str">
        <f aca="false">IF(C287="","",IFERROR(INDEX(LOTES!$C$5:$C$1004,MATCH(C287,LOTES!$F$5:$F$1004,0)),""))</f>
        <v/>
      </c>
      <c r="F287" s="24" t="str">
        <f aca="false">IF(C287="","",IFERROR(INDEX(LOTES!$B$5:$B$1004,MATCH(C287,LOTES!$F$5:$F$1004,0)),""))</f>
        <v/>
      </c>
      <c r="G287" s="15" t="str">
        <f aca="false">IF(OR(B287="",F287=""),"",B287-F287)</f>
        <v/>
      </c>
      <c r="H287" s="13"/>
      <c r="I287" s="13"/>
      <c r="J287" s="13"/>
      <c r="K287" s="25"/>
      <c r="L287" s="25"/>
      <c r="M287" s="25"/>
      <c r="N287" s="25"/>
      <c r="O287" s="26"/>
      <c r="P287" s="16" t="str">
        <f aca="false">IF(O287="","",IFERROR(1/(1/(IF(K287="",INDEX(CONFIG!$F$5:$F$14,MATCH(D287,CONFIG!$D$5:$D$14,0)),K287)*IF(M287="",INDEX(CONFIG!$H$5:$H$14,MATCH(D287,CONFIG!$D$5:$D$14,0)),M287))),""))</f>
        <v/>
      </c>
      <c r="Q287" s="16" t="str">
        <f aca="false">IF(OR(O287="",P287=""),"",O287/P287)</f>
        <v/>
      </c>
      <c r="R287" s="16" t="str">
        <f aca="false">IF(Q287="","",Q287*0.0980665)</f>
        <v/>
      </c>
      <c r="S287" s="16" t="str">
        <f aca="false">IF(Q287="","",IFERROR(Q287/(1/(1/INDEX(CONFIG!$I$5:$I$14,MATCH(D287,CONFIG!$D$5:$D$14,0)))),""))</f>
        <v/>
      </c>
      <c r="T287" s="13"/>
      <c r="U287" s="13"/>
      <c r="V287" s="13"/>
      <c r="W287" s="13"/>
      <c r="X287" s="22" t="str">
        <f aca="false">IF(Q287="","",Q287^2)</f>
        <v/>
      </c>
      <c r="Y287" s="22" t="str">
        <f aca="false">IF(AND(C287&lt;&gt;"",C287=CERTIFICADO!$E$4,OR(CERTIFICADO!$E$5="",B287=CERTIFICADO!$E$5)),MAX($Y$4:Y286)+1,"")</f>
        <v/>
      </c>
    </row>
    <row r="288" customFormat="false" ht="15" hidden="false" customHeight="false" outlineLevel="0" collapsed="false">
      <c r="A288" s="11" t="str">
        <f aca="false">IF(C288="","",ROW()-4)</f>
        <v/>
      </c>
      <c r="B288" s="12"/>
      <c r="C288" s="13"/>
      <c r="D288" s="23" t="str">
        <f aca="false">IF(C288="","",IFERROR(INDEX(LOTES!$D$5:$D$1004,MATCH(C288,LOTES!$F$5:$F$1004,0)),"¿Lote?"))</f>
        <v/>
      </c>
      <c r="E288" s="11" t="str">
        <f aca="false">IF(C288="","",IFERROR(INDEX(LOTES!$C$5:$C$1004,MATCH(C288,LOTES!$F$5:$F$1004,0)),""))</f>
        <v/>
      </c>
      <c r="F288" s="24" t="str">
        <f aca="false">IF(C288="","",IFERROR(INDEX(LOTES!$B$5:$B$1004,MATCH(C288,LOTES!$F$5:$F$1004,0)),""))</f>
        <v/>
      </c>
      <c r="G288" s="15" t="str">
        <f aca="false">IF(OR(B288="",F288=""),"",B288-F288)</f>
        <v/>
      </c>
      <c r="H288" s="13"/>
      <c r="I288" s="13"/>
      <c r="J288" s="13"/>
      <c r="K288" s="25"/>
      <c r="L288" s="25"/>
      <c r="M288" s="25"/>
      <c r="N288" s="25"/>
      <c r="O288" s="26"/>
      <c r="P288" s="16" t="str">
        <f aca="false">IF(O288="","",IFERROR(1/(1/(IF(K288="",INDEX(CONFIG!$F$5:$F$14,MATCH(D288,CONFIG!$D$5:$D$14,0)),K288)*IF(M288="",INDEX(CONFIG!$H$5:$H$14,MATCH(D288,CONFIG!$D$5:$D$14,0)),M288))),""))</f>
        <v/>
      </c>
      <c r="Q288" s="16" t="str">
        <f aca="false">IF(OR(O288="",P288=""),"",O288/P288)</f>
        <v/>
      </c>
      <c r="R288" s="16" t="str">
        <f aca="false">IF(Q288="","",Q288*0.0980665)</f>
        <v/>
      </c>
      <c r="S288" s="16" t="str">
        <f aca="false">IF(Q288="","",IFERROR(Q288/(1/(1/INDEX(CONFIG!$I$5:$I$14,MATCH(D288,CONFIG!$D$5:$D$14,0)))),""))</f>
        <v/>
      </c>
      <c r="T288" s="13"/>
      <c r="U288" s="13"/>
      <c r="V288" s="13"/>
      <c r="W288" s="13"/>
      <c r="X288" s="22" t="str">
        <f aca="false">IF(Q288="","",Q288^2)</f>
        <v/>
      </c>
      <c r="Y288" s="22" t="str">
        <f aca="false">IF(AND(C288&lt;&gt;"",C288=CERTIFICADO!$E$4,OR(CERTIFICADO!$E$5="",B288=CERTIFICADO!$E$5)),MAX($Y$4:Y287)+1,"")</f>
        <v/>
      </c>
    </row>
    <row r="289" customFormat="false" ht="15" hidden="false" customHeight="false" outlineLevel="0" collapsed="false">
      <c r="A289" s="11" t="str">
        <f aca="false">IF(C289="","",ROW()-4)</f>
        <v/>
      </c>
      <c r="B289" s="12"/>
      <c r="C289" s="13"/>
      <c r="D289" s="23" t="str">
        <f aca="false">IF(C289="","",IFERROR(INDEX(LOTES!$D$5:$D$1004,MATCH(C289,LOTES!$F$5:$F$1004,0)),"¿Lote?"))</f>
        <v/>
      </c>
      <c r="E289" s="11" t="str">
        <f aca="false">IF(C289="","",IFERROR(INDEX(LOTES!$C$5:$C$1004,MATCH(C289,LOTES!$F$5:$F$1004,0)),""))</f>
        <v/>
      </c>
      <c r="F289" s="24" t="str">
        <f aca="false">IF(C289="","",IFERROR(INDEX(LOTES!$B$5:$B$1004,MATCH(C289,LOTES!$F$5:$F$1004,0)),""))</f>
        <v/>
      </c>
      <c r="G289" s="15" t="str">
        <f aca="false">IF(OR(B289="",F289=""),"",B289-F289)</f>
        <v/>
      </c>
      <c r="H289" s="13"/>
      <c r="I289" s="13"/>
      <c r="J289" s="13"/>
      <c r="K289" s="25"/>
      <c r="L289" s="25"/>
      <c r="M289" s="25"/>
      <c r="N289" s="25"/>
      <c r="O289" s="26"/>
      <c r="P289" s="16" t="str">
        <f aca="false">IF(O289="","",IFERROR(1/(1/(IF(K289="",INDEX(CONFIG!$F$5:$F$14,MATCH(D289,CONFIG!$D$5:$D$14,0)),K289)*IF(M289="",INDEX(CONFIG!$H$5:$H$14,MATCH(D289,CONFIG!$D$5:$D$14,0)),M289))),""))</f>
        <v/>
      </c>
      <c r="Q289" s="16" t="str">
        <f aca="false">IF(OR(O289="",P289=""),"",O289/P289)</f>
        <v/>
      </c>
      <c r="R289" s="16" t="str">
        <f aca="false">IF(Q289="","",Q289*0.0980665)</f>
        <v/>
      </c>
      <c r="S289" s="16" t="str">
        <f aca="false">IF(Q289="","",IFERROR(Q289/(1/(1/INDEX(CONFIG!$I$5:$I$14,MATCH(D289,CONFIG!$D$5:$D$14,0)))),""))</f>
        <v/>
      </c>
      <c r="T289" s="13"/>
      <c r="U289" s="13"/>
      <c r="V289" s="13"/>
      <c r="W289" s="13"/>
      <c r="X289" s="22" t="str">
        <f aca="false">IF(Q289="","",Q289^2)</f>
        <v/>
      </c>
      <c r="Y289" s="22" t="str">
        <f aca="false">IF(AND(C289&lt;&gt;"",C289=CERTIFICADO!$E$4,OR(CERTIFICADO!$E$5="",B289=CERTIFICADO!$E$5)),MAX($Y$4:Y288)+1,"")</f>
        <v/>
      </c>
    </row>
    <row r="290" customFormat="false" ht="15" hidden="false" customHeight="false" outlineLevel="0" collapsed="false">
      <c r="A290" s="11" t="str">
        <f aca="false">IF(C290="","",ROW()-4)</f>
        <v/>
      </c>
      <c r="B290" s="12"/>
      <c r="C290" s="13"/>
      <c r="D290" s="23" t="str">
        <f aca="false">IF(C290="","",IFERROR(INDEX(LOTES!$D$5:$D$1004,MATCH(C290,LOTES!$F$5:$F$1004,0)),"¿Lote?"))</f>
        <v/>
      </c>
      <c r="E290" s="11" t="str">
        <f aca="false">IF(C290="","",IFERROR(INDEX(LOTES!$C$5:$C$1004,MATCH(C290,LOTES!$F$5:$F$1004,0)),""))</f>
        <v/>
      </c>
      <c r="F290" s="24" t="str">
        <f aca="false">IF(C290="","",IFERROR(INDEX(LOTES!$B$5:$B$1004,MATCH(C290,LOTES!$F$5:$F$1004,0)),""))</f>
        <v/>
      </c>
      <c r="G290" s="15" t="str">
        <f aca="false">IF(OR(B290="",F290=""),"",B290-F290)</f>
        <v/>
      </c>
      <c r="H290" s="13"/>
      <c r="I290" s="13"/>
      <c r="J290" s="13"/>
      <c r="K290" s="25"/>
      <c r="L290" s="25"/>
      <c r="M290" s="25"/>
      <c r="N290" s="25"/>
      <c r="O290" s="26"/>
      <c r="P290" s="16" t="str">
        <f aca="false">IF(O290="","",IFERROR(1/(1/(IF(K290="",INDEX(CONFIG!$F$5:$F$14,MATCH(D290,CONFIG!$D$5:$D$14,0)),K290)*IF(M290="",INDEX(CONFIG!$H$5:$H$14,MATCH(D290,CONFIG!$D$5:$D$14,0)),M290))),""))</f>
        <v/>
      </c>
      <c r="Q290" s="16" t="str">
        <f aca="false">IF(OR(O290="",P290=""),"",O290/P290)</f>
        <v/>
      </c>
      <c r="R290" s="16" t="str">
        <f aca="false">IF(Q290="","",Q290*0.0980665)</f>
        <v/>
      </c>
      <c r="S290" s="16" t="str">
        <f aca="false">IF(Q290="","",IFERROR(Q290/(1/(1/INDEX(CONFIG!$I$5:$I$14,MATCH(D290,CONFIG!$D$5:$D$14,0)))),""))</f>
        <v/>
      </c>
      <c r="T290" s="13"/>
      <c r="U290" s="13"/>
      <c r="V290" s="13"/>
      <c r="W290" s="13"/>
      <c r="X290" s="22" t="str">
        <f aca="false">IF(Q290="","",Q290^2)</f>
        <v/>
      </c>
      <c r="Y290" s="22" t="str">
        <f aca="false">IF(AND(C290&lt;&gt;"",C290=CERTIFICADO!$E$4,OR(CERTIFICADO!$E$5="",B290=CERTIFICADO!$E$5)),MAX($Y$4:Y289)+1,"")</f>
        <v/>
      </c>
    </row>
    <row r="291" customFormat="false" ht="15" hidden="false" customHeight="false" outlineLevel="0" collapsed="false">
      <c r="A291" s="11" t="str">
        <f aca="false">IF(C291="","",ROW()-4)</f>
        <v/>
      </c>
      <c r="B291" s="12"/>
      <c r="C291" s="13"/>
      <c r="D291" s="23" t="str">
        <f aca="false">IF(C291="","",IFERROR(INDEX(LOTES!$D$5:$D$1004,MATCH(C291,LOTES!$F$5:$F$1004,0)),"¿Lote?"))</f>
        <v/>
      </c>
      <c r="E291" s="11" t="str">
        <f aca="false">IF(C291="","",IFERROR(INDEX(LOTES!$C$5:$C$1004,MATCH(C291,LOTES!$F$5:$F$1004,0)),""))</f>
        <v/>
      </c>
      <c r="F291" s="24" t="str">
        <f aca="false">IF(C291="","",IFERROR(INDEX(LOTES!$B$5:$B$1004,MATCH(C291,LOTES!$F$5:$F$1004,0)),""))</f>
        <v/>
      </c>
      <c r="G291" s="15" t="str">
        <f aca="false">IF(OR(B291="",F291=""),"",B291-F291)</f>
        <v/>
      </c>
      <c r="H291" s="13"/>
      <c r="I291" s="13"/>
      <c r="J291" s="13"/>
      <c r="K291" s="25"/>
      <c r="L291" s="25"/>
      <c r="M291" s="25"/>
      <c r="N291" s="25"/>
      <c r="O291" s="26"/>
      <c r="P291" s="16" t="str">
        <f aca="false">IF(O291="","",IFERROR(1/(1/(IF(K291="",INDEX(CONFIG!$F$5:$F$14,MATCH(D291,CONFIG!$D$5:$D$14,0)),K291)*IF(M291="",INDEX(CONFIG!$H$5:$H$14,MATCH(D291,CONFIG!$D$5:$D$14,0)),M291))),""))</f>
        <v/>
      </c>
      <c r="Q291" s="16" t="str">
        <f aca="false">IF(OR(O291="",P291=""),"",O291/P291)</f>
        <v/>
      </c>
      <c r="R291" s="16" t="str">
        <f aca="false">IF(Q291="","",Q291*0.0980665)</f>
        <v/>
      </c>
      <c r="S291" s="16" t="str">
        <f aca="false">IF(Q291="","",IFERROR(Q291/(1/(1/INDEX(CONFIG!$I$5:$I$14,MATCH(D291,CONFIG!$D$5:$D$14,0)))),""))</f>
        <v/>
      </c>
      <c r="T291" s="13"/>
      <c r="U291" s="13"/>
      <c r="V291" s="13"/>
      <c r="W291" s="13"/>
      <c r="X291" s="22" t="str">
        <f aca="false">IF(Q291="","",Q291^2)</f>
        <v/>
      </c>
      <c r="Y291" s="22" t="str">
        <f aca="false">IF(AND(C291&lt;&gt;"",C291=CERTIFICADO!$E$4,OR(CERTIFICADO!$E$5="",B291=CERTIFICADO!$E$5)),MAX($Y$4:Y290)+1,"")</f>
        <v/>
      </c>
    </row>
    <row r="292" customFormat="false" ht="15" hidden="false" customHeight="false" outlineLevel="0" collapsed="false">
      <c r="A292" s="11" t="str">
        <f aca="false">IF(C292="","",ROW()-4)</f>
        <v/>
      </c>
      <c r="B292" s="12"/>
      <c r="C292" s="13"/>
      <c r="D292" s="23" t="str">
        <f aca="false">IF(C292="","",IFERROR(INDEX(LOTES!$D$5:$D$1004,MATCH(C292,LOTES!$F$5:$F$1004,0)),"¿Lote?"))</f>
        <v/>
      </c>
      <c r="E292" s="11" t="str">
        <f aca="false">IF(C292="","",IFERROR(INDEX(LOTES!$C$5:$C$1004,MATCH(C292,LOTES!$F$5:$F$1004,0)),""))</f>
        <v/>
      </c>
      <c r="F292" s="24" t="str">
        <f aca="false">IF(C292="","",IFERROR(INDEX(LOTES!$B$5:$B$1004,MATCH(C292,LOTES!$F$5:$F$1004,0)),""))</f>
        <v/>
      </c>
      <c r="G292" s="15" t="str">
        <f aca="false">IF(OR(B292="",F292=""),"",B292-F292)</f>
        <v/>
      </c>
      <c r="H292" s="13"/>
      <c r="I292" s="13"/>
      <c r="J292" s="13"/>
      <c r="K292" s="25"/>
      <c r="L292" s="25"/>
      <c r="M292" s="25"/>
      <c r="N292" s="25"/>
      <c r="O292" s="26"/>
      <c r="P292" s="16" t="str">
        <f aca="false">IF(O292="","",IFERROR(1/(1/(IF(K292="",INDEX(CONFIG!$F$5:$F$14,MATCH(D292,CONFIG!$D$5:$D$14,0)),K292)*IF(M292="",INDEX(CONFIG!$H$5:$H$14,MATCH(D292,CONFIG!$D$5:$D$14,0)),M292))),""))</f>
        <v/>
      </c>
      <c r="Q292" s="16" t="str">
        <f aca="false">IF(OR(O292="",P292=""),"",O292/P292)</f>
        <v/>
      </c>
      <c r="R292" s="16" t="str">
        <f aca="false">IF(Q292="","",Q292*0.0980665)</f>
        <v/>
      </c>
      <c r="S292" s="16" t="str">
        <f aca="false">IF(Q292="","",IFERROR(Q292/(1/(1/INDEX(CONFIG!$I$5:$I$14,MATCH(D292,CONFIG!$D$5:$D$14,0)))),""))</f>
        <v/>
      </c>
      <c r="T292" s="13"/>
      <c r="U292" s="13"/>
      <c r="V292" s="13"/>
      <c r="W292" s="13"/>
      <c r="X292" s="22" t="str">
        <f aca="false">IF(Q292="","",Q292^2)</f>
        <v/>
      </c>
      <c r="Y292" s="22" t="str">
        <f aca="false">IF(AND(C292&lt;&gt;"",C292=CERTIFICADO!$E$4,OR(CERTIFICADO!$E$5="",B292=CERTIFICADO!$E$5)),MAX($Y$4:Y291)+1,"")</f>
        <v/>
      </c>
    </row>
    <row r="293" customFormat="false" ht="15" hidden="false" customHeight="false" outlineLevel="0" collapsed="false">
      <c r="A293" s="11" t="str">
        <f aca="false">IF(C293="","",ROW()-4)</f>
        <v/>
      </c>
      <c r="B293" s="12"/>
      <c r="C293" s="13"/>
      <c r="D293" s="23" t="str">
        <f aca="false">IF(C293="","",IFERROR(INDEX(LOTES!$D$5:$D$1004,MATCH(C293,LOTES!$F$5:$F$1004,0)),"¿Lote?"))</f>
        <v/>
      </c>
      <c r="E293" s="11" t="str">
        <f aca="false">IF(C293="","",IFERROR(INDEX(LOTES!$C$5:$C$1004,MATCH(C293,LOTES!$F$5:$F$1004,0)),""))</f>
        <v/>
      </c>
      <c r="F293" s="24" t="str">
        <f aca="false">IF(C293="","",IFERROR(INDEX(LOTES!$B$5:$B$1004,MATCH(C293,LOTES!$F$5:$F$1004,0)),""))</f>
        <v/>
      </c>
      <c r="G293" s="15" t="str">
        <f aca="false">IF(OR(B293="",F293=""),"",B293-F293)</f>
        <v/>
      </c>
      <c r="H293" s="13"/>
      <c r="I293" s="13"/>
      <c r="J293" s="13"/>
      <c r="K293" s="25"/>
      <c r="L293" s="25"/>
      <c r="M293" s="25"/>
      <c r="N293" s="25"/>
      <c r="O293" s="26"/>
      <c r="P293" s="16" t="str">
        <f aca="false">IF(O293="","",IFERROR(1/(1/(IF(K293="",INDEX(CONFIG!$F$5:$F$14,MATCH(D293,CONFIG!$D$5:$D$14,0)),K293)*IF(M293="",INDEX(CONFIG!$H$5:$H$14,MATCH(D293,CONFIG!$D$5:$D$14,0)),M293))),""))</f>
        <v/>
      </c>
      <c r="Q293" s="16" t="str">
        <f aca="false">IF(OR(O293="",P293=""),"",O293/P293)</f>
        <v/>
      </c>
      <c r="R293" s="16" t="str">
        <f aca="false">IF(Q293="","",Q293*0.0980665)</f>
        <v/>
      </c>
      <c r="S293" s="16" t="str">
        <f aca="false">IF(Q293="","",IFERROR(Q293/(1/(1/INDEX(CONFIG!$I$5:$I$14,MATCH(D293,CONFIG!$D$5:$D$14,0)))),""))</f>
        <v/>
      </c>
      <c r="T293" s="13"/>
      <c r="U293" s="13"/>
      <c r="V293" s="13"/>
      <c r="W293" s="13"/>
      <c r="X293" s="22" t="str">
        <f aca="false">IF(Q293="","",Q293^2)</f>
        <v/>
      </c>
      <c r="Y293" s="22" t="str">
        <f aca="false">IF(AND(C293&lt;&gt;"",C293=CERTIFICADO!$E$4,OR(CERTIFICADO!$E$5="",B293=CERTIFICADO!$E$5)),MAX($Y$4:Y292)+1,"")</f>
        <v/>
      </c>
    </row>
    <row r="294" customFormat="false" ht="15" hidden="false" customHeight="false" outlineLevel="0" collapsed="false">
      <c r="A294" s="11" t="str">
        <f aca="false">IF(C294="","",ROW()-4)</f>
        <v/>
      </c>
      <c r="B294" s="12"/>
      <c r="C294" s="13"/>
      <c r="D294" s="23" t="str">
        <f aca="false">IF(C294="","",IFERROR(INDEX(LOTES!$D$5:$D$1004,MATCH(C294,LOTES!$F$5:$F$1004,0)),"¿Lote?"))</f>
        <v/>
      </c>
      <c r="E294" s="11" t="str">
        <f aca="false">IF(C294="","",IFERROR(INDEX(LOTES!$C$5:$C$1004,MATCH(C294,LOTES!$F$5:$F$1004,0)),""))</f>
        <v/>
      </c>
      <c r="F294" s="24" t="str">
        <f aca="false">IF(C294="","",IFERROR(INDEX(LOTES!$B$5:$B$1004,MATCH(C294,LOTES!$F$5:$F$1004,0)),""))</f>
        <v/>
      </c>
      <c r="G294" s="15" t="str">
        <f aca="false">IF(OR(B294="",F294=""),"",B294-F294)</f>
        <v/>
      </c>
      <c r="H294" s="13"/>
      <c r="I294" s="13"/>
      <c r="J294" s="13"/>
      <c r="K294" s="25"/>
      <c r="L294" s="25"/>
      <c r="M294" s="25"/>
      <c r="N294" s="25"/>
      <c r="O294" s="26"/>
      <c r="P294" s="16" t="str">
        <f aca="false">IF(O294="","",IFERROR(1/(1/(IF(K294="",INDEX(CONFIG!$F$5:$F$14,MATCH(D294,CONFIG!$D$5:$D$14,0)),K294)*IF(M294="",INDEX(CONFIG!$H$5:$H$14,MATCH(D294,CONFIG!$D$5:$D$14,0)),M294))),""))</f>
        <v/>
      </c>
      <c r="Q294" s="16" t="str">
        <f aca="false">IF(OR(O294="",P294=""),"",O294/P294)</f>
        <v/>
      </c>
      <c r="R294" s="16" t="str">
        <f aca="false">IF(Q294="","",Q294*0.0980665)</f>
        <v/>
      </c>
      <c r="S294" s="16" t="str">
        <f aca="false">IF(Q294="","",IFERROR(Q294/(1/(1/INDEX(CONFIG!$I$5:$I$14,MATCH(D294,CONFIG!$D$5:$D$14,0)))),""))</f>
        <v/>
      </c>
      <c r="T294" s="13"/>
      <c r="U294" s="13"/>
      <c r="V294" s="13"/>
      <c r="W294" s="13"/>
      <c r="X294" s="22" t="str">
        <f aca="false">IF(Q294="","",Q294^2)</f>
        <v/>
      </c>
      <c r="Y294" s="22" t="str">
        <f aca="false">IF(AND(C294&lt;&gt;"",C294=CERTIFICADO!$E$4,OR(CERTIFICADO!$E$5="",B294=CERTIFICADO!$E$5)),MAX($Y$4:Y293)+1,"")</f>
        <v/>
      </c>
    </row>
    <row r="295" customFormat="false" ht="15" hidden="false" customHeight="false" outlineLevel="0" collapsed="false">
      <c r="A295" s="11" t="str">
        <f aca="false">IF(C295="","",ROW()-4)</f>
        <v/>
      </c>
      <c r="B295" s="12"/>
      <c r="C295" s="13"/>
      <c r="D295" s="23" t="str">
        <f aca="false">IF(C295="","",IFERROR(INDEX(LOTES!$D$5:$D$1004,MATCH(C295,LOTES!$F$5:$F$1004,0)),"¿Lote?"))</f>
        <v/>
      </c>
      <c r="E295" s="11" t="str">
        <f aca="false">IF(C295="","",IFERROR(INDEX(LOTES!$C$5:$C$1004,MATCH(C295,LOTES!$F$5:$F$1004,0)),""))</f>
        <v/>
      </c>
      <c r="F295" s="24" t="str">
        <f aca="false">IF(C295="","",IFERROR(INDEX(LOTES!$B$5:$B$1004,MATCH(C295,LOTES!$F$5:$F$1004,0)),""))</f>
        <v/>
      </c>
      <c r="G295" s="15" t="str">
        <f aca="false">IF(OR(B295="",F295=""),"",B295-F295)</f>
        <v/>
      </c>
      <c r="H295" s="13"/>
      <c r="I295" s="13"/>
      <c r="J295" s="13"/>
      <c r="K295" s="25"/>
      <c r="L295" s="25"/>
      <c r="M295" s="25"/>
      <c r="N295" s="25"/>
      <c r="O295" s="26"/>
      <c r="P295" s="16" t="str">
        <f aca="false">IF(O295="","",IFERROR(1/(1/(IF(K295="",INDEX(CONFIG!$F$5:$F$14,MATCH(D295,CONFIG!$D$5:$D$14,0)),K295)*IF(M295="",INDEX(CONFIG!$H$5:$H$14,MATCH(D295,CONFIG!$D$5:$D$14,0)),M295))),""))</f>
        <v/>
      </c>
      <c r="Q295" s="16" t="str">
        <f aca="false">IF(OR(O295="",P295=""),"",O295/P295)</f>
        <v/>
      </c>
      <c r="R295" s="16" t="str">
        <f aca="false">IF(Q295="","",Q295*0.0980665)</f>
        <v/>
      </c>
      <c r="S295" s="16" t="str">
        <f aca="false">IF(Q295="","",IFERROR(Q295/(1/(1/INDEX(CONFIG!$I$5:$I$14,MATCH(D295,CONFIG!$D$5:$D$14,0)))),""))</f>
        <v/>
      </c>
      <c r="T295" s="13"/>
      <c r="U295" s="13"/>
      <c r="V295" s="13"/>
      <c r="W295" s="13"/>
      <c r="X295" s="22" t="str">
        <f aca="false">IF(Q295="","",Q295^2)</f>
        <v/>
      </c>
      <c r="Y295" s="22" t="str">
        <f aca="false">IF(AND(C295&lt;&gt;"",C295=CERTIFICADO!$E$4,OR(CERTIFICADO!$E$5="",B295=CERTIFICADO!$E$5)),MAX($Y$4:Y294)+1,"")</f>
        <v/>
      </c>
    </row>
    <row r="296" customFormat="false" ht="15" hidden="false" customHeight="false" outlineLevel="0" collapsed="false">
      <c r="A296" s="11" t="str">
        <f aca="false">IF(C296="","",ROW()-4)</f>
        <v/>
      </c>
      <c r="B296" s="12"/>
      <c r="C296" s="13"/>
      <c r="D296" s="23" t="str">
        <f aca="false">IF(C296="","",IFERROR(INDEX(LOTES!$D$5:$D$1004,MATCH(C296,LOTES!$F$5:$F$1004,0)),"¿Lote?"))</f>
        <v/>
      </c>
      <c r="E296" s="11" t="str">
        <f aca="false">IF(C296="","",IFERROR(INDEX(LOTES!$C$5:$C$1004,MATCH(C296,LOTES!$F$5:$F$1004,0)),""))</f>
        <v/>
      </c>
      <c r="F296" s="24" t="str">
        <f aca="false">IF(C296="","",IFERROR(INDEX(LOTES!$B$5:$B$1004,MATCH(C296,LOTES!$F$5:$F$1004,0)),""))</f>
        <v/>
      </c>
      <c r="G296" s="15" t="str">
        <f aca="false">IF(OR(B296="",F296=""),"",B296-F296)</f>
        <v/>
      </c>
      <c r="H296" s="13"/>
      <c r="I296" s="13"/>
      <c r="J296" s="13"/>
      <c r="K296" s="25"/>
      <c r="L296" s="25"/>
      <c r="M296" s="25"/>
      <c r="N296" s="25"/>
      <c r="O296" s="26"/>
      <c r="P296" s="16" t="str">
        <f aca="false">IF(O296="","",IFERROR(1/(1/(IF(K296="",INDEX(CONFIG!$F$5:$F$14,MATCH(D296,CONFIG!$D$5:$D$14,0)),K296)*IF(M296="",INDEX(CONFIG!$H$5:$H$14,MATCH(D296,CONFIG!$D$5:$D$14,0)),M296))),""))</f>
        <v/>
      </c>
      <c r="Q296" s="16" t="str">
        <f aca="false">IF(OR(O296="",P296=""),"",O296/P296)</f>
        <v/>
      </c>
      <c r="R296" s="16" t="str">
        <f aca="false">IF(Q296="","",Q296*0.0980665)</f>
        <v/>
      </c>
      <c r="S296" s="16" t="str">
        <f aca="false">IF(Q296="","",IFERROR(Q296/(1/(1/INDEX(CONFIG!$I$5:$I$14,MATCH(D296,CONFIG!$D$5:$D$14,0)))),""))</f>
        <v/>
      </c>
      <c r="T296" s="13"/>
      <c r="U296" s="13"/>
      <c r="V296" s="13"/>
      <c r="W296" s="13"/>
      <c r="X296" s="22" t="str">
        <f aca="false">IF(Q296="","",Q296^2)</f>
        <v/>
      </c>
      <c r="Y296" s="22" t="str">
        <f aca="false">IF(AND(C296&lt;&gt;"",C296=CERTIFICADO!$E$4,OR(CERTIFICADO!$E$5="",B296=CERTIFICADO!$E$5)),MAX($Y$4:Y295)+1,"")</f>
        <v/>
      </c>
    </row>
    <row r="297" customFormat="false" ht="15" hidden="false" customHeight="false" outlineLevel="0" collapsed="false">
      <c r="A297" s="11" t="str">
        <f aca="false">IF(C297="","",ROW()-4)</f>
        <v/>
      </c>
      <c r="B297" s="12"/>
      <c r="C297" s="13"/>
      <c r="D297" s="23" t="str">
        <f aca="false">IF(C297="","",IFERROR(INDEX(LOTES!$D$5:$D$1004,MATCH(C297,LOTES!$F$5:$F$1004,0)),"¿Lote?"))</f>
        <v/>
      </c>
      <c r="E297" s="11" t="str">
        <f aca="false">IF(C297="","",IFERROR(INDEX(LOTES!$C$5:$C$1004,MATCH(C297,LOTES!$F$5:$F$1004,0)),""))</f>
        <v/>
      </c>
      <c r="F297" s="24" t="str">
        <f aca="false">IF(C297="","",IFERROR(INDEX(LOTES!$B$5:$B$1004,MATCH(C297,LOTES!$F$5:$F$1004,0)),""))</f>
        <v/>
      </c>
      <c r="G297" s="15" t="str">
        <f aca="false">IF(OR(B297="",F297=""),"",B297-F297)</f>
        <v/>
      </c>
      <c r="H297" s="13"/>
      <c r="I297" s="13"/>
      <c r="J297" s="13"/>
      <c r="K297" s="25"/>
      <c r="L297" s="25"/>
      <c r="M297" s="25"/>
      <c r="N297" s="25"/>
      <c r="O297" s="26"/>
      <c r="P297" s="16" t="str">
        <f aca="false">IF(O297="","",IFERROR(1/(1/(IF(K297="",INDEX(CONFIG!$F$5:$F$14,MATCH(D297,CONFIG!$D$5:$D$14,0)),K297)*IF(M297="",INDEX(CONFIG!$H$5:$H$14,MATCH(D297,CONFIG!$D$5:$D$14,0)),M297))),""))</f>
        <v/>
      </c>
      <c r="Q297" s="16" t="str">
        <f aca="false">IF(OR(O297="",P297=""),"",O297/P297)</f>
        <v/>
      </c>
      <c r="R297" s="16" t="str">
        <f aca="false">IF(Q297="","",Q297*0.0980665)</f>
        <v/>
      </c>
      <c r="S297" s="16" t="str">
        <f aca="false">IF(Q297="","",IFERROR(Q297/(1/(1/INDEX(CONFIG!$I$5:$I$14,MATCH(D297,CONFIG!$D$5:$D$14,0)))),""))</f>
        <v/>
      </c>
      <c r="T297" s="13"/>
      <c r="U297" s="13"/>
      <c r="V297" s="13"/>
      <c r="W297" s="13"/>
      <c r="X297" s="22" t="str">
        <f aca="false">IF(Q297="","",Q297^2)</f>
        <v/>
      </c>
      <c r="Y297" s="22" t="str">
        <f aca="false">IF(AND(C297&lt;&gt;"",C297=CERTIFICADO!$E$4,OR(CERTIFICADO!$E$5="",B297=CERTIFICADO!$E$5)),MAX($Y$4:Y296)+1,"")</f>
        <v/>
      </c>
    </row>
    <row r="298" customFormat="false" ht="15" hidden="false" customHeight="false" outlineLevel="0" collapsed="false">
      <c r="A298" s="11" t="str">
        <f aca="false">IF(C298="","",ROW()-4)</f>
        <v/>
      </c>
      <c r="B298" s="12"/>
      <c r="C298" s="13"/>
      <c r="D298" s="23" t="str">
        <f aca="false">IF(C298="","",IFERROR(INDEX(LOTES!$D$5:$D$1004,MATCH(C298,LOTES!$F$5:$F$1004,0)),"¿Lote?"))</f>
        <v/>
      </c>
      <c r="E298" s="11" t="str">
        <f aca="false">IF(C298="","",IFERROR(INDEX(LOTES!$C$5:$C$1004,MATCH(C298,LOTES!$F$5:$F$1004,0)),""))</f>
        <v/>
      </c>
      <c r="F298" s="24" t="str">
        <f aca="false">IF(C298="","",IFERROR(INDEX(LOTES!$B$5:$B$1004,MATCH(C298,LOTES!$F$5:$F$1004,0)),""))</f>
        <v/>
      </c>
      <c r="G298" s="15" t="str">
        <f aca="false">IF(OR(B298="",F298=""),"",B298-F298)</f>
        <v/>
      </c>
      <c r="H298" s="13"/>
      <c r="I298" s="13"/>
      <c r="J298" s="13"/>
      <c r="K298" s="25"/>
      <c r="L298" s="25"/>
      <c r="M298" s="25"/>
      <c r="N298" s="25"/>
      <c r="O298" s="26"/>
      <c r="P298" s="16" t="str">
        <f aca="false">IF(O298="","",IFERROR(1/(1/(IF(K298="",INDEX(CONFIG!$F$5:$F$14,MATCH(D298,CONFIG!$D$5:$D$14,0)),K298)*IF(M298="",INDEX(CONFIG!$H$5:$H$14,MATCH(D298,CONFIG!$D$5:$D$14,0)),M298))),""))</f>
        <v/>
      </c>
      <c r="Q298" s="16" t="str">
        <f aca="false">IF(OR(O298="",P298=""),"",O298/P298)</f>
        <v/>
      </c>
      <c r="R298" s="16" t="str">
        <f aca="false">IF(Q298="","",Q298*0.0980665)</f>
        <v/>
      </c>
      <c r="S298" s="16" t="str">
        <f aca="false">IF(Q298="","",IFERROR(Q298/(1/(1/INDEX(CONFIG!$I$5:$I$14,MATCH(D298,CONFIG!$D$5:$D$14,0)))),""))</f>
        <v/>
      </c>
      <c r="T298" s="13"/>
      <c r="U298" s="13"/>
      <c r="V298" s="13"/>
      <c r="W298" s="13"/>
      <c r="X298" s="22" t="str">
        <f aca="false">IF(Q298="","",Q298^2)</f>
        <v/>
      </c>
      <c r="Y298" s="22" t="str">
        <f aca="false">IF(AND(C298&lt;&gt;"",C298=CERTIFICADO!$E$4,OR(CERTIFICADO!$E$5="",B298=CERTIFICADO!$E$5)),MAX($Y$4:Y297)+1,"")</f>
        <v/>
      </c>
    </row>
    <row r="299" customFormat="false" ht="15" hidden="false" customHeight="false" outlineLevel="0" collapsed="false">
      <c r="A299" s="11" t="str">
        <f aca="false">IF(C299="","",ROW()-4)</f>
        <v/>
      </c>
      <c r="B299" s="12"/>
      <c r="C299" s="13"/>
      <c r="D299" s="23" t="str">
        <f aca="false">IF(C299="","",IFERROR(INDEX(LOTES!$D$5:$D$1004,MATCH(C299,LOTES!$F$5:$F$1004,0)),"¿Lote?"))</f>
        <v/>
      </c>
      <c r="E299" s="11" t="str">
        <f aca="false">IF(C299="","",IFERROR(INDEX(LOTES!$C$5:$C$1004,MATCH(C299,LOTES!$F$5:$F$1004,0)),""))</f>
        <v/>
      </c>
      <c r="F299" s="24" t="str">
        <f aca="false">IF(C299="","",IFERROR(INDEX(LOTES!$B$5:$B$1004,MATCH(C299,LOTES!$F$5:$F$1004,0)),""))</f>
        <v/>
      </c>
      <c r="G299" s="15" t="str">
        <f aca="false">IF(OR(B299="",F299=""),"",B299-F299)</f>
        <v/>
      </c>
      <c r="H299" s="13"/>
      <c r="I299" s="13"/>
      <c r="J299" s="13"/>
      <c r="K299" s="25"/>
      <c r="L299" s="25"/>
      <c r="M299" s="25"/>
      <c r="N299" s="25"/>
      <c r="O299" s="26"/>
      <c r="P299" s="16" t="str">
        <f aca="false">IF(O299="","",IFERROR(1/(1/(IF(K299="",INDEX(CONFIG!$F$5:$F$14,MATCH(D299,CONFIG!$D$5:$D$14,0)),K299)*IF(M299="",INDEX(CONFIG!$H$5:$H$14,MATCH(D299,CONFIG!$D$5:$D$14,0)),M299))),""))</f>
        <v/>
      </c>
      <c r="Q299" s="16" t="str">
        <f aca="false">IF(OR(O299="",P299=""),"",O299/P299)</f>
        <v/>
      </c>
      <c r="R299" s="16" t="str">
        <f aca="false">IF(Q299="","",Q299*0.0980665)</f>
        <v/>
      </c>
      <c r="S299" s="16" t="str">
        <f aca="false">IF(Q299="","",IFERROR(Q299/(1/(1/INDEX(CONFIG!$I$5:$I$14,MATCH(D299,CONFIG!$D$5:$D$14,0)))),""))</f>
        <v/>
      </c>
      <c r="T299" s="13"/>
      <c r="U299" s="13"/>
      <c r="V299" s="13"/>
      <c r="W299" s="13"/>
      <c r="X299" s="22" t="str">
        <f aca="false">IF(Q299="","",Q299^2)</f>
        <v/>
      </c>
      <c r="Y299" s="22" t="str">
        <f aca="false">IF(AND(C299&lt;&gt;"",C299=CERTIFICADO!$E$4,OR(CERTIFICADO!$E$5="",B299=CERTIFICADO!$E$5)),MAX($Y$4:Y298)+1,"")</f>
        <v/>
      </c>
    </row>
    <row r="300" customFormat="false" ht="15" hidden="false" customHeight="false" outlineLevel="0" collapsed="false">
      <c r="A300" s="11" t="str">
        <f aca="false">IF(C300="","",ROW()-4)</f>
        <v/>
      </c>
      <c r="B300" s="12"/>
      <c r="C300" s="13"/>
      <c r="D300" s="23" t="str">
        <f aca="false">IF(C300="","",IFERROR(INDEX(LOTES!$D$5:$D$1004,MATCH(C300,LOTES!$F$5:$F$1004,0)),"¿Lote?"))</f>
        <v/>
      </c>
      <c r="E300" s="11" t="str">
        <f aca="false">IF(C300="","",IFERROR(INDEX(LOTES!$C$5:$C$1004,MATCH(C300,LOTES!$F$5:$F$1004,0)),""))</f>
        <v/>
      </c>
      <c r="F300" s="24" t="str">
        <f aca="false">IF(C300="","",IFERROR(INDEX(LOTES!$B$5:$B$1004,MATCH(C300,LOTES!$F$5:$F$1004,0)),""))</f>
        <v/>
      </c>
      <c r="G300" s="15" t="str">
        <f aca="false">IF(OR(B300="",F300=""),"",B300-F300)</f>
        <v/>
      </c>
      <c r="H300" s="13"/>
      <c r="I300" s="13"/>
      <c r="J300" s="13"/>
      <c r="K300" s="25"/>
      <c r="L300" s="25"/>
      <c r="M300" s="25"/>
      <c r="N300" s="25"/>
      <c r="O300" s="26"/>
      <c r="P300" s="16" t="str">
        <f aca="false">IF(O300="","",IFERROR(1/(1/(IF(K300="",INDEX(CONFIG!$F$5:$F$14,MATCH(D300,CONFIG!$D$5:$D$14,0)),K300)*IF(M300="",INDEX(CONFIG!$H$5:$H$14,MATCH(D300,CONFIG!$D$5:$D$14,0)),M300))),""))</f>
        <v/>
      </c>
      <c r="Q300" s="16" t="str">
        <f aca="false">IF(OR(O300="",P300=""),"",O300/P300)</f>
        <v/>
      </c>
      <c r="R300" s="16" t="str">
        <f aca="false">IF(Q300="","",Q300*0.0980665)</f>
        <v/>
      </c>
      <c r="S300" s="16" t="str">
        <f aca="false">IF(Q300="","",IFERROR(Q300/(1/(1/INDEX(CONFIG!$I$5:$I$14,MATCH(D300,CONFIG!$D$5:$D$14,0)))),""))</f>
        <v/>
      </c>
      <c r="T300" s="13"/>
      <c r="U300" s="13"/>
      <c r="V300" s="13"/>
      <c r="W300" s="13"/>
      <c r="X300" s="22" t="str">
        <f aca="false">IF(Q300="","",Q300^2)</f>
        <v/>
      </c>
      <c r="Y300" s="22" t="str">
        <f aca="false">IF(AND(C300&lt;&gt;"",C300=CERTIFICADO!$E$4,OR(CERTIFICADO!$E$5="",B300=CERTIFICADO!$E$5)),MAX($Y$4:Y299)+1,"")</f>
        <v/>
      </c>
    </row>
    <row r="301" customFormat="false" ht="15" hidden="false" customHeight="false" outlineLevel="0" collapsed="false">
      <c r="A301" s="11" t="str">
        <f aca="false">IF(C301="","",ROW()-4)</f>
        <v/>
      </c>
      <c r="B301" s="12"/>
      <c r="C301" s="13"/>
      <c r="D301" s="23" t="str">
        <f aca="false">IF(C301="","",IFERROR(INDEX(LOTES!$D$5:$D$1004,MATCH(C301,LOTES!$F$5:$F$1004,0)),"¿Lote?"))</f>
        <v/>
      </c>
      <c r="E301" s="11" t="str">
        <f aca="false">IF(C301="","",IFERROR(INDEX(LOTES!$C$5:$C$1004,MATCH(C301,LOTES!$F$5:$F$1004,0)),""))</f>
        <v/>
      </c>
      <c r="F301" s="24" t="str">
        <f aca="false">IF(C301="","",IFERROR(INDEX(LOTES!$B$5:$B$1004,MATCH(C301,LOTES!$F$5:$F$1004,0)),""))</f>
        <v/>
      </c>
      <c r="G301" s="15" t="str">
        <f aca="false">IF(OR(B301="",F301=""),"",B301-F301)</f>
        <v/>
      </c>
      <c r="H301" s="13"/>
      <c r="I301" s="13"/>
      <c r="J301" s="13"/>
      <c r="K301" s="25"/>
      <c r="L301" s="25"/>
      <c r="M301" s="25"/>
      <c r="N301" s="25"/>
      <c r="O301" s="26"/>
      <c r="P301" s="16" t="str">
        <f aca="false">IF(O301="","",IFERROR(1/(1/(IF(K301="",INDEX(CONFIG!$F$5:$F$14,MATCH(D301,CONFIG!$D$5:$D$14,0)),K301)*IF(M301="",INDEX(CONFIG!$H$5:$H$14,MATCH(D301,CONFIG!$D$5:$D$14,0)),M301))),""))</f>
        <v/>
      </c>
      <c r="Q301" s="16" t="str">
        <f aca="false">IF(OR(O301="",P301=""),"",O301/P301)</f>
        <v/>
      </c>
      <c r="R301" s="16" t="str">
        <f aca="false">IF(Q301="","",Q301*0.0980665)</f>
        <v/>
      </c>
      <c r="S301" s="16" t="str">
        <f aca="false">IF(Q301="","",IFERROR(Q301/(1/(1/INDEX(CONFIG!$I$5:$I$14,MATCH(D301,CONFIG!$D$5:$D$14,0)))),""))</f>
        <v/>
      </c>
      <c r="T301" s="13"/>
      <c r="U301" s="13"/>
      <c r="V301" s="13"/>
      <c r="W301" s="13"/>
      <c r="X301" s="22" t="str">
        <f aca="false">IF(Q301="","",Q301^2)</f>
        <v/>
      </c>
      <c r="Y301" s="22" t="str">
        <f aca="false">IF(AND(C301&lt;&gt;"",C301=CERTIFICADO!$E$4,OR(CERTIFICADO!$E$5="",B301=CERTIFICADO!$E$5)),MAX($Y$4:Y300)+1,"")</f>
        <v/>
      </c>
    </row>
    <row r="302" customFormat="false" ht="15" hidden="false" customHeight="false" outlineLevel="0" collapsed="false">
      <c r="A302" s="11" t="str">
        <f aca="false">IF(C302="","",ROW()-4)</f>
        <v/>
      </c>
      <c r="B302" s="12"/>
      <c r="C302" s="13"/>
      <c r="D302" s="23" t="str">
        <f aca="false">IF(C302="","",IFERROR(INDEX(LOTES!$D$5:$D$1004,MATCH(C302,LOTES!$F$5:$F$1004,0)),"¿Lote?"))</f>
        <v/>
      </c>
      <c r="E302" s="11" t="str">
        <f aca="false">IF(C302="","",IFERROR(INDEX(LOTES!$C$5:$C$1004,MATCH(C302,LOTES!$F$5:$F$1004,0)),""))</f>
        <v/>
      </c>
      <c r="F302" s="24" t="str">
        <f aca="false">IF(C302="","",IFERROR(INDEX(LOTES!$B$5:$B$1004,MATCH(C302,LOTES!$F$5:$F$1004,0)),""))</f>
        <v/>
      </c>
      <c r="G302" s="15" t="str">
        <f aca="false">IF(OR(B302="",F302=""),"",B302-F302)</f>
        <v/>
      </c>
      <c r="H302" s="13"/>
      <c r="I302" s="13"/>
      <c r="J302" s="13"/>
      <c r="K302" s="25"/>
      <c r="L302" s="25"/>
      <c r="M302" s="25"/>
      <c r="N302" s="25"/>
      <c r="O302" s="26"/>
      <c r="P302" s="16" t="str">
        <f aca="false">IF(O302="","",IFERROR(1/(1/(IF(K302="",INDEX(CONFIG!$F$5:$F$14,MATCH(D302,CONFIG!$D$5:$D$14,0)),K302)*IF(M302="",INDEX(CONFIG!$H$5:$H$14,MATCH(D302,CONFIG!$D$5:$D$14,0)),M302))),""))</f>
        <v/>
      </c>
      <c r="Q302" s="16" t="str">
        <f aca="false">IF(OR(O302="",P302=""),"",O302/P302)</f>
        <v/>
      </c>
      <c r="R302" s="16" t="str">
        <f aca="false">IF(Q302="","",Q302*0.0980665)</f>
        <v/>
      </c>
      <c r="S302" s="16" t="str">
        <f aca="false">IF(Q302="","",IFERROR(Q302/(1/(1/INDEX(CONFIG!$I$5:$I$14,MATCH(D302,CONFIG!$D$5:$D$14,0)))),""))</f>
        <v/>
      </c>
      <c r="T302" s="13"/>
      <c r="U302" s="13"/>
      <c r="V302" s="13"/>
      <c r="W302" s="13"/>
      <c r="X302" s="22" t="str">
        <f aca="false">IF(Q302="","",Q302^2)</f>
        <v/>
      </c>
      <c r="Y302" s="22" t="str">
        <f aca="false">IF(AND(C302&lt;&gt;"",C302=CERTIFICADO!$E$4,OR(CERTIFICADO!$E$5="",B302=CERTIFICADO!$E$5)),MAX($Y$4:Y301)+1,"")</f>
        <v/>
      </c>
    </row>
    <row r="303" customFormat="false" ht="15" hidden="false" customHeight="false" outlineLevel="0" collapsed="false">
      <c r="A303" s="11" t="str">
        <f aca="false">IF(C303="","",ROW()-4)</f>
        <v/>
      </c>
      <c r="B303" s="12"/>
      <c r="C303" s="13"/>
      <c r="D303" s="23" t="str">
        <f aca="false">IF(C303="","",IFERROR(INDEX(LOTES!$D$5:$D$1004,MATCH(C303,LOTES!$F$5:$F$1004,0)),"¿Lote?"))</f>
        <v/>
      </c>
      <c r="E303" s="11" t="str">
        <f aca="false">IF(C303="","",IFERROR(INDEX(LOTES!$C$5:$C$1004,MATCH(C303,LOTES!$F$5:$F$1004,0)),""))</f>
        <v/>
      </c>
      <c r="F303" s="24" t="str">
        <f aca="false">IF(C303="","",IFERROR(INDEX(LOTES!$B$5:$B$1004,MATCH(C303,LOTES!$F$5:$F$1004,0)),""))</f>
        <v/>
      </c>
      <c r="G303" s="15" t="str">
        <f aca="false">IF(OR(B303="",F303=""),"",B303-F303)</f>
        <v/>
      </c>
      <c r="H303" s="13"/>
      <c r="I303" s="13"/>
      <c r="J303" s="13"/>
      <c r="K303" s="25"/>
      <c r="L303" s="25"/>
      <c r="M303" s="25"/>
      <c r="N303" s="25"/>
      <c r="O303" s="26"/>
      <c r="P303" s="16" t="str">
        <f aca="false">IF(O303="","",IFERROR(1/(1/(IF(K303="",INDEX(CONFIG!$F$5:$F$14,MATCH(D303,CONFIG!$D$5:$D$14,0)),K303)*IF(M303="",INDEX(CONFIG!$H$5:$H$14,MATCH(D303,CONFIG!$D$5:$D$14,0)),M303))),""))</f>
        <v/>
      </c>
      <c r="Q303" s="16" t="str">
        <f aca="false">IF(OR(O303="",P303=""),"",O303/P303)</f>
        <v/>
      </c>
      <c r="R303" s="16" t="str">
        <f aca="false">IF(Q303="","",Q303*0.0980665)</f>
        <v/>
      </c>
      <c r="S303" s="16" t="str">
        <f aca="false">IF(Q303="","",IFERROR(Q303/(1/(1/INDEX(CONFIG!$I$5:$I$14,MATCH(D303,CONFIG!$D$5:$D$14,0)))),""))</f>
        <v/>
      </c>
      <c r="T303" s="13"/>
      <c r="U303" s="13"/>
      <c r="V303" s="13"/>
      <c r="W303" s="13"/>
      <c r="X303" s="22" t="str">
        <f aca="false">IF(Q303="","",Q303^2)</f>
        <v/>
      </c>
      <c r="Y303" s="22" t="str">
        <f aca="false">IF(AND(C303&lt;&gt;"",C303=CERTIFICADO!$E$4,OR(CERTIFICADO!$E$5="",B303=CERTIFICADO!$E$5)),MAX($Y$4:Y302)+1,"")</f>
        <v/>
      </c>
    </row>
    <row r="304" customFormat="false" ht="15" hidden="false" customHeight="false" outlineLevel="0" collapsed="false">
      <c r="A304" s="11" t="str">
        <f aca="false">IF(C304="","",ROW()-4)</f>
        <v/>
      </c>
      <c r="B304" s="12"/>
      <c r="C304" s="13"/>
      <c r="D304" s="23" t="str">
        <f aca="false">IF(C304="","",IFERROR(INDEX(LOTES!$D$5:$D$1004,MATCH(C304,LOTES!$F$5:$F$1004,0)),"¿Lote?"))</f>
        <v/>
      </c>
      <c r="E304" s="11" t="str">
        <f aca="false">IF(C304="","",IFERROR(INDEX(LOTES!$C$5:$C$1004,MATCH(C304,LOTES!$F$5:$F$1004,0)),""))</f>
        <v/>
      </c>
      <c r="F304" s="24" t="str">
        <f aca="false">IF(C304="","",IFERROR(INDEX(LOTES!$B$5:$B$1004,MATCH(C304,LOTES!$F$5:$F$1004,0)),""))</f>
        <v/>
      </c>
      <c r="G304" s="15" t="str">
        <f aca="false">IF(OR(B304="",F304=""),"",B304-F304)</f>
        <v/>
      </c>
      <c r="H304" s="13"/>
      <c r="I304" s="13"/>
      <c r="J304" s="13"/>
      <c r="K304" s="25"/>
      <c r="L304" s="25"/>
      <c r="M304" s="25"/>
      <c r="N304" s="25"/>
      <c r="O304" s="26"/>
      <c r="P304" s="16" t="str">
        <f aca="false">IF(O304="","",IFERROR(1/(1/(IF(K304="",INDEX(CONFIG!$F$5:$F$14,MATCH(D304,CONFIG!$D$5:$D$14,0)),K304)*IF(M304="",INDEX(CONFIG!$H$5:$H$14,MATCH(D304,CONFIG!$D$5:$D$14,0)),M304))),""))</f>
        <v/>
      </c>
      <c r="Q304" s="16" t="str">
        <f aca="false">IF(OR(O304="",P304=""),"",O304/P304)</f>
        <v/>
      </c>
      <c r="R304" s="16" t="str">
        <f aca="false">IF(Q304="","",Q304*0.0980665)</f>
        <v/>
      </c>
      <c r="S304" s="16" t="str">
        <f aca="false">IF(Q304="","",IFERROR(Q304/(1/(1/INDEX(CONFIG!$I$5:$I$14,MATCH(D304,CONFIG!$D$5:$D$14,0)))),""))</f>
        <v/>
      </c>
      <c r="T304" s="13"/>
      <c r="U304" s="13"/>
      <c r="V304" s="13"/>
      <c r="W304" s="13"/>
      <c r="X304" s="22" t="str">
        <f aca="false">IF(Q304="","",Q304^2)</f>
        <v/>
      </c>
      <c r="Y304" s="22" t="str">
        <f aca="false">IF(AND(C304&lt;&gt;"",C304=CERTIFICADO!$E$4,OR(CERTIFICADO!$E$5="",B304=CERTIFICADO!$E$5)),MAX($Y$4:Y303)+1,"")</f>
        <v/>
      </c>
    </row>
    <row r="305" customFormat="false" ht="15" hidden="false" customHeight="false" outlineLevel="0" collapsed="false">
      <c r="A305" s="11" t="str">
        <f aca="false">IF(C305="","",ROW()-4)</f>
        <v/>
      </c>
      <c r="B305" s="12"/>
      <c r="C305" s="13"/>
      <c r="D305" s="23" t="str">
        <f aca="false">IF(C305="","",IFERROR(INDEX(LOTES!$D$5:$D$1004,MATCH(C305,LOTES!$F$5:$F$1004,0)),"¿Lote?"))</f>
        <v/>
      </c>
      <c r="E305" s="11" t="str">
        <f aca="false">IF(C305="","",IFERROR(INDEX(LOTES!$C$5:$C$1004,MATCH(C305,LOTES!$F$5:$F$1004,0)),""))</f>
        <v/>
      </c>
      <c r="F305" s="24" t="str">
        <f aca="false">IF(C305="","",IFERROR(INDEX(LOTES!$B$5:$B$1004,MATCH(C305,LOTES!$F$5:$F$1004,0)),""))</f>
        <v/>
      </c>
      <c r="G305" s="15" t="str">
        <f aca="false">IF(OR(B305="",F305=""),"",B305-F305)</f>
        <v/>
      </c>
      <c r="H305" s="13"/>
      <c r="I305" s="13"/>
      <c r="J305" s="13"/>
      <c r="K305" s="25"/>
      <c r="L305" s="25"/>
      <c r="M305" s="25"/>
      <c r="N305" s="25"/>
      <c r="O305" s="26"/>
      <c r="P305" s="16" t="str">
        <f aca="false">IF(O305="","",IFERROR(1/(1/(IF(K305="",INDEX(CONFIG!$F$5:$F$14,MATCH(D305,CONFIG!$D$5:$D$14,0)),K305)*IF(M305="",INDEX(CONFIG!$H$5:$H$14,MATCH(D305,CONFIG!$D$5:$D$14,0)),M305))),""))</f>
        <v/>
      </c>
      <c r="Q305" s="16" t="str">
        <f aca="false">IF(OR(O305="",P305=""),"",O305/P305)</f>
        <v/>
      </c>
      <c r="R305" s="16" t="str">
        <f aca="false">IF(Q305="","",Q305*0.0980665)</f>
        <v/>
      </c>
      <c r="S305" s="16" t="str">
        <f aca="false">IF(Q305="","",IFERROR(Q305/(1/(1/INDEX(CONFIG!$I$5:$I$14,MATCH(D305,CONFIG!$D$5:$D$14,0)))),""))</f>
        <v/>
      </c>
      <c r="T305" s="13"/>
      <c r="U305" s="13"/>
      <c r="V305" s="13"/>
      <c r="W305" s="13"/>
      <c r="X305" s="22" t="str">
        <f aca="false">IF(Q305="","",Q305^2)</f>
        <v/>
      </c>
      <c r="Y305" s="22" t="str">
        <f aca="false">IF(AND(C305&lt;&gt;"",C305=CERTIFICADO!$E$4,OR(CERTIFICADO!$E$5="",B305=CERTIFICADO!$E$5)),MAX($Y$4:Y304)+1,"")</f>
        <v/>
      </c>
    </row>
    <row r="306" customFormat="false" ht="15" hidden="false" customHeight="false" outlineLevel="0" collapsed="false">
      <c r="A306" s="11" t="str">
        <f aca="false">IF(C306="","",ROW()-4)</f>
        <v/>
      </c>
      <c r="B306" s="12"/>
      <c r="C306" s="13"/>
      <c r="D306" s="23" t="str">
        <f aca="false">IF(C306="","",IFERROR(INDEX(LOTES!$D$5:$D$1004,MATCH(C306,LOTES!$F$5:$F$1004,0)),"¿Lote?"))</f>
        <v/>
      </c>
      <c r="E306" s="11" t="str">
        <f aca="false">IF(C306="","",IFERROR(INDEX(LOTES!$C$5:$C$1004,MATCH(C306,LOTES!$F$5:$F$1004,0)),""))</f>
        <v/>
      </c>
      <c r="F306" s="24" t="str">
        <f aca="false">IF(C306="","",IFERROR(INDEX(LOTES!$B$5:$B$1004,MATCH(C306,LOTES!$F$5:$F$1004,0)),""))</f>
        <v/>
      </c>
      <c r="G306" s="15" t="str">
        <f aca="false">IF(OR(B306="",F306=""),"",B306-F306)</f>
        <v/>
      </c>
      <c r="H306" s="13"/>
      <c r="I306" s="13"/>
      <c r="J306" s="13"/>
      <c r="K306" s="25"/>
      <c r="L306" s="25"/>
      <c r="M306" s="25"/>
      <c r="N306" s="25"/>
      <c r="O306" s="26"/>
      <c r="P306" s="16" t="str">
        <f aca="false">IF(O306="","",IFERROR(1/(1/(IF(K306="",INDEX(CONFIG!$F$5:$F$14,MATCH(D306,CONFIG!$D$5:$D$14,0)),K306)*IF(M306="",INDEX(CONFIG!$H$5:$H$14,MATCH(D306,CONFIG!$D$5:$D$14,0)),M306))),""))</f>
        <v/>
      </c>
      <c r="Q306" s="16" t="str">
        <f aca="false">IF(OR(O306="",P306=""),"",O306/P306)</f>
        <v/>
      </c>
      <c r="R306" s="16" t="str">
        <f aca="false">IF(Q306="","",Q306*0.0980665)</f>
        <v/>
      </c>
      <c r="S306" s="16" t="str">
        <f aca="false">IF(Q306="","",IFERROR(Q306/(1/(1/INDEX(CONFIG!$I$5:$I$14,MATCH(D306,CONFIG!$D$5:$D$14,0)))),""))</f>
        <v/>
      </c>
      <c r="T306" s="13"/>
      <c r="U306" s="13"/>
      <c r="V306" s="13"/>
      <c r="W306" s="13"/>
      <c r="X306" s="22" t="str">
        <f aca="false">IF(Q306="","",Q306^2)</f>
        <v/>
      </c>
      <c r="Y306" s="22" t="str">
        <f aca="false">IF(AND(C306&lt;&gt;"",C306=CERTIFICADO!$E$4,OR(CERTIFICADO!$E$5="",B306=CERTIFICADO!$E$5)),MAX($Y$4:Y305)+1,"")</f>
        <v/>
      </c>
    </row>
    <row r="307" customFormat="false" ht="15" hidden="false" customHeight="false" outlineLevel="0" collapsed="false">
      <c r="A307" s="11" t="str">
        <f aca="false">IF(C307="","",ROW()-4)</f>
        <v/>
      </c>
      <c r="B307" s="12"/>
      <c r="C307" s="13"/>
      <c r="D307" s="23" t="str">
        <f aca="false">IF(C307="","",IFERROR(INDEX(LOTES!$D$5:$D$1004,MATCH(C307,LOTES!$F$5:$F$1004,0)),"¿Lote?"))</f>
        <v/>
      </c>
      <c r="E307" s="11" t="str">
        <f aca="false">IF(C307="","",IFERROR(INDEX(LOTES!$C$5:$C$1004,MATCH(C307,LOTES!$F$5:$F$1004,0)),""))</f>
        <v/>
      </c>
      <c r="F307" s="24" t="str">
        <f aca="false">IF(C307="","",IFERROR(INDEX(LOTES!$B$5:$B$1004,MATCH(C307,LOTES!$F$5:$F$1004,0)),""))</f>
        <v/>
      </c>
      <c r="G307" s="15" t="str">
        <f aca="false">IF(OR(B307="",F307=""),"",B307-F307)</f>
        <v/>
      </c>
      <c r="H307" s="13"/>
      <c r="I307" s="13"/>
      <c r="J307" s="13"/>
      <c r="K307" s="25"/>
      <c r="L307" s="25"/>
      <c r="M307" s="25"/>
      <c r="N307" s="25"/>
      <c r="O307" s="26"/>
      <c r="P307" s="16" t="str">
        <f aca="false">IF(O307="","",IFERROR(1/(1/(IF(K307="",INDEX(CONFIG!$F$5:$F$14,MATCH(D307,CONFIG!$D$5:$D$14,0)),K307)*IF(M307="",INDEX(CONFIG!$H$5:$H$14,MATCH(D307,CONFIG!$D$5:$D$14,0)),M307))),""))</f>
        <v/>
      </c>
      <c r="Q307" s="16" t="str">
        <f aca="false">IF(OR(O307="",P307=""),"",O307/P307)</f>
        <v/>
      </c>
      <c r="R307" s="16" t="str">
        <f aca="false">IF(Q307="","",Q307*0.0980665)</f>
        <v/>
      </c>
      <c r="S307" s="16" t="str">
        <f aca="false">IF(Q307="","",IFERROR(Q307/(1/(1/INDEX(CONFIG!$I$5:$I$14,MATCH(D307,CONFIG!$D$5:$D$14,0)))),""))</f>
        <v/>
      </c>
      <c r="T307" s="13"/>
      <c r="U307" s="13"/>
      <c r="V307" s="13"/>
      <c r="W307" s="13"/>
      <c r="X307" s="22" t="str">
        <f aca="false">IF(Q307="","",Q307^2)</f>
        <v/>
      </c>
      <c r="Y307" s="22" t="str">
        <f aca="false">IF(AND(C307&lt;&gt;"",C307=CERTIFICADO!$E$4,OR(CERTIFICADO!$E$5="",B307=CERTIFICADO!$E$5)),MAX($Y$4:Y306)+1,"")</f>
        <v/>
      </c>
    </row>
    <row r="308" customFormat="false" ht="15" hidden="false" customHeight="false" outlineLevel="0" collapsed="false">
      <c r="A308" s="11" t="str">
        <f aca="false">IF(C308="","",ROW()-4)</f>
        <v/>
      </c>
      <c r="B308" s="12"/>
      <c r="C308" s="13"/>
      <c r="D308" s="23" t="str">
        <f aca="false">IF(C308="","",IFERROR(INDEX(LOTES!$D$5:$D$1004,MATCH(C308,LOTES!$F$5:$F$1004,0)),"¿Lote?"))</f>
        <v/>
      </c>
      <c r="E308" s="11" t="str">
        <f aca="false">IF(C308="","",IFERROR(INDEX(LOTES!$C$5:$C$1004,MATCH(C308,LOTES!$F$5:$F$1004,0)),""))</f>
        <v/>
      </c>
      <c r="F308" s="24" t="str">
        <f aca="false">IF(C308="","",IFERROR(INDEX(LOTES!$B$5:$B$1004,MATCH(C308,LOTES!$F$5:$F$1004,0)),""))</f>
        <v/>
      </c>
      <c r="G308" s="15" t="str">
        <f aca="false">IF(OR(B308="",F308=""),"",B308-F308)</f>
        <v/>
      </c>
      <c r="H308" s="13"/>
      <c r="I308" s="13"/>
      <c r="J308" s="13"/>
      <c r="K308" s="25"/>
      <c r="L308" s="25"/>
      <c r="M308" s="25"/>
      <c r="N308" s="25"/>
      <c r="O308" s="26"/>
      <c r="P308" s="16" t="str">
        <f aca="false">IF(O308="","",IFERROR(1/(1/(IF(K308="",INDEX(CONFIG!$F$5:$F$14,MATCH(D308,CONFIG!$D$5:$D$14,0)),K308)*IF(M308="",INDEX(CONFIG!$H$5:$H$14,MATCH(D308,CONFIG!$D$5:$D$14,0)),M308))),""))</f>
        <v/>
      </c>
      <c r="Q308" s="16" t="str">
        <f aca="false">IF(OR(O308="",P308=""),"",O308/P308)</f>
        <v/>
      </c>
      <c r="R308" s="16" t="str">
        <f aca="false">IF(Q308="","",Q308*0.0980665)</f>
        <v/>
      </c>
      <c r="S308" s="16" t="str">
        <f aca="false">IF(Q308="","",IFERROR(Q308/(1/(1/INDEX(CONFIG!$I$5:$I$14,MATCH(D308,CONFIG!$D$5:$D$14,0)))),""))</f>
        <v/>
      </c>
      <c r="T308" s="13"/>
      <c r="U308" s="13"/>
      <c r="V308" s="13"/>
      <c r="W308" s="13"/>
      <c r="X308" s="22" t="str">
        <f aca="false">IF(Q308="","",Q308^2)</f>
        <v/>
      </c>
      <c r="Y308" s="22" t="str">
        <f aca="false">IF(AND(C308&lt;&gt;"",C308=CERTIFICADO!$E$4,OR(CERTIFICADO!$E$5="",B308=CERTIFICADO!$E$5)),MAX($Y$4:Y307)+1,"")</f>
        <v/>
      </c>
    </row>
    <row r="309" customFormat="false" ht="15" hidden="false" customHeight="false" outlineLevel="0" collapsed="false">
      <c r="A309" s="11" t="str">
        <f aca="false">IF(C309="","",ROW()-4)</f>
        <v/>
      </c>
      <c r="B309" s="12"/>
      <c r="C309" s="13"/>
      <c r="D309" s="23" t="str">
        <f aca="false">IF(C309="","",IFERROR(INDEX(LOTES!$D$5:$D$1004,MATCH(C309,LOTES!$F$5:$F$1004,0)),"¿Lote?"))</f>
        <v/>
      </c>
      <c r="E309" s="11" t="str">
        <f aca="false">IF(C309="","",IFERROR(INDEX(LOTES!$C$5:$C$1004,MATCH(C309,LOTES!$F$5:$F$1004,0)),""))</f>
        <v/>
      </c>
      <c r="F309" s="24" t="str">
        <f aca="false">IF(C309="","",IFERROR(INDEX(LOTES!$B$5:$B$1004,MATCH(C309,LOTES!$F$5:$F$1004,0)),""))</f>
        <v/>
      </c>
      <c r="G309" s="15" t="str">
        <f aca="false">IF(OR(B309="",F309=""),"",B309-F309)</f>
        <v/>
      </c>
      <c r="H309" s="13"/>
      <c r="I309" s="13"/>
      <c r="J309" s="13"/>
      <c r="K309" s="25"/>
      <c r="L309" s="25"/>
      <c r="M309" s="25"/>
      <c r="N309" s="25"/>
      <c r="O309" s="26"/>
      <c r="P309" s="16" t="str">
        <f aca="false">IF(O309="","",IFERROR(1/(1/(IF(K309="",INDEX(CONFIG!$F$5:$F$14,MATCH(D309,CONFIG!$D$5:$D$14,0)),K309)*IF(M309="",INDEX(CONFIG!$H$5:$H$14,MATCH(D309,CONFIG!$D$5:$D$14,0)),M309))),""))</f>
        <v/>
      </c>
      <c r="Q309" s="16" t="str">
        <f aca="false">IF(OR(O309="",P309=""),"",O309/P309)</f>
        <v/>
      </c>
      <c r="R309" s="16" t="str">
        <f aca="false">IF(Q309="","",Q309*0.0980665)</f>
        <v/>
      </c>
      <c r="S309" s="16" t="str">
        <f aca="false">IF(Q309="","",IFERROR(Q309/(1/(1/INDEX(CONFIG!$I$5:$I$14,MATCH(D309,CONFIG!$D$5:$D$14,0)))),""))</f>
        <v/>
      </c>
      <c r="T309" s="13"/>
      <c r="U309" s="13"/>
      <c r="V309" s="13"/>
      <c r="W309" s="13"/>
      <c r="X309" s="22" t="str">
        <f aca="false">IF(Q309="","",Q309^2)</f>
        <v/>
      </c>
      <c r="Y309" s="22" t="str">
        <f aca="false">IF(AND(C309&lt;&gt;"",C309=CERTIFICADO!$E$4,OR(CERTIFICADO!$E$5="",B309=CERTIFICADO!$E$5)),MAX($Y$4:Y308)+1,"")</f>
        <v/>
      </c>
    </row>
    <row r="310" customFormat="false" ht="15" hidden="false" customHeight="false" outlineLevel="0" collapsed="false">
      <c r="A310" s="11" t="str">
        <f aca="false">IF(C310="","",ROW()-4)</f>
        <v/>
      </c>
      <c r="B310" s="12"/>
      <c r="C310" s="13"/>
      <c r="D310" s="23" t="str">
        <f aca="false">IF(C310="","",IFERROR(INDEX(LOTES!$D$5:$D$1004,MATCH(C310,LOTES!$F$5:$F$1004,0)),"¿Lote?"))</f>
        <v/>
      </c>
      <c r="E310" s="11" t="str">
        <f aca="false">IF(C310="","",IFERROR(INDEX(LOTES!$C$5:$C$1004,MATCH(C310,LOTES!$F$5:$F$1004,0)),""))</f>
        <v/>
      </c>
      <c r="F310" s="24" t="str">
        <f aca="false">IF(C310="","",IFERROR(INDEX(LOTES!$B$5:$B$1004,MATCH(C310,LOTES!$F$5:$F$1004,0)),""))</f>
        <v/>
      </c>
      <c r="G310" s="15" t="str">
        <f aca="false">IF(OR(B310="",F310=""),"",B310-F310)</f>
        <v/>
      </c>
      <c r="H310" s="13"/>
      <c r="I310" s="13"/>
      <c r="J310" s="13"/>
      <c r="K310" s="25"/>
      <c r="L310" s="25"/>
      <c r="M310" s="25"/>
      <c r="N310" s="25"/>
      <c r="O310" s="26"/>
      <c r="P310" s="16" t="str">
        <f aca="false">IF(O310="","",IFERROR(1/(1/(IF(K310="",INDEX(CONFIG!$F$5:$F$14,MATCH(D310,CONFIG!$D$5:$D$14,0)),K310)*IF(M310="",INDEX(CONFIG!$H$5:$H$14,MATCH(D310,CONFIG!$D$5:$D$14,0)),M310))),""))</f>
        <v/>
      </c>
      <c r="Q310" s="16" t="str">
        <f aca="false">IF(OR(O310="",P310=""),"",O310/P310)</f>
        <v/>
      </c>
      <c r="R310" s="16" t="str">
        <f aca="false">IF(Q310="","",Q310*0.0980665)</f>
        <v/>
      </c>
      <c r="S310" s="16" t="str">
        <f aca="false">IF(Q310="","",IFERROR(Q310/(1/(1/INDEX(CONFIG!$I$5:$I$14,MATCH(D310,CONFIG!$D$5:$D$14,0)))),""))</f>
        <v/>
      </c>
      <c r="T310" s="13"/>
      <c r="U310" s="13"/>
      <c r="V310" s="13"/>
      <c r="W310" s="13"/>
      <c r="X310" s="22" t="str">
        <f aca="false">IF(Q310="","",Q310^2)</f>
        <v/>
      </c>
      <c r="Y310" s="22" t="str">
        <f aca="false">IF(AND(C310&lt;&gt;"",C310=CERTIFICADO!$E$4,OR(CERTIFICADO!$E$5="",B310=CERTIFICADO!$E$5)),MAX($Y$4:Y309)+1,"")</f>
        <v/>
      </c>
    </row>
    <row r="311" customFormat="false" ht="15" hidden="false" customHeight="false" outlineLevel="0" collapsed="false">
      <c r="A311" s="11" t="str">
        <f aca="false">IF(C311="","",ROW()-4)</f>
        <v/>
      </c>
      <c r="B311" s="12"/>
      <c r="C311" s="13"/>
      <c r="D311" s="23" t="str">
        <f aca="false">IF(C311="","",IFERROR(INDEX(LOTES!$D$5:$D$1004,MATCH(C311,LOTES!$F$5:$F$1004,0)),"¿Lote?"))</f>
        <v/>
      </c>
      <c r="E311" s="11" t="str">
        <f aca="false">IF(C311="","",IFERROR(INDEX(LOTES!$C$5:$C$1004,MATCH(C311,LOTES!$F$5:$F$1004,0)),""))</f>
        <v/>
      </c>
      <c r="F311" s="24" t="str">
        <f aca="false">IF(C311="","",IFERROR(INDEX(LOTES!$B$5:$B$1004,MATCH(C311,LOTES!$F$5:$F$1004,0)),""))</f>
        <v/>
      </c>
      <c r="G311" s="15" t="str">
        <f aca="false">IF(OR(B311="",F311=""),"",B311-F311)</f>
        <v/>
      </c>
      <c r="H311" s="13"/>
      <c r="I311" s="13"/>
      <c r="J311" s="13"/>
      <c r="K311" s="25"/>
      <c r="L311" s="25"/>
      <c r="M311" s="25"/>
      <c r="N311" s="25"/>
      <c r="O311" s="26"/>
      <c r="P311" s="16" t="str">
        <f aca="false">IF(O311="","",IFERROR(1/(1/(IF(K311="",INDEX(CONFIG!$F$5:$F$14,MATCH(D311,CONFIG!$D$5:$D$14,0)),K311)*IF(M311="",INDEX(CONFIG!$H$5:$H$14,MATCH(D311,CONFIG!$D$5:$D$14,0)),M311))),""))</f>
        <v/>
      </c>
      <c r="Q311" s="16" t="str">
        <f aca="false">IF(OR(O311="",P311=""),"",O311/P311)</f>
        <v/>
      </c>
      <c r="R311" s="16" t="str">
        <f aca="false">IF(Q311="","",Q311*0.0980665)</f>
        <v/>
      </c>
      <c r="S311" s="16" t="str">
        <f aca="false">IF(Q311="","",IFERROR(Q311/(1/(1/INDEX(CONFIG!$I$5:$I$14,MATCH(D311,CONFIG!$D$5:$D$14,0)))),""))</f>
        <v/>
      </c>
      <c r="T311" s="13"/>
      <c r="U311" s="13"/>
      <c r="V311" s="13"/>
      <c r="W311" s="13"/>
      <c r="X311" s="22" t="str">
        <f aca="false">IF(Q311="","",Q311^2)</f>
        <v/>
      </c>
      <c r="Y311" s="22" t="str">
        <f aca="false">IF(AND(C311&lt;&gt;"",C311=CERTIFICADO!$E$4,OR(CERTIFICADO!$E$5="",B311=CERTIFICADO!$E$5)),MAX($Y$4:Y310)+1,"")</f>
        <v/>
      </c>
    </row>
    <row r="312" customFormat="false" ht="15" hidden="false" customHeight="false" outlineLevel="0" collapsed="false">
      <c r="A312" s="11" t="str">
        <f aca="false">IF(C312="","",ROW()-4)</f>
        <v/>
      </c>
      <c r="B312" s="12"/>
      <c r="C312" s="13"/>
      <c r="D312" s="23" t="str">
        <f aca="false">IF(C312="","",IFERROR(INDEX(LOTES!$D$5:$D$1004,MATCH(C312,LOTES!$F$5:$F$1004,0)),"¿Lote?"))</f>
        <v/>
      </c>
      <c r="E312" s="11" t="str">
        <f aca="false">IF(C312="","",IFERROR(INDEX(LOTES!$C$5:$C$1004,MATCH(C312,LOTES!$F$5:$F$1004,0)),""))</f>
        <v/>
      </c>
      <c r="F312" s="24" t="str">
        <f aca="false">IF(C312="","",IFERROR(INDEX(LOTES!$B$5:$B$1004,MATCH(C312,LOTES!$F$5:$F$1004,0)),""))</f>
        <v/>
      </c>
      <c r="G312" s="15" t="str">
        <f aca="false">IF(OR(B312="",F312=""),"",B312-F312)</f>
        <v/>
      </c>
      <c r="H312" s="13"/>
      <c r="I312" s="13"/>
      <c r="J312" s="13"/>
      <c r="K312" s="25"/>
      <c r="L312" s="25"/>
      <c r="M312" s="25"/>
      <c r="N312" s="25"/>
      <c r="O312" s="26"/>
      <c r="P312" s="16" t="str">
        <f aca="false">IF(O312="","",IFERROR(1/(1/(IF(K312="",INDEX(CONFIG!$F$5:$F$14,MATCH(D312,CONFIG!$D$5:$D$14,0)),K312)*IF(M312="",INDEX(CONFIG!$H$5:$H$14,MATCH(D312,CONFIG!$D$5:$D$14,0)),M312))),""))</f>
        <v/>
      </c>
      <c r="Q312" s="16" t="str">
        <f aca="false">IF(OR(O312="",P312=""),"",O312/P312)</f>
        <v/>
      </c>
      <c r="R312" s="16" t="str">
        <f aca="false">IF(Q312="","",Q312*0.0980665)</f>
        <v/>
      </c>
      <c r="S312" s="16" t="str">
        <f aca="false">IF(Q312="","",IFERROR(Q312/(1/(1/INDEX(CONFIG!$I$5:$I$14,MATCH(D312,CONFIG!$D$5:$D$14,0)))),""))</f>
        <v/>
      </c>
      <c r="T312" s="13"/>
      <c r="U312" s="13"/>
      <c r="V312" s="13"/>
      <c r="W312" s="13"/>
      <c r="X312" s="22" t="str">
        <f aca="false">IF(Q312="","",Q312^2)</f>
        <v/>
      </c>
      <c r="Y312" s="22" t="str">
        <f aca="false">IF(AND(C312&lt;&gt;"",C312=CERTIFICADO!$E$4,OR(CERTIFICADO!$E$5="",B312=CERTIFICADO!$E$5)),MAX($Y$4:Y311)+1,"")</f>
        <v/>
      </c>
    </row>
    <row r="313" customFormat="false" ht="15" hidden="false" customHeight="false" outlineLevel="0" collapsed="false">
      <c r="A313" s="11" t="str">
        <f aca="false">IF(C313="","",ROW()-4)</f>
        <v/>
      </c>
      <c r="B313" s="12"/>
      <c r="C313" s="13"/>
      <c r="D313" s="23" t="str">
        <f aca="false">IF(C313="","",IFERROR(INDEX(LOTES!$D$5:$D$1004,MATCH(C313,LOTES!$F$5:$F$1004,0)),"¿Lote?"))</f>
        <v/>
      </c>
      <c r="E313" s="11" t="str">
        <f aca="false">IF(C313="","",IFERROR(INDEX(LOTES!$C$5:$C$1004,MATCH(C313,LOTES!$F$5:$F$1004,0)),""))</f>
        <v/>
      </c>
      <c r="F313" s="24" t="str">
        <f aca="false">IF(C313="","",IFERROR(INDEX(LOTES!$B$5:$B$1004,MATCH(C313,LOTES!$F$5:$F$1004,0)),""))</f>
        <v/>
      </c>
      <c r="G313" s="15" t="str">
        <f aca="false">IF(OR(B313="",F313=""),"",B313-F313)</f>
        <v/>
      </c>
      <c r="H313" s="13"/>
      <c r="I313" s="13"/>
      <c r="J313" s="13"/>
      <c r="K313" s="25"/>
      <c r="L313" s="25"/>
      <c r="M313" s="25"/>
      <c r="N313" s="25"/>
      <c r="O313" s="26"/>
      <c r="P313" s="16" t="str">
        <f aca="false">IF(O313="","",IFERROR(1/(1/(IF(K313="",INDEX(CONFIG!$F$5:$F$14,MATCH(D313,CONFIG!$D$5:$D$14,0)),K313)*IF(M313="",INDEX(CONFIG!$H$5:$H$14,MATCH(D313,CONFIG!$D$5:$D$14,0)),M313))),""))</f>
        <v/>
      </c>
      <c r="Q313" s="16" t="str">
        <f aca="false">IF(OR(O313="",P313=""),"",O313/P313)</f>
        <v/>
      </c>
      <c r="R313" s="16" t="str">
        <f aca="false">IF(Q313="","",Q313*0.0980665)</f>
        <v/>
      </c>
      <c r="S313" s="16" t="str">
        <f aca="false">IF(Q313="","",IFERROR(Q313/(1/(1/INDEX(CONFIG!$I$5:$I$14,MATCH(D313,CONFIG!$D$5:$D$14,0)))),""))</f>
        <v/>
      </c>
      <c r="T313" s="13"/>
      <c r="U313" s="13"/>
      <c r="V313" s="13"/>
      <c r="W313" s="13"/>
      <c r="X313" s="22" t="str">
        <f aca="false">IF(Q313="","",Q313^2)</f>
        <v/>
      </c>
      <c r="Y313" s="22" t="str">
        <f aca="false">IF(AND(C313&lt;&gt;"",C313=CERTIFICADO!$E$4,OR(CERTIFICADO!$E$5="",B313=CERTIFICADO!$E$5)),MAX($Y$4:Y312)+1,"")</f>
        <v/>
      </c>
    </row>
    <row r="314" customFormat="false" ht="15" hidden="false" customHeight="false" outlineLevel="0" collapsed="false">
      <c r="A314" s="11" t="str">
        <f aca="false">IF(C314="","",ROW()-4)</f>
        <v/>
      </c>
      <c r="B314" s="12"/>
      <c r="C314" s="13"/>
      <c r="D314" s="23" t="str">
        <f aca="false">IF(C314="","",IFERROR(INDEX(LOTES!$D$5:$D$1004,MATCH(C314,LOTES!$F$5:$F$1004,0)),"¿Lote?"))</f>
        <v/>
      </c>
      <c r="E314" s="11" t="str">
        <f aca="false">IF(C314="","",IFERROR(INDEX(LOTES!$C$5:$C$1004,MATCH(C314,LOTES!$F$5:$F$1004,0)),""))</f>
        <v/>
      </c>
      <c r="F314" s="24" t="str">
        <f aca="false">IF(C314="","",IFERROR(INDEX(LOTES!$B$5:$B$1004,MATCH(C314,LOTES!$F$5:$F$1004,0)),""))</f>
        <v/>
      </c>
      <c r="G314" s="15" t="str">
        <f aca="false">IF(OR(B314="",F314=""),"",B314-F314)</f>
        <v/>
      </c>
      <c r="H314" s="13"/>
      <c r="I314" s="13"/>
      <c r="J314" s="13"/>
      <c r="K314" s="25"/>
      <c r="L314" s="25"/>
      <c r="M314" s="25"/>
      <c r="N314" s="25"/>
      <c r="O314" s="26"/>
      <c r="P314" s="16" t="str">
        <f aca="false">IF(O314="","",IFERROR(1/(1/(IF(K314="",INDEX(CONFIG!$F$5:$F$14,MATCH(D314,CONFIG!$D$5:$D$14,0)),K314)*IF(M314="",INDEX(CONFIG!$H$5:$H$14,MATCH(D314,CONFIG!$D$5:$D$14,0)),M314))),""))</f>
        <v/>
      </c>
      <c r="Q314" s="16" t="str">
        <f aca="false">IF(OR(O314="",P314=""),"",O314/P314)</f>
        <v/>
      </c>
      <c r="R314" s="16" t="str">
        <f aca="false">IF(Q314="","",Q314*0.0980665)</f>
        <v/>
      </c>
      <c r="S314" s="16" t="str">
        <f aca="false">IF(Q314="","",IFERROR(Q314/(1/(1/INDEX(CONFIG!$I$5:$I$14,MATCH(D314,CONFIG!$D$5:$D$14,0)))),""))</f>
        <v/>
      </c>
      <c r="T314" s="13"/>
      <c r="U314" s="13"/>
      <c r="V314" s="13"/>
      <c r="W314" s="13"/>
      <c r="X314" s="22" t="str">
        <f aca="false">IF(Q314="","",Q314^2)</f>
        <v/>
      </c>
      <c r="Y314" s="22" t="str">
        <f aca="false">IF(AND(C314&lt;&gt;"",C314=CERTIFICADO!$E$4,OR(CERTIFICADO!$E$5="",B314=CERTIFICADO!$E$5)),MAX($Y$4:Y313)+1,"")</f>
        <v/>
      </c>
    </row>
    <row r="315" customFormat="false" ht="15" hidden="false" customHeight="false" outlineLevel="0" collapsed="false">
      <c r="A315" s="11" t="str">
        <f aca="false">IF(C315="","",ROW()-4)</f>
        <v/>
      </c>
      <c r="B315" s="12"/>
      <c r="C315" s="13"/>
      <c r="D315" s="23" t="str">
        <f aca="false">IF(C315="","",IFERROR(INDEX(LOTES!$D$5:$D$1004,MATCH(C315,LOTES!$F$5:$F$1004,0)),"¿Lote?"))</f>
        <v/>
      </c>
      <c r="E315" s="11" t="str">
        <f aca="false">IF(C315="","",IFERROR(INDEX(LOTES!$C$5:$C$1004,MATCH(C315,LOTES!$F$5:$F$1004,0)),""))</f>
        <v/>
      </c>
      <c r="F315" s="24" t="str">
        <f aca="false">IF(C315="","",IFERROR(INDEX(LOTES!$B$5:$B$1004,MATCH(C315,LOTES!$F$5:$F$1004,0)),""))</f>
        <v/>
      </c>
      <c r="G315" s="15" t="str">
        <f aca="false">IF(OR(B315="",F315=""),"",B315-F315)</f>
        <v/>
      </c>
      <c r="H315" s="13"/>
      <c r="I315" s="13"/>
      <c r="J315" s="13"/>
      <c r="K315" s="25"/>
      <c r="L315" s="25"/>
      <c r="M315" s="25"/>
      <c r="N315" s="25"/>
      <c r="O315" s="26"/>
      <c r="P315" s="16" t="str">
        <f aca="false">IF(O315="","",IFERROR(1/(1/(IF(K315="",INDEX(CONFIG!$F$5:$F$14,MATCH(D315,CONFIG!$D$5:$D$14,0)),K315)*IF(M315="",INDEX(CONFIG!$H$5:$H$14,MATCH(D315,CONFIG!$D$5:$D$14,0)),M315))),""))</f>
        <v/>
      </c>
      <c r="Q315" s="16" t="str">
        <f aca="false">IF(OR(O315="",P315=""),"",O315/P315)</f>
        <v/>
      </c>
      <c r="R315" s="16" t="str">
        <f aca="false">IF(Q315="","",Q315*0.0980665)</f>
        <v/>
      </c>
      <c r="S315" s="16" t="str">
        <f aca="false">IF(Q315="","",IFERROR(Q315/(1/(1/INDEX(CONFIG!$I$5:$I$14,MATCH(D315,CONFIG!$D$5:$D$14,0)))),""))</f>
        <v/>
      </c>
      <c r="T315" s="13"/>
      <c r="U315" s="13"/>
      <c r="V315" s="13"/>
      <c r="W315" s="13"/>
      <c r="X315" s="22" t="str">
        <f aca="false">IF(Q315="","",Q315^2)</f>
        <v/>
      </c>
      <c r="Y315" s="22" t="str">
        <f aca="false">IF(AND(C315&lt;&gt;"",C315=CERTIFICADO!$E$4,OR(CERTIFICADO!$E$5="",B315=CERTIFICADO!$E$5)),MAX($Y$4:Y314)+1,"")</f>
        <v/>
      </c>
    </row>
    <row r="316" customFormat="false" ht="15" hidden="false" customHeight="false" outlineLevel="0" collapsed="false">
      <c r="A316" s="11" t="str">
        <f aca="false">IF(C316="","",ROW()-4)</f>
        <v/>
      </c>
      <c r="B316" s="12"/>
      <c r="C316" s="13"/>
      <c r="D316" s="23" t="str">
        <f aca="false">IF(C316="","",IFERROR(INDEX(LOTES!$D$5:$D$1004,MATCH(C316,LOTES!$F$5:$F$1004,0)),"¿Lote?"))</f>
        <v/>
      </c>
      <c r="E316" s="11" t="str">
        <f aca="false">IF(C316="","",IFERROR(INDEX(LOTES!$C$5:$C$1004,MATCH(C316,LOTES!$F$5:$F$1004,0)),""))</f>
        <v/>
      </c>
      <c r="F316" s="24" t="str">
        <f aca="false">IF(C316="","",IFERROR(INDEX(LOTES!$B$5:$B$1004,MATCH(C316,LOTES!$F$5:$F$1004,0)),""))</f>
        <v/>
      </c>
      <c r="G316" s="15" t="str">
        <f aca="false">IF(OR(B316="",F316=""),"",B316-F316)</f>
        <v/>
      </c>
      <c r="H316" s="13"/>
      <c r="I316" s="13"/>
      <c r="J316" s="13"/>
      <c r="K316" s="25"/>
      <c r="L316" s="25"/>
      <c r="M316" s="25"/>
      <c r="N316" s="25"/>
      <c r="O316" s="26"/>
      <c r="P316" s="16" t="str">
        <f aca="false">IF(O316="","",IFERROR(1/(1/(IF(K316="",INDEX(CONFIG!$F$5:$F$14,MATCH(D316,CONFIG!$D$5:$D$14,0)),K316)*IF(M316="",INDEX(CONFIG!$H$5:$H$14,MATCH(D316,CONFIG!$D$5:$D$14,0)),M316))),""))</f>
        <v/>
      </c>
      <c r="Q316" s="16" t="str">
        <f aca="false">IF(OR(O316="",P316=""),"",O316/P316)</f>
        <v/>
      </c>
      <c r="R316" s="16" t="str">
        <f aca="false">IF(Q316="","",Q316*0.0980665)</f>
        <v/>
      </c>
      <c r="S316" s="16" t="str">
        <f aca="false">IF(Q316="","",IFERROR(Q316/(1/(1/INDEX(CONFIG!$I$5:$I$14,MATCH(D316,CONFIG!$D$5:$D$14,0)))),""))</f>
        <v/>
      </c>
      <c r="T316" s="13"/>
      <c r="U316" s="13"/>
      <c r="V316" s="13"/>
      <c r="W316" s="13"/>
      <c r="X316" s="22" t="str">
        <f aca="false">IF(Q316="","",Q316^2)</f>
        <v/>
      </c>
      <c r="Y316" s="22" t="str">
        <f aca="false">IF(AND(C316&lt;&gt;"",C316=CERTIFICADO!$E$4,OR(CERTIFICADO!$E$5="",B316=CERTIFICADO!$E$5)),MAX($Y$4:Y315)+1,"")</f>
        <v/>
      </c>
    </row>
    <row r="317" customFormat="false" ht="15" hidden="false" customHeight="false" outlineLevel="0" collapsed="false">
      <c r="A317" s="11" t="str">
        <f aca="false">IF(C317="","",ROW()-4)</f>
        <v/>
      </c>
      <c r="B317" s="12"/>
      <c r="C317" s="13"/>
      <c r="D317" s="23" t="str">
        <f aca="false">IF(C317="","",IFERROR(INDEX(LOTES!$D$5:$D$1004,MATCH(C317,LOTES!$F$5:$F$1004,0)),"¿Lote?"))</f>
        <v/>
      </c>
      <c r="E317" s="11" t="str">
        <f aca="false">IF(C317="","",IFERROR(INDEX(LOTES!$C$5:$C$1004,MATCH(C317,LOTES!$F$5:$F$1004,0)),""))</f>
        <v/>
      </c>
      <c r="F317" s="24" t="str">
        <f aca="false">IF(C317="","",IFERROR(INDEX(LOTES!$B$5:$B$1004,MATCH(C317,LOTES!$F$5:$F$1004,0)),""))</f>
        <v/>
      </c>
      <c r="G317" s="15" t="str">
        <f aca="false">IF(OR(B317="",F317=""),"",B317-F317)</f>
        <v/>
      </c>
      <c r="H317" s="13"/>
      <c r="I317" s="13"/>
      <c r="J317" s="13"/>
      <c r="K317" s="25"/>
      <c r="L317" s="25"/>
      <c r="M317" s="25"/>
      <c r="N317" s="25"/>
      <c r="O317" s="26"/>
      <c r="P317" s="16" t="str">
        <f aca="false">IF(O317="","",IFERROR(1/(1/(IF(K317="",INDEX(CONFIG!$F$5:$F$14,MATCH(D317,CONFIG!$D$5:$D$14,0)),K317)*IF(M317="",INDEX(CONFIG!$H$5:$H$14,MATCH(D317,CONFIG!$D$5:$D$14,0)),M317))),""))</f>
        <v/>
      </c>
      <c r="Q317" s="16" t="str">
        <f aca="false">IF(OR(O317="",P317=""),"",O317/P317)</f>
        <v/>
      </c>
      <c r="R317" s="16" t="str">
        <f aca="false">IF(Q317="","",Q317*0.0980665)</f>
        <v/>
      </c>
      <c r="S317" s="16" t="str">
        <f aca="false">IF(Q317="","",IFERROR(Q317/(1/(1/INDEX(CONFIG!$I$5:$I$14,MATCH(D317,CONFIG!$D$5:$D$14,0)))),""))</f>
        <v/>
      </c>
      <c r="T317" s="13"/>
      <c r="U317" s="13"/>
      <c r="V317" s="13"/>
      <c r="W317" s="13"/>
      <c r="X317" s="22" t="str">
        <f aca="false">IF(Q317="","",Q317^2)</f>
        <v/>
      </c>
      <c r="Y317" s="22" t="str">
        <f aca="false">IF(AND(C317&lt;&gt;"",C317=CERTIFICADO!$E$4,OR(CERTIFICADO!$E$5="",B317=CERTIFICADO!$E$5)),MAX($Y$4:Y316)+1,"")</f>
        <v/>
      </c>
    </row>
    <row r="318" customFormat="false" ht="15" hidden="false" customHeight="false" outlineLevel="0" collapsed="false">
      <c r="A318" s="11" t="str">
        <f aca="false">IF(C318="","",ROW()-4)</f>
        <v/>
      </c>
      <c r="B318" s="12"/>
      <c r="C318" s="13"/>
      <c r="D318" s="23" t="str">
        <f aca="false">IF(C318="","",IFERROR(INDEX(LOTES!$D$5:$D$1004,MATCH(C318,LOTES!$F$5:$F$1004,0)),"¿Lote?"))</f>
        <v/>
      </c>
      <c r="E318" s="11" t="str">
        <f aca="false">IF(C318="","",IFERROR(INDEX(LOTES!$C$5:$C$1004,MATCH(C318,LOTES!$F$5:$F$1004,0)),""))</f>
        <v/>
      </c>
      <c r="F318" s="24" t="str">
        <f aca="false">IF(C318="","",IFERROR(INDEX(LOTES!$B$5:$B$1004,MATCH(C318,LOTES!$F$5:$F$1004,0)),""))</f>
        <v/>
      </c>
      <c r="G318" s="15" t="str">
        <f aca="false">IF(OR(B318="",F318=""),"",B318-F318)</f>
        <v/>
      </c>
      <c r="H318" s="13"/>
      <c r="I318" s="13"/>
      <c r="J318" s="13"/>
      <c r="K318" s="25"/>
      <c r="L318" s="25"/>
      <c r="M318" s="25"/>
      <c r="N318" s="25"/>
      <c r="O318" s="26"/>
      <c r="P318" s="16" t="str">
        <f aca="false">IF(O318="","",IFERROR(1/(1/(IF(K318="",INDEX(CONFIG!$F$5:$F$14,MATCH(D318,CONFIG!$D$5:$D$14,0)),K318)*IF(M318="",INDEX(CONFIG!$H$5:$H$14,MATCH(D318,CONFIG!$D$5:$D$14,0)),M318))),""))</f>
        <v/>
      </c>
      <c r="Q318" s="16" t="str">
        <f aca="false">IF(OR(O318="",P318=""),"",O318/P318)</f>
        <v/>
      </c>
      <c r="R318" s="16" t="str">
        <f aca="false">IF(Q318="","",Q318*0.0980665)</f>
        <v/>
      </c>
      <c r="S318" s="16" t="str">
        <f aca="false">IF(Q318="","",IFERROR(Q318/(1/(1/INDEX(CONFIG!$I$5:$I$14,MATCH(D318,CONFIG!$D$5:$D$14,0)))),""))</f>
        <v/>
      </c>
      <c r="T318" s="13"/>
      <c r="U318" s="13"/>
      <c r="V318" s="13"/>
      <c r="W318" s="13"/>
      <c r="X318" s="22" t="str">
        <f aca="false">IF(Q318="","",Q318^2)</f>
        <v/>
      </c>
      <c r="Y318" s="22" t="str">
        <f aca="false">IF(AND(C318&lt;&gt;"",C318=CERTIFICADO!$E$4,OR(CERTIFICADO!$E$5="",B318=CERTIFICADO!$E$5)),MAX($Y$4:Y317)+1,"")</f>
        <v/>
      </c>
    </row>
    <row r="319" customFormat="false" ht="15" hidden="false" customHeight="false" outlineLevel="0" collapsed="false">
      <c r="A319" s="11" t="str">
        <f aca="false">IF(C319="","",ROW()-4)</f>
        <v/>
      </c>
      <c r="B319" s="12"/>
      <c r="C319" s="13"/>
      <c r="D319" s="23" t="str">
        <f aca="false">IF(C319="","",IFERROR(INDEX(LOTES!$D$5:$D$1004,MATCH(C319,LOTES!$F$5:$F$1004,0)),"¿Lote?"))</f>
        <v/>
      </c>
      <c r="E319" s="11" t="str">
        <f aca="false">IF(C319="","",IFERROR(INDEX(LOTES!$C$5:$C$1004,MATCH(C319,LOTES!$F$5:$F$1004,0)),""))</f>
        <v/>
      </c>
      <c r="F319" s="24" t="str">
        <f aca="false">IF(C319="","",IFERROR(INDEX(LOTES!$B$5:$B$1004,MATCH(C319,LOTES!$F$5:$F$1004,0)),""))</f>
        <v/>
      </c>
      <c r="G319" s="15" t="str">
        <f aca="false">IF(OR(B319="",F319=""),"",B319-F319)</f>
        <v/>
      </c>
      <c r="H319" s="13"/>
      <c r="I319" s="13"/>
      <c r="J319" s="13"/>
      <c r="K319" s="25"/>
      <c r="L319" s="25"/>
      <c r="M319" s="25"/>
      <c r="N319" s="25"/>
      <c r="O319" s="26"/>
      <c r="P319" s="16" t="str">
        <f aca="false">IF(O319="","",IFERROR(1/(1/(IF(K319="",INDEX(CONFIG!$F$5:$F$14,MATCH(D319,CONFIG!$D$5:$D$14,0)),K319)*IF(M319="",INDEX(CONFIG!$H$5:$H$14,MATCH(D319,CONFIG!$D$5:$D$14,0)),M319))),""))</f>
        <v/>
      </c>
      <c r="Q319" s="16" t="str">
        <f aca="false">IF(OR(O319="",P319=""),"",O319/P319)</f>
        <v/>
      </c>
      <c r="R319" s="16" t="str">
        <f aca="false">IF(Q319="","",Q319*0.0980665)</f>
        <v/>
      </c>
      <c r="S319" s="16" t="str">
        <f aca="false">IF(Q319="","",IFERROR(Q319/(1/(1/INDEX(CONFIG!$I$5:$I$14,MATCH(D319,CONFIG!$D$5:$D$14,0)))),""))</f>
        <v/>
      </c>
      <c r="T319" s="13"/>
      <c r="U319" s="13"/>
      <c r="V319" s="13"/>
      <c r="W319" s="13"/>
      <c r="X319" s="22" t="str">
        <f aca="false">IF(Q319="","",Q319^2)</f>
        <v/>
      </c>
      <c r="Y319" s="22" t="str">
        <f aca="false">IF(AND(C319&lt;&gt;"",C319=CERTIFICADO!$E$4,OR(CERTIFICADO!$E$5="",B319=CERTIFICADO!$E$5)),MAX($Y$4:Y318)+1,"")</f>
        <v/>
      </c>
    </row>
    <row r="320" customFormat="false" ht="15" hidden="false" customHeight="false" outlineLevel="0" collapsed="false">
      <c r="A320" s="11" t="str">
        <f aca="false">IF(C320="","",ROW()-4)</f>
        <v/>
      </c>
      <c r="B320" s="12"/>
      <c r="C320" s="13"/>
      <c r="D320" s="23" t="str">
        <f aca="false">IF(C320="","",IFERROR(INDEX(LOTES!$D$5:$D$1004,MATCH(C320,LOTES!$F$5:$F$1004,0)),"¿Lote?"))</f>
        <v/>
      </c>
      <c r="E320" s="11" t="str">
        <f aca="false">IF(C320="","",IFERROR(INDEX(LOTES!$C$5:$C$1004,MATCH(C320,LOTES!$F$5:$F$1004,0)),""))</f>
        <v/>
      </c>
      <c r="F320" s="24" t="str">
        <f aca="false">IF(C320="","",IFERROR(INDEX(LOTES!$B$5:$B$1004,MATCH(C320,LOTES!$F$5:$F$1004,0)),""))</f>
        <v/>
      </c>
      <c r="G320" s="15" t="str">
        <f aca="false">IF(OR(B320="",F320=""),"",B320-F320)</f>
        <v/>
      </c>
      <c r="H320" s="13"/>
      <c r="I320" s="13"/>
      <c r="J320" s="13"/>
      <c r="K320" s="25"/>
      <c r="L320" s="25"/>
      <c r="M320" s="25"/>
      <c r="N320" s="25"/>
      <c r="O320" s="26"/>
      <c r="P320" s="16" t="str">
        <f aca="false">IF(O320="","",IFERROR(1/(1/(IF(K320="",INDEX(CONFIG!$F$5:$F$14,MATCH(D320,CONFIG!$D$5:$D$14,0)),K320)*IF(M320="",INDEX(CONFIG!$H$5:$H$14,MATCH(D320,CONFIG!$D$5:$D$14,0)),M320))),""))</f>
        <v/>
      </c>
      <c r="Q320" s="16" t="str">
        <f aca="false">IF(OR(O320="",P320=""),"",O320/P320)</f>
        <v/>
      </c>
      <c r="R320" s="16" t="str">
        <f aca="false">IF(Q320="","",Q320*0.0980665)</f>
        <v/>
      </c>
      <c r="S320" s="16" t="str">
        <f aca="false">IF(Q320="","",IFERROR(Q320/(1/(1/INDEX(CONFIG!$I$5:$I$14,MATCH(D320,CONFIG!$D$5:$D$14,0)))),""))</f>
        <v/>
      </c>
      <c r="T320" s="13"/>
      <c r="U320" s="13"/>
      <c r="V320" s="13"/>
      <c r="W320" s="13"/>
      <c r="X320" s="22" t="str">
        <f aca="false">IF(Q320="","",Q320^2)</f>
        <v/>
      </c>
      <c r="Y320" s="22" t="str">
        <f aca="false">IF(AND(C320&lt;&gt;"",C320=CERTIFICADO!$E$4,OR(CERTIFICADO!$E$5="",B320=CERTIFICADO!$E$5)),MAX($Y$4:Y319)+1,"")</f>
        <v/>
      </c>
    </row>
    <row r="321" customFormat="false" ht="15" hidden="false" customHeight="false" outlineLevel="0" collapsed="false">
      <c r="A321" s="11" t="str">
        <f aca="false">IF(C321="","",ROW()-4)</f>
        <v/>
      </c>
      <c r="B321" s="12"/>
      <c r="C321" s="13"/>
      <c r="D321" s="23" t="str">
        <f aca="false">IF(C321="","",IFERROR(INDEX(LOTES!$D$5:$D$1004,MATCH(C321,LOTES!$F$5:$F$1004,0)),"¿Lote?"))</f>
        <v/>
      </c>
      <c r="E321" s="11" t="str">
        <f aca="false">IF(C321="","",IFERROR(INDEX(LOTES!$C$5:$C$1004,MATCH(C321,LOTES!$F$5:$F$1004,0)),""))</f>
        <v/>
      </c>
      <c r="F321" s="24" t="str">
        <f aca="false">IF(C321="","",IFERROR(INDEX(LOTES!$B$5:$B$1004,MATCH(C321,LOTES!$F$5:$F$1004,0)),""))</f>
        <v/>
      </c>
      <c r="G321" s="15" t="str">
        <f aca="false">IF(OR(B321="",F321=""),"",B321-F321)</f>
        <v/>
      </c>
      <c r="H321" s="13"/>
      <c r="I321" s="13"/>
      <c r="J321" s="13"/>
      <c r="K321" s="25"/>
      <c r="L321" s="25"/>
      <c r="M321" s="25"/>
      <c r="N321" s="25"/>
      <c r="O321" s="26"/>
      <c r="P321" s="16" t="str">
        <f aca="false">IF(O321="","",IFERROR(1/(1/(IF(K321="",INDEX(CONFIG!$F$5:$F$14,MATCH(D321,CONFIG!$D$5:$D$14,0)),K321)*IF(M321="",INDEX(CONFIG!$H$5:$H$14,MATCH(D321,CONFIG!$D$5:$D$14,0)),M321))),""))</f>
        <v/>
      </c>
      <c r="Q321" s="16" t="str">
        <f aca="false">IF(OR(O321="",P321=""),"",O321/P321)</f>
        <v/>
      </c>
      <c r="R321" s="16" t="str">
        <f aca="false">IF(Q321="","",Q321*0.0980665)</f>
        <v/>
      </c>
      <c r="S321" s="16" t="str">
        <f aca="false">IF(Q321="","",IFERROR(Q321/(1/(1/INDEX(CONFIG!$I$5:$I$14,MATCH(D321,CONFIG!$D$5:$D$14,0)))),""))</f>
        <v/>
      </c>
      <c r="T321" s="13"/>
      <c r="U321" s="13"/>
      <c r="V321" s="13"/>
      <c r="W321" s="13"/>
      <c r="X321" s="22" t="str">
        <f aca="false">IF(Q321="","",Q321^2)</f>
        <v/>
      </c>
      <c r="Y321" s="22" t="str">
        <f aca="false">IF(AND(C321&lt;&gt;"",C321=CERTIFICADO!$E$4,OR(CERTIFICADO!$E$5="",B321=CERTIFICADO!$E$5)),MAX($Y$4:Y320)+1,"")</f>
        <v/>
      </c>
    </row>
    <row r="322" customFormat="false" ht="15" hidden="false" customHeight="false" outlineLevel="0" collapsed="false">
      <c r="A322" s="11" t="str">
        <f aca="false">IF(C322="","",ROW()-4)</f>
        <v/>
      </c>
      <c r="B322" s="12"/>
      <c r="C322" s="13"/>
      <c r="D322" s="23" t="str">
        <f aca="false">IF(C322="","",IFERROR(INDEX(LOTES!$D$5:$D$1004,MATCH(C322,LOTES!$F$5:$F$1004,0)),"¿Lote?"))</f>
        <v/>
      </c>
      <c r="E322" s="11" t="str">
        <f aca="false">IF(C322="","",IFERROR(INDEX(LOTES!$C$5:$C$1004,MATCH(C322,LOTES!$F$5:$F$1004,0)),""))</f>
        <v/>
      </c>
      <c r="F322" s="24" t="str">
        <f aca="false">IF(C322="","",IFERROR(INDEX(LOTES!$B$5:$B$1004,MATCH(C322,LOTES!$F$5:$F$1004,0)),""))</f>
        <v/>
      </c>
      <c r="G322" s="15" t="str">
        <f aca="false">IF(OR(B322="",F322=""),"",B322-F322)</f>
        <v/>
      </c>
      <c r="H322" s="13"/>
      <c r="I322" s="13"/>
      <c r="J322" s="13"/>
      <c r="K322" s="25"/>
      <c r="L322" s="25"/>
      <c r="M322" s="25"/>
      <c r="N322" s="25"/>
      <c r="O322" s="26"/>
      <c r="P322" s="16" t="str">
        <f aca="false">IF(O322="","",IFERROR(1/(1/(IF(K322="",INDEX(CONFIG!$F$5:$F$14,MATCH(D322,CONFIG!$D$5:$D$14,0)),K322)*IF(M322="",INDEX(CONFIG!$H$5:$H$14,MATCH(D322,CONFIG!$D$5:$D$14,0)),M322))),""))</f>
        <v/>
      </c>
      <c r="Q322" s="16" t="str">
        <f aca="false">IF(OR(O322="",P322=""),"",O322/P322)</f>
        <v/>
      </c>
      <c r="R322" s="16" t="str">
        <f aca="false">IF(Q322="","",Q322*0.0980665)</f>
        <v/>
      </c>
      <c r="S322" s="16" t="str">
        <f aca="false">IF(Q322="","",IFERROR(Q322/(1/(1/INDEX(CONFIG!$I$5:$I$14,MATCH(D322,CONFIG!$D$5:$D$14,0)))),""))</f>
        <v/>
      </c>
      <c r="T322" s="13"/>
      <c r="U322" s="13"/>
      <c r="V322" s="13"/>
      <c r="W322" s="13"/>
      <c r="X322" s="22" t="str">
        <f aca="false">IF(Q322="","",Q322^2)</f>
        <v/>
      </c>
      <c r="Y322" s="22" t="str">
        <f aca="false">IF(AND(C322&lt;&gt;"",C322=CERTIFICADO!$E$4,OR(CERTIFICADO!$E$5="",B322=CERTIFICADO!$E$5)),MAX($Y$4:Y321)+1,"")</f>
        <v/>
      </c>
    </row>
    <row r="323" customFormat="false" ht="15" hidden="false" customHeight="false" outlineLevel="0" collapsed="false">
      <c r="A323" s="11" t="str">
        <f aca="false">IF(C323="","",ROW()-4)</f>
        <v/>
      </c>
      <c r="B323" s="12"/>
      <c r="C323" s="13"/>
      <c r="D323" s="23" t="str">
        <f aca="false">IF(C323="","",IFERROR(INDEX(LOTES!$D$5:$D$1004,MATCH(C323,LOTES!$F$5:$F$1004,0)),"¿Lote?"))</f>
        <v/>
      </c>
      <c r="E323" s="11" t="str">
        <f aca="false">IF(C323="","",IFERROR(INDEX(LOTES!$C$5:$C$1004,MATCH(C323,LOTES!$F$5:$F$1004,0)),""))</f>
        <v/>
      </c>
      <c r="F323" s="24" t="str">
        <f aca="false">IF(C323="","",IFERROR(INDEX(LOTES!$B$5:$B$1004,MATCH(C323,LOTES!$F$5:$F$1004,0)),""))</f>
        <v/>
      </c>
      <c r="G323" s="15" t="str">
        <f aca="false">IF(OR(B323="",F323=""),"",B323-F323)</f>
        <v/>
      </c>
      <c r="H323" s="13"/>
      <c r="I323" s="13"/>
      <c r="J323" s="13"/>
      <c r="K323" s="25"/>
      <c r="L323" s="25"/>
      <c r="M323" s="25"/>
      <c r="N323" s="25"/>
      <c r="O323" s="26"/>
      <c r="P323" s="16" t="str">
        <f aca="false">IF(O323="","",IFERROR(1/(1/(IF(K323="",INDEX(CONFIG!$F$5:$F$14,MATCH(D323,CONFIG!$D$5:$D$14,0)),K323)*IF(M323="",INDEX(CONFIG!$H$5:$H$14,MATCH(D323,CONFIG!$D$5:$D$14,0)),M323))),""))</f>
        <v/>
      </c>
      <c r="Q323" s="16" t="str">
        <f aca="false">IF(OR(O323="",P323=""),"",O323/P323)</f>
        <v/>
      </c>
      <c r="R323" s="16" t="str">
        <f aca="false">IF(Q323="","",Q323*0.0980665)</f>
        <v/>
      </c>
      <c r="S323" s="16" t="str">
        <f aca="false">IF(Q323="","",IFERROR(Q323/(1/(1/INDEX(CONFIG!$I$5:$I$14,MATCH(D323,CONFIG!$D$5:$D$14,0)))),""))</f>
        <v/>
      </c>
      <c r="T323" s="13"/>
      <c r="U323" s="13"/>
      <c r="V323" s="13"/>
      <c r="W323" s="13"/>
      <c r="X323" s="22" t="str">
        <f aca="false">IF(Q323="","",Q323^2)</f>
        <v/>
      </c>
      <c r="Y323" s="22" t="str">
        <f aca="false">IF(AND(C323&lt;&gt;"",C323=CERTIFICADO!$E$4,OR(CERTIFICADO!$E$5="",B323=CERTIFICADO!$E$5)),MAX($Y$4:Y322)+1,"")</f>
        <v/>
      </c>
    </row>
    <row r="324" customFormat="false" ht="15" hidden="false" customHeight="false" outlineLevel="0" collapsed="false">
      <c r="A324" s="11" t="str">
        <f aca="false">IF(C324="","",ROW()-4)</f>
        <v/>
      </c>
      <c r="B324" s="12"/>
      <c r="C324" s="13"/>
      <c r="D324" s="23" t="str">
        <f aca="false">IF(C324="","",IFERROR(INDEX(LOTES!$D$5:$D$1004,MATCH(C324,LOTES!$F$5:$F$1004,0)),"¿Lote?"))</f>
        <v/>
      </c>
      <c r="E324" s="11" t="str">
        <f aca="false">IF(C324="","",IFERROR(INDEX(LOTES!$C$5:$C$1004,MATCH(C324,LOTES!$F$5:$F$1004,0)),""))</f>
        <v/>
      </c>
      <c r="F324" s="24" t="str">
        <f aca="false">IF(C324="","",IFERROR(INDEX(LOTES!$B$5:$B$1004,MATCH(C324,LOTES!$F$5:$F$1004,0)),""))</f>
        <v/>
      </c>
      <c r="G324" s="15" t="str">
        <f aca="false">IF(OR(B324="",F324=""),"",B324-F324)</f>
        <v/>
      </c>
      <c r="H324" s="13"/>
      <c r="I324" s="13"/>
      <c r="J324" s="13"/>
      <c r="K324" s="25"/>
      <c r="L324" s="25"/>
      <c r="M324" s="25"/>
      <c r="N324" s="25"/>
      <c r="O324" s="26"/>
      <c r="P324" s="16" t="str">
        <f aca="false">IF(O324="","",IFERROR(1/(1/(IF(K324="",INDEX(CONFIG!$F$5:$F$14,MATCH(D324,CONFIG!$D$5:$D$14,0)),K324)*IF(M324="",INDEX(CONFIG!$H$5:$H$14,MATCH(D324,CONFIG!$D$5:$D$14,0)),M324))),""))</f>
        <v/>
      </c>
      <c r="Q324" s="16" t="str">
        <f aca="false">IF(OR(O324="",P324=""),"",O324/P324)</f>
        <v/>
      </c>
      <c r="R324" s="16" t="str">
        <f aca="false">IF(Q324="","",Q324*0.0980665)</f>
        <v/>
      </c>
      <c r="S324" s="16" t="str">
        <f aca="false">IF(Q324="","",IFERROR(Q324/(1/(1/INDEX(CONFIG!$I$5:$I$14,MATCH(D324,CONFIG!$D$5:$D$14,0)))),""))</f>
        <v/>
      </c>
      <c r="T324" s="13"/>
      <c r="U324" s="13"/>
      <c r="V324" s="13"/>
      <c r="W324" s="13"/>
      <c r="X324" s="22" t="str">
        <f aca="false">IF(Q324="","",Q324^2)</f>
        <v/>
      </c>
      <c r="Y324" s="22" t="str">
        <f aca="false">IF(AND(C324&lt;&gt;"",C324=CERTIFICADO!$E$4,OR(CERTIFICADO!$E$5="",B324=CERTIFICADO!$E$5)),MAX($Y$4:Y323)+1,"")</f>
        <v/>
      </c>
    </row>
    <row r="325" customFormat="false" ht="15" hidden="false" customHeight="false" outlineLevel="0" collapsed="false">
      <c r="A325" s="11" t="str">
        <f aca="false">IF(C325="","",ROW()-4)</f>
        <v/>
      </c>
      <c r="B325" s="12"/>
      <c r="C325" s="13"/>
      <c r="D325" s="23" t="str">
        <f aca="false">IF(C325="","",IFERROR(INDEX(LOTES!$D$5:$D$1004,MATCH(C325,LOTES!$F$5:$F$1004,0)),"¿Lote?"))</f>
        <v/>
      </c>
      <c r="E325" s="11" t="str">
        <f aca="false">IF(C325="","",IFERROR(INDEX(LOTES!$C$5:$C$1004,MATCH(C325,LOTES!$F$5:$F$1004,0)),""))</f>
        <v/>
      </c>
      <c r="F325" s="24" t="str">
        <f aca="false">IF(C325="","",IFERROR(INDEX(LOTES!$B$5:$B$1004,MATCH(C325,LOTES!$F$5:$F$1004,0)),""))</f>
        <v/>
      </c>
      <c r="G325" s="15" t="str">
        <f aca="false">IF(OR(B325="",F325=""),"",B325-F325)</f>
        <v/>
      </c>
      <c r="H325" s="13"/>
      <c r="I325" s="13"/>
      <c r="J325" s="13"/>
      <c r="K325" s="25"/>
      <c r="L325" s="25"/>
      <c r="M325" s="25"/>
      <c r="N325" s="25"/>
      <c r="O325" s="26"/>
      <c r="P325" s="16" t="str">
        <f aca="false">IF(O325="","",IFERROR(1/(1/(IF(K325="",INDEX(CONFIG!$F$5:$F$14,MATCH(D325,CONFIG!$D$5:$D$14,0)),K325)*IF(M325="",INDEX(CONFIG!$H$5:$H$14,MATCH(D325,CONFIG!$D$5:$D$14,0)),M325))),""))</f>
        <v/>
      </c>
      <c r="Q325" s="16" t="str">
        <f aca="false">IF(OR(O325="",P325=""),"",O325/P325)</f>
        <v/>
      </c>
      <c r="R325" s="16" t="str">
        <f aca="false">IF(Q325="","",Q325*0.0980665)</f>
        <v/>
      </c>
      <c r="S325" s="16" t="str">
        <f aca="false">IF(Q325="","",IFERROR(Q325/(1/(1/INDEX(CONFIG!$I$5:$I$14,MATCH(D325,CONFIG!$D$5:$D$14,0)))),""))</f>
        <v/>
      </c>
      <c r="T325" s="13"/>
      <c r="U325" s="13"/>
      <c r="V325" s="13"/>
      <c r="W325" s="13"/>
      <c r="X325" s="22" t="str">
        <f aca="false">IF(Q325="","",Q325^2)</f>
        <v/>
      </c>
      <c r="Y325" s="22" t="str">
        <f aca="false">IF(AND(C325&lt;&gt;"",C325=CERTIFICADO!$E$4,OR(CERTIFICADO!$E$5="",B325=CERTIFICADO!$E$5)),MAX($Y$4:Y324)+1,"")</f>
        <v/>
      </c>
    </row>
    <row r="326" customFormat="false" ht="15" hidden="false" customHeight="false" outlineLevel="0" collapsed="false">
      <c r="A326" s="11" t="str">
        <f aca="false">IF(C326="","",ROW()-4)</f>
        <v/>
      </c>
      <c r="B326" s="12"/>
      <c r="C326" s="13"/>
      <c r="D326" s="23" t="str">
        <f aca="false">IF(C326="","",IFERROR(INDEX(LOTES!$D$5:$D$1004,MATCH(C326,LOTES!$F$5:$F$1004,0)),"¿Lote?"))</f>
        <v/>
      </c>
      <c r="E326" s="11" t="str">
        <f aca="false">IF(C326="","",IFERROR(INDEX(LOTES!$C$5:$C$1004,MATCH(C326,LOTES!$F$5:$F$1004,0)),""))</f>
        <v/>
      </c>
      <c r="F326" s="24" t="str">
        <f aca="false">IF(C326="","",IFERROR(INDEX(LOTES!$B$5:$B$1004,MATCH(C326,LOTES!$F$5:$F$1004,0)),""))</f>
        <v/>
      </c>
      <c r="G326" s="15" t="str">
        <f aca="false">IF(OR(B326="",F326=""),"",B326-F326)</f>
        <v/>
      </c>
      <c r="H326" s="13"/>
      <c r="I326" s="13"/>
      <c r="J326" s="13"/>
      <c r="K326" s="25"/>
      <c r="L326" s="25"/>
      <c r="M326" s="25"/>
      <c r="N326" s="25"/>
      <c r="O326" s="26"/>
      <c r="P326" s="16" t="str">
        <f aca="false">IF(O326="","",IFERROR(1/(1/(IF(K326="",INDEX(CONFIG!$F$5:$F$14,MATCH(D326,CONFIG!$D$5:$D$14,0)),K326)*IF(M326="",INDEX(CONFIG!$H$5:$H$14,MATCH(D326,CONFIG!$D$5:$D$14,0)),M326))),""))</f>
        <v/>
      </c>
      <c r="Q326" s="16" t="str">
        <f aca="false">IF(OR(O326="",P326=""),"",O326/P326)</f>
        <v/>
      </c>
      <c r="R326" s="16" t="str">
        <f aca="false">IF(Q326="","",Q326*0.0980665)</f>
        <v/>
      </c>
      <c r="S326" s="16" t="str">
        <f aca="false">IF(Q326="","",IFERROR(Q326/(1/(1/INDEX(CONFIG!$I$5:$I$14,MATCH(D326,CONFIG!$D$5:$D$14,0)))),""))</f>
        <v/>
      </c>
      <c r="T326" s="13"/>
      <c r="U326" s="13"/>
      <c r="V326" s="13"/>
      <c r="W326" s="13"/>
      <c r="X326" s="22" t="str">
        <f aca="false">IF(Q326="","",Q326^2)</f>
        <v/>
      </c>
      <c r="Y326" s="22" t="str">
        <f aca="false">IF(AND(C326&lt;&gt;"",C326=CERTIFICADO!$E$4,OR(CERTIFICADO!$E$5="",B326=CERTIFICADO!$E$5)),MAX($Y$4:Y325)+1,"")</f>
        <v/>
      </c>
    </row>
    <row r="327" customFormat="false" ht="15" hidden="false" customHeight="false" outlineLevel="0" collapsed="false">
      <c r="A327" s="11" t="str">
        <f aca="false">IF(C327="","",ROW()-4)</f>
        <v/>
      </c>
      <c r="B327" s="12"/>
      <c r="C327" s="13"/>
      <c r="D327" s="23" t="str">
        <f aca="false">IF(C327="","",IFERROR(INDEX(LOTES!$D$5:$D$1004,MATCH(C327,LOTES!$F$5:$F$1004,0)),"¿Lote?"))</f>
        <v/>
      </c>
      <c r="E327" s="11" t="str">
        <f aca="false">IF(C327="","",IFERROR(INDEX(LOTES!$C$5:$C$1004,MATCH(C327,LOTES!$F$5:$F$1004,0)),""))</f>
        <v/>
      </c>
      <c r="F327" s="24" t="str">
        <f aca="false">IF(C327="","",IFERROR(INDEX(LOTES!$B$5:$B$1004,MATCH(C327,LOTES!$F$5:$F$1004,0)),""))</f>
        <v/>
      </c>
      <c r="G327" s="15" t="str">
        <f aca="false">IF(OR(B327="",F327=""),"",B327-F327)</f>
        <v/>
      </c>
      <c r="H327" s="13"/>
      <c r="I327" s="13"/>
      <c r="J327" s="13"/>
      <c r="K327" s="25"/>
      <c r="L327" s="25"/>
      <c r="M327" s="25"/>
      <c r="N327" s="25"/>
      <c r="O327" s="26"/>
      <c r="P327" s="16" t="str">
        <f aca="false">IF(O327="","",IFERROR(1/(1/(IF(K327="",INDEX(CONFIG!$F$5:$F$14,MATCH(D327,CONFIG!$D$5:$D$14,0)),K327)*IF(M327="",INDEX(CONFIG!$H$5:$H$14,MATCH(D327,CONFIG!$D$5:$D$14,0)),M327))),""))</f>
        <v/>
      </c>
      <c r="Q327" s="16" t="str">
        <f aca="false">IF(OR(O327="",P327=""),"",O327/P327)</f>
        <v/>
      </c>
      <c r="R327" s="16" t="str">
        <f aca="false">IF(Q327="","",Q327*0.0980665)</f>
        <v/>
      </c>
      <c r="S327" s="16" t="str">
        <f aca="false">IF(Q327="","",IFERROR(Q327/(1/(1/INDEX(CONFIG!$I$5:$I$14,MATCH(D327,CONFIG!$D$5:$D$14,0)))),""))</f>
        <v/>
      </c>
      <c r="T327" s="13"/>
      <c r="U327" s="13"/>
      <c r="V327" s="13"/>
      <c r="W327" s="13"/>
      <c r="X327" s="22" t="str">
        <f aca="false">IF(Q327="","",Q327^2)</f>
        <v/>
      </c>
      <c r="Y327" s="22" t="str">
        <f aca="false">IF(AND(C327&lt;&gt;"",C327=CERTIFICADO!$E$4,OR(CERTIFICADO!$E$5="",B327=CERTIFICADO!$E$5)),MAX($Y$4:Y326)+1,"")</f>
        <v/>
      </c>
    </row>
    <row r="328" customFormat="false" ht="15" hidden="false" customHeight="false" outlineLevel="0" collapsed="false">
      <c r="A328" s="11" t="str">
        <f aca="false">IF(C328="","",ROW()-4)</f>
        <v/>
      </c>
      <c r="B328" s="12"/>
      <c r="C328" s="13"/>
      <c r="D328" s="23" t="str">
        <f aca="false">IF(C328="","",IFERROR(INDEX(LOTES!$D$5:$D$1004,MATCH(C328,LOTES!$F$5:$F$1004,0)),"¿Lote?"))</f>
        <v/>
      </c>
      <c r="E328" s="11" t="str">
        <f aca="false">IF(C328="","",IFERROR(INDEX(LOTES!$C$5:$C$1004,MATCH(C328,LOTES!$F$5:$F$1004,0)),""))</f>
        <v/>
      </c>
      <c r="F328" s="24" t="str">
        <f aca="false">IF(C328="","",IFERROR(INDEX(LOTES!$B$5:$B$1004,MATCH(C328,LOTES!$F$5:$F$1004,0)),""))</f>
        <v/>
      </c>
      <c r="G328" s="15" t="str">
        <f aca="false">IF(OR(B328="",F328=""),"",B328-F328)</f>
        <v/>
      </c>
      <c r="H328" s="13"/>
      <c r="I328" s="13"/>
      <c r="J328" s="13"/>
      <c r="K328" s="25"/>
      <c r="L328" s="25"/>
      <c r="M328" s="25"/>
      <c r="N328" s="25"/>
      <c r="O328" s="26"/>
      <c r="P328" s="16" t="str">
        <f aca="false">IF(O328="","",IFERROR(1/(1/(IF(K328="",INDEX(CONFIG!$F$5:$F$14,MATCH(D328,CONFIG!$D$5:$D$14,0)),K328)*IF(M328="",INDEX(CONFIG!$H$5:$H$14,MATCH(D328,CONFIG!$D$5:$D$14,0)),M328))),""))</f>
        <v/>
      </c>
      <c r="Q328" s="16" t="str">
        <f aca="false">IF(OR(O328="",P328=""),"",O328/P328)</f>
        <v/>
      </c>
      <c r="R328" s="16" t="str">
        <f aca="false">IF(Q328="","",Q328*0.0980665)</f>
        <v/>
      </c>
      <c r="S328" s="16" t="str">
        <f aca="false">IF(Q328="","",IFERROR(Q328/(1/(1/INDEX(CONFIG!$I$5:$I$14,MATCH(D328,CONFIG!$D$5:$D$14,0)))),""))</f>
        <v/>
      </c>
      <c r="T328" s="13"/>
      <c r="U328" s="13"/>
      <c r="V328" s="13"/>
      <c r="W328" s="13"/>
      <c r="X328" s="22" t="str">
        <f aca="false">IF(Q328="","",Q328^2)</f>
        <v/>
      </c>
      <c r="Y328" s="22" t="str">
        <f aca="false">IF(AND(C328&lt;&gt;"",C328=CERTIFICADO!$E$4,OR(CERTIFICADO!$E$5="",B328=CERTIFICADO!$E$5)),MAX($Y$4:Y327)+1,"")</f>
        <v/>
      </c>
    </row>
    <row r="329" customFormat="false" ht="15" hidden="false" customHeight="false" outlineLevel="0" collapsed="false">
      <c r="A329" s="11" t="str">
        <f aca="false">IF(C329="","",ROW()-4)</f>
        <v/>
      </c>
      <c r="B329" s="12"/>
      <c r="C329" s="13"/>
      <c r="D329" s="23" t="str">
        <f aca="false">IF(C329="","",IFERROR(INDEX(LOTES!$D$5:$D$1004,MATCH(C329,LOTES!$F$5:$F$1004,0)),"¿Lote?"))</f>
        <v/>
      </c>
      <c r="E329" s="11" t="str">
        <f aca="false">IF(C329="","",IFERROR(INDEX(LOTES!$C$5:$C$1004,MATCH(C329,LOTES!$F$5:$F$1004,0)),""))</f>
        <v/>
      </c>
      <c r="F329" s="24" t="str">
        <f aca="false">IF(C329="","",IFERROR(INDEX(LOTES!$B$5:$B$1004,MATCH(C329,LOTES!$F$5:$F$1004,0)),""))</f>
        <v/>
      </c>
      <c r="G329" s="15" t="str">
        <f aca="false">IF(OR(B329="",F329=""),"",B329-F329)</f>
        <v/>
      </c>
      <c r="H329" s="13"/>
      <c r="I329" s="13"/>
      <c r="J329" s="13"/>
      <c r="K329" s="25"/>
      <c r="L329" s="25"/>
      <c r="M329" s="25"/>
      <c r="N329" s="25"/>
      <c r="O329" s="26"/>
      <c r="P329" s="16" t="str">
        <f aca="false">IF(O329="","",IFERROR(1/(1/(IF(K329="",INDEX(CONFIG!$F$5:$F$14,MATCH(D329,CONFIG!$D$5:$D$14,0)),K329)*IF(M329="",INDEX(CONFIG!$H$5:$H$14,MATCH(D329,CONFIG!$D$5:$D$14,0)),M329))),""))</f>
        <v/>
      </c>
      <c r="Q329" s="16" t="str">
        <f aca="false">IF(OR(O329="",P329=""),"",O329/P329)</f>
        <v/>
      </c>
      <c r="R329" s="16" t="str">
        <f aca="false">IF(Q329="","",Q329*0.0980665)</f>
        <v/>
      </c>
      <c r="S329" s="16" t="str">
        <f aca="false">IF(Q329="","",IFERROR(Q329/(1/(1/INDEX(CONFIG!$I$5:$I$14,MATCH(D329,CONFIG!$D$5:$D$14,0)))),""))</f>
        <v/>
      </c>
      <c r="T329" s="13"/>
      <c r="U329" s="13"/>
      <c r="V329" s="13"/>
      <c r="W329" s="13"/>
      <c r="X329" s="22" t="str">
        <f aca="false">IF(Q329="","",Q329^2)</f>
        <v/>
      </c>
      <c r="Y329" s="22" t="str">
        <f aca="false">IF(AND(C329&lt;&gt;"",C329=CERTIFICADO!$E$4,OR(CERTIFICADO!$E$5="",B329=CERTIFICADO!$E$5)),MAX($Y$4:Y328)+1,"")</f>
        <v/>
      </c>
    </row>
    <row r="330" customFormat="false" ht="15" hidden="false" customHeight="false" outlineLevel="0" collapsed="false">
      <c r="A330" s="11" t="str">
        <f aca="false">IF(C330="","",ROW()-4)</f>
        <v/>
      </c>
      <c r="B330" s="12"/>
      <c r="C330" s="13"/>
      <c r="D330" s="23" t="str">
        <f aca="false">IF(C330="","",IFERROR(INDEX(LOTES!$D$5:$D$1004,MATCH(C330,LOTES!$F$5:$F$1004,0)),"¿Lote?"))</f>
        <v/>
      </c>
      <c r="E330" s="11" t="str">
        <f aca="false">IF(C330="","",IFERROR(INDEX(LOTES!$C$5:$C$1004,MATCH(C330,LOTES!$F$5:$F$1004,0)),""))</f>
        <v/>
      </c>
      <c r="F330" s="24" t="str">
        <f aca="false">IF(C330="","",IFERROR(INDEX(LOTES!$B$5:$B$1004,MATCH(C330,LOTES!$F$5:$F$1004,0)),""))</f>
        <v/>
      </c>
      <c r="G330" s="15" t="str">
        <f aca="false">IF(OR(B330="",F330=""),"",B330-F330)</f>
        <v/>
      </c>
      <c r="H330" s="13"/>
      <c r="I330" s="13"/>
      <c r="J330" s="13"/>
      <c r="K330" s="25"/>
      <c r="L330" s="25"/>
      <c r="M330" s="25"/>
      <c r="N330" s="25"/>
      <c r="O330" s="26"/>
      <c r="P330" s="16" t="str">
        <f aca="false">IF(O330="","",IFERROR(1/(1/(IF(K330="",INDEX(CONFIG!$F$5:$F$14,MATCH(D330,CONFIG!$D$5:$D$14,0)),K330)*IF(M330="",INDEX(CONFIG!$H$5:$H$14,MATCH(D330,CONFIG!$D$5:$D$14,0)),M330))),""))</f>
        <v/>
      </c>
      <c r="Q330" s="16" t="str">
        <f aca="false">IF(OR(O330="",P330=""),"",O330/P330)</f>
        <v/>
      </c>
      <c r="R330" s="16" t="str">
        <f aca="false">IF(Q330="","",Q330*0.0980665)</f>
        <v/>
      </c>
      <c r="S330" s="16" t="str">
        <f aca="false">IF(Q330="","",IFERROR(Q330/(1/(1/INDEX(CONFIG!$I$5:$I$14,MATCH(D330,CONFIG!$D$5:$D$14,0)))),""))</f>
        <v/>
      </c>
      <c r="T330" s="13"/>
      <c r="U330" s="13"/>
      <c r="V330" s="13"/>
      <c r="W330" s="13"/>
      <c r="X330" s="22" t="str">
        <f aca="false">IF(Q330="","",Q330^2)</f>
        <v/>
      </c>
      <c r="Y330" s="22" t="str">
        <f aca="false">IF(AND(C330&lt;&gt;"",C330=CERTIFICADO!$E$4,OR(CERTIFICADO!$E$5="",B330=CERTIFICADO!$E$5)),MAX($Y$4:Y329)+1,"")</f>
        <v/>
      </c>
    </row>
    <row r="331" customFormat="false" ht="15" hidden="false" customHeight="false" outlineLevel="0" collapsed="false">
      <c r="A331" s="11" t="str">
        <f aca="false">IF(C331="","",ROW()-4)</f>
        <v/>
      </c>
      <c r="B331" s="12"/>
      <c r="C331" s="13"/>
      <c r="D331" s="23" t="str">
        <f aca="false">IF(C331="","",IFERROR(INDEX(LOTES!$D$5:$D$1004,MATCH(C331,LOTES!$F$5:$F$1004,0)),"¿Lote?"))</f>
        <v/>
      </c>
      <c r="E331" s="11" t="str">
        <f aca="false">IF(C331="","",IFERROR(INDEX(LOTES!$C$5:$C$1004,MATCH(C331,LOTES!$F$5:$F$1004,0)),""))</f>
        <v/>
      </c>
      <c r="F331" s="24" t="str">
        <f aca="false">IF(C331="","",IFERROR(INDEX(LOTES!$B$5:$B$1004,MATCH(C331,LOTES!$F$5:$F$1004,0)),""))</f>
        <v/>
      </c>
      <c r="G331" s="15" t="str">
        <f aca="false">IF(OR(B331="",F331=""),"",B331-F331)</f>
        <v/>
      </c>
      <c r="H331" s="13"/>
      <c r="I331" s="13"/>
      <c r="J331" s="13"/>
      <c r="K331" s="25"/>
      <c r="L331" s="25"/>
      <c r="M331" s="25"/>
      <c r="N331" s="25"/>
      <c r="O331" s="26"/>
      <c r="P331" s="16" t="str">
        <f aca="false">IF(O331="","",IFERROR(1/(1/(IF(K331="",INDEX(CONFIG!$F$5:$F$14,MATCH(D331,CONFIG!$D$5:$D$14,0)),K331)*IF(M331="",INDEX(CONFIG!$H$5:$H$14,MATCH(D331,CONFIG!$D$5:$D$14,0)),M331))),""))</f>
        <v/>
      </c>
      <c r="Q331" s="16" t="str">
        <f aca="false">IF(OR(O331="",P331=""),"",O331/P331)</f>
        <v/>
      </c>
      <c r="R331" s="16" t="str">
        <f aca="false">IF(Q331="","",Q331*0.0980665)</f>
        <v/>
      </c>
      <c r="S331" s="16" t="str">
        <f aca="false">IF(Q331="","",IFERROR(Q331/(1/(1/INDEX(CONFIG!$I$5:$I$14,MATCH(D331,CONFIG!$D$5:$D$14,0)))),""))</f>
        <v/>
      </c>
      <c r="T331" s="13"/>
      <c r="U331" s="13"/>
      <c r="V331" s="13"/>
      <c r="W331" s="13"/>
      <c r="X331" s="22" t="str">
        <f aca="false">IF(Q331="","",Q331^2)</f>
        <v/>
      </c>
      <c r="Y331" s="22" t="str">
        <f aca="false">IF(AND(C331&lt;&gt;"",C331=CERTIFICADO!$E$4,OR(CERTIFICADO!$E$5="",B331=CERTIFICADO!$E$5)),MAX($Y$4:Y330)+1,"")</f>
        <v/>
      </c>
    </row>
    <row r="332" customFormat="false" ht="15" hidden="false" customHeight="false" outlineLevel="0" collapsed="false">
      <c r="A332" s="11" t="str">
        <f aca="false">IF(C332="","",ROW()-4)</f>
        <v/>
      </c>
      <c r="B332" s="12"/>
      <c r="C332" s="13"/>
      <c r="D332" s="23" t="str">
        <f aca="false">IF(C332="","",IFERROR(INDEX(LOTES!$D$5:$D$1004,MATCH(C332,LOTES!$F$5:$F$1004,0)),"¿Lote?"))</f>
        <v/>
      </c>
      <c r="E332" s="11" t="str">
        <f aca="false">IF(C332="","",IFERROR(INDEX(LOTES!$C$5:$C$1004,MATCH(C332,LOTES!$F$5:$F$1004,0)),""))</f>
        <v/>
      </c>
      <c r="F332" s="24" t="str">
        <f aca="false">IF(C332="","",IFERROR(INDEX(LOTES!$B$5:$B$1004,MATCH(C332,LOTES!$F$5:$F$1004,0)),""))</f>
        <v/>
      </c>
      <c r="G332" s="15" t="str">
        <f aca="false">IF(OR(B332="",F332=""),"",B332-F332)</f>
        <v/>
      </c>
      <c r="H332" s="13"/>
      <c r="I332" s="13"/>
      <c r="J332" s="13"/>
      <c r="K332" s="25"/>
      <c r="L332" s="25"/>
      <c r="M332" s="25"/>
      <c r="N332" s="25"/>
      <c r="O332" s="26"/>
      <c r="P332" s="16" t="str">
        <f aca="false">IF(O332="","",IFERROR(1/(1/(IF(K332="",INDEX(CONFIG!$F$5:$F$14,MATCH(D332,CONFIG!$D$5:$D$14,0)),K332)*IF(M332="",INDEX(CONFIG!$H$5:$H$14,MATCH(D332,CONFIG!$D$5:$D$14,0)),M332))),""))</f>
        <v/>
      </c>
      <c r="Q332" s="16" t="str">
        <f aca="false">IF(OR(O332="",P332=""),"",O332/P332)</f>
        <v/>
      </c>
      <c r="R332" s="16" t="str">
        <f aca="false">IF(Q332="","",Q332*0.0980665)</f>
        <v/>
      </c>
      <c r="S332" s="16" t="str">
        <f aca="false">IF(Q332="","",IFERROR(Q332/(1/(1/INDEX(CONFIG!$I$5:$I$14,MATCH(D332,CONFIG!$D$5:$D$14,0)))),""))</f>
        <v/>
      </c>
      <c r="T332" s="13"/>
      <c r="U332" s="13"/>
      <c r="V332" s="13"/>
      <c r="W332" s="13"/>
      <c r="X332" s="22" t="str">
        <f aca="false">IF(Q332="","",Q332^2)</f>
        <v/>
      </c>
      <c r="Y332" s="22" t="str">
        <f aca="false">IF(AND(C332&lt;&gt;"",C332=CERTIFICADO!$E$4,OR(CERTIFICADO!$E$5="",B332=CERTIFICADO!$E$5)),MAX($Y$4:Y331)+1,"")</f>
        <v/>
      </c>
    </row>
    <row r="333" customFormat="false" ht="15" hidden="false" customHeight="false" outlineLevel="0" collapsed="false">
      <c r="A333" s="11" t="str">
        <f aca="false">IF(C333="","",ROW()-4)</f>
        <v/>
      </c>
      <c r="B333" s="12"/>
      <c r="C333" s="13"/>
      <c r="D333" s="23" t="str">
        <f aca="false">IF(C333="","",IFERROR(INDEX(LOTES!$D$5:$D$1004,MATCH(C333,LOTES!$F$5:$F$1004,0)),"¿Lote?"))</f>
        <v/>
      </c>
      <c r="E333" s="11" t="str">
        <f aca="false">IF(C333="","",IFERROR(INDEX(LOTES!$C$5:$C$1004,MATCH(C333,LOTES!$F$5:$F$1004,0)),""))</f>
        <v/>
      </c>
      <c r="F333" s="24" t="str">
        <f aca="false">IF(C333="","",IFERROR(INDEX(LOTES!$B$5:$B$1004,MATCH(C333,LOTES!$F$5:$F$1004,0)),""))</f>
        <v/>
      </c>
      <c r="G333" s="15" t="str">
        <f aca="false">IF(OR(B333="",F333=""),"",B333-F333)</f>
        <v/>
      </c>
      <c r="H333" s="13"/>
      <c r="I333" s="13"/>
      <c r="J333" s="13"/>
      <c r="K333" s="25"/>
      <c r="L333" s="25"/>
      <c r="M333" s="25"/>
      <c r="N333" s="25"/>
      <c r="O333" s="26"/>
      <c r="P333" s="16" t="str">
        <f aca="false">IF(O333="","",IFERROR(1/(1/(IF(K333="",INDEX(CONFIG!$F$5:$F$14,MATCH(D333,CONFIG!$D$5:$D$14,0)),K333)*IF(M333="",INDEX(CONFIG!$H$5:$H$14,MATCH(D333,CONFIG!$D$5:$D$14,0)),M333))),""))</f>
        <v/>
      </c>
      <c r="Q333" s="16" t="str">
        <f aca="false">IF(OR(O333="",P333=""),"",O333/P333)</f>
        <v/>
      </c>
      <c r="R333" s="16" t="str">
        <f aca="false">IF(Q333="","",Q333*0.0980665)</f>
        <v/>
      </c>
      <c r="S333" s="16" t="str">
        <f aca="false">IF(Q333="","",IFERROR(Q333/(1/(1/INDEX(CONFIG!$I$5:$I$14,MATCH(D333,CONFIG!$D$5:$D$14,0)))),""))</f>
        <v/>
      </c>
      <c r="T333" s="13"/>
      <c r="U333" s="13"/>
      <c r="V333" s="13"/>
      <c r="W333" s="13"/>
      <c r="X333" s="22" t="str">
        <f aca="false">IF(Q333="","",Q333^2)</f>
        <v/>
      </c>
      <c r="Y333" s="22" t="str">
        <f aca="false">IF(AND(C333&lt;&gt;"",C333=CERTIFICADO!$E$4,OR(CERTIFICADO!$E$5="",B333=CERTIFICADO!$E$5)),MAX($Y$4:Y332)+1,"")</f>
        <v/>
      </c>
    </row>
    <row r="334" customFormat="false" ht="15" hidden="false" customHeight="false" outlineLevel="0" collapsed="false">
      <c r="A334" s="11" t="str">
        <f aca="false">IF(C334="","",ROW()-4)</f>
        <v/>
      </c>
      <c r="B334" s="12"/>
      <c r="C334" s="13"/>
      <c r="D334" s="23" t="str">
        <f aca="false">IF(C334="","",IFERROR(INDEX(LOTES!$D$5:$D$1004,MATCH(C334,LOTES!$F$5:$F$1004,0)),"¿Lote?"))</f>
        <v/>
      </c>
      <c r="E334" s="11" t="str">
        <f aca="false">IF(C334="","",IFERROR(INDEX(LOTES!$C$5:$C$1004,MATCH(C334,LOTES!$F$5:$F$1004,0)),""))</f>
        <v/>
      </c>
      <c r="F334" s="24" t="str">
        <f aca="false">IF(C334="","",IFERROR(INDEX(LOTES!$B$5:$B$1004,MATCH(C334,LOTES!$F$5:$F$1004,0)),""))</f>
        <v/>
      </c>
      <c r="G334" s="15" t="str">
        <f aca="false">IF(OR(B334="",F334=""),"",B334-F334)</f>
        <v/>
      </c>
      <c r="H334" s="13"/>
      <c r="I334" s="13"/>
      <c r="J334" s="13"/>
      <c r="K334" s="25"/>
      <c r="L334" s="25"/>
      <c r="M334" s="25"/>
      <c r="N334" s="25"/>
      <c r="O334" s="26"/>
      <c r="P334" s="16" t="str">
        <f aca="false">IF(O334="","",IFERROR(1/(1/(IF(K334="",INDEX(CONFIG!$F$5:$F$14,MATCH(D334,CONFIG!$D$5:$D$14,0)),K334)*IF(M334="",INDEX(CONFIG!$H$5:$H$14,MATCH(D334,CONFIG!$D$5:$D$14,0)),M334))),""))</f>
        <v/>
      </c>
      <c r="Q334" s="16" t="str">
        <f aca="false">IF(OR(O334="",P334=""),"",O334/P334)</f>
        <v/>
      </c>
      <c r="R334" s="16" t="str">
        <f aca="false">IF(Q334="","",Q334*0.0980665)</f>
        <v/>
      </c>
      <c r="S334" s="16" t="str">
        <f aca="false">IF(Q334="","",IFERROR(Q334/(1/(1/INDEX(CONFIG!$I$5:$I$14,MATCH(D334,CONFIG!$D$5:$D$14,0)))),""))</f>
        <v/>
      </c>
      <c r="T334" s="13"/>
      <c r="U334" s="13"/>
      <c r="V334" s="13"/>
      <c r="W334" s="13"/>
      <c r="X334" s="22" t="str">
        <f aca="false">IF(Q334="","",Q334^2)</f>
        <v/>
      </c>
      <c r="Y334" s="22" t="str">
        <f aca="false">IF(AND(C334&lt;&gt;"",C334=CERTIFICADO!$E$4,OR(CERTIFICADO!$E$5="",B334=CERTIFICADO!$E$5)),MAX($Y$4:Y333)+1,"")</f>
        <v/>
      </c>
    </row>
    <row r="335" customFormat="false" ht="15" hidden="false" customHeight="false" outlineLevel="0" collapsed="false">
      <c r="A335" s="11" t="str">
        <f aca="false">IF(C335="","",ROW()-4)</f>
        <v/>
      </c>
      <c r="B335" s="12"/>
      <c r="C335" s="13"/>
      <c r="D335" s="23" t="str">
        <f aca="false">IF(C335="","",IFERROR(INDEX(LOTES!$D$5:$D$1004,MATCH(C335,LOTES!$F$5:$F$1004,0)),"¿Lote?"))</f>
        <v/>
      </c>
      <c r="E335" s="11" t="str">
        <f aca="false">IF(C335="","",IFERROR(INDEX(LOTES!$C$5:$C$1004,MATCH(C335,LOTES!$F$5:$F$1004,0)),""))</f>
        <v/>
      </c>
      <c r="F335" s="24" t="str">
        <f aca="false">IF(C335="","",IFERROR(INDEX(LOTES!$B$5:$B$1004,MATCH(C335,LOTES!$F$5:$F$1004,0)),""))</f>
        <v/>
      </c>
      <c r="G335" s="15" t="str">
        <f aca="false">IF(OR(B335="",F335=""),"",B335-F335)</f>
        <v/>
      </c>
      <c r="H335" s="13"/>
      <c r="I335" s="13"/>
      <c r="J335" s="13"/>
      <c r="K335" s="25"/>
      <c r="L335" s="25"/>
      <c r="M335" s="25"/>
      <c r="N335" s="25"/>
      <c r="O335" s="26"/>
      <c r="P335" s="16" t="str">
        <f aca="false">IF(O335="","",IFERROR(1/(1/(IF(K335="",INDEX(CONFIG!$F$5:$F$14,MATCH(D335,CONFIG!$D$5:$D$14,0)),K335)*IF(M335="",INDEX(CONFIG!$H$5:$H$14,MATCH(D335,CONFIG!$D$5:$D$14,0)),M335))),""))</f>
        <v/>
      </c>
      <c r="Q335" s="16" t="str">
        <f aca="false">IF(OR(O335="",P335=""),"",O335/P335)</f>
        <v/>
      </c>
      <c r="R335" s="16" t="str">
        <f aca="false">IF(Q335="","",Q335*0.0980665)</f>
        <v/>
      </c>
      <c r="S335" s="16" t="str">
        <f aca="false">IF(Q335="","",IFERROR(Q335/(1/(1/INDEX(CONFIG!$I$5:$I$14,MATCH(D335,CONFIG!$D$5:$D$14,0)))),""))</f>
        <v/>
      </c>
      <c r="T335" s="13"/>
      <c r="U335" s="13"/>
      <c r="V335" s="13"/>
      <c r="W335" s="13"/>
      <c r="X335" s="22" t="str">
        <f aca="false">IF(Q335="","",Q335^2)</f>
        <v/>
      </c>
      <c r="Y335" s="22" t="str">
        <f aca="false">IF(AND(C335&lt;&gt;"",C335=CERTIFICADO!$E$4,OR(CERTIFICADO!$E$5="",B335=CERTIFICADO!$E$5)),MAX($Y$4:Y334)+1,"")</f>
        <v/>
      </c>
    </row>
    <row r="336" customFormat="false" ht="15" hidden="false" customHeight="false" outlineLevel="0" collapsed="false">
      <c r="A336" s="11" t="str">
        <f aca="false">IF(C336="","",ROW()-4)</f>
        <v/>
      </c>
      <c r="B336" s="12"/>
      <c r="C336" s="13"/>
      <c r="D336" s="23" t="str">
        <f aca="false">IF(C336="","",IFERROR(INDEX(LOTES!$D$5:$D$1004,MATCH(C336,LOTES!$F$5:$F$1004,0)),"¿Lote?"))</f>
        <v/>
      </c>
      <c r="E336" s="11" t="str">
        <f aca="false">IF(C336="","",IFERROR(INDEX(LOTES!$C$5:$C$1004,MATCH(C336,LOTES!$F$5:$F$1004,0)),""))</f>
        <v/>
      </c>
      <c r="F336" s="24" t="str">
        <f aca="false">IF(C336="","",IFERROR(INDEX(LOTES!$B$5:$B$1004,MATCH(C336,LOTES!$F$5:$F$1004,0)),""))</f>
        <v/>
      </c>
      <c r="G336" s="15" t="str">
        <f aca="false">IF(OR(B336="",F336=""),"",B336-F336)</f>
        <v/>
      </c>
      <c r="H336" s="13"/>
      <c r="I336" s="13"/>
      <c r="J336" s="13"/>
      <c r="K336" s="25"/>
      <c r="L336" s="25"/>
      <c r="M336" s="25"/>
      <c r="N336" s="25"/>
      <c r="O336" s="26"/>
      <c r="P336" s="16" t="str">
        <f aca="false">IF(O336="","",IFERROR(1/(1/(IF(K336="",INDEX(CONFIG!$F$5:$F$14,MATCH(D336,CONFIG!$D$5:$D$14,0)),K336)*IF(M336="",INDEX(CONFIG!$H$5:$H$14,MATCH(D336,CONFIG!$D$5:$D$14,0)),M336))),""))</f>
        <v/>
      </c>
      <c r="Q336" s="16" t="str">
        <f aca="false">IF(OR(O336="",P336=""),"",O336/P336)</f>
        <v/>
      </c>
      <c r="R336" s="16" t="str">
        <f aca="false">IF(Q336="","",Q336*0.0980665)</f>
        <v/>
      </c>
      <c r="S336" s="16" t="str">
        <f aca="false">IF(Q336="","",IFERROR(Q336/(1/(1/INDEX(CONFIG!$I$5:$I$14,MATCH(D336,CONFIG!$D$5:$D$14,0)))),""))</f>
        <v/>
      </c>
      <c r="T336" s="13"/>
      <c r="U336" s="13"/>
      <c r="V336" s="13"/>
      <c r="W336" s="13"/>
      <c r="X336" s="22" t="str">
        <f aca="false">IF(Q336="","",Q336^2)</f>
        <v/>
      </c>
      <c r="Y336" s="22" t="str">
        <f aca="false">IF(AND(C336&lt;&gt;"",C336=CERTIFICADO!$E$4,OR(CERTIFICADO!$E$5="",B336=CERTIFICADO!$E$5)),MAX($Y$4:Y335)+1,"")</f>
        <v/>
      </c>
    </row>
    <row r="337" customFormat="false" ht="15" hidden="false" customHeight="false" outlineLevel="0" collapsed="false">
      <c r="A337" s="11" t="str">
        <f aca="false">IF(C337="","",ROW()-4)</f>
        <v/>
      </c>
      <c r="B337" s="12"/>
      <c r="C337" s="13"/>
      <c r="D337" s="23" t="str">
        <f aca="false">IF(C337="","",IFERROR(INDEX(LOTES!$D$5:$D$1004,MATCH(C337,LOTES!$F$5:$F$1004,0)),"¿Lote?"))</f>
        <v/>
      </c>
      <c r="E337" s="11" t="str">
        <f aca="false">IF(C337="","",IFERROR(INDEX(LOTES!$C$5:$C$1004,MATCH(C337,LOTES!$F$5:$F$1004,0)),""))</f>
        <v/>
      </c>
      <c r="F337" s="24" t="str">
        <f aca="false">IF(C337="","",IFERROR(INDEX(LOTES!$B$5:$B$1004,MATCH(C337,LOTES!$F$5:$F$1004,0)),""))</f>
        <v/>
      </c>
      <c r="G337" s="15" t="str">
        <f aca="false">IF(OR(B337="",F337=""),"",B337-F337)</f>
        <v/>
      </c>
      <c r="H337" s="13"/>
      <c r="I337" s="13"/>
      <c r="J337" s="13"/>
      <c r="K337" s="25"/>
      <c r="L337" s="25"/>
      <c r="M337" s="25"/>
      <c r="N337" s="25"/>
      <c r="O337" s="26"/>
      <c r="P337" s="16" t="str">
        <f aca="false">IF(O337="","",IFERROR(1/(1/(IF(K337="",INDEX(CONFIG!$F$5:$F$14,MATCH(D337,CONFIG!$D$5:$D$14,0)),K337)*IF(M337="",INDEX(CONFIG!$H$5:$H$14,MATCH(D337,CONFIG!$D$5:$D$14,0)),M337))),""))</f>
        <v/>
      </c>
      <c r="Q337" s="16" t="str">
        <f aca="false">IF(OR(O337="",P337=""),"",O337/P337)</f>
        <v/>
      </c>
      <c r="R337" s="16" t="str">
        <f aca="false">IF(Q337="","",Q337*0.0980665)</f>
        <v/>
      </c>
      <c r="S337" s="16" t="str">
        <f aca="false">IF(Q337="","",IFERROR(Q337/(1/(1/INDEX(CONFIG!$I$5:$I$14,MATCH(D337,CONFIG!$D$5:$D$14,0)))),""))</f>
        <v/>
      </c>
      <c r="T337" s="13"/>
      <c r="U337" s="13"/>
      <c r="V337" s="13"/>
      <c r="W337" s="13"/>
      <c r="X337" s="22" t="str">
        <f aca="false">IF(Q337="","",Q337^2)</f>
        <v/>
      </c>
      <c r="Y337" s="22" t="str">
        <f aca="false">IF(AND(C337&lt;&gt;"",C337=CERTIFICADO!$E$4,OR(CERTIFICADO!$E$5="",B337=CERTIFICADO!$E$5)),MAX($Y$4:Y336)+1,"")</f>
        <v/>
      </c>
    </row>
    <row r="338" customFormat="false" ht="15" hidden="false" customHeight="false" outlineLevel="0" collapsed="false">
      <c r="A338" s="11" t="str">
        <f aca="false">IF(C338="","",ROW()-4)</f>
        <v/>
      </c>
      <c r="B338" s="12"/>
      <c r="C338" s="13"/>
      <c r="D338" s="23" t="str">
        <f aca="false">IF(C338="","",IFERROR(INDEX(LOTES!$D$5:$D$1004,MATCH(C338,LOTES!$F$5:$F$1004,0)),"¿Lote?"))</f>
        <v/>
      </c>
      <c r="E338" s="11" t="str">
        <f aca="false">IF(C338="","",IFERROR(INDEX(LOTES!$C$5:$C$1004,MATCH(C338,LOTES!$F$5:$F$1004,0)),""))</f>
        <v/>
      </c>
      <c r="F338" s="24" t="str">
        <f aca="false">IF(C338="","",IFERROR(INDEX(LOTES!$B$5:$B$1004,MATCH(C338,LOTES!$F$5:$F$1004,0)),""))</f>
        <v/>
      </c>
      <c r="G338" s="15" t="str">
        <f aca="false">IF(OR(B338="",F338=""),"",B338-F338)</f>
        <v/>
      </c>
      <c r="H338" s="13"/>
      <c r="I338" s="13"/>
      <c r="J338" s="13"/>
      <c r="K338" s="25"/>
      <c r="L338" s="25"/>
      <c r="M338" s="25"/>
      <c r="N338" s="25"/>
      <c r="O338" s="26"/>
      <c r="P338" s="16" t="str">
        <f aca="false">IF(O338="","",IFERROR(1/(1/(IF(K338="",INDEX(CONFIG!$F$5:$F$14,MATCH(D338,CONFIG!$D$5:$D$14,0)),K338)*IF(M338="",INDEX(CONFIG!$H$5:$H$14,MATCH(D338,CONFIG!$D$5:$D$14,0)),M338))),""))</f>
        <v/>
      </c>
      <c r="Q338" s="16" t="str">
        <f aca="false">IF(OR(O338="",P338=""),"",O338/P338)</f>
        <v/>
      </c>
      <c r="R338" s="16" t="str">
        <f aca="false">IF(Q338="","",Q338*0.0980665)</f>
        <v/>
      </c>
      <c r="S338" s="16" t="str">
        <f aca="false">IF(Q338="","",IFERROR(Q338/(1/(1/INDEX(CONFIG!$I$5:$I$14,MATCH(D338,CONFIG!$D$5:$D$14,0)))),""))</f>
        <v/>
      </c>
      <c r="T338" s="13"/>
      <c r="U338" s="13"/>
      <c r="V338" s="13"/>
      <c r="W338" s="13"/>
      <c r="X338" s="22" t="str">
        <f aca="false">IF(Q338="","",Q338^2)</f>
        <v/>
      </c>
      <c r="Y338" s="22" t="str">
        <f aca="false">IF(AND(C338&lt;&gt;"",C338=CERTIFICADO!$E$4,OR(CERTIFICADO!$E$5="",B338=CERTIFICADO!$E$5)),MAX($Y$4:Y337)+1,"")</f>
        <v/>
      </c>
    </row>
    <row r="339" customFormat="false" ht="15" hidden="false" customHeight="false" outlineLevel="0" collapsed="false">
      <c r="A339" s="11" t="str">
        <f aca="false">IF(C339="","",ROW()-4)</f>
        <v/>
      </c>
      <c r="B339" s="12"/>
      <c r="C339" s="13"/>
      <c r="D339" s="23" t="str">
        <f aca="false">IF(C339="","",IFERROR(INDEX(LOTES!$D$5:$D$1004,MATCH(C339,LOTES!$F$5:$F$1004,0)),"¿Lote?"))</f>
        <v/>
      </c>
      <c r="E339" s="11" t="str">
        <f aca="false">IF(C339="","",IFERROR(INDEX(LOTES!$C$5:$C$1004,MATCH(C339,LOTES!$F$5:$F$1004,0)),""))</f>
        <v/>
      </c>
      <c r="F339" s="24" t="str">
        <f aca="false">IF(C339="","",IFERROR(INDEX(LOTES!$B$5:$B$1004,MATCH(C339,LOTES!$F$5:$F$1004,0)),""))</f>
        <v/>
      </c>
      <c r="G339" s="15" t="str">
        <f aca="false">IF(OR(B339="",F339=""),"",B339-F339)</f>
        <v/>
      </c>
      <c r="H339" s="13"/>
      <c r="I339" s="13"/>
      <c r="J339" s="13"/>
      <c r="K339" s="25"/>
      <c r="L339" s="25"/>
      <c r="M339" s="25"/>
      <c r="N339" s="25"/>
      <c r="O339" s="26"/>
      <c r="P339" s="16" t="str">
        <f aca="false">IF(O339="","",IFERROR(1/(1/(IF(K339="",INDEX(CONFIG!$F$5:$F$14,MATCH(D339,CONFIG!$D$5:$D$14,0)),K339)*IF(M339="",INDEX(CONFIG!$H$5:$H$14,MATCH(D339,CONFIG!$D$5:$D$14,0)),M339))),""))</f>
        <v/>
      </c>
      <c r="Q339" s="16" t="str">
        <f aca="false">IF(OR(O339="",P339=""),"",O339/P339)</f>
        <v/>
      </c>
      <c r="R339" s="16" t="str">
        <f aca="false">IF(Q339="","",Q339*0.0980665)</f>
        <v/>
      </c>
      <c r="S339" s="16" t="str">
        <f aca="false">IF(Q339="","",IFERROR(Q339/(1/(1/INDEX(CONFIG!$I$5:$I$14,MATCH(D339,CONFIG!$D$5:$D$14,0)))),""))</f>
        <v/>
      </c>
      <c r="T339" s="13"/>
      <c r="U339" s="13"/>
      <c r="V339" s="13"/>
      <c r="W339" s="13"/>
      <c r="X339" s="22" t="str">
        <f aca="false">IF(Q339="","",Q339^2)</f>
        <v/>
      </c>
      <c r="Y339" s="22" t="str">
        <f aca="false">IF(AND(C339&lt;&gt;"",C339=CERTIFICADO!$E$4,OR(CERTIFICADO!$E$5="",B339=CERTIFICADO!$E$5)),MAX($Y$4:Y338)+1,"")</f>
        <v/>
      </c>
    </row>
    <row r="340" customFormat="false" ht="15" hidden="false" customHeight="false" outlineLevel="0" collapsed="false">
      <c r="A340" s="11" t="str">
        <f aca="false">IF(C340="","",ROW()-4)</f>
        <v/>
      </c>
      <c r="B340" s="12"/>
      <c r="C340" s="13"/>
      <c r="D340" s="23" t="str">
        <f aca="false">IF(C340="","",IFERROR(INDEX(LOTES!$D$5:$D$1004,MATCH(C340,LOTES!$F$5:$F$1004,0)),"¿Lote?"))</f>
        <v/>
      </c>
      <c r="E340" s="11" t="str">
        <f aca="false">IF(C340="","",IFERROR(INDEX(LOTES!$C$5:$C$1004,MATCH(C340,LOTES!$F$5:$F$1004,0)),""))</f>
        <v/>
      </c>
      <c r="F340" s="24" t="str">
        <f aca="false">IF(C340="","",IFERROR(INDEX(LOTES!$B$5:$B$1004,MATCH(C340,LOTES!$F$5:$F$1004,0)),""))</f>
        <v/>
      </c>
      <c r="G340" s="15" t="str">
        <f aca="false">IF(OR(B340="",F340=""),"",B340-F340)</f>
        <v/>
      </c>
      <c r="H340" s="13"/>
      <c r="I340" s="13"/>
      <c r="J340" s="13"/>
      <c r="K340" s="25"/>
      <c r="L340" s="25"/>
      <c r="M340" s="25"/>
      <c r="N340" s="25"/>
      <c r="O340" s="26"/>
      <c r="P340" s="16" t="str">
        <f aca="false">IF(O340="","",IFERROR(1/(1/(IF(K340="",INDEX(CONFIG!$F$5:$F$14,MATCH(D340,CONFIG!$D$5:$D$14,0)),K340)*IF(M340="",INDEX(CONFIG!$H$5:$H$14,MATCH(D340,CONFIG!$D$5:$D$14,0)),M340))),""))</f>
        <v/>
      </c>
      <c r="Q340" s="16" t="str">
        <f aca="false">IF(OR(O340="",P340=""),"",O340/P340)</f>
        <v/>
      </c>
      <c r="R340" s="16" t="str">
        <f aca="false">IF(Q340="","",Q340*0.0980665)</f>
        <v/>
      </c>
      <c r="S340" s="16" t="str">
        <f aca="false">IF(Q340="","",IFERROR(Q340/(1/(1/INDEX(CONFIG!$I$5:$I$14,MATCH(D340,CONFIG!$D$5:$D$14,0)))),""))</f>
        <v/>
      </c>
      <c r="T340" s="13"/>
      <c r="U340" s="13"/>
      <c r="V340" s="13"/>
      <c r="W340" s="13"/>
      <c r="X340" s="22" t="str">
        <f aca="false">IF(Q340="","",Q340^2)</f>
        <v/>
      </c>
      <c r="Y340" s="22" t="str">
        <f aca="false">IF(AND(C340&lt;&gt;"",C340=CERTIFICADO!$E$4,OR(CERTIFICADO!$E$5="",B340=CERTIFICADO!$E$5)),MAX($Y$4:Y339)+1,"")</f>
        <v/>
      </c>
    </row>
    <row r="341" customFormat="false" ht="15" hidden="false" customHeight="false" outlineLevel="0" collapsed="false">
      <c r="A341" s="11" t="str">
        <f aca="false">IF(C341="","",ROW()-4)</f>
        <v/>
      </c>
      <c r="B341" s="12"/>
      <c r="C341" s="13"/>
      <c r="D341" s="23" t="str">
        <f aca="false">IF(C341="","",IFERROR(INDEX(LOTES!$D$5:$D$1004,MATCH(C341,LOTES!$F$5:$F$1004,0)),"¿Lote?"))</f>
        <v/>
      </c>
      <c r="E341" s="11" t="str">
        <f aca="false">IF(C341="","",IFERROR(INDEX(LOTES!$C$5:$C$1004,MATCH(C341,LOTES!$F$5:$F$1004,0)),""))</f>
        <v/>
      </c>
      <c r="F341" s="24" t="str">
        <f aca="false">IF(C341="","",IFERROR(INDEX(LOTES!$B$5:$B$1004,MATCH(C341,LOTES!$F$5:$F$1004,0)),""))</f>
        <v/>
      </c>
      <c r="G341" s="15" t="str">
        <f aca="false">IF(OR(B341="",F341=""),"",B341-F341)</f>
        <v/>
      </c>
      <c r="H341" s="13"/>
      <c r="I341" s="13"/>
      <c r="J341" s="13"/>
      <c r="K341" s="25"/>
      <c r="L341" s="25"/>
      <c r="M341" s="25"/>
      <c r="N341" s="25"/>
      <c r="O341" s="26"/>
      <c r="P341" s="16" t="str">
        <f aca="false">IF(O341="","",IFERROR(1/(1/(IF(K341="",INDEX(CONFIG!$F$5:$F$14,MATCH(D341,CONFIG!$D$5:$D$14,0)),K341)*IF(M341="",INDEX(CONFIG!$H$5:$H$14,MATCH(D341,CONFIG!$D$5:$D$14,0)),M341))),""))</f>
        <v/>
      </c>
      <c r="Q341" s="16" t="str">
        <f aca="false">IF(OR(O341="",P341=""),"",O341/P341)</f>
        <v/>
      </c>
      <c r="R341" s="16" t="str">
        <f aca="false">IF(Q341="","",Q341*0.0980665)</f>
        <v/>
      </c>
      <c r="S341" s="16" t="str">
        <f aca="false">IF(Q341="","",IFERROR(Q341/(1/(1/INDEX(CONFIG!$I$5:$I$14,MATCH(D341,CONFIG!$D$5:$D$14,0)))),""))</f>
        <v/>
      </c>
      <c r="T341" s="13"/>
      <c r="U341" s="13"/>
      <c r="V341" s="13"/>
      <c r="W341" s="13"/>
      <c r="X341" s="22" t="str">
        <f aca="false">IF(Q341="","",Q341^2)</f>
        <v/>
      </c>
      <c r="Y341" s="22" t="str">
        <f aca="false">IF(AND(C341&lt;&gt;"",C341=CERTIFICADO!$E$4,OR(CERTIFICADO!$E$5="",B341=CERTIFICADO!$E$5)),MAX($Y$4:Y340)+1,"")</f>
        <v/>
      </c>
    </row>
    <row r="342" customFormat="false" ht="15" hidden="false" customHeight="false" outlineLevel="0" collapsed="false">
      <c r="A342" s="11" t="str">
        <f aca="false">IF(C342="","",ROW()-4)</f>
        <v/>
      </c>
      <c r="B342" s="12"/>
      <c r="C342" s="13"/>
      <c r="D342" s="23" t="str">
        <f aca="false">IF(C342="","",IFERROR(INDEX(LOTES!$D$5:$D$1004,MATCH(C342,LOTES!$F$5:$F$1004,0)),"¿Lote?"))</f>
        <v/>
      </c>
      <c r="E342" s="11" t="str">
        <f aca="false">IF(C342="","",IFERROR(INDEX(LOTES!$C$5:$C$1004,MATCH(C342,LOTES!$F$5:$F$1004,0)),""))</f>
        <v/>
      </c>
      <c r="F342" s="24" t="str">
        <f aca="false">IF(C342="","",IFERROR(INDEX(LOTES!$B$5:$B$1004,MATCH(C342,LOTES!$F$5:$F$1004,0)),""))</f>
        <v/>
      </c>
      <c r="G342" s="15" t="str">
        <f aca="false">IF(OR(B342="",F342=""),"",B342-F342)</f>
        <v/>
      </c>
      <c r="H342" s="13"/>
      <c r="I342" s="13"/>
      <c r="J342" s="13"/>
      <c r="K342" s="25"/>
      <c r="L342" s="25"/>
      <c r="M342" s="25"/>
      <c r="N342" s="25"/>
      <c r="O342" s="26"/>
      <c r="P342" s="16" t="str">
        <f aca="false">IF(O342="","",IFERROR(1/(1/(IF(K342="",INDEX(CONFIG!$F$5:$F$14,MATCH(D342,CONFIG!$D$5:$D$14,0)),K342)*IF(M342="",INDEX(CONFIG!$H$5:$H$14,MATCH(D342,CONFIG!$D$5:$D$14,0)),M342))),""))</f>
        <v/>
      </c>
      <c r="Q342" s="16" t="str">
        <f aca="false">IF(OR(O342="",P342=""),"",O342/P342)</f>
        <v/>
      </c>
      <c r="R342" s="16" t="str">
        <f aca="false">IF(Q342="","",Q342*0.0980665)</f>
        <v/>
      </c>
      <c r="S342" s="16" t="str">
        <f aca="false">IF(Q342="","",IFERROR(Q342/(1/(1/INDEX(CONFIG!$I$5:$I$14,MATCH(D342,CONFIG!$D$5:$D$14,0)))),""))</f>
        <v/>
      </c>
      <c r="T342" s="13"/>
      <c r="U342" s="13"/>
      <c r="V342" s="13"/>
      <c r="W342" s="13"/>
      <c r="X342" s="22" t="str">
        <f aca="false">IF(Q342="","",Q342^2)</f>
        <v/>
      </c>
      <c r="Y342" s="22" t="str">
        <f aca="false">IF(AND(C342&lt;&gt;"",C342=CERTIFICADO!$E$4,OR(CERTIFICADO!$E$5="",B342=CERTIFICADO!$E$5)),MAX($Y$4:Y341)+1,"")</f>
        <v/>
      </c>
    </row>
    <row r="343" customFormat="false" ht="15" hidden="false" customHeight="false" outlineLevel="0" collapsed="false">
      <c r="A343" s="11" t="str">
        <f aca="false">IF(C343="","",ROW()-4)</f>
        <v/>
      </c>
      <c r="B343" s="12"/>
      <c r="C343" s="13"/>
      <c r="D343" s="23" t="str">
        <f aca="false">IF(C343="","",IFERROR(INDEX(LOTES!$D$5:$D$1004,MATCH(C343,LOTES!$F$5:$F$1004,0)),"¿Lote?"))</f>
        <v/>
      </c>
      <c r="E343" s="11" t="str">
        <f aca="false">IF(C343="","",IFERROR(INDEX(LOTES!$C$5:$C$1004,MATCH(C343,LOTES!$F$5:$F$1004,0)),""))</f>
        <v/>
      </c>
      <c r="F343" s="24" t="str">
        <f aca="false">IF(C343="","",IFERROR(INDEX(LOTES!$B$5:$B$1004,MATCH(C343,LOTES!$F$5:$F$1004,0)),""))</f>
        <v/>
      </c>
      <c r="G343" s="15" t="str">
        <f aca="false">IF(OR(B343="",F343=""),"",B343-F343)</f>
        <v/>
      </c>
      <c r="H343" s="13"/>
      <c r="I343" s="13"/>
      <c r="J343" s="13"/>
      <c r="K343" s="25"/>
      <c r="L343" s="25"/>
      <c r="M343" s="25"/>
      <c r="N343" s="25"/>
      <c r="O343" s="26"/>
      <c r="P343" s="16" t="str">
        <f aca="false">IF(O343="","",IFERROR(1/(1/(IF(K343="",INDEX(CONFIG!$F$5:$F$14,MATCH(D343,CONFIG!$D$5:$D$14,0)),K343)*IF(M343="",INDEX(CONFIG!$H$5:$H$14,MATCH(D343,CONFIG!$D$5:$D$14,0)),M343))),""))</f>
        <v/>
      </c>
      <c r="Q343" s="16" t="str">
        <f aca="false">IF(OR(O343="",P343=""),"",O343/P343)</f>
        <v/>
      </c>
      <c r="R343" s="16" t="str">
        <f aca="false">IF(Q343="","",Q343*0.0980665)</f>
        <v/>
      </c>
      <c r="S343" s="16" t="str">
        <f aca="false">IF(Q343="","",IFERROR(Q343/(1/(1/INDEX(CONFIG!$I$5:$I$14,MATCH(D343,CONFIG!$D$5:$D$14,0)))),""))</f>
        <v/>
      </c>
      <c r="T343" s="13"/>
      <c r="U343" s="13"/>
      <c r="V343" s="13"/>
      <c r="W343" s="13"/>
      <c r="X343" s="22" t="str">
        <f aca="false">IF(Q343="","",Q343^2)</f>
        <v/>
      </c>
      <c r="Y343" s="22" t="str">
        <f aca="false">IF(AND(C343&lt;&gt;"",C343=CERTIFICADO!$E$4,OR(CERTIFICADO!$E$5="",B343=CERTIFICADO!$E$5)),MAX($Y$4:Y342)+1,"")</f>
        <v/>
      </c>
    </row>
    <row r="344" customFormat="false" ht="15" hidden="false" customHeight="false" outlineLevel="0" collapsed="false">
      <c r="A344" s="11" t="str">
        <f aca="false">IF(C344="","",ROW()-4)</f>
        <v/>
      </c>
      <c r="B344" s="12"/>
      <c r="C344" s="13"/>
      <c r="D344" s="23" t="str">
        <f aca="false">IF(C344="","",IFERROR(INDEX(LOTES!$D$5:$D$1004,MATCH(C344,LOTES!$F$5:$F$1004,0)),"¿Lote?"))</f>
        <v/>
      </c>
      <c r="E344" s="11" t="str">
        <f aca="false">IF(C344="","",IFERROR(INDEX(LOTES!$C$5:$C$1004,MATCH(C344,LOTES!$F$5:$F$1004,0)),""))</f>
        <v/>
      </c>
      <c r="F344" s="24" t="str">
        <f aca="false">IF(C344="","",IFERROR(INDEX(LOTES!$B$5:$B$1004,MATCH(C344,LOTES!$F$5:$F$1004,0)),""))</f>
        <v/>
      </c>
      <c r="G344" s="15" t="str">
        <f aca="false">IF(OR(B344="",F344=""),"",B344-F344)</f>
        <v/>
      </c>
      <c r="H344" s="13"/>
      <c r="I344" s="13"/>
      <c r="J344" s="13"/>
      <c r="K344" s="25"/>
      <c r="L344" s="25"/>
      <c r="M344" s="25"/>
      <c r="N344" s="25"/>
      <c r="O344" s="26"/>
      <c r="P344" s="16" t="str">
        <f aca="false">IF(O344="","",IFERROR(1/(1/(IF(K344="",INDEX(CONFIG!$F$5:$F$14,MATCH(D344,CONFIG!$D$5:$D$14,0)),K344)*IF(M344="",INDEX(CONFIG!$H$5:$H$14,MATCH(D344,CONFIG!$D$5:$D$14,0)),M344))),""))</f>
        <v/>
      </c>
      <c r="Q344" s="16" t="str">
        <f aca="false">IF(OR(O344="",P344=""),"",O344/P344)</f>
        <v/>
      </c>
      <c r="R344" s="16" t="str">
        <f aca="false">IF(Q344="","",Q344*0.0980665)</f>
        <v/>
      </c>
      <c r="S344" s="16" t="str">
        <f aca="false">IF(Q344="","",IFERROR(Q344/(1/(1/INDEX(CONFIG!$I$5:$I$14,MATCH(D344,CONFIG!$D$5:$D$14,0)))),""))</f>
        <v/>
      </c>
      <c r="T344" s="13"/>
      <c r="U344" s="13"/>
      <c r="V344" s="13"/>
      <c r="W344" s="13"/>
      <c r="X344" s="22" t="str">
        <f aca="false">IF(Q344="","",Q344^2)</f>
        <v/>
      </c>
      <c r="Y344" s="22" t="str">
        <f aca="false">IF(AND(C344&lt;&gt;"",C344=CERTIFICADO!$E$4,OR(CERTIFICADO!$E$5="",B344=CERTIFICADO!$E$5)),MAX($Y$4:Y343)+1,"")</f>
        <v/>
      </c>
    </row>
    <row r="345" customFormat="false" ht="15" hidden="false" customHeight="false" outlineLevel="0" collapsed="false">
      <c r="A345" s="11" t="str">
        <f aca="false">IF(C345="","",ROW()-4)</f>
        <v/>
      </c>
      <c r="B345" s="12"/>
      <c r="C345" s="13"/>
      <c r="D345" s="23" t="str">
        <f aca="false">IF(C345="","",IFERROR(INDEX(LOTES!$D$5:$D$1004,MATCH(C345,LOTES!$F$5:$F$1004,0)),"¿Lote?"))</f>
        <v/>
      </c>
      <c r="E345" s="11" t="str">
        <f aca="false">IF(C345="","",IFERROR(INDEX(LOTES!$C$5:$C$1004,MATCH(C345,LOTES!$F$5:$F$1004,0)),""))</f>
        <v/>
      </c>
      <c r="F345" s="24" t="str">
        <f aca="false">IF(C345="","",IFERROR(INDEX(LOTES!$B$5:$B$1004,MATCH(C345,LOTES!$F$5:$F$1004,0)),""))</f>
        <v/>
      </c>
      <c r="G345" s="15" t="str">
        <f aca="false">IF(OR(B345="",F345=""),"",B345-F345)</f>
        <v/>
      </c>
      <c r="H345" s="13"/>
      <c r="I345" s="13"/>
      <c r="J345" s="13"/>
      <c r="K345" s="25"/>
      <c r="L345" s="25"/>
      <c r="M345" s="25"/>
      <c r="N345" s="25"/>
      <c r="O345" s="26"/>
      <c r="P345" s="16" t="str">
        <f aca="false">IF(O345="","",IFERROR(1/(1/(IF(K345="",INDEX(CONFIG!$F$5:$F$14,MATCH(D345,CONFIG!$D$5:$D$14,0)),K345)*IF(M345="",INDEX(CONFIG!$H$5:$H$14,MATCH(D345,CONFIG!$D$5:$D$14,0)),M345))),""))</f>
        <v/>
      </c>
      <c r="Q345" s="16" t="str">
        <f aca="false">IF(OR(O345="",P345=""),"",O345/P345)</f>
        <v/>
      </c>
      <c r="R345" s="16" t="str">
        <f aca="false">IF(Q345="","",Q345*0.0980665)</f>
        <v/>
      </c>
      <c r="S345" s="16" t="str">
        <f aca="false">IF(Q345="","",IFERROR(Q345/(1/(1/INDEX(CONFIG!$I$5:$I$14,MATCH(D345,CONFIG!$D$5:$D$14,0)))),""))</f>
        <v/>
      </c>
      <c r="T345" s="13"/>
      <c r="U345" s="13"/>
      <c r="V345" s="13"/>
      <c r="W345" s="13"/>
      <c r="X345" s="22" t="str">
        <f aca="false">IF(Q345="","",Q345^2)</f>
        <v/>
      </c>
      <c r="Y345" s="22" t="str">
        <f aca="false">IF(AND(C345&lt;&gt;"",C345=CERTIFICADO!$E$4,OR(CERTIFICADO!$E$5="",B345=CERTIFICADO!$E$5)),MAX($Y$4:Y344)+1,"")</f>
        <v/>
      </c>
    </row>
    <row r="346" customFormat="false" ht="15" hidden="false" customHeight="false" outlineLevel="0" collapsed="false">
      <c r="A346" s="11" t="str">
        <f aca="false">IF(C346="","",ROW()-4)</f>
        <v/>
      </c>
      <c r="B346" s="12"/>
      <c r="C346" s="13"/>
      <c r="D346" s="23" t="str">
        <f aca="false">IF(C346="","",IFERROR(INDEX(LOTES!$D$5:$D$1004,MATCH(C346,LOTES!$F$5:$F$1004,0)),"¿Lote?"))</f>
        <v/>
      </c>
      <c r="E346" s="11" t="str">
        <f aca="false">IF(C346="","",IFERROR(INDEX(LOTES!$C$5:$C$1004,MATCH(C346,LOTES!$F$5:$F$1004,0)),""))</f>
        <v/>
      </c>
      <c r="F346" s="24" t="str">
        <f aca="false">IF(C346="","",IFERROR(INDEX(LOTES!$B$5:$B$1004,MATCH(C346,LOTES!$F$5:$F$1004,0)),""))</f>
        <v/>
      </c>
      <c r="G346" s="15" t="str">
        <f aca="false">IF(OR(B346="",F346=""),"",B346-F346)</f>
        <v/>
      </c>
      <c r="H346" s="13"/>
      <c r="I346" s="13"/>
      <c r="J346" s="13"/>
      <c r="K346" s="25"/>
      <c r="L346" s="25"/>
      <c r="M346" s="25"/>
      <c r="N346" s="25"/>
      <c r="O346" s="26"/>
      <c r="P346" s="16" t="str">
        <f aca="false">IF(O346="","",IFERROR(1/(1/(IF(K346="",INDEX(CONFIG!$F$5:$F$14,MATCH(D346,CONFIG!$D$5:$D$14,0)),K346)*IF(M346="",INDEX(CONFIG!$H$5:$H$14,MATCH(D346,CONFIG!$D$5:$D$14,0)),M346))),""))</f>
        <v/>
      </c>
      <c r="Q346" s="16" t="str">
        <f aca="false">IF(OR(O346="",P346=""),"",O346/P346)</f>
        <v/>
      </c>
      <c r="R346" s="16" t="str">
        <f aca="false">IF(Q346="","",Q346*0.0980665)</f>
        <v/>
      </c>
      <c r="S346" s="16" t="str">
        <f aca="false">IF(Q346="","",IFERROR(Q346/(1/(1/INDEX(CONFIG!$I$5:$I$14,MATCH(D346,CONFIG!$D$5:$D$14,0)))),""))</f>
        <v/>
      </c>
      <c r="T346" s="13"/>
      <c r="U346" s="13"/>
      <c r="V346" s="13"/>
      <c r="W346" s="13"/>
      <c r="X346" s="22" t="str">
        <f aca="false">IF(Q346="","",Q346^2)</f>
        <v/>
      </c>
      <c r="Y346" s="22" t="str">
        <f aca="false">IF(AND(C346&lt;&gt;"",C346=CERTIFICADO!$E$4,OR(CERTIFICADO!$E$5="",B346=CERTIFICADO!$E$5)),MAX($Y$4:Y345)+1,"")</f>
        <v/>
      </c>
    </row>
    <row r="347" customFormat="false" ht="15" hidden="false" customHeight="false" outlineLevel="0" collapsed="false">
      <c r="A347" s="11" t="str">
        <f aca="false">IF(C347="","",ROW()-4)</f>
        <v/>
      </c>
      <c r="B347" s="12"/>
      <c r="C347" s="13"/>
      <c r="D347" s="23" t="str">
        <f aca="false">IF(C347="","",IFERROR(INDEX(LOTES!$D$5:$D$1004,MATCH(C347,LOTES!$F$5:$F$1004,0)),"¿Lote?"))</f>
        <v/>
      </c>
      <c r="E347" s="11" t="str">
        <f aca="false">IF(C347="","",IFERROR(INDEX(LOTES!$C$5:$C$1004,MATCH(C347,LOTES!$F$5:$F$1004,0)),""))</f>
        <v/>
      </c>
      <c r="F347" s="24" t="str">
        <f aca="false">IF(C347="","",IFERROR(INDEX(LOTES!$B$5:$B$1004,MATCH(C347,LOTES!$F$5:$F$1004,0)),""))</f>
        <v/>
      </c>
      <c r="G347" s="15" t="str">
        <f aca="false">IF(OR(B347="",F347=""),"",B347-F347)</f>
        <v/>
      </c>
      <c r="H347" s="13"/>
      <c r="I347" s="13"/>
      <c r="J347" s="13"/>
      <c r="K347" s="25"/>
      <c r="L347" s="25"/>
      <c r="M347" s="25"/>
      <c r="N347" s="25"/>
      <c r="O347" s="26"/>
      <c r="P347" s="16" t="str">
        <f aca="false">IF(O347="","",IFERROR(1/(1/(IF(K347="",INDEX(CONFIG!$F$5:$F$14,MATCH(D347,CONFIG!$D$5:$D$14,0)),K347)*IF(M347="",INDEX(CONFIG!$H$5:$H$14,MATCH(D347,CONFIG!$D$5:$D$14,0)),M347))),""))</f>
        <v/>
      </c>
      <c r="Q347" s="16" t="str">
        <f aca="false">IF(OR(O347="",P347=""),"",O347/P347)</f>
        <v/>
      </c>
      <c r="R347" s="16" t="str">
        <f aca="false">IF(Q347="","",Q347*0.0980665)</f>
        <v/>
      </c>
      <c r="S347" s="16" t="str">
        <f aca="false">IF(Q347="","",IFERROR(Q347/(1/(1/INDEX(CONFIG!$I$5:$I$14,MATCH(D347,CONFIG!$D$5:$D$14,0)))),""))</f>
        <v/>
      </c>
      <c r="T347" s="13"/>
      <c r="U347" s="13"/>
      <c r="V347" s="13"/>
      <c r="W347" s="13"/>
      <c r="X347" s="22" t="str">
        <f aca="false">IF(Q347="","",Q347^2)</f>
        <v/>
      </c>
      <c r="Y347" s="22" t="str">
        <f aca="false">IF(AND(C347&lt;&gt;"",C347=CERTIFICADO!$E$4,OR(CERTIFICADO!$E$5="",B347=CERTIFICADO!$E$5)),MAX($Y$4:Y346)+1,"")</f>
        <v/>
      </c>
    </row>
    <row r="348" customFormat="false" ht="15" hidden="false" customHeight="false" outlineLevel="0" collapsed="false">
      <c r="A348" s="11" t="str">
        <f aca="false">IF(C348="","",ROW()-4)</f>
        <v/>
      </c>
      <c r="B348" s="12"/>
      <c r="C348" s="13"/>
      <c r="D348" s="23" t="str">
        <f aca="false">IF(C348="","",IFERROR(INDEX(LOTES!$D$5:$D$1004,MATCH(C348,LOTES!$F$5:$F$1004,0)),"¿Lote?"))</f>
        <v/>
      </c>
      <c r="E348" s="11" t="str">
        <f aca="false">IF(C348="","",IFERROR(INDEX(LOTES!$C$5:$C$1004,MATCH(C348,LOTES!$F$5:$F$1004,0)),""))</f>
        <v/>
      </c>
      <c r="F348" s="24" t="str">
        <f aca="false">IF(C348="","",IFERROR(INDEX(LOTES!$B$5:$B$1004,MATCH(C348,LOTES!$F$5:$F$1004,0)),""))</f>
        <v/>
      </c>
      <c r="G348" s="15" t="str">
        <f aca="false">IF(OR(B348="",F348=""),"",B348-F348)</f>
        <v/>
      </c>
      <c r="H348" s="13"/>
      <c r="I348" s="13"/>
      <c r="J348" s="13"/>
      <c r="K348" s="25"/>
      <c r="L348" s="25"/>
      <c r="M348" s="25"/>
      <c r="N348" s="25"/>
      <c r="O348" s="26"/>
      <c r="P348" s="16" t="str">
        <f aca="false">IF(O348="","",IFERROR(1/(1/(IF(K348="",INDEX(CONFIG!$F$5:$F$14,MATCH(D348,CONFIG!$D$5:$D$14,0)),K348)*IF(M348="",INDEX(CONFIG!$H$5:$H$14,MATCH(D348,CONFIG!$D$5:$D$14,0)),M348))),""))</f>
        <v/>
      </c>
      <c r="Q348" s="16" t="str">
        <f aca="false">IF(OR(O348="",P348=""),"",O348/P348)</f>
        <v/>
      </c>
      <c r="R348" s="16" t="str">
        <f aca="false">IF(Q348="","",Q348*0.0980665)</f>
        <v/>
      </c>
      <c r="S348" s="16" t="str">
        <f aca="false">IF(Q348="","",IFERROR(Q348/(1/(1/INDEX(CONFIG!$I$5:$I$14,MATCH(D348,CONFIG!$D$5:$D$14,0)))),""))</f>
        <v/>
      </c>
      <c r="T348" s="13"/>
      <c r="U348" s="13"/>
      <c r="V348" s="13"/>
      <c r="W348" s="13"/>
      <c r="X348" s="22" t="str">
        <f aca="false">IF(Q348="","",Q348^2)</f>
        <v/>
      </c>
      <c r="Y348" s="22" t="str">
        <f aca="false">IF(AND(C348&lt;&gt;"",C348=CERTIFICADO!$E$4,OR(CERTIFICADO!$E$5="",B348=CERTIFICADO!$E$5)),MAX($Y$4:Y347)+1,"")</f>
        <v/>
      </c>
    </row>
    <row r="349" customFormat="false" ht="15" hidden="false" customHeight="false" outlineLevel="0" collapsed="false">
      <c r="A349" s="11" t="str">
        <f aca="false">IF(C349="","",ROW()-4)</f>
        <v/>
      </c>
      <c r="B349" s="12"/>
      <c r="C349" s="13"/>
      <c r="D349" s="23" t="str">
        <f aca="false">IF(C349="","",IFERROR(INDEX(LOTES!$D$5:$D$1004,MATCH(C349,LOTES!$F$5:$F$1004,0)),"¿Lote?"))</f>
        <v/>
      </c>
      <c r="E349" s="11" t="str">
        <f aca="false">IF(C349="","",IFERROR(INDEX(LOTES!$C$5:$C$1004,MATCH(C349,LOTES!$F$5:$F$1004,0)),""))</f>
        <v/>
      </c>
      <c r="F349" s="24" t="str">
        <f aca="false">IF(C349="","",IFERROR(INDEX(LOTES!$B$5:$B$1004,MATCH(C349,LOTES!$F$5:$F$1004,0)),""))</f>
        <v/>
      </c>
      <c r="G349" s="15" t="str">
        <f aca="false">IF(OR(B349="",F349=""),"",B349-F349)</f>
        <v/>
      </c>
      <c r="H349" s="13"/>
      <c r="I349" s="13"/>
      <c r="J349" s="13"/>
      <c r="K349" s="25"/>
      <c r="L349" s="25"/>
      <c r="M349" s="25"/>
      <c r="N349" s="25"/>
      <c r="O349" s="26"/>
      <c r="P349" s="16" t="str">
        <f aca="false">IF(O349="","",IFERROR(1/(1/(IF(K349="",INDEX(CONFIG!$F$5:$F$14,MATCH(D349,CONFIG!$D$5:$D$14,0)),K349)*IF(M349="",INDEX(CONFIG!$H$5:$H$14,MATCH(D349,CONFIG!$D$5:$D$14,0)),M349))),""))</f>
        <v/>
      </c>
      <c r="Q349" s="16" t="str">
        <f aca="false">IF(OR(O349="",P349=""),"",O349/P349)</f>
        <v/>
      </c>
      <c r="R349" s="16" t="str">
        <f aca="false">IF(Q349="","",Q349*0.0980665)</f>
        <v/>
      </c>
      <c r="S349" s="16" t="str">
        <f aca="false">IF(Q349="","",IFERROR(Q349/(1/(1/INDEX(CONFIG!$I$5:$I$14,MATCH(D349,CONFIG!$D$5:$D$14,0)))),""))</f>
        <v/>
      </c>
      <c r="T349" s="13"/>
      <c r="U349" s="13"/>
      <c r="V349" s="13"/>
      <c r="W349" s="13"/>
      <c r="X349" s="22" t="str">
        <f aca="false">IF(Q349="","",Q349^2)</f>
        <v/>
      </c>
      <c r="Y349" s="22" t="str">
        <f aca="false">IF(AND(C349&lt;&gt;"",C349=CERTIFICADO!$E$4,OR(CERTIFICADO!$E$5="",B349=CERTIFICADO!$E$5)),MAX($Y$4:Y348)+1,"")</f>
        <v/>
      </c>
    </row>
    <row r="350" customFormat="false" ht="15" hidden="false" customHeight="false" outlineLevel="0" collapsed="false">
      <c r="A350" s="11" t="str">
        <f aca="false">IF(C350="","",ROW()-4)</f>
        <v/>
      </c>
      <c r="B350" s="12"/>
      <c r="C350" s="13"/>
      <c r="D350" s="23" t="str">
        <f aca="false">IF(C350="","",IFERROR(INDEX(LOTES!$D$5:$D$1004,MATCH(C350,LOTES!$F$5:$F$1004,0)),"¿Lote?"))</f>
        <v/>
      </c>
      <c r="E350" s="11" t="str">
        <f aca="false">IF(C350="","",IFERROR(INDEX(LOTES!$C$5:$C$1004,MATCH(C350,LOTES!$F$5:$F$1004,0)),""))</f>
        <v/>
      </c>
      <c r="F350" s="24" t="str">
        <f aca="false">IF(C350="","",IFERROR(INDEX(LOTES!$B$5:$B$1004,MATCH(C350,LOTES!$F$5:$F$1004,0)),""))</f>
        <v/>
      </c>
      <c r="G350" s="15" t="str">
        <f aca="false">IF(OR(B350="",F350=""),"",B350-F350)</f>
        <v/>
      </c>
      <c r="H350" s="13"/>
      <c r="I350" s="13"/>
      <c r="J350" s="13"/>
      <c r="K350" s="25"/>
      <c r="L350" s="25"/>
      <c r="M350" s="25"/>
      <c r="N350" s="25"/>
      <c r="O350" s="26"/>
      <c r="P350" s="16" t="str">
        <f aca="false">IF(O350="","",IFERROR(1/(1/(IF(K350="",INDEX(CONFIG!$F$5:$F$14,MATCH(D350,CONFIG!$D$5:$D$14,0)),K350)*IF(M350="",INDEX(CONFIG!$H$5:$H$14,MATCH(D350,CONFIG!$D$5:$D$14,0)),M350))),""))</f>
        <v/>
      </c>
      <c r="Q350" s="16" t="str">
        <f aca="false">IF(OR(O350="",P350=""),"",O350/P350)</f>
        <v/>
      </c>
      <c r="R350" s="16" t="str">
        <f aca="false">IF(Q350="","",Q350*0.0980665)</f>
        <v/>
      </c>
      <c r="S350" s="16" t="str">
        <f aca="false">IF(Q350="","",IFERROR(Q350/(1/(1/INDEX(CONFIG!$I$5:$I$14,MATCH(D350,CONFIG!$D$5:$D$14,0)))),""))</f>
        <v/>
      </c>
      <c r="T350" s="13"/>
      <c r="U350" s="13"/>
      <c r="V350" s="13"/>
      <c r="W350" s="13"/>
      <c r="X350" s="22" t="str">
        <f aca="false">IF(Q350="","",Q350^2)</f>
        <v/>
      </c>
      <c r="Y350" s="22" t="str">
        <f aca="false">IF(AND(C350&lt;&gt;"",C350=CERTIFICADO!$E$4,OR(CERTIFICADO!$E$5="",B350=CERTIFICADO!$E$5)),MAX($Y$4:Y349)+1,"")</f>
        <v/>
      </c>
    </row>
    <row r="351" customFormat="false" ht="15" hidden="false" customHeight="false" outlineLevel="0" collapsed="false">
      <c r="A351" s="11" t="str">
        <f aca="false">IF(C351="","",ROW()-4)</f>
        <v/>
      </c>
      <c r="B351" s="12"/>
      <c r="C351" s="13"/>
      <c r="D351" s="23" t="str">
        <f aca="false">IF(C351="","",IFERROR(INDEX(LOTES!$D$5:$D$1004,MATCH(C351,LOTES!$F$5:$F$1004,0)),"¿Lote?"))</f>
        <v/>
      </c>
      <c r="E351" s="11" t="str">
        <f aca="false">IF(C351="","",IFERROR(INDEX(LOTES!$C$5:$C$1004,MATCH(C351,LOTES!$F$5:$F$1004,0)),""))</f>
        <v/>
      </c>
      <c r="F351" s="24" t="str">
        <f aca="false">IF(C351="","",IFERROR(INDEX(LOTES!$B$5:$B$1004,MATCH(C351,LOTES!$F$5:$F$1004,0)),""))</f>
        <v/>
      </c>
      <c r="G351" s="15" t="str">
        <f aca="false">IF(OR(B351="",F351=""),"",B351-F351)</f>
        <v/>
      </c>
      <c r="H351" s="13"/>
      <c r="I351" s="13"/>
      <c r="J351" s="13"/>
      <c r="K351" s="25"/>
      <c r="L351" s="25"/>
      <c r="M351" s="25"/>
      <c r="N351" s="25"/>
      <c r="O351" s="26"/>
      <c r="P351" s="16" t="str">
        <f aca="false">IF(O351="","",IFERROR(1/(1/(IF(K351="",INDEX(CONFIG!$F$5:$F$14,MATCH(D351,CONFIG!$D$5:$D$14,0)),K351)*IF(M351="",INDEX(CONFIG!$H$5:$H$14,MATCH(D351,CONFIG!$D$5:$D$14,0)),M351))),""))</f>
        <v/>
      </c>
      <c r="Q351" s="16" t="str">
        <f aca="false">IF(OR(O351="",P351=""),"",O351/P351)</f>
        <v/>
      </c>
      <c r="R351" s="16" t="str">
        <f aca="false">IF(Q351="","",Q351*0.0980665)</f>
        <v/>
      </c>
      <c r="S351" s="16" t="str">
        <f aca="false">IF(Q351="","",IFERROR(Q351/(1/(1/INDEX(CONFIG!$I$5:$I$14,MATCH(D351,CONFIG!$D$5:$D$14,0)))),""))</f>
        <v/>
      </c>
      <c r="T351" s="13"/>
      <c r="U351" s="13"/>
      <c r="V351" s="13"/>
      <c r="W351" s="13"/>
      <c r="X351" s="22" t="str">
        <f aca="false">IF(Q351="","",Q351^2)</f>
        <v/>
      </c>
      <c r="Y351" s="22" t="str">
        <f aca="false">IF(AND(C351&lt;&gt;"",C351=CERTIFICADO!$E$4,OR(CERTIFICADO!$E$5="",B351=CERTIFICADO!$E$5)),MAX($Y$4:Y350)+1,"")</f>
        <v/>
      </c>
    </row>
    <row r="352" customFormat="false" ht="15" hidden="false" customHeight="false" outlineLevel="0" collapsed="false">
      <c r="A352" s="11" t="str">
        <f aca="false">IF(C352="","",ROW()-4)</f>
        <v/>
      </c>
      <c r="B352" s="12"/>
      <c r="C352" s="13"/>
      <c r="D352" s="23" t="str">
        <f aca="false">IF(C352="","",IFERROR(INDEX(LOTES!$D$5:$D$1004,MATCH(C352,LOTES!$F$5:$F$1004,0)),"¿Lote?"))</f>
        <v/>
      </c>
      <c r="E352" s="11" t="str">
        <f aca="false">IF(C352="","",IFERROR(INDEX(LOTES!$C$5:$C$1004,MATCH(C352,LOTES!$F$5:$F$1004,0)),""))</f>
        <v/>
      </c>
      <c r="F352" s="24" t="str">
        <f aca="false">IF(C352="","",IFERROR(INDEX(LOTES!$B$5:$B$1004,MATCH(C352,LOTES!$F$5:$F$1004,0)),""))</f>
        <v/>
      </c>
      <c r="G352" s="15" t="str">
        <f aca="false">IF(OR(B352="",F352=""),"",B352-F352)</f>
        <v/>
      </c>
      <c r="H352" s="13"/>
      <c r="I352" s="13"/>
      <c r="J352" s="13"/>
      <c r="K352" s="25"/>
      <c r="L352" s="25"/>
      <c r="M352" s="25"/>
      <c r="N352" s="25"/>
      <c r="O352" s="26"/>
      <c r="P352" s="16" t="str">
        <f aca="false">IF(O352="","",IFERROR(1/(1/(IF(K352="",INDEX(CONFIG!$F$5:$F$14,MATCH(D352,CONFIG!$D$5:$D$14,0)),K352)*IF(M352="",INDEX(CONFIG!$H$5:$H$14,MATCH(D352,CONFIG!$D$5:$D$14,0)),M352))),""))</f>
        <v/>
      </c>
      <c r="Q352" s="16" t="str">
        <f aca="false">IF(OR(O352="",P352=""),"",O352/P352)</f>
        <v/>
      </c>
      <c r="R352" s="16" t="str">
        <f aca="false">IF(Q352="","",Q352*0.0980665)</f>
        <v/>
      </c>
      <c r="S352" s="16" t="str">
        <f aca="false">IF(Q352="","",IFERROR(Q352/(1/(1/INDEX(CONFIG!$I$5:$I$14,MATCH(D352,CONFIG!$D$5:$D$14,0)))),""))</f>
        <v/>
      </c>
      <c r="T352" s="13"/>
      <c r="U352" s="13"/>
      <c r="V352" s="13"/>
      <c r="W352" s="13"/>
      <c r="X352" s="22" t="str">
        <f aca="false">IF(Q352="","",Q352^2)</f>
        <v/>
      </c>
      <c r="Y352" s="22" t="str">
        <f aca="false">IF(AND(C352&lt;&gt;"",C352=CERTIFICADO!$E$4,OR(CERTIFICADO!$E$5="",B352=CERTIFICADO!$E$5)),MAX($Y$4:Y351)+1,"")</f>
        <v/>
      </c>
    </row>
    <row r="353" customFormat="false" ht="15" hidden="false" customHeight="false" outlineLevel="0" collapsed="false">
      <c r="A353" s="11" t="str">
        <f aca="false">IF(C353="","",ROW()-4)</f>
        <v/>
      </c>
      <c r="B353" s="12"/>
      <c r="C353" s="13"/>
      <c r="D353" s="23" t="str">
        <f aca="false">IF(C353="","",IFERROR(INDEX(LOTES!$D$5:$D$1004,MATCH(C353,LOTES!$F$5:$F$1004,0)),"¿Lote?"))</f>
        <v/>
      </c>
      <c r="E353" s="11" t="str">
        <f aca="false">IF(C353="","",IFERROR(INDEX(LOTES!$C$5:$C$1004,MATCH(C353,LOTES!$F$5:$F$1004,0)),""))</f>
        <v/>
      </c>
      <c r="F353" s="24" t="str">
        <f aca="false">IF(C353="","",IFERROR(INDEX(LOTES!$B$5:$B$1004,MATCH(C353,LOTES!$F$5:$F$1004,0)),""))</f>
        <v/>
      </c>
      <c r="G353" s="15" t="str">
        <f aca="false">IF(OR(B353="",F353=""),"",B353-F353)</f>
        <v/>
      </c>
      <c r="H353" s="13"/>
      <c r="I353" s="13"/>
      <c r="J353" s="13"/>
      <c r="K353" s="25"/>
      <c r="L353" s="25"/>
      <c r="M353" s="25"/>
      <c r="N353" s="25"/>
      <c r="O353" s="26"/>
      <c r="P353" s="16" t="str">
        <f aca="false">IF(O353="","",IFERROR(1/(1/(IF(K353="",INDEX(CONFIG!$F$5:$F$14,MATCH(D353,CONFIG!$D$5:$D$14,0)),K353)*IF(M353="",INDEX(CONFIG!$H$5:$H$14,MATCH(D353,CONFIG!$D$5:$D$14,0)),M353))),""))</f>
        <v/>
      </c>
      <c r="Q353" s="16" t="str">
        <f aca="false">IF(OR(O353="",P353=""),"",O353/P353)</f>
        <v/>
      </c>
      <c r="R353" s="16" t="str">
        <f aca="false">IF(Q353="","",Q353*0.0980665)</f>
        <v/>
      </c>
      <c r="S353" s="16" t="str">
        <f aca="false">IF(Q353="","",IFERROR(Q353/(1/(1/INDEX(CONFIG!$I$5:$I$14,MATCH(D353,CONFIG!$D$5:$D$14,0)))),""))</f>
        <v/>
      </c>
      <c r="T353" s="13"/>
      <c r="U353" s="13"/>
      <c r="V353" s="13"/>
      <c r="W353" s="13"/>
      <c r="X353" s="22" t="str">
        <f aca="false">IF(Q353="","",Q353^2)</f>
        <v/>
      </c>
      <c r="Y353" s="22" t="str">
        <f aca="false">IF(AND(C353&lt;&gt;"",C353=CERTIFICADO!$E$4,OR(CERTIFICADO!$E$5="",B353=CERTIFICADO!$E$5)),MAX($Y$4:Y352)+1,"")</f>
        <v/>
      </c>
    </row>
    <row r="354" customFormat="false" ht="15" hidden="false" customHeight="false" outlineLevel="0" collapsed="false">
      <c r="A354" s="11" t="str">
        <f aca="false">IF(C354="","",ROW()-4)</f>
        <v/>
      </c>
      <c r="B354" s="12"/>
      <c r="C354" s="13"/>
      <c r="D354" s="23" t="str">
        <f aca="false">IF(C354="","",IFERROR(INDEX(LOTES!$D$5:$D$1004,MATCH(C354,LOTES!$F$5:$F$1004,0)),"¿Lote?"))</f>
        <v/>
      </c>
      <c r="E354" s="11" t="str">
        <f aca="false">IF(C354="","",IFERROR(INDEX(LOTES!$C$5:$C$1004,MATCH(C354,LOTES!$F$5:$F$1004,0)),""))</f>
        <v/>
      </c>
      <c r="F354" s="24" t="str">
        <f aca="false">IF(C354="","",IFERROR(INDEX(LOTES!$B$5:$B$1004,MATCH(C354,LOTES!$F$5:$F$1004,0)),""))</f>
        <v/>
      </c>
      <c r="G354" s="15" t="str">
        <f aca="false">IF(OR(B354="",F354=""),"",B354-F354)</f>
        <v/>
      </c>
      <c r="H354" s="13"/>
      <c r="I354" s="13"/>
      <c r="J354" s="13"/>
      <c r="K354" s="25"/>
      <c r="L354" s="25"/>
      <c r="M354" s="25"/>
      <c r="N354" s="25"/>
      <c r="O354" s="26"/>
      <c r="P354" s="16" t="str">
        <f aca="false">IF(O354="","",IFERROR(1/(1/(IF(K354="",INDEX(CONFIG!$F$5:$F$14,MATCH(D354,CONFIG!$D$5:$D$14,0)),K354)*IF(M354="",INDEX(CONFIG!$H$5:$H$14,MATCH(D354,CONFIG!$D$5:$D$14,0)),M354))),""))</f>
        <v/>
      </c>
      <c r="Q354" s="16" t="str">
        <f aca="false">IF(OR(O354="",P354=""),"",O354/P354)</f>
        <v/>
      </c>
      <c r="R354" s="16" t="str">
        <f aca="false">IF(Q354="","",Q354*0.0980665)</f>
        <v/>
      </c>
      <c r="S354" s="16" t="str">
        <f aca="false">IF(Q354="","",IFERROR(Q354/(1/(1/INDEX(CONFIG!$I$5:$I$14,MATCH(D354,CONFIG!$D$5:$D$14,0)))),""))</f>
        <v/>
      </c>
      <c r="T354" s="13"/>
      <c r="U354" s="13"/>
      <c r="V354" s="13"/>
      <c r="W354" s="13"/>
      <c r="X354" s="22" t="str">
        <f aca="false">IF(Q354="","",Q354^2)</f>
        <v/>
      </c>
      <c r="Y354" s="22" t="str">
        <f aca="false">IF(AND(C354&lt;&gt;"",C354=CERTIFICADO!$E$4,OR(CERTIFICADO!$E$5="",B354=CERTIFICADO!$E$5)),MAX($Y$4:Y353)+1,"")</f>
        <v/>
      </c>
    </row>
    <row r="355" customFormat="false" ht="15" hidden="false" customHeight="false" outlineLevel="0" collapsed="false">
      <c r="A355" s="11" t="str">
        <f aca="false">IF(C355="","",ROW()-4)</f>
        <v/>
      </c>
      <c r="B355" s="12"/>
      <c r="C355" s="13"/>
      <c r="D355" s="23" t="str">
        <f aca="false">IF(C355="","",IFERROR(INDEX(LOTES!$D$5:$D$1004,MATCH(C355,LOTES!$F$5:$F$1004,0)),"¿Lote?"))</f>
        <v/>
      </c>
      <c r="E355" s="11" t="str">
        <f aca="false">IF(C355="","",IFERROR(INDEX(LOTES!$C$5:$C$1004,MATCH(C355,LOTES!$F$5:$F$1004,0)),""))</f>
        <v/>
      </c>
      <c r="F355" s="24" t="str">
        <f aca="false">IF(C355="","",IFERROR(INDEX(LOTES!$B$5:$B$1004,MATCH(C355,LOTES!$F$5:$F$1004,0)),""))</f>
        <v/>
      </c>
      <c r="G355" s="15" t="str">
        <f aca="false">IF(OR(B355="",F355=""),"",B355-F355)</f>
        <v/>
      </c>
      <c r="H355" s="13"/>
      <c r="I355" s="13"/>
      <c r="J355" s="13"/>
      <c r="K355" s="25"/>
      <c r="L355" s="25"/>
      <c r="M355" s="25"/>
      <c r="N355" s="25"/>
      <c r="O355" s="26"/>
      <c r="P355" s="16" t="str">
        <f aca="false">IF(O355="","",IFERROR(1/(1/(IF(K355="",INDEX(CONFIG!$F$5:$F$14,MATCH(D355,CONFIG!$D$5:$D$14,0)),K355)*IF(M355="",INDEX(CONFIG!$H$5:$H$14,MATCH(D355,CONFIG!$D$5:$D$14,0)),M355))),""))</f>
        <v/>
      </c>
      <c r="Q355" s="16" t="str">
        <f aca="false">IF(OR(O355="",P355=""),"",O355/P355)</f>
        <v/>
      </c>
      <c r="R355" s="16" t="str">
        <f aca="false">IF(Q355="","",Q355*0.0980665)</f>
        <v/>
      </c>
      <c r="S355" s="16" t="str">
        <f aca="false">IF(Q355="","",IFERROR(Q355/(1/(1/INDEX(CONFIG!$I$5:$I$14,MATCH(D355,CONFIG!$D$5:$D$14,0)))),""))</f>
        <v/>
      </c>
      <c r="T355" s="13"/>
      <c r="U355" s="13"/>
      <c r="V355" s="13"/>
      <c r="W355" s="13"/>
      <c r="X355" s="22" t="str">
        <f aca="false">IF(Q355="","",Q355^2)</f>
        <v/>
      </c>
      <c r="Y355" s="22" t="str">
        <f aca="false">IF(AND(C355&lt;&gt;"",C355=CERTIFICADO!$E$4,OR(CERTIFICADO!$E$5="",B355=CERTIFICADO!$E$5)),MAX($Y$4:Y354)+1,"")</f>
        <v/>
      </c>
    </row>
    <row r="356" customFormat="false" ht="15" hidden="false" customHeight="false" outlineLevel="0" collapsed="false">
      <c r="A356" s="11" t="str">
        <f aca="false">IF(C356="","",ROW()-4)</f>
        <v/>
      </c>
      <c r="B356" s="12"/>
      <c r="C356" s="13"/>
      <c r="D356" s="23" t="str">
        <f aca="false">IF(C356="","",IFERROR(INDEX(LOTES!$D$5:$D$1004,MATCH(C356,LOTES!$F$5:$F$1004,0)),"¿Lote?"))</f>
        <v/>
      </c>
      <c r="E356" s="11" t="str">
        <f aca="false">IF(C356="","",IFERROR(INDEX(LOTES!$C$5:$C$1004,MATCH(C356,LOTES!$F$5:$F$1004,0)),""))</f>
        <v/>
      </c>
      <c r="F356" s="24" t="str">
        <f aca="false">IF(C356="","",IFERROR(INDEX(LOTES!$B$5:$B$1004,MATCH(C356,LOTES!$F$5:$F$1004,0)),""))</f>
        <v/>
      </c>
      <c r="G356" s="15" t="str">
        <f aca="false">IF(OR(B356="",F356=""),"",B356-F356)</f>
        <v/>
      </c>
      <c r="H356" s="13"/>
      <c r="I356" s="13"/>
      <c r="J356" s="13"/>
      <c r="K356" s="25"/>
      <c r="L356" s="25"/>
      <c r="M356" s="25"/>
      <c r="N356" s="25"/>
      <c r="O356" s="26"/>
      <c r="P356" s="16" t="str">
        <f aca="false">IF(O356="","",IFERROR(1/(1/(IF(K356="",INDEX(CONFIG!$F$5:$F$14,MATCH(D356,CONFIG!$D$5:$D$14,0)),K356)*IF(M356="",INDEX(CONFIG!$H$5:$H$14,MATCH(D356,CONFIG!$D$5:$D$14,0)),M356))),""))</f>
        <v/>
      </c>
      <c r="Q356" s="16" t="str">
        <f aca="false">IF(OR(O356="",P356=""),"",O356/P356)</f>
        <v/>
      </c>
      <c r="R356" s="16" t="str">
        <f aca="false">IF(Q356="","",Q356*0.0980665)</f>
        <v/>
      </c>
      <c r="S356" s="16" t="str">
        <f aca="false">IF(Q356="","",IFERROR(Q356/(1/(1/INDEX(CONFIG!$I$5:$I$14,MATCH(D356,CONFIG!$D$5:$D$14,0)))),""))</f>
        <v/>
      </c>
      <c r="T356" s="13"/>
      <c r="U356" s="13"/>
      <c r="V356" s="13"/>
      <c r="W356" s="13"/>
      <c r="X356" s="22" t="str">
        <f aca="false">IF(Q356="","",Q356^2)</f>
        <v/>
      </c>
      <c r="Y356" s="22" t="str">
        <f aca="false">IF(AND(C356&lt;&gt;"",C356=CERTIFICADO!$E$4,OR(CERTIFICADO!$E$5="",B356=CERTIFICADO!$E$5)),MAX($Y$4:Y355)+1,"")</f>
        <v/>
      </c>
    </row>
    <row r="357" customFormat="false" ht="15" hidden="false" customHeight="false" outlineLevel="0" collapsed="false">
      <c r="A357" s="11" t="str">
        <f aca="false">IF(C357="","",ROW()-4)</f>
        <v/>
      </c>
      <c r="B357" s="12"/>
      <c r="C357" s="13"/>
      <c r="D357" s="23" t="str">
        <f aca="false">IF(C357="","",IFERROR(INDEX(LOTES!$D$5:$D$1004,MATCH(C357,LOTES!$F$5:$F$1004,0)),"¿Lote?"))</f>
        <v/>
      </c>
      <c r="E357" s="11" t="str">
        <f aca="false">IF(C357="","",IFERROR(INDEX(LOTES!$C$5:$C$1004,MATCH(C357,LOTES!$F$5:$F$1004,0)),""))</f>
        <v/>
      </c>
      <c r="F357" s="24" t="str">
        <f aca="false">IF(C357="","",IFERROR(INDEX(LOTES!$B$5:$B$1004,MATCH(C357,LOTES!$F$5:$F$1004,0)),""))</f>
        <v/>
      </c>
      <c r="G357" s="15" t="str">
        <f aca="false">IF(OR(B357="",F357=""),"",B357-F357)</f>
        <v/>
      </c>
      <c r="H357" s="13"/>
      <c r="I357" s="13"/>
      <c r="J357" s="13"/>
      <c r="K357" s="25"/>
      <c r="L357" s="25"/>
      <c r="M357" s="25"/>
      <c r="N357" s="25"/>
      <c r="O357" s="26"/>
      <c r="P357" s="16" t="str">
        <f aca="false">IF(O357="","",IFERROR(1/(1/(IF(K357="",INDEX(CONFIG!$F$5:$F$14,MATCH(D357,CONFIG!$D$5:$D$14,0)),K357)*IF(M357="",INDEX(CONFIG!$H$5:$H$14,MATCH(D357,CONFIG!$D$5:$D$14,0)),M357))),""))</f>
        <v/>
      </c>
      <c r="Q357" s="16" t="str">
        <f aca="false">IF(OR(O357="",P357=""),"",O357/P357)</f>
        <v/>
      </c>
      <c r="R357" s="16" t="str">
        <f aca="false">IF(Q357="","",Q357*0.0980665)</f>
        <v/>
      </c>
      <c r="S357" s="16" t="str">
        <f aca="false">IF(Q357="","",IFERROR(Q357/(1/(1/INDEX(CONFIG!$I$5:$I$14,MATCH(D357,CONFIG!$D$5:$D$14,0)))),""))</f>
        <v/>
      </c>
      <c r="T357" s="13"/>
      <c r="U357" s="13"/>
      <c r="V357" s="13"/>
      <c r="W357" s="13"/>
      <c r="X357" s="22" t="str">
        <f aca="false">IF(Q357="","",Q357^2)</f>
        <v/>
      </c>
      <c r="Y357" s="22" t="str">
        <f aca="false">IF(AND(C357&lt;&gt;"",C357=CERTIFICADO!$E$4,OR(CERTIFICADO!$E$5="",B357=CERTIFICADO!$E$5)),MAX($Y$4:Y356)+1,"")</f>
        <v/>
      </c>
    </row>
    <row r="358" customFormat="false" ht="15" hidden="false" customHeight="false" outlineLevel="0" collapsed="false">
      <c r="A358" s="11" t="str">
        <f aca="false">IF(C358="","",ROW()-4)</f>
        <v/>
      </c>
      <c r="B358" s="12"/>
      <c r="C358" s="13"/>
      <c r="D358" s="23" t="str">
        <f aca="false">IF(C358="","",IFERROR(INDEX(LOTES!$D$5:$D$1004,MATCH(C358,LOTES!$F$5:$F$1004,0)),"¿Lote?"))</f>
        <v/>
      </c>
      <c r="E358" s="11" t="str">
        <f aca="false">IF(C358="","",IFERROR(INDEX(LOTES!$C$5:$C$1004,MATCH(C358,LOTES!$F$5:$F$1004,0)),""))</f>
        <v/>
      </c>
      <c r="F358" s="24" t="str">
        <f aca="false">IF(C358="","",IFERROR(INDEX(LOTES!$B$5:$B$1004,MATCH(C358,LOTES!$F$5:$F$1004,0)),""))</f>
        <v/>
      </c>
      <c r="G358" s="15" t="str">
        <f aca="false">IF(OR(B358="",F358=""),"",B358-F358)</f>
        <v/>
      </c>
      <c r="H358" s="13"/>
      <c r="I358" s="13"/>
      <c r="J358" s="13"/>
      <c r="K358" s="25"/>
      <c r="L358" s="25"/>
      <c r="M358" s="25"/>
      <c r="N358" s="25"/>
      <c r="O358" s="26"/>
      <c r="P358" s="16" t="str">
        <f aca="false">IF(O358="","",IFERROR(1/(1/(IF(K358="",INDEX(CONFIG!$F$5:$F$14,MATCH(D358,CONFIG!$D$5:$D$14,0)),K358)*IF(M358="",INDEX(CONFIG!$H$5:$H$14,MATCH(D358,CONFIG!$D$5:$D$14,0)),M358))),""))</f>
        <v/>
      </c>
      <c r="Q358" s="16" t="str">
        <f aca="false">IF(OR(O358="",P358=""),"",O358/P358)</f>
        <v/>
      </c>
      <c r="R358" s="16" t="str">
        <f aca="false">IF(Q358="","",Q358*0.0980665)</f>
        <v/>
      </c>
      <c r="S358" s="16" t="str">
        <f aca="false">IF(Q358="","",IFERROR(Q358/(1/(1/INDEX(CONFIG!$I$5:$I$14,MATCH(D358,CONFIG!$D$5:$D$14,0)))),""))</f>
        <v/>
      </c>
      <c r="T358" s="13"/>
      <c r="U358" s="13"/>
      <c r="V358" s="13"/>
      <c r="W358" s="13"/>
      <c r="X358" s="22" t="str">
        <f aca="false">IF(Q358="","",Q358^2)</f>
        <v/>
      </c>
      <c r="Y358" s="22" t="str">
        <f aca="false">IF(AND(C358&lt;&gt;"",C358=CERTIFICADO!$E$4,OR(CERTIFICADO!$E$5="",B358=CERTIFICADO!$E$5)),MAX($Y$4:Y357)+1,"")</f>
        <v/>
      </c>
    </row>
    <row r="359" customFormat="false" ht="15" hidden="false" customHeight="false" outlineLevel="0" collapsed="false">
      <c r="A359" s="11" t="str">
        <f aca="false">IF(C359="","",ROW()-4)</f>
        <v/>
      </c>
      <c r="B359" s="12"/>
      <c r="C359" s="13"/>
      <c r="D359" s="23" t="str">
        <f aca="false">IF(C359="","",IFERROR(INDEX(LOTES!$D$5:$D$1004,MATCH(C359,LOTES!$F$5:$F$1004,0)),"¿Lote?"))</f>
        <v/>
      </c>
      <c r="E359" s="11" t="str">
        <f aca="false">IF(C359="","",IFERROR(INDEX(LOTES!$C$5:$C$1004,MATCH(C359,LOTES!$F$5:$F$1004,0)),""))</f>
        <v/>
      </c>
      <c r="F359" s="24" t="str">
        <f aca="false">IF(C359="","",IFERROR(INDEX(LOTES!$B$5:$B$1004,MATCH(C359,LOTES!$F$5:$F$1004,0)),""))</f>
        <v/>
      </c>
      <c r="G359" s="15" t="str">
        <f aca="false">IF(OR(B359="",F359=""),"",B359-F359)</f>
        <v/>
      </c>
      <c r="H359" s="13"/>
      <c r="I359" s="13"/>
      <c r="J359" s="13"/>
      <c r="K359" s="25"/>
      <c r="L359" s="25"/>
      <c r="M359" s="25"/>
      <c r="N359" s="25"/>
      <c r="O359" s="26"/>
      <c r="P359" s="16" t="str">
        <f aca="false">IF(O359="","",IFERROR(1/(1/(IF(K359="",INDEX(CONFIG!$F$5:$F$14,MATCH(D359,CONFIG!$D$5:$D$14,0)),K359)*IF(M359="",INDEX(CONFIG!$H$5:$H$14,MATCH(D359,CONFIG!$D$5:$D$14,0)),M359))),""))</f>
        <v/>
      </c>
      <c r="Q359" s="16" t="str">
        <f aca="false">IF(OR(O359="",P359=""),"",O359/P359)</f>
        <v/>
      </c>
      <c r="R359" s="16" t="str">
        <f aca="false">IF(Q359="","",Q359*0.0980665)</f>
        <v/>
      </c>
      <c r="S359" s="16" t="str">
        <f aca="false">IF(Q359="","",IFERROR(Q359/(1/(1/INDEX(CONFIG!$I$5:$I$14,MATCH(D359,CONFIG!$D$5:$D$14,0)))),""))</f>
        <v/>
      </c>
      <c r="T359" s="13"/>
      <c r="U359" s="13"/>
      <c r="V359" s="13"/>
      <c r="W359" s="13"/>
      <c r="X359" s="22" t="str">
        <f aca="false">IF(Q359="","",Q359^2)</f>
        <v/>
      </c>
      <c r="Y359" s="22" t="str">
        <f aca="false">IF(AND(C359&lt;&gt;"",C359=CERTIFICADO!$E$4,OR(CERTIFICADO!$E$5="",B359=CERTIFICADO!$E$5)),MAX($Y$4:Y358)+1,"")</f>
        <v/>
      </c>
    </row>
    <row r="360" customFormat="false" ht="15" hidden="false" customHeight="false" outlineLevel="0" collapsed="false">
      <c r="A360" s="11" t="str">
        <f aca="false">IF(C360="","",ROW()-4)</f>
        <v/>
      </c>
      <c r="B360" s="12"/>
      <c r="C360" s="13"/>
      <c r="D360" s="23" t="str">
        <f aca="false">IF(C360="","",IFERROR(INDEX(LOTES!$D$5:$D$1004,MATCH(C360,LOTES!$F$5:$F$1004,0)),"¿Lote?"))</f>
        <v/>
      </c>
      <c r="E360" s="11" t="str">
        <f aca="false">IF(C360="","",IFERROR(INDEX(LOTES!$C$5:$C$1004,MATCH(C360,LOTES!$F$5:$F$1004,0)),""))</f>
        <v/>
      </c>
      <c r="F360" s="24" t="str">
        <f aca="false">IF(C360="","",IFERROR(INDEX(LOTES!$B$5:$B$1004,MATCH(C360,LOTES!$F$5:$F$1004,0)),""))</f>
        <v/>
      </c>
      <c r="G360" s="15" t="str">
        <f aca="false">IF(OR(B360="",F360=""),"",B360-F360)</f>
        <v/>
      </c>
      <c r="H360" s="13"/>
      <c r="I360" s="13"/>
      <c r="J360" s="13"/>
      <c r="K360" s="25"/>
      <c r="L360" s="25"/>
      <c r="M360" s="25"/>
      <c r="N360" s="25"/>
      <c r="O360" s="26"/>
      <c r="P360" s="16" t="str">
        <f aca="false">IF(O360="","",IFERROR(1/(1/(IF(K360="",INDEX(CONFIG!$F$5:$F$14,MATCH(D360,CONFIG!$D$5:$D$14,0)),K360)*IF(M360="",INDEX(CONFIG!$H$5:$H$14,MATCH(D360,CONFIG!$D$5:$D$14,0)),M360))),""))</f>
        <v/>
      </c>
      <c r="Q360" s="16" t="str">
        <f aca="false">IF(OR(O360="",P360=""),"",O360/P360)</f>
        <v/>
      </c>
      <c r="R360" s="16" t="str">
        <f aca="false">IF(Q360="","",Q360*0.0980665)</f>
        <v/>
      </c>
      <c r="S360" s="16" t="str">
        <f aca="false">IF(Q360="","",IFERROR(Q360/(1/(1/INDEX(CONFIG!$I$5:$I$14,MATCH(D360,CONFIG!$D$5:$D$14,0)))),""))</f>
        <v/>
      </c>
      <c r="T360" s="13"/>
      <c r="U360" s="13"/>
      <c r="V360" s="13"/>
      <c r="W360" s="13"/>
      <c r="X360" s="22" t="str">
        <f aca="false">IF(Q360="","",Q360^2)</f>
        <v/>
      </c>
      <c r="Y360" s="22" t="str">
        <f aca="false">IF(AND(C360&lt;&gt;"",C360=CERTIFICADO!$E$4,OR(CERTIFICADO!$E$5="",B360=CERTIFICADO!$E$5)),MAX($Y$4:Y359)+1,"")</f>
        <v/>
      </c>
    </row>
    <row r="361" customFormat="false" ht="15" hidden="false" customHeight="false" outlineLevel="0" collapsed="false">
      <c r="A361" s="11" t="str">
        <f aca="false">IF(C361="","",ROW()-4)</f>
        <v/>
      </c>
      <c r="B361" s="12"/>
      <c r="C361" s="13"/>
      <c r="D361" s="23" t="str">
        <f aca="false">IF(C361="","",IFERROR(INDEX(LOTES!$D$5:$D$1004,MATCH(C361,LOTES!$F$5:$F$1004,0)),"¿Lote?"))</f>
        <v/>
      </c>
      <c r="E361" s="11" t="str">
        <f aca="false">IF(C361="","",IFERROR(INDEX(LOTES!$C$5:$C$1004,MATCH(C361,LOTES!$F$5:$F$1004,0)),""))</f>
        <v/>
      </c>
      <c r="F361" s="24" t="str">
        <f aca="false">IF(C361="","",IFERROR(INDEX(LOTES!$B$5:$B$1004,MATCH(C361,LOTES!$F$5:$F$1004,0)),""))</f>
        <v/>
      </c>
      <c r="G361" s="15" t="str">
        <f aca="false">IF(OR(B361="",F361=""),"",B361-F361)</f>
        <v/>
      </c>
      <c r="H361" s="13"/>
      <c r="I361" s="13"/>
      <c r="J361" s="13"/>
      <c r="K361" s="25"/>
      <c r="L361" s="25"/>
      <c r="M361" s="25"/>
      <c r="N361" s="25"/>
      <c r="O361" s="26"/>
      <c r="P361" s="16" t="str">
        <f aca="false">IF(O361="","",IFERROR(1/(1/(IF(K361="",INDEX(CONFIG!$F$5:$F$14,MATCH(D361,CONFIG!$D$5:$D$14,0)),K361)*IF(M361="",INDEX(CONFIG!$H$5:$H$14,MATCH(D361,CONFIG!$D$5:$D$14,0)),M361))),""))</f>
        <v/>
      </c>
      <c r="Q361" s="16" t="str">
        <f aca="false">IF(OR(O361="",P361=""),"",O361/P361)</f>
        <v/>
      </c>
      <c r="R361" s="16" t="str">
        <f aca="false">IF(Q361="","",Q361*0.0980665)</f>
        <v/>
      </c>
      <c r="S361" s="16" t="str">
        <f aca="false">IF(Q361="","",IFERROR(Q361/(1/(1/INDEX(CONFIG!$I$5:$I$14,MATCH(D361,CONFIG!$D$5:$D$14,0)))),""))</f>
        <v/>
      </c>
      <c r="T361" s="13"/>
      <c r="U361" s="13"/>
      <c r="V361" s="13"/>
      <c r="W361" s="13"/>
      <c r="X361" s="22" t="str">
        <f aca="false">IF(Q361="","",Q361^2)</f>
        <v/>
      </c>
      <c r="Y361" s="22" t="str">
        <f aca="false">IF(AND(C361&lt;&gt;"",C361=CERTIFICADO!$E$4,OR(CERTIFICADO!$E$5="",B361=CERTIFICADO!$E$5)),MAX($Y$4:Y360)+1,"")</f>
        <v/>
      </c>
    </row>
    <row r="362" customFormat="false" ht="15" hidden="false" customHeight="false" outlineLevel="0" collapsed="false">
      <c r="A362" s="11" t="str">
        <f aca="false">IF(C362="","",ROW()-4)</f>
        <v/>
      </c>
      <c r="B362" s="12"/>
      <c r="C362" s="13"/>
      <c r="D362" s="23" t="str">
        <f aca="false">IF(C362="","",IFERROR(INDEX(LOTES!$D$5:$D$1004,MATCH(C362,LOTES!$F$5:$F$1004,0)),"¿Lote?"))</f>
        <v/>
      </c>
      <c r="E362" s="11" t="str">
        <f aca="false">IF(C362="","",IFERROR(INDEX(LOTES!$C$5:$C$1004,MATCH(C362,LOTES!$F$5:$F$1004,0)),""))</f>
        <v/>
      </c>
      <c r="F362" s="24" t="str">
        <f aca="false">IF(C362="","",IFERROR(INDEX(LOTES!$B$5:$B$1004,MATCH(C362,LOTES!$F$5:$F$1004,0)),""))</f>
        <v/>
      </c>
      <c r="G362" s="15" t="str">
        <f aca="false">IF(OR(B362="",F362=""),"",B362-F362)</f>
        <v/>
      </c>
      <c r="H362" s="13"/>
      <c r="I362" s="13"/>
      <c r="J362" s="13"/>
      <c r="K362" s="25"/>
      <c r="L362" s="25"/>
      <c r="M362" s="25"/>
      <c r="N362" s="25"/>
      <c r="O362" s="26"/>
      <c r="P362" s="16" t="str">
        <f aca="false">IF(O362="","",IFERROR(1/(1/(IF(K362="",INDEX(CONFIG!$F$5:$F$14,MATCH(D362,CONFIG!$D$5:$D$14,0)),K362)*IF(M362="",INDEX(CONFIG!$H$5:$H$14,MATCH(D362,CONFIG!$D$5:$D$14,0)),M362))),""))</f>
        <v/>
      </c>
      <c r="Q362" s="16" t="str">
        <f aca="false">IF(OR(O362="",P362=""),"",O362/P362)</f>
        <v/>
      </c>
      <c r="R362" s="16" t="str">
        <f aca="false">IF(Q362="","",Q362*0.0980665)</f>
        <v/>
      </c>
      <c r="S362" s="16" t="str">
        <f aca="false">IF(Q362="","",IFERROR(Q362/(1/(1/INDEX(CONFIG!$I$5:$I$14,MATCH(D362,CONFIG!$D$5:$D$14,0)))),""))</f>
        <v/>
      </c>
      <c r="T362" s="13"/>
      <c r="U362" s="13"/>
      <c r="V362" s="13"/>
      <c r="W362" s="13"/>
      <c r="X362" s="22" t="str">
        <f aca="false">IF(Q362="","",Q362^2)</f>
        <v/>
      </c>
      <c r="Y362" s="22" t="str">
        <f aca="false">IF(AND(C362&lt;&gt;"",C362=CERTIFICADO!$E$4,OR(CERTIFICADO!$E$5="",B362=CERTIFICADO!$E$5)),MAX($Y$4:Y361)+1,"")</f>
        <v/>
      </c>
    </row>
    <row r="363" customFormat="false" ht="15" hidden="false" customHeight="false" outlineLevel="0" collapsed="false">
      <c r="A363" s="11" t="str">
        <f aca="false">IF(C363="","",ROW()-4)</f>
        <v/>
      </c>
      <c r="B363" s="12"/>
      <c r="C363" s="13"/>
      <c r="D363" s="23" t="str">
        <f aca="false">IF(C363="","",IFERROR(INDEX(LOTES!$D$5:$D$1004,MATCH(C363,LOTES!$F$5:$F$1004,0)),"¿Lote?"))</f>
        <v/>
      </c>
      <c r="E363" s="11" t="str">
        <f aca="false">IF(C363="","",IFERROR(INDEX(LOTES!$C$5:$C$1004,MATCH(C363,LOTES!$F$5:$F$1004,0)),""))</f>
        <v/>
      </c>
      <c r="F363" s="24" t="str">
        <f aca="false">IF(C363="","",IFERROR(INDEX(LOTES!$B$5:$B$1004,MATCH(C363,LOTES!$F$5:$F$1004,0)),""))</f>
        <v/>
      </c>
      <c r="G363" s="15" t="str">
        <f aca="false">IF(OR(B363="",F363=""),"",B363-F363)</f>
        <v/>
      </c>
      <c r="H363" s="13"/>
      <c r="I363" s="13"/>
      <c r="J363" s="13"/>
      <c r="K363" s="25"/>
      <c r="L363" s="25"/>
      <c r="M363" s="25"/>
      <c r="N363" s="25"/>
      <c r="O363" s="26"/>
      <c r="P363" s="16" t="str">
        <f aca="false">IF(O363="","",IFERROR(1/(1/(IF(K363="",INDEX(CONFIG!$F$5:$F$14,MATCH(D363,CONFIG!$D$5:$D$14,0)),K363)*IF(M363="",INDEX(CONFIG!$H$5:$H$14,MATCH(D363,CONFIG!$D$5:$D$14,0)),M363))),""))</f>
        <v/>
      </c>
      <c r="Q363" s="16" t="str">
        <f aca="false">IF(OR(O363="",P363=""),"",O363/P363)</f>
        <v/>
      </c>
      <c r="R363" s="16" t="str">
        <f aca="false">IF(Q363="","",Q363*0.0980665)</f>
        <v/>
      </c>
      <c r="S363" s="16" t="str">
        <f aca="false">IF(Q363="","",IFERROR(Q363/(1/(1/INDEX(CONFIG!$I$5:$I$14,MATCH(D363,CONFIG!$D$5:$D$14,0)))),""))</f>
        <v/>
      </c>
      <c r="T363" s="13"/>
      <c r="U363" s="13"/>
      <c r="V363" s="13"/>
      <c r="W363" s="13"/>
      <c r="X363" s="22" t="str">
        <f aca="false">IF(Q363="","",Q363^2)</f>
        <v/>
      </c>
      <c r="Y363" s="22" t="str">
        <f aca="false">IF(AND(C363&lt;&gt;"",C363=CERTIFICADO!$E$4,OR(CERTIFICADO!$E$5="",B363=CERTIFICADO!$E$5)),MAX($Y$4:Y362)+1,"")</f>
        <v/>
      </c>
    </row>
    <row r="364" customFormat="false" ht="15" hidden="false" customHeight="false" outlineLevel="0" collapsed="false">
      <c r="A364" s="11" t="str">
        <f aca="false">IF(C364="","",ROW()-4)</f>
        <v/>
      </c>
      <c r="B364" s="12"/>
      <c r="C364" s="13"/>
      <c r="D364" s="23" t="str">
        <f aca="false">IF(C364="","",IFERROR(INDEX(LOTES!$D$5:$D$1004,MATCH(C364,LOTES!$F$5:$F$1004,0)),"¿Lote?"))</f>
        <v/>
      </c>
      <c r="E364" s="11" t="str">
        <f aca="false">IF(C364="","",IFERROR(INDEX(LOTES!$C$5:$C$1004,MATCH(C364,LOTES!$F$5:$F$1004,0)),""))</f>
        <v/>
      </c>
      <c r="F364" s="24" t="str">
        <f aca="false">IF(C364="","",IFERROR(INDEX(LOTES!$B$5:$B$1004,MATCH(C364,LOTES!$F$5:$F$1004,0)),""))</f>
        <v/>
      </c>
      <c r="G364" s="15" t="str">
        <f aca="false">IF(OR(B364="",F364=""),"",B364-F364)</f>
        <v/>
      </c>
      <c r="H364" s="13"/>
      <c r="I364" s="13"/>
      <c r="J364" s="13"/>
      <c r="K364" s="25"/>
      <c r="L364" s="25"/>
      <c r="M364" s="25"/>
      <c r="N364" s="25"/>
      <c r="O364" s="26"/>
      <c r="P364" s="16" t="str">
        <f aca="false">IF(O364="","",IFERROR(1/(1/(IF(K364="",INDEX(CONFIG!$F$5:$F$14,MATCH(D364,CONFIG!$D$5:$D$14,0)),K364)*IF(M364="",INDEX(CONFIG!$H$5:$H$14,MATCH(D364,CONFIG!$D$5:$D$14,0)),M364))),""))</f>
        <v/>
      </c>
      <c r="Q364" s="16" t="str">
        <f aca="false">IF(OR(O364="",P364=""),"",O364/P364)</f>
        <v/>
      </c>
      <c r="R364" s="16" t="str">
        <f aca="false">IF(Q364="","",Q364*0.0980665)</f>
        <v/>
      </c>
      <c r="S364" s="16" t="str">
        <f aca="false">IF(Q364="","",IFERROR(Q364/(1/(1/INDEX(CONFIG!$I$5:$I$14,MATCH(D364,CONFIG!$D$5:$D$14,0)))),""))</f>
        <v/>
      </c>
      <c r="T364" s="13"/>
      <c r="U364" s="13"/>
      <c r="V364" s="13"/>
      <c r="W364" s="13"/>
      <c r="X364" s="22" t="str">
        <f aca="false">IF(Q364="","",Q364^2)</f>
        <v/>
      </c>
      <c r="Y364" s="22" t="str">
        <f aca="false">IF(AND(C364&lt;&gt;"",C364=CERTIFICADO!$E$4,OR(CERTIFICADO!$E$5="",B364=CERTIFICADO!$E$5)),MAX($Y$4:Y363)+1,"")</f>
        <v/>
      </c>
    </row>
    <row r="365" customFormat="false" ht="15" hidden="false" customHeight="false" outlineLevel="0" collapsed="false">
      <c r="A365" s="11" t="str">
        <f aca="false">IF(C365="","",ROW()-4)</f>
        <v/>
      </c>
      <c r="B365" s="12"/>
      <c r="C365" s="13"/>
      <c r="D365" s="23" t="str">
        <f aca="false">IF(C365="","",IFERROR(INDEX(LOTES!$D$5:$D$1004,MATCH(C365,LOTES!$F$5:$F$1004,0)),"¿Lote?"))</f>
        <v/>
      </c>
      <c r="E365" s="11" t="str">
        <f aca="false">IF(C365="","",IFERROR(INDEX(LOTES!$C$5:$C$1004,MATCH(C365,LOTES!$F$5:$F$1004,0)),""))</f>
        <v/>
      </c>
      <c r="F365" s="24" t="str">
        <f aca="false">IF(C365="","",IFERROR(INDEX(LOTES!$B$5:$B$1004,MATCH(C365,LOTES!$F$5:$F$1004,0)),""))</f>
        <v/>
      </c>
      <c r="G365" s="15" t="str">
        <f aca="false">IF(OR(B365="",F365=""),"",B365-F365)</f>
        <v/>
      </c>
      <c r="H365" s="13"/>
      <c r="I365" s="13"/>
      <c r="J365" s="13"/>
      <c r="K365" s="25"/>
      <c r="L365" s="25"/>
      <c r="M365" s="25"/>
      <c r="N365" s="25"/>
      <c r="O365" s="26"/>
      <c r="P365" s="16" t="str">
        <f aca="false">IF(O365="","",IFERROR(1/(1/(IF(K365="",INDEX(CONFIG!$F$5:$F$14,MATCH(D365,CONFIG!$D$5:$D$14,0)),K365)*IF(M365="",INDEX(CONFIG!$H$5:$H$14,MATCH(D365,CONFIG!$D$5:$D$14,0)),M365))),""))</f>
        <v/>
      </c>
      <c r="Q365" s="16" t="str">
        <f aca="false">IF(OR(O365="",P365=""),"",O365/P365)</f>
        <v/>
      </c>
      <c r="R365" s="16" t="str">
        <f aca="false">IF(Q365="","",Q365*0.0980665)</f>
        <v/>
      </c>
      <c r="S365" s="16" t="str">
        <f aca="false">IF(Q365="","",IFERROR(Q365/(1/(1/INDEX(CONFIG!$I$5:$I$14,MATCH(D365,CONFIG!$D$5:$D$14,0)))),""))</f>
        <v/>
      </c>
      <c r="T365" s="13"/>
      <c r="U365" s="13"/>
      <c r="V365" s="13"/>
      <c r="W365" s="13"/>
      <c r="X365" s="22" t="str">
        <f aca="false">IF(Q365="","",Q365^2)</f>
        <v/>
      </c>
      <c r="Y365" s="22" t="str">
        <f aca="false">IF(AND(C365&lt;&gt;"",C365=CERTIFICADO!$E$4,OR(CERTIFICADO!$E$5="",B365=CERTIFICADO!$E$5)),MAX($Y$4:Y364)+1,"")</f>
        <v/>
      </c>
    </row>
    <row r="366" customFormat="false" ht="15" hidden="false" customHeight="false" outlineLevel="0" collapsed="false">
      <c r="A366" s="11" t="str">
        <f aca="false">IF(C366="","",ROW()-4)</f>
        <v/>
      </c>
      <c r="B366" s="12"/>
      <c r="C366" s="13"/>
      <c r="D366" s="23" t="str">
        <f aca="false">IF(C366="","",IFERROR(INDEX(LOTES!$D$5:$D$1004,MATCH(C366,LOTES!$F$5:$F$1004,0)),"¿Lote?"))</f>
        <v/>
      </c>
      <c r="E366" s="11" t="str">
        <f aca="false">IF(C366="","",IFERROR(INDEX(LOTES!$C$5:$C$1004,MATCH(C366,LOTES!$F$5:$F$1004,0)),""))</f>
        <v/>
      </c>
      <c r="F366" s="24" t="str">
        <f aca="false">IF(C366="","",IFERROR(INDEX(LOTES!$B$5:$B$1004,MATCH(C366,LOTES!$F$5:$F$1004,0)),""))</f>
        <v/>
      </c>
      <c r="G366" s="15" t="str">
        <f aca="false">IF(OR(B366="",F366=""),"",B366-F366)</f>
        <v/>
      </c>
      <c r="H366" s="13"/>
      <c r="I366" s="13"/>
      <c r="J366" s="13"/>
      <c r="K366" s="25"/>
      <c r="L366" s="25"/>
      <c r="M366" s="25"/>
      <c r="N366" s="25"/>
      <c r="O366" s="26"/>
      <c r="P366" s="16" t="str">
        <f aca="false">IF(O366="","",IFERROR(1/(1/(IF(K366="",INDEX(CONFIG!$F$5:$F$14,MATCH(D366,CONFIG!$D$5:$D$14,0)),K366)*IF(M366="",INDEX(CONFIG!$H$5:$H$14,MATCH(D366,CONFIG!$D$5:$D$14,0)),M366))),""))</f>
        <v/>
      </c>
      <c r="Q366" s="16" t="str">
        <f aca="false">IF(OR(O366="",P366=""),"",O366/P366)</f>
        <v/>
      </c>
      <c r="R366" s="16" t="str">
        <f aca="false">IF(Q366="","",Q366*0.0980665)</f>
        <v/>
      </c>
      <c r="S366" s="16" t="str">
        <f aca="false">IF(Q366="","",IFERROR(Q366/(1/(1/INDEX(CONFIG!$I$5:$I$14,MATCH(D366,CONFIG!$D$5:$D$14,0)))),""))</f>
        <v/>
      </c>
      <c r="T366" s="13"/>
      <c r="U366" s="13"/>
      <c r="V366" s="13"/>
      <c r="W366" s="13"/>
      <c r="X366" s="22" t="str">
        <f aca="false">IF(Q366="","",Q366^2)</f>
        <v/>
      </c>
      <c r="Y366" s="22" t="str">
        <f aca="false">IF(AND(C366&lt;&gt;"",C366=CERTIFICADO!$E$4,OR(CERTIFICADO!$E$5="",B366=CERTIFICADO!$E$5)),MAX($Y$4:Y365)+1,"")</f>
        <v/>
      </c>
    </row>
    <row r="367" customFormat="false" ht="15" hidden="false" customHeight="false" outlineLevel="0" collapsed="false">
      <c r="A367" s="11" t="str">
        <f aca="false">IF(C367="","",ROW()-4)</f>
        <v/>
      </c>
      <c r="B367" s="12"/>
      <c r="C367" s="13"/>
      <c r="D367" s="23" t="str">
        <f aca="false">IF(C367="","",IFERROR(INDEX(LOTES!$D$5:$D$1004,MATCH(C367,LOTES!$F$5:$F$1004,0)),"¿Lote?"))</f>
        <v/>
      </c>
      <c r="E367" s="11" t="str">
        <f aca="false">IF(C367="","",IFERROR(INDEX(LOTES!$C$5:$C$1004,MATCH(C367,LOTES!$F$5:$F$1004,0)),""))</f>
        <v/>
      </c>
      <c r="F367" s="24" t="str">
        <f aca="false">IF(C367="","",IFERROR(INDEX(LOTES!$B$5:$B$1004,MATCH(C367,LOTES!$F$5:$F$1004,0)),""))</f>
        <v/>
      </c>
      <c r="G367" s="15" t="str">
        <f aca="false">IF(OR(B367="",F367=""),"",B367-F367)</f>
        <v/>
      </c>
      <c r="H367" s="13"/>
      <c r="I367" s="13"/>
      <c r="J367" s="13"/>
      <c r="K367" s="25"/>
      <c r="L367" s="25"/>
      <c r="M367" s="25"/>
      <c r="N367" s="25"/>
      <c r="O367" s="26"/>
      <c r="P367" s="16" t="str">
        <f aca="false">IF(O367="","",IFERROR(1/(1/(IF(K367="",INDEX(CONFIG!$F$5:$F$14,MATCH(D367,CONFIG!$D$5:$D$14,0)),K367)*IF(M367="",INDEX(CONFIG!$H$5:$H$14,MATCH(D367,CONFIG!$D$5:$D$14,0)),M367))),""))</f>
        <v/>
      </c>
      <c r="Q367" s="16" t="str">
        <f aca="false">IF(OR(O367="",P367=""),"",O367/P367)</f>
        <v/>
      </c>
      <c r="R367" s="16" t="str">
        <f aca="false">IF(Q367="","",Q367*0.0980665)</f>
        <v/>
      </c>
      <c r="S367" s="16" t="str">
        <f aca="false">IF(Q367="","",IFERROR(Q367/(1/(1/INDEX(CONFIG!$I$5:$I$14,MATCH(D367,CONFIG!$D$5:$D$14,0)))),""))</f>
        <v/>
      </c>
      <c r="T367" s="13"/>
      <c r="U367" s="13"/>
      <c r="V367" s="13"/>
      <c r="W367" s="13"/>
      <c r="X367" s="22" t="str">
        <f aca="false">IF(Q367="","",Q367^2)</f>
        <v/>
      </c>
      <c r="Y367" s="22" t="str">
        <f aca="false">IF(AND(C367&lt;&gt;"",C367=CERTIFICADO!$E$4,OR(CERTIFICADO!$E$5="",B367=CERTIFICADO!$E$5)),MAX($Y$4:Y366)+1,"")</f>
        <v/>
      </c>
    </row>
    <row r="368" customFormat="false" ht="15" hidden="false" customHeight="false" outlineLevel="0" collapsed="false">
      <c r="A368" s="11" t="str">
        <f aca="false">IF(C368="","",ROW()-4)</f>
        <v/>
      </c>
      <c r="B368" s="12"/>
      <c r="C368" s="13"/>
      <c r="D368" s="23" t="str">
        <f aca="false">IF(C368="","",IFERROR(INDEX(LOTES!$D$5:$D$1004,MATCH(C368,LOTES!$F$5:$F$1004,0)),"¿Lote?"))</f>
        <v/>
      </c>
      <c r="E368" s="11" t="str">
        <f aca="false">IF(C368="","",IFERROR(INDEX(LOTES!$C$5:$C$1004,MATCH(C368,LOTES!$F$5:$F$1004,0)),""))</f>
        <v/>
      </c>
      <c r="F368" s="24" t="str">
        <f aca="false">IF(C368="","",IFERROR(INDEX(LOTES!$B$5:$B$1004,MATCH(C368,LOTES!$F$5:$F$1004,0)),""))</f>
        <v/>
      </c>
      <c r="G368" s="15" t="str">
        <f aca="false">IF(OR(B368="",F368=""),"",B368-F368)</f>
        <v/>
      </c>
      <c r="H368" s="13"/>
      <c r="I368" s="13"/>
      <c r="J368" s="13"/>
      <c r="K368" s="25"/>
      <c r="L368" s="25"/>
      <c r="M368" s="25"/>
      <c r="N368" s="25"/>
      <c r="O368" s="26"/>
      <c r="P368" s="16" t="str">
        <f aca="false">IF(O368="","",IFERROR(1/(1/(IF(K368="",INDEX(CONFIG!$F$5:$F$14,MATCH(D368,CONFIG!$D$5:$D$14,0)),K368)*IF(M368="",INDEX(CONFIG!$H$5:$H$14,MATCH(D368,CONFIG!$D$5:$D$14,0)),M368))),""))</f>
        <v/>
      </c>
      <c r="Q368" s="16" t="str">
        <f aca="false">IF(OR(O368="",P368=""),"",O368/P368)</f>
        <v/>
      </c>
      <c r="R368" s="16" t="str">
        <f aca="false">IF(Q368="","",Q368*0.0980665)</f>
        <v/>
      </c>
      <c r="S368" s="16" t="str">
        <f aca="false">IF(Q368="","",IFERROR(Q368/(1/(1/INDEX(CONFIG!$I$5:$I$14,MATCH(D368,CONFIG!$D$5:$D$14,0)))),""))</f>
        <v/>
      </c>
      <c r="T368" s="13"/>
      <c r="U368" s="13"/>
      <c r="V368" s="13"/>
      <c r="W368" s="13"/>
      <c r="X368" s="22" t="str">
        <f aca="false">IF(Q368="","",Q368^2)</f>
        <v/>
      </c>
      <c r="Y368" s="22" t="str">
        <f aca="false">IF(AND(C368&lt;&gt;"",C368=CERTIFICADO!$E$4,OR(CERTIFICADO!$E$5="",B368=CERTIFICADO!$E$5)),MAX($Y$4:Y367)+1,"")</f>
        <v/>
      </c>
    </row>
    <row r="369" customFormat="false" ht="15" hidden="false" customHeight="false" outlineLevel="0" collapsed="false">
      <c r="A369" s="11" t="str">
        <f aca="false">IF(C369="","",ROW()-4)</f>
        <v/>
      </c>
      <c r="B369" s="12"/>
      <c r="C369" s="13"/>
      <c r="D369" s="23" t="str">
        <f aca="false">IF(C369="","",IFERROR(INDEX(LOTES!$D$5:$D$1004,MATCH(C369,LOTES!$F$5:$F$1004,0)),"¿Lote?"))</f>
        <v/>
      </c>
      <c r="E369" s="11" t="str">
        <f aca="false">IF(C369="","",IFERROR(INDEX(LOTES!$C$5:$C$1004,MATCH(C369,LOTES!$F$5:$F$1004,0)),""))</f>
        <v/>
      </c>
      <c r="F369" s="24" t="str">
        <f aca="false">IF(C369="","",IFERROR(INDEX(LOTES!$B$5:$B$1004,MATCH(C369,LOTES!$F$5:$F$1004,0)),""))</f>
        <v/>
      </c>
      <c r="G369" s="15" t="str">
        <f aca="false">IF(OR(B369="",F369=""),"",B369-F369)</f>
        <v/>
      </c>
      <c r="H369" s="13"/>
      <c r="I369" s="13"/>
      <c r="J369" s="13"/>
      <c r="K369" s="25"/>
      <c r="L369" s="25"/>
      <c r="M369" s="25"/>
      <c r="N369" s="25"/>
      <c r="O369" s="26"/>
      <c r="P369" s="16" t="str">
        <f aca="false">IF(O369="","",IFERROR(1/(1/(IF(K369="",INDEX(CONFIG!$F$5:$F$14,MATCH(D369,CONFIG!$D$5:$D$14,0)),K369)*IF(M369="",INDEX(CONFIG!$H$5:$H$14,MATCH(D369,CONFIG!$D$5:$D$14,0)),M369))),""))</f>
        <v/>
      </c>
      <c r="Q369" s="16" t="str">
        <f aca="false">IF(OR(O369="",P369=""),"",O369/P369)</f>
        <v/>
      </c>
      <c r="R369" s="16" t="str">
        <f aca="false">IF(Q369="","",Q369*0.0980665)</f>
        <v/>
      </c>
      <c r="S369" s="16" t="str">
        <f aca="false">IF(Q369="","",IFERROR(Q369/(1/(1/INDEX(CONFIG!$I$5:$I$14,MATCH(D369,CONFIG!$D$5:$D$14,0)))),""))</f>
        <v/>
      </c>
      <c r="T369" s="13"/>
      <c r="U369" s="13"/>
      <c r="V369" s="13"/>
      <c r="W369" s="13"/>
      <c r="X369" s="22" t="str">
        <f aca="false">IF(Q369="","",Q369^2)</f>
        <v/>
      </c>
      <c r="Y369" s="22" t="str">
        <f aca="false">IF(AND(C369&lt;&gt;"",C369=CERTIFICADO!$E$4,OR(CERTIFICADO!$E$5="",B369=CERTIFICADO!$E$5)),MAX($Y$4:Y368)+1,"")</f>
        <v/>
      </c>
    </row>
    <row r="370" customFormat="false" ht="15" hidden="false" customHeight="false" outlineLevel="0" collapsed="false">
      <c r="A370" s="11" t="str">
        <f aca="false">IF(C370="","",ROW()-4)</f>
        <v/>
      </c>
      <c r="B370" s="12"/>
      <c r="C370" s="13"/>
      <c r="D370" s="23" t="str">
        <f aca="false">IF(C370="","",IFERROR(INDEX(LOTES!$D$5:$D$1004,MATCH(C370,LOTES!$F$5:$F$1004,0)),"¿Lote?"))</f>
        <v/>
      </c>
      <c r="E370" s="11" t="str">
        <f aca="false">IF(C370="","",IFERROR(INDEX(LOTES!$C$5:$C$1004,MATCH(C370,LOTES!$F$5:$F$1004,0)),""))</f>
        <v/>
      </c>
      <c r="F370" s="24" t="str">
        <f aca="false">IF(C370="","",IFERROR(INDEX(LOTES!$B$5:$B$1004,MATCH(C370,LOTES!$F$5:$F$1004,0)),""))</f>
        <v/>
      </c>
      <c r="G370" s="15" t="str">
        <f aca="false">IF(OR(B370="",F370=""),"",B370-F370)</f>
        <v/>
      </c>
      <c r="H370" s="13"/>
      <c r="I370" s="13"/>
      <c r="J370" s="13"/>
      <c r="K370" s="25"/>
      <c r="L370" s="25"/>
      <c r="M370" s="25"/>
      <c r="N370" s="25"/>
      <c r="O370" s="26"/>
      <c r="P370" s="16" t="str">
        <f aca="false">IF(O370="","",IFERROR(1/(1/(IF(K370="",INDEX(CONFIG!$F$5:$F$14,MATCH(D370,CONFIG!$D$5:$D$14,0)),K370)*IF(M370="",INDEX(CONFIG!$H$5:$H$14,MATCH(D370,CONFIG!$D$5:$D$14,0)),M370))),""))</f>
        <v/>
      </c>
      <c r="Q370" s="16" t="str">
        <f aca="false">IF(OR(O370="",P370=""),"",O370/P370)</f>
        <v/>
      </c>
      <c r="R370" s="16" t="str">
        <f aca="false">IF(Q370="","",Q370*0.0980665)</f>
        <v/>
      </c>
      <c r="S370" s="16" t="str">
        <f aca="false">IF(Q370="","",IFERROR(Q370/(1/(1/INDEX(CONFIG!$I$5:$I$14,MATCH(D370,CONFIG!$D$5:$D$14,0)))),""))</f>
        <v/>
      </c>
      <c r="T370" s="13"/>
      <c r="U370" s="13"/>
      <c r="V370" s="13"/>
      <c r="W370" s="13"/>
      <c r="X370" s="22" t="str">
        <f aca="false">IF(Q370="","",Q370^2)</f>
        <v/>
      </c>
      <c r="Y370" s="22" t="str">
        <f aca="false">IF(AND(C370&lt;&gt;"",C370=CERTIFICADO!$E$4,OR(CERTIFICADO!$E$5="",B370=CERTIFICADO!$E$5)),MAX($Y$4:Y369)+1,"")</f>
        <v/>
      </c>
    </row>
    <row r="371" customFormat="false" ht="15" hidden="false" customHeight="false" outlineLevel="0" collapsed="false">
      <c r="A371" s="11" t="str">
        <f aca="false">IF(C371="","",ROW()-4)</f>
        <v/>
      </c>
      <c r="B371" s="12"/>
      <c r="C371" s="13"/>
      <c r="D371" s="23" t="str">
        <f aca="false">IF(C371="","",IFERROR(INDEX(LOTES!$D$5:$D$1004,MATCH(C371,LOTES!$F$5:$F$1004,0)),"¿Lote?"))</f>
        <v/>
      </c>
      <c r="E371" s="11" t="str">
        <f aca="false">IF(C371="","",IFERROR(INDEX(LOTES!$C$5:$C$1004,MATCH(C371,LOTES!$F$5:$F$1004,0)),""))</f>
        <v/>
      </c>
      <c r="F371" s="24" t="str">
        <f aca="false">IF(C371="","",IFERROR(INDEX(LOTES!$B$5:$B$1004,MATCH(C371,LOTES!$F$5:$F$1004,0)),""))</f>
        <v/>
      </c>
      <c r="G371" s="15" t="str">
        <f aca="false">IF(OR(B371="",F371=""),"",B371-F371)</f>
        <v/>
      </c>
      <c r="H371" s="13"/>
      <c r="I371" s="13"/>
      <c r="J371" s="13"/>
      <c r="K371" s="25"/>
      <c r="L371" s="25"/>
      <c r="M371" s="25"/>
      <c r="N371" s="25"/>
      <c r="O371" s="26"/>
      <c r="P371" s="16" t="str">
        <f aca="false">IF(O371="","",IFERROR(1/(1/(IF(K371="",INDEX(CONFIG!$F$5:$F$14,MATCH(D371,CONFIG!$D$5:$D$14,0)),K371)*IF(M371="",INDEX(CONFIG!$H$5:$H$14,MATCH(D371,CONFIG!$D$5:$D$14,0)),M371))),""))</f>
        <v/>
      </c>
      <c r="Q371" s="16" t="str">
        <f aca="false">IF(OR(O371="",P371=""),"",O371/P371)</f>
        <v/>
      </c>
      <c r="R371" s="16" t="str">
        <f aca="false">IF(Q371="","",Q371*0.0980665)</f>
        <v/>
      </c>
      <c r="S371" s="16" t="str">
        <f aca="false">IF(Q371="","",IFERROR(Q371/(1/(1/INDEX(CONFIG!$I$5:$I$14,MATCH(D371,CONFIG!$D$5:$D$14,0)))),""))</f>
        <v/>
      </c>
      <c r="T371" s="13"/>
      <c r="U371" s="13"/>
      <c r="V371" s="13"/>
      <c r="W371" s="13"/>
      <c r="X371" s="22" t="str">
        <f aca="false">IF(Q371="","",Q371^2)</f>
        <v/>
      </c>
      <c r="Y371" s="22" t="str">
        <f aca="false">IF(AND(C371&lt;&gt;"",C371=CERTIFICADO!$E$4,OR(CERTIFICADO!$E$5="",B371=CERTIFICADO!$E$5)),MAX($Y$4:Y370)+1,"")</f>
        <v/>
      </c>
    </row>
    <row r="372" customFormat="false" ht="15" hidden="false" customHeight="false" outlineLevel="0" collapsed="false">
      <c r="A372" s="11" t="str">
        <f aca="false">IF(C372="","",ROW()-4)</f>
        <v/>
      </c>
      <c r="B372" s="12"/>
      <c r="C372" s="13"/>
      <c r="D372" s="23" t="str">
        <f aca="false">IF(C372="","",IFERROR(INDEX(LOTES!$D$5:$D$1004,MATCH(C372,LOTES!$F$5:$F$1004,0)),"¿Lote?"))</f>
        <v/>
      </c>
      <c r="E372" s="11" t="str">
        <f aca="false">IF(C372="","",IFERROR(INDEX(LOTES!$C$5:$C$1004,MATCH(C372,LOTES!$F$5:$F$1004,0)),""))</f>
        <v/>
      </c>
      <c r="F372" s="24" t="str">
        <f aca="false">IF(C372="","",IFERROR(INDEX(LOTES!$B$5:$B$1004,MATCH(C372,LOTES!$F$5:$F$1004,0)),""))</f>
        <v/>
      </c>
      <c r="G372" s="15" t="str">
        <f aca="false">IF(OR(B372="",F372=""),"",B372-F372)</f>
        <v/>
      </c>
      <c r="H372" s="13"/>
      <c r="I372" s="13"/>
      <c r="J372" s="13"/>
      <c r="K372" s="25"/>
      <c r="L372" s="25"/>
      <c r="M372" s="25"/>
      <c r="N372" s="25"/>
      <c r="O372" s="26"/>
      <c r="P372" s="16" t="str">
        <f aca="false">IF(O372="","",IFERROR(1/(1/(IF(K372="",INDEX(CONFIG!$F$5:$F$14,MATCH(D372,CONFIG!$D$5:$D$14,0)),K372)*IF(M372="",INDEX(CONFIG!$H$5:$H$14,MATCH(D372,CONFIG!$D$5:$D$14,0)),M372))),""))</f>
        <v/>
      </c>
      <c r="Q372" s="16" t="str">
        <f aca="false">IF(OR(O372="",P372=""),"",O372/P372)</f>
        <v/>
      </c>
      <c r="R372" s="16" t="str">
        <f aca="false">IF(Q372="","",Q372*0.0980665)</f>
        <v/>
      </c>
      <c r="S372" s="16" t="str">
        <f aca="false">IF(Q372="","",IFERROR(Q372/(1/(1/INDEX(CONFIG!$I$5:$I$14,MATCH(D372,CONFIG!$D$5:$D$14,0)))),""))</f>
        <v/>
      </c>
      <c r="T372" s="13"/>
      <c r="U372" s="13"/>
      <c r="V372" s="13"/>
      <c r="W372" s="13"/>
      <c r="X372" s="22" t="str">
        <f aca="false">IF(Q372="","",Q372^2)</f>
        <v/>
      </c>
      <c r="Y372" s="22" t="str">
        <f aca="false">IF(AND(C372&lt;&gt;"",C372=CERTIFICADO!$E$4,OR(CERTIFICADO!$E$5="",B372=CERTIFICADO!$E$5)),MAX($Y$4:Y371)+1,"")</f>
        <v/>
      </c>
    </row>
    <row r="373" customFormat="false" ht="15" hidden="false" customHeight="false" outlineLevel="0" collapsed="false">
      <c r="A373" s="11" t="str">
        <f aca="false">IF(C373="","",ROW()-4)</f>
        <v/>
      </c>
      <c r="B373" s="12"/>
      <c r="C373" s="13"/>
      <c r="D373" s="23" t="str">
        <f aca="false">IF(C373="","",IFERROR(INDEX(LOTES!$D$5:$D$1004,MATCH(C373,LOTES!$F$5:$F$1004,0)),"¿Lote?"))</f>
        <v/>
      </c>
      <c r="E373" s="11" t="str">
        <f aca="false">IF(C373="","",IFERROR(INDEX(LOTES!$C$5:$C$1004,MATCH(C373,LOTES!$F$5:$F$1004,0)),""))</f>
        <v/>
      </c>
      <c r="F373" s="24" t="str">
        <f aca="false">IF(C373="","",IFERROR(INDEX(LOTES!$B$5:$B$1004,MATCH(C373,LOTES!$F$5:$F$1004,0)),""))</f>
        <v/>
      </c>
      <c r="G373" s="15" t="str">
        <f aca="false">IF(OR(B373="",F373=""),"",B373-F373)</f>
        <v/>
      </c>
      <c r="H373" s="13"/>
      <c r="I373" s="13"/>
      <c r="J373" s="13"/>
      <c r="K373" s="25"/>
      <c r="L373" s="25"/>
      <c r="M373" s="25"/>
      <c r="N373" s="25"/>
      <c r="O373" s="26"/>
      <c r="P373" s="16" t="str">
        <f aca="false">IF(O373="","",IFERROR(1/(1/(IF(K373="",INDEX(CONFIG!$F$5:$F$14,MATCH(D373,CONFIG!$D$5:$D$14,0)),K373)*IF(M373="",INDEX(CONFIG!$H$5:$H$14,MATCH(D373,CONFIG!$D$5:$D$14,0)),M373))),""))</f>
        <v/>
      </c>
      <c r="Q373" s="16" t="str">
        <f aca="false">IF(OR(O373="",P373=""),"",O373/P373)</f>
        <v/>
      </c>
      <c r="R373" s="16" t="str">
        <f aca="false">IF(Q373="","",Q373*0.0980665)</f>
        <v/>
      </c>
      <c r="S373" s="16" t="str">
        <f aca="false">IF(Q373="","",IFERROR(Q373/(1/(1/INDEX(CONFIG!$I$5:$I$14,MATCH(D373,CONFIG!$D$5:$D$14,0)))),""))</f>
        <v/>
      </c>
      <c r="T373" s="13"/>
      <c r="U373" s="13"/>
      <c r="V373" s="13"/>
      <c r="W373" s="13"/>
      <c r="X373" s="22" t="str">
        <f aca="false">IF(Q373="","",Q373^2)</f>
        <v/>
      </c>
      <c r="Y373" s="22" t="str">
        <f aca="false">IF(AND(C373&lt;&gt;"",C373=CERTIFICADO!$E$4,OR(CERTIFICADO!$E$5="",B373=CERTIFICADO!$E$5)),MAX($Y$4:Y372)+1,"")</f>
        <v/>
      </c>
    </row>
    <row r="374" customFormat="false" ht="15" hidden="false" customHeight="false" outlineLevel="0" collapsed="false">
      <c r="A374" s="11" t="str">
        <f aca="false">IF(C374="","",ROW()-4)</f>
        <v/>
      </c>
      <c r="B374" s="12"/>
      <c r="C374" s="13"/>
      <c r="D374" s="23" t="str">
        <f aca="false">IF(C374="","",IFERROR(INDEX(LOTES!$D$5:$D$1004,MATCH(C374,LOTES!$F$5:$F$1004,0)),"¿Lote?"))</f>
        <v/>
      </c>
      <c r="E374" s="11" t="str">
        <f aca="false">IF(C374="","",IFERROR(INDEX(LOTES!$C$5:$C$1004,MATCH(C374,LOTES!$F$5:$F$1004,0)),""))</f>
        <v/>
      </c>
      <c r="F374" s="24" t="str">
        <f aca="false">IF(C374="","",IFERROR(INDEX(LOTES!$B$5:$B$1004,MATCH(C374,LOTES!$F$5:$F$1004,0)),""))</f>
        <v/>
      </c>
      <c r="G374" s="15" t="str">
        <f aca="false">IF(OR(B374="",F374=""),"",B374-F374)</f>
        <v/>
      </c>
      <c r="H374" s="13"/>
      <c r="I374" s="13"/>
      <c r="J374" s="13"/>
      <c r="K374" s="25"/>
      <c r="L374" s="25"/>
      <c r="M374" s="25"/>
      <c r="N374" s="25"/>
      <c r="O374" s="26"/>
      <c r="P374" s="16" t="str">
        <f aca="false">IF(O374="","",IFERROR(1/(1/(IF(K374="",INDEX(CONFIG!$F$5:$F$14,MATCH(D374,CONFIG!$D$5:$D$14,0)),K374)*IF(M374="",INDEX(CONFIG!$H$5:$H$14,MATCH(D374,CONFIG!$D$5:$D$14,0)),M374))),""))</f>
        <v/>
      </c>
      <c r="Q374" s="16" t="str">
        <f aca="false">IF(OR(O374="",P374=""),"",O374/P374)</f>
        <v/>
      </c>
      <c r="R374" s="16" t="str">
        <f aca="false">IF(Q374="","",Q374*0.0980665)</f>
        <v/>
      </c>
      <c r="S374" s="16" t="str">
        <f aca="false">IF(Q374="","",IFERROR(Q374/(1/(1/INDEX(CONFIG!$I$5:$I$14,MATCH(D374,CONFIG!$D$5:$D$14,0)))),""))</f>
        <v/>
      </c>
      <c r="T374" s="13"/>
      <c r="U374" s="13"/>
      <c r="V374" s="13"/>
      <c r="W374" s="13"/>
      <c r="X374" s="22" t="str">
        <f aca="false">IF(Q374="","",Q374^2)</f>
        <v/>
      </c>
      <c r="Y374" s="22" t="str">
        <f aca="false">IF(AND(C374&lt;&gt;"",C374=CERTIFICADO!$E$4,OR(CERTIFICADO!$E$5="",B374=CERTIFICADO!$E$5)),MAX($Y$4:Y373)+1,"")</f>
        <v/>
      </c>
    </row>
    <row r="375" customFormat="false" ht="15" hidden="false" customHeight="false" outlineLevel="0" collapsed="false">
      <c r="A375" s="11" t="str">
        <f aca="false">IF(C375="","",ROW()-4)</f>
        <v/>
      </c>
      <c r="B375" s="12"/>
      <c r="C375" s="13"/>
      <c r="D375" s="23" t="str">
        <f aca="false">IF(C375="","",IFERROR(INDEX(LOTES!$D$5:$D$1004,MATCH(C375,LOTES!$F$5:$F$1004,0)),"¿Lote?"))</f>
        <v/>
      </c>
      <c r="E375" s="11" t="str">
        <f aca="false">IF(C375="","",IFERROR(INDEX(LOTES!$C$5:$C$1004,MATCH(C375,LOTES!$F$5:$F$1004,0)),""))</f>
        <v/>
      </c>
      <c r="F375" s="24" t="str">
        <f aca="false">IF(C375="","",IFERROR(INDEX(LOTES!$B$5:$B$1004,MATCH(C375,LOTES!$F$5:$F$1004,0)),""))</f>
        <v/>
      </c>
      <c r="G375" s="15" t="str">
        <f aca="false">IF(OR(B375="",F375=""),"",B375-F375)</f>
        <v/>
      </c>
      <c r="H375" s="13"/>
      <c r="I375" s="13"/>
      <c r="J375" s="13"/>
      <c r="K375" s="25"/>
      <c r="L375" s="25"/>
      <c r="M375" s="25"/>
      <c r="N375" s="25"/>
      <c r="O375" s="26"/>
      <c r="P375" s="16" t="str">
        <f aca="false">IF(O375="","",IFERROR(1/(1/(IF(K375="",INDEX(CONFIG!$F$5:$F$14,MATCH(D375,CONFIG!$D$5:$D$14,0)),K375)*IF(M375="",INDEX(CONFIG!$H$5:$H$14,MATCH(D375,CONFIG!$D$5:$D$14,0)),M375))),""))</f>
        <v/>
      </c>
      <c r="Q375" s="16" t="str">
        <f aca="false">IF(OR(O375="",P375=""),"",O375/P375)</f>
        <v/>
      </c>
      <c r="R375" s="16" t="str">
        <f aca="false">IF(Q375="","",Q375*0.0980665)</f>
        <v/>
      </c>
      <c r="S375" s="16" t="str">
        <f aca="false">IF(Q375="","",IFERROR(Q375/(1/(1/INDEX(CONFIG!$I$5:$I$14,MATCH(D375,CONFIG!$D$5:$D$14,0)))),""))</f>
        <v/>
      </c>
      <c r="T375" s="13"/>
      <c r="U375" s="13"/>
      <c r="V375" s="13"/>
      <c r="W375" s="13"/>
      <c r="X375" s="22" t="str">
        <f aca="false">IF(Q375="","",Q375^2)</f>
        <v/>
      </c>
      <c r="Y375" s="22" t="str">
        <f aca="false">IF(AND(C375&lt;&gt;"",C375=CERTIFICADO!$E$4,OR(CERTIFICADO!$E$5="",B375=CERTIFICADO!$E$5)),MAX($Y$4:Y374)+1,"")</f>
        <v/>
      </c>
    </row>
    <row r="376" customFormat="false" ht="15" hidden="false" customHeight="false" outlineLevel="0" collapsed="false">
      <c r="A376" s="11" t="str">
        <f aca="false">IF(C376="","",ROW()-4)</f>
        <v/>
      </c>
      <c r="B376" s="12"/>
      <c r="C376" s="13"/>
      <c r="D376" s="23" t="str">
        <f aca="false">IF(C376="","",IFERROR(INDEX(LOTES!$D$5:$D$1004,MATCH(C376,LOTES!$F$5:$F$1004,0)),"¿Lote?"))</f>
        <v/>
      </c>
      <c r="E376" s="11" t="str">
        <f aca="false">IF(C376="","",IFERROR(INDEX(LOTES!$C$5:$C$1004,MATCH(C376,LOTES!$F$5:$F$1004,0)),""))</f>
        <v/>
      </c>
      <c r="F376" s="24" t="str">
        <f aca="false">IF(C376="","",IFERROR(INDEX(LOTES!$B$5:$B$1004,MATCH(C376,LOTES!$F$5:$F$1004,0)),""))</f>
        <v/>
      </c>
      <c r="G376" s="15" t="str">
        <f aca="false">IF(OR(B376="",F376=""),"",B376-F376)</f>
        <v/>
      </c>
      <c r="H376" s="13"/>
      <c r="I376" s="13"/>
      <c r="J376" s="13"/>
      <c r="K376" s="25"/>
      <c r="L376" s="25"/>
      <c r="M376" s="25"/>
      <c r="N376" s="25"/>
      <c r="O376" s="26"/>
      <c r="P376" s="16" t="str">
        <f aca="false">IF(O376="","",IFERROR(1/(1/(IF(K376="",INDEX(CONFIG!$F$5:$F$14,MATCH(D376,CONFIG!$D$5:$D$14,0)),K376)*IF(M376="",INDEX(CONFIG!$H$5:$H$14,MATCH(D376,CONFIG!$D$5:$D$14,0)),M376))),""))</f>
        <v/>
      </c>
      <c r="Q376" s="16" t="str">
        <f aca="false">IF(OR(O376="",P376=""),"",O376/P376)</f>
        <v/>
      </c>
      <c r="R376" s="16" t="str">
        <f aca="false">IF(Q376="","",Q376*0.0980665)</f>
        <v/>
      </c>
      <c r="S376" s="16" t="str">
        <f aca="false">IF(Q376="","",IFERROR(Q376/(1/(1/INDEX(CONFIG!$I$5:$I$14,MATCH(D376,CONFIG!$D$5:$D$14,0)))),""))</f>
        <v/>
      </c>
      <c r="T376" s="13"/>
      <c r="U376" s="13"/>
      <c r="V376" s="13"/>
      <c r="W376" s="13"/>
      <c r="X376" s="22" t="str">
        <f aca="false">IF(Q376="","",Q376^2)</f>
        <v/>
      </c>
      <c r="Y376" s="22" t="str">
        <f aca="false">IF(AND(C376&lt;&gt;"",C376=CERTIFICADO!$E$4,OR(CERTIFICADO!$E$5="",B376=CERTIFICADO!$E$5)),MAX($Y$4:Y375)+1,"")</f>
        <v/>
      </c>
    </row>
    <row r="377" customFormat="false" ht="15" hidden="false" customHeight="false" outlineLevel="0" collapsed="false">
      <c r="A377" s="11" t="str">
        <f aca="false">IF(C377="","",ROW()-4)</f>
        <v/>
      </c>
      <c r="B377" s="12"/>
      <c r="C377" s="13"/>
      <c r="D377" s="23" t="str">
        <f aca="false">IF(C377="","",IFERROR(INDEX(LOTES!$D$5:$D$1004,MATCH(C377,LOTES!$F$5:$F$1004,0)),"¿Lote?"))</f>
        <v/>
      </c>
      <c r="E377" s="11" t="str">
        <f aca="false">IF(C377="","",IFERROR(INDEX(LOTES!$C$5:$C$1004,MATCH(C377,LOTES!$F$5:$F$1004,0)),""))</f>
        <v/>
      </c>
      <c r="F377" s="24" t="str">
        <f aca="false">IF(C377="","",IFERROR(INDEX(LOTES!$B$5:$B$1004,MATCH(C377,LOTES!$F$5:$F$1004,0)),""))</f>
        <v/>
      </c>
      <c r="G377" s="15" t="str">
        <f aca="false">IF(OR(B377="",F377=""),"",B377-F377)</f>
        <v/>
      </c>
      <c r="H377" s="13"/>
      <c r="I377" s="13"/>
      <c r="J377" s="13"/>
      <c r="K377" s="25"/>
      <c r="L377" s="25"/>
      <c r="M377" s="25"/>
      <c r="N377" s="25"/>
      <c r="O377" s="26"/>
      <c r="P377" s="16" t="str">
        <f aca="false">IF(O377="","",IFERROR(1/(1/(IF(K377="",INDEX(CONFIG!$F$5:$F$14,MATCH(D377,CONFIG!$D$5:$D$14,0)),K377)*IF(M377="",INDEX(CONFIG!$H$5:$H$14,MATCH(D377,CONFIG!$D$5:$D$14,0)),M377))),""))</f>
        <v/>
      </c>
      <c r="Q377" s="16" t="str">
        <f aca="false">IF(OR(O377="",P377=""),"",O377/P377)</f>
        <v/>
      </c>
      <c r="R377" s="16" t="str">
        <f aca="false">IF(Q377="","",Q377*0.0980665)</f>
        <v/>
      </c>
      <c r="S377" s="16" t="str">
        <f aca="false">IF(Q377="","",IFERROR(Q377/(1/(1/INDEX(CONFIG!$I$5:$I$14,MATCH(D377,CONFIG!$D$5:$D$14,0)))),""))</f>
        <v/>
      </c>
      <c r="T377" s="13"/>
      <c r="U377" s="13"/>
      <c r="V377" s="13"/>
      <c r="W377" s="13"/>
      <c r="X377" s="22" t="str">
        <f aca="false">IF(Q377="","",Q377^2)</f>
        <v/>
      </c>
      <c r="Y377" s="22" t="str">
        <f aca="false">IF(AND(C377&lt;&gt;"",C377=CERTIFICADO!$E$4,OR(CERTIFICADO!$E$5="",B377=CERTIFICADO!$E$5)),MAX($Y$4:Y376)+1,"")</f>
        <v/>
      </c>
    </row>
    <row r="378" customFormat="false" ht="15" hidden="false" customHeight="false" outlineLevel="0" collapsed="false">
      <c r="A378" s="11" t="str">
        <f aca="false">IF(C378="","",ROW()-4)</f>
        <v/>
      </c>
      <c r="B378" s="12"/>
      <c r="C378" s="13"/>
      <c r="D378" s="23" t="str">
        <f aca="false">IF(C378="","",IFERROR(INDEX(LOTES!$D$5:$D$1004,MATCH(C378,LOTES!$F$5:$F$1004,0)),"¿Lote?"))</f>
        <v/>
      </c>
      <c r="E378" s="11" t="str">
        <f aca="false">IF(C378="","",IFERROR(INDEX(LOTES!$C$5:$C$1004,MATCH(C378,LOTES!$F$5:$F$1004,0)),""))</f>
        <v/>
      </c>
      <c r="F378" s="24" t="str">
        <f aca="false">IF(C378="","",IFERROR(INDEX(LOTES!$B$5:$B$1004,MATCH(C378,LOTES!$F$5:$F$1004,0)),""))</f>
        <v/>
      </c>
      <c r="G378" s="15" t="str">
        <f aca="false">IF(OR(B378="",F378=""),"",B378-F378)</f>
        <v/>
      </c>
      <c r="H378" s="13"/>
      <c r="I378" s="13"/>
      <c r="J378" s="13"/>
      <c r="K378" s="25"/>
      <c r="L378" s="25"/>
      <c r="M378" s="25"/>
      <c r="N378" s="25"/>
      <c r="O378" s="26"/>
      <c r="P378" s="16" t="str">
        <f aca="false">IF(O378="","",IFERROR(1/(1/(IF(K378="",INDEX(CONFIG!$F$5:$F$14,MATCH(D378,CONFIG!$D$5:$D$14,0)),K378)*IF(M378="",INDEX(CONFIG!$H$5:$H$14,MATCH(D378,CONFIG!$D$5:$D$14,0)),M378))),""))</f>
        <v/>
      </c>
      <c r="Q378" s="16" t="str">
        <f aca="false">IF(OR(O378="",P378=""),"",O378/P378)</f>
        <v/>
      </c>
      <c r="R378" s="16" t="str">
        <f aca="false">IF(Q378="","",Q378*0.0980665)</f>
        <v/>
      </c>
      <c r="S378" s="16" t="str">
        <f aca="false">IF(Q378="","",IFERROR(Q378/(1/(1/INDEX(CONFIG!$I$5:$I$14,MATCH(D378,CONFIG!$D$5:$D$14,0)))),""))</f>
        <v/>
      </c>
      <c r="T378" s="13"/>
      <c r="U378" s="13"/>
      <c r="V378" s="13"/>
      <c r="W378" s="13"/>
      <c r="X378" s="22" t="str">
        <f aca="false">IF(Q378="","",Q378^2)</f>
        <v/>
      </c>
      <c r="Y378" s="22" t="str">
        <f aca="false">IF(AND(C378&lt;&gt;"",C378=CERTIFICADO!$E$4,OR(CERTIFICADO!$E$5="",B378=CERTIFICADO!$E$5)),MAX($Y$4:Y377)+1,"")</f>
        <v/>
      </c>
    </row>
    <row r="379" customFormat="false" ht="15" hidden="false" customHeight="false" outlineLevel="0" collapsed="false">
      <c r="A379" s="11" t="str">
        <f aca="false">IF(C379="","",ROW()-4)</f>
        <v/>
      </c>
      <c r="B379" s="12"/>
      <c r="C379" s="13"/>
      <c r="D379" s="23" t="str">
        <f aca="false">IF(C379="","",IFERROR(INDEX(LOTES!$D$5:$D$1004,MATCH(C379,LOTES!$F$5:$F$1004,0)),"¿Lote?"))</f>
        <v/>
      </c>
      <c r="E379" s="11" t="str">
        <f aca="false">IF(C379="","",IFERROR(INDEX(LOTES!$C$5:$C$1004,MATCH(C379,LOTES!$F$5:$F$1004,0)),""))</f>
        <v/>
      </c>
      <c r="F379" s="24" t="str">
        <f aca="false">IF(C379="","",IFERROR(INDEX(LOTES!$B$5:$B$1004,MATCH(C379,LOTES!$F$5:$F$1004,0)),""))</f>
        <v/>
      </c>
      <c r="G379" s="15" t="str">
        <f aca="false">IF(OR(B379="",F379=""),"",B379-F379)</f>
        <v/>
      </c>
      <c r="H379" s="13"/>
      <c r="I379" s="13"/>
      <c r="J379" s="13"/>
      <c r="K379" s="25"/>
      <c r="L379" s="25"/>
      <c r="M379" s="25"/>
      <c r="N379" s="25"/>
      <c r="O379" s="26"/>
      <c r="P379" s="16" t="str">
        <f aca="false">IF(O379="","",IFERROR(1/(1/(IF(K379="",INDEX(CONFIG!$F$5:$F$14,MATCH(D379,CONFIG!$D$5:$D$14,0)),K379)*IF(M379="",INDEX(CONFIG!$H$5:$H$14,MATCH(D379,CONFIG!$D$5:$D$14,0)),M379))),""))</f>
        <v/>
      </c>
      <c r="Q379" s="16" t="str">
        <f aca="false">IF(OR(O379="",P379=""),"",O379/P379)</f>
        <v/>
      </c>
      <c r="R379" s="16" t="str">
        <f aca="false">IF(Q379="","",Q379*0.0980665)</f>
        <v/>
      </c>
      <c r="S379" s="16" t="str">
        <f aca="false">IF(Q379="","",IFERROR(Q379/(1/(1/INDEX(CONFIG!$I$5:$I$14,MATCH(D379,CONFIG!$D$5:$D$14,0)))),""))</f>
        <v/>
      </c>
      <c r="T379" s="13"/>
      <c r="U379" s="13"/>
      <c r="V379" s="13"/>
      <c r="W379" s="13"/>
      <c r="X379" s="22" t="str">
        <f aca="false">IF(Q379="","",Q379^2)</f>
        <v/>
      </c>
      <c r="Y379" s="22" t="str">
        <f aca="false">IF(AND(C379&lt;&gt;"",C379=CERTIFICADO!$E$4,OR(CERTIFICADO!$E$5="",B379=CERTIFICADO!$E$5)),MAX($Y$4:Y378)+1,"")</f>
        <v/>
      </c>
    </row>
    <row r="380" customFormat="false" ht="15" hidden="false" customHeight="false" outlineLevel="0" collapsed="false">
      <c r="A380" s="11" t="str">
        <f aca="false">IF(C380="","",ROW()-4)</f>
        <v/>
      </c>
      <c r="B380" s="12"/>
      <c r="C380" s="13"/>
      <c r="D380" s="23" t="str">
        <f aca="false">IF(C380="","",IFERROR(INDEX(LOTES!$D$5:$D$1004,MATCH(C380,LOTES!$F$5:$F$1004,0)),"¿Lote?"))</f>
        <v/>
      </c>
      <c r="E380" s="11" t="str">
        <f aca="false">IF(C380="","",IFERROR(INDEX(LOTES!$C$5:$C$1004,MATCH(C380,LOTES!$F$5:$F$1004,0)),""))</f>
        <v/>
      </c>
      <c r="F380" s="24" t="str">
        <f aca="false">IF(C380="","",IFERROR(INDEX(LOTES!$B$5:$B$1004,MATCH(C380,LOTES!$F$5:$F$1004,0)),""))</f>
        <v/>
      </c>
      <c r="G380" s="15" t="str">
        <f aca="false">IF(OR(B380="",F380=""),"",B380-F380)</f>
        <v/>
      </c>
      <c r="H380" s="13"/>
      <c r="I380" s="13"/>
      <c r="J380" s="13"/>
      <c r="K380" s="25"/>
      <c r="L380" s="25"/>
      <c r="M380" s="25"/>
      <c r="N380" s="25"/>
      <c r="O380" s="26"/>
      <c r="P380" s="16" t="str">
        <f aca="false">IF(O380="","",IFERROR(1/(1/(IF(K380="",INDEX(CONFIG!$F$5:$F$14,MATCH(D380,CONFIG!$D$5:$D$14,0)),K380)*IF(M380="",INDEX(CONFIG!$H$5:$H$14,MATCH(D380,CONFIG!$D$5:$D$14,0)),M380))),""))</f>
        <v/>
      </c>
      <c r="Q380" s="16" t="str">
        <f aca="false">IF(OR(O380="",P380=""),"",O380/P380)</f>
        <v/>
      </c>
      <c r="R380" s="16" t="str">
        <f aca="false">IF(Q380="","",Q380*0.0980665)</f>
        <v/>
      </c>
      <c r="S380" s="16" t="str">
        <f aca="false">IF(Q380="","",IFERROR(Q380/(1/(1/INDEX(CONFIG!$I$5:$I$14,MATCH(D380,CONFIG!$D$5:$D$14,0)))),""))</f>
        <v/>
      </c>
      <c r="T380" s="13"/>
      <c r="U380" s="13"/>
      <c r="V380" s="13"/>
      <c r="W380" s="13"/>
      <c r="X380" s="22" t="str">
        <f aca="false">IF(Q380="","",Q380^2)</f>
        <v/>
      </c>
      <c r="Y380" s="22" t="str">
        <f aca="false">IF(AND(C380&lt;&gt;"",C380=CERTIFICADO!$E$4,OR(CERTIFICADO!$E$5="",B380=CERTIFICADO!$E$5)),MAX($Y$4:Y379)+1,"")</f>
        <v/>
      </c>
    </row>
    <row r="381" customFormat="false" ht="15" hidden="false" customHeight="false" outlineLevel="0" collapsed="false">
      <c r="A381" s="11" t="str">
        <f aca="false">IF(C381="","",ROW()-4)</f>
        <v/>
      </c>
      <c r="B381" s="12"/>
      <c r="C381" s="13"/>
      <c r="D381" s="23" t="str">
        <f aca="false">IF(C381="","",IFERROR(INDEX(LOTES!$D$5:$D$1004,MATCH(C381,LOTES!$F$5:$F$1004,0)),"¿Lote?"))</f>
        <v/>
      </c>
      <c r="E381" s="11" t="str">
        <f aca="false">IF(C381="","",IFERROR(INDEX(LOTES!$C$5:$C$1004,MATCH(C381,LOTES!$F$5:$F$1004,0)),""))</f>
        <v/>
      </c>
      <c r="F381" s="24" t="str">
        <f aca="false">IF(C381="","",IFERROR(INDEX(LOTES!$B$5:$B$1004,MATCH(C381,LOTES!$F$5:$F$1004,0)),""))</f>
        <v/>
      </c>
      <c r="G381" s="15" t="str">
        <f aca="false">IF(OR(B381="",F381=""),"",B381-F381)</f>
        <v/>
      </c>
      <c r="H381" s="13"/>
      <c r="I381" s="13"/>
      <c r="J381" s="13"/>
      <c r="K381" s="25"/>
      <c r="L381" s="25"/>
      <c r="M381" s="25"/>
      <c r="N381" s="25"/>
      <c r="O381" s="26"/>
      <c r="P381" s="16" t="str">
        <f aca="false">IF(O381="","",IFERROR(1/(1/(IF(K381="",INDEX(CONFIG!$F$5:$F$14,MATCH(D381,CONFIG!$D$5:$D$14,0)),K381)*IF(M381="",INDEX(CONFIG!$H$5:$H$14,MATCH(D381,CONFIG!$D$5:$D$14,0)),M381))),""))</f>
        <v/>
      </c>
      <c r="Q381" s="16" t="str">
        <f aca="false">IF(OR(O381="",P381=""),"",O381/P381)</f>
        <v/>
      </c>
      <c r="R381" s="16" t="str">
        <f aca="false">IF(Q381="","",Q381*0.0980665)</f>
        <v/>
      </c>
      <c r="S381" s="16" t="str">
        <f aca="false">IF(Q381="","",IFERROR(Q381/(1/(1/INDEX(CONFIG!$I$5:$I$14,MATCH(D381,CONFIG!$D$5:$D$14,0)))),""))</f>
        <v/>
      </c>
      <c r="T381" s="13"/>
      <c r="U381" s="13"/>
      <c r="V381" s="13"/>
      <c r="W381" s="13"/>
      <c r="X381" s="22" t="str">
        <f aca="false">IF(Q381="","",Q381^2)</f>
        <v/>
      </c>
      <c r="Y381" s="22" t="str">
        <f aca="false">IF(AND(C381&lt;&gt;"",C381=CERTIFICADO!$E$4,OR(CERTIFICADO!$E$5="",B381=CERTIFICADO!$E$5)),MAX($Y$4:Y380)+1,"")</f>
        <v/>
      </c>
    </row>
    <row r="382" customFormat="false" ht="15" hidden="false" customHeight="false" outlineLevel="0" collapsed="false">
      <c r="A382" s="11" t="str">
        <f aca="false">IF(C382="","",ROW()-4)</f>
        <v/>
      </c>
      <c r="B382" s="12"/>
      <c r="C382" s="13"/>
      <c r="D382" s="23" t="str">
        <f aca="false">IF(C382="","",IFERROR(INDEX(LOTES!$D$5:$D$1004,MATCH(C382,LOTES!$F$5:$F$1004,0)),"¿Lote?"))</f>
        <v/>
      </c>
      <c r="E382" s="11" t="str">
        <f aca="false">IF(C382="","",IFERROR(INDEX(LOTES!$C$5:$C$1004,MATCH(C382,LOTES!$F$5:$F$1004,0)),""))</f>
        <v/>
      </c>
      <c r="F382" s="24" t="str">
        <f aca="false">IF(C382="","",IFERROR(INDEX(LOTES!$B$5:$B$1004,MATCH(C382,LOTES!$F$5:$F$1004,0)),""))</f>
        <v/>
      </c>
      <c r="G382" s="15" t="str">
        <f aca="false">IF(OR(B382="",F382=""),"",B382-F382)</f>
        <v/>
      </c>
      <c r="H382" s="13"/>
      <c r="I382" s="13"/>
      <c r="J382" s="13"/>
      <c r="K382" s="25"/>
      <c r="L382" s="25"/>
      <c r="M382" s="25"/>
      <c r="N382" s="25"/>
      <c r="O382" s="26"/>
      <c r="P382" s="16" t="str">
        <f aca="false">IF(O382="","",IFERROR(1/(1/(IF(K382="",INDEX(CONFIG!$F$5:$F$14,MATCH(D382,CONFIG!$D$5:$D$14,0)),K382)*IF(M382="",INDEX(CONFIG!$H$5:$H$14,MATCH(D382,CONFIG!$D$5:$D$14,0)),M382))),""))</f>
        <v/>
      </c>
      <c r="Q382" s="16" t="str">
        <f aca="false">IF(OR(O382="",P382=""),"",O382/P382)</f>
        <v/>
      </c>
      <c r="R382" s="16" t="str">
        <f aca="false">IF(Q382="","",Q382*0.0980665)</f>
        <v/>
      </c>
      <c r="S382" s="16" t="str">
        <f aca="false">IF(Q382="","",IFERROR(Q382/(1/(1/INDEX(CONFIG!$I$5:$I$14,MATCH(D382,CONFIG!$D$5:$D$14,0)))),""))</f>
        <v/>
      </c>
      <c r="T382" s="13"/>
      <c r="U382" s="13"/>
      <c r="V382" s="13"/>
      <c r="W382" s="13"/>
      <c r="X382" s="22" t="str">
        <f aca="false">IF(Q382="","",Q382^2)</f>
        <v/>
      </c>
      <c r="Y382" s="22" t="str">
        <f aca="false">IF(AND(C382&lt;&gt;"",C382=CERTIFICADO!$E$4,OR(CERTIFICADO!$E$5="",B382=CERTIFICADO!$E$5)),MAX($Y$4:Y381)+1,"")</f>
        <v/>
      </c>
    </row>
    <row r="383" customFormat="false" ht="15" hidden="false" customHeight="false" outlineLevel="0" collapsed="false">
      <c r="A383" s="11" t="str">
        <f aca="false">IF(C383="","",ROW()-4)</f>
        <v/>
      </c>
      <c r="B383" s="12"/>
      <c r="C383" s="13"/>
      <c r="D383" s="23" t="str">
        <f aca="false">IF(C383="","",IFERROR(INDEX(LOTES!$D$5:$D$1004,MATCH(C383,LOTES!$F$5:$F$1004,0)),"¿Lote?"))</f>
        <v/>
      </c>
      <c r="E383" s="11" t="str">
        <f aca="false">IF(C383="","",IFERROR(INDEX(LOTES!$C$5:$C$1004,MATCH(C383,LOTES!$F$5:$F$1004,0)),""))</f>
        <v/>
      </c>
      <c r="F383" s="24" t="str">
        <f aca="false">IF(C383="","",IFERROR(INDEX(LOTES!$B$5:$B$1004,MATCH(C383,LOTES!$F$5:$F$1004,0)),""))</f>
        <v/>
      </c>
      <c r="G383" s="15" t="str">
        <f aca="false">IF(OR(B383="",F383=""),"",B383-F383)</f>
        <v/>
      </c>
      <c r="H383" s="13"/>
      <c r="I383" s="13"/>
      <c r="J383" s="13"/>
      <c r="K383" s="25"/>
      <c r="L383" s="25"/>
      <c r="M383" s="25"/>
      <c r="N383" s="25"/>
      <c r="O383" s="26"/>
      <c r="P383" s="16" t="str">
        <f aca="false">IF(O383="","",IFERROR(1/(1/(IF(K383="",INDEX(CONFIG!$F$5:$F$14,MATCH(D383,CONFIG!$D$5:$D$14,0)),K383)*IF(M383="",INDEX(CONFIG!$H$5:$H$14,MATCH(D383,CONFIG!$D$5:$D$14,0)),M383))),""))</f>
        <v/>
      </c>
      <c r="Q383" s="16" t="str">
        <f aca="false">IF(OR(O383="",P383=""),"",O383/P383)</f>
        <v/>
      </c>
      <c r="R383" s="16" t="str">
        <f aca="false">IF(Q383="","",Q383*0.0980665)</f>
        <v/>
      </c>
      <c r="S383" s="16" t="str">
        <f aca="false">IF(Q383="","",IFERROR(Q383/(1/(1/INDEX(CONFIG!$I$5:$I$14,MATCH(D383,CONFIG!$D$5:$D$14,0)))),""))</f>
        <v/>
      </c>
      <c r="T383" s="13"/>
      <c r="U383" s="13"/>
      <c r="V383" s="13"/>
      <c r="W383" s="13"/>
      <c r="X383" s="22" t="str">
        <f aca="false">IF(Q383="","",Q383^2)</f>
        <v/>
      </c>
      <c r="Y383" s="22" t="str">
        <f aca="false">IF(AND(C383&lt;&gt;"",C383=CERTIFICADO!$E$4,OR(CERTIFICADO!$E$5="",B383=CERTIFICADO!$E$5)),MAX($Y$4:Y382)+1,"")</f>
        <v/>
      </c>
    </row>
    <row r="384" customFormat="false" ht="15" hidden="false" customHeight="false" outlineLevel="0" collapsed="false">
      <c r="A384" s="11" t="str">
        <f aca="false">IF(C384="","",ROW()-4)</f>
        <v/>
      </c>
      <c r="B384" s="12"/>
      <c r="C384" s="13"/>
      <c r="D384" s="23" t="str">
        <f aca="false">IF(C384="","",IFERROR(INDEX(LOTES!$D$5:$D$1004,MATCH(C384,LOTES!$F$5:$F$1004,0)),"¿Lote?"))</f>
        <v/>
      </c>
      <c r="E384" s="11" t="str">
        <f aca="false">IF(C384="","",IFERROR(INDEX(LOTES!$C$5:$C$1004,MATCH(C384,LOTES!$F$5:$F$1004,0)),""))</f>
        <v/>
      </c>
      <c r="F384" s="24" t="str">
        <f aca="false">IF(C384="","",IFERROR(INDEX(LOTES!$B$5:$B$1004,MATCH(C384,LOTES!$F$5:$F$1004,0)),""))</f>
        <v/>
      </c>
      <c r="G384" s="15" t="str">
        <f aca="false">IF(OR(B384="",F384=""),"",B384-F384)</f>
        <v/>
      </c>
      <c r="H384" s="13"/>
      <c r="I384" s="13"/>
      <c r="J384" s="13"/>
      <c r="K384" s="25"/>
      <c r="L384" s="25"/>
      <c r="M384" s="25"/>
      <c r="N384" s="25"/>
      <c r="O384" s="26"/>
      <c r="P384" s="16" t="str">
        <f aca="false">IF(O384="","",IFERROR(1/(1/(IF(K384="",INDEX(CONFIG!$F$5:$F$14,MATCH(D384,CONFIG!$D$5:$D$14,0)),K384)*IF(M384="",INDEX(CONFIG!$H$5:$H$14,MATCH(D384,CONFIG!$D$5:$D$14,0)),M384))),""))</f>
        <v/>
      </c>
      <c r="Q384" s="16" t="str">
        <f aca="false">IF(OR(O384="",P384=""),"",O384/P384)</f>
        <v/>
      </c>
      <c r="R384" s="16" t="str">
        <f aca="false">IF(Q384="","",Q384*0.0980665)</f>
        <v/>
      </c>
      <c r="S384" s="16" t="str">
        <f aca="false">IF(Q384="","",IFERROR(Q384/(1/(1/INDEX(CONFIG!$I$5:$I$14,MATCH(D384,CONFIG!$D$5:$D$14,0)))),""))</f>
        <v/>
      </c>
      <c r="T384" s="13"/>
      <c r="U384" s="13"/>
      <c r="V384" s="13"/>
      <c r="W384" s="13"/>
      <c r="X384" s="22" t="str">
        <f aca="false">IF(Q384="","",Q384^2)</f>
        <v/>
      </c>
      <c r="Y384" s="22" t="str">
        <f aca="false">IF(AND(C384&lt;&gt;"",C384=CERTIFICADO!$E$4,OR(CERTIFICADO!$E$5="",B384=CERTIFICADO!$E$5)),MAX($Y$4:Y383)+1,"")</f>
        <v/>
      </c>
    </row>
    <row r="385" customFormat="false" ht="15" hidden="false" customHeight="false" outlineLevel="0" collapsed="false">
      <c r="A385" s="11" t="str">
        <f aca="false">IF(C385="","",ROW()-4)</f>
        <v/>
      </c>
      <c r="B385" s="12"/>
      <c r="C385" s="13"/>
      <c r="D385" s="23" t="str">
        <f aca="false">IF(C385="","",IFERROR(INDEX(LOTES!$D$5:$D$1004,MATCH(C385,LOTES!$F$5:$F$1004,0)),"¿Lote?"))</f>
        <v/>
      </c>
      <c r="E385" s="11" t="str">
        <f aca="false">IF(C385="","",IFERROR(INDEX(LOTES!$C$5:$C$1004,MATCH(C385,LOTES!$F$5:$F$1004,0)),""))</f>
        <v/>
      </c>
      <c r="F385" s="24" t="str">
        <f aca="false">IF(C385="","",IFERROR(INDEX(LOTES!$B$5:$B$1004,MATCH(C385,LOTES!$F$5:$F$1004,0)),""))</f>
        <v/>
      </c>
      <c r="G385" s="15" t="str">
        <f aca="false">IF(OR(B385="",F385=""),"",B385-F385)</f>
        <v/>
      </c>
      <c r="H385" s="13"/>
      <c r="I385" s="13"/>
      <c r="J385" s="13"/>
      <c r="K385" s="25"/>
      <c r="L385" s="25"/>
      <c r="M385" s="25"/>
      <c r="N385" s="25"/>
      <c r="O385" s="26"/>
      <c r="P385" s="16" t="str">
        <f aca="false">IF(O385="","",IFERROR(1/(1/(IF(K385="",INDEX(CONFIG!$F$5:$F$14,MATCH(D385,CONFIG!$D$5:$D$14,0)),K385)*IF(M385="",INDEX(CONFIG!$H$5:$H$14,MATCH(D385,CONFIG!$D$5:$D$14,0)),M385))),""))</f>
        <v/>
      </c>
      <c r="Q385" s="16" t="str">
        <f aca="false">IF(OR(O385="",P385=""),"",O385/P385)</f>
        <v/>
      </c>
      <c r="R385" s="16" t="str">
        <f aca="false">IF(Q385="","",Q385*0.0980665)</f>
        <v/>
      </c>
      <c r="S385" s="16" t="str">
        <f aca="false">IF(Q385="","",IFERROR(Q385/(1/(1/INDEX(CONFIG!$I$5:$I$14,MATCH(D385,CONFIG!$D$5:$D$14,0)))),""))</f>
        <v/>
      </c>
      <c r="T385" s="13"/>
      <c r="U385" s="13"/>
      <c r="V385" s="13"/>
      <c r="W385" s="13"/>
      <c r="X385" s="22" t="str">
        <f aca="false">IF(Q385="","",Q385^2)</f>
        <v/>
      </c>
      <c r="Y385" s="22" t="str">
        <f aca="false">IF(AND(C385&lt;&gt;"",C385=CERTIFICADO!$E$4,OR(CERTIFICADO!$E$5="",B385=CERTIFICADO!$E$5)),MAX($Y$4:Y384)+1,"")</f>
        <v/>
      </c>
    </row>
    <row r="386" customFormat="false" ht="15" hidden="false" customHeight="false" outlineLevel="0" collapsed="false">
      <c r="A386" s="11" t="str">
        <f aca="false">IF(C386="","",ROW()-4)</f>
        <v/>
      </c>
      <c r="B386" s="12"/>
      <c r="C386" s="13"/>
      <c r="D386" s="23" t="str">
        <f aca="false">IF(C386="","",IFERROR(INDEX(LOTES!$D$5:$D$1004,MATCH(C386,LOTES!$F$5:$F$1004,0)),"¿Lote?"))</f>
        <v/>
      </c>
      <c r="E386" s="11" t="str">
        <f aca="false">IF(C386="","",IFERROR(INDEX(LOTES!$C$5:$C$1004,MATCH(C386,LOTES!$F$5:$F$1004,0)),""))</f>
        <v/>
      </c>
      <c r="F386" s="24" t="str">
        <f aca="false">IF(C386="","",IFERROR(INDEX(LOTES!$B$5:$B$1004,MATCH(C386,LOTES!$F$5:$F$1004,0)),""))</f>
        <v/>
      </c>
      <c r="G386" s="15" t="str">
        <f aca="false">IF(OR(B386="",F386=""),"",B386-F386)</f>
        <v/>
      </c>
      <c r="H386" s="13"/>
      <c r="I386" s="13"/>
      <c r="J386" s="13"/>
      <c r="K386" s="25"/>
      <c r="L386" s="25"/>
      <c r="M386" s="25"/>
      <c r="N386" s="25"/>
      <c r="O386" s="26"/>
      <c r="P386" s="16" t="str">
        <f aca="false">IF(O386="","",IFERROR(1/(1/(IF(K386="",INDEX(CONFIG!$F$5:$F$14,MATCH(D386,CONFIG!$D$5:$D$14,0)),K386)*IF(M386="",INDEX(CONFIG!$H$5:$H$14,MATCH(D386,CONFIG!$D$5:$D$14,0)),M386))),""))</f>
        <v/>
      </c>
      <c r="Q386" s="16" t="str">
        <f aca="false">IF(OR(O386="",P386=""),"",O386/P386)</f>
        <v/>
      </c>
      <c r="R386" s="16" t="str">
        <f aca="false">IF(Q386="","",Q386*0.0980665)</f>
        <v/>
      </c>
      <c r="S386" s="16" t="str">
        <f aca="false">IF(Q386="","",IFERROR(Q386/(1/(1/INDEX(CONFIG!$I$5:$I$14,MATCH(D386,CONFIG!$D$5:$D$14,0)))),""))</f>
        <v/>
      </c>
      <c r="T386" s="13"/>
      <c r="U386" s="13"/>
      <c r="V386" s="13"/>
      <c r="W386" s="13"/>
      <c r="X386" s="22" t="str">
        <f aca="false">IF(Q386="","",Q386^2)</f>
        <v/>
      </c>
      <c r="Y386" s="22" t="str">
        <f aca="false">IF(AND(C386&lt;&gt;"",C386=CERTIFICADO!$E$4,OR(CERTIFICADO!$E$5="",B386=CERTIFICADO!$E$5)),MAX($Y$4:Y385)+1,"")</f>
        <v/>
      </c>
    </row>
    <row r="387" customFormat="false" ht="15" hidden="false" customHeight="false" outlineLevel="0" collapsed="false">
      <c r="A387" s="11" t="str">
        <f aca="false">IF(C387="","",ROW()-4)</f>
        <v/>
      </c>
      <c r="B387" s="12"/>
      <c r="C387" s="13"/>
      <c r="D387" s="23" t="str">
        <f aca="false">IF(C387="","",IFERROR(INDEX(LOTES!$D$5:$D$1004,MATCH(C387,LOTES!$F$5:$F$1004,0)),"¿Lote?"))</f>
        <v/>
      </c>
      <c r="E387" s="11" t="str">
        <f aca="false">IF(C387="","",IFERROR(INDEX(LOTES!$C$5:$C$1004,MATCH(C387,LOTES!$F$5:$F$1004,0)),""))</f>
        <v/>
      </c>
      <c r="F387" s="24" t="str">
        <f aca="false">IF(C387="","",IFERROR(INDEX(LOTES!$B$5:$B$1004,MATCH(C387,LOTES!$F$5:$F$1004,0)),""))</f>
        <v/>
      </c>
      <c r="G387" s="15" t="str">
        <f aca="false">IF(OR(B387="",F387=""),"",B387-F387)</f>
        <v/>
      </c>
      <c r="H387" s="13"/>
      <c r="I387" s="13"/>
      <c r="J387" s="13"/>
      <c r="K387" s="25"/>
      <c r="L387" s="25"/>
      <c r="M387" s="25"/>
      <c r="N387" s="25"/>
      <c r="O387" s="26"/>
      <c r="P387" s="16" t="str">
        <f aca="false">IF(O387="","",IFERROR(1/(1/(IF(K387="",INDEX(CONFIG!$F$5:$F$14,MATCH(D387,CONFIG!$D$5:$D$14,0)),K387)*IF(M387="",INDEX(CONFIG!$H$5:$H$14,MATCH(D387,CONFIG!$D$5:$D$14,0)),M387))),""))</f>
        <v/>
      </c>
      <c r="Q387" s="16" t="str">
        <f aca="false">IF(OR(O387="",P387=""),"",O387/P387)</f>
        <v/>
      </c>
      <c r="R387" s="16" t="str">
        <f aca="false">IF(Q387="","",Q387*0.0980665)</f>
        <v/>
      </c>
      <c r="S387" s="16" t="str">
        <f aca="false">IF(Q387="","",IFERROR(Q387/(1/(1/INDEX(CONFIG!$I$5:$I$14,MATCH(D387,CONFIG!$D$5:$D$14,0)))),""))</f>
        <v/>
      </c>
      <c r="T387" s="13"/>
      <c r="U387" s="13"/>
      <c r="V387" s="13"/>
      <c r="W387" s="13"/>
      <c r="X387" s="22" t="str">
        <f aca="false">IF(Q387="","",Q387^2)</f>
        <v/>
      </c>
      <c r="Y387" s="22" t="str">
        <f aca="false">IF(AND(C387&lt;&gt;"",C387=CERTIFICADO!$E$4,OR(CERTIFICADO!$E$5="",B387=CERTIFICADO!$E$5)),MAX($Y$4:Y386)+1,"")</f>
        <v/>
      </c>
    </row>
    <row r="388" customFormat="false" ht="15" hidden="false" customHeight="false" outlineLevel="0" collapsed="false">
      <c r="A388" s="11" t="str">
        <f aca="false">IF(C388="","",ROW()-4)</f>
        <v/>
      </c>
      <c r="B388" s="12"/>
      <c r="C388" s="13"/>
      <c r="D388" s="23" t="str">
        <f aca="false">IF(C388="","",IFERROR(INDEX(LOTES!$D$5:$D$1004,MATCH(C388,LOTES!$F$5:$F$1004,0)),"¿Lote?"))</f>
        <v/>
      </c>
      <c r="E388" s="11" t="str">
        <f aca="false">IF(C388="","",IFERROR(INDEX(LOTES!$C$5:$C$1004,MATCH(C388,LOTES!$F$5:$F$1004,0)),""))</f>
        <v/>
      </c>
      <c r="F388" s="24" t="str">
        <f aca="false">IF(C388="","",IFERROR(INDEX(LOTES!$B$5:$B$1004,MATCH(C388,LOTES!$F$5:$F$1004,0)),""))</f>
        <v/>
      </c>
      <c r="G388" s="15" t="str">
        <f aca="false">IF(OR(B388="",F388=""),"",B388-F388)</f>
        <v/>
      </c>
      <c r="H388" s="13"/>
      <c r="I388" s="13"/>
      <c r="J388" s="13"/>
      <c r="K388" s="25"/>
      <c r="L388" s="25"/>
      <c r="M388" s="25"/>
      <c r="N388" s="25"/>
      <c r="O388" s="26"/>
      <c r="P388" s="16" t="str">
        <f aca="false">IF(O388="","",IFERROR(1/(1/(IF(K388="",INDEX(CONFIG!$F$5:$F$14,MATCH(D388,CONFIG!$D$5:$D$14,0)),K388)*IF(M388="",INDEX(CONFIG!$H$5:$H$14,MATCH(D388,CONFIG!$D$5:$D$14,0)),M388))),""))</f>
        <v/>
      </c>
      <c r="Q388" s="16" t="str">
        <f aca="false">IF(OR(O388="",P388=""),"",O388/P388)</f>
        <v/>
      </c>
      <c r="R388" s="16" t="str">
        <f aca="false">IF(Q388="","",Q388*0.0980665)</f>
        <v/>
      </c>
      <c r="S388" s="16" t="str">
        <f aca="false">IF(Q388="","",IFERROR(Q388/(1/(1/INDEX(CONFIG!$I$5:$I$14,MATCH(D388,CONFIG!$D$5:$D$14,0)))),""))</f>
        <v/>
      </c>
      <c r="T388" s="13"/>
      <c r="U388" s="13"/>
      <c r="V388" s="13"/>
      <c r="W388" s="13"/>
      <c r="X388" s="22" t="str">
        <f aca="false">IF(Q388="","",Q388^2)</f>
        <v/>
      </c>
      <c r="Y388" s="22" t="str">
        <f aca="false">IF(AND(C388&lt;&gt;"",C388=CERTIFICADO!$E$4,OR(CERTIFICADO!$E$5="",B388=CERTIFICADO!$E$5)),MAX($Y$4:Y387)+1,"")</f>
        <v/>
      </c>
    </row>
    <row r="389" customFormat="false" ht="15" hidden="false" customHeight="false" outlineLevel="0" collapsed="false">
      <c r="A389" s="11" t="str">
        <f aca="false">IF(C389="","",ROW()-4)</f>
        <v/>
      </c>
      <c r="B389" s="12"/>
      <c r="C389" s="13"/>
      <c r="D389" s="23" t="str">
        <f aca="false">IF(C389="","",IFERROR(INDEX(LOTES!$D$5:$D$1004,MATCH(C389,LOTES!$F$5:$F$1004,0)),"¿Lote?"))</f>
        <v/>
      </c>
      <c r="E389" s="11" t="str">
        <f aca="false">IF(C389="","",IFERROR(INDEX(LOTES!$C$5:$C$1004,MATCH(C389,LOTES!$F$5:$F$1004,0)),""))</f>
        <v/>
      </c>
      <c r="F389" s="24" t="str">
        <f aca="false">IF(C389="","",IFERROR(INDEX(LOTES!$B$5:$B$1004,MATCH(C389,LOTES!$F$5:$F$1004,0)),""))</f>
        <v/>
      </c>
      <c r="G389" s="15" t="str">
        <f aca="false">IF(OR(B389="",F389=""),"",B389-F389)</f>
        <v/>
      </c>
      <c r="H389" s="13"/>
      <c r="I389" s="13"/>
      <c r="J389" s="13"/>
      <c r="K389" s="25"/>
      <c r="L389" s="25"/>
      <c r="M389" s="25"/>
      <c r="N389" s="25"/>
      <c r="O389" s="26"/>
      <c r="P389" s="16" t="str">
        <f aca="false">IF(O389="","",IFERROR(1/(1/(IF(K389="",INDEX(CONFIG!$F$5:$F$14,MATCH(D389,CONFIG!$D$5:$D$14,0)),K389)*IF(M389="",INDEX(CONFIG!$H$5:$H$14,MATCH(D389,CONFIG!$D$5:$D$14,0)),M389))),""))</f>
        <v/>
      </c>
      <c r="Q389" s="16" t="str">
        <f aca="false">IF(OR(O389="",P389=""),"",O389/P389)</f>
        <v/>
      </c>
      <c r="R389" s="16" t="str">
        <f aca="false">IF(Q389="","",Q389*0.0980665)</f>
        <v/>
      </c>
      <c r="S389" s="16" t="str">
        <f aca="false">IF(Q389="","",IFERROR(Q389/(1/(1/INDEX(CONFIG!$I$5:$I$14,MATCH(D389,CONFIG!$D$5:$D$14,0)))),""))</f>
        <v/>
      </c>
      <c r="T389" s="13"/>
      <c r="U389" s="13"/>
      <c r="V389" s="13"/>
      <c r="W389" s="13"/>
      <c r="X389" s="22" t="str">
        <f aca="false">IF(Q389="","",Q389^2)</f>
        <v/>
      </c>
      <c r="Y389" s="22" t="str">
        <f aca="false">IF(AND(C389&lt;&gt;"",C389=CERTIFICADO!$E$4,OR(CERTIFICADO!$E$5="",B389=CERTIFICADO!$E$5)),MAX($Y$4:Y388)+1,"")</f>
        <v/>
      </c>
    </row>
    <row r="390" customFormat="false" ht="15" hidden="false" customHeight="false" outlineLevel="0" collapsed="false">
      <c r="A390" s="11" t="str">
        <f aca="false">IF(C390="","",ROW()-4)</f>
        <v/>
      </c>
      <c r="B390" s="12"/>
      <c r="C390" s="13"/>
      <c r="D390" s="23" t="str">
        <f aca="false">IF(C390="","",IFERROR(INDEX(LOTES!$D$5:$D$1004,MATCH(C390,LOTES!$F$5:$F$1004,0)),"¿Lote?"))</f>
        <v/>
      </c>
      <c r="E390" s="11" t="str">
        <f aca="false">IF(C390="","",IFERROR(INDEX(LOTES!$C$5:$C$1004,MATCH(C390,LOTES!$F$5:$F$1004,0)),""))</f>
        <v/>
      </c>
      <c r="F390" s="24" t="str">
        <f aca="false">IF(C390="","",IFERROR(INDEX(LOTES!$B$5:$B$1004,MATCH(C390,LOTES!$F$5:$F$1004,0)),""))</f>
        <v/>
      </c>
      <c r="G390" s="15" t="str">
        <f aca="false">IF(OR(B390="",F390=""),"",B390-F390)</f>
        <v/>
      </c>
      <c r="H390" s="13"/>
      <c r="I390" s="13"/>
      <c r="J390" s="13"/>
      <c r="K390" s="25"/>
      <c r="L390" s="25"/>
      <c r="M390" s="25"/>
      <c r="N390" s="25"/>
      <c r="O390" s="26"/>
      <c r="P390" s="16" t="str">
        <f aca="false">IF(O390="","",IFERROR(1/(1/(IF(K390="",INDEX(CONFIG!$F$5:$F$14,MATCH(D390,CONFIG!$D$5:$D$14,0)),K390)*IF(M390="",INDEX(CONFIG!$H$5:$H$14,MATCH(D390,CONFIG!$D$5:$D$14,0)),M390))),""))</f>
        <v/>
      </c>
      <c r="Q390" s="16" t="str">
        <f aca="false">IF(OR(O390="",P390=""),"",O390/P390)</f>
        <v/>
      </c>
      <c r="R390" s="16" t="str">
        <f aca="false">IF(Q390="","",Q390*0.0980665)</f>
        <v/>
      </c>
      <c r="S390" s="16" t="str">
        <f aca="false">IF(Q390="","",IFERROR(Q390/(1/(1/INDEX(CONFIG!$I$5:$I$14,MATCH(D390,CONFIG!$D$5:$D$14,0)))),""))</f>
        <v/>
      </c>
      <c r="T390" s="13"/>
      <c r="U390" s="13"/>
      <c r="V390" s="13"/>
      <c r="W390" s="13"/>
      <c r="X390" s="22" t="str">
        <f aca="false">IF(Q390="","",Q390^2)</f>
        <v/>
      </c>
      <c r="Y390" s="22" t="str">
        <f aca="false">IF(AND(C390&lt;&gt;"",C390=CERTIFICADO!$E$4,OR(CERTIFICADO!$E$5="",B390=CERTIFICADO!$E$5)),MAX($Y$4:Y389)+1,"")</f>
        <v/>
      </c>
    </row>
    <row r="391" customFormat="false" ht="15" hidden="false" customHeight="false" outlineLevel="0" collapsed="false">
      <c r="A391" s="11" t="str">
        <f aca="false">IF(C391="","",ROW()-4)</f>
        <v/>
      </c>
      <c r="B391" s="12"/>
      <c r="C391" s="13"/>
      <c r="D391" s="23" t="str">
        <f aca="false">IF(C391="","",IFERROR(INDEX(LOTES!$D$5:$D$1004,MATCH(C391,LOTES!$F$5:$F$1004,0)),"¿Lote?"))</f>
        <v/>
      </c>
      <c r="E391" s="11" t="str">
        <f aca="false">IF(C391="","",IFERROR(INDEX(LOTES!$C$5:$C$1004,MATCH(C391,LOTES!$F$5:$F$1004,0)),""))</f>
        <v/>
      </c>
      <c r="F391" s="24" t="str">
        <f aca="false">IF(C391="","",IFERROR(INDEX(LOTES!$B$5:$B$1004,MATCH(C391,LOTES!$F$5:$F$1004,0)),""))</f>
        <v/>
      </c>
      <c r="G391" s="15" t="str">
        <f aca="false">IF(OR(B391="",F391=""),"",B391-F391)</f>
        <v/>
      </c>
      <c r="H391" s="13"/>
      <c r="I391" s="13"/>
      <c r="J391" s="13"/>
      <c r="K391" s="25"/>
      <c r="L391" s="25"/>
      <c r="M391" s="25"/>
      <c r="N391" s="25"/>
      <c r="O391" s="26"/>
      <c r="P391" s="16" t="str">
        <f aca="false">IF(O391="","",IFERROR(1/(1/(IF(K391="",INDEX(CONFIG!$F$5:$F$14,MATCH(D391,CONFIG!$D$5:$D$14,0)),K391)*IF(M391="",INDEX(CONFIG!$H$5:$H$14,MATCH(D391,CONFIG!$D$5:$D$14,0)),M391))),""))</f>
        <v/>
      </c>
      <c r="Q391" s="16" t="str">
        <f aca="false">IF(OR(O391="",P391=""),"",O391/P391)</f>
        <v/>
      </c>
      <c r="R391" s="16" t="str">
        <f aca="false">IF(Q391="","",Q391*0.0980665)</f>
        <v/>
      </c>
      <c r="S391" s="16" t="str">
        <f aca="false">IF(Q391="","",IFERROR(Q391/(1/(1/INDEX(CONFIG!$I$5:$I$14,MATCH(D391,CONFIG!$D$5:$D$14,0)))),""))</f>
        <v/>
      </c>
      <c r="T391" s="13"/>
      <c r="U391" s="13"/>
      <c r="V391" s="13"/>
      <c r="W391" s="13"/>
      <c r="X391" s="22" t="str">
        <f aca="false">IF(Q391="","",Q391^2)</f>
        <v/>
      </c>
      <c r="Y391" s="22" t="str">
        <f aca="false">IF(AND(C391&lt;&gt;"",C391=CERTIFICADO!$E$4,OR(CERTIFICADO!$E$5="",B391=CERTIFICADO!$E$5)),MAX($Y$4:Y390)+1,"")</f>
        <v/>
      </c>
    </row>
    <row r="392" customFormat="false" ht="15" hidden="false" customHeight="false" outlineLevel="0" collapsed="false">
      <c r="A392" s="11" t="str">
        <f aca="false">IF(C392="","",ROW()-4)</f>
        <v/>
      </c>
      <c r="B392" s="12"/>
      <c r="C392" s="13"/>
      <c r="D392" s="23" t="str">
        <f aca="false">IF(C392="","",IFERROR(INDEX(LOTES!$D$5:$D$1004,MATCH(C392,LOTES!$F$5:$F$1004,0)),"¿Lote?"))</f>
        <v/>
      </c>
      <c r="E392" s="11" t="str">
        <f aca="false">IF(C392="","",IFERROR(INDEX(LOTES!$C$5:$C$1004,MATCH(C392,LOTES!$F$5:$F$1004,0)),""))</f>
        <v/>
      </c>
      <c r="F392" s="24" t="str">
        <f aca="false">IF(C392="","",IFERROR(INDEX(LOTES!$B$5:$B$1004,MATCH(C392,LOTES!$F$5:$F$1004,0)),""))</f>
        <v/>
      </c>
      <c r="G392" s="15" t="str">
        <f aca="false">IF(OR(B392="",F392=""),"",B392-F392)</f>
        <v/>
      </c>
      <c r="H392" s="13"/>
      <c r="I392" s="13"/>
      <c r="J392" s="13"/>
      <c r="K392" s="25"/>
      <c r="L392" s="25"/>
      <c r="M392" s="25"/>
      <c r="N392" s="25"/>
      <c r="O392" s="26"/>
      <c r="P392" s="16" t="str">
        <f aca="false">IF(O392="","",IFERROR(1/(1/(IF(K392="",INDEX(CONFIG!$F$5:$F$14,MATCH(D392,CONFIG!$D$5:$D$14,0)),K392)*IF(M392="",INDEX(CONFIG!$H$5:$H$14,MATCH(D392,CONFIG!$D$5:$D$14,0)),M392))),""))</f>
        <v/>
      </c>
      <c r="Q392" s="16" t="str">
        <f aca="false">IF(OR(O392="",P392=""),"",O392/P392)</f>
        <v/>
      </c>
      <c r="R392" s="16" t="str">
        <f aca="false">IF(Q392="","",Q392*0.0980665)</f>
        <v/>
      </c>
      <c r="S392" s="16" t="str">
        <f aca="false">IF(Q392="","",IFERROR(Q392/(1/(1/INDEX(CONFIG!$I$5:$I$14,MATCH(D392,CONFIG!$D$5:$D$14,0)))),""))</f>
        <v/>
      </c>
      <c r="T392" s="13"/>
      <c r="U392" s="13"/>
      <c r="V392" s="13"/>
      <c r="W392" s="13"/>
      <c r="X392" s="22" t="str">
        <f aca="false">IF(Q392="","",Q392^2)</f>
        <v/>
      </c>
      <c r="Y392" s="22" t="str">
        <f aca="false">IF(AND(C392&lt;&gt;"",C392=CERTIFICADO!$E$4,OR(CERTIFICADO!$E$5="",B392=CERTIFICADO!$E$5)),MAX($Y$4:Y391)+1,"")</f>
        <v/>
      </c>
    </row>
    <row r="393" customFormat="false" ht="15" hidden="false" customHeight="false" outlineLevel="0" collapsed="false">
      <c r="A393" s="11" t="str">
        <f aca="false">IF(C393="","",ROW()-4)</f>
        <v/>
      </c>
      <c r="B393" s="12"/>
      <c r="C393" s="13"/>
      <c r="D393" s="23" t="str">
        <f aca="false">IF(C393="","",IFERROR(INDEX(LOTES!$D$5:$D$1004,MATCH(C393,LOTES!$F$5:$F$1004,0)),"¿Lote?"))</f>
        <v/>
      </c>
      <c r="E393" s="11" t="str">
        <f aca="false">IF(C393="","",IFERROR(INDEX(LOTES!$C$5:$C$1004,MATCH(C393,LOTES!$F$5:$F$1004,0)),""))</f>
        <v/>
      </c>
      <c r="F393" s="24" t="str">
        <f aca="false">IF(C393="","",IFERROR(INDEX(LOTES!$B$5:$B$1004,MATCH(C393,LOTES!$F$5:$F$1004,0)),""))</f>
        <v/>
      </c>
      <c r="G393" s="15" t="str">
        <f aca="false">IF(OR(B393="",F393=""),"",B393-F393)</f>
        <v/>
      </c>
      <c r="H393" s="13"/>
      <c r="I393" s="13"/>
      <c r="J393" s="13"/>
      <c r="K393" s="25"/>
      <c r="L393" s="25"/>
      <c r="M393" s="25"/>
      <c r="N393" s="25"/>
      <c r="O393" s="26"/>
      <c r="P393" s="16" t="str">
        <f aca="false">IF(O393="","",IFERROR(1/(1/(IF(K393="",INDEX(CONFIG!$F$5:$F$14,MATCH(D393,CONFIG!$D$5:$D$14,0)),K393)*IF(M393="",INDEX(CONFIG!$H$5:$H$14,MATCH(D393,CONFIG!$D$5:$D$14,0)),M393))),""))</f>
        <v/>
      </c>
      <c r="Q393" s="16" t="str">
        <f aca="false">IF(OR(O393="",P393=""),"",O393/P393)</f>
        <v/>
      </c>
      <c r="R393" s="16" t="str">
        <f aca="false">IF(Q393="","",Q393*0.0980665)</f>
        <v/>
      </c>
      <c r="S393" s="16" t="str">
        <f aca="false">IF(Q393="","",IFERROR(Q393/(1/(1/INDEX(CONFIG!$I$5:$I$14,MATCH(D393,CONFIG!$D$5:$D$14,0)))),""))</f>
        <v/>
      </c>
      <c r="T393" s="13"/>
      <c r="U393" s="13"/>
      <c r="V393" s="13"/>
      <c r="W393" s="13"/>
      <c r="X393" s="22" t="str">
        <f aca="false">IF(Q393="","",Q393^2)</f>
        <v/>
      </c>
      <c r="Y393" s="22" t="str">
        <f aca="false">IF(AND(C393&lt;&gt;"",C393=CERTIFICADO!$E$4,OR(CERTIFICADO!$E$5="",B393=CERTIFICADO!$E$5)),MAX($Y$4:Y392)+1,"")</f>
        <v/>
      </c>
    </row>
    <row r="394" customFormat="false" ht="15" hidden="false" customHeight="false" outlineLevel="0" collapsed="false">
      <c r="A394" s="11" t="str">
        <f aca="false">IF(C394="","",ROW()-4)</f>
        <v/>
      </c>
      <c r="B394" s="12"/>
      <c r="C394" s="13"/>
      <c r="D394" s="23" t="str">
        <f aca="false">IF(C394="","",IFERROR(INDEX(LOTES!$D$5:$D$1004,MATCH(C394,LOTES!$F$5:$F$1004,0)),"¿Lote?"))</f>
        <v/>
      </c>
      <c r="E394" s="11" t="str">
        <f aca="false">IF(C394="","",IFERROR(INDEX(LOTES!$C$5:$C$1004,MATCH(C394,LOTES!$F$5:$F$1004,0)),""))</f>
        <v/>
      </c>
      <c r="F394" s="24" t="str">
        <f aca="false">IF(C394="","",IFERROR(INDEX(LOTES!$B$5:$B$1004,MATCH(C394,LOTES!$F$5:$F$1004,0)),""))</f>
        <v/>
      </c>
      <c r="G394" s="15" t="str">
        <f aca="false">IF(OR(B394="",F394=""),"",B394-F394)</f>
        <v/>
      </c>
      <c r="H394" s="13"/>
      <c r="I394" s="13"/>
      <c r="J394" s="13"/>
      <c r="K394" s="25"/>
      <c r="L394" s="25"/>
      <c r="M394" s="25"/>
      <c r="N394" s="25"/>
      <c r="O394" s="26"/>
      <c r="P394" s="16" t="str">
        <f aca="false">IF(O394="","",IFERROR(1/(1/(IF(K394="",INDEX(CONFIG!$F$5:$F$14,MATCH(D394,CONFIG!$D$5:$D$14,0)),K394)*IF(M394="",INDEX(CONFIG!$H$5:$H$14,MATCH(D394,CONFIG!$D$5:$D$14,0)),M394))),""))</f>
        <v/>
      </c>
      <c r="Q394" s="16" t="str">
        <f aca="false">IF(OR(O394="",P394=""),"",O394/P394)</f>
        <v/>
      </c>
      <c r="R394" s="16" t="str">
        <f aca="false">IF(Q394="","",Q394*0.0980665)</f>
        <v/>
      </c>
      <c r="S394" s="16" t="str">
        <f aca="false">IF(Q394="","",IFERROR(Q394/(1/(1/INDEX(CONFIG!$I$5:$I$14,MATCH(D394,CONFIG!$D$5:$D$14,0)))),""))</f>
        <v/>
      </c>
      <c r="T394" s="13"/>
      <c r="U394" s="13"/>
      <c r="V394" s="13"/>
      <c r="W394" s="13"/>
      <c r="X394" s="22" t="str">
        <f aca="false">IF(Q394="","",Q394^2)</f>
        <v/>
      </c>
      <c r="Y394" s="22" t="str">
        <f aca="false">IF(AND(C394&lt;&gt;"",C394=CERTIFICADO!$E$4,OR(CERTIFICADO!$E$5="",B394=CERTIFICADO!$E$5)),MAX($Y$4:Y393)+1,"")</f>
        <v/>
      </c>
    </row>
    <row r="395" customFormat="false" ht="15" hidden="false" customHeight="false" outlineLevel="0" collapsed="false">
      <c r="A395" s="11" t="str">
        <f aca="false">IF(C395="","",ROW()-4)</f>
        <v/>
      </c>
      <c r="B395" s="12"/>
      <c r="C395" s="13"/>
      <c r="D395" s="23" t="str">
        <f aca="false">IF(C395="","",IFERROR(INDEX(LOTES!$D$5:$D$1004,MATCH(C395,LOTES!$F$5:$F$1004,0)),"¿Lote?"))</f>
        <v/>
      </c>
      <c r="E395" s="11" t="str">
        <f aca="false">IF(C395="","",IFERROR(INDEX(LOTES!$C$5:$C$1004,MATCH(C395,LOTES!$F$5:$F$1004,0)),""))</f>
        <v/>
      </c>
      <c r="F395" s="24" t="str">
        <f aca="false">IF(C395="","",IFERROR(INDEX(LOTES!$B$5:$B$1004,MATCH(C395,LOTES!$F$5:$F$1004,0)),""))</f>
        <v/>
      </c>
      <c r="G395" s="15" t="str">
        <f aca="false">IF(OR(B395="",F395=""),"",B395-F395)</f>
        <v/>
      </c>
      <c r="H395" s="13"/>
      <c r="I395" s="13"/>
      <c r="J395" s="13"/>
      <c r="K395" s="25"/>
      <c r="L395" s="25"/>
      <c r="M395" s="25"/>
      <c r="N395" s="25"/>
      <c r="O395" s="26"/>
      <c r="P395" s="16" t="str">
        <f aca="false">IF(O395="","",IFERROR(1/(1/(IF(K395="",INDEX(CONFIG!$F$5:$F$14,MATCH(D395,CONFIG!$D$5:$D$14,0)),K395)*IF(M395="",INDEX(CONFIG!$H$5:$H$14,MATCH(D395,CONFIG!$D$5:$D$14,0)),M395))),""))</f>
        <v/>
      </c>
      <c r="Q395" s="16" t="str">
        <f aca="false">IF(OR(O395="",P395=""),"",O395/P395)</f>
        <v/>
      </c>
      <c r="R395" s="16" t="str">
        <f aca="false">IF(Q395="","",Q395*0.0980665)</f>
        <v/>
      </c>
      <c r="S395" s="16" t="str">
        <f aca="false">IF(Q395="","",IFERROR(Q395/(1/(1/INDEX(CONFIG!$I$5:$I$14,MATCH(D395,CONFIG!$D$5:$D$14,0)))),""))</f>
        <v/>
      </c>
      <c r="T395" s="13"/>
      <c r="U395" s="13"/>
      <c r="V395" s="13"/>
      <c r="W395" s="13"/>
      <c r="X395" s="22" t="str">
        <f aca="false">IF(Q395="","",Q395^2)</f>
        <v/>
      </c>
      <c r="Y395" s="22" t="str">
        <f aca="false">IF(AND(C395&lt;&gt;"",C395=CERTIFICADO!$E$4,OR(CERTIFICADO!$E$5="",B395=CERTIFICADO!$E$5)),MAX($Y$4:Y394)+1,"")</f>
        <v/>
      </c>
    </row>
    <row r="396" customFormat="false" ht="15" hidden="false" customHeight="false" outlineLevel="0" collapsed="false">
      <c r="A396" s="11" t="str">
        <f aca="false">IF(C396="","",ROW()-4)</f>
        <v/>
      </c>
      <c r="B396" s="12"/>
      <c r="C396" s="13"/>
      <c r="D396" s="23" t="str">
        <f aca="false">IF(C396="","",IFERROR(INDEX(LOTES!$D$5:$D$1004,MATCH(C396,LOTES!$F$5:$F$1004,0)),"¿Lote?"))</f>
        <v/>
      </c>
      <c r="E396" s="11" t="str">
        <f aca="false">IF(C396="","",IFERROR(INDEX(LOTES!$C$5:$C$1004,MATCH(C396,LOTES!$F$5:$F$1004,0)),""))</f>
        <v/>
      </c>
      <c r="F396" s="24" t="str">
        <f aca="false">IF(C396="","",IFERROR(INDEX(LOTES!$B$5:$B$1004,MATCH(C396,LOTES!$F$5:$F$1004,0)),""))</f>
        <v/>
      </c>
      <c r="G396" s="15" t="str">
        <f aca="false">IF(OR(B396="",F396=""),"",B396-F396)</f>
        <v/>
      </c>
      <c r="H396" s="13"/>
      <c r="I396" s="13"/>
      <c r="J396" s="13"/>
      <c r="K396" s="25"/>
      <c r="L396" s="25"/>
      <c r="M396" s="25"/>
      <c r="N396" s="25"/>
      <c r="O396" s="26"/>
      <c r="P396" s="16" t="str">
        <f aca="false">IF(O396="","",IFERROR(1/(1/(IF(K396="",INDEX(CONFIG!$F$5:$F$14,MATCH(D396,CONFIG!$D$5:$D$14,0)),K396)*IF(M396="",INDEX(CONFIG!$H$5:$H$14,MATCH(D396,CONFIG!$D$5:$D$14,0)),M396))),""))</f>
        <v/>
      </c>
      <c r="Q396" s="16" t="str">
        <f aca="false">IF(OR(O396="",P396=""),"",O396/P396)</f>
        <v/>
      </c>
      <c r="R396" s="16" t="str">
        <f aca="false">IF(Q396="","",Q396*0.0980665)</f>
        <v/>
      </c>
      <c r="S396" s="16" t="str">
        <f aca="false">IF(Q396="","",IFERROR(Q396/(1/(1/INDEX(CONFIG!$I$5:$I$14,MATCH(D396,CONFIG!$D$5:$D$14,0)))),""))</f>
        <v/>
      </c>
      <c r="T396" s="13"/>
      <c r="U396" s="13"/>
      <c r="V396" s="13"/>
      <c r="W396" s="13"/>
      <c r="X396" s="22" t="str">
        <f aca="false">IF(Q396="","",Q396^2)</f>
        <v/>
      </c>
      <c r="Y396" s="22" t="str">
        <f aca="false">IF(AND(C396&lt;&gt;"",C396=CERTIFICADO!$E$4,OR(CERTIFICADO!$E$5="",B396=CERTIFICADO!$E$5)),MAX($Y$4:Y395)+1,"")</f>
        <v/>
      </c>
    </row>
    <row r="397" customFormat="false" ht="15" hidden="false" customHeight="false" outlineLevel="0" collapsed="false">
      <c r="A397" s="11" t="str">
        <f aca="false">IF(C397="","",ROW()-4)</f>
        <v/>
      </c>
      <c r="B397" s="12"/>
      <c r="C397" s="13"/>
      <c r="D397" s="23" t="str">
        <f aca="false">IF(C397="","",IFERROR(INDEX(LOTES!$D$5:$D$1004,MATCH(C397,LOTES!$F$5:$F$1004,0)),"¿Lote?"))</f>
        <v/>
      </c>
      <c r="E397" s="11" t="str">
        <f aca="false">IF(C397="","",IFERROR(INDEX(LOTES!$C$5:$C$1004,MATCH(C397,LOTES!$F$5:$F$1004,0)),""))</f>
        <v/>
      </c>
      <c r="F397" s="24" t="str">
        <f aca="false">IF(C397="","",IFERROR(INDEX(LOTES!$B$5:$B$1004,MATCH(C397,LOTES!$F$5:$F$1004,0)),""))</f>
        <v/>
      </c>
      <c r="G397" s="15" t="str">
        <f aca="false">IF(OR(B397="",F397=""),"",B397-F397)</f>
        <v/>
      </c>
      <c r="H397" s="13"/>
      <c r="I397" s="13"/>
      <c r="J397" s="13"/>
      <c r="K397" s="25"/>
      <c r="L397" s="25"/>
      <c r="M397" s="25"/>
      <c r="N397" s="25"/>
      <c r="O397" s="26"/>
      <c r="P397" s="16" t="str">
        <f aca="false">IF(O397="","",IFERROR(1/(1/(IF(K397="",INDEX(CONFIG!$F$5:$F$14,MATCH(D397,CONFIG!$D$5:$D$14,0)),K397)*IF(M397="",INDEX(CONFIG!$H$5:$H$14,MATCH(D397,CONFIG!$D$5:$D$14,0)),M397))),""))</f>
        <v/>
      </c>
      <c r="Q397" s="16" t="str">
        <f aca="false">IF(OR(O397="",P397=""),"",O397/P397)</f>
        <v/>
      </c>
      <c r="R397" s="16" t="str">
        <f aca="false">IF(Q397="","",Q397*0.0980665)</f>
        <v/>
      </c>
      <c r="S397" s="16" t="str">
        <f aca="false">IF(Q397="","",IFERROR(Q397/(1/(1/INDEX(CONFIG!$I$5:$I$14,MATCH(D397,CONFIG!$D$5:$D$14,0)))),""))</f>
        <v/>
      </c>
      <c r="T397" s="13"/>
      <c r="U397" s="13"/>
      <c r="V397" s="13"/>
      <c r="W397" s="13"/>
      <c r="X397" s="22" t="str">
        <f aca="false">IF(Q397="","",Q397^2)</f>
        <v/>
      </c>
      <c r="Y397" s="22" t="str">
        <f aca="false">IF(AND(C397&lt;&gt;"",C397=CERTIFICADO!$E$4,OR(CERTIFICADO!$E$5="",B397=CERTIFICADO!$E$5)),MAX($Y$4:Y396)+1,"")</f>
        <v/>
      </c>
    </row>
    <row r="398" customFormat="false" ht="15" hidden="false" customHeight="false" outlineLevel="0" collapsed="false">
      <c r="A398" s="11" t="str">
        <f aca="false">IF(C398="","",ROW()-4)</f>
        <v/>
      </c>
      <c r="B398" s="12"/>
      <c r="C398" s="13"/>
      <c r="D398" s="23" t="str">
        <f aca="false">IF(C398="","",IFERROR(INDEX(LOTES!$D$5:$D$1004,MATCH(C398,LOTES!$F$5:$F$1004,0)),"¿Lote?"))</f>
        <v/>
      </c>
      <c r="E398" s="11" t="str">
        <f aca="false">IF(C398="","",IFERROR(INDEX(LOTES!$C$5:$C$1004,MATCH(C398,LOTES!$F$5:$F$1004,0)),""))</f>
        <v/>
      </c>
      <c r="F398" s="24" t="str">
        <f aca="false">IF(C398="","",IFERROR(INDEX(LOTES!$B$5:$B$1004,MATCH(C398,LOTES!$F$5:$F$1004,0)),""))</f>
        <v/>
      </c>
      <c r="G398" s="15" t="str">
        <f aca="false">IF(OR(B398="",F398=""),"",B398-F398)</f>
        <v/>
      </c>
      <c r="H398" s="13"/>
      <c r="I398" s="13"/>
      <c r="J398" s="13"/>
      <c r="K398" s="25"/>
      <c r="L398" s="25"/>
      <c r="M398" s="25"/>
      <c r="N398" s="25"/>
      <c r="O398" s="26"/>
      <c r="P398" s="16" t="str">
        <f aca="false">IF(O398="","",IFERROR(1/(1/(IF(K398="",INDEX(CONFIG!$F$5:$F$14,MATCH(D398,CONFIG!$D$5:$D$14,0)),K398)*IF(M398="",INDEX(CONFIG!$H$5:$H$14,MATCH(D398,CONFIG!$D$5:$D$14,0)),M398))),""))</f>
        <v/>
      </c>
      <c r="Q398" s="16" t="str">
        <f aca="false">IF(OR(O398="",P398=""),"",O398/P398)</f>
        <v/>
      </c>
      <c r="R398" s="16" t="str">
        <f aca="false">IF(Q398="","",Q398*0.0980665)</f>
        <v/>
      </c>
      <c r="S398" s="16" t="str">
        <f aca="false">IF(Q398="","",IFERROR(Q398/(1/(1/INDEX(CONFIG!$I$5:$I$14,MATCH(D398,CONFIG!$D$5:$D$14,0)))),""))</f>
        <v/>
      </c>
      <c r="T398" s="13"/>
      <c r="U398" s="13"/>
      <c r="V398" s="13"/>
      <c r="W398" s="13"/>
      <c r="X398" s="22" t="str">
        <f aca="false">IF(Q398="","",Q398^2)</f>
        <v/>
      </c>
      <c r="Y398" s="22" t="str">
        <f aca="false">IF(AND(C398&lt;&gt;"",C398=CERTIFICADO!$E$4,OR(CERTIFICADO!$E$5="",B398=CERTIFICADO!$E$5)),MAX($Y$4:Y397)+1,"")</f>
        <v/>
      </c>
    </row>
    <row r="399" customFormat="false" ht="15" hidden="false" customHeight="false" outlineLevel="0" collapsed="false">
      <c r="A399" s="11" t="str">
        <f aca="false">IF(C399="","",ROW()-4)</f>
        <v/>
      </c>
      <c r="B399" s="12"/>
      <c r="C399" s="13"/>
      <c r="D399" s="23" t="str">
        <f aca="false">IF(C399="","",IFERROR(INDEX(LOTES!$D$5:$D$1004,MATCH(C399,LOTES!$F$5:$F$1004,0)),"¿Lote?"))</f>
        <v/>
      </c>
      <c r="E399" s="11" t="str">
        <f aca="false">IF(C399="","",IFERROR(INDEX(LOTES!$C$5:$C$1004,MATCH(C399,LOTES!$F$5:$F$1004,0)),""))</f>
        <v/>
      </c>
      <c r="F399" s="24" t="str">
        <f aca="false">IF(C399="","",IFERROR(INDEX(LOTES!$B$5:$B$1004,MATCH(C399,LOTES!$F$5:$F$1004,0)),""))</f>
        <v/>
      </c>
      <c r="G399" s="15" t="str">
        <f aca="false">IF(OR(B399="",F399=""),"",B399-F399)</f>
        <v/>
      </c>
      <c r="H399" s="13"/>
      <c r="I399" s="13"/>
      <c r="J399" s="13"/>
      <c r="K399" s="25"/>
      <c r="L399" s="25"/>
      <c r="M399" s="25"/>
      <c r="N399" s="25"/>
      <c r="O399" s="26"/>
      <c r="P399" s="16" t="str">
        <f aca="false">IF(O399="","",IFERROR(1/(1/(IF(K399="",INDEX(CONFIG!$F$5:$F$14,MATCH(D399,CONFIG!$D$5:$D$14,0)),K399)*IF(M399="",INDEX(CONFIG!$H$5:$H$14,MATCH(D399,CONFIG!$D$5:$D$14,0)),M399))),""))</f>
        <v/>
      </c>
      <c r="Q399" s="16" t="str">
        <f aca="false">IF(OR(O399="",P399=""),"",O399/P399)</f>
        <v/>
      </c>
      <c r="R399" s="16" t="str">
        <f aca="false">IF(Q399="","",Q399*0.0980665)</f>
        <v/>
      </c>
      <c r="S399" s="16" t="str">
        <f aca="false">IF(Q399="","",IFERROR(Q399/(1/(1/INDEX(CONFIG!$I$5:$I$14,MATCH(D399,CONFIG!$D$5:$D$14,0)))),""))</f>
        <v/>
      </c>
      <c r="T399" s="13"/>
      <c r="U399" s="13"/>
      <c r="V399" s="13"/>
      <c r="W399" s="13"/>
      <c r="X399" s="22" t="str">
        <f aca="false">IF(Q399="","",Q399^2)</f>
        <v/>
      </c>
      <c r="Y399" s="22" t="str">
        <f aca="false">IF(AND(C399&lt;&gt;"",C399=CERTIFICADO!$E$4,OR(CERTIFICADO!$E$5="",B399=CERTIFICADO!$E$5)),MAX($Y$4:Y398)+1,"")</f>
        <v/>
      </c>
    </row>
    <row r="400" customFormat="false" ht="15" hidden="false" customHeight="false" outlineLevel="0" collapsed="false">
      <c r="A400" s="11" t="str">
        <f aca="false">IF(C400="","",ROW()-4)</f>
        <v/>
      </c>
      <c r="B400" s="12"/>
      <c r="C400" s="13"/>
      <c r="D400" s="23" t="str">
        <f aca="false">IF(C400="","",IFERROR(INDEX(LOTES!$D$5:$D$1004,MATCH(C400,LOTES!$F$5:$F$1004,0)),"¿Lote?"))</f>
        <v/>
      </c>
      <c r="E400" s="11" t="str">
        <f aca="false">IF(C400="","",IFERROR(INDEX(LOTES!$C$5:$C$1004,MATCH(C400,LOTES!$F$5:$F$1004,0)),""))</f>
        <v/>
      </c>
      <c r="F400" s="24" t="str">
        <f aca="false">IF(C400="","",IFERROR(INDEX(LOTES!$B$5:$B$1004,MATCH(C400,LOTES!$F$5:$F$1004,0)),""))</f>
        <v/>
      </c>
      <c r="G400" s="15" t="str">
        <f aca="false">IF(OR(B400="",F400=""),"",B400-F400)</f>
        <v/>
      </c>
      <c r="H400" s="13"/>
      <c r="I400" s="13"/>
      <c r="J400" s="13"/>
      <c r="K400" s="25"/>
      <c r="L400" s="25"/>
      <c r="M400" s="25"/>
      <c r="N400" s="25"/>
      <c r="O400" s="26"/>
      <c r="P400" s="16" t="str">
        <f aca="false">IF(O400="","",IFERROR(1/(1/(IF(K400="",INDEX(CONFIG!$F$5:$F$14,MATCH(D400,CONFIG!$D$5:$D$14,0)),K400)*IF(M400="",INDEX(CONFIG!$H$5:$H$14,MATCH(D400,CONFIG!$D$5:$D$14,0)),M400))),""))</f>
        <v/>
      </c>
      <c r="Q400" s="16" t="str">
        <f aca="false">IF(OR(O400="",P400=""),"",O400/P400)</f>
        <v/>
      </c>
      <c r="R400" s="16" t="str">
        <f aca="false">IF(Q400="","",Q400*0.0980665)</f>
        <v/>
      </c>
      <c r="S400" s="16" t="str">
        <f aca="false">IF(Q400="","",IFERROR(Q400/(1/(1/INDEX(CONFIG!$I$5:$I$14,MATCH(D400,CONFIG!$D$5:$D$14,0)))),""))</f>
        <v/>
      </c>
      <c r="T400" s="13"/>
      <c r="U400" s="13"/>
      <c r="V400" s="13"/>
      <c r="W400" s="13"/>
      <c r="X400" s="22" t="str">
        <f aca="false">IF(Q400="","",Q400^2)</f>
        <v/>
      </c>
      <c r="Y400" s="22" t="str">
        <f aca="false">IF(AND(C400&lt;&gt;"",C400=CERTIFICADO!$E$4,OR(CERTIFICADO!$E$5="",B400=CERTIFICADO!$E$5)),MAX($Y$4:Y399)+1,"")</f>
        <v/>
      </c>
    </row>
    <row r="401" customFormat="false" ht="15" hidden="false" customHeight="false" outlineLevel="0" collapsed="false">
      <c r="A401" s="11" t="str">
        <f aca="false">IF(C401="","",ROW()-4)</f>
        <v/>
      </c>
      <c r="B401" s="12"/>
      <c r="C401" s="13"/>
      <c r="D401" s="23" t="str">
        <f aca="false">IF(C401="","",IFERROR(INDEX(LOTES!$D$5:$D$1004,MATCH(C401,LOTES!$F$5:$F$1004,0)),"¿Lote?"))</f>
        <v/>
      </c>
      <c r="E401" s="11" t="str">
        <f aca="false">IF(C401="","",IFERROR(INDEX(LOTES!$C$5:$C$1004,MATCH(C401,LOTES!$F$5:$F$1004,0)),""))</f>
        <v/>
      </c>
      <c r="F401" s="24" t="str">
        <f aca="false">IF(C401="","",IFERROR(INDEX(LOTES!$B$5:$B$1004,MATCH(C401,LOTES!$F$5:$F$1004,0)),""))</f>
        <v/>
      </c>
      <c r="G401" s="15" t="str">
        <f aca="false">IF(OR(B401="",F401=""),"",B401-F401)</f>
        <v/>
      </c>
      <c r="H401" s="13"/>
      <c r="I401" s="13"/>
      <c r="J401" s="13"/>
      <c r="K401" s="25"/>
      <c r="L401" s="25"/>
      <c r="M401" s="25"/>
      <c r="N401" s="25"/>
      <c r="O401" s="26"/>
      <c r="P401" s="16" t="str">
        <f aca="false">IF(O401="","",IFERROR(1/(1/(IF(K401="",INDEX(CONFIG!$F$5:$F$14,MATCH(D401,CONFIG!$D$5:$D$14,0)),K401)*IF(M401="",INDEX(CONFIG!$H$5:$H$14,MATCH(D401,CONFIG!$D$5:$D$14,0)),M401))),""))</f>
        <v/>
      </c>
      <c r="Q401" s="16" t="str">
        <f aca="false">IF(OR(O401="",P401=""),"",O401/P401)</f>
        <v/>
      </c>
      <c r="R401" s="16" t="str">
        <f aca="false">IF(Q401="","",Q401*0.0980665)</f>
        <v/>
      </c>
      <c r="S401" s="16" t="str">
        <f aca="false">IF(Q401="","",IFERROR(Q401/(1/(1/INDEX(CONFIG!$I$5:$I$14,MATCH(D401,CONFIG!$D$5:$D$14,0)))),""))</f>
        <v/>
      </c>
      <c r="T401" s="13"/>
      <c r="U401" s="13"/>
      <c r="V401" s="13"/>
      <c r="W401" s="13"/>
      <c r="X401" s="22" t="str">
        <f aca="false">IF(Q401="","",Q401^2)</f>
        <v/>
      </c>
      <c r="Y401" s="22" t="str">
        <f aca="false">IF(AND(C401&lt;&gt;"",C401=CERTIFICADO!$E$4,OR(CERTIFICADO!$E$5="",B401=CERTIFICADO!$E$5)),MAX($Y$4:Y400)+1,"")</f>
        <v/>
      </c>
    </row>
    <row r="402" customFormat="false" ht="15" hidden="false" customHeight="false" outlineLevel="0" collapsed="false">
      <c r="A402" s="11" t="str">
        <f aca="false">IF(C402="","",ROW()-4)</f>
        <v/>
      </c>
      <c r="B402" s="12"/>
      <c r="C402" s="13"/>
      <c r="D402" s="23" t="str">
        <f aca="false">IF(C402="","",IFERROR(INDEX(LOTES!$D$5:$D$1004,MATCH(C402,LOTES!$F$5:$F$1004,0)),"¿Lote?"))</f>
        <v/>
      </c>
      <c r="E402" s="11" t="str">
        <f aca="false">IF(C402="","",IFERROR(INDEX(LOTES!$C$5:$C$1004,MATCH(C402,LOTES!$F$5:$F$1004,0)),""))</f>
        <v/>
      </c>
      <c r="F402" s="24" t="str">
        <f aca="false">IF(C402="","",IFERROR(INDEX(LOTES!$B$5:$B$1004,MATCH(C402,LOTES!$F$5:$F$1004,0)),""))</f>
        <v/>
      </c>
      <c r="G402" s="15" t="str">
        <f aca="false">IF(OR(B402="",F402=""),"",B402-F402)</f>
        <v/>
      </c>
      <c r="H402" s="13"/>
      <c r="I402" s="13"/>
      <c r="J402" s="13"/>
      <c r="K402" s="25"/>
      <c r="L402" s="25"/>
      <c r="M402" s="25"/>
      <c r="N402" s="25"/>
      <c r="O402" s="26"/>
      <c r="P402" s="16" t="str">
        <f aca="false">IF(O402="","",IFERROR(1/(1/(IF(K402="",INDEX(CONFIG!$F$5:$F$14,MATCH(D402,CONFIG!$D$5:$D$14,0)),K402)*IF(M402="",INDEX(CONFIG!$H$5:$H$14,MATCH(D402,CONFIG!$D$5:$D$14,0)),M402))),""))</f>
        <v/>
      </c>
      <c r="Q402" s="16" t="str">
        <f aca="false">IF(OR(O402="",P402=""),"",O402/P402)</f>
        <v/>
      </c>
      <c r="R402" s="16" t="str">
        <f aca="false">IF(Q402="","",Q402*0.0980665)</f>
        <v/>
      </c>
      <c r="S402" s="16" t="str">
        <f aca="false">IF(Q402="","",IFERROR(Q402/(1/(1/INDEX(CONFIG!$I$5:$I$14,MATCH(D402,CONFIG!$D$5:$D$14,0)))),""))</f>
        <v/>
      </c>
      <c r="T402" s="13"/>
      <c r="U402" s="13"/>
      <c r="V402" s="13"/>
      <c r="W402" s="13"/>
      <c r="X402" s="22" t="str">
        <f aca="false">IF(Q402="","",Q402^2)</f>
        <v/>
      </c>
      <c r="Y402" s="22" t="str">
        <f aca="false">IF(AND(C402&lt;&gt;"",C402=CERTIFICADO!$E$4,OR(CERTIFICADO!$E$5="",B402=CERTIFICADO!$E$5)),MAX($Y$4:Y401)+1,"")</f>
        <v/>
      </c>
    </row>
    <row r="403" customFormat="false" ht="15" hidden="false" customHeight="false" outlineLevel="0" collapsed="false">
      <c r="A403" s="11" t="str">
        <f aca="false">IF(C403="","",ROW()-4)</f>
        <v/>
      </c>
      <c r="B403" s="12"/>
      <c r="C403" s="13"/>
      <c r="D403" s="23" t="str">
        <f aca="false">IF(C403="","",IFERROR(INDEX(LOTES!$D$5:$D$1004,MATCH(C403,LOTES!$F$5:$F$1004,0)),"¿Lote?"))</f>
        <v/>
      </c>
      <c r="E403" s="11" t="str">
        <f aca="false">IF(C403="","",IFERROR(INDEX(LOTES!$C$5:$C$1004,MATCH(C403,LOTES!$F$5:$F$1004,0)),""))</f>
        <v/>
      </c>
      <c r="F403" s="24" t="str">
        <f aca="false">IF(C403="","",IFERROR(INDEX(LOTES!$B$5:$B$1004,MATCH(C403,LOTES!$F$5:$F$1004,0)),""))</f>
        <v/>
      </c>
      <c r="G403" s="15" t="str">
        <f aca="false">IF(OR(B403="",F403=""),"",B403-F403)</f>
        <v/>
      </c>
      <c r="H403" s="13"/>
      <c r="I403" s="13"/>
      <c r="J403" s="13"/>
      <c r="K403" s="25"/>
      <c r="L403" s="25"/>
      <c r="M403" s="25"/>
      <c r="N403" s="25"/>
      <c r="O403" s="26"/>
      <c r="P403" s="16" t="str">
        <f aca="false">IF(O403="","",IFERROR(1/(1/(IF(K403="",INDEX(CONFIG!$F$5:$F$14,MATCH(D403,CONFIG!$D$5:$D$14,0)),K403)*IF(M403="",INDEX(CONFIG!$H$5:$H$14,MATCH(D403,CONFIG!$D$5:$D$14,0)),M403))),""))</f>
        <v/>
      </c>
      <c r="Q403" s="16" t="str">
        <f aca="false">IF(OR(O403="",P403=""),"",O403/P403)</f>
        <v/>
      </c>
      <c r="R403" s="16" t="str">
        <f aca="false">IF(Q403="","",Q403*0.0980665)</f>
        <v/>
      </c>
      <c r="S403" s="16" t="str">
        <f aca="false">IF(Q403="","",IFERROR(Q403/(1/(1/INDEX(CONFIG!$I$5:$I$14,MATCH(D403,CONFIG!$D$5:$D$14,0)))),""))</f>
        <v/>
      </c>
      <c r="T403" s="13"/>
      <c r="U403" s="13"/>
      <c r="V403" s="13"/>
      <c r="W403" s="13"/>
      <c r="X403" s="22" t="str">
        <f aca="false">IF(Q403="","",Q403^2)</f>
        <v/>
      </c>
      <c r="Y403" s="22" t="str">
        <f aca="false">IF(AND(C403&lt;&gt;"",C403=CERTIFICADO!$E$4,OR(CERTIFICADO!$E$5="",B403=CERTIFICADO!$E$5)),MAX($Y$4:Y402)+1,"")</f>
        <v/>
      </c>
    </row>
    <row r="404" customFormat="false" ht="15" hidden="false" customHeight="false" outlineLevel="0" collapsed="false">
      <c r="A404" s="11" t="str">
        <f aca="false">IF(C404="","",ROW()-4)</f>
        <v/>
      </c>
      <c r="B404" s="12"/>
      <c r="C404" s="13"/>
      <c r="D404" s="23" t="str">
        <f aca="false">IF(C404="","",IFERROR(INDEX(LOTES!$D$5:$D$1004,MATCH(C404,LOTES!$F$5:$F$1004,0)),"¿Lote?"))</f>
        <v/>
      </c>
      <c r="E404" s="11" t="str">
        <f aca="false">IF(C404="","",IFERROR(INDEX(LOTES!$C$5:$C$1004,MATCH(C404,LOTES!$F$5:$F$1004,0)),""))</f>
        <v/>
      </c>
      <c r="F404" s="24" t="str">
        <f aca="false">IF(C404="","",IFERROR(INDEX(LOTES!$B$5:$B$1004,MATCH(C404,LOTES!$F$5:$F$1004,0)),""))</f>
        <v/>
      </c>
      <c r="G404" s="15" t="str">
        <f aca="false">IF(OR(B404="",F404=""),"",B404-F404)</f>
        <v/>
      </c>
      <c r="H404" s="13"/>
      <c r="I404" s="13"/>
      <c r="J404" s="13"/>
      <c r="K404" s="25"/>
      <c r="L404" s="25"/>
      <c r="M404" s="25"/>
      <c r="N404" s="25"/>
      <c r="O404" s="26"/>
      <c r="P404" s="16" t="str">
        <f aca="false">IF(O404="","",IFERROR(1/(1/(IF(K404="",INDEX(CONFIG!$F$5:$F$14,MATCH(D404,CONFIG!$D$5:$D$14,0)),K404)*IF(M404="",INDEX(CONFIG!$H$5:$H$14,MATCH(D404,CONFIG!$D$5:$D$14,0)),M404))),""))</f>
        <v/>
      </c>
      <c r="Q404" s="16" t="str">
        <f aca="false">IF(OR(O404="",P404=""),"",O404/P404)</f>
        <v/>
      </c>
      <c r="R404" s="16" t="str">
        <f aca="false">IF(Q404="","",Q404*0.0980665)</f>
        <v/>
      </c>
      <c r="S404" s="16" t="str">
        <f aca="false">IF(Q404="","",IFERROR(Q404/(1/(1/INDEX(CONFIG!$I$5:$I$14,MATCH(D404,CONFIG!$D$5:$D$14,0)))),""))</f>
        <v/>
      </c>
      <c r="T404" s="13"/>
      <c r="U404" s="13"/>
      <c r="V404" s="13"/>
      <c r="W404" s="13"/>
      <c r="X404" s="22" t="str">
        <f aca="false">IF(Q404="","",Q404^2)</f>
        <v/>
      </c>
      <c r="Y404" s="22" t="str">
        <f aca="false">IF(AND(C404&lt;&gt;"",C404=CERTIFICADO!$E$4,OR(CERTIFICADO!$E$5="",B404=CERTIFICADO!$E$5)),MAX($Y$4:Y403)+1,"")</f>
        <v/>
      </c>
    </row>
    <row r="405" customFormat="false" ht="15" hidden="false" customHeight="false" outlineLevel="0" collapsed="false">
      <c r="A405" s="11" t="str">
        <f aca="false">IF(C405="","",ROW()-4)</f>
        <v/>
      </c>
      <c r="B405" s="12"/>
      <c r="C405" s="13"/>
      <c r="D405" s="23" t="str">
        <f aca="false">IF(C405="","",IFERROR(INDEX(LOTES!$D$5:$D$1004,MATCH(C405,LOTES!$F$5:$F$1004,0)),"¿Lote?"))</f>
        <v/>
      </c>
      <c r="E405" s="11" t="str">
        <f aca="false">IF(C405="","",IFERROR(INDEX(LOTES!$C$5:$C$1004,MATCH(C405,LOTES!$F$5:$F$1004,0)),""))</f>
        <v/>
      </c>
      <c r="F405" s="24" t="str">
        <f aca="false">IF(C405="","",IFERROR(INDEX(LOTES!$B$5:$B$1004,MATCH(C405,LOTES!$F$5:$F$1004,0)),""))</f>
        <v/>
      </c>
      <c r="G405" s="15" t="str">
        <f aca="false">IF(OR(B405="",F405=""),"",B405-F405)</f>
        <v/>
      </c>
      <c r="H405" s="13"/>
      <c r="I405" s="13"/>
      <c r="J405" s="13"/>
      <c r="K405" s="25"/>
      <c r="L405" s="25"/>
      <c r="M405" s="25"/>
      <c r="N405" s="25"/>
      <c r="O405" s="26"/>
      <c r="P405" s="16" t="str">
        <f aca="false">IF(O405="","",IFERROR(1/(1/(IF(K405="",INDEX(CONFIG!$F$5:$F$14,MATCH(D405,CONFIG!$D$5:$D$14,0)),K405)*IF(M405="",INDEX(CONFIG!$H$5:$H$14,MATCH(D405,CONFIG!$D$5:$D$14,0)),M405))),""))</f>
        <v/>
      </c>
      <c r="Q405" s="16" t="str">
        <f aca="false">IF(OR(O405="",P405=""),"",O405/P405)</f>
        <v/>
      </c>
      <c r="R405" s="16" t="str">
        <f aca="false">IF(Q405="","",Q405*0.0980665)</f>
        <v/>
      </c>
      <c r="S405" s="16" t="str">
        <f aca="false">IF(Q405="","",IFERROR(Q405/(1/(1/INDEX(CONFIG!$I$5:$I$14,MATCH(D405,CONFIG!$D$5:$D$14,0)))),""))</f>
        <v/>
      </c>
      <c r="T405" s="13"/>
      <c r="U405" s="13"/>
      <c r="V405" s="13"/>
      <c r="W405" s="13"/>
      <c r="X405" s="22" t="str">
        <f aca="false">IF(Q405="","",Q405^2)</f>
        <v/>
      </c>
      <c r="Y405" s="22" t="str">
        <f aca="false">IF(AND(C405&lt;&gt;"",C405=CERTIFICADO!$E$4,OR(CERTIFICADO!$E$5="",B405=CERTIFICADO!$E$5)),MAX($Y$4:Y404)+1,"")</f>
        <v/>
      </c>
    </row>
    <row r="406" customFormat="false" ht="15" hidden="false" customHeight="false" outlineLevel="0" collapsed="false">
      <c r="A406" s="11" t="str">
        <f aca="false">IF(C406="","",ROW()-4)</f>
        <v/>
      </c>
      <c r="B406" s="12"/>
      <c r="C406" s="13"/>
      <c r="D406" s="23" t="str">
        <f aca="false">IF(C406="","",IFERROR(INDEX(LOTES!$D$5:$D$1004,MATCH(C406,LOTES!$F$5:$F$1004,0)),"¿Lote?"))</f>
        <v/>
      </c>
      <c r="E406" s="11" t="str">
        <f aca="false">IF(C406="","",IFERROR(INDEX(LOTES!$C$5:$C$1004,MATCH(C406,LOTES!$F$5:$F$1004,0)),""))</f>
        <v/>
      </c>
      <c r="F406" s="24" t="str">
        <f aca="false">IF(C406="","",IFERROR(INDEX(LOTES!$B$5:$B$1004,MATCH(C406,LOTES!$F$5:$F$1004,0)),""))</f>
        <v/>
      </c>
      <c r="G406" s="15" t="str">
        <f aca="false">IF(OR(B406="",F406=""),"",B406-F406)</f>
        <v/>
      </c>
      <c r="H406" s="13"/>
      <c r="I406" s="13"/>
      <c r="J406" s="13"/>
      <c r="K406" s="25"/>
      <c r="L406" s="25"/>
      <c r="M406" s="25"/>
      <c r="N406" s="25"/>
      <c r="O406" s="26"/>
      <c r="P406" s="16" t="str">
        <f aca="false">IF(O406="","",IFERROR(1/(1/(IF(K406="",INDEX(CONFIG!$F$5:$F$14,MATCH(D406,CONFIG!$D$5:$D$14,0)),K406)*IF(M406="",INDEX(CONFIG!$H$5:$H$14,MATCH(D406,CONFIG!$D$5:$D$14,0)),M406))),""))</f>
        <v/>
      </c>
      <c r="Q406" s="16" t="str">
        <f aca="false">IF(OR(O406="",P406=""),"",O406/P406)</f>
        <v/>
      </c>
      <c r="R406" s="16" t="str">
        <f aca="false">IF(Q406="","",Q406*0.0980665)</f>
        <v/>
      </c>
      <c r="S406" s="16" t="str">
        <f aca="false">IF(Q406="","",IFERROR(Q406/(1/(1/INDEX(CONFIG!$I$5:$I$14,MATCH(D406,CONFIG!$D$5:$D$14,0)))),""))</f>
        <v/>
      </c>
      <c r="T406" s="13"/>
      <c r="U406" s="13"/>
      <c r="V406" s="13"/>
      <c r="W406" s="13"/>
      <c r="X406" s="22" t="str">
        <f aca="false">IF(Q406="","",Q406^2)</f>
        <v/>
      </c>
      <c r="Y406" s="22" t="str">
        <f aca="false">IF(AND(C406&lt;&gt;"",C406=CERTIFICADO!$E$4,OR(CERTIFICADO!$E$5="",B406=CERTIFICADO!$E$5)),MAX($Y$4:Y405)+1,"")</f>
        <v/>
      </c>
    </row>
    <row r="407" customFormat="false" ht="15" hidden="false" customHeight="false" outlineLevel="0" collapsed="false">
      <c r="A407" s="11" t="str">
        <f aca="false">IF(C407="","",ROW()-4)</f>
        <v/>
      </c>
      <c r="B407" s="12"/>
      <c r="C407" s="13"/>
      <c r="D407" s="23" t="str">
        <f aca="false">IF(C407="","",IFERROR(INDEX(LOTES!$D$5:$D$1004,MATCH(C407,LOTES!$F$5:$F$1004,0)),"¿Lote?"))</f>
        <v/>
      </c>
      <c r="E407" s="11" t="str">
        <f aca="false">IF(C407="","",IFERROR(INDEX(LOTES!$C$5:$C$1004,MATCH(C407,LOTES!$F$5:$F$1004,0)),""))</f>
        <v/>
      </c>
      <c r="F407" s="24" t="str">
        <f aca="false">IF(C407="","",IFERROR(INDEX(LOTES!$B$5:$B$1004,MATCH(C407,LOTES!$F$5:$F$1004,0)),""))</f>
        <v/>
      </c>
      <c r="G407" s="15" t="str">
        <f aca="false">IF(OR(B407="",F407=""),"",B407-F407)</f>
        <v/>
      </c>
      <c r="H407" s="13"/>
      <c r="I407" s="13"/>
      <c r="J407" s="13"/>
      <c r="K407" s="25"/>
      <c r="L407" s="25"/>
      <c r="M407" s="25"/>
      <c r="N407" s="25"/>
      <c r="O407" s="26"/>
      <c r="P407" s="16" t="str">
        <f aca="false">IF(O407="","",IFERROR(1/(1/(IF(K407="",INDEX(CONFIG!$F$5:$F$14,MATCH(D407,CONFIG!$D$5:$D$14,0)),K407)*IF(M407="",INDEX(CONFIG!$H$5:$H$14,MATCH(D407,CONFIG!$D$5:$D$14,0)),M407))),""))</f>
        <v/>
      </c>
      <c r="Q407" s="16" t="str">
        <f aca="false">IF(OR(O407="",P407=""),"",O407/P407)</f>
        <v/>
      </c>
      <c r="R407" s="16" t="str">
        <f aca="false">IF(Q407="","",Q407*0.0980665)</f>
        <v/>
      </c>
      <c r="S407" s="16" t="str">
        <f aca="false">IF(Q407="","",IFERROR(Q407/(1/(1/INDEX(CONFIG!$I$5:$I$14,MATCH(D407,CONFIG!$D$5:$D$14,0)))),""))</f>
        <v/>
      </c>
      <c r="T407" s="13"/>
      <c r="U407" s="13"/>
      <c r="V407" s="13"/>
      <c r="W407" s="13"/>
      <c r="X407" s="22" t="str">
        <f aca="false">IF(Q407="","",Q407^2)</f>
        <v/>
      </c>
      <c r="Y407" s="22" t="str">
        <f aca="false">IF(AND(C407&lt;&gt;"",C407=CERTIFICADO!$E$4,OR(CERTIFICADO!$E$5="",B407=CERTIFICADO!$E$5)),MAX($Y$4:Y406)+1,"")</f>
        <v/>
      </c>
    </row>
    <row r="408" customFormat="false" ht="15" hidden="false" customHeight="false" outlineLevel="0" collapsed="false">
      <c r="A408" s="11" t="str">
        <f aca="false">IF(C408="","",ROW()-4)</f>
        <v/>
      </c>
      <c r="B408" s="12"/>
      <c r="C408" s="13"/>
      <c r="D408" s="23" t="str">
        <f aca="false">IF(C408="","",IFERROR(INDEX(LOTES!$D$5:$D$1004,MATCH(C408,LOTES!$F$5:$F$1004,0)),"¿Lote?"))</f>
        <v/>
      </c>
      <c r="E408" s="11" t="str">
        <f aca="false">IF(C408="","",IFERROR(INDEX(LOTES!$C$5:$C$1004,MATCH(C408,LOTES!$F$5:$F$1004,0)),""))</f>
        <v/>
      </c>
      <c r="F408" s="24" t="str">
        <f aca="false">IF(C408="","",IFERROR(INDEX(LOTES!$B$5:$B$1004,MATCH(C408,LOTES!$F$5:$F$1004,0)),""))</f>
        <v/>
      </c>
      <c r="G408" s="15" t="str">
        <f aca="false">IF(OR(B408="",F408=""),"",B408-F408)</f>
        <v/>
      </c>
      <c r="H408" s="13"/>
      <c r="I408" s="13"/>
      <c r="J408" s="13"/>
      <c r="K408" s="25"/>
      <c r="L408" s="25"/>
      <c r="M408" s="25"/>
      <c r="N408" s="25"/>
      <c r="O408" s="26"/>
      <c r="P408" s="16" t="str">
        <f aca="false">IF(O408="","",IFERROR(1/(1/(IF(K408="",INDEX(CONFIG!$F$5:$F$14,MATCH(D408,CONFIG!$D$5:$D$14,0)),K408)*IF(M408="",INDEX(CONFIG!$H$5:$H$14,MATCH(D408,CONFIG!$D$5:$D$14,0)),M408))),""))</f>
        <v/>
      </c>
      <c r="Q408" s="16" t="str">
        <f aca="false">IF(OR(O408="",P408=""),"",O408/P408)</f>
        <v/>
      </c>
      <c r="R408" s="16" t="str">
        <f aca="false">IF(Q408="","",Q408*0.0980665)</f>
        <v/>
      </c>
      <c r="S408" s="16" t="str">
        <f aca="false">IF(Q408="","",IFERROR(Q408/(1/(1/INDEX(CONFIG!$I$5:$I$14,MATCH(D408,CONFIG!$D$5:$D$14,0)))),""))</f>
        <v/>
      </c>
      <c r="T408" s="13"/>
      <c r="U408" s="13"/>
      <c r="V408" s="13"/>
      <c r="W408" s="13"/>
      <c r="X408" s="22" t="str">
        <f aca="false">IF(Q408="","",Q408^2)</f>
        <v/>
      </c>
      <c r="Y408" s="22" t="str">
        <f aca="false">IF(AND(C408&lt;&gt;"",C408=CERTIFICADO!$E$4,OR(CERTIFICADO!$E$5="",B408=CERTIFICADO!$E$5)),MAX($Y$4:Y407)+1,"")</f>
        <v/>
      </c>
    </row>
    <row r="409" customFormat="false" ht="15" hidden="false" customHeight="false" outlineLevel="0" collapsed="false">
      <c r="A409" s="11" t="str">
        <f aca="false">IF(C409="","",ROW()-4)</f>
        <v/>
      </c>
      <c r="B409" s="12"/>
      <c r="C409" s="13"/>
      <c r="D409" s="23" t="str">
        <f aca="false">IF(C409="","",IFERROR(INDEX(LOTES!$D$5:$D$1004,MATCH(C409,LOTES!$F$5:$F$1004,0)),"¿Lote?"))</f>
        <v/>
      </c>
      <c r="E409" s="11" t="str">
        <f aca="false">IF(C409="","",IFERROR(INDEX(LOTES!$C$5:$C$1004,MATCH(C409,LOTES!$F$5:$F$1004,0)),""))</f>
        <v/>
      </c>
      <c r="F409" s="24" t="str">
        <f aca="false">IF(C409="","",IFERROR(INDEX(LOTES!$B$5:$B$1004,MATCH(C409,LOTES!$F$5:$F$1004,0)),""))</f>
        <v/>
      </c>
      <c r="G409" s="15" t="str">
        <f aca="false">IF(OR(B409="",F409=""),"",B409-F409)</f>
        <v/>
      </c>
      <c r="H409" s="13"/>
      <c r="I409" s="13"/>
      <c r="J409" s="13"/>
      <c r="K409" s="25"/>
      <c r="L409" s="25"/>
      <c r="M409" s="25"/>
      <c r="N409" s="25"/>
      <c r="O409" s="26"/>
      <c r="P409" s="16" t="str">
        <f aca="false">IF(O409="","",IFERROR(1/(1/(IF(K409="",INDEX(CONFIG!$F$5:$F$14,MATCH(D409,CONFIG!$D$5:$D$14,0)),K409)*IF(M409="",INDEX(CONFIG!$H$5:$H$14,MATCH(D409,CONFIG!$D$5:$D$14,0)),M409))),""))</f>
        <v/>
      </c>
      <c r="Q409" s="16" t="str">
        <f aca="false">IF(OR(O409="",P409=""),"",O409/P409)</f>
        <v/>
      </c>
      <c r="R409" s="16" t="str">
        <f aca="false">IF(Q409="","",Q409*0.0980665)</f>
        <v/>
      </c>
      <c r="S409" s="16" t="str">
        <f aca="false">IF(Q409="","",IFERROR(Q409/(1/(1/INDEX(CONFIG!$I$5:$I$14,MATCH(D409,CONFIG!$D$5:$D$14,0)))),""))</f>
        <v/>
      </c>
      <c r="T409" s="13"/>
      <c r="U409" s="13"/>
      <c r="V409" s="13"/>
      <c r="W409" s="13"/>
      <c r="X409" s="22" t="str">
        <f aca="false">IF(Q409="","",Q409^2)</f>
        <v/>
      </c>
      <c r="Y409" s="22" t="str">
        <f aca="false">IF(AND(C409&lt;&gt;"",C409=CERTIFICADO!$E$4,OR(CERTIFICADO!$E$5="",B409=CERTIFICADO!$E$5)),MAX($Y$4:Y408)+1,"")</f>
        <v/>
      </c>
    </row>
    <row r="410" customFormat="false" ht="15" hidden="false" customHeight="false" outlineLevel="0" collapsed="false">
      <c r="A410" s="11" t="str">
        <f aca="false">IF(C410="","",ROW()-4)</f>
        <v/>
      </c>
      <c r="B410" s="12"/>
      <c r="C410" s="13"/>
      <c r="D410" s="23" t="str">
        <f aca="false">IF(C410="","",IFERROR(INDEX(LOTES!$D$5:$D$1004,MATCH(C410,LOTES!$F$5:$F$1004,0)),"¿Lote?"))</f>
        <v/>
      </c>
      <c r="E410" s="11" t="str">
        <f aca="false">IF(C410="","",IFERROR(INDEX(LOTES!$C$5:$C$1004,MATCH(C410,LOTES!$F$5:$F$1004,0)),""))</f>
        <v/>
      </c>
      <c r="F410" s="24" t="str">
        <f aca="false">IF(C410="","",IFERROR(INDEX(LOTES!$B$5:$B$1004,MATCH(C410,LOTES!$F$5:$F$1004,0)),""))</f>
        <v/>
      </c>
      <c r="G410" s="15" t="str">
        <f aca="false">IF(OR(B410="",F410=""),"",B410-F410)</f>
        <v/>
      </c>
      <c r="H410" s="13"/>
      <c r="I410" s="13"/>
      <c r="J410" s="13"/>
      <c r="K410" s="25"/>
      <c r="L410" s="25"/>
      <c r="M410" s="25"/>
      <c r="N410" s="25"/>
      <c r="O410" s="26"/>
      <c r="P410" s="16" t="str">
        <f aca="false">IF(O410="","",IFERROR(1/(1/(IF(K410="",INDEX(CONFIG!$F$5:$F$14,MATCH(D410,CONFIG!$D$5:$D$14,0)),K410)*IF(M410="",INDEX(CONFIG!$H$5:$H$14,MATCH(D410,CONFIG!$D$5:$D$14,0)),M410))),""))</f>
        <v/>
      </c>
      <c r="Q410" s="16" t="str">
        <f aca="false">IF(OR(O410="",P410=""),"",O410/P410)</f>
        <v/>
      </c>
      <c r="R410" s="16" t="str">
        <f aca="false">IF(Q410="","",Q410*0.0980665)</f>
        <v/>
      </c>
      <c r="S410" s="16" t="str">
        <f aca="false">IF(Q410="","",IFERROR(Q410/(1/(1/INDEX(CONFIG!$I$5:$I$14,MATCH(D410,CONFIG!$D$5:$D$14,0)))),""))</f>
        <v/>
      </c>
      <c r="T410" s="13"/>
      <c r="U410" s="13"/>
      <c r="V410" s="13"/>
      <c r="W410" s="13"/>
      <c r="X410" s="22" t="str">
        <f aca="false">IF(Q410="","",Q410^2)</f>
        <v/>
      </c>
      <c r="Y410" s="22" t="str">
        <f aca="false">IF(AND(C410&lt;&gt;"",C410=CERTIFICADO!$E$4,OR(CERTIFICADO!$E$5="",B410=CERTIFICADO!$E$5)),MAX($Y$4:Y409)+1,"")</f>
        <v/>
      </c>
    </row>
    <row r="411" customFormat="false" ht="15" hidden="false" customHeight="false" outlineLevel="0" collapsed="false">
      <c r="A411" s="11" t="str">
        <f aca="false">IF(C411="","",ROW()-4)</f>
        <v/>
      </c>
      <c r="B411" s="12"/>
      <c r="C411" s="13"/>
      <c r="D411" s="23" t="str">
        <f aca="false">IF(C411="","",IFERROR(INDEX(LOTES!$D$5:$D$1004,MATCH(C411,LOTES!$F$5:$F$1004,0)),"¿Lote?"))</f>
        <v/>
      </c>
      <c r="E411" s="11" t="str">
        <f aca="false">IF(C411="","",IFERROR(INDEX(LOTES!$C$5:$C$1004,MATCH(C411,LOTES!$F$5:$F$1004,0)),""))</f>
        <v/>
      </c>
      <c r="F411" s="24" t="str">
        <f aca="false">IF(C411="","",IFERROR(INDEX(LOTES!$B$5:$B$1004,MATCH(C411,LOTES!$F$5:$F$1004,0)),""))</f>
        <v/>
      </c>
      <c r="G411" s="15" t="str">
        <f aca="false">IF(OR(B411="",F411=""),"",B411-F411)</f>
        <v/>
      </c>
      <c r="H411" s="13"/>
      <c r="I411" s="13"/>
      <c r="J411" s="13"/>
      <c r="K411" s="25"/>
      <c r="L411" s="25"/>
      <c r="M411" s="25"/>
      <c r="N411" s="25"/>
      <c r="O411" s="26"/>
      <c r="P411" s="16" t="str">
        <f aca="false">IF(O411="","",IFERROR(1/(1/(IF(K411="",INDEX(CONFIG!$F$5:$F$14,MATCH(D411,CONFIG!$D$5:$D$14,0)),K411)*IF(M411="",INDEX(CONFIG!$H$5:$H$14,MATCH(D411,CONFIG!$D$5:$D$14,0)),M411))),""))</f>
        <v/>
      </c>
      <c r="Q411" s="16" t="str">
        <f aca="false">IF(OR(O411="",P411=""),"",O411/P411)</f>
        <v/>
      </c>
      <c r="R411" s="16" t="str">
        <f aca="false">IF(Q411="","",Q411*0.0980665)</f>
        <v/>
      </c>
      <c r="S411" s="16" t="str">
        <f aca="false">IF(Q411="","",IFERROR(Q411/(1/(1/INDEX(CONFIG!$I$5:$I$14,MATCH(D411,CONFIG!$D$5:$D$14,0)))),""))</f>
        <v/>
      </c>
      <c r="T411" s="13"/>
      <c r="U411" s="13"/>
      <c r="V411" s="13"/>
      <c r="W411" s="13"/>
      <c r="X411" s="22" t="str">
        <f aca="false">IF(Q411="","",Q411^2)</f>
        <v/>
      </c>
      <c r="Y411" s="22" t="str">
        <f aca="false">IF(AND(C411&lt;&gt;"",C411=CERTIFICADO!$E$4,OR(CERTIFICADO!$E$5="",B411=CERTIFICADO!$E$5)),MAX($Y$4:Y410)+1,"")</f>
        <v/>
      </c>
    </row>
    <row r="412" customFormat="false" ht="15" hidden="false" customHeight="false" outlineLevel="0" collapsed="false">
      <c r="A412" s="11" t="str">
        <f aca="false">IF(C412="","",ROW()-4)</f>
        <v/>
      </c>
      <c r="B412" s="12"/>
      <c r="C412" s="13"/>
      <c r="D412" s="23" t="str">
        <f aca="false">IF(C412="","",IFERROR(INDEX(LOTES!$D$5:$D$1004,MATCH(C412,LOTES!$F$5:$F$1004,0)),"¿Lote?"))</f>
        <v/>
      </c>
      <c r="E412" s="11" t="str">
        <f aca="false">IF(C412="","",IFERROR(INDEX(LOTES!$C$5:$C$1004,MATCH(C412,LOTES!$F$5:$F$1004,0)),""))</f>
        <v/>
      </c>
      <c r="F412" s="24" t="str">
        <f aca="false">IF(C412="","",IFERROR(INDEX(LOTES!$B$5:$B$1004,MATCH(C412,LOTES!$F$5:$F$1004,0)),""))</f>
        <v/>
      </c>
      <c r="G412" s="15" t="str">
        <f aca="false">IF(OR(B412="",F412=""),"",B412-F412)</f>
        <v/>
      </c>
      <c r="H412" s="13"/>
      <c r="I412" s="13"/>
      <c r="J412" s="13"/>
      <c r="K412" s="25"/>
      <c r="L412" s="25"/>
      <c r="M412" s="25"/>
      <c r="N412" s="25"/>
      <c r="O412" s="26"/>
      <c r="P412" s="16" t="str">
        <f aca="false">IF(O412="","",IFERROR(1/(1/(IF(K412="",INDEX(CONFIG!$F$5:$F$14,MATCH(D412,CONFIG!$D$5:$D$14,0)),K412)*IF(M412="",INDEX(CONFIG!$H$5:$H$14,MATCH(D412,CONFIG!$D$5:$D$14,0)),M412))),""))</f>
        <v/>
      </c>
      <c r="Q412" s="16" t="str">
        <f aca="false">IF(OR(O412="",P412=""),"",O412/P412)</f>
        <v/>
      </c>
      <c r="R412" s="16" t="str">
        <f aca="false">IF(Q412="","",Q412*0.0980665)</f>
        <v/>
      </c>
      <c r="S412" s="16" t="str">
        <f aca="false">IF(Q412="","",IFERROR(Q412/(1/(1/INDEX(CONFIG!$I$5:$I$14,MATCH(D412,CONFIG!$D$5:$D$14,0)))),""))</f>
        <v/>
      </c>
      <c r="T412" s="13"/>
      <c r="U412" s="13"/>
      <c r="V412" s="13"/>
      <c r="W412" s="13"/>
      <c r="X412" s="22" t="str">
        <f aca="false">IF(Q412="","",Q412^2)</f>
        <v/>
      </c>
      <c r="Y412" s="22" t="str">
        <f aca="false">IF(AND(C412&lt;&gt;"",C412=CERTIFICADO!$E$4,OR(CERTIFICADO!$E$5="",B412=CERTIFICADO!$E$5)),MAX($Y$4:Y411)+1,"")</f>
        <v/>
      </c>
    </row>
    <row r="413" customFormat="false" ht="15" hidden="false" customHeight="false" outlineLevel="0" collapsed="false">
      <c r="A413" s="11" t="str">
        <f aca="false">IF(C413="","",ROW()-4)</f>
        <v/>
      </c>
      <c r="B413" s="12"/>
      <c r="C413" s="13"/>
      <c r="D413" s="23" t="str">
        <f aca="false">IF(C413="","",IFERROR(INDEX(LOTES!$D$5:$D$1004,MATCH(C413,LOTES!$F$5:$F$1004,0)),"¿Lote?"))</f>
        <v/>
      </c>
      <c r="E413" s="11" t="str">
        <f aca="false">IF(C413="","",IFERROR(INDEX(LOTES!$C$5:$C$1004,MATCH(C413,LOTES!$F$5:$F$1004,0)),""))</f>
        <v/>
      </c>
      <c r="F413" s="24" t="str">
        <f aca="false">IF(C413="","",IFERROR(INDEX(LOTES!$B$5:$B$1004,MATCH(C413,LOTES!$F$5:$F$1004,0)),""))</f>
        <v/>
      </c>
      <c r="G413" s="15" t="str">
        <f aca="false">IF(OR(B413="",F413=""),"",B413-F413)</f>
        <v/>
      </c>
      <c r="H413" s="13"/>
      <c r="I413" s="13"/>
      <c r="J413" s="13"/>
      <c r="K413" s="25"/>
      <c r="L413" s="25"/>
      <c r="M413" s="25"/>
      <c r="N413" s="25"/>
      <c r="O413" s="26"/>
      <c r="P413" s="16" t="str">
        <f aca="false">IF(O413="","",IFERROR(1/(1/(IF(K413="",INDEX(CONFIG!$F$5:$F$14,MATCH(D413,CONFIG!$D$5:$D$14,0)),K413)*IF(M413="",INDEX(CONFIG!$H$5:$H$14,MATCH(D413,CONFIG!$D$5:$D$14,0)),M413))),""))</f>
        <v/>
      </c>
      <c r="Q413" s="16" t="str">
        <f aca="false">IF(OR(O413="",P413=""),"",O413/P413)</f>
        <v/>
      </c>
      <c r="R413" s="16" t="str">
        <f aca="false">IF(Q413="","",Q413*0.0980665)</f>
        <v/>
      </c>
      <c r="S413" s="16" t="str">
        <f aca="false">IF(Q413="","",IFERROR(Q413/(1/(1/INDEX(CONFIG!$I$5:$I$14,MATCH(D413,CONFIG!$D$5:$D$14,0)))),""))</f>
        <v/>
      </c>
      <c r="T413" s="13"/>
      <c r="U413" s="13"/>
      <c r="V413" s="13"/>
      <c r="W413" s="13"/>
      <c r="X413" s="22" t="str">
        <f aca="false">IF(Q413="","",Q413^2)</f>
        <v/>
      </c>
      <c r="Y413" s="22" t="str">
        <f aca="false">IF(AND(C413&lt;&gt;"",C413=CERTIFICADO!$E$4,OR(CERTIFICADO!$E$5="",B413=CERTIFICADO!$E$5)),MAX($Y$4:Y412)+1,"")</f>
        <v/>
      </c>
    </row>
    <row r="414" customFormat="false" ht="15" hidden="false" customHeight="false" outlineLevel="0" collapsed="false">
      <c r="A414" s="11" t="str">
        <f aca="false">IF(C414="","",ROW()-4)</f>
        <v/>
      </c>
      <c r="B414" s="12"/>
      <c r="C414" s="13"/>
      <c r="D414" s="23" t="str">
        <f aca="false">IF(C414="","",IFERROR(INDEX(LOTES!$D$5:$D$1004,MATCH(C414,LOTES!$F$5:$F$1004,0)),"¿Lote?"))</f>
        <v/>
      </c>
      <c r="E414" s="11" t="str">
        <f aca="false">IF(C414="","",IFERROR(INDEX(LOTES!$C$5:$C$1004,MATCH(C414,LOTES!$F$5:$F$1004,0)),""))</f>
        <v/>
      </c>
      <c r="F414" s="24" t="str">
        <f aca="false">IF(C414="","",IFERROR(INDEX(LOTES!$B$5:$B$1004,MATCH(C414,LOTES!$F$5:$F$1004,0)),""))</f>
        <v/>
      </c>
      <c r="G414" s="15" t="str">
        <f aca="false">IF(OR(B414="",F414=""),"",B414-F414)</f>
        <v/>
      </c>
      <c r="H414" s="13"/>
      <c r="I414" s="13"/>
      <c r="J414" s="13"/>
      <c r="K414" s="25"/>
      <c r="L414" s="25"/>
      <c r="M414" s="25"/>
      <c r="N414" s="25"/>
      <c r="O414" s="26"/>
      <c r="P414" s="16" t="str">
        <f aca="false">IF(O414="","",IFERROR(1/(1/(IF(K414="",INDEX(CONFIG!$F$5:$F$14,MATCH(D414,CONFIG!$D$5:$D$14,0)),K414)*IF(M414="",INDEX(CONFIG!$H$5:$H$14,MATCH(D414,CONFIG!$D$5:$D$14,0)),M414))),""))</f>
        <v/>
      </c>
      <c r="Q414" s="16" t="str">
        <f aca="false">IF(OR(O414="",P414=""),"",O414/P414)</f>
        <v/>
      </c>
      <c r="R414" s="16" t="str">
        <f aca="false">IF(Q414="","",Q414*0.0980665)</f>
        <v/>
      </c>
      <c r="S414" s="16" t="str">
        <f aca="false">IF(Q414="","",IFERROR(Q414/(1/(1/INDEX(CONFIG!$I$5:$I$14,MATCH(D414,CONFIG!$D$5:$D$14,0)))),""))</f>
        <v/>
      </c>
      <c r="T414" s="13"/>
      <c r="U414" s="13"/>
      <c r="V414" s="13"/>
      <c r="W414" s="13"/>
      <c r="X414" s="22" t="str">
        <f aca="false">IF(Q414="","",Q414^2)</f>
        <v/>
      </c>
      <c r="Y414" s="22" t="str">
        <f aca="false">IF(AND(C414&lt;&gt;"",C414=CERTIFICADO!$E$4,OR(CERTIFICADO!$E$5="",B414=CERTIFICADO!$E$5)),MAX($Y$4:Y413)+1,"")</f>
        <v/>
      </c>
    </row>
    <row r="415" customFormat="false" ht="15" hidden="false" customHeight="false" outlineLevel="0" collapsed="false">
      <c r="A415" s="11" t="str">
        <f aca="false">IF(C415="","",ROW()-4)</f>
        <v/>
      </c>
      <c r="B415" s="12"/>
      <c r="C415" s="13"/>
      <c r="D415" s="23" t="str">
        <f aca="false">IF(C415="","",IFERROR(INDEX(LOTES!$D$5:$D$1004,MATCH(C415,LOTES!$F$5:$F$1004,0)),"¿Lote?"))</f>
        <v/>
      </c>
      <c r="E415" s="11" t="str">
        <f aca="false">IF(C415="","",IFERROR(INDEX(LOTES!$C$5:$C$1004,MATCH(C415,LOTES!$F$5:$F$1004,0)),""))</f>
        <v/>
      </c>
      <c r="F415" s="24" t="str">
        <f aca="false">IF(C415="","",IFERROR(INDEX(LOTES!$B$5:$B$1004,MATCH(C415,LOTES!$F$5:$F$1004,0)),""))</f>
        <v/>
      </c>
      <c r="G415" s="15" t="str">
        <f aca="false">IF(OR(B415="",F415=""),"",B415-F415)</f>
        <v/>
      </c>
      <c r="H415" s="13"/>
      <c r="I415" s="13"/>
      <c r="J415" s="13"/>
      <c r="K415" s="25"/>
      <c r="L415" s="25"/>
      <c r="M415" s="25"/>
      <c r="N415" s="25"/>
      <c r="O415" s="26"/>
      <c r="P415" s="16" t="str">
        <f aca="false">IF(O415="","",IFERROR(1/(1/(IF(K415="",INDEX(CONFIG!$F$5:$F$14,MATCH(D415,CONFIG!$D$5:$D$14,0)),K415)*IF(M415="",INDEX(CONFIG!$H$5:$H$14,MATCH(D415,CONFIG!$D$5:$D$14,0)),M415))),""))</f>
        <v/>
      </c>
      <c r="Q415" s="16" t="str">
        <f aca="false">IF(OR(O415="",P415=""),"",O415/P415)</f>
        <v/>
      </c>
      <c r="R415" s="16" t="str">
        <f aca="false">IF(Q415="","",Q415*0.0980665)</f>
        <v/>
      </c>
      <c r="S415" s="16" t="str">
        <f aca="false">IF(Q415="","",IFERROR(Q415/(1/(1/INDEX(CONFIG!$I$5:$I$14,MATCH(D415,CONFIG!$D$5:$D$14,0)))),""))</f>
        <v/>
      </c>
      <c r="T415" s="13"/>
      <c r="U415" s="13"/>
      <c r="V415" s="13"/>
      <c r="W415" s="13"/>
      <c r="X415" s="22" t="str">
        <f aca="false">IF(Q415="","",Q415^2)</f>
        <v/>
      </c>
      <c r="Y415" s="22" t="str">
        <f aca="false">IF(AND(C415&lt;&gt;"",C415=CERTIFICADO!$E$4,OR(CERTIFICADO!$E$5="",B415=CERTIFICADO!$E$5)),MAX($Y$4:Y414)+1,"")</f>
        <v/>
      </c>
    </row>
    <row r="416" customFormat="false" ht="15" hidden="false" customHeight="false" outlineLevel="0" collapsed="false">
      <c r="A416" s="11" t="str">
        <f aca="false">IF(C416="","",ROW()-4)</f>
        <v/>
      </c>
      <c r="B416" s="12"/>
      <c r="C416" s="13"/>
      <c r="D416" s="23" t="str">
        <f aca="false">IF(C416="","",IFERROR(INDEX(LOTES!$D$5:$D$1004,MATCH(C416,LOTES!$F$5:$F$1004,0)),"¿Lote?"))</f>
        <v/>
      </c>
      <c r="E416" s="11" t="str">
        <f aca="false">IF(C416="","",IFERROR(INDEX(LOTES!$C$5:$C$1004,MATCH(C416,LOTES!$F$5:$F$1004,0)),""))</f>
        <v/>
      </c>
      <c r="F416" s="24" t="str">
        <f aca="false">IF(C416="","",IFERROR(INDEX(LOTES!$B$5:$B$1004,MATCH(C416,LOTES!$F$5:$F$1004,0)),""))</f>
        <v/>
      </c>
      <c r="G416" s="15" t="str">
        <f aca="false">IF(OR(B416="",F416=""),"",B416-F416)</f>
        <v/>
      </c>
      <c r="H416" s="13"/>
      <c r="I416" s="13"/>
      <c r="J416" s="13"/>
      <c r="K416" s="25"/>
      <c r="L416" s="25"/>
      <c r="M416" s="25"/>
      <c r="N416" s="25"/>
      <c r="O416" s="26"/>
      <c r="P416" s="16" t="str">
        <f aca="false">IF(O416="","",IFERROR(1/(1/(IF(K416="",INDEX(CONFIG!$F$5:$F$14,MATCH(D416,CONFIG!$D$5:$D$14,0)),K416)*IF(M416="",INDEX(CONFIG!$H$5:$H$14,MATCH(D416,CONFIG!$D$5:$D$14,0)),M416))),""))</f>
        <v/>
      </c>
      <c r="Q416" s="16" t="str">
        <f aca="false">IF(OR(O416="",P416=""),"",O416/P416)</f>
        <v/>
      </c>
      <c r="R416" s="16" t="str">
        <f aca="false">IF(Q416="","",Q416*0.0980665)</f>
        <v/>
      </c>
      <c r="S416" s="16" t="str">
        <f aca="false">IF(Q416="","",IFERROR(Q416/(1/(1/INDEX(CONFIG!$I$5:$I$14,MATCH(D416,CONFIG!$D$5:$D$14,0)))),""))</f>
        <v/>
      </c>
      <c r="T416" s="13"/>
      <c r="U416" s="13"/>
      <c r="V416" s="13"/>
      <c r="W416" s="13"/>
      <c r="X416" s="22" t="str">
        <f aca="false">IF(Q416="","",Q416^2)</f>
        <v/>
      </c>
      <c r="Y416" s="22" t="str">
        <f aca="false">IF(AND(C416&lt;&gt;"",C416=CERTIFICADO!$E$4,OR(CERTIFICADO!$E$5="",B416=CERTIFICADO!$E$5)),MAX($Y$4:Y415)+1,"")</f>
        <v/>
      </c>
    </row>
    <row r="417" customFormat="false" ht="15" hidden="false" customHeight="false" outlineLevel="0" collapsed="false">
      <c r="A417" s="11" t="str">
        <f aca="false">IF(C417="","",ROW()-4)</f>
        <v/>
      </c>
      <c r="B417" s="12"/>
      <c r="C417" s="13"/>
      <c r="D417" s="23" t="str">
        <f aca="false">IF(C417="","",IFERROR(INDEX(LOTES!$D$5:$D$1004,MATCH(C417,LOTES!$F$5:$F$1004,0)),"¿Lote?"))</f>
        <v/>
      </c>
      <c r="E417" s="11" t="str">
        <f aca="false">IF(C417="","",IFERROR(INDEX(LOTES!$C$5:$C$1004,MATCH(C417,LOTES!$F$5:$F$1004,0)),""))</f>
        <v/>
      </c>
      <c r="F417" s="24" t="str">
        <f aca="false">IF(C417="","",IFERROR(INDEX(LOTES!$B$5:$B$1004,MATCH(C417,LOTES!$F$5:$F$1004,0)),""))</f>
        <v/>
      </c>
      <c r="G417" s="15" t="str">
        <f aca="false">IF(OR(B417="",F417=""),"",B417-F417)</f>
        <v/>
      </c>
      <c r="H417" s="13"/>
      <c r="I417" s="13"/>
      <c r="J417" s="13"/>
      <c r="K417" s="25"/>
      <c r="L417" s="25"/>
      <c r="M417" s="25"/>
      <c r="N417" s="25"/>
      <c r="O417" s="26"/>
      <c r="P417" s="16" t="str">
        <f aca="false">IF(O417="","",IFERROR(1/(1/(IF(K417="",INDEX(CONFIG!$F$5:$F$14,MATCH(D417,CONFIG!$D$5:$D$14,0)),K417)*IF(M417="",INDEX(CONFIG!$H$5:$H$14,MATCH(D417,CONFIG!$D$5:$D$14,0)),M417))),""))</f>
        <v/>
      </c>
      <c r="Q417" s="16" t="str">
        <f aca="false">IF(OR(O417="",P417=""),"",O417/P417)</f>
        <v/>
      </c>
      <c r="R417" s="16" t="str">
        <f aca="false">IF(Q417="","",Q417*0.0980665)</f>
        <v/>
      </c>
      <c r="S417" s="16" t="str">
        <f aca="false">IF(Q417="","",IFERROR(Q417/(1/(1/INDEX(CONFIG!$I$5:$I$14,MATCH(D417,CONFIG!$D$5:$D$14,0)))),""))</f>
        <v/>
      </c>
      <c r="T417" s="13"/>
      <c r="U417" s="13"/>
      <c r="V417" s="13"/>
      <c r="W417" s="13"/>
      <c r="X417" s="22" t="str">
        <f aca="false">IF(Q417="","",Q417^2)</f>
        <v/>
      </c>
      <c r="Y417" s="22" t="str">
        <f aca="false">IF(AND(C417&lt;&gt;"",C417=CERTIFICADO!$E$4,OR(CERTIFICADO!$E$5="",B417=CERTIFICADO!$E$5)),MAX($Y$4:Y416)+1,"")</f>
        <v/>
      </c>
    </row>
    <row r="418" customFormat="false" ht="15" hidden="false" customHeight="false" outlineLevel="0" collapsed="false">
      <c r="A418" s="11" t="str">
        <f aca="false">IF(C418="","",ROW()-4)</f>
        <v/>
      </c>
      <c r="B418" s="12"/>
      <c r="C418" s="13"/>
      <c r="D418" s="23" t="str">
        <f aca="false">IF(C418="","",IFERROR(INDEX(LOTES!$D$5:$D$1004,MATCH(C418,LOTES!$F$5:$F$1004,0)),"¿Lote?"))</f>
        <v/>
      </c>
      <c r="E418" s="11" t="str">
        <f aca="false">IF(C418="","",IFERROR(INDEX(LOTES!$C$5:$C$1004,MATCH(C418,LOTES!$F$5:$F$1004,0)),""))</f>
        <v/>
      </c>
      <c r="F418" s="24" t="str">
        <f aca="false">IF(C418="","",IFERROR(INDEX(LOTES!$B$5:$B$1004,MATCH(C418,LOTES!$F$5:$F$1004,0)),""))</f>
        <v/>
      </c>
      <c r="G418" s="15" t="str">
        <f aca="false">IF(OR(B418="",F418=""),"",B418-F418)</f>
        <v/>
      </c>
      <c r="H418" s="13"/>
      <c r="I418" s="13"/>
      <c r="J418" s="13"/>
      <c r="K418" s="25"/>
      <c r="L418" s="25"/>
      <c r="M418" s="25"/>
      <c r="N418" s="25"/>
      <c r="O418" s="26"/>
      <c r="P418" s="16" t="str">
        <f aca="false">IF(O418="","",IFERROR(1/(1/(IF(K418="",INDEX(CONFIG!$F$5:$F$14,MATCH(D418,CONFIG!$D$5:$D$14,0)),K418)*IF(M418="",INDEX(CONFIG!$H$5:$H$14,MATCH(D418,CONFIG!$D$5:$D$14,0)),M418))),""))</f>
        <v/>
      </c>
      <c r="Q418" s="16" t="str">
        <f aca="false">IF(OR(O418="",P418=""),"",O418/P418)</f>
        <v/>
      </c>
      <c r="R418" s="16" t="str">
        <f aca="false">IF(Q418="","",Q418*0.0980665)</f>
        <v/>
      </c>
      <c r="S418" s="16" t="str">
        <f aca="false">IF(Q418="","",IFERROR(Q418/(1/(1/INDEX(CONFIG!$I$5:$I$14,MATCH(D418,CONFIG!$D$5:$D$14,0)))),""))</f>
        <v/>
      </c>
      <c r="T418" s="13"/>
      <c r="U418" s="13"/>
      <c r="V418" s="13"/>
      <c r="W418" s="13"/>
      <c r="X418" s="22" t="str">
        <f aca="false">IF(Q418="","",Q418^2)</f>
        <v/>
      </c>
      <c r="Y418" s="22" t="str">
        <f aca="false">IF(AND(C418&lt;&gt;"",C418=CERTIFICADO!$E$4,OR(CERTIFICADO!$E$5="",B418=CERTIFICADO!$E$5)),MAX($Y$4:Y417)+1,"")</f>
        <v/>
      </c>
    </row>
    <row r="419" customFormat="false" ht="15" hidden="false" customHeight="false" outlineLevel="0" collapsed="false">
      <c r="A419" s="11" t="str">
        <f aca="false">IF(C419="","",ROW()-4)</f>
        <v/>
      </c>
      <c r="B419" s="12"/>
      <c r="C419" s="13"/>
      <c r="D419" s="23" t="str">
        <f aca="false">IF(C419="","",IFERROR(INDEX(LOTES!$D$5:$D$1004,MATCH(C419,LOTES!$F$5:$F$1004,0)),"¿Lote?"))</f>
        <v/>
      </c>
      <c r="E419" s="11" t="str">
        <f aca="false">IF(C419="","",IFERROR(INDEX(LOTES!$C$5:$C$1004,MATCH(C419,LOTES!$F$5:$F$1004,0)),""))</f>
        <v/>
      </c>
      <c r="F419" s="24" t="str">
        <f aca="false">IF(C419="","",IFERROR(INDEX(LOTES!$B$5:$B$1004,MATCH(C419,LOTES!$F$5:$F$1004,0)),""))</f>
        <v/>
      </c>
      <c r="G419" s="15" t="str">
        <f aca="false">IF(OR(B419="",F419=""),"",B419-F419)</f>
        <v/>
      </c>
      <c r="H419" s="13"/>
      <c r="I419" s="13"/>
      <c r="J419" s="13"/>
      <c r="K419" s="25"/>
      <c r="L419" s="25"/>
      <c r="M419" s="25"/>
      <c r="N419" s="25"/>
      <c r="O419" s="26"/>
      <c r="P419" s="16" t="str">
        <f aca="false">IF(O419="","",IFERROR(1/(1/(IF(K419="",INDEX(CONFIG!$F$5:$F$14,MATCH(D419,CONFIG!$D$5:$D$14,0)),K419)*IF(M419="",INDEX(CONFIG!$H$5:$H$14,MATCH(D419,CONFIG!$D$5:$D$14,0)),M419))),""))</f>
        <v/>
      </c>
      <c r="Q419" s="16" t="str">
        <f aca="false">IF(OR(O419="",P419=""),"",O419/P419)</f>
        <v/>
      </c>
      <c r="R419" s="16" t="str">
        <f aca="false">IF(Q419="","",Q419*0.0980665)</f>
        <v/>
      </c>
      <c r="S419" s="16" t="str">
        <f aca="false">IF(Q419="","",IFERROR(Q419/(1/(1/INDEX(CONFIG!$I$5:$I$14,MATCH(D419,CONFIG!$D$5:$D$14,0)))),""))</f>
        <v/>
      </c>
      <c r="T419" s="13"/>
      <c r="U419" s="13"/>
      <c r="V419" s="13"/>
      <c r="W419" s="13"/>
      <c r="X419" s="22" t="str">
        <f aca="false">IF(Q419="","",Q419^2)</f>
        <v/>
      </c>
      <c r="Y419" s="22" t="str">
        <f aca="false">IF(AND(C419&lt;&gt;"",C419=CERTIFICADO!$E$4,OR(CERTIFICADO!$E$5="",B419=CERTIFICADO!$E$5)),MAX($Y$4:Y418)+1,"")</f>
        <v/>
      </c>
    </row>
    <row r="420" customFormat="false" ht="15" hidden="false" customHeight="false" outlineLevel="0" collapsed="false">
      <c r="A420" s="11" t="str">
        <f aca="false">IF(C420="","",ROW()-4)</f>
        <v/>
      </c>
      <c r="B420" s="12"/>
      <c r="C420" s="13"/>
      <c r="D420" s="23" t="str">
        <f aca="false">IF(C420="","",IFERROR(INDEX(LOTES!$D$5:$D$1004,MATCH(C420,LOTES!$F$5:$F$1004,0)),"¿Lote?"))</f>
        <v/>
      </c>
      <c r="E420" s="11" t="str">
        <f aca="false">IF(C420="","",IFERROR(INDEX(LOTES!$C$5:$C$1004,MATCH(C420,LOTES!$F$5:$F$1004,0)),""))</f>
        <v/>
      </c>
      <c r="F420" s="24" t="str">
        <f aca="false">IF(C420="","",IFERROR(INDEX(LOTES!$B$5:$B$1004,MATCH(C420,LOTES!$F$5:$F$1004,0)),""))</f>
        <v/>
      </c>
      <c r="G420" s="15" t="str">
        <f aca="false">IF(OR(B420="",F420=""),"",B420-F420)</f>
        <v/>
      </c>
      <c r="H420" s="13"/>
      <c r="I420" s="13"/>
      <c r="J420" s="13"/>
      <c r="K420" s="25"/>
      <c r="L420" s="25"/>
      <c r="M420" s="25"/>
      <c r="N420" s="25"/>
      <c r="O420" s="26"/>
      <c r="P420" s="16" t="str">
        <f aca="false">IF(O420="","",IFERROR(1/(1/(IF(K420="",INDEX(CONFIG!$F$5:$F$14,MATCH(D420,CONFIG!$D$5:$D$14,0)),K420)*IF(M420="",INDEX(CONFIG!$H$5:$H$14,MATCH(D420,CONFIG!$D$5:$D$14,0)),M420))),""))</f>
        <v/>
      </c>
      <c r="Q420" s="16" t="str">
        <f aca="false">IF(OR(O420="",P420=""),"",O420/P420)</f>
        <v/>
      </c>
      <c r="R420" s="16" t="str">
        <f aca="false">IF(Q420="","",Q420*0.0980665)</f>
        <v/>
      </c>
      <c r="S420" s="16" t="str">
        <f aca="false">IF(Q420="","",IFERROR(Q420/(1/(1/INDEX(CONFIG!$I$5:$I$14,MATCH(D420,CONFIG!$D$5:$D$14,0)))),""))</f>
        <v/>
      </c>
      <c r="T420" s="13"/>
      <c r="U420" s="13"/>
      <c r="V420" s="13"/>
      <c r="W420" s="13"/>
      <c r="X420" s="22" t="str">
        <f aca="false">IF(Q420="","",Q420^2)</f>
        <v/>
      </c>
      <c r="Y420" s="22" t="str">
        <f aca="false">IF(AND(C420&lt;&gt;"",C420=CERTIFICADO!$E$4,OR(CERTIFICADO!$E$5="",B420=CERTIFICADO!$E$5)),MAX($Y$4:Y419)+1,"")</f>
        <v/>
      </c>
    </row>
    <row r="421" customFormat="false" ht="15" hidden="false" customHeight="false" outlineLevel="0" collapsed="false">
      <c r="A421" s="11" t="str">
        <f aca="false">IF(C421="","",ROW()-4)</f>
        <v/>
      </c>
      <c r="B421" s="12"/>
      <c r="C421" s="13"/>
      <c r="D421" s="23" t="str">
        <f aca="false">IF(C421="","",IFERROR(INDEX(LOTES!$D$5:$D$1004,MATCH(C421,LOTES!$F$5:$F$1004,0)),"¿Lote?"))</f>
        <v/>
      </c>
      <c r="E421" s="11" t="str">
        <f aca="false">IF(C421="","",IFERROR(INDEX(LOTES!$C$5:$C$1004,MATCH(C421,LOTES!$F$5:$F$1004,0)),""))</f>
        <v/>
      </c>
      <c r="F421" s="24" t="str">
        <f aca="false">IF(C421="","",IFERROR(INDEX(LOTES!$B$5:$B$1004,MATCH(C421,LOTES!$F$5:$F$1004,0)),""))</f>
        <v/>
      </c>
      <c r="G421" s="15" t="str">
        <f aca="false">IF(OR(B421="",F421=""),"",B421-F421)</f>
        <v/>
      </c>
      <c r="H421" s="13"/>
      <c r="I421" s="13"/>
      <c r="J421" s="13"/>
      <c r="K421" s="25"/>
      <c r="L421" s="25"/>
      <c r="M421" s="25"/>
      <c r="N421" s="25"/>
      <c r="O421" s="26"/>
      <c r="P421" s="16" t="str">
        <f aca="false">IF(O421="","",IFERROR(1/(1/(IF(K421="",INDEX(CONFIG!$F$5:$F$14,MATCH(D421,CONFIG!$D$5:$D$14,0)),K421)*IF(M421="",INDEX(CONFIG!$H$5:$H$14,MATCH(D421,CONFIG!$D$5:$D$14,0)),M421))),""))</f>
        <v/>
      </c>
      <c r="Q421" s="16" t="str">
        <f aca="false">IF(OR(O421="",P421=""),"",O421/P421)</f>
        <v/>
      </c>
      <c r="R421" s="16" t="str">
        <f aca="false">IF(Q421="","",Q421*0.0980665)</f>
        <v/>
      </c>
      <c r="S421" s="16" t="str">
        <f aca="false">IF(Q421="","",IFERROR(Q421/(1/(1/INDEX(CONFIG!$I$5:$I$14,MATCH(D421,CONFIG!$D$5:$D$14,0)))),""))</f>
        <v/>
      </c>
      <c r="T421" s="13"/>
      <c r="U421" s="13"/>
      <c r="V421" s="13"/>
      <c r="W421" s="13"/>
      <c r="X421" s="22" t="str">
        <f aca="false">IF(Q421="","",Q421^2)</f>
        <v/>
      </c>
      <c r="Y421" s="22" t="str">
        <f aca="false">IF(AND(C421&lt;&gt;"",C421=CERTIFICADO!$E$4,OR(CERTIFICADO!$E$5="",B421=CERTIFICADO!$E$5)),MAX($Y$4:Y420)+1,"")</f>
        <v/>
      </c>
    </row>
    <row r="422" customFormat="false" ht="15" hidden="false" customHeight="false" outlineLevel="0" collapsed="false">
      <c r="A422" s="11" t="str">
        <f aca="false">IF(C422="","",ROW()-4)</f>
        <v/>
      </c>
      <c r="B422" s="12"/>
      <c r="C422" s="13"/>
      <c r="D422" s="23" t="str">
        <f aca="false">IF(C422="","",IFERROR(INDEX(LOTES!$D$5:$D$1004,MATCH(C422,LOTES!$F$5:$F$1004,0)),"¿Lote?"))</f>
        <v/>
      </c>
      <c r="E422" s="11" t="str">
        <f aca="false">IF(C422="","",IFERROR(INDEX(LOTES!$C$5:$C$1004,MATCH(C422,LOTES!$F$5:$F$1004,0)),""))</f>
        <v/>
      </c>
      <c r="F422" s="24" t="str">
        <f aca="false">IF(C422="","",IFERROR(INDEX(LOTES!$B$5:$B$1004,MATCH(C422,LOTES!$F$5:$F$1004,0)),""))</f>
        <v/>
      </c>
      <c r="G422" s="15" t="str">
        <f aca="false">IF(OR(B422="",F422=""),"",B422-F422)</f>
        <v/>
      </c>
      <c r="H422" s="13"/>
      <c r="I422" s="13"/>
      <c r="J422" s="13"/>
      <c r="K422" s="25"/>
      <c r="L422" s="25"/>
      <c r="M422" s="25"/>
      <c r="N422" s="25"/>
      <c r="O422" s="26"/>
      <c r="P422" s="16" t="str">
        <f aca="false">IF(O422="","",IFERROR(1/(1/(IF(K422="",INDEX(CONFIG!$F$5:$F$14,MATCH(D422,CONFIG!$D$5:$D$14,0)),K422)*IF(M422="",INDEX(CONFIG!$H$5:$H$14,MATCH(D422,CONFIG!$D$5:$D$14,0)),M422))),""))</f>
        <v/>
      </c>
      <c r="Q422" s="16" t="str">
        <f aca="false">IF(OR(O422="",P422=""),"",O422/P422)</f>
        <v/>
      </c>
      <c r="R422" s="16" t="str">
        <f aca="false">IF(Q422="","",Q422*0.0980665)</f>
        <v/>
      </c>
      <c r="S422" s="16" t="str">
        <f aca="false">IF(Q422="","",IFERROR(Q422/(1/(1/INDEX(CONFIG!$I$5:$I$14,MATCH(D422,CONFIG!$D$5:$D$14,0)))),""))</f>
        <v/>
      </c>
      <c r="T422" s="13"/>
      <c r="U422" s="13"/>
      <c r="V422" s="13"/>
      <c r="W422" s="13"/>
      <c r="X422" s="22" t="str">
        <f aca="false">IF(Q422="","",Q422^2)</f>
        <v/>
      </c>
      <c r="Y422" s="22" t="str">
        <f aca="false">IF(AND(C422&lt;&gt;"",C422=CERTIFICADO!$E$4,OR(CERTIFICADO!$E$5="",B422=CERTIFICADO!$E$5)),MAX($Y$4:Y421)+1,"")</f>
        <v/>
      </c>
    </row>
    <row r="423" customFormat="false" ht="15" hidden="false" customHeight="false" outlineLevel="0" collapsed="false">
      <c r="A423" s="11" t="str">
        <f aca="false">IF(C423="","",ROW()-4)</f>
        <v/>
      </c>
      <c r="B423" s="12"/>
      <c r="C423" s="13"/>
      <c r="D423" s="23" t="str">
        <f aca="false">IF(C423="","",IFERROR(INDEX(LOTES!$D$5:$D$1004,MATCH(C423,LOTES!$F$5:$F$1004,0)),"¿Lote?"))</f>
        <v/>
      </c>
      <c r="E423" s="11" t="str">
        <f aca="false">IF(C423="","",IFERROR(INDEX(LOTES!$C$5:$C$1004,MATCH(C423,LOTES!$F$5:$F$1004,0)),""))</f>
        <v/>
      </c>
      <c r="F423" s="24" t="str">
        <f aca="false">IF(C423="","",IFERROR(INDEX(LOTES!$B$5:$B$1004,MATCH(C423,LOTES!$F$5:$F$1004,0)),""))</f>
        <v/>
      </c>
      <c r="G423" s="15" t="str">
        <f aca="false">IF(OR(B423="",F423=""),"",B423-F423)</f>
        <v/>
      </c>
      <c r="H423" s="13"/>
      <c r="I423" s="13"/>
      <c r="J423" s="13"/>
      <c r="K423" s="25"/>
      <c r="L423" s="25"/>
      <c r="M423" s="25"/>
      <c r="N423" s="25"/>
      <c r="O423" s="26"/>
      <c r="P423" s="16" t="str">
        <f aca="false">IF(O423="","",IFERROR(1/(1/(IF(K423="",INDEX(CONFIG!$F$5:$F$14,MATCH(D423,CONFIG!$D$5:$D$14,0)),K423)*IF(M423="",INDEX(CONFIG!$H$5:$H$14,MATCH(D423,CONFIG!$D$5:$D$14,0)),M423))),""))</f>
        <v/>
      </c>
      <c r="Q423" s="16" t="str">
        <f aca="false">IF(OR(O423="",P423=""),"",O423/P423)</f>
        <v/>
      </c>
      <c r="R423" s="16" t="str">
        <f aca="false">IF(Q423="","",Q423*0.0980665)</f>
        <v/>
      </c>
      <c r="S423" s="16" t="str">
        <f aca="false">IF(Q423="","",IFERROR(Q423/(1/(1/INDEX(CONFIG!$I$5:$I$14,MATCH(D423,CONFIG!$D$5:$D$14,0)))),""))</f>
        <v/>
      </c>
      <c r="T423" s="13"/>
      <c r="U423" s="13"/>
      <c r="V423" s="13"/>
      <c r="W423" s="13"/>
      <c r="X423" s="22" t="str">
        <f aca="false">IF(Q423="","",Q423^2)</f>
        <v/>
      </c>
      <c r="Y423" s="22" t="str">
        <f aca="false">IF(AND(C423&lt;&gt;"",C423=CERTIFICADO!$E$4,OR(CERTIFICADO!$E$5="",B423=CERTIFICADO!$E$5)),MAX($Y$4:Y422)+1,"")</f>
        <v/>
      </c>
    </row>
    <row r="424" customFormat="false" ht="15" hidden="false" customHeight="false" outlineLevel="0" collapsed="false">
      <c r="A424" s="11" t="str">
        <f aca="false">IF(C424="","",ROW()-4)</f>
        <v/>
      </c>
      <c r="B424" s="12"/>
      <c r="C424" s="13"/>
      <c r="D424" s="23" t="str">
        <f aca="false">IF(C424="","",IFERROR(INDEX(LOTES!$D$5:$D$1004,MATCH(C424,LOTES!$F$5:$F$1004,0)),"¿Lote?"))</f>
        <v/>
      </c>
      <c r="E424" s="11" t="str">
        <f aca="false">IF(C424="","",IFERROR(INDEX(LOTES!$C$5:$C$1004,MATCH(C424,LOTES!$F$5:$F$1004,0)),""))</f>
        <v/>
      </c>
      <c r="F424" s="24" t="str">
        <f aca="false">IF(C424="","",IFERROR(INDEX(LOTES!$B$5:$B$1004,MATCH(C424,LOTES!$F$5:$F$1004,0)),""))</f>
        <v/>
      </c>
      <c r="G424" s="15" t="str">
        <f aca="false">IF(OR(B424="",F424=""),"",B424-F424)</f>
        <v/>
      </c>
      <c r="H424" s="13"/>
      <c r="I424" s="13"/>
      <c r="J424" s="13"/>
      <c r="K424" s="25"/>
      <c r="L424" s="25"/>
      <c r="M424" s="25"/>
      <c r="N424" s="25"/>
      <c r="O424" s="26"/>
      <c r="P424" s="16" t="str">
        <f aca="false">IF(O424="","",IFERROR(1/(1/(IF(K424="",INDEX(CONFIG!$F$5:$F$14,MATCH(D424,CONFIG!$D$5:$D$14,0)),K424)*IF(M424="",INDEX(CONFIG!$H$5:$H$14,MATCH(D424,CONFIG!$D$5:$D$14,0)),M424))),""))</f>
        <v/>
      </c>
      <c r="Q424" s="16" t="str">
        <f aca="false">IF(OR(O424="",P424=""),"",O424/P424)</f>
        <v/>
      </c>
      <c r="R424" s="16" t="str">
        <f aca="false">IF(Q424="","",Q424*0.0980665)</f>
        <v/>
      </c>
      <c r="S424" s="16" t="str">
        <f aca="false">IF(Q424="","",IFERROR(Q424/(1/(1/INDEX(CONFIG!$I$5:$I$14,MATCH(D424,CONFIG!$D$5:$D$14,0)))),""))</f>
        <v/>
      </c>
      <c r="T424" s="13"/>
      <c r="U424" s="13"/>
      <c r="V424" s="13"/>
      <c r="W424" s="13"/>
      <c r="X424" s="22" t="str">
        <f aca="false">IF(Q424="","",Q424^2)</f>
        <v/>
      </c>
      <c r="Y424" s="22" t="str">
        <f aca="false">IF(AND(C424&lt;&gt;"",C424=CERTIFICADO!$E$4,OR(CERTIFICADO!$E$5="",B424=CERTIFICADO!$E$5)),MAX($Y$4:Y423)+1,"")</f>
        <v/>
      </c>
    </row>
    <row r="425" customFormat="false" ht="15" hidden="false" customHeight="false" outlineLevel="0" collapsed="false">
      <c r="A425" s="11" t="str">
        <f aca="false">IF(C425="","",ROW()-4)</f>
        <v/>
      </c>
      <c r="B425" s="12"/>
      <c r="C425" s="13"/>
      <c r="D425" s="23" t="str">
        <f aca="false">IF(C425="","",IFERROR(INDEX(LOTES!$D$5:$D$1004,MATCH(C425,LOTES!$F$5:$F$1004,0)),"¿Lote?"))</f>
        <v/>
      </c>
      <c r="E425" s="11" t="str">
        <f aca="false">IF(C425="","",IFERROR(INDEX(LOTES!$C$5:$C$1004,MATCH(C425,LOTES!$F$5:$F$1004,0)),""))</f>
        <v/>
      </c>
      <c r="F425" s="24" t="str">
        <f aca="false">IF(C425="","",IFERROR(INDEX(LOTES!$B$5:$B$1004,MATCH(C425,LOTES!$F$5:$F$1004,0)),""))</f>
        <v/>
      </c>
      <c r="G425" s="15" t="str">
        <f aca="false">IF(OR(B425="",F425=""),"",B425-F425)</f>
        <v/>
      </c>
      <c r="H425" s="13"/>
      <c r="I425" s="13"/>
      <c r="J425" s="13"/>
      <c r="K425" s="25"/>
      <c r="L425" s="25"/>
      <c r="M425" s="25"/>
      <c r="N425" s="25"/>
      <c r="O425" s="26"/>
      <c r="P425" s="16" t="str">
        <f aca="false">IF(O425="","",IFERROR(1/(1/(IF(K425="",INDEX(CONFIG!$F$5:$F$14,MATCH(D425,CONFIG!$D$5:$D$14,0)),K425)*IF(M425="",INDEX(CONFIG!$H$5:$H$14,MATCH(D425,CONFIG!$D$5:$D$14,0)),M425))),""))</f>
        <v/>
      </c>
      <c r="Q425" s="16" t="str">
        <f aca="false">IF(OR(O425="",P425=""),"",O425/P425)</f>
        <v/>
      </c>
      <c r="R425" s="16" t="str">
        <f aca="false">IF(Q425="","",Q425*0.0980665)</f>
        <v/>
      </c>
      <c r="S425" s="16" t="str">
        <f aca="false">IF(Q425="","",IFERROR(Q425/(1/(1/INDEX(CONFIG!$I$5:$I$14,MATCH(D425,CONFIG!$D$5:$D$14,0)))),""))</f>
        <v/>
      </c>
      <c r="T425" s="13"/>
      <c r="U425" s="13"/>
      <c r="V425" s="13"/>
      <c r="W425" s="13"/>
      <c r="X425" s="22" t="str">
        <f aca="false">IF(Q425="","",Q425^2)</f>
        <v/>
      </c>
      <c r="Y425" s="22" t="str">
        <f aca="false">IF(AND(C425&lt;&gt;"",C425=CERTIFICADO!$E$4,OR(CERTIFICADO!$E$5="",B425=CERTIFICADO!$E$5)),MAX($Y$4:Y424)+1,"")</f>
        <v/>
      </c>
    </row>
    <row r="426" customFormat="false" ht="15" hidden="false" customHeight="false" outlineLevel="0" collapsed="false">
      <c r="A426" s="11" t="str">
        <f aca="false">IF(C426="","",ROW()-4)</f>
        <v/>
      </c>
      <c r="B426" s="12"/>
      <c r="C426" s="13"/>
      <c r="D426" s="23" t="str">
        <f aca="false">IF(C426="","",IFERROR(INDEX(LOTES!$D$5:$D$1004,MATCH(C426,LOTES!$F$5:$F$1004,0)),"¿Lote?"))</f>
        <v/>
      </c>
      <c r="E426" s="11" t="str">
        <f aca="false">IF(C426="","",IFERROR(INDEX(LOTES!$C$5:$C$1004,MATCH(C426,LOTES!$F$5:$F$1004,0)),""))</f>
        <v/>
      </c>
      <c r="F426" s="24" t="str">
        <f aca="false">IF(C426="","",IFERROR(INDEX(LOTES!$B$5:$B$1004,MATCH(C426,LOTES!$F$5:$F$1004,0)),""))</f>
        <v/>
      </c>
      <c r="G426" s="15" t="str">
        <f aca="false">IF(OR(B426="",F426=""),"",B426-F426)</f>
        <v/>
      </c>
      <c r="H426" s="13"/>
      <c r="I426" s="13"/>
      <c r="J426" s="13"/>
      <c r="K426" s="25"/>
      <c r="L426" s="25"/>
      <c r="M426" s="25"/>
      <c r="N426" s="25"/>
      <c r="O426" s="26"/>
      <c r="P426" s="16" t="str">
        <f aca="false">IF(O426="","",IFERROR(1/(1/(IF(K426="",INDEX(CONFIG!$F$5:$F$14,MATCH(D426,CONFIG!$D$5:$D$14,0)),K426)*IF(M426="",INDEX(CONFIG!$H$5:$H$14,MATCH(D426,CONFIG!$D$5:$D$14,0)),M426))),""))</f>
        <v/>
      </c>
      <c r="Q426" s="16" t="str">
        <f aca="false">IF(OR(O426="",P426=""),"",O426/P426)</f>
        <v/>
      </c>
      <c r="R426" s="16" t="str">
        <f aca="false">IF(Q426="","",Q426*0.0980665)</f>
        <v/>
      </c>
      <c r="S426" s="16" t="str">
        <f aca="false">IF(Q426="","",IFERROR(Q426/(1/(1/INDEX(CONFIG!$I$5:$I$14,MATCH(D426,CONFIG!$D$5:$D$14,0)))),""))</f>
        <v/>
      </c>
      <c r="T426" s="13"/>
      <c r="U426" s="13"/>
      <c r="V426" s="13"/>
      <c r="W426" s="13"/>
      <c r="X426" s="22" t="str">
        <f aca="false">IF(Q426="","",Q426^2)</f>
        <v/>
      </c>
      <c r="Y426" s="22" t="str">
        <f aca="false">IF(AND(C426&lt;&gt;"",C426=CERTIFICADO!$E$4,OR(CERTIFICADO!$E$5="",B426=CERTIFICADO!$E$5)),MAX($Y$4:Y425)+1,"")</f>
        <v/>
      </c>
    </row>
    <row r="427" customFormat="false" ht="15" hidden="false" customHeight="false" outlineLevel="0" collapsed="false">
      <c r="A427" s="11" t="str">
        <f aca="false">IF(C427="","",ROW()-4)</f>
        <v/>
      </c>
      <c r="B427" s="12"/>
      <c r="C427" s="13"/>
      <c r="D427" s="23" t="str">
        <f aca="false">IF(C427="","",IFERROR(INDEX(LOTES!$D$5:$D$1004,MATCH(C427,LOTES!$F$5:$F$1004,0)),"¿Lote?"))</f>
        <v/>
      </c>
      <c r="E427" s="11" t="str">
        <f aca="false">IF(C427="","",IFERROR(INDEX(LOTES!$C$5:$C$1004,MATCH(C427,LOTES!$F$5:$F$1004,0)),""))</f>
        <v/>
      </c>
      <c r="F427" s="24" t="str">
        <f aca="false">IF(C427="","",IFERROR(INDEX(LOTES!$B$5:$B$1004,MATCH(C427,LOTES!$F$5:$F$1004,0)),""))</f>
        <v/>
      </c>
      <c r="G427" s="15" t="str">
        <f aca="false">IF(OR(B427="",F427=""),"",B427-F427)</f>
        <v/>
      </c>
      <c r="H427" s="13"/>
      <c r="I427" s="13"/>
      <c r="J427" s="13"/>
      <c r="K427" s="25"/>
      <c r="L427" s="25"/>
      <c r="M427" s="25"/>
      <c r="N427" s="25"/>
      <c r="O427" s="26"/>
      <c r="P427" s="16" t="str">
        <f aca="false">IF(O427="","",IFERROR(1/(1/(IF(K427="",INDEX(CONFIG!$F$5:$F$14,MATCH(D427,CONFIG!$D$5:$D$14,0)),K427)*IF(M427="",INDEX(CONFIG!$H$5:$H$14,MATCH(D427,CONFIG!$D$5:$D$14,0)),M427))),""))</f>
        <v/>
      </c>
      <c r="Q427" s="16" t="str">
        <f aca="false">IF(OR(O427="",P427=""),"",O427/P427)</f>
        <v/>
      </c>
      <c r="R427" s="16" t="str">
        <f aca="false">IF(Q427="","",Q427*0.0980665)</f>
        <v/>
      </c>
      <c r="S427" s="16" t="str">
        <f aca="false">IF(Q427="","",IFERROR(Q427/(1/(1/INDEX(CONFIG!$I$5:$I$14,MATCH(D427,CONFIG!$D$5:$D$14,0)))),""))</f>
        <v/>
      </c>
      <c r="T427" s="13"/>
      <c r="U427" s="13"/>
      <c r="V427" s="13"/>
      <c r="W427" s="13"/>
      <c r="X427" s="22" t="str">
        <f aca="false">IF(Q427="","",Q427^2)</f>
        <v/>
      </c>
      <c r="Y427" s="22" t="str">
        <f aca="false">IF(AND(C427&lt;&gt;"",C427=CERTIFICADO!$E$4,OR(CERTIFICADO!$E$5="",B427=CERTIFICADO!$E$5)),MAX($Y$4:Y426)+1,"")</f>
        <v/>
      </c>
    </row>
    <row r="428" customFormat="false" ht="15" hidden="false" customHeight="false" outlineLevel="0" collapsed="false">
      <c r="A428" s="11" t="str">
        <f aca="false">IF(C428="","",ROW()-4)</f>
        <v/>
      </c>
      <c r="B428" s="12"/>
      <c r="C428" s="13"/>
      <c r="D428" s="23" t="str">
        <f aca="false">IF(C428="","",IFERROR(INDEX(LOTES!$D$5:$D$1004,MATCH(C428,LOTES!$F$5:$F$1004,0)),"¿Lote?"))</f>
        <v/>
      </c>
      <c r="E428" s="11" t="str">
        <f aca="false">IF(C428="","",IFERROR(INDEX(LOTES!$C$5:$C$1004,MATCH(C428,LOTES!$F$5:$F$1004,0)),""))</f>
        <v/>
      </c>
      <c r="F428" s="24" t="str">
        <f aca="false">IF(C428="","",IFERROR(INDEX(LOTES!$B$5:$B$1004,MATCH(C428,LOTES!$F$5:$F$1004,0)),""))</f>
        <v/>
      </c>
      <c r="G428" s="15" t="str">
        <f aca="false">IF(OR(B428="",F428=""),"",B428-F428)</f>
        <v/>
      </c>
      <c r="H428" s="13"/>
      <c r="I428" s="13"/>
      <c r="J428" s="13"/>
      <c r="K428" s="25"/>
      <c r="L428" s="25"/>
      <c r="M428" s="25"/>
      <c r="N428" s="25"/>
      <c r="O428" s="26"/>
      <c r="P428" s="16" t="str">
        <f aca="false">IF(O428="","",IFERROR(1/(1/(IF(K428="",INDEX(CONFIG!$F$5:$F$14,MATCH(D428,CONFIG!$D$5:$D$14,0)),K428)*IF(M428="",INDEX(CONFIG!$H$5:$H$14,MATCH(D428,CONFIG!$D$5:$D$14,0)),M428))),""))</f>
        <v/>
      </c>
      <c r="Q428" s="16" t="str">
        <f aca="false">IF(OR(O428="",P428=""),"",O428/P428)</f>
        <v/>
      </c>
      <c r="R428" s="16" t="str">
        <f aca="false">IF(Q428="","",Q428*0.0980665)</f>
        <v/>
      </c>
      <c r="S428" s="16" t="str">
        <f aca="false">IF(Q428="","",IFERROR(Q428/(1/(1/INDEX(CONFIG!$I$5:$I$14,MATCH(D428,CONFIG!$D$5:$D$14,0)))),""))</f>
        <v/>
      </c>
      <c r="T428" s="13"/>
      <c r="U428" s="13"/>
      <c r="V428" s="13"/>
      <c r="W428" s="13"/>
      <c r="X428" s="22" t="str">
        <f aca="false">IF(Q428="","",Q428^2)</f>
        <v/>
      </c>
      <c r="Y428" s="22" t="str">
        <f aca="false">IF(AND(C428&lt;&gt;"",C428=CERTIFICADO!$E$4,OR(CERTIFICADO!$E$5="",B428=CERTIFICADO!$E$5)),MAX($Y$4:Y427)+1,"")</f>
        <v/>
      </c>
    </row>
    <row r="429" customFormat="false" ht="15" hidden="false" customHeight="false" outlineLevel="0" collapsed="false">
      <c r="A429" s="11" t="str">
        <f aca="false">IF(C429="","",ROW()-4)</f>
        <v/>
      </c>
      <c r="B429" s="12"/>
      <c r="C429" s="13"/>
      <c r="D429" s="23" t="str">
        <f aca="false">IF(C429="","",IFERROR(INDEX(LOTES!$D$5:$D$1004,MATCH(C429,LOTES!$F$5:$F$1004,0)),"¿Lote?"))</f>
        <v/>
      </c>
      <c r="E429" s="11" t="str">
        <f aca="false">IF(C429="","",IFERROR(INDEX(LOTES!$C$5:$C$1004,MATCH(C429,LOTES!$F$5:$F$1004,0)),""))</f>
        <v/>
      </c>
      <c r="F429" s="24" t="str">
        <f aca="false">IF(C429="","",IFERROR(INDEX(LOTES!$B$5:$B$1004,MATCH(C429,LOTES!$F$5:$F$1004,0)),""))</f>
        <v/>
      </c>
      <c r="G429" s="15" t="str">
        <f aca="false">IF(OR(B429="",F429=""),"",B429-F429)</f>
        <v/>
      </c>
      <c r="H429" s="13"/>
      <c r="I429" s="13"/>
      <c r="J429" s="13"/>
      <c r="K429" s="25"/>
      <c r="L429" s="25"/>
      <c r="M429" s="25"/>
      <c r="N429" s="25"/>
      <c r="O429" s="26"/>
      <c r="P429" s="16" t="str">
        <f aca="false">IF(O429="","",IFERROR(1/(1/(IF(K429="",INDEX(CONFIG!$F$5:$F$14,MATCH(D429,CONFIG!$D$5:$D$14,0)),K429)*IF(M429="",INDEX(CONFIG!$H$5:$H$14,MATCH(D429,CONFIG!$D$5:$D$14,0)),M429))),""))</f>
        <v/>
      </c>
      <c r="Q429" s="16" t="str">
        <f aca="false">IF(OR(O429="",P429=""),"",O429/P429)</f>
        <v/>
      </c>
      <c r="R429" s="16" t="str">
        <f aca="false">IF(Q429="","",Q429*0.0980665)</f>
        <v/>
      </c>
      <c r="S429" s="16" t="str">
        <f aca="false">IF(Q429="","",IFERROR(Q429/(1/(1/INDEX(CONFIG!$I$5:$I$14,MATCH(D429,CONFIG!$D$5:$D$14,0)))),""))</f>
        <v/>
      </c>
      <c r="T429" s="13"/>
      <c r="U429" s="13"/>
      <c r="V429" s="13"/>
      <c r="W429" s="13"/>
      <c r="X429" s="22" t="str">
        <f aca="false">IF(Q429="","",Q429^2)</f>
        <v/>
      </c>
      <c r="Y429" s="22" t="str">
        <f aca="false">IF(AND(C429&lt;&gt;"",C429=CERTIFICADO!$E$4,OR(CERTIFICADO!$E$5="",B429=CERTIFICADO!$E$5)),MAX($Y$4:Y428)+1,"")</f>
        <v/>
      </c>
    </row>
    <row r="430" customFormat="false" ht="15" hidden="false" customHeight="false" outlineLevel="0" collapsed="false">
      <c r="A430" s="11" t="str">
        <f aca="false">IF(C430="","",ROW()-4)</f>
        <v/>
      </c>
      <c r="B430" s="12"/>
      <c r="C430" s="13"/>
      <c r="D430" s="23" t="str">
        <f aca="false">IF(C430="","",IFERROR(INDEX(LOTES!$D$5:$D$1004,MATCH(C430,LOTES!$F$5:$F$1004,0)),"¿Lote?"))</f>
        <v/>
      </c>
      <c r="E430" s="11" t="str">
        <f aca="false">IF(C430="","",IFERROR(INDEX(LOTES!$C$5:$C$1004,MATCH(C430,LOTES!$F$5:$F$1004,0)),""))</f>
        <v/>
      </c>
      <c r="F430" s="24" t="str">
        <f aca="false">IF(C430="","",IFERROR(INDEX(LOTES!$B$5:$B$1004,MATCH(C430,LOTES!$F$5:$F$1004,0)),""))</f>
        <v/>
      </c>
      <c r="G430" s="15" t="str">
        <f aca="false">IF(OR(B430="",F430=""),"",B430-F430)</f>
        <v/>
      </c>
      <c r="H430" s="13"/>
      <c r="I430" s="13"/>
      <c r="J430" s="13"/>
      <c r="K430" s="25"/>
      <c r="L430" s="25"/>
      <c r="M430" s="25"/>
      <c r="N430" s="25"/>
      <c r="O430" s="26"/>
      <c r="P430" s="16" t="str">
        <f aca="false">IF(O430="","",IFERROR(1/(1/(IF(K430="",INDEX(CONFIG!$F$5:$F$14,MATCH(D430,CONFIG!$D$5:$D$14,0)),K430)*IF(M430="",INDEX(CONFIG!$H$5:$H$14,MATCH(D430,CONFIG!$D$5:$D$14,0)),M430))),""))</f>
        <v/>
      </c>
      <c r="Q430" s="16" t="str">
        <f aca="false">IF(OR(O430="",P430=""),"",O430/P430)</f>
        <v/>
      </c>
      <c r="R430" s="16" t="str">
        <f aca="false">IF(Q430="","",Q430*0.0980665)</f>
        <v/>
      </c>
      <c r="S430" s="16" t="str">
        <f aca="false">IF(Q430="","",IFERROR(Q430/(1/(1/INDEX(CONFIG!$I$5:$I$14,MATCH(D430,CONFIG!$D$5:$D$14,0)))),""))</f>
        <v/>
      </c>
      <c r="T430" s="13"/>
      <c r="U430" s="13"/>
      <c r="V430" s="13"/>
      <c r="W430" s="13"/>
      <c r="X430" s="22" t="str">
        <f aca="false">IF(Q430="","",Q430^2)</f>
        <v/>
      </c>
      <c r="Y430" s="22" t="str">
        <f aca="false">IF(AND(C430&lt;&gt;"",C430=CERTIFICADO!$E$4,OR(CERTIFICADO!$E$5="",B430=CERTIFICADO!$E$5)),MAX($Y$4:Y429)+1,"")</f>
        <v/>
      </c>
    </row>
    <row r="431" customFormat="false" ht="15" hidden="false" customHeight="false" outlineLevel="0" collapsed="false">
      <c r="A431" s="11" t="str">
        <f aca="false">IF(C431="","",ROW()-4)</f>
        <v/>
      </c>
      <c r="B431" s="12"/>
      <c r="C431" s="13"/>
      <c r="D431" s="23" t="str">
        <f aca="false">IF(C431="","",IFERROR(INDEX(LOTES!$D$5:$D$1004,MATCH(C431,LOTES!$F$5:$F$1004,0)),"¿Lote?"))</f>
        <v/>
      </c>
      <c r="E431" s="11" t="str">
        <f aca="false">IF(C431="","",IFERROR(INDEX(LOTES!$C$5:$C$1004,MATCH(C431,LOTES!$F$5:$F$1004,0)),""))</f>
        <v/>
      </c>
      <c r="F431" s="24" t="str">
        <f aca="false">IF(C431="","",IFERROR(INDEX(LOTES!$B$5:$B$1004,MATCH(C431,LOTES!$F$5:$F$1004,0)),""))</f>
        <v/>
      </c>
      <c r="G431" s="15" t="str">
        <f aca="false">IF(OR(B431="",F431=""),"",B431-F431)</f>
        <v/>
      </c>
      <c r="H431" s="13"/>
      <c r="I431" s="13"/>
      <c r="J431" s="13"/>
      <c r="K431" s="25"/>
      <c r="L431" s="25"/>
      <c r="M431" s="25"/>
      <c r="N431" s="25"/>
      <c r="O431" s="26"/>
      <c r="P431" s="16" t="str">
        <f aca="false">IF(O431="","",IFERROR(1/(1/(IF(K431="",INDEX(CONFIG!$F$5:$F$14,MATCH(D431,CONFIG!$D$5:$D$14,0)),K431)*IF(M431="",INDEX(CONFIG!$H$5:$H$14,MATCH(D431,CONFIG!$D$5:$D$14,0)),M431))),""))</f>
        <v/>
      </c>
      <c r="Q431" s="16" t="str">
        <f aca="false">IF(OR(O431="",P431=""),"",O431/P431)</f>
        <v/>
      </c>
      <c r="R431" s="16" t="str">
        <f aca="false">IF(Q431="","",Q431*0.0980665)</f>
        <v/>
      </c>
      <c r="S431" s="16" t="str">
        <f aca="false">IF(Q431="","",IFERROR(Q431/(1/(1/INDEX(CONFIG!$I$5:$I$14,MATCH(D431,CONFIG!$D$5:$D$14,0)))),""))</f>
        <v/>
      </c>
      <c r="T431" s="13"/>
      <c r="U431" s="13"/>
      <c r="V431" s="13"/>
      <c r="W431" s="13"/>
      <c r="X431" s="22" t="str">
        <f aca="false">IF(Q431="","",Q431^2)</f>
        <v/>
      </c>
      <c r="Y431" s="22" t="str">
        <f aca="false">IF(AND(C431&lt;&gt;"",C431=CERTIFICADO!$E$4,OR(CERTIFICADO!$E$5="",B431=CERTIFICADO!$E$5)),MAX($Y$4:Y430)+1,"")</f>
        <v/>
      </c>
    </row>
    <row r="432" customFormat="false" ht="15" hidden="false" customHeight="false" outlineLevel="0" collapsed="false">
      <c r="A432" s="11" t="str">
        <f aca="false">IF(C432="","",ROW()-4)</f>
        <v/>
      </c>
      <c r="B432" s="12"/>
      <c r="C432" s="13"/>
      <c r="D432" s="23" t="str">
        <f aca="false">IF(C432="","",IFERROR(INDEX(LOTES!$D$5:$D$1004,MATCH(C432,LOTES!$F$5:$F$1004,0)),"¿Lote?"))</f>
        <v/>
      </c>
      <c r="E432" s="11" t="str">
        <f aca="false">IF(C432="","",IFERROR(INDEX(LOTES!$C$5:$C$1004,MATCH(C432,LOTES!$F$5:$F$1004,0)),""))</f>
        <v/>
      </c>
      <c r="F432" s="24" t="str">
        <f aca="false">IF(C432="","",IFERROR(INDEX(LOTES!$B$5:$B$1004,MATCH(C432,LOTES!$F$5:$F$1004,0)),""))</f>
        <v/>
      </c>
      <c r="G432" s="15" t="str">
        <f aca="false">IF(OR(B432="",F432=""),"",B432-F432)</f>
        <v/>
      </c>
      <c r="H432" s="13"/>
      <c r="I432" s="13"/>
      <c r="J432" s="13"/>
      <c r="K432" s="25"/>
      <c r="L432" s="25"/>
      <c r="M432" s="25"/>
      <c r="N432" s="25"/>
      <c r="O432" s="26"/>
      <c r="P432" s="16" t="str">
        <f aca="false">IF(O432="","",IFERROR(1/(1/(IF(K432="",INDEX(CONFIG!$F$5:$F$14,MATCH(D432,CONFIG!$D$5:$D$14,0)),K432)*IF(M432="",INDEX(CONFIG!$H$5:$H$14,MATCH(D432,CONFIG!$D$5:$D$14,0)),M432))),""))</f>
        <v/>
      </c>
      <c r="Q432" s="16" t="str">
        <f aca="false">IF(OR(O432="",P432=""),"",O432/P432)</f>
        <v/>
      </c>
      <c r="R432" s="16" t="str">
        <f aca="false">IF(Q432="","",Q432*0.0980665)</f>
        <v/>
      </c>
      <c r="S432" s="16" t="str">
        <f aca="false">IF(Q432="","",IFERROR(Q432/(1/(1/INDEX(CONFIG!$I$5:$I$14,MATCH(D432,CONFIG!$D$5:$D$14,0)))),""))</f>
        <v/>
      </c>
      <c r="T432" s="13"/>
      <c r="U432" s="13"/>
      <c r="V432" s="13"/>
      <c r="W432" s="13"/>
      <c r="X432" s="22" t="str">
        <f aca="false">IF(Q432="","",Q432^2)</f>
        <v/>
      </c>
      <c r="Y432" s="22" t="str">
        <f aca="false">IF(AND(C432&lt;&gt;"",C432=CERTIFICADO!$E$4,OR(CERTIFICADO!$E$5="",B432=CERTIFICADO!$E$5)),MAX($Y$4:Y431)+1,"")</f>
        <v/>
      </c>
    </row>
    <row r="433" customFormat="false" ht="15" hidden="false" customHeight="false" outlineLevel="0" collapsed="false">
      <c r="A433" s="11" t="str">
        <f aca="false">IF(C433="","",ROW()-4)</f>
        <v/>
      </c>
      <c r="B433" s="12"/>
      <c r="C433" s="13"/>
      <c r="D433" s="23" t="str">
        <f aca="false">IF(C433="","",IFERROR(INDEX(LOTES!$D$5:$D$1004,MATCH(C433,LOTES!$F$5:$F$1004,0)),"¿Lote?"))</f>
        <v/>
      </c>
      <c r="E433" s="11" t="str">
        <f aca="false">IF(C433="","",IFERROR(INDEX(LOTES!$C$5:$C$1004,MATCH(C433,LOTES!$F$5:$F$1004,0)),""))</f>
        <v/>
      </c>
      <c r="F433" s="24" t="str">
        <f aca="false">IF(C433="","",IFERROR(INDEX(LOTES!$B$5:$B$1004,MATCH(C433,LOTES!$F$5:$F$1004,0)),""))</f>
        <v/>
      </c>
      <c r="G433" s="15" t="str">
        <f aca="false">IF(OR(B433="",F433=""),"",B433-F433)</f>
        <v/>
      </c>
      <c r="H433" s="13"/>
      <c r="I433" s="13"/>
      <c r="J433" s="13"/>
      <c r="K433" s="25"/>
      <c r="L433" s="25"/>
      <c r="M433" s="25"/>
      <c r="N433" s="25"/>
      <c r="O433" s="26"/>
      <c r="P433" s="16" t="str">
        <f aca="false">IF(O433="","",IFERROR(1/(1/(IF(K433="",INDEX(CONFIG!$F$5:$F$14,MATCH(D433,CONFIG!$D$5:$D$14,0)),K433)*IF(M433="",INDEX(CONFIG!$H$5:$H$14,MATCH(D433,CONFIG!$D$5:$D$14,0)),M433))),""))</f>
        <v/>
      </c>
      <c r="Q433" s="16" t="str">
        <f aca="false">IF(OR(O433="",P433=""),"",O433/P433)</f>
        <v/>
      </c>
      <c r="R433" s="16" t="str">
        <f aca="false">IF(Q433="","",Q433*0.0980665)</f>
        <v/>
      </c>
      <c r="S433" s="16" t="str">
        <f aca="false">IF(Q433="","",IFERROR(Q433/(1/(1/INDEX(CONFIG!$I$5:$I$14,MATCH(D433,CONFIG!$D$5:$D$14,0)))),""))</f>
        <v/>
      </c>
      <c r="T433" s="13"/>
      <c r="U433" s="13"/>
      <c r="V433" s="13"/>
      <c r="W433" s="13"/>
      <c r="X433" s="22" t="str">
        <f aca="false">IF(Q433="","",Q433^2)</f>
        <v/>
      </c>
      <c r="Y433" s="22" t="str">
        <f aca="false">IF(AND(C433&lt;&gt;"",C433=CERTIFICADO!$E$4,OR(CERTIFICADO!$E$5="",B433=CERTIFICADO!$E$5)),MAX($Y$4:Y432)+1,"")</f>
        <v/>
      </c>
    </row>
    <row r="434" customFormat="false" ht="15" hidden="false" customHeight="false" outlineLevel="0" collapsed="false">
      <c r="A434" s="11" t="str">
        <f aca="false">IF(C434="","",ROW()-4)</f>
        <v/>
      </c>
      <c r="B434" s="12"/>
      <c r="C434" s="13"/>
      <c r="D434" s="23" t="str">
        <f aca="false">IF(C434="","",IFERROR(INDEX(LOTES!$D$5:$D$1004,MATCH(C434,LOTES!$F$5:$F$1004,0)),"¿Lote?"))</f>
        <v/>
      </c>
      <c r="E434" s="11" t="str">
        <f aca="false">IF(C434="","",IFERROR(INDEX(LOTES!$C$5:$C$1004,MATCH(C434,LOTES!$F$5:$F$1004,0)),""))</f>
        <v/>
      </c>
      <c r="F434" s="24" t="str">
        <f aca="false">IF(C434="","",IFERROR(INDEX(LOTES!$B$5:$B$1004,MATCH(C434,LOTES!$F$5:$F$1004,0)),""))</f>
        <v/>
      </c>
      <c r="G434" s="15" t="str">
        <f aca="false">IF(OR(B434="",F434=""),"",B434-F434)</f>
        <v/>
      </c>
      <c r="H434" s="13"/>
      <c r="I434" s="13"/>
      <c r="J434" s="13"/>
      <c r="K434" s="25"/>
      <c r="L434" s="25"/>
      <c r="M434" s="25"/>
      <c r="N434" s="25"/>
      <c r="O434" s="26"/>
      <c r="P434" s="16" t="str">
        <f aca="false">IF(O434="","",IFERROR(1/(1/(IF(K434="",INDEX(CONFIG!$F$5:$F$14,MATCH(D434,CONFIG!$D$5:$D$14,0)),K434)*IF(M434="",INDEX(CONFIG!$H$5:$H$14,MATCH(D434,CONFIG!$D$5:$D$14,0)),M434))),""))</f>
        <v/>
      </c>
      <c r="Q434" s="16" t="str">
        <f aca="false">IF(OR(O434="",P434=""),"",O434/P434)</f>
        <v/>
      </c>
      <c r="R434" s="16" t="str">
        <f aca="false">IF(Q434="","",Q434*0.0980665)</f>
        <v/>
      </c>
      <c r="S434" s="16" t="str">
        <f aca="false">IF(Q434="","",IFERROR(Q434/(1/(1/INDEX(CONFIG!$I$5:$I$14,MATCH(D434,CONFIG!$D$5:$D$14,0)))),""))</f>
        <v/>
      </c>
      <c r="T434" s="13"/>
      <c r="U434" s="13"/>
      <c r="V434" s="13"/>
      <c r="W434" s="13"/>
      <c r="X434" s="22" t="str">
        <f aca="false">IF(Q434="","",Q434^2)</f>
        <v/>
      </c>
      <c r="Y434" s="22" t="str">
        <f aca="false">IF(AND(C434&lt;&gt;"",C434=CERTIFICADO!$E$4,OR(CERTIFICADO!$E$5="",B434=CERTIFICADO!$E$5)),MAX($Y$4:Y433)+1,"")</f>
        <v/>
      </c>
    </row>
    <row r="435" customFormat="false" ht="15" hidden="false" customHeight="false" outlineLevel="0" collapsed="false">
      <c r="A435" s="11" t="str">
        <f aca="false">IF(C435="","",ROW()-4)</f>
        <v/>
      </c>
      <c r="B435" s="12"/>
      <c r="C435" s="13"/>
      <c r="D435" s="23" t="str">
        <f aca="false">IF(C435="","",IFERROR(INDEX(LOTES!$D$5:$D$1004,MATCH(C435,LOTES!$F$5:$F$1004,0)),"¿Lote?"))</f>
        <v/>
      </c>
      <c r="E435" s="11" t="str">
        <f aca="false">IF(C435="","",IFERROR(INDEX(LOTES!$C$5:$C$1004,MATCH(C435,LOTES!$F$5:$F$1004,0)),""))</f>
        <v/>
      </c>
      <c r="F435" s="24" t="str">
        <f aca="false">IF(C435="","",IFERROR(INDEX(LOTES!$B$5:$B$1004,MATCH(C435,LOTES!$F$5:$F$1004,0)),""))</f>
        <v/>
      </c>
      <c r="G435" s="15" t="str">
        <f aca="false">IF(OR(B435="",F435=""),"",B435-F435)</f>
        <v/>
      </c>
      <c r="H435" s="13"/>
      <c r="I435" s="13"/>
      <c r="J435" s="13"/>
      <c r="K435" s="25"/>
      <c r="L435" s="25"/>
      <c r="M435" s="25"/>
      <c r="N435" s="25"/>
      <c r="O435" s="26"/>
      <c r="P435" s="16" t="str">
        <f aca="false">IF(O435="","",IFERROR(1/(1/(IF(K435="",INDEX(CONFIG!$F$5:$F$14,MATCH(D435,CONFIG!$D$5:$D$14,0)),K435)*IF(M435="",INDEX(CONFIG!$H$5:$H$14,MATCH(D435,CONFIG!$D$5:$D$14,0)),M435))),""))</f>
        <v/>
      </c>
      <c r="Q435" s="16" t="str">
        <f aca="false">IF(OR(O435="",P435=""),"",O435/P435)</f>
        <v/>
      </c>
      <c r="R435" s="16" t="str">
        <f aca="false">IF(Q435="","",Q435*0.0980665)</f>
        <v/>
      </c>
      <c r="S435" s="16" t="str">
        <f aca="false">IF(Q435="","",IFERROR(Q435/(1/(1/INDEX(CONFIG!$I$5:$I$14,MATCH(D435,CONFIG!$D$5:$D$14,0)))),""))</f>
        <v/>
      </c>
      <c r="T435" s="13"/>
      <c r="U435" s="13"/>
      <c r="V435" s="13"/>
      <c r="W435" s="13"/>
      <c r="X435" s="22" t="str">
        <f aca="false">IF(Q435="","",Q435^2)</f>
        <v/>
      </c>
      <c r="Y435" s="22" t="str">
        <f aca="false">IF(AND(C435&lt;&gt;"",C435=CERTIFICADO!$E$4,OR(CERTIFICADO!$E$5="",B435=CERTIFICADO!$E$5)),MAX($Y$4:Y434)+1,"")</f>
        <v/>
      </c>
    </row>
    <row r="436" customFormat="false" ht="15" hidden="false" customHeight="false" outlineLevel="0" collapsed="false">
      <c r="A436" s="11" t="str">
        <f aca="false">IF(C436="","",ROW()-4)</f>
        <v/>
      </c>
      <c r="B436" s="12"/>
      <c r="C436" s="13"/>
      <c r="D436" s="23" t="str">
        <f aca="false">IF(C436="","",IFERROR(INDEX(LOTES!$D$5:$D$1004,MATCH(C436,LOTES!$F$5:$F$1004,0)),"¿Lote?"))</f>
        <v/>
      </c>
      <c r="E436" s="11" t="str">
        <f aca="false">IF(C436="","",IFERROR(INDEX(LOTES!$C$5:$C$1004,MATCH(C436,LOTES!$F$5:$F$1004,0)),""))</f>
        <v/>
      </c>
      <c r="F436" s="24" t="str">
        <f aca="false">IF(C436="","",IFERROR(INDEX(LOTES!$B$5:$B$1004,MATCH(C436,LOTES!$F$5:$F$1004,0)),""))</f>
        <v/>
      </c>
      <c r="G436" s="15" t="str">
        <f aca="false">IF(OR(B436="",F436=""),"",B436-F436)</f>
        <v/>
      </c>
      <c r="H436" s="13"/>
      <c r="I436" s="13"/>
      <c r="J436" s="13"/>
      <c r="K436" s="25"/>
      <c r="L436" s="25"/>
      <c r="M436" s="25"/>
      <c r="N436" s="25"/>
      <c r="O436" s="26"/>
      <c r="P436" s="16" t="str">
        <f aca="false">IF(O436="","",IFERROR(1/(1/(IF(K436="",INDEX(CONFIG!$F$5:$F$14,MATCH(D436,CONFIG!$D$5:$D$14,0)),K436)*IF(M436="",INDEX(CONFIG!$H$5:$H$14,MATCH(D436,CONFIG!$D$5:$D$14,0)),M436))),""))</f>
        <v/>
      </c>
      <c r="Q436" s="16" t="str">
        <f aca="false">IF(OR(O436="",P436=""),"",O436/P436)</f>
        <v/>
      </c>
      <c r="R436" s="16" t="str">
        <f aca="false">IF(Q436="","",Q436*0.0980665)</f>
        <v/>
      </c>
      <c r="S436" s="16" t="str">
        <f aca="false">IF(Q436="","",IFERROR(Q436/(1/(1/INDEX(CONFIG!$I$5:$I$14,MATCH(D436,CONFIG!$D$5:$D$14,0)))),""))</f>
        <v/>
      </c>
      <c r="T436" s="13"/>
      <c r="U436" s="13"/>
      <c r="V436" s="13"/>
      <c r="W436" s="13"/>
      <c r="X436" s="22" t="str">
        <f aca="false">IF(Q436="","",Q436^2)</f>
        <v/>
      </c>
      <c r="Y436" s="22" t="str">
        <f aca="false">IF(AND(C436&lt;&gt;"",C436=CERTIFICADO!$E$4,OR(CERTIFICADO!$E$5="",B436=CERTIFICADO!$E$5)),MAX($Y$4:Y435)+1,"")</f>
        <v/>
      </c>
    </row>
    <row r="437" customFormat="false" ht="15" hidden="false" customHeight="false" outlineLevel="0" collapsed="false">
      <c r="A437" s="11" t="str">
        <f aca="false">IF(C437="","",ROW()-4)</f>
        <v/>
      </c>
      <c r="B437" s="12"/>
      <c r="C437" s="13"/>
      <c r="D437" s="23" t="str">
        <f aca="false">IF(C437="","",IFERROR(INDEX(LOTES!$D$5:$D$1004,MATCH(C437,LOTES!$F$5:$F$1004,0)),"¿Lote?"))</f>
        <v/>
      </c>
      <c r="E437" s="11" t="str">
        <f aca="false">IF(C437="","",IFERROR(INDEX(LOTES!$C$5:$C$1004,MATCH(C437,LOTES!$F$5:$F$1004,0)),""))</f>
        <v/>
      </c>
      <c r="F437" s="24" t="str">
        <f aca="false">IF(C437="","",IFERROR(INDEX(LOTES!$B$5:$B$1004,MATCH(C437,LOTES!$F$5:$F$1004,0)),""))</f>
        <v/>
      </c>
      <c r="G437" s="15" t="str">
        <f aca="false">IF(OR(B437="",F437=""),"",B437-F437)</f>
        <v/>
      </c>
      <c r="H437" s="13"/>
      <c r="I437" s="13"/>
      <c r="J437" s="13"/>
      <c r="K437" s="25"/>
      <c r="L437" s="25"/>
      <c r="M437" s="25"/>
      <c r="N437" s="25"/>
      <c r="O437" s="26"/>
      <c r="P437" s="16" t="str">
        <f aca="false">IF(O437="","",IFERROR(1/(1/(IF(K437="",INDEX(CONFIG!$F$5:$F$14,MATCH(D437,CONFIG!$D$5:$D$14,0)),K437)*IF(M437="",INDEX(CONFIG!$H$5:$H$14,MATCH(D437,CONFIG!$D$5:$D$14,0)),M437))),""))</f>
        <v/>
      </c>
      <c r="Q437" s="16" t="str">
        <f aca="false">IF(OR(O437="",P437=""),"",O437/P437)</f>
        <v/>
      </c>
      <c r="R437" s="16" t="str">
        <f aca="false">IF(Q437="","",Q437*0.0980665)</f>
        <v/>
      </c>
      <c r="S437" s="16" t="str">
        <f aca="false">IF(Q437="","",IFERROR(Q437/(1/(1/INDEX(CONFIG!$I$5:$I$14,MATCH(D437,CONFIG!$D$5:$D$14,0)))),""))</f>
        <v/>
      </c>
      <c r="T437" s="13"/>
      <c r="U437" s="13"/>
      <c r="V437" s="13"/>
      <c r="W437" s="13"/>
      <c r="X437" s="22" t="str">
        <f aca="false">IF(Q437="","",Q437^2)</f>
        <v/>
      </c>
      <c r="Y437" s="22" t="str">
        <f aca="false">IF(AND(C437&lt;&gt;"",C437=CERTIFICADO!$E$4,OR(CERTIFICADO!$E$5="",B437=CERTIFICADO!$E$5)),MAX($Y$4:Y436)+1,"")</f>
        <v/>
      </c>
    </row>
    <row r="438" customFormat="false" ht="15" hidden="false" customHeight="false" outlineLevel="0" collapsed="false">
      <c r="A438" s="11" t="str">
        <f aca="false">IF(C438="","",ROW()-4)</f>
        <v/>
      </c>
      <c r="B438" s="12"/>
      <c r="C438" s="13"/>
      <c r="D438" s="23" t="str">
        <f aca="false">IF(C438="","",IFERROR(INDEX(LOTES!$D$5:$D$1004,MATCH(C438,LOTES!$F$5:$F$1004,0)),"¿Lote?"))</f>
        <v/>
      </c>
      <c r="E438" s="11" t="str">
        <f aca="false">IF(C438="","",IFERROR(INDEX(LOTES!$C$5:$C$1004,MATCH(C438,LOTES!$F$5:$F$1004,0)),""))</f>
        <v/>
      </c>
      <c r="F438" s="24" t="str">
        <f aca="false">IF(C438="","",IFERROR(INDEX(LOTES!$B$5:$B$1004,MATCH(C438,LOTES!$F$5:$F$1004,0)),""))</f>
        <v/>
      </c>
      <c r="G438" s="15" t="str">
        <f aca="false">IF(OR(B438="",F438=""),"",B438-F438)</f>
        <v/>
      </c>
      <c r="H438" s="13"/>
      <c r="I438" s="13"/>
      <c r="J438" s="13"/>
      <c r="K438" s="25"/>
      <c r="L438" s="25"/>
      <c r="M438" s="25"/>
      <c r="N438" s="25"/>
      <c r="O438" s="26"/>
      <c r="P438" s="16" t="str">
        <f aca="false">IF(O438="","",IFERROR(1/(1/(IF(K438="",INDEX(CONFIG!$F$5:$F$14,MATCH(D438,CONFIG!$D$5:$D$14,0)),K438)*IF(M438="",INDEX(CONFIG!$H$5:$H$14,MATCH(D438,CONFIG!$D$5:$D$14,0)),M438))),""))</f>
        <v/>
      </c>
      <c r="Q438" s="16" t="str">
        <f aca="false">IF(OR(O438="",P438=""),"",O438/P438)</f>
        <v/>
      </c>
      <c r="R438" s="16" t="str">
        <f aca="false">IF(Q438="","",Q438*0.0980665)</f>
        <v/>
      </c>
      <c r="S438" s="16" t="str">
        <f aca="false">IF(Q438="","",IFERROR(Q438/(1/(1/INDEX(CONFIG!$I$5:$I$14,MATCH(D438,CONFIG!$D$5:$D$14,0)))),""))</f>
        <v/>
      </c>
      <c r="T438" s="13"/>
      <c r="U438" s="13"/>
      <c r="V438" s="13"/>
      <c r="W438" s="13"/>
      <c r="X438" s="22" t="str">
        <f aca="false">IF(Q438="","",Q438^2)</f>
        <v/>
      </c>
      <c r="Y438" s="22" t="str">
        <f aca="false">IF(AND(C438&lt;&gt;"",C438=CERTIFICADO!$E$4,OR(CERTIFICADO!$E$5="",B438=CERTIFICADO!$E$5)),MAX($Y$4:Y437)+1,"")</f>
        <v/>
      </c>
    </row>
    <row r="439" customFormat="false" ht="15" hidden="false" customHeight="false" outlineLevel="0" collapsed="false">
      <c r="A439" s="11" t="str">
        <f aca="false">IF(C439="","",ROW()-4)</f>
        <v/>
      </c>
      <c r="B439" s="12"/>
      <c r="C439" s="13"/>
      <c r="D439" s="23" t="str">
        <f aca="false">IF(C439="","",IFERROR(INDEX(LOTES!$D$5:$D$1004,MATCH(C439,LOTES!$F$5:$F$1004,0)),"¿Lote?"))</f>
        <v/>
      </c>
      <c r="E439" s="11" t="str">
        <f aca="false">IF(C439="","",IFERROR(INDEX(LOTES!$C$5:$C$1004,MATCH(C439,LOTES!$F$5:$F$1004,0)),""))</f>
        <v/>
      </c>
      <c r="F439" s="24" t="str">
        <f aca="false">IF(C439="","",IFERROR(INDEX(LOTES!$B$5:$B$1004,MATCH(C439,LOTES!$F$5:$F$1004,0)),""))</f>
        <v/>
      </c>
      <c r="G439" s="15" t="str">
        <f aca="false">IF(OR(B439="",F439=""),"",B439-F439)</f>
        <v/>
      </c>
      <c r="H439" s="13"/>
      <c r="I439" s="13"/>
      <c r="J439" s="13"/>
      <c r="K439" s="25"/>
      <c r="L439" s="25"/>
      <c r="M439" s="25"/>
      <c r="N439" s="25"/>
      <c r="O439" s="26"/>
      <c r="P439" s="16" t="str">
        <f aca="false">IF(O439="","",IFERROR(1/(1/(IF(K439="",INDEX(CONFIG!$F$5:$F$14,MATCH(D439,CONFIG!$D$5:$D$14,0)),K439)*IF(M439="",INDEX(CONFIG!$H$5:$H$14,MATCH(D439,CONFIG!$D$5:$D$14,0)),M439))),""))</f>
        <v/>
      </c>
      <c r="Q439" s="16" t="str">
        <f aca="false">IF(OR(O439="",P439=""),"",O439/P439)</f>
        <v/>
      </c>
      <c r="R439" s="16" t="str">
        <f aca="false">IF(Q439="","",Q439*0.0980665)</f>
        <v/>
      </c>
      <c r="S439" s="16" t="str">
        <f aca="false">IF(Q439="","",IFERROR(Q439/(1/(1/INDEX(CONFIG!$I$5:$I$14,MATCH(D439,CONFIG!$D$5:$D$14,0)))),""))</f>
        <v/>
      </c>
      <c r="T439" s="13"/>
      <c r="U439" s="13"/>
      <c r="V439" s="13"/>
      <c r="W439" s="13"/>
      <c r="X439" s="22" t="str">
        <f aca="false">IF(Q439="","",Q439^2)</f>
        <v/>
      </c>
      <c r="Y439" s="22" t="str">
        <f aca="false">IF(AND(C439&lt;&gt;"",C439=CERTIFICADO!$E$4,OR(CERTIFICADO!$E$5="",B439=CERTIFICADO!$E$5)),MAX($Y$4:Y438)+1,"")</f>
        <v/>
      </c>
    </row>
    <row r="440" customFormat="false" ht="15" hidden="false" customHeight="false" outlineLevel="0" collapsed="false">
      <c r="A440" s="11" t="str">
        <f aca="false">IF(C440="","",ROW()-4)</f>
        <v/>
      </c>
      <c r="B440" s="12"/>
      <c r="C440" s="13"/>
      <c r="D440" s="23" t="str">
        <f aca="false">IF(C440="","",IFERROR(INDEX(LOTES!$D$5:$D$1004,MATCH(C440,LOTES!$F$5:$F$1004,0)),"¿Lote?"))</f>
        <v/>
      </c>
      <c r="E440" s="11" t="str">
        <f aca="false">IF(C440="","",IFERROR(INDEX(LOTES!$C$5:$C$1004,MATCH(C440,LOTES!$F$5:$F$1004,0)),""))</f>
        <v/>
      </c>
      <c r="F440" s="24" t="str">
        <f aca="false">IF(C440="","",IFERROR(INDEX(LOTES!$B$5:$B$1004,MATCH(C440,LOTES!$F$5:$F$1004,0)),""))</f>
        <v/>
      </c>
      <c r="G440" s="15" t="str">
        <f aca="false">IF(OR(B440="",F440=""),"",B440-F440)</f>
        <v/>
      </c>
      <c r="H440" s="13"/>
      <c r="I440" s="13"/>
      <c r="J440" s="13"/>
      <c r="K440" s="25"/>
      <c r="L440" s="25"/>
      <c r="M440" s="25"/>
      <c r="N440" s="25"/>
      <c r="O440" s="26"/>
      <c r="P440" s="16" t="str">
        <f aca="false">IF(O440="","",IFERROR(1/(1/(IF(K440="",INDEX(CONFIG!$F$5:$F$14,MATCH(D440,CONFIG!$D$5:$D$14,0)),K440)*IF(M440="",INDEX(CONFIG!$H$5:$H$14,MATCH(D440,CONFIG!$D$5:$D$14,0)),M440))),""))</f>
        <v/>
      </c>
      <c r="Q440" s="16" t="str">
        <f aca="false">IF(OR(O440="",P440=""),"",O440/P440)</f>
        <v/>
      </c>
      <c r="R440" s="16" t="str">
        <f aca="false">IF(Q440="","",Q440*0.0980665)</f>
        <v/>
      </c>
      <c r="S440" s="16" t="str">
        <f aca="false">IF(Q440="","",IFERROR(Q440/(1/(1/INDEX(CONFIG!$I$5:$I$14,MATCH(D440,CONFIG!$D$5:$D$14,0)))),""))</f>
        <v/>
      </c>
      <c r="T440" s="13"/>
      <c r="U440" s="13"/>
      <c r="V440" s="13"/>
      <c r="W440" s="13"/>
      <c r="X440" s="22" t="str">
        <f aca="false">IF(Q440="","",Q440^2)</f>
        <v/>
      </c>
      <c r="Y440" s="22" t="str">
        <f aca="false">IF(AND(C440&lt;&gt;"",C440=CERTIFICADO!$E$4,OR(CERTIFICADO!$E$5="",B440=CERTIFICADO!$E$5)),MAX($Y$4:Y439)+1,"")</f>
        <v/>
      </c>
    </row>
    <row r="441" customFormat="false" ht="15" hidden="false" customHeight="false" outlineLevel="0" collapsed="false">
      <c r="A441" s="11" t="str">
        <f aca="false">IF(C441="","",ROW()-4)</f>
        <v/>
      </c>
      <c r="B441" s="12"/>
      <c r="C441" s="13"/>
      <c r="D441" s="23" t="str">
        <f aca="false">IF(C441="","",IFERROR(INDEX(LOTES!$D$5:$D$1004,MATCH(C441,LOTES!$F$5:$F$1004,0)),"¿Lote?"))</f>
        <v/>
      </c>
      <c r="E441" s="11" t="str">
        <f aca="false">IF(C441="","",IFERROR(INDEX(LOTES!$C$5:$C$1004,MATCH(C441,LOTES!$F$5:$F$1004,0)),""))</f>
        <v/>
      </c>
      <c r="F441" s="24" t="str">
        <f aca="false">IF(C441="","",IFERROR(INDEX(LOTES!$B$5:$B$1004,MATCH(C441,LOTES!$F$5:$F$1004,0)),""))</f>
        <v/>
      </c>
      <c r="G441" s="15" t="str">
        <f aca="false">IF(OR(B441="",F441=""),"",B441-F441)</f>
        <v/>
      </c>
      <c r="H441" s="13"/>
      <c r="I441" s="13"/>
      <c r="J441" s="13"/>
      <c r="K441" s="25"/>
      <c r="L441" s="25"/>
      <c r="M441" s="25"/>
      <c r="N441" s="25"/>
      <c r="O441" s="26"/>
      <c r="P441" s="16" t="str">
        <f aca="false">IF(O441="","",IFERROR(1/(1/(IF(K441="",INDEX(CONFIG!$F$5:$F$14,MATCH(D441,CONFIG!$D$5:$D$14,0)),K441)*IF(M441="",INDEX(CONFIG!$H$5:$H$14,MATCH(D441,CONFIG!$D$5:$D$14,0)),M441))),""))</f>
        <v/>
      </c>
      <c r="Q441" s="16" t="str">
        <f aca="false">IF(OR(O441="",P441=""),"",O441/P441)</f>
        <v/>
      </c>
      <c r="R441" s="16" t="str">
        <f aca="false">IF(Q441="","",Q441*0.0980665)</f>
        <v/>
      </c>
      <c r="S441" s="16" t="str">
        <f aca="false">IF(Q441="","",IFERROR(Q441/(1/(1/INDEX(CONFIG!$I$5:$I$14,MATCH(D441,CONFIG!$D$5:$D$14,0)))),""))</f>
        <v/>
      </c>
      <c r="T441" s="13"/>
      <c r="U441" s="13"/>
      <c r="V441" s="13"/>
      <c r="W441" s="13"/>
      <c r="X441" s="22" t="str">
        <f aca="false">IF(Q441="","",Q441^2)</f>
        <v/>
      </c>
      <c r="Y441" s="22" t="str">
        <f aca="false">IF(AND(C441&lt;&gt;"",C441=CERTIFICADO!$E$4,OR(CERTIFICADO!$E$5="",B441=CERTIFICADO!$E$5)),MAX($Y$4:Y440)+1,"")</f>
        <v/>
      </c>
    </row>
    <row r="442" customFormat="false" ht="15" hidden="false" customHeight="false" outlineLevel="0" collapsed="false">
      <c r="A442" s="11" t="str">
        <f aca="false">IF(C442="","",ROW()-4)</f>
        <v/>
      </c>
      <c r="B442" s="12"/>
      <c r="C442" s="13"/>
      <c r="D442" s="23" t="str">
        <f aca="false">IF(C442="","",IFERROR(INDEX(LOTES!$D$5:$D$1004,MATCH(C442,LOTES!$F$5:$F$1004,0)),"¿Lote?"))</f>
        <v/>
      </c>
      <c r="E442" s="11" t="str">
        <f aca="false">IF(C442="","",IFERROR(INDEX(LOTES!$C$5:$C$1004,MATCH(C442,LOTES!$F$5:$F$1004,0)),""))</f>
        <v/>
      </c>
      <c r="F442" s="24" t="str">
        <f aca="false">IF(C442="","",IFERROR(INDEX(LOTES!$B$5:$B$1004,MATCH(C442,LOTES!$F$5:$F$1004,0)),""))</f>
        <v/>
      </c>
      <c r="G442" s="15" t="str">
        <f aca="false">IF(OR(B442="",F442=""),"",B442-F442)</f>
        <v/>
      </c>
      <c r="H442" s="13"/>
      <c r="I442" s="13"/>
      <c r="J442" s="13"/>
      <c r="K442" s="25"/>
      <c r="L442" s="25"/>
      <c r="M442" s="25"/>
      <c r="N442" s="25"/>
      <c r="O442" s="26"/>
      <c r="P442" s="16" t="str">
        <f aca="false">IF(O442="","",IFERROR(1/(1/(IF(K442="",INDEX(CONFIG!$F$5:$F$14,MATCH(D442,CONFIG!$D$5:$D$14,0)),K442)*IF(M442="",INDEX(CONFIG!$H$5:$H$14,MATCH(D442,CONFIG!$D$5:$D$14,0)),M442))),""))</f>
        <v/>
      </c>
      <c r="Q442" s="16" t="str">
        <f aca="false">IF(OR(O442="",P442=""),"",O442/P442)</f>
        <v/>
      </c>
      <c r="R442" s="16" t="str">
        <f aca="false">IF(Q442="","",Q442*0.0980665)</f>
        <v/>
      </c>
      <c r="S442" s="16" t="str">
        <f aca="false">IF(Q442="","",IFERROR(Q442/(1/(1/INDEX(CONFIG!$I$5:$I$14,MATCH(D442,CONFIG!$D$5:$D$14,0)))),""))</f>
        <v/>
      </c>
      <c r="T442" s="13"/>
      <c r="U442" s="13"/>
      <c r="V442" s="13"/>
      <c r="W442" s="13"/>
      <c r="X442" s="22" t="str">
        <f aca="false">IF(Q442="","",Q442^2)</f>
        <v/>
      </c>
      <c r="Y442" s="22" t="str">
        <f aca="false">IF(AND(C442&lt;&gt;"",C442=CERTIFICADO!$E$4,OR(CERTIFICADO!$E$5="",B442=CERTIFICADO!$E$5)),MAX($Y$4:Y441)+1,"")</f>
        <v/>
      </c>
    </row>
    <row r="443" customFormat="false" ht="15" hidden="false" customHeight="false" outlineLevel="0" collapsed="false">
      <c r="A443" s="11" t="str">
        <f aca="false">IF(C443="","",ROW()-4)</f>
        <v/>
      </c>
      <c r="B443" s="12"/>
      <c r="C443" s="13"/>
      <c r="D443" s="23" t="str">
        <f aca="false">IF(C443="","",IFERROR(INDEX(LOTES!$D$5:$D$1004,MATCH(C443,LOTES!$F$5:$F$1004,0)),"¿Lote?"))</f>
        <v/>
      </c>
      <c r="E443" s="11" t="str">
        <f aca="false">IF(C443="","",IFERROR(INDEX(LOTES!$C$5:$C$1004,MATCH(C443,LOTES!$F$5:$F$1004,0)),""))</f>
        <v/>
      </c>
      <c r="F443" s="24" t="str">
        <f aca="false">IF(C443="","",IFERROR(INDEX(LOTES!$B$5:$B$1004,MATCH(C443,LOTES!$F$5:$F$1004,0)),""))</f>
        <v/>
      </c>
      <c r="G443" s="15" t="str">
        <f aca="false">IF(OR(B443="",F443=""),"",B443-F443)</f>
        <v/>
      </c>
      <c r="H443" s="13"/>
      <c r="I443" s="13"/>
      <c r="J443" s="13"/>
      <c r="K443" s="25"/>
      <c r="L443" s="25"/>
      <c r="M443" s="25"/>
      <c r="N443" s="25"/>
      <c r="O443" s="26"/>
      <c r="P443" s="16" t="str">
        <f aca="false">IF(O443="","",IFERROR(1/(1/(IF(K443="",INDEX(CONFIG!$F$5:$F$14,MATCH(D443,CONFIG!$D$5:$D$14,0)),K443)*IF(M443="",INDEX(CONFIG!$H$5:$H$14,MATCH(D443,CONFIG!$D$5:$D$14,0)),M443))),""))</f>
        <v/>
      </c>
      <c r="Q443" s="16" t="str">
        <f aca="false">IF(OR(O443="",P443=""),"",O443/P443)</f>
        <v/>
      </c>
      <c r="R443" s="16" t="str">
        <f aca="false">IF(Q443="","",Q443*0.0980665)</f>
        <v/>
      </c>
      <c r="S443" s="16" t="str">
        <f aca="false">IF(Q443="","",IFERROR(Q443/(1/(1/INDEX(CONFIG!$I$5:$I$14,MATCH(D443,CONFIG!$D$5:$D$14,0)))),""))</f>
        <v/>
      </c>
      <c r="T443" s="13"/>
      <c r="U443" s="13"/>
      <c r="V443" s="13"/>
      <c r="W443" s="13"/>
      <c r="X443" s="22" t="str">
        <f aca="false">IF(Q443="","",Q443^2)</f>
        <v/>
      </c>
      <c r="Y443" s="22" t="str">
        <f aca="false">IF(AND(C443&lt;&gt;"",C443=CERTIFICADO!$E$4,OR(CERTIFICADO!$E$5="",B443=CERTIFICADO!$E$5)),MAX($Y$4:Y442)+1,"")</f>
        <v/>
      </c>
    </row>
    <row r="444" customFormat="false" ht="15" hidden="false" customHeight="false" outlineLevel="0" collapsed="false">
      <c r="A444" s="11" t="str">
        <f aca="false">IF(C444="","",ROW()-4)</f>
        <v/>
      </c>
      <c r="B444" s="12"/>
      <c r="C444" s="13"/>
      <c r="D444" s="23" t="str">
        <f aca="false">IF(C444="","",IFERROR(INDEX(LOTES!$D$5:$D$1004,MATCH(C444,LOTES!$F$5:$F$1004,0)),"¿Lote?"))</f>
        <v/>
      </c>
      <c r="E444" s="11" t="str">
        <f aca="false">IF(C444="","",IFERROR(INDEX(LOTES!$C$5:$C$1004,MATCH(C444,LOTES!$F$5:$F$1004,0)),""))</f>
        <v/>
      </c>
      <c r="F444" s="24" t="str">
        <f aca="false">IF(C444="","",IFERROR(INDEX(LOTES!$B$5:$B$1004,MATCH(C444,LOTES!$F$5:$F$1004,0)),""))</f>
        <v/>
      </c>
      <c r="G444" s="15" t="str">
        <f aca="false">IF(OR(B444="",F444=""),"",B444-F444)</f>
        <v/>
      </c>
      <c r="H444" s="13"/>
      <c r="I444" s="13"/>
      <c r="J444" s="13"/>
      <c r="K444" s="25"/>
      <c r="L444" s="25"/>
      <c r="M444" s="25"/>
      <c r="N444" s="25"/>
      <c r="O444" s="26"/>
      <c r="P444" s="16" t="str">
        <f aca="false">IF(O444="","",IFERROR(1/(1/(IF(K444="",INDEX(CONFIG!$F$5:$F$14,MATCH(D444,CONFIG!$D$5:$D$14,0)),K444)*IF(M444="",INDEX(CONFIG!$H$5:$H$14,MATCH(D444,CONFIG!$D$5:$D$14,0)),M444))),""))</f>
        <v/>
      </c>
      <c r="Q444" s="16" t="str">
        <f aca="false">IF(OR(O444="",P444=""),"",O444/P444)</f>
        <v/>
      </c>
      <c r="R444" s="16" t="str">
        <f aca="false">IF(Q444="","",Q444*0.0980665)</f>
        <v/>
      </c>
      <c r="S444" s="16" t="str">
        <f aca="false">IF(Q444="","",IFERROR(Q444/(1/(1/INDEX(CONFIG!$I$5:$I$14,MATCH(D444,CONFIG!$D$5:$D$14,0)))),""))</f>
        <v/>
      </c>
      <c r="T444" s="13"/>
      <c r="U444" s="13"/>
      <c r="V444" s="13"/>
      <c r="W444" s="13"/>
      <c r="X444" s="22" t="str">
        <f aca="false">IF(Q444="","",Q444^2)</f>
        <v/>
      </c>
      <c r="Y444" s="22" t="str">
        <f aca="false">IF(AND(C444&lt;&gt;"",C444=CERTIFICADO!$E$4,OR(CERTIFICADO!$E$5="",B444=CERTIFICADO!$E$5)),MAX($Y$4:Y443)+1,"")</f>
        <v/>
      </c>
    </row>
    <row r="445" customFormat="false" ht="15" hidden="false" customHeight="false" outlineLevel="0" collapsed="false">
      <c r="A445" s="11" t="str">
        <f aca="false">IF(C445="","",ROW()-4)</f>
        <v/>
      </c>
      <c r="B445" s="12"/>
      <c r="C445" s="13"/>
      <c r="D445" s="23" t="str">
        <f aca="false">IF(C445="","",IFERROR(INDEX(LOTES!$D$5:$D$1004,MATCH(C445,LOTES!$F$5:$F$1004,0)),"¿Lote?"))</f>
        <v/>
      </c>
      <c r="E445" s="11" t="str">
        <f aca="false">IF(C445="","",IFERROR(INDEX(LOTES!$C$5:$C$1004,MATCH(C445,LOTES!$F$5:$F$1004,0)),""))</f>
        <v/>
      </c>
      <c r="F445" s="24" t="str">
        <f aca="false">IF(C445="","",IFERROR(INDEX(LOTES!$B$5:$B$1004,MATCH(C445,LOTES!$F$5:$F$1004,0)),""))</f>
        <v/>
      </c>
      <c r="G445" s="15" t="str">
        <f aca="false">IF(OR(B445="",F445=""),"",B445-F445)</f>
        <v/>
      </c>
      <c r="H445" s="13"/>
      <c r="I445" s="13"/>
      <c r="J445" s="13"/>
      <c r="K445" s="25"/>
      <c r="L445" s="25"/>
      <c r="M445" s="25"/>
      <c r="N445" s="25"/>
      <c r="O445" s="26"/>
      <c r="P445" s="16" t="str">
        <f aca="false">IF(O445="","",IFERROR(1/(1/(IF(K445="",INDEX(CONFIG!$F$5:$F$14,MATCH(D445,CONFIG!$D$5:$D$14,0)),K445)*IF(M445="",INDEX(CONFIG!$H$5:$H$14,MATCH(D445,CONFIG!$D$5:$D$14,0)),M445))),""))</f>
        <v/>
      </c>
      <c r="Q445" s="16" t="str">
        <f aca="false">IF(OR(O445="",P445=""),"",O445/P445)</f>
        <v/>
      </c>
      <c r="R445" s="16" t="str">
        <f aca="false">IF(Q445="","",Q445*0.0980665)</f>
        <v/>
      </c>
      <c r="S445" s="16" t="str">
        <f aca="false">IF(Q445="","",IFERROR(Q445/(1/(1/INDEX(CONFIG!$I$5:$I$14,MATCH(D445,CONFIG!$D$5:$D$14,0)))),""))</f>
        <v/>
      </c>
      <c r="T445" s="13"/>
      <c r="U445" s="13"/>
      <c r="V445" s="13"/>
      <c r="W445" s="13"/>
      <c r="X445" s="22" t="str">
        <f aca="false">IF(Q445="","",Q445^2)</f>
        <v/>
      </c>
      <c r="Y445" s="22" t="str">
        <f aca="false">IF(AND(C445&lt;&gt;"",C445=CERTIFICADO!$E$4,OR(CERTIFICADO!$E$5="",B445=CERTIFICADO!$E$5)),MAX($Y$4:Y444)+1,"")</f>
        <v/>
      </c>
    </row>
    <row r="446" customFormat="false" ht="15" hidden="false" customHeight="false" outlineLevel="0" collapsed="false">
      <c r="A446" s="11" t="str">
        <f aca="false">IF(C446="","",ROW()-4)</f>
        <v/>
      </c>
      <c r="B446" s="12"/>
      <c r="C446" s="13"/>
      <c r="D446" s="23" t="str">
        <f aca="false">IF(C446="","",IFERROR(INDEX(LOTES!$D$5:$D$1004,MATCH(C446,LOTES!$F$5:$F$1004,0)),"¿Lote?"))</f>
        <v/>
      </c>
      <c r="E446" s="11" t="str">
        <f aca="false">IF(C446="","",IFERROR(INDEX(LOTES!$C$5:$C$1004,MATCH(C446,LOTES!$F$5:$F$1004,0)),""))</f>
        <v/>
      </c>
      <c r="F446" s="24" t="str">
        <f aca="false">IF(C446="","",IFERROR(INDEX(LOTES!$B$5:$B$1004,MATCH(C446,LOTES!$F$5:$F$1004,0)),""))</f>
        <v/>
      </c>
      <c r="G446" s="15" t="str">
        <f aca="false">IF(OR(B446="",F446=""),"",B446-F446)</f>
        <v/>
      </c>
      <c r="H446" s="13"/>
      <c r="I446" s="13"/>
      <c r="J446" s="13"/>
      <c r="K446" s="25"/>
      <c r="L446" s="25"/>
      <c r="M446" s="25"/>
      <c r="N446" s="25"/>
      <c r="O446" s="26"/>
      <c r="P446" s="16" t="str">
        <f aca="false">IF(O446="","",IFERROR(1/(1/(IF(K446="",INDEX(CONFIG!$F$5:$F$14,MATCH(D446,CONFIG!$D$5:$D$14,0)),K446)*IF(M446="",INDEX(CONFIG!$H$5:$H$14,MATCH(D446,CONFIG!$D$5:$D$14,0)),M446))),""))</f>
        <v/>
      </c>
      <c r="Q446" s="16" t="str">
        <f aca="false">IF(OR(O446="",P446=""),"",O446/P446)</f>
        <v/>
      </c>
      <c r="R446" s="16" t="str">
        <f aca="false">IF(Q446="","",Q446*0.0980665)</f>
        <v/>
      </c>
      <c r="S446" s="16" t="str">
        <f aca="false">IF(Q446="","",IFERROR(Q446/(1/(1/INDEX(CONFIG!$I$5:$I$14,MATCH(D446,CONFIG!$D$5:$D$14,0)))),""))</f>
        <v/>
      </c>
      <c r="T446" s="13"/>
      <c r="U446" s="13"/>
      <c r="V446" s="13"/>
      <c r="W446" s="13"/>
      <c r="X446" s="22" t="str">
        <f aca="false">IF(Q446="","",Q446^2)</f>
        <v/>
      </c>
      <c r="Y446" s="22" t="str">
        <f aca="false">IF(AND(C446&lt;&gt;"",C446=CERTIFICADO!$E$4,OR(CERTIFICADO!$E$5="",B446=CERTIFICADO!$E$5)),MAX($Y$4:Y445)+1,"")</f>
        <v/>
      </c>
    </row>
    <row r="447" customFormat="false" ht="15" hidden="false" customHeight="false" outlineLevel="0" collapsed="false">
      <c r="A447" s="11" t="str">
        <f aca="false">IF(C447="","",ROW()-4)</f>
        <v/>
      </c>
      <c r="B447" s="12"/>
      <c r="C447" s="13"/>
      <c r="D447" s="23" t="str">
        <f aca="false">IF(C447="","",IFERROR(INDEX(LOTES!$D$5:$D$1004,MATCH(C447,LOTES!$F$5:$F$1004,0)),"¿Lote?"))</f>
        <v/>
      </c>
      <c r="E447" s="11" t="str">
        <f aca="false">IF(C447="","",IFERROR(INDEX(LOTES!$C$5:$C$1004,MATCH(C447,LOTES!$F$5:$F$1004,0)),""))</f>
        <v/>
      </c>
      <c r="F447" s="24" t="str">
        <f aca="false">IF(C447="","",IFERROR(INDEX(LOTES!$B$5:$B$1004,MATCH(C447,LOTES!$F$5:$F$1004,0)),""))</f>
        <v/>
      </c>
      <c r="G447" s="15" t="str">
        <f aca="false">IF(OR(B447="",F447=""),"",B447-F447)</f>
        <v/>
      </c>
      <c r="H447" s="13"/>
      <c r="I447" s="13"/>
      <c r="J447" s="13"/>
      <c r="K447" s="25"/>
      <c r="L447" s="25"/>
      <c r="M447" s="25"/>
      <c r="N447" s="25"/>
      <c r="O447" s="26"/>
      <c r="P447" s="16" t="str">
        <f aca="false">IF(O447="","",IFERROR(1/(1/(IF(K447="",INDEX(CONFIG!$F$5:$F$14,MATCH(D447,CONFIG!$D$5:$D$14,0)),K447)*IF(M447="",INDEX(CONFIG!$H$5:$H$14,MATCH(D447,CONFIG!$D$5:$D$14,0)),M447))),""))</f>
        <v/>
      </c>
      <c r="Q447" s="16" t="str">
        <f aca="false">IF(OR(O447="",P447=""),"",O447/P447)</f>
        <v/>
      </c>
      <c r="R447" s="16" t="str">
        <f aca="false">IF(Q447="","",Q447*0.0980665)</f>
        <v/>
      </c>
      <c r="S447" s="16" t="str">
        <f aca="false">IF(Q447="","",IFERROR(Q447/(1/(1/INDEX(CONFIG!$I$5:$I$14,MATCH(D447,CONFIG!$D$5:$D$14,0)))),""))</f>
        <v/>
      </c>
      <c r="T447" s="13"/>
      <c r="U447" s="13"/>
      <c r="V447" s="13"/>
      <c r="W447" s="13"/>
      <c r="X447" s="22" t="str">
        <f aca="false">IF(Q447="","",Q447^2)</f>
        <v/>
      </c>
      <c r="Y447" s="22" t="str">
        <f aca="false">IF(AND(C447&lt;&gt;"",C447=CERTIFICADO!$E$4,OR(CERTIFICADO!$E$5="",B447=CERTIFICADO!$E$5)),MAX($Y$4:Y446)+1,"")</f>
        <v/>
      </c>
    </row>
    <row r="448" customFormat="false" ht="15" hidden="false" customHeight="false" outlineLevel="0" collapsed="false">
      <c r="A448" s="11" t="str">
        <f aca="false">IF(C448="","",ROW()-4)</f>
        <v/>
      </c>
      <c r="B448" s="12"/>
      <c r="C448" s="13"/>
      <c r="D448" s="23" t="str">
        <f aca="false">IF(C448="","",IFERROR(INDEX(LOTES!$D$5:$D$1004,MATCH(C448,LOTES!$F$5:$F$1004,0)),"¿Lote?"))</f>
        <v/>
      </c>
      <c r="E448" s="11" t="str">
        <f aca="false">IF(C448="","",IFERROR(INDEX(LOTES!$C$5:$C$1004,MATCH(C448,LOTES!$F$5:$F$1004,0)),""))</f>
        <v/>
      </c>
      <c r="F448" s="24" t="str">
        <f aca="false">IF(C448="","",IFERROR(INDEX(LOTES!$B$5:$B$1004,MATCH(C448,LOTES!$F$5:$F$1004,0)),""))</f>
        <v/>
      </c>
      <c r="G448" s="15" t="str">
        <f aca="false">IF(OR(B448="",F448=""),"",B448-F448)</f>
        <v/>
      </c>
      <c r="H448" s="13"/>
      <c r="I448" s="13"/>
      <c r="J448" s="13"/>
      <c r="K448" s="25"/>
      <c r="L448" s="25"/>
      <c r="M448" s="25"/>
      <c r="N448" s="25"/>
      <c r="O448" s="26"/>
      <c r="P448" s="16" t="str">
        <f aca="false">IF(O448="","",IFERROR(1/(1/(IF(K448="",INDEX(CONFIG!$F$5:$F$14,MATCH(D448,CONFIG!$D$5:$D$14,0)),K448)*IF(M448="",INDEX(CONFIG!$H$5:$H$14,MATCH(D448,CONFIG!$D$5:$D$14,0)),M448))),""))</f>
        <v/>
      </c>
      <c r="Q448" s="16" t="str">
        <f aca="false">IF(OR(O448="",P448=""),"",O448/P448)</f>
        <v/>
      </c>
      <c r="R448" s="16" t="str">
        <f aca="false">IF(Q448="","",Q448*0.0980665)</f>
        <v/>
      </c>
      <c r="S448" s="16" t="str">
        <f aca="false">IF(Q448="","",IFERROR(Q448/(1/(1/INDEX(CONFIG!$I$5:$I$14,MATCH(D448,CONFIG!$D$5:$D$14,0)))),""))</f>
        <v/>
      </c>
      <c r="T448" s="13"/>
      <c r="U448" s="13"/>
      <c r="V448" s="13"/>
      <c r="W448" s="13"/>
      <c r="X448" s="22" t="str">
        <f aca="false">IF(Q448="","",Q448^2)</f>
        <v/>
      </c>
      <c r="Y448" s="22" t="str">
        <f aca="false">IF(AND(C448&lt;&gt;"",C448=CERTIFICADO!$E$4,OR(CERTIFICADO!$E$5="",B448=CERTIFICADO!$E$5)),MAX($Y$4:Y447)+1,"")</f>
        <v/>
      </c>
    </row>
    <row r="449" customFormat="false" ht="15" hidden="false" customHeight="false" outlineLevel="0" collapsed="false">
      <c r="A449" s="11" t="str">
        <f aca="false">IF(C449="","",ROW()-4)</f>
        <v/>
      </c>
      <c r="B449" s="12"/>
      <c r="C449" s="13"/>
      <c r="D449" s="23" t="str">
        <f aca="false">IF(C449="","",IFERROR(INDEX(LOTES!$D$5:$D$1004,MATCH(C449,LOTES!$F$5:$F$1004,0)),"¿Lote?"))</f>
        <v/>
      </c>
      <c r="E449" s="11" t="str">
        <f aca="false">IF(C449="","",IFERROR(INDEX(LOTES!$C$5:$C$1004,MATCH(C449,LOTES!$F$5:$F$1004,0)),""))</f>
        <v/>
      </c>
      <c r="F449" s="24" t="str">
        <f aca="false">IF(C449="","",IFERROR(INDEX(LOTES!$B$5:$B$1004,MATCH(C449,LOTES!$F$5:$F$1004,0)),""))</f>
        <v/>
      </c>
      <c r="G449" s="15" t="str">
        <f aca="false">IF(OR(B449="",F449=""),"",B449-F449)</f>
        <v/>
      </c>
      <c r="H449" s="13"/>
      <c r="I449" s="13"/>
      <c r="J449" s="13"/>
      <c r="K449" s="25"/>
      <c r="L449" s="25"/>
      <c r="M449" s="25"/>
      <c r="N449" s="25"/>
      <c r="O449" s="26"/>
      <c r="P449" s="16" t="str">
        <f aca="false">IF(O449="","",IFERROR(1/(1/(IF(K449="",INDEX(CONFIG!$F$5:$F$14,MATCH(D449,CONFIG!$D$5:$D$14,0)),K449)*IF(M449="",INDEX(CONFIG!$H$5:$H$14,MATCH(D449,CONFIG!$D$5:$D$14,0)),M449))),""))</f>
        <v/>
      </c>
      <c r="Q449" s="16" t="str">
        <f aca="false">IF(OR(O449="",P449=""),"",O449/P449)</f>
        <v/>
      </c>
      <c r="R449" s="16" t="str">
        <f aca="false">IF(Q449="","",Q449*0.0980665)</f>
        <v/>
      </c>
      <c r="S449" s="16" t="str">
        <f aca="false">IF(Q449="","",IFERROR(Q449/(1/(1/INDEX(CONFIG!$I$5:$I$14,MATCH(D449,CONFIG!$D$5:$D$14,0)))),""))</f>
        <v/>
      </c>
      <c r="T449" s="13"/>
      <c r="U449" s="13"/>
      <c r="V449" s="13"/>
      <c r="W449" s="13"/>
      <c r="X449" s="22" t="str">
        <f aca="false">IF(Q449="","",Q449^2)</f>
        <v/>
      </c>
      <c r="Y449" s="22" t="str">
        <f aca="false">IF(AND(C449&lt;&gt;"",C449=CERTIFICADO!$E$4,OR(CERTIFICADO!$E$5="",B449=CERTIFICADO!$E$5)),MAX($Y$4:Y448)+1,"")</f>
        <v/>
      </c>
    </row>
    <row r="450" customFormat="false" ht="15" hidden="false" customHeight="false" outlineLevel="0" collapsed="false">
      <c r="A450" s="11" t="str">
        <f aca="false">IF(C450="","",ROW()-4)</f>
        <v/>
      </c>
      <c r="B450" s="12"/>
      <c r="C450" s="13"/>
      <c r="D450" s="23" t="str">
        <f aca="false">IF(C450="","",IFERROR(INDEX(LOTES!$D$5:$D$1004,MATCH(C450,LOTES!$F$5:$F$1004,0)),"¿Lote?"))</f>
        <v/>
      </c>
      <c r="E450" s="11" t="str">
        <f aca="false">IF(C450="","",IFERROR(INDEX(LOTES!$C$5:$C$1004,MATCH(C450,LOTES!$F$5:$F$1004,0)),""))</f>
        <v/>
      </c>
      <c r="F450" s="24" t="str">
        <f aca="false">IF(C450="","",IFERROR(INDEX(LOTES!$B$5:$B$1004,MATCH(C450,LOTES!$F$5:$F$1004,0)),""))</f>
        <v/>
      </c>
      <c r="G450" s="15" t="str">
        <f aca="false">IF(OR(B450="",F450=""),"",B450-F450)</f>
        <v/>
      </c>
      <c r="H450" s="13"/>
      <c r="I450" s="13"/>
      <c r="J450" s="13"/>
      <c r="K450" s="25"/>
      <c r="L450" s="25"/>
      <c r="M450" s="25"/>
      <c r="N450" s="25"/>
      <c r="O450" s="26"/>
      <c r="P450" s="16" t="str">
        <f aca="false">IF(O450="","",IFERROR(1/(1/(IF(K450="",INDEX(CONFIG!$F$5:$F$14,MATCH(D450,CONFIG!$D$5:$D$14,0)),K450)*IF(M450="",INDEX(CONFIG!$H$5:$H$14,MATCH(D450,CONFIG!$D$5:$D$14,0)),M450))),""))</f>
        <v/>
      </c>
      <c r="Q450" s="16" t="str">
        <f aca="false">IF(OR(O450="",P450=""),"",O450/P450)</f>
        <v/>
      </c>
      <c r="R450" s="16" t="str">
        <f aca="false">IF(Q450="","",Q450*0.0980665)</f>
        <v/>
      </c>
      <c r="S450" s="16" t="str">
        <f aca="false">IF(Q450="","",IFERROR(Q450/(1/(1/INDEX(CONFIG!$I$5:$I$14,MATCH(D450,CONFIG!$D$5:$D$14,0)))),""))</f>
        <v/>
      </c>
      <c r="T450" s="13"/>
      <c r="U450" s="13"/>
      <c r="V450" s="13"/>
      <c r="W450" s="13"/>
      <c r="X450" s="22" t="str">
        <f aca="false">IF(Q450="","",Q450^2)</f>
        <v/>
      </c>
      <c r="Y450" s="22" t="str">
        <f aca="false">IF(AND(C450&lt;&gt;"",C450=CERTIFICADO!$E$4,OR(CERTIFICADO!$E$5="",B450=CERTIFICADO!$E$5)),MAX($Y$4:Y449)+1,"")</f>
        <v/>
      </c>
    </row>
    <row r="451" customFormat="false" ht="15" hidden="false" customHeight="false" outlineLevel="0" collapsed="false">
      <c r="A451" s="11" t="str">
        <f aca="false">IF(C451="","",ROW()-4)</f>
        <v/>
      </c>
      <c r="B451" s="12"/>
      <c r="C451" s="13"/>
      <c r="D451" s="23" t="str">
        <f aca="false">IF(C451="","",IFERROR(INDEX(LOTES!$D$5:$D$1004,MATCH(C451,LOTES!$F$5:$F$1004,0)),"¿Lote?"))</f>
        <v/>
      </c>
      <c r="E451" s="11" t="str">
        <f aca="false">IF(C451="","",IFERROR(INDEX(LOTES!$C$5:$C$1004,MATCH(C451,LOTES!$F$5:$F$1004,0)),""))</f>
        <v/>
      </c>
      <c r="F451" s="24" t="str">
        <f aca="false">IF(C451="","",IFERROR(INDEX(LOTES!$B$5:$B$1004,MATCH(C451,LOTES!$F$5:$F$1004,0)),""))</f>
        <v/>
      </c>
      <c r="G451" s="15" t="str">
        <f aca="false">IF(OR(B451="",F451=""),"",B451-F451)</f>
        <v/>
      </c>
      <c r="H451" s="13"/>
      <c r="I451" s="13"/>
      <c r="J451" s="13"/>
      <c r="K451" s="25"/>
      <c r="L451" s="25"/>
      <c r="M451" s="25"/>
      <c r="N451" s="25"/>
      <c r="O451" s="26"/>
      <c r="P451" s="16" t="str">
        <f aca="false">IF(O451="","",IFERROR(1/(1/(IF(K451="",INDEX(CONFIG!$F$5:$F$14,MATCH(D451,CONFIG!$D$5:$D$14,0)),K451)*IF(M451="",INDEX(CONFIG!$H$5:$H$14,MATCH(D451,CONFIG!$D$5:$D$14,0)),M451))),""))</f>
        <v/>
      </c>
      <c r="Q451" s="16" t="str">
        <f aca="false">IF(OR(O451="",P451=""),"",O451/P451)</f>
        <v/>
      </c>
      <c r="R451" s="16" t="str">
        <f aca="false">IF(Q451="","",Q451*0.0980665)</f>
        <v/>
      </c>
      <c r="S451" s="16" t="str">
        <f aca="false">IF(Q451="","",IFERROR(Q451/(1/(1/INDEX(CONFIG!$I$5:$I$14,MATCH(D451,CONFIG!$D$5:$D$14,0)))),""))</f>
        <v/>
      </c>
      <c r="T451" s="13"/>
      <c r="U451" s="13"/>
      <c r="V451" s="13"/>
      <c r="W451" s="13"/>
      <c r="X451" s="22" t="str">
        <f aca="false">IF(Q451="","",Q451^2)</f>
        <v/>
      </c>
      <c r="Y451" s="22" t="str">
        <f aca="false">IF(AND(C451&lt;&gt;"",C451=CERTIFICADO!$E$4,OR(CERTIFICADO!$E$5="",B451=CERTIFICADO!$E$5)),MAX($Y$4:Y450)+1,"")</f>
        <v/>
      </c>
    </row>
    <row r="452" customFormat="false" ht="15" hidden="false" customHeight="false" outlineLevel="0" collapsed="false">
      <c r="A452" s="11" t="str">
        <f aca="false">IF(C452="","",ROW()-4)</f>
        <v/>
      </c>
      <c r="B452" s="12"/>
      <c r="C452" s="13"/>
      <c r="D452" s="23" t="str">
        <f aca="false">IF(C452="","",IFERROR(INDEX(LOTES!$D$5:$D$1004,MATCH(C452,LOTES!$F$5:$F$1004,0)),"¿Lote?"))</f>
        <v/>
      </c>
      <c r="E452" s="11" t="str">
        <f aca="false">IF(C452="","",IFERROR(INDEX(LOTES!$C$5:$C$1004,MATCH(C452,LOTES!$F$5:$F$1004,0)),""))</f>
        <v/>
      </c>
      <c r="F452" s="24" t="str">
        <f aca="false">IF(C452="","",IFERROR(INDEX(LOTES!$B$5:$B$1004,MATCH(C452,LOTES!$F$5:$F$1004,0)),""))</f>
        <v/>
      </c>
      <c r="G452" s="15" t="str">
        <f aca="false">IF(OR(B452="",F452=""),"",B452-F452)</f>
        <v/>
      </c>
      <c r="H452" s="13"/>
      <c r="I452" s="13"/>
      <c r="J452" s="13"/>
      <c r="K452" s="25"/>
      <c r="L452" s="25"/>
      <c r="M452" s="25"/>
      <c r="N452" s="25"/>
      <c r="O452" s="26"/>
      <c r="P452" s="16" t="str">
        <f aca="false">IF(O452="","",IFERROR(1/(1/(IF(K452="",INDEX(CONFIG!$F$5:$F$14,MATCH(D452,CONFIG!$D$5:$D$14,0)),K452)*IF(M452="",INDEX(CONFIG!$H$5:$H$14,MATCH(D452,CONFIG!$D$5:$D$14,0)),M452))),""))</f>
        <v/>
      </c>
      <c r="Q452" s="16" t="str">
        <f aca="false">IF(OR(O452="",P452=""),"",O452/P452)</f>
        <v/>
      </c>
      <c r="R452" s="16" t="str">
        <f aca="false">IF(Q452="","",Q452*0.0980665)</f>
        <v/>
      </c>
      <c r="S452" s="16" t="str">
        <f aca="false">IF(Q452="","",IFERROR(Q452/(1/(1/INDEX(CONFIG!$I$5:$I$14,MATCH(D452,CONFIG!$D$5:$D$14,0)))),""))</f>
        <v/>
      </c>
      <c r="T452" s="13"/>
      <c r="U452" s="13"/>
      <c r="V452" s="13"/>
      <c r="W452" s="13"/>
      <c r="X452" s="22" t="str">
        <f aca="false">IF(Q452="","",Q452^2)</f>
        <v/>
      </c>
      <c r="Y452" s="22" t="str">
        <f aca="false">IF(AND(C452&lt;&gt;"",C452=CERTIFICADO!$E$4,OR(CERTIFICADO!$E$5="",B452=CERTIFICADO!$E$5)),MAX($Y$4:Y451)+1,"")</f>
        <v/>
      </c>
    </row>
    <row r="453" customFormat="false" ht="15" hidden="false" customHeight="false" outlineLevel="0" collapsed="false">
      <c r="A453" s="11" t="str">
        <f aca="false">IF(C453="","",ROW()-4)</f>
        <v/>
      </c>
      <c r="B453" s="12"/>
      <c r="C453" s="13"/>
      <c r="D453" s="23" t="str">
        <f aca="false">IF(C453="","",IFERROR(INDEX(LOTES!$D$5:$D$1004,MATCH(C453,LOTES!$F$5:$F$1004,0)),"¿Lote?"))</f>
        <v/>
      </c>
      <c r="E453" s="11" t="str">
        <f aca="false">IF(C453="","",IFERROR(INDEX(LOTES!$C$5:$C$1004,MATCH(C453,LOTES!$F$5:$F$1004,0)),""))</f>
        <v/>
      </c>
      <c r="F453" s="24" t="str">
        <f aca="false">IF(C453="","",IFERROR(INDEX(LOTES!$B$5:$B$1004,MATCH(C453,LOTES!$F$5:$F$1004,0)),""))</f>
        <v/>
      </c>
      <c r="G453" s="15" t="str">
        <f aca="false">IF(OR(B453="",F453=""),"",B453-F453)</f>
        <v/>
      </c>
      <c r="H453" s="13"/>
      <c r="I453" s="13"/>
      <c r="J453" s="13"/>
      <c r="K453" s="25"/>
      <c r="L453" s="25"/>
      <c r="M453" s="25"/>
      <c r="N453" s="25"/>
      <c r="O453" s="26"/>
      <c r="P453" s="16" t="str">
        <f aca="false">IF(O453="","",IFERROR(1/(1/(IF(K453="",INDEX(CONFIG!$F$5:$F$14,MATCH(D453,CONFIG!$D$5:$D$14,0)),K453)*IF(M453="",INDEX(CONFIG!$H$5:$H$14,MATCH(D453,CONFIG!$D$5:$D$14,0)),M453))),""))</f>
        <v/>
      </c>
      <c r="Q453" s="16" t="str">
        <f aca="false">IF(OR(O453="",P453=""),"",O453/P453)</f>
        <v/>
      </c>
      <c r="R453" s="16" t="str">
        <f aca="false">IF(Q453="","",Q453*0.0980665)</f>
        <v/>
      </c>
      <c r="S453" s="16" t="str">
        <f aca="false">IF(Q453="","",IFERROR(Q453/(1/(1/INDEX(CONFIG!$I$5:$I$14,MATCH(D453,CONFIG!$D$5:$D$14,0)))),""))</f>
        <v/>
      </c>
      <c r="T453" s="13"/>
      <c r="U453" s="13"/>
      <c r="V453" s="13"/>
      <c r="W453" s="13"/>
      <c r="X453" s="22" t="str">
        <f aca="false">IF(Q453="","",Q453^2)</f>
        <v/>
      </c>
      <c r="Y453" s="22" t="str">
        <f aca="false">IF(AND(C453&lt;&gt;"",C453=CERTIFICADO!$E$4,OR(CERTIFICADO!$E$5="",B453=CERTIFICADO!$E$5)),MAX($Y$4:Y452)+1,"")</f>
        <v/>
      </c>
    </row>
    <row r="454" customFormat="false" ht="15" hidden="false" customHeight="false" outlineLevel="0" collapsed="false">
      <c r="A454" s="11" t="str">
        <f aca="false">IF(C454="","",ROW()-4)</f>
        <v/>
      </c>
      <c r="B454" s="12"/>
      <c r="C454" s="13"/>
      <c r="D454" s="23" t="str">
        <f aca="false">IF(C454="","",IFERROR(INDEX(LOTES!$D$5:$D$1004,MATCH(C454,LOTES!$F$5:$F$1004,0)),"¿Lote?"))</f>
        <v/>
      </c>
      <c r="E454" s="11" t="str">
        <f aca="false">IF(C454="","",IFERROR(INDEX(LOTES!$C$5:$C$1004,MATCH(C454,LOTES!$F$5:$F$1004,0)),""))</f>
        <v/>
      </c>
      <c r="F454" s="24" t="str">
        <f aca="false">IF(C454="","",IFERROR(INDEX(LOTES!$B$5:$B$1004,MATCH(C454,LOTES!$F$5:$F$1004,0)),""))</f>
        <v/>
      </c>
      <c r="G454" s="15" t="str">
        <f aca="false">IF(OR(B454="",F454=""),"",B454-F454)</f>
        <v/>
      </c>
      <c r="H454" s="13"/>
      <c r="I454" s="13"/>
      <c r="J454" s="13"/>
      <c r="K454" s="25"/>
      <c r="L454" s="25"/>
      <c r="M454" s="25"/>
      <c r="N454" s="25"/>
      <c r="O454" s="26"/>
      <c r="P454" s="16" t="str">
        <f aca="false">IF(O454="","",IFERROR(1/(1/(IF(K454="",INDEX(CONFIG!$F$5:$F$14,MATCH(D454,CONFIG!$D$5:$D$14,0)),K454)*IF(M454="",INDEX(CONFIG!$H$5:$H$14,MATCH(D454,CONFIG!$D$5:$D$14,0)),M454))),""))</f>
        <v/>
      </c>
      <c r="Q454" s="16" t="str">
        <f aca="false">IF(OR(O454="",P454=""),"",O454/P454)</f>
        <v/>
      </c>
      <c r="R454" s="16" t="str">
        <f aca="false">IF(Q454="","",Q454*0.0980665)</f>
        <v/>
      </c>
      <c r="S454" s="16" t="str">
        <f aca="false">IF(Q454="","",IFERROR(Q454/(1/(1/INDEX(CONFIG!$I$5:$I$14,MATCH(D454,CONFIG!$D$5:$D$14,0)))),""))</f>
        <v/>
      </c>
      <c r="T454" s="13"/>
      <c r="U454" s="13"/>
      <c r="V454" s="13"/>
      <c r="W454" s="13"/>
      <c r="X454" s="22" t="str">
        <f aca="false">IF(Q454="","",Q454^2)</f>
        <v/>
      </c>
      <c r="Y454" s="22" t="str">
        <f aca="false">IF(AND(C454&lt;&gt;"",C454=CERTIFICADO!$E$4,OR(CERTIFICADO!$E$5="",B454=CERTIFICADO!$E$5)),MAX($Y$4:Y453)+1,"")</f>
        <v/>
      </c>
    </row>
    <row r="455" customFormat="false" ht="15" hidden="false" customHeight="false" outlineLevel="0" collapsed="false">
      <c r="A455" s="11" t="str">
        <f aca="false">IF(C455="","",ROW()-4)</f>
        <v/>
      </c>
      <c r="B455" s="12"/>
      <c r="C455" s="13"/>
      <c r="D455" s="23" t="str">
        <f aca="false">IF(C455="","",IFERROR(INDEX(LOTES!$D$5:$D$1004,MATCH(C455,LOTES!$F$5:$F$1004,0)),"¿Lote?"))</f>
        <v/>
      </c>
      <c r="E455" s="11" t="str">
        <f aca="false">IF(C455="","",IFERROR(INDEX(LOTES!$C$5:$C$1004,MATCH(C455,LOTES!$F$5:$F$1004,0)),""))</f>
        <v/>
      </c>
      <c r="F455" s="24" t="str">
        <f aca="false">IF(C455="","",IFERROR(INDEX(LOTES!$B$5:$B$1004,MATCH(C455,LOTES!$F$5:$F$1004,0)),""))</f>
        <v/>
      </c>
      <c r="G455" s="15" t="str">
        <f aca="false">IF(OR(B455="",F455=""),"",B455-F455)</f>
        <v/>
      </c>
      <c r="H455" s="13"/>
      <c r="I455" s="13"/>
      <c r="J455" s="13"/>
      <c r="K455" s="25"/>
      <c r="L455" s="25"/>
      <c r="M455" s="25"/>
      <c r="N455" s="25"/>
      <c r="O455" s="26"/>
      <c r="P455" s="16" t="str">
        <f aca="false">IF(O455="","",IFERROR(1/(1/(IF(K455="",INDEX(CONFIG!$F$5:$F$14,MATCH(D455,CONFIG!$D$5:$D$14,0)),K455)*IF(M455="",INDEX(CONFIG!$H$5:$H$14,MATCH(D455,CONFIG!$D$5:$D$14,0)),M455))),""))</f>
        <v/>
      </c>
      <c r="Q455" s="16" t="str">
        <f aca="false">IF(OR(O455="",P455=""),"",O455/P455)</f>
        <v/>
      </c>
      <c r="R455" s="16" t="str">
        <f aca="false">IF(Q455="","",Q455*0.0980665)</f>
        <v/>
      </c>
      <c r="S455" s="16" t="str">
        <f aca="false">IF(Q455="","",IFERROR(Q455/(1/(1/INDEX(CONFIG!$I$5:$I$14,MATCH(D455,CONFIG!$D$5:$D$14,0)))),""))</f>
        <v/>
      </c>
      <c r="T455" s="13"/>
      <c r="U455" s="13"/>
      <c r="V455" s="13"/>
      <c r="W455" s="13"/>
      <c r="X455" s="22" t="str">
        <f aca="false">IF(Q455="","",Q455^2)</f>
        <v/>
      </c>
      <c r="Y455" s="22" t="str">
        <f aca="false">IF(AND(C455&lt;&gt;"",C455=CERTIFICADO!$E$4,OR(CERTIFICADO!$E$5="",B455=CERTIFICADO!$E$5)),MAX($Y$4:Y454)+1,"")</f>
        <v/>
      </c>
    </row>
    <row r="456" customFormat="false" ht="15" hidden="false" customHeight="false" outlineLevel="0" collapsed="false">
      <c r="A456" s="11" t="str">
        <f aca="false">IF(C456="","",ROW()-4)</f>
        <v/>
      </c>
      <c r="B456" s="12"/>
      <c r="C456" s="13"/>
      <c r="D456" s="23" t="str">
        <f aca="false">IF(C456="","",IFERROR(INDEX(LOTES!$D$5:$D$1004,MATCH(C456,LOTES!$F$5:$F$1004,0)),"¿Lote?"))</f>
        <v/>
      </c>
      <c r="E456" s="11" t="str">
        <f aca="false">IF(C456="","",IFERROR(INDEX(LOTES!$C$5:$C$1004,MATCH(C456,LOTES!$F$5:$F$1004,0)),""))</f>
        <v/>
      </c>
      <c r="F456" s="24" t="str">
        <f aca="false">IF(C456="","",IFERROR(INDEX(LOTES!$B$5:$B$1004,MATCH(C456,LOTES!$F$5:$F$1004,0)),""))</f>
        <v/>
      </c>
      <c r="G456" s="15" t="str">
        <f aca="false">IF(OR(B456="",F456=""),"",B456-F456)</f>
        <v/>
      </c>
      <c r="H456" s="13"/>
      <c r="I456" s="13"/>
      <c r="J456" s="13"/>
      <c r="K456" s="25"/>
      <c r="L456" s="25"/>
      <c r="M456" s="25"/>
      <c r="N456" s="25"/>
      <c r="O456" s="26"/>
      <c r="P456" s="16" t="str">
        <f aca="false">IF(O456="","",IFERROR(1/(1/(IF(K456="",INDEX(CONFIG!$F$5:$F$14,MATCH(D456,CONFIG!$D$5:$D$14,0)),K456)*IF(M456="",INDEX(CONFIG!$H$5:$H$14,MATCH(D456,CONFIG!$D$5:$D$14,0)),M456))),""))</f>
        <v/>
      </c>
      <c r="Q456" s="16" t="str">
        <f aca="false">IF(OR(O456="",P456=""),"",O456/P456)</f>
        <v/>
      </c>
      <c r="R456" s="16" t="str">
        <f aca="false">IF(Q456="","",Q456*0.0980665)</f>
        <v/>
      </c>
      <c r="S456" s="16" t="str">
        <f aca="false">IF(Q456="","",IFERROR(Q456/(1/(1/INDEX(CONFIG!$I$5:$I$14,MATCH(D456,CONFIG!$D$5:$D$14,0)))),""))</f>
        <v/>
      </c>
      <c r="T456" s="13"/>
      <c r="U456" s="13"/>
      <c r="V456" s="13"/>
      <c r="W456" s="13"/>
      <c r="X456" s="22" t="str">
        <f aca="false">IF(Q456="","",Q456^2)</f>
        <v/>
      </c>
      <c r="Y456" s="22" t="str">
        <f aca="false">IF(AND(C456&lt;&gt;"",C456=CERTIFICADO!$E$4,OR(CERTIFICADO!$E$5="",B456=CERTIFICADO!$E$5)),MAX($Y$4:Y455)+1,"")</f>
        <v/>
      </c>
    </row>
    <row r="457" customFormat="false" ht="15" hidden="false" customHeight="false" outlineLevel="0" collapsed="false">
      <c r="A457" s="11" t="str">
        <f aca="false">IF(C457="","",ROW()-4)</f>
        <v/>
      </c>
      <c r="B457" s="12"/>
      <c r="C457" s="13"/>
      <c r="D457" s="23" t="str">
        <f aca="false">IF(C457="","",IFERROR(INDEX(LOTES!$D$5:$D$1004,MATCH(C457,LOTES!$F$5:$F$1004,0)),"¿Lote?"))</f>
        <v/>
      </c>
      <c r="E457" s="11" t="str">
        <f aca="false">IF(C457="","",IFERROR(INDEX(LOTES!$C$5:$C$1004,MATCH(C457,LOTES!$F$5:$F$1004,0)),""))</f>
        <v/>
      </c>
      <c r="F457" s="24" t="str">
        <f aca="false">IF(C457="","",IFERROR(INDEX(LOTES!$B$5:$B$1004,MATCH(C457,LOTES!$F$5:$F$1004,0)),""))</f>
        <v/>
      </c>
      <c r="G457" s="15" t="str">
        <f aca="false">IF(OR(B457="",F457=""),"",B457-F457)</f>
        <v/>
      </c>
      <c r="H457" s="13"/>
      <c r="I457" s="13"/>
      <c r="J457" s="13"/>
      <c r="K457" s="25"/>
      <c r="L457" s="25"/>
      <c r="M457" s="25"/>
      <c r="N457" s="25"/>
      <c r="O457" s="26"/>
      <c r="P457" s="16" t="str">
        <f aca="false">IF(O457="","",IFERROR(1/(1/(IF(K457="",INDEX(CONFIG!$F$5:$F$14,MATCH(D457,CONFIG!$D$5:$D$14,0)),K457)*IF(M457="",INDEX(CONFIG!$H$5:$H$14,MATCH(D457,CONFIG!$D$5:$D$14,0)),M457))),""))</f>
        <v/>
      </c>
      <c r="Q457" s="16" t="str">
        <f aca="false">IF(OR(O457="",P457=""),"",O457/P457)</f>
        <v/>
      </c>
      <c r="R457" s="16" t="str">
        <f aca="false">IF(Q457="","",Q457*0.0980665)</f>
        <v/>
      </c>
      <c r="S457" s="16" t="str">
        <f aca="false">IF(Q457="","",IFERROR(Q457/(1/(1/INDEX(CONFIG!$I$5:$I$14,MATCH(D457,CONFIG!$D$5:$D$14,0)))),""))</f>
        <v/>
      </c>
      <c r="T457" s="13"/>
      <c r="U457" s="13"/>
      <c r="V457" s="13"/>
      <c r="W457" s="13"/>
      <c r="X457" s="22" t="str">
        <f aca="false">IF(Q457="","",Q457^2)</f>
        <v/>
      </c>
      <c r="Y457" s="22" t="str">
        <f aca="false">IF(AND(C457&lt;&gt;"",C457=CERTIFICADO!$E$4,OR(CERTIFICADO!$E$5="",B457=CERTIFICADO!$E$5)),MAX($Y$4:Y456)+1,"")</f>
        <v/>
      </c>
    </row>
    <row r="458" customFormat="false" ht="15" hidden="false" customHeight="false" outlineLevel="0" collapsed="false">
      <c r="A458" s="11" t="str">
        <f aca="false">IF(C458="","",ROW()-4)</f>
        <v/>
      </c>
      <c r="B458" s="12"/>
      <c r="C458" s="13"/>
      <c r="D458" s="23" t="str">
        <f aca="false">IF(C458="","",IFERROR(INDEX(LOTES!$D$5:$D$1004,MATCH(C458,LOTES!$F$5:$F$1004,0)),"¿Lote?"))</f>
        <v/>
      </c>
      <c r="E458" s="11" t="str">
        <f aca="false">IF(C458="","",IFERROR(INDEX(LOTES!$C$5:$C$1004,MATCH(C458,LOTES!$F$5:$F$1004,0)),""))</f>
        <v/>
      </c>
      <c r="F458" s="24" t="str">
        <f aca="false">IF(C458="","",IFERROR(INDEX(LOTES!$B$5:$B$1004,MATCH(C458,LOTES!$F$5:$F$1004,0)),""))</f>
        <v/>
      </c>
      <c r="G458" s="15" t="str">
        <f aca="false">IF(OR(B458="",F458=""),"",B458-F458)</f>
        <v/>
      </c>
      <c r="H458" s="13"/>
      <c r="I458" s="13"/>
      <c r="J458" s="13"/>
      <c r="K458" s="25"/>
      <c r="L458" s="25"/>
      <c r="M458" s="25"/>
      <c r="N458" s="25"/>
      <c r="O458" s="26"/>
      <c r="P458" s="16" t="str">
        <f aca="false">IF(O458="","",IFERROR(1/(1/(IF(K458="",INDEX(CONFIG!$F$5:$F$14,MATCH(D458,CONFIG!$D$5:$D$14,0)),K458)*IF(M458="",INDEX(CONFIG!$H$5:$H$14,MATCH(D458,CONFIG!$D$5:$D$14,0)),M458))),""))</f>
        <v/>
      </c>
      <c r="Q458" s="16" t="str">
        <f aca="false">IF(OR(O458="",P458=""),"",O458/P458)</f>
        <v/>
      </c>
      <c r="R458" s="16" t="str">
        <f aca="false">IF(Q458="","",Q458*0.0980665)</f>
        <v/>
      </c>
      <c r="S458" s="16" t="str">
        <f aca="false">IF(Q458="","",IFERROR(Q458/(1/(1/INDEX(CONFIG!$I$5:$I$14,MATCH(D458,CONFIG!$D$5:$D$14,0)))),""))</f>
        <v/>
      </c>
      <c r="T458" s="13"/>
      <c r="U458" s="13"/>
      <c r="V458" s="13"/>
      <c r="W458" s="13"/>
      <c r="X458" s="22" t="str">
        <f aca="false">IF(Q458="","",Q458^2)</f>
        <v/>
      </c>
      <c r="Y458" s="22" t="str">
        <f aca="false">IF(AND(C458&lt;&gt;"",C458=CERTIFICADO!$E$4,OR(CERTIFICADO!$E$5="",B458=CERTIFICADO!$E$5)),MAX($Y$4:Y457)+1,"")</f>
        <v/>
      </c>
    </row>
    <row r="459" customFormat="false" ht="15" hidden="false" customHeight="false" outlineLevel="0" collapsed="false">
      <c r="A459" s="11" t="str">
        <f aca="false">IF(C459="","",ROW()-4)</f>
        <v/>
      </c>
      <c r="B459" s="12"/>
      <c r="C459" s="13"/>
      <c r="D459" s="23" t="str">
        <f aca="false">IF(C459="","",IFERROR(INDEX(LOTES!$D$5:$D$1004,MATCH(C459,LOTES!$F$5:$F$1004,0)),"¿Lote?"))</f>
        <v/>
      </c>
      <c r="E459" s="11" t="str">
        <f aca="false">IF(C459="","",IFERROR(INDEX(LOTES!$C$5:$C$1004,MATCH(C459,LOTES!$F$5:$F$1004,0)),""))</f>
        <v/>
      </c>
      <c r="F459" s="24" t="str">
        <f aca="false">IF(C459="","",IFERROR(INDEX(LOTES!$B$5:$B$1004,MATCH(C459,LOTES!$F$5:$F$1004,0)),""))</f>
        <v/>
      </c>
      <c r="G459" s="15" t="str">
        <f aca="false">IF(OR(B459="",F459=""),"",B459-F459)</f>
        <v/>
      </c>
      <c r="H459" s="13"/>
      <c r="I459" s="13"/>
      <c r="J459" s="13"/>
      <c r="K459" s="25"/>
      <c r="L459" s="25"/>
      <c r="M459" s="25"/>
      <c r="N459" s="25"/>
      <c r="O459" s="26"/>
      <c r="P459" s="16" t="str">
        <f aca="false">IF(O459="","",IFERROR(1/(1/(IF(K459="",INDEX(CONFIG!$F$5:$F$14,MATCH(D459,CONFIG!$D$5:$D$14,0)),K459)*IF(M459="",INDEX(CONFIG!$H$5:$H$14,MATCH(D459,CONFIG!$D$5:$D$14,0)),M459))),""))</f>
        <v/>
      </c>
      <c r="Q459" s="16" t="str">
        <f aca="false">IF(OR(O459="",P459=""),"",O459/P459)</f>
        <v/>
      </c>
      <c r="R459" s="16" t="str">
        <f aca="false">IF(Q459="","",Q459*0.0980665)</f>
        <v/>
      </c>
      <c r="S459" s="16" t="str">
        <f aca="false">IF(Q459="","",IFERROR(Q459/(1/(1/INDEX(CONFIG!$I$5:$I$14,MATCH(D459,CONFIG!$D$5:$D$14,0)))),""))</f>
        <v/>
      </c>
      <c r="T459" s="13"/>
      <c r="U459" s="13"/>
      <c r="V459" s="13"/>
      <c r="W459" s="13"/>
      <c r="X459" s="22" t="str">
        <f aca="false">IF(Q459="","",Q459^2)</f>
        <v/>
      </c>
      <c r="Y459" s="22" t="str">
        <f aca="false">IF(AND(C459&lt;&gt;"",C459=CERTIFICADO!$E$4,OR(CERTIFICADO!$E$5="",B459=CERTIFICADO!$E$5)),MAX($Y$4:Y458)+1,"")</f>
        <v/>
      </c>
    </row>
    <row r="460" customFormat="false" ht="15" hidden="false" customHeight="false" outlineLevel="0" collapsed="false">
      <c r="A460" s="11" t="str">
        <f aca="false">IF(C460="","",ROW()-4)</f>
        <v/>
      </c>
      <c r="B460" s="12"/>
      <c r="C460" s="13"/>
      <c r="D460" s="23" t="str">
        <f aca="false">IF(C460="","",IFERROR(INDEX(LOTES!$D$5:$D$1004,MATCH(C460,LOTES!$F$5:$F$1004,0)),"¿Lote?"))</f>
        <v/>
      </c>
      <c r="E460" s="11" t="str">
        <f aca="false">IF(C460="","",IFERROR(INDEX(LOTES!$C$5:$C$1004,MATCH(C460,LOTES!$F$5:$F$1004,0)),""))</f>
        <v/>
      </c>
      <c r="F460" s="24" t="str">
        <f aca="false">IF(C460="","",IFERROR(INDEX(LOTES!$B$5:$B$1004,MATCH(C460,LOTES!$F$5:$F$1004,0)),""))</f>
        <v/>
      </c>
      <c r="G460" s="15" t="str">
        <f aca="false">IF(OR(B460="",F460=""),"",B460-F460)</f>
        <v/>
      </c>
      <c r="H460" s="13"/>
      <c r="I460" s="13"/>
      <c r="J460" s="13"/>
      <c r="K460" s="25"/>
      <c r="L460" s="25"/>
      <c r="M460" s="25"/>
      <c r="N460" s="25"/>
      <c r="O460" s="26"/>
      <c r="P460" s="16" t="str">
        <f aca="false">IF(O460="","",IFERROR(1/(1/(IF(K460="",INDEX(CONFIG!$F$5:$F$14,MATCH(D460,CONFIG!$D$5:$D$14,0)),K460)*IF(M460="",INDEX(CONFIG!$H$5:$H$14,MATCH(D460,CONFIG!$D$5:$D$14,0)),M460))),""))</f>
        <v/>
      </c>
      <c r="Q460" s="16" t="str">
        <f aca="false">IF(OR(O460="",P460=""),"",O460/P460)</f>
        <v/>
      </c>
      <c r="R460" s="16" t="str">
        <f aca="false">IF(Q460="","",Q460*0.0980665)</f>
        <v/>
      </c>
      <c r="S460" s="16" t="str">
        <f aca="false">IF(Q460="","",IFERROR(Q460/(1/(1/INDEX(CONFIG!$I$5:$I$14,MATCH(D460,CONFIG!$D$5:$D$14,0)))),""))</f>
        <v/>
      </c>
      <c r="T460" s="13"/>
      <c r="U460" s="13"/>
      <c r="V460" s="13"/>
      <c r="W460" s="13"/>
      <c r="X460" s="22" t="str">
        <f aca="false">IF(Q460="","",Q460^2)</f>
        <v/>
      </c>
      <c r="Y460" s="22" t="str">
        <f aca="false">IF(AND(C460&lt;&gt;"",C460=CERTIFICADO!$E$4,OR(CERTIFICADO!$E$5="",B460=CERTIFICADO!$E$5)),MAX($Y$4:Y459)+1,"")</f>
        <v/>
      </c>
    </row>
    <row r="461" customFormat="false" ht="15" hidden="false" customHeight="false" outlineLevel="0" collapsed="false">
      <c r="A461" s="11" t="str">
        <f aca="false">IF(C461="","",ROW()-4)</f>
        <v/>
      </c>
      <c r="B461" s="12"/>
      <c r="C461" s="13"/>
      <c r="D461" s="23" t="str">
        <f aca="false">IF(C461="","",IFERROR(INDEX(LOTES!$D$5:$D$1004,MATCH(C461,LOTES!$F$5:$F$1004,0)),"¿Lote?"))</f>
        <v/>
      </c>
      <c r="E461" s="11" t="str">
        <f aca="false">IF(C461="","",IFERROR(INDEX(LOTES!$C$5:$C$1004,MATCH(C461,LOTES!$F$5:$F$1004,0)),""))</f>
        <v/>
      </c>
      <c r="F461" s="24" t="str">
        <f aca="false">IF(C461="","",IFERROR(INDEX(LOTES!$B$5:$B$1004,MATCH(C461,LOTES!$F$5:$F$1004,0)),""))</f>
        <v/>
      </c>
      <c r="G461" s="15" t="str">
        <f aca="false">IF(OR(B461="",F461=""),"",B461-F461)</f>
        <v/>
      </c>
      <c r="H461" s="13"/>
      <c r="I461" s="13"/>
      <c r="J461" s="13"/>
      <c r="K461" s="25"/>
      <c r="L461" s="25"/>
      <c r="M461" s="25"/>
      <c r="N461" s="25"/>
      <c r="O461" s="26"/>
      <c r="P461" s="16" t="str">
        <f aca="false">IF(O461="","",IFERROR(1/(1/(IF(K461="",INDEX(CONFIG!$F$5:$F$14,MATCH(D461,CONFIG!$D$5:$D$14,0)),K461)*IF(M461="",INDEX(CONFIG!$H$5:$H$14,MATCH(D461,CONFIG!$D$5:$D$14,0)),M461))),""))</f>
        <v/>
      </c>
      <c r="Q461" s="16" t="str">
        <f aca="false">IF(OR(O461="",P461=""),"",O461/P461)</f>
        <v/>
      </c>
      <c r="R461" s="16" t="str">
        <f aca="false">IF(Q461="","",Q461*0.0980665)</f>
        <v/>
      </c>
      <c r="S461" s="16" t="str">
        <f aca="false">IF(Q461="","",IFERROR(Q461/(1/(1/INDEX(CONFIG!$I$5:$I$14,MATCH(D461,CONFIG!$D$5:$D$14,0)))),""))</f>
        <v/>
      </c>
      <c r="T461" s="13"/>
      <c r="U461" s="13"/>
      <c r="V461" s="13"/>
      <c r="W461" s="13"/>
      <c r="X461" s="22" t="str">
        <f aca="false">IF(Q461="","",Q461^2)</f>
        <v/>
      </c>
      <c r="Y461" s="22" t="str">
        <f aca="false">IF(AND(C461&lt;&gt;"",C461=CERTIFICADO!$E$4,OR(CERTIFICADO!$E$5="",B461=CERTIFICADO!$E$5)),MAX($Y$4:Y460)+1,"")</f>
        <v/>
      </c>
    </row>
    <row r="462" customFormat="false" ht="15" hidden="false" customHeight="false" outlineLevel="0" collapsed="false">
      <c r="A462" s="11" t="str">
        <f aca="false">IF(C462="","",ROW()-4)</f>
        <v/>
      </c>
      <c r="B462" s="12"/>
      <c r="C462" s="13"/>
      <c r="D462" s="23" t="str">
        <f aca="false">IF(C462="","",IFERROR(INDEX(LOTES!$D$5:$D$1004,MATCH(C462,LOTES!$F$5:$F$1004,0)),"¿Lote?"))</f>
        <v/>
      </c>
      <c r="E462" s="11" t="str">
        <f aca="false">IF(C462="","",IFERROR(INDEX(LOTES!$C$5:$C$1004,MATCH(C462,LOTES!$F$5:$F$1004,0)),""))</f>
        <v/>
      </c>
      <c r="F462" s="24" t="str">
        <f aca="false">IF(C462="","",IFERROR(INDEX(LOTES!$B$5:$B$1004,MATCH(C462,LOTES!$F$5:$F$1004,0)),""))</f>
        <v/>
      </c>
      <c r="G462" s="15" t="str">
        <f aca="false">IF(OR(B462="",F462=""),"",B462-F462)</f>
        <v/>
      </c>
      <c r="H462" s="13"/>
      <c r="I462" s="13"/>
      <c r="J462" s="13"/>
      <c r="K462" s="25"/>
      <c r="L462" s="25"/>
      <c r="M462" s="25"/>
      <c r="N462" s="25"/>
      <c r="O462" s="26"/>
      <c r="P462" s="16" t="str">
        <f aca="false">IF(O462="","",IFERROR(1/(1/(IF(K462="",INDEX(CONFIG!$F$5:$F$14,MATCH(D462,CONFIG!$D$5:$D$14,0)),K462)*IF(M462="",INDEX(CONFIG!$H$5:$H$14,MATCH(D462,CONFIG!$D$5:$D$14,0)),M462))),""))</f>
        <v/>
      </c>
      <c r="Q462" s="16" t="str">
        <f aca="false">IF(OR(O462="",P462=""),"",O462/P462)</f>
        <v/>
      </c>
      <c r="R462" s="16" t="str">
        <f aca="false">IF(Q462="","",Q462*0.0980665)</f>
        <v/>
      </c>
      <c r="S462" s="16" t="str">
        <f aca="false">IF(Q462="","",IFERROR(Q462/(1/(1/INDEX(CONFIG!$I$5:$I$14,MATCH(D462,CONFIG!$D$5:$D$14,0)))),""))</f>
        <v/>
      </c>
      <c r="T462" s="13"/>
      <c r="U462" s="13"/>
      <c r="V462" s="13"/>
      <c r="W462" s="13"/>
      <c r="X462" s="22" t="str">
        <f aca="false">IF(Q462="","",Q462^2)</f>
        <v/>
      </c>
      <c r="Y462" s="22" t="str">
        <f aca="false">IF(AND(C462&lt;&gt;"",C462=CERTIFICADO!$E$4,OR(CERTIFICADO!$E$5="",B462=CERTIFICADO!$E$5)),MAX($Y$4:Y461)+1,"")</f>
        <v/>
      </c>
    </row>
    <row r="463" customFormat="false" ht="15" hidden="false" customHeight="false" outlineLevel="0" collapsed="false">
      <c r="A463" s="11" t="str">
        <f aca="false">IF(C463="","",ROW()-4)</f>
        <v/>
      </c>
      <c r="B463" s="12"/>
      <c r="C463" s="13"/>
      <c r="D463" s="23" t="str">
        <f aca="false">IF(C463="","",IFERROR(INDEX(LOTES!$D$5:$D$1004,MATCH(C463,LOTES!$F$5:$F$1004,0)),"¿Lote?"))</f>
        <v/>
      </c>
      <c r="E463" s="11" t="str">
        <f aca="false">IF(C463="","",IFERROR(INDEX(LOTES!$C$5:$C$1004,MATCH(C463,LOTES!$F$5:$F$1004,0)),""))</f>
        <v/>
      </c>
      <c r="F463" s="24" t="str">
        <f aca="false">IF(C463="","",IFERROR(INDEX(LOTES!$B$5:$B$1004,MATCH(C463,LOTES!$F$5:$F$1004,0)),""))</f>
        <v/>
      </c>
      <c r="G463" s="15" t="str">
        <f aca="false">IF(OR(B463="",F463=""),"",B463-F463)</f>
        <v/>
      </c>
      <c r="H463" s="13"/>
      <c r="I463" s="13"/>
      <c r="J463" s="13"/>
      <c r="K463" s="25"/>
      <c r="L463" s="25"/>
      <c r="M463" s="25"/>
      <c r="N463" s="25"/>
      <c r="O463" s="26"/>
      <c r="P463" s="16" t="str">
        <f aca="false">IF(O463="","",IFERROR(1/(1/(IF(K463="",INDEX(CONFIG!$F$5:$F$14,MATCH(D463,CONFIG!$D$5:$D$14,0)),K463)*IF(M463="",INDEX(CONFIG!$H$5:$H$14,MATCH(D463,CONFIG!$D$5:$D$14,0)),M463))),""))</f>
        <v/>
      </c>
      <c r="Q463" s="16" t="str">
        <f aca="false">IF(OR(O463="",P463=""),"",O463/P463)</f>
        <v/>
      </c>
      <c r="R463" s="16" t="str">
        <f aca="false">IF(Q463="","",Q463*0.0980665)</f>
        <v/>
      </c>
      <c r="S463" s="16" t="str">
        <f aca="false">IF(Q463="","",IFERROR(Q463/(1/(1/INDEX(CONFIG!$I$5:$I$14,MATCH(D463,CONFIG!$D$5:$D$14,0)))),""))</f>
        <v/>
      </c>
      <c r="T463" s="13"/>
      <c r="U463" s="13"/>
      <c r="V463" s="13"/>
      <c r="W463" s="13"/>
      <c r="X463" s="22" t="str">
        <f aca="false">IF(Q463="","",Q463^2)</f>
        <v/>
      </c>
      <c r="Y463" s="22" t="str">
        <f aca="false">IF(AND(C463&lt;&gt;"",C463=CERTIFICADO!$E$4,OR(CERTIFICADO!$E$5="",B463=CERTIFICADO!$E$5)),MAX($Y$4:Y462)+1,"")</f>
        <v/>
      </c>
    </row>
    <row r="464" customFormat="false" ht="15" hidden="false" customHeight="false" outlineLevel="0" collapsed="false">
      <c r="A464" s="11" t="str">
        <f aca="false">IF(C464="","",ROW()-4)</f>
        <v/>
      </c>
      <c r="B464" s="12"/>
      <c r="C464" s="13"/>
      <c r="D464" s="23" t="str">
        <f aca="false">IF(C464="","",IFERROR(INDEX(LOTES!$D$5:$D$1004,MATCH(C464,LOTES!$F$5:$F$1004,0)),"¿Lote?"))</f>
        <v/>
      </c>
      <c r="E464" s="11" t="str">
        <f aca="false">IF(C464="","",IFERROR(INDEX(LOTES!$C$5:$C$1004,MATCH(C464,LOTES!$F$5:$F$1004,0)),""))</f>
        <v/>
      </c>
      <c r="F464" s="24" t="str">
        <f aca="false">IF(C464="","",IFERROR(INDEX(LOTES!$B$5:$B$1004,MATCH(C464,LOTES!$F$5:$F$1004,0)),""))</f>
        <v/>
      </c>
      <c r="G464" s="15" t="str">
        <f aca="false">IF(OR(B464="",F464=""),"",B464-F464)</f>
        <v/>
      </c>
      <c r="H464" s="13"/>
      <c r="I464" s="13"/>
      <c r="J464" s="13"/>
      <c r="K464" s="25"/>
      <c r="L464" s="25"/>
      <c r="M464" s="25"/>
      <c r="N464" s="25"/>
      <c r="O464" s="26"/>
      <c r="P464" s="16" t="str">
        <f aca="false">IF(O464="","",IFERROR(1/(1/(IF(K464="",INDEX(CONFIG!$F$5:$F$14,MATCH(D464,CONFIG!$D$5:$D$14,0)),K464)*IF(M464="",INDEX(CONFIG!$H$5:$H$14,MATCH(D464,CONFIG!$D$5:$D$14,0)),M464))),""))</f>
        <v/>
      </c>
      <c r="Q464" s="16" t="str">
        <f aca="false">IF(OR(O464="",P464=""),"",O464/P464)</f>
        <v/>
      </c>
      <c r="R464" s="16" t="str">
        <f aca="false">IF(Q464="","",Q464*0.0980665)</f>
        <v/>
      </c>
      <c r="S464" s="16" t="str">
        <f aca="false">IF(Q464="","",IFERROR(Q464/(1/(1/INDEX(CONFIG!$I$5:$I$14,MATCH(D464,CONFIG!$D$5:$D$14,0)))),""))</f>
        <v/>
      </c>
      <c r="T464" s="13"/>
      <c r="U464" s="13"/>
      <c r="V464" s="13"/>
      <c r="W464" s="13"/>
      <c r="X464" s="22" t="str">
        <f aca="false">IF(Q464="","",Q464^2)</f>
        <v/>
      </c>
      <c r="Y464" s="22" t="str">
        <f aca="false">IF(AND(C464&lt;&gt;"",C464=CERTIFICADO!$E$4,OR(CERTIFICADO!$E$5="",B464=CERTIFICADO!$E$5)),MAX($Y$4:Y463)+1,"")</f>
        <v/>
      </c>
    </row>
    <row r="465" customFormat="false" ht="15" hidden="false" customHeight="false" outlineLevel="0" collapsed="false">
      <c r="A465" s="11" t="str">
        <f aca="false">IF(C465="","",ROW()-4)</f>
        <v/>
      </c>
      <c r="B465" s="12"/>
      <c r="C465" s="13"/>
      <c r="D465" s="23" t="str">
        <f aca="false">IF(C465="","",IFERROR(INDEX(LOTES!$D$5:$D$1004,MATCH(C465,LOTES!$F$5:$F$1004,0)),"¿Lote?"))</f>
        <v/>
      </c>
      <c r="E465" s="11" t="str">
        <f aca="false">IF(C465="","",IFERROR(INDEX(LOTES!$C$5:$C$1004,MATCH(C465,LOTES!$F$5:$F$1004,0)),""))</f>
        <v/>
      </c>
      <c r="F465" s="24" t="str">
        <f aca="false">IF(C465="","",IFERROR(INDEX(LOTES!$B$5:$B$1004,MATCH(C465,LOTES!$F$5:$F$1004,0)),""))</f>
        <v/>
      </c>
      <c r="G465" s="15" t="str">
        <f aca="false">IF(OR(B465="",F465=""),"",B465-F465)</f>
        <v/>
      </c>
      <c r="H465" s="13"/>
      <c r="I465" s="13"/>
      <c r="J465" s="13"/>
      <c r="K465" s="25"/>
      <c r="L465" s="25"/>
      <c r="M465" s="25"/>
      <c r="N465" s="25"/>
      <c r="O465" s="26"/>
      <c r="P465" s="16" t="str">
        <f aca="false">IF(O465="","",IFERROR(1/(1/(IF(K465="",INDEX(CONFIG!$F$5:$F$14,MATCH(D465,CONFIG!$D$5:$D$14,0)),K465)*IF(M465="",INDEX(CONFIG!$H$5:$H$14,MATCH(D465,CONFIG!$D$5:$D$14,0)),M465))),""))</f>
        <v/>
      </c>
      <c r="Q465" s="16" t="str">
        <f aca="false">IF(OR(O465="",P465=""),"",O465/P465)</f>
        <v/>
      </c>
      <c r="R465" s="16" t="str">
        <f aca="false">IF(Q465="","",Q465*0.0980665)</f>
        <v/>
      </c>
      <c r="S465" s="16" t="str">
        <f aca="false">IF(Q465="","",IFERROR(Q465/(1/(1/INDEX(CONFIG!$I$5:$I$14,MATCH(D465,CONFIG!$D$5:$D$14,0)))),""))</f>
        <v/>
      </c>
      <c r="T465" s="13"/>
      <c r="U465" s="13"/>
      <c r="V465" s="13"/>
      <c r="W465" s="13"/>
      <c r="X465" s="22" t="str">
        <f aca="false">IF(Q465="","",Q465^2)</f>
        <v/>
      </c>
      <c r="Y465" s="22" t="str">
        <f aca="false">IF(AND(C465&lt;&gt;"",C465=CERTIFICADO!$E$4,OR(CERTIFICADO!$E$5="",B465=CERTIFICADO!$E$5)),MAX($Y$4:Y464)+1,"")</f>
        <v/>
      </c>
    </row>
    <row r="466" customFormat="false" ht="15" hidden="false" customHeight="false" outlineLevel="0" collapsed="false">
      <c r="A466" s="11" t="str">
        <f aca="false">IF(C466="","",ROW()-4)</f>
        <v/>
      </c>
      <c r="B466" s="12"/>
      <c r="C466" s="13"/>
      <c r="D466" s="23" t="str">
        <f aca="false">IF(C466="","",IFERROR(INDEX(LOTES!$D$5:$D$1004,MATCH(C466,LOTES!$F$5:$F$1004,0)),"¿Lote?"))</f>
        <v/>
      </c>
      <c r="E466" s="11" t="str">
        <f aca="false">IF(C466="","",IFERROR(INDEX(LOTES!$C$5:$C$1004,MATCH(C466,LOTES!$F$5:$F$1004,0)),""))</f>
        <v/>
      </c>
      <c r="F466" s="24" t="str">
        <f aca="false">IF(C466="","",IFERROR(INDEX(LOTES!$B$5:$B$1004,MATCH(C466,LOTES!$F$5:$F$1004,0)),""))</f>
        <v/>
      </c>
      <c r="G466" s="15" t="str">
        <f aca="false">IF(OR(B466="",F466=""),"",B466-F466)</f>
        <v/>
      </c>
      <c r="H466" s="13"/>
      <c r="I466" s="13"/>
      <c r="J466" s="13"/>
      <c r="K466" s="25"/>
      <c r="L466" s="25"/>
      <c r="M466" s="25"/>
      <c r="N466" s="25"/>
      <c r="O466" s="26"/>
      <c r="P466" s="16" t="str">
        <f aca="false">IF(O466="","",IFERROR(1/(1/(IF(K466="",INDEX(CONFIG!$F$5:$F$14,MATCH(D466,CONFIG!$D$5:$D$14,0)),K466)*IF(M466="",INDEX(CONFIG!$H$5:$H$14,MATCH(D466,CONFIG!$D$5:$D$14,0)),M466))),""))</f>
        <v/>
      </c>
      <c r="Q466" s="16" t="str">
        <f aca="false">IF(OR(O466="",P466=""),"",O466/P466)</f>
        <v/>
      </c>
      <c r="R466" s="16" t="str">
        <f aca="false">IF(Q466="","",Q466*0.0980665)</f>
        <v/>
      </c>
      <c r="S466" s="16" t="str">
        <f aca="false">IF(Q466="","",IFERROR(Q466/(1/(1/INDEX(CONFIG!$I$5:$I$14,MATCH(D466,CONFIG!$D$5:$D$14,0)))),""))</f>
        <v/>
      </c>
      <c r="T466" s="13"/>
      <c r="U466" s="13"/>
      <c r="V466" s="13"/>
      <c r="W466" s="13"/>
      <c r="X466" s="22" t="str">
        <f aca="false">IF(Q466="","",Q466^2)</f>
        <v/>
      </c>
      <c r="Y466" s="22" t="str">
        <f aca="false">IF(AND(C466&lt;&gt;"",C466=CERTIFICADO!$E$4,OR(CERTIFICADO!$E$5="",B466=CERTIFICADO!$E$5)),MAX($Y$4:Y465)+1,"")</f>
        <v/>
      </c>
    </row>
    <row r="467" customFormat="false" ht="15" hidden="false" customHeight="false" outlineLevel="0" collapsed="false">
      <c r="A467" s="11" t="str">
        <f aca="false">IF(C467="","",ROW()-4)</f>
        <v/>
      </c>
      <c r="B467" s="12"/>
      <c r="C467" s="13"/>
      <c r="D467" s="23" t="str">
        <f aca="false">IF(C467="","",IFERROR(INDEX(LOTES!$D$5:$D$1004,MATCH(C467,LOTES!$F$5:$F$1004,0)),"¿Lote?"))</f>
        <v/>
      </c>
      <c r="E467" s="11" t="str">
        <f aca="false">IF(C467="","",IFERROR(INDEX(LOTES!$C$5:$C$1004,MATCH(C467,LOTES!$F$5:$F$1004,0)),""))</f>
        <v/>
      </c>
      <c r="F467" s="24" t="str">
        <f aca="false">IF(C467="","",IFERROR(INDEX(LOTES!$B$5:$B$1004,MATCH(C467,LOTES!$F$5:$F$1004,0)),""))</f>
        <v/>
      </c>
      <c r="G467" s="15" t="str">
        <f aca="false">IF(OR(B467="",F467=""),"",B467-F467)</f>
        <v/>
      </c>
      <c r="H467" s="13"/>
      <c r="I467" s="13"/>
      <c r="J467" s="13"/>
      <c r="K467" s="25"/>
      <c r="L467" s="25"/>
      <c r="M467" s="25"/>
      <c r="N467" s="25"/>
      <c r="O467" s="26"/>
      <c r="P467" s="16" t="str">
        <f aca="false">IF(O467="","",IFERROR(1/(1/(IF(K467="",INDEX(CONFIG!$F$5:$F$14,MATCH(D467,CONFIG!$D$5:$D$14,0)),K467)*IF(M467="",INDEX(CONFIG!$H$5:$H$14,MATCH(D467,CONFIG!$D$5:$D$14,0)),M467))),""))</f>
        <v/>
      </c>
      <c r="Q467" s="16" t="str">
        <f aca="false">IF(OR(O467="",P467=""),"",O467/P467)</f>
        <v/>
      </c>
      <c r="R467" s="16" t="str">
        <f aca="false">IF(Q467="","",Q467*0.0980665)</f>
        <v/>
      </c>
      <c r="S467" s="16" t="str">
        <f aca="false">IF(Q467="","",IFERROR(Q467/(1/(1/INDEX(CONFIG!$I$5:$I$14,MATCH(D467,CONFIG!$D$5:$D$14,0)))),""))</f>
        <v/>
      </c>
      <c r="T467" s="13"/>
      <c r="U467" s="13"/>
      <c r="V467" s="13"/>
      <c r="W467" s="13"/>
      <c r="X467" s="22" t="str">
        <f aca="false">IF(Q467="","",Q467^2)</f>
        <v/>
      </c>
      <c r="Y467" s="22" t="str">
        <f aca="false">IF(AND(C467&lt;&gt;"",C467=CERTIFICADO!$E$4,OR(CERTIFICADO!$E$5="",B467=CERTIFICADO!$E$5)),MAX($Y$4:Y466)+1,"")</f>
        <v/>
      </c>
    </row>
    <row r="468" customFormat="false" ht="15" hidden="false" customHeight="false" outlineLevel="0" collapsed="false">
      <c r="A468" s="11" t="str">
        <f aca="false">IF(C468="","",ROW()-4)</f>
        <v/>
      </c>
      <c r="B468" s="12"/>
      <c r="C468" s="13"/>
      <c r="D468" s="23" t="str">
        <f aca="false">IF(C468="","",IFERROR(INDEX(LOTES!$D$5:$D$1004,MATCH(C468,LOTES!$F$5:$F$1004,0)),"¿Lote?"))</f>
        <v/>
      </c>
      <c r="E468" s="11" t="str">
        <f aca="false">IF(C468="","",IFERROR(INDEX(LOTES!$C$5:$C$1004,MATCH(C468,LOTES!$F$5:$F$1004,0)),""))</f>
        <v/>
      </c>
      <c r="F468" s="24" t="str">
        <f aca="false">IF(C468="","",IFERROR(INDEX(LOTES!$B$5:$B$1004,MATCH(C468,LOTES!$F$5:$F$1004,0)),""))</f>
        <v/>
      </c>
      <c r="G468" s="15" t="str">
        <f aca="false">IF(OR(B468="",F468=""),"",B468-F468)</f>
        <v/>
      </c>
      <c r="H468" s="13"/>
      <c r="I468" s="13"/>
      <c r="J468" s="13"/>
      <c r="K468" s="25"/>
      <c r="L468" s="25"/>
      <c r="M468" s="25"/>
      <c r="N468" s="25"/>
      <c r="O468" s="26"/>
      <c r="P468" s="16" t="str">
        <f aca="false">IF(O468="","",IFERROR(1/(1/(IF(K468="",INDEX(CONFIG!$F$5:$F$14,MATCH(D468,CONFIG!$D$5:$D$14,0)),K468)*IF(M468="",INDEX(CONFIG!$H$5:$H$14,MATCH(D468,CONFIG!$D$5:$D$14,0)),M468))),""))</f>
        <v/>
      </c>
      <c r="Q468" s="16" t="str">
        <f aca="false">IF(OR(O468="",P468=""),"",O468/P468)</f>
        <v/>
      </c>
      <c r="R468" s="16" t="str">
        <f aca="false">IF(Q468="","",Q468*0.0980665)</f>
        <v/>
      </c>
      <c r="S468" s="16" t="str">
        <f aca="false">IF(Q468="","",IFERROR(Q468/(1/(1/INDEX(CONFIG!$I$5:$I$14,MATCH(D468,CONFIG!$D$5:$D$14,0)))),""))</f>
        <v/>
      </c>
      <c r="T468" s="13"/>
      <c r="U468" s="13"/>
      <c r="V468" s="13"/>
      <c r="W468" s="13"/>
      <c r="X468" s="22" t="str">
        <f aca="false">IF(Q468="","",Q468^2)</f>
        <v/>
      </c>
      <c r="Y468" s="22" t="str">
        <f aca="false">IF(AND(C468&lt;&gt;"",C468=CERTIFICADO!$E$4,OR(CERTIFICADO!$E$5="",B468=CERTIFICADO!$E$5)),MAX($Y$4:Y467)+1,"")</f>
        <v/>
      </c>
    </row>
    <row r="469" customFormat="false" ht="15" hidden="false" customHeight="false" outlineLevel="0" collapsed="false">
      <c r="A469" s="11" t="str">
        <f aca="false">IF(C469="","",ROW()-4)</f>
        <v/>
      </c>
      <c r="B469" s="12"/>
      <c r="C469" s="13"/>
      <c r="D469" s="23" t="str">
        <f aca="false">IF(C469="","",IFERROR(INDEX(LOTES!$D$5:$D$1004,MATCH(C469,LOTES!$F$5:$F$1004,0)),"¿Lote?"))</f>
        <v/>
      </c>
      <c r="E469" s="11" t="str">
        <f aca="false">IF(C469="","",IFERROR(INDEX(LOTES!$C$5:$C$1004,MATCH(C469,LOTES!$F$5:$F$1004,0)),""))</f>
        <v/>
      </c>
      <c r="F469" s="24" t="str">
        <f aca="false">IF(C469="","",IFERROR(INDEX(LOTES!$B$5:$B$1004,MATCH(C469,LOTES!$F$5:$F$1004,0)),""))</f>
        <v/>
      </c>
      <c r="G469" s="15" t="str">
        <f aca="false">IF(OR(B469="",F469=""),"",B469-F469)</f>
        <v/>
      </c>
      <c r="H469" s="13"/>
      <c r="I469" s="13"/>
      <c r="J469" s="13"/>
      <c r="K469" s="25"/>
      <c r="L469" s="25"/>
      <c r="M469" s="25"/>
      <c r="N469" s="25"/>
      <c r="O469" s="26"/>
      <c r="P469" s="16" t="str">
        <f aca="false">IF(O469="","",IFERROR(1/(1/(IF(K469="",INDEX(CONFIG!$F$5:$F$14,MATCH(D469,CONFIG!$D$5:$D$14,0)),K469)*IF(M469="",INDEX(CONFIG!$H$5:$H$14,MATCH(D469,CONFIG!$D$5:$D$14,0)),M469))),""))</f>
        <v/>
      </c>
      <c r="Q469" s="16" t="str">
        <f aca="false">IF(OR(O469="",P469=""),"",O469/P469)</f>
        <v/>
      </c>
      <c r="R469" s="16" t="str">
        <f aca="false">IF(Q469="","",Q469*0.0980665)</f>
        <v/>
      </c>
      <c r="S469" s="16" t="str">
        <f aca="false">IF(Q469="","",IFERROR(Q469/(1/(1/INDEX(CONFIG!$I$5:$I$14,MATCH(D469,CONFIG!$D$5:$D$14,0)))),""))</f>
        <v/>
      </c>
      <c r="T469" s="13"/>
      <c r="U469" s="13"/>
      <c r="V469" s="13"/>
      <c r="W469" s="13"/>
      <c r="X469" s="22" t="str">
        <f aca="false">IF(Q469="","",Q469^2)</f>
        <v/>
      </c>
      <c r="Y469" s="22" t="str">
        <f aca="false">IF(AND(C469&lt;&gt;"",C469=CERTIFICADO!$E$4,OR(CERTIFICADO!$E$5="",B469=CERTIFICADO!$E$5)),MAX($Y$4:Y468)+1,"")</f>
        <v/>
      </c>
    </row>
    <row r="470" customFormat="false" ht="15" hidden="false" customHeight="false" outlineLevel="0" collapsed="false">
      <c r="A470" s="11" t="str">
        <f aca="false">IF(C470="","",ROW()-4)</f>
        <v/>
      </c>
      <c r="B470" s="12"/>
      <c r="C470" s="13"/>
      <c r="D470" s="23" t="str">
        <f aca="false">IF(C470="","",IFERROR(INDEX(LOTES!$D$5:$D$1004,MATCH(C470,LOTES!$F$5:$F$1004,0)),"¿Lote?"))</f>
        <v/>
      </c>
      <c r="E470" s="11" t="str">
        <f aca="false">IF(C470="","",IFERROR(INDEX(LOTES!$C$5:$C$1004,MATCH(C470,LOTES!$F$5:$F$1004,0)),""))</f>
        <v/>
      </c>
      <c r="F470" s="24" t="str">
        <f aca="false">IF(C470="","",IFERROR(INDEX(LOTES!$B$5:$B$1004,MATCH(C470,LOTES!$F$5:$F$1004,0)),""))</f>
        <v/>
      </c>
      <c r="G470" s="15" t="str">
        <f aca="false">IF(OR(B470="",F470=""),"",B470-F470)</f>
        <v/>
      </c>
      <c r="H470" s="13"/>
      <c r="I470" s="13"/>
      <c r="J470" s="13"/>
      <c r="K470" s="25"/>
      <c r="L470" s="25"/>
      <c r="M470" s="25"/>
      <c r="N470" s="25"/>
      <c r="O470" s="26"/>
      <c r="P470" s="16" t="str">
        <f aca="false">IF(O470="","",IFERROR(1/(1/(IF(K470="",INDEX(CONFIG!$F$5:$F$14,MATCH(D470,CONFIG!$D$5:$D$14,0)),K470)*IF(M470="",INDEX(CONFIG!$H$5:$H$14,MATCH(D470,CONFIG!$D$5:$D$14,0)),M470))),""))</f>
        <v/>
      </c>
      <c r="Q470" s="16" t="str">
        <f aca="false">IF(OR(O470="",P470=""),"",O470/P470)</f>
        <v/>
      </c>
      <c r="R470" s="16" t="str">
        <f aca="false">IF(Q470="","",Q470*0.0980665)</f>
        <v/>
      </c>
      <c r="S470" s="16" t="str">
        <f aca="false">IF(Q470="","",IFERROR(Q470/(1/(1/INDEX(CONFIG!$I$5:$I$14,MATCH(D470,CONFIG!$D$5:$D$14,0)))),""))</f>
        <v/>
      </c>
      <c r="T470" s="13"/>
      <c r="U470" s="13"/>
      <c r="V470" s="13"/>
      <c r="W470" s="13"/>
      <c r="X470" s="22" t="str">
        <f aca="false">IF(Q470="","",Q470^2)</f>
        <v/>
      </c>
      <c r="Y470" s="22" t="str">
        <f aca="false">IF(AND(C470&lt;&gt;"",C470=CERTIFICADO!$E$4,OR(CERTIFICADO!$E$5="",B470=CERTIFICADO!$E$5)),MAX($Y$4:Y469)+1,"")</f>
        <v/>
      </c>
    </row>
    <row r="471" customFormat="false" ht="15" hidden="false" customHeight="false" outlineLevel="0" collapsed="false">
      <c r="A471" s="11" t="str">
        <f aca="false">IF(C471="","",ROW()-4)</f>
        <v/>
      </c>
      <c r="B471" s="12"/>
      <c r="C471" s="13"/>
      <c r="D471" s="23" t="str">
        <f aca="false">IF(C471="","",IFERROR(INDEX(LOTES!$D$5:$D$1004,MATCH(C471,LOTES!$F$5:$F$1004,0)),"¿Lote?"))</f>
        <v/>
      </c>
      <c r="E471" s="11" t="str">
        <f aca="false">IF(C471="","",IFERROR(INDEX(LOTES!$C$5:$C$1004,MATCH(C471,LOTES!$F$5:$F$1004,0)),""))</f>
        <v/>
      </c>
      <c r="F471" s="24" t="str">
        <f aca="false">IF(C471="","",IFERROR(INDEX(LOTES!$B$5:$B$1004,MATCH(C471,LOTES!$F$5:$F$1004,0)),""))</f>
        <v/>
      </c>
      <c r="G471" s="15" t="str">
        <f aca="false">IF(OR(B471="",F471=""),"",B471-F471)</f>
        <v/>
      </c>
      <c r="H471" s="13"/>
      <c r="I471" s="13"/>
      <c r="J471" s="13"/>
      <c r="K471" s="25"/>
      <c r="L471" s="25"/>
      <c r="M471" s="25"/>
      <c r="N471" s="25"/>
      <c r="O471" s="26"/>
      <c r="P471" s="16" t="str">
        <f aca="false">IF(O471="","",IFERROR(1/(1/(IF(K471="",INDEX(CONFIG!$F$5:$F$14,MATCH(D471,CONFIG!$D$5:$D$14,0)),K471)*IF(M471="",INDEX(CONFIG!$H$5:$H$14,MATCH(D471,CONFIG!$D$5:$D$14,0)),M471))),""))</f>
        <v/>
      </c>
      <c r="Q471" s="16" t="str">
        <f aca="false">IF(OR(O471="",P471=""),"",O471/P471)</f>
        <v/>
      </c>
      <c r="R471" s="16" t="str">
        <f aca="false">IF(Q471="","",Q471*0.0980665)</f>
        <v/>
      </c>
      <c r="S471" s="16" t="str">
        <f aca="false">IF(Q471="","",IFERROR(Q471/(1/(1/INDEX(CONFIG!$I$5:$I$14,MATCH(D471,CONFIG!$D$5:$D$14,0)))),""))</f>
        <v/>
      </c>
      <c r="T471" s="13"/>
      <c r="U471" s="13"/>
      <c r="V471" s="13"/>
      <c r="W471" s="13"/>
      <c r="X471" s="22" t="str">
        <f aca="false">IF(Q471="","",Q471^2)</f>
        <v/>
      </c>
      <c r="Y471" s="22" t="str">
        <f aca="false">IF(AND(C471&lt;&gt;"",C471=CERTIFICADO!$E$4,OR(CERTIFICADO!$E$5="",B471=CERTIFICADO!$E$5)),MAX($Y$4:Y470)+1,"")</f>
        <v/>
      </c>
    </row>
    <row r="472" customFormat="false" ht="15" hidden="false" customHeight="false" outlineLevel="0" collapsed="false">
      <c r="A472" s="11" t="str">
        <f aca="false">IF(C472="","",ROW()-4)</f>
        <v/>
      </c>
      <c r="B472" s="12"/>
      <c r="C472" s="13"/>
      <c r="D472" s="23" t="str">
        <f aca="false">IF(C472="","",IFERROR(INDEX(LOTES!$D$5:$D$1004,MATCH(C472,LOTES!$F$5:$F$1004,0)),"¿Lote?"))</f>
        <v/>
      </c>
      <c r="E472" s="11" t="str">
        <f aca="false">IF(C472="","",IFERROR(INDEX(LOTES!$C$5:$C$1004,MATCH(C472,LOTES!$F$5:$F$1004,0)),""))</f>
        <v/>
      </c>
      <c r="F472" s="24" t="str">
        <f aca="false">IF(C472="","",IFERROR(INDEX(LOTES!$B$5:$B$1004,MATCH(C472,LOTES!$F$5:$F$1004,0)),""))</f>
        <v/>
      </c>
      <c r="G472" s="15" t="str">
        <f aca="false">IF(OR(B472="",F472=""),"",B472-F472)</f>
        <v/>
      </c>
      <c r="H472" s="13"/>
      <c r="I472" s="13"/>
      <c r="J472" s="13"/>
      <c r="K472" s="25"/>
      <c r="L472" s="25"/>
      <c r="M472" s="25"/>
      <c r="N472" s="25"/>
      <c r="O472" s="26"/>
      <c r="P472" s="16" t="str">
        <f aca="false">IF(O472="","",IFERROR(1/(1/(IF(K472="",INDEX(CONFIG!$F$5:$F$14,MATCH(D472,CONFIG!$D$5:$D$14,0)),K472)*IF(M472="",INDEX(CONFIG!$H$5:$H$14,MATCH(D472,CONFIG!$D$5:$D$14,0)),M472))),""))</f>
        <v/>
      </c>
      <c r="Q472" s="16" t="str">
        <f aca="false">IF(OR(O472="",P472=""),"",O472/P472)</f>
        <v/>
      </c>
      <c r="R472" s="16" t="str">
        <f aca="false">IF(Q472="","",Q472*0.0980665)</f>
        <v/>
      </c>
      <c r="S472" s="16" t="str">
        <f aca="false">IF(Q472="","",IFERROR(Q472/(1/(1/INDEX(CONFIG!$I$5:$I$14,MATCH(D472,CONFIG!$D$5:$D$14,0)))),""))</f>
        <v/>
      </c>
      <c r="T472" s="13"/>
      <c r="U472" s="13"/>
      <c r="V472" s="13"/>
      <c r="W472" s="13"/>
      <c r="X472" s="22" t="str">
        <f aca="false">IF(Q472="","",Q472^2)</f>
        <v/>
      </c>
      <c r="Y472" s="22" t="str">
        <f aca="false">IF(AND(C472&lt;&gt;"",C472=CERTIFICADO!$E$4,OR(CERTIFICADO!$E$5="",B472=CERTIFICADO!$E$5)),MAX($Y$4:Y471)+1,"")</f>
        <v/>
      </c>
    </row>
    <row r="473" customFormat="false" ht="15" hidden="false" customHeight="false" outlineLevel="0" collapsed="false">
      <c r="A473" s="11" t="str">
        <f aca="false">IF(C473="","",ROW()-4)</f>
        <v/>
      </c>
      <c r="B473" s="12"/>
      <c r="C473" s="13"/>
      <c r="D473" s="23" t="str">
        <f aca="false">IF(C473="","",IFERROR(INDEX(LOTES!$D$5:$D$1004,MATCH(C473,LOTES!$F$5:$F$1004,0)),"¿Lote?"))</f>
        <v/>
      </c>
      <c r="E473" s="11" t="str">
        <f aca="false">IF(C473="","",IFERROR(INDEX(LOTES!$C$5:$C$1004,MATCH(C473,LOTES!$F$5:$F$1004,0)),""))</f>
        <v/>
      </c>
      <c r="F473" s="24" t="str">
        <f aca="false">IF(C473="","",IFERROR(INDEX(LOTES!$B$5:$B$1004,MATCH(C473,LOTES!$F$5:$F$1004,0)),""))</f>
        <v/>
      </c>
      <c r="G473" s="15" t="str">
        <f aca="false">IF(OR(B473="",F473=""),"",B473-F473)</f>
        <v/>
      </c>
      <c r="H473" s="13"/>
      <c r="I473" s="13"/>
      <c r="J473" s="13"/>
      <c r="K473" s="25"/>
      <c r="L473" s="25"/>
      <c r="M473" s="25"/>
      <c r="N473" s="25"/>
      <c r="O473" s="26"/>
      <c r="P473" s="16" t="str">
        <f aca="false">IF(O473="","",IFERROR(1/(1/(IF(K473="",INDEX(CONFIG!$F$5:$F$14,MATCH(D473,CONFIG!$D$5:$D$14,0)),K473)*IF(M473="",INDEX(CONFIG!$H$5:$H$14,MATCH(D473,CONFIG!$D$5:$D$14,0)),M473))),""))</f>
        <v/>
      </c>
      <c r="Q473" s="16" t="str">
        <f aca="false">IF(OR(O473="",P473=""),"",O473/P473)</f>
        <v/>
      </c>
      <c r="R473" s="16" t="str">
        <f aca="false">IF(Q473="","",Q473*0.0980665)</f>
        <v/>
      </c>
      <c r="S473" s="16" t="str">
        <f aca="false">IF(Q473="","",IFERROR(Q473/(1/(1/INDEX(CONFIG!$I$5:$I$14,MATCH(D473,CONFIG!$D$5:$D$14,0)))),""))</f>
        <v/>
      </c>
      <c r="T473" s="13"/>
      <c r="U473" s="13"/>
      <c r="V473" s="13"/>
      <c r="W473" s="13"/>
      <c r="X473" s="22" t="str">
        <f aca="false">IF(Q473="","",Q473^2)</f>
        <v/>
      </c>
      <c r="Y473" s="22" t="str">
        <f aca="false">IF(AND(C473&lt;&gt;"",C473=CERTIFICADO!$E$4,OR(CERTIFICADO!$E$5="",B473=CERTIFICADO!$E$5)),MAX($Y$4:Y472)+1,"")</f>
        <v/>
      </c>
    </row>
    <row r="474" customFormat="false" ht="15" hidden="false" customHeight="false" outlineLevel="0" collapsed="false">
      <c r="A474" s="11" t="str">
        <f aca="false">IF(C474="","",ROW()-4)</f>
        <v/>
      </c>
      <c r="B474" s="12"/>
      <c r="C474" s="13"/>
      <c r="D474" s="23" t="str">
        <f aca="false">IF(C474="","",IFERROR(INDEX(LOTES!$D$5:$D$1004,MATCH(C474,LOTES!$F$5:$F$1004,0)),"¿Lote?"))</f>
        <v/>
      </c>
      <c r="E474" s="11" t="str">
        <f aca="false">IF(C474="","",IFERROR(INDEX(LOTES!$C$5:$C$1004,MATCH(C474,LOTES!$F$5:$F$1004,0)),""))</f>
        <v/>
      </c>
      <c r="F474" s="24" t="str">
        <f aca="false">IF(C474="","",IFERROR(INDEX(LOTES!$B$5:$B$1004,MATCH(C474,LOTES!$F$5:$F$1004,0)),""))</f>
        <v/>
      </c>
      <c r="G474" s="15" t="str">
        <f aca="false">IF(OR(B474="",F474=""),"",B474-F474)</f>
        <v/>
      </c>
      <c r="H474" s="13"/>
      <c r="I474" s="13"/>
      <c r="J474" s="13"/>
      <c r="K474" s="25"/>
      <c r="L474" s="25"/>
      <c r="M474" s="25"/>
      <c r="N474" s="25"/>
      <c r="O474" s="26"/>
      <c r="P474" s="16" t="str">
        <f aca="false">IF(O474="","",IFERROR(1/(1/(IF(K474="",INDEX(CONFIG!$F$5:$F$14,MATCH(D474,CONFIG!$D$5:$D$14,0)),K474)*IF(M474="",INDEX(CONFIG!$H$5:$H$14,MATCH(D474,CONFIG!$D$5:$D$14,0)),M474))),""))</f>
        <v/>
      </c>
      <c r="Q474" s="16" t="str">
        <f aca="false">IF(OR(O474="",P474=""),"",O474/P474)</f>
        <v/>
      </c>
      <c r="R474" s="16" t="str">
        <f aca="false">IF(Q474="","",Q474*0.0980665)</f>
        <v/>
      </c>
      <c r="S474" s="16" t="str">
        <f aca="false">IF(Q474="","",IFERROR(Q474/(1/(1/INDEX(CONFIG!$I$5:$I$14,MATCH(D474,CONFIG!$D$5:$D$14,0)))),""))</f>
        <v/>
      </c>
      <c r="T474" s="13"/>
      <c r="U474" s="13"/>
      <c r="V474" s="13"/>
      <c r="W474" s="13"/>
      <c r="X474" s="22" t="str">
        <f aca="false">IF(Q474="","",Q474^2)</f>
        <v/>
      </c>
      <c r="Y474" s="22" t="str">
        <f aca="false">IF(AND(C474&lt;&gt;"",C474=CERTIFICADO!$E$4,OR(CERTIFICADO!$E$5="",B474=CERTIFICADO!$E$5)),MAX($Y$4:Y473)+1,"")</f>
        <v/>
      </c>
    </row>
    <row r="475" customFormat="false" ht="15" hidden="false" customHeight="false" outlineLevel="0" collapsed="false">
      <c r="A475" s="11" t="str">
        <f aca="false">IF(C475="","",ROW()-4)</f>
        <v/>
      </c>
      <c r="B475" s="12"/>
      <c r="C475" s="13"/>
      <c r="D475" s="23" t="str">
        <f aca="false">IF(C475="","",IFERROR(INDEX(LOTES!$D$5:$D$1004,MATCH(C475,LOTES!$F$5:$F$1004,0)),"¿Lote?"))</f>
        <v/>
      </c>
      <c r="E475" s="11" t="str">
        <f aca="false">IF(C475="","",IFERROR(INDEX(LOTES!$C$5:$C$1004,MATCH(C475,LOTES!$F$5:$F$1004,0)),""))</f>
        <v/>
      </c>
      <c r="F475" s="24" t="str">
        <f aca="false">IF(C475="","",IFERROR(INDEX(LOTES!$B$5:$B$1004,MATCH(C475,LOTES!$F$5:$F$1004,0)),""))</f>
        <v/>
      </c>
      <c r="G475" s="15" t="str">
        <f aca="false">IF(OR(B475="",F475=""),"",B475-F475)</f>
        <v/>
      </c>
      <c r="H475" s="13"/>
      <c r="I475" s="13"/>
      <c r="J475" s="13"/>
      <c r="K475" s="25"/>
      <c r="L475" s="25"/>
      <c r="M475" s="25"/>
      <c r="N475" s="25"/>
      <c r="O475" s="26"/>
      <c r="P475" s="16" t="str">
        <f aca="false">IF(O475="","",IFERROR(1/(1/(IF(K475="",INDEX(CONFIG!$F$5:$F$14,MATCH(D475,CONFIG!$D$5:$D$14,0)),K475)*IF(M475="",INDEX(CONFIG!$H$5:$H$14,MATCH(D475,CONFIG!$D$5:$D$14,0)),M475))),""))</f>
        <v/>
      </c>
      <c r="Q475" s="16" t="str">
        <f aca="false">IF(OR(O475="",P475=""),"",O475/P475)</f>
        <v/>
      </c>
      <c r="R475" s="16" t="str">
        <f aca="false">IF(Q475="","",Q475*0.0980665)</f>
        <v/>
      </c>
      <c r="S475" s="16" t="str">
        <f aca="false">IF(Q475="","",IFERROR(Q475/(1/(1/INDEX(CONFIG!$I$5:$I$14,MATCH(D475,CONFIG!$D$5:$D$14,0)))),""))</f>
        <v/>
      </c>
      <c r="T475" s="13"/>
      <c r="U475" s="13"/>
      <c r="V475" s="13"/>
      <c r="W475" s="13"/>
      <c r="X475" s="22" t="str">
        <f aca="false">IF(Q475="","",Q475^2)</f>
        <v/>
      </c>
      <c r="Y475" s="22" t="str">
        <f aca="false">IF(AND(C475&lt;&gt;"",C475=CERTIFICADO!$E$4,OR(CERTIFICADO!$E$5="",B475=CERTIFICADO!$E$5)),MAX($Y$4:Y474)+1,"")</f>
        <v/>
      </c>
    </row>
    <row r="476" customFormat="false" ht="15" hidden="false" customHeight="false" outlineLevel="0" collapsed="false">
      <c r="A476" s="11" t="str">
        <f aca="false">IF(C476="","",ROW()-4)</f>
        <v/>
      </c>
      <c r="B476" s="12"/>
      <c r="C476" s="13"/>
      <c r="D476" s="23" t="str">
        <f aca="false">IF(C476="","",IFERROR(INDEX(LOTES!$D$5:$D$1004,MATCH(C476,LOTES!$F$5:$F$1004,0)),"¿Lote?"))</f>
        <v/>
      </c>
      <c r="E476" s="11" t="str">
        <f aca="false">IF(C476="","",IFERROR(INDEX(LOTES!$C$5:$C$1004,MATCH(C476,LOTES!$F$5:$F$1004,0)),""))</f>
        <v/>
      </c>
      <c r="F476" s="24" t="str">
        <f aca="false">IF(C476="","",IFERROR(INDEX(LOTES!$B$5:$B$1004,MATCH(C476,LOTES!$F$5:$F$1004,0)),""))</f>
        <v/>
      </c>
      <c r="G476" s="15" t="str">
        <f aca="false">IF(OR(B476="",F476=""),"",B476-F476)</f>
        <v/>
      </c>
      <c r="H476" s="13"/>
      <c r="I476" s="13"/>
      <c r="J476" s="13"/>
      <c r="K476" s="25"/>
      <c r="L476" s="25"/>
      <c r="M476" s="25"/>
      <c r="N476" s="25"/>
      <c r="O476" s="26"/>
      <c r="P476" s="16" t="str">
        <f aca="false">IF(O476="","",IFERROR(1/(1/(IF(K476="",INDEX(CONFIG!$F$5:$F$14,MATCH(D476,CONFIG!$D$5:$D$14,0)),K476)*IF(M476="",INDEX(CONFIG!$H$5:$H$14,MATCH(D476,CONFIG!$D$5:$D$14,0)),M476))),""))</f>
        <v/>
      </c>
      <c r="Q476" s="16" t="str">
        <f aca="false">IF(OR(O476="",P476=""),"",O476/P476)</f>
        <v/>
      </c>
      <c r="R476" s="16" t="str">
        <f aca="false">IF(Q476="","",Q476*0.0980665)</f>
        <v/>
      </c>
      <c r="S476" s="16" t="str">
        <f aca="false">IF(Q476="","",IFERROR(Q476/(1/(1/INDEX(CONFIG!$I$5:$I$14,MATCH(D476,CONFIG!$D$5:$D$14,0)))),""))</f>
        <v/>
      </c>
      <c r="T476" s="13"/>
      <c r="U476" s="13"/>
      <c r="V476" s="13"/>
      <c r="W476" s="13"/>
      <c r="X476" s="22" t="str">
        <f aca="false">IF(Q476="","",Q476^2)</f>
        <v/>
      </c>
      <c r="Y476" s="22" t="str">
        <f aca="false">IF(AND(C476&lt;&gt;"",C476=CERTIFICADO!$E$4,OR(CERTIFICADO!$E$5="",B476=CERTIFICADO!$E$5)),MAX($Y$4:Y475)+1,"")</f>
        <v/>
      </c>
    </row>
    <row r="477" customFormat="false" ht="15" hidden="false" customHeight="false" outlineLevel="0" collapsed="false">
      <c r="A477" s="11" t="str">
        <f aca="false">IF(C477="","",ROW()-4)</f>
        <v/>
      </c>
      <c r="B477" s="12"/>
      <c r="C477" s="13"/>
      <c r="D477" s="23" t="str">
        <f aca="false">IF(C477="","",IFERROR(INDEX(LOTES!$D$5:$D$1004,MATCH(C477,LOTES!$F$5:$F$1004,0)),"¿Lote?"))</f>
        <v/>
      </c>
      <c r="E477" s="11" t="str">
        <f aca="false">IF(C477="","",IFERROR(INDEX(LOTES!$C$5:$C$1004,MATCH(C477,LOTES!$F$5:$F$1004,0)),""))</f>
        <v/>
      </c>
      <c r="F477" s="24" t="str">
        <f aca="false">IF(C477="","",IFERROR(INDEX(LOTES!$B$5:$B$1004,MATCH(C477,LOTES!$F$5:$F$1004,0)),""))</f>
        <v/>
      </c>
      <c r="G477" s="15" t="str">
        <f aca="false">IF(OR(B477="",F477=""),"",B477-F477)</f>
        <v/>
      </c>
      <c r="H477" s="13"/>
      <c r="I477" s="13"/>
      <c r="J477" s="13"/>
      <c r="K477" s="25"/>
      <c r="L477" s="25"/>
      <c r="M477" s="25"/>
      <c r="N477" s="25"/>
      <c r="O477" s="26"/>
      <c r="P477" s="16" t="str">
        <f aca="false">IF(O477="","",IFERROR(1/(1/(IF(K477="",INDEX(CONFIG!$F$5:$F$14,MATCH(D477,CONFIG!$D$5:$D$14,0)),K477)*IF(M477="",INDEX(CONFIG!$H$5:$H$14,MATCH(D477,CONFIG!$D$5:$D$14,0)),M477))),""))</f>
        <v/>
      </c>
      <c r="Q477" s="16" t="str">
        <f aca="false">IF(OR(O477="",P477=""),"",O477/P477)</f>
        <v/>
      </c>
      <c r="R477" s="16" t="str">
        <f aca="false">IF(Q477="","",Q477*0.0980665)</f>
        <v/>
      </c>
      <c r="S477" s="16" t="str">
        <f aca="false">IF(Q477="","",IFERROR(Q477/(1/(1/INDEX(CONFIG!$I$5:$I$14,MATCH(D477,CONFIG!$D$5:$D$14,0)))),""))</f>
        <v/>
      </c>
      <c r="T477" s="13"/>
      <c r="U477" s="13"/>
      <c r="V477" s="13"/>
      <c r="W477" s="13"/>
      <c r="X477" s="22" t="str">
        <f aca="false">IF(Q477="","",Q477^2)</f>
        <v/>
      </c>
      <c r="Y477" s="22" t="str">
        <f aca="false">IF(AND(C477&lt;&gt;"",C477=CERTIFICADO!$E$4,OR(CERTIFICADO!$E$5="",B477=CERTIFICADO!$E$5)),MAX($Y$4:Y476)+1,"")</f>
        <v/>
      </c>
    </row>
    <row r="478" customFormat="false" ht="15" hidden="false" customHeight="false" outlineLevel="0" collapsed="false">
      <c r="A478" s="11" t="str">
        <f aca="false">IF(C478="","",ROW()-4)</f>
        <v/>
      </c>
      <c r="B478" s="12"/>
      <c r="C478" s="13"/>
      <c r="D478" s="23" t="str">
        <f aca="false">IF(C478="","",IFERROR(INDEX(LOTES!$D$5:$D$1004,MATCH(C478,LOTES!$F$5:$F$1004,0)),"¿Lote?"))</f>
        <v/>
      </c>
      <c r="E478" s="11" t="str">
        <f aca="false">IF(C478="","",IFERROR(INDEX(LOTES!$C$5:$C$1004,MATCH(C478,LOTES!$F$5:$F$1004,0)),""))</f>
        <v/>
      </c>
      <c r="F478" s="24" t="str">
        <f aca="false">IF(C478="","",IFERROR(INDEX(LOTES!$B$5:$B$1004,MATCH(C478,LOTES!$F$5:$F$1004,0)),""))</f>
        <v/>
      </c>
      <c r="G478" s="15" t="str">
        <f aca="false">IF(OR(B478="",F478=""),"",B478-F478)</f>
        <v/>
      </c>
      <c r="H478" s="13"/>
      <c r="I478" s="13"/>
      <c r="J478" s="13"/>
      <c r="K478" s="25"/>
      <c r="L478" s="25"/>
      <c r="M478" s="25"/>
      <c r="N478" s="25"/>
      <c r="O478" s="26"/>
      <c r="P478" s="16" t="str">
        <f aca="false">IF(O478="","",IFERROR(1/(1/(IF(K478="",INDEX(CONFIG!$F$5:$F$14,MATCH(D478,CONFIG!$D$5:$D$14,0)),K478)*IF(M478="",INDEX(CONFIG!$H$5:$H$14,MATCH(D478,CONFIG!$D$5:$D$14,0)),M478))),""))</f>
        <v/>
      </c>
      <c r="Q478" s="16" t="str">
        <f aca="false">IF(OR(O478="",P478=""),"",O478/P478)</f>
        <v/>
      </c>
      <c r="R478" s="16" t="str">
        <f aca="false">IF(Q478="","",Q478*0.0980665)</f>
        <v/>
      </c>
      <c r="S478" s="16" t="str">
        <f aca="false">IF(Q478="","",IFERROR(Q478/(1/(1/INDEX(CONFIG!$I$5:$I$14,MATCH(D478,CONFIG!$D$5:$D$14,0)))),""))</f>
        <v/>
      </c>
      <c r="T478" s="13"/>
      <c r="U478" s="13"/>
      <c r="V478" s="13"/>
      <c r="W478" s="13"/>
      <c r="X478" s="22" t="str">
        <f aca="false">IF(Q478="","",Q478^2)</f>
        <v/>
      </c>
      <c r="Y478" s="22" t="str">
        <f aca="false">IF(AND(C478&lt;&gt;"",C478=CERTIFICADO!$E$4,OR(CERTIFICADO!$E$5="",B478=CERTIFICADO!$E$5)),MAX($Y$4:Y477)+1,"")</f>
        <v/>
      </c>
    </row>
    <row r="479" customFormat="false" ht="15" hidden="false" customHeight="false" outlineLevel="0" collapsed="false">
      <c r="A479" s="11" t="str">
        <f aca="false">IF(C479="","",ROW()-4)</f>
        <v/>
      </c>
      <c r="B479" s="12"/>
      <c r="C479" s="13"/>
      <c r="D479" s="23" t="str">
        <f aca="false">IF(C479="","",IFERROR(INDEX(LOTES!$D$5:$D$1004,MATCH(C479,LOTES!$F$5:$F$1004,0)),"¿Lote?"))</f>
        <v/>
      </c>
      <c r="E479" s="11" t="str">
        <f aca="false">IF(C479="","",IFERROR(INDEX(LOTES!$C$5:$C$1004,MATCH(C479,LOTES!$F$5:$F$1004,0)),""))</f>
        <v/>
      </c>
      <c r="F479" s="24" t="str">
        <f aca="false">IF(C479="","",IFERROR(INDEX(LOTES!$B$5:$B$1004,MATCH(C479,LOTES!$F$5:$F$1004,0)),""))</f>
        <v/>
      </c>
      <c r="G479" s="15" t="str">
        <f aca="false">IF(OR(B479="",F479=""),"",B479-F479)</f>
        <v/>
      </c>
      <c r="H479" s="13"/>
      <c r="I479" s="13"/>
      <c r="J479" s="13"/>
      <c r="K479" s="25"/>
      <c r="L479" s="25"/>
      <c r="M479" s="25"/>
      <c r="N479" s="25"/>
      <c r="O479" s="26"/>
      <c r="P479" s="16" t="str">
        <f aca="false">IF(O479="","",IFERROR(1/(1/(IF(K479="",INDEX(CONFIG!$F$5:$F$14,MATCH(D479,CONFIG!$D$5:$D$14,0)),K479)*IF(M479="",INDEX(CONFIG!$H$5:$H$14,MATCH(D479,CONFIG!$D$5:$D$14,0)),M479))),""))</f>
        <v/>
      </c>
      <c r="Q479" s="16" t="str">
        <f aca="false">IF(OR(O479="",P479=""),"",O479/P479)</f>
        <v/>
      </c>
      <c r="R479" s="16" t="str">
        <f aca="false">IF(Q479="","",Q479*0.0980665)</f>
        <v/>
      </c>
      <c r="S479" s="16" t="str">
        <f aca="false">IF(Q479="","",IFERROR(Q479/(1/(1/INDEX(CONFIG!$I$5:$I$14,MATCH(D479,CONFIG!$D$5:$D$14,0)))),""))</f>
        <v/>
      </c>
      <c r="T479" s="13"/>
      <c r="U479" s="13"/>
      <c r="V479" s="13"/>
      <c r="W479" s="13"/>
      <c r="X479" s="22" t="str">
        <f aca="false">IF(Q479="","",Q479^2)</f>
        <v/>
      </c>
      <c r="Y479" s="22" t="str">
        <f aca="false">IF(AND(C479&lt;&gt;"",C479=CERTIFICADO!$E$4,OR(CERTIFICADO!$E$5="",B479=CERTIFICADO!$E$5)),MAX($Y$4:Y478)+1,"")</f>
        <v/>
      </c>
    </row>
    <row r="480" customFormat="false" ht="15" hidden="false" customHeight="false" outlineLevel="0" collapsed="false">
      <c r="A480" s="11" t="str">
        <f aca="false">IF(C480="","",ROW()-4)</f>
        <v/>
      </c>
      <c r="B480" s="12"/>
      <c r="C480" s="13"/>
      <c r="D480" s="23" t="str">
        <f aca="false">IF(C480="","",IFERROR(INDEX(LOTES!$D$5:$D$1004,MATCH(C480,LOTES!$F$5:$F$1004,0)),"¿Lote?"))</f>
        <v/>
      </c>
      <c r="E480" s="11" t="str">
        <f aca="false">IF(C480="","",IFERROR(INDEX(LOTES!$C$5:$C$1004,MATCH(C480,LOTES!$F$5:$F$1004,0)),""))</f>
        <v/>
      </c>
      <c r="F480" s="24" t="str">
        <f aca="false">IF(C480="","",IFERROR(INDEX(LOTES!$B$5:$B$1004,MATCH(C480,LOTES!$F$5:$F$1004,0)),""))</f>
        <v/>
      </c>
      <c r="G480" s="15" t="str">
        <f aca="false">IF(OR(B480="",F480=""),"",B480-F480)</f>
        <v/>
      </c>
      <c r="H480" s="13"/>
      <c r="I480" s="13"/>
      <c r="J480" s="13"/>
      <c r="K480" s="25"/>
      <c r="L480" s="25"/>
      <c r="M480" s="25"/>
      <c r="N480" s="25"/>
      <c r="O480" s="26"/>
      <c r="P480" s="16" t="str">
        <f aca="false">IF(O480="","",IFERROR(1/(1/(IF(K480="",INDEX(CONFIG!$F$5:$F$14,MATCH(D480,CONFIG!$D$5:$D$14,0)),K480)*IF(M480="",INDEX(CONFIG!$H$5:$H$14,MATCH(D480,CONFIG!$D$5:$D$14,0)),M480))),""))</f>
        <v/>
      </c>
      <c r="Q480" s="16" t="str">
        <f aca="false">IF(OR(O480="",P480=""),"",O480/P480)</f>
        <v/>
      </c>
      <c r="R480" s="16" t="str">
        <f aca="false">IF(Q480="","",Q480*0.0980665)</f>
        <v/>
      </c>
      <c r="S480" s="16" t="str">
        <f aca="false">IF(Q480="","",IFERROR(Q480/(1/(1/INDEX(CONFIG!$I$5:$I$14,MATCH(D480,CONFIG!$D$5:$D$14,0)))),""))</f>
        <v/>
      </c>
      <c r="T480" s="13"/>
      <c r="U480" s="13"/>
      <c r="V480" s="13"/>
      <c r="W480" s="13"/>
      <c r="X480" s="22" t="str">
        <f aca="false">IF(Q480="","",Q480^2)</f>
        <v/>
      </c>
      <c r="Y480" s="22" t="str">
        <f aca="false">IF(AND(C480&lt;&gt;"",C480=CERTIFICADO!$E$4,OR(CERTIFICADO!$E$5="",B480=CERTIFICADO!$E$5)),MAX($Y$4:Y479)+1,"")</f>
        <v/>
      </c>
    </row>
    <row r="481" customFormat="false" ht="15" hidden="false" customHeight="false" outlineLevel="0" collapsed="false">
      <c r="A481" s="11" t="str">
        <f aca="false">IF(C481="","",ROW()-4)</f>
        <v/>
      </c>
      <c r="B481" s="12"/>
      <c r="C481" s="13"/>
      <c r="D481" s="23" t="str">
        <f aca="false">IF(C481="","",IFERROR(INDEX(LOTES!$D$5:$D$1004,MATCH(C481,LOTES!$F$5:$F$1004,0)),"¿Lote?"))</f>
        <v/>
      </c>
      <c r="E481" s="11" t="str">
        <f aca="false">IF(C481="","",IFERROR(INDEX(LOTES!$C$5:$C$1004,MATCH(C481,LOTES!$F$5:$F$1004,0)),""))</f>
        <v/>
      </c>
      <c r="F481" s="24" t="str">
        <f aca="false">IF(C481="","",IFERROR(INDEX(LOTES!$B$5:$B$1004,MATCH(C481,LOTES!$F$5:$F$1004,0)),""))</f>
        <v/>
      </c>
      <c r="G481" s="15" t="str">
        <f aca="false">IF(OR(B481="",F481=""),"",B481-F481)</f>
        <v/>
      </c>
      <c r="H481" s="13"/>
      <c r="I481" s="13"/>
      <c r="J481" s="13"/>
      <c r="K481" s="25"/>
      <c r="L481" s="25"/>
      <c r="M481" s="25"/>
      <c r="N481" s="25"/>
      <c r="O481" s="26"/>
      <c r="P481" s="16" t="str">
        <f aca="false">IF(O481="","",IFERROR(1/(1/(IF(K481="",INDEX(CONFIG!$F$5:$F$14,MATCH(D481,CONFIG!$D$5:$D$14,0)),K481)*IF(M481="",INDEX(CONFIG!$H$5:$H$14,MATCH(D481,CONFIG!$D$5:$D$14,0)),M481))),""))</f>
        <v/>
      </c>
      <c r="Q481" s="16" t="str">
        <f aca="false">IF(OR(O481="",P481=""),"",O481/P481)</f>
        <v/>
      </c>
      <c r="R481" s="16" t="str">
        <f aca="false">IF(Q481="","",Q481*0.0980665)</f>
        <v/>
      </c>
      <c r="S481" s="16" t="str">
        <f aca="false">IF(Q481="","",IFERROR(Q481/(1/(1/INDEX(CONFIG!$I$5:$I$14,MATCH(D481,CONFIG!$D$5:$D$14,0)))),""))</f>
        <v/>
      </c>
      <c r="T481" s="13"/>
      <c r="U481" s="13"/>
      <c r="V481" s="13"/>
      <c r="W481" s="13"/>
      <c r="X481" s="22" t="str">
        <f aca="false">IF(Q481="","",Q481^2)</f>
        <v/>
      </c>
      <c r="Y481" s="22" t="str">
        <f aca="false">IF(AND(C481&lt;&gt;"",C481=CERTIFICADO!$E$4,OR(CERTIFICADO!$E$5="",B481=CERTIFICADO!$E$5)),MAX($Y$4:Y480)+1,"")</f>
        <v/>
      </c>
    </row>
    <row r="482" customFormat="false" ht="15" hidden="false" customHeight="false" outlineLevel="0" collapsed="false">
      <c r="A482" s="11" t="str">
        <f aca="false">IF(C482="","",ROW()-4)</f>
        <v/>
      </c>
      <c r="B482" s="12"/>
      <c r="C482" s="13"/>
      <c r="D482" s="23" t="str">
        <f aca="false">IF(C482="","",IFERROR(INDEX(LOTES!$D$5:$D$1004,MATCH(C482,LOTES!$F$5:$F$1004,0)),"¿Lote?"))</f>
        <v/>
      </c>
      <c r="E482" s="11" t="str">
        <f aca="false">IF(C482="","",IFERROR(INDEX(LOTES!$C$5:$C$1004,MATCH(C482,LOTES!$F$5:$F$1004,0)),""))</f>
        <v/>
      </c>
      <c r="F482" s="24" t="str">
        <f aca="false">IF(C482="","",IFERROR(INDEX(LOTES!$B$5:$B$1004,MATCH(C482,LOTES!$F$5:$F$1004,0)),""))</f>
        <v/>
      </c>
      <c r="G482" s="15" t="str">
        <f aca="false">IF(OR(B482="",F482=""),"",B482-F482)</f>
        <v/>
      </c>
      <c r="H482" s="13"/>
      <c r="I482" s="13"/>
      <c r="J482" s="13"/>
      <c r="K482" s="25"/>
      <c r="L482" s="25"/>
      <c r="M482" s="25"/>
      <c r="N482" s="25"/>
      <c r="O482" s="26"/>
      <c r="P482" s="16" t="str">
        <f aca="false">IF(O482="","",IFERROR(1/(1/(IF(K482="",INDEX(CONFIG!$F$5:$F$14,MATCH(D482,CONFIG!$D$5:$D$14,0)),K482)*IF(M482="",INDEX(CONFIG!$H$5:$H$14,MATCH(D482,CONFIG!$D$5:$D$14,0)),M482))),""))</f>
        <v/>
      </c>
      <c r="Q482" s="16" t="str">
        <f aca="false">IF(OR(O482="",P482=""),"",O482/P482)</f>
        <v/>
      </c>
      <c r="R482" s="16" t="str">
        <f aca="false">IF(Q482="","",Q482*0.0980665)</f>
        <v/>
      </c>
      <c r="S482" s="16" t="str">
        <f aca="false">IF(Q482="","",IFERROR(Q482/(1/(1/INDEX(CONFIG!$I$5:$I$14,MATCH(D482,CONFIG!$D$5:$D$14,0)))),""))</f>
        <v/>
      </c>
      <c r="T482" s="13"/>
      <c r="U482" s="13"/>
      <c r="V482" s="13"/>
      <c r="W482" s="13"/>
      <c r="X482" s="22" t="str">
        <f aca="false">IF(Q482="","",Q482^2)</f>
        <v/>
      </c>
      <c r="Y482" s="22" t="str">
        <f aca="false">IF(AND(C482&lt;&gt;"",C482=CERTIFICADO!$E$4,OR(CERTIFICADO!$E$5="",B482=CERTIFICADO!$E$5)),MAX($Y$4:Y481)+1,"")</f>
        <v/>
      </c>
    </row>
    <row r="483" customFormat="false" ht="15" hidden="false" customHeight="false" outlineLevel="0" collapsed="false">
      <c r="A483" s="11" t="str">
        <f aca="false">IF(C483="","",ROW()-4)</f>
        <v/>
      </c>
      <c r="B483" s="12"/>
      <c r="C483" s="13"/>
      <c r="D483" s="23" t="str">
        <f aca="false">IF(C483="","",IFERROR(INDEX(LOTES!$D$5:$D$1004,MATCH(C483,LOTES!$F$5:$F$1004,0)),"¿Lote?"))</f>
        <v/>
      </c>
      <c r="E483" s="11" t="str">
        <f aca="false">IF(C483="","",IFERROR(INDEX(LOTES!$C$5:$C$1004,MATCH(C483,LOTES!$F$5:$F$1004,0)),""))</f>
        <v/>
      </c>
      <c r="F483" s="24" t="str">
        <f aca="false">IF(C483="","",IFERROR(INDEX(LOTES!$B$5:$B$1004,MATCH(C483,LOTES!$F$5:$F$1004,0)),""))</f>
        <v/>
      </c>
      <c r="G483" s="15" t="str">
        <f aca="false">IF(OR(B483="",F483=""),"",B483-F483)</f>
        <v/>
      </c>
      <c r="H483" s="13"/>
      <c r="I483" s="13"/>
      <c r="J483" s="13"/>
      <c r="K483" s="25"/>
      <c r="L483" s="25"/>
      <c r="M483" s="25"/>
      <c r="N483" s="25"/>
      <c r="O483" s="26"/>
      <c r="P483" s="16" t="str">
        <f aca="false">IF(O483="","",IFERROR(1/(1/(IF(K483="",INDEX(CONFIG!$F$5:$F$14,MATCH(D483,CONFIG!$D$5:$D$14,0)),K483)*IF(M483="",INDEX(CONFIG!$H$5:$H$14,MATCH(D483,CONFIG!$D$5:$D$14,0)),M483))),""))</f>
        <v/>
      </c>
      <c r="Q483" s="16" t="str">
        <f aca="false">IF(OR(O483="",P483=""),"",O483/P483)</f>
        <v/>
      </c>
      <c r="R483" s="16" t="str">
        <f aca="false">IF(Q483="","",Q483*0.0980665)</f>
        <v/>
      </c>
      <c r="S483" s="16" t="str">
        <f aca="false">IF(Q483="","",IFERROR(Q483/(1/(1/INDEX(CONFIG!$I$5:$I$14,MATCH(D483,CONFIG!$D$5:$D$14,0)))),""))</f>
        <v/>
      </c>
      <c r="T483" s="13"/>
      <c r="U483" s="13"/>
      <c r="V483" s="13"/>
      <c r="W483" s="13"/>
      <c r="X483" s="22" t="str">
        <f aca="false">IF(Q483="","",Q483^2)</f>
        <v/>
      </c>
      <c r="Y483" s="22" t="str">
        <f aca="false">IF(AND(C483&lt;&gt;"",C483=CERTIFICADO!$E$4,OR(CERTIFICADO!$E$5="",B483=CERTIFICADO!$E$5)),MAX($Y$4:Y482)+1,"")</f>
        <v/>
      </c>
    </row>
    <row r="484" customFormat="false" ht="15" hidden="false" customHeight="false" outlineLevel="0" collapsed="false">
      <c r="A484" s="11" t="str">
        <f aca="false">IF(C484="","",ROW()-4)</f>
        <v/>
      </c>
      <c r="B484" s="12"/>
      <c r="C484" s="13"/>
      <c r="D484" s="23" t="str">
        <f aca="false">IF(C484="","",IFERROR(INDEX(LOTES!$D$5:$D$1004,MATCH(C484,LOTES!$F$5:$F$1004,0)),"¿Lote?"))</f>
        <v/>
      </c>
      <c r="E484" s="11" t="str">
        <f aca="false">IF(C484="","",IFERROR(INDEX(LOTES!$C$5:$C$1004,MATCH(C484,LOTES!$F$5:$F$1004,0)),""))</f>
        <v/>
      </c>
      <c r="F484" s="24" t="str">
        <f aca="false">IF(C484="","",IFERROR(INDEX(LOTES!$B$5:$B$1004,MATCH(C484,LOTES!$F$5:$F$1004,0)),""))</f>
        <v/>
      </c>
      <c r="G484" s="15" t="str">
        <f aca="false">IF(OR(B484="",F484=""),"",B484-F484)</f>
        <v/>
      </c>
      <c r="H484" s="13"/>
      <c r="I484" s="13"/>
      <c r="J484" s="13"/>
      <c r="K484" s="25"/>
      <c r="L484" s="25"/>
      <c r="M484" s="25"/>
      <c r="N484" s="25"/>
      <c r="O484" s="26"/>
      <c r="P484" s="16" t="str">
        <f aca="false">IF(O484="","",IFERROR(1/(1/(IF(K484="",INDEX(CONFIG!$F$5:$F$14,MATCH(D484,CONFIG!$D$5:$D$14,0)),K484)*IF(M484="",INDEX(CONFIG!$H$5:$H$14,MATCH(D484,CONFIG!$D$5:$D$14,0)),M484))),""))</f>
        <v/>
      </c>
      <c r="Q484" s="16" t="str">
        <f aca="false">IF(OR(O484="",P484=""),"",O484/P484)</f>
        <v/>
      </c>
      <c r="R484" s="16" t="str">
        <f aca="false">IF(Q484="","",Q484*0.0980665)</f>
        <v/>
      </c>
      <c r="S484" s="16" t="str">
        <f aca="false">IF(Q484="","",IFERROR(Q484/(1/(1/INDEX(CONFIG!$I$5:$I$14,MATCH(D484,CONFIG!$D$5:$D$14,0)))),""))</f>
        <v/>
      </c>
      <c r="T484" s="13"/>
      <c r="U484" s="13"/>
      <c r="V484" s="13"/>
      <c r="W484" s="13"/>
      <c r="X484" s="22" t="str">
        <f aca="false">IF(Q484="","",Q484^2)</f>
        <v/>
      </c>
      <c r="Y484" s="22" t="str">
        <f aca="false">IF(AND(C484&lt;&gt;"",C484=CERTIFICADO!$E$4,OR(CERTIFICADO!$E$5="",B484=CERTIFICADO!$E$5)),MAX($Y$4:Y483)+1,"")</f>
        <v/>
      </c>
    </row>
    <row r="485" customFormat="false" ht="15" hidden="false" customHeight="false" outlineLevel="0" collapsed="false">
      <c r="A485" s="11" t="str">
        <f aca="false">IF(C485="","",ROW()-4)</f>
        <v/>
      </c>
      <c r="B485" s="12"/>
      <c r="C485" s="13"/>
      <c r="D485" s="23" t="str">
        <f aca="false">IF(C485="","",IFERROR(INDEX(LOTES!$D$5:$D$1004,MATCH(C485,LOTES!$F$5:$F$1004,0)),"¿Lote?"))</f>
        <v/>
      </c>
      <c r="E485" s="11" t="str">
        <f aca="false">IF(C485="","",IFERROR(INDEX(LOTES!$C$5:$C$1004,MATCH(C485,LOTES!$F$5:$F$1004,0)),""))</f>
        <v/>
      </c>
      <c r="F485" s="24" t="str">
        <f aca="false">IF(C485="","",IFERROR(INDEX(LOTES!$B$5:$B$1004,MATCH(C485,LOTES!$F$5:$F$1004,0)),""))</f>
        <v/>
      </c>
      <c r="G485" s="15" t="str">
        <f aca="false">IF(OR(B485="",F485=""),"",B485-F485)</f>
        <v/>
      </c>
      <c r="H485" s="13"/>
      <c r="I485" s="13"/>
      <c r="J485" s="13"/>
      <c r="K485" s="25"/>
      <c r="L485" s="25"/>
      <c r="M485" s="25"/>
      <c r="N485" s="25"/>
      <c r="O485" s="26"/>
      <c r="P485" s="16" t="str">
        <f aca="false">IF(O485="","",IFERROR(1/(1/(IF(K485="",INDEX(CONFIG!$F$5:$F$14,MATCH(D485,CONFIG!$D$5:$D$14,0)),K485)*IF(M485="",INDEX(CONFIG!$H$5:$H$14,MATCH(D485,CONFIG!$D$5:$D$14,0)),M485))),""))</f>
        <v/>
      </c>
      <c r="Q485" s="16" t="str">
        <f aca="false">IF(OR(O485="",P485=""),"",O485/P485)</f>
        <v/>
      </c>
      <c r="R485" s="16" t="str">
        <f aca="false">IF(Q485="","",Q485*0.0980665)</f>
        <v/>
      </c>
      <c r="S485" s="16" t="str">
        <f aca="false">IF(Q485="","",IFERROR(Q485/(1/(1/INDEX(CONFIG!$I$5:$I$14,MATCH(D485,CONFIG!$D$5:$D$14,0)))),""))</f>
        <v/>
      </c>
      <c r="T485" s="13"/>
      <c r="U485" s="13"/>
      <c r="V485" s="13"/>
      <c r="W485" s="13"/>
      <c r="X485" s="22" t="str">
        <f aca="false">IF(Q485="","",Q485^2)</f>
        <v/>
      </c>
      <c r="Y485" s="22" t="str">
        <f aca="false">IF(AND(C485&lt;&gt;"",C485=CERTIFICADO!$E$4,OR(CERTIFICADO!$E$5="",B485=CERTIFICADO!$E$5)),MAX($Y$4:Y484)+1,"")</f>
        <v/>
      </c>
    </row>
    <row r="486" customFormat="false" ht="15" hidden="false" customHeight="false" outlineLevel="0" collapsed="false">
      <c r="A486" s="11" t="str">
        <f aca="false">IF(C486="","",ROW()-4)</f>
        <v/>
      </c>
      <c r="B486" s="12"/>
      <c r="C486" s="13"/>
      <c r="D486" s="23" t="str">
        <f aca="false">IF(C486="","",IFERROR(INDEX(LOTES!$D$5:$D$1004,MATCH(C486,LOTES!$F$5:$F$1004,0)),"¿Lote?"))</f>
        <v/>
      </c>
      <c r="E486" s="11" t="str">
        <f aca="false">IF(C486="","",IFERROR(INDEX(LOTES!$C$5:$C$1004,MATCH(C486,LOTES!$F$5:$F$1004,0)),""))</f>
        <v/>
      </c>
      <c r="F486" s="24" t="str">
        <f aca="false">IF(C486="","",IFERROR(INDEX(LOTES!$B$5:$B$1004,MATCH(C486,LOTES!$F$5:$F$1004,0)),""))</f>
        <v/>
      </c>
      <c r="G486" s="15" t="str">
        <f aca="false">IF(OR(B486="",F486=""),"",B486-F486)</f>
        <v/>
      </c>
      <c r="H486" s="13"/>
      <c r="I486" s="13"/>
      <c r="J486" s="13"/>
      <c r="K486" s="25"/>
      <c r="L486" s="25"/>
      <c r="M486" s="25"/>
      <c r="N486" s="25"/>
      <c r="O486" s="26"/>
      <c r="P486" s="16" t="str">
        <f aca="false">IF(O486="","",IFERROR(1/(1/(IF(K486="",INDEX(CONFIG!$F$5:$F$14,MATCH(D486,CONFIG!$D$5:$D$14,0)),K486)*IF(M486="",INDEX(CONFIG!$H$5:$H$14,MATCH(D486,CONFIG!$D$5:$D$14,0)),M486))),""))</f>
        <v/>
      </c>
      <c r="Q486" s="16" t="str">
        <f aca="false">IF(OR(O486="",P486=""),"",O486/P486)</f>
        <v/>
      </c>
      <c r="R486" s="16" t="str">
        <f aca="false">IF(Q486="","",Q486*0.0980665)</f>
        <v/>
      </c>
      <c r="S486" s="16" t="str">
        <f aca="false">IF(Q486="","",IFERROR(Q486/(1/(1/INDEX(CONFIG!$I$5:$I$14,MATCH(D486,CONFIG!$D$5:$D$14,0)))),""))</f>
        <v/>
      </c>
      <c r="T486" s="13"/>
      <c r="U486" s="13"/>
      <c r="V486" s="13"/>
      <c r="W486" s="13"/>
      <c r="X486" s="22" t="str">
        <f aca="false">IF(Q486="","",Q486^2)</f>
        <v/>
      </c>
      <c r="Y486" s="22" t="str">
        <f aca="false">IF(AND(C486&lt;&gt;"",C486=CERTIFICADO!$E$4,OR(CERTIFICADO!$E$5="",B486=CERTIFICADO!$E$5)),MAX($Y$4:Y485)+1,"")</f>
        <v/>
      </c>
    </row>
    <row r="487" customFormat="false" ht="15" hidden="false" customHeight="false" outlineLevel="0" collapsed="false">
      <c r="A487" s="11" t="str">
        <f aca="false">IF(C487="","",ROW()-4)</f>
        <v/>
      </c>
      <c r="B487" s="12"/>
      <c r="C487" s="13"/>
      <c r="D487" s="23" t="str">
        <f aca="false">IF(C487="","",IFERROR(INDEX(LOTES!$D$5:$D$1004,MATCH(C487,LOTES!$F$5:$F$1004,0)),"¿Lote?"))</f>
        <v/>
      </c>
      <c r="E487" s="11" t="str">
        <f aca="false">IF(C487="","",IFERROR(INDEX(LOTES!$C$5:$C$1004,MATCH(C487,LOTES!$F$5:$F$1004,0)),""))</f>
        <v/>
      </c>
      <c r="F487" s="24" t="str">
        <f aca="false">IF(C487="","",IFERROR(INDEX(LOTES!$B$5:$B$1004,MATCH(C487,LOTES!$F$5:$F$1004,0)),""))</f>
        <v/>
      </c>
      <c r="G487" s="15" t="str">
        <f aca="false">IF(OR(B487="",F487=""),"",B487-F487)</f>
        <v/>
      </c>
      <c r="H487" s="13"/>
      <c r="I487" s="13"/>
      <c r="J487" s="13"/>
      <c r="K487" s="25"/>
      <c r="L487" s="25"/>
      <c r="M487" s="25"/>
      <c r="N487" s="25"/>
      <c r="O487" s="26"/>
      <c r="P487" s="16" t="str">
        <f aca="false">IF(O487="","",IFERROR(1/(1/(IF(K487="",INDEX(CONFIG!$F$5:$F$14,MATCH(D487,CONFIG!$D$5:$D$14,0)),K487)*IF(M487="",INDEX(CONFIG!$H$5:$H$14,MATCH(D487,CONFIG!$D$5:$D$14,0)),M487))),""))</f>
        <v/>
      </c>
      <c r="Q487" s="16" t="str">
        <f aca="false">IF(OR(O487="",P487=""),"",O487/P487)</f>
        <v/>
      </c>
      <c r="R487" s="16" t="str">
        <f aca="false">IF(Q487="","",Q487*0.0980665)</f>
        <v/>
      </c>
      <c r="S487" s="16" t="str">
        <f aca="false">IF(Q487="","",IFERROR(Q487/(1/(1/INDEX(CONFIG!$I$5:$I$14,MATCH(D487,CONFIG!$D$5:$D$14,0)))),""))</f>
        <v/>
      </c>
      <c r="T487" s="13"/>
      <c r="U487" s="13"/>
      <c r="V487" s="13"/>
      <c r="W487" s="13"/>
      <c r="X487" s="22" t="str">
        <f aca="false">IF(Q487="","",Q487^2)</f>
        <v/>
      </c>
      <c r="Y487" s="22" t="str">
        <f aca="false">IF(AND(C487&lt;&gt;"",C487=CERTIFICADO!$E$4,OR(CERTIFICADO!$E$5="",B487=CERTIFICADO!$E$5)),MAX($Y$4:Y486)+1,"")</f>
        <v/>
      </c>
    </row>
    <row r="488" customFormat="false" ht="15" hidden="false" customHeight="false" outlineLevel="0" collapsed="false">
      <c r="A488" s="11" t="str">
        <f aca="false">IF(C488="","",ROW()-4)</f>
        <v/>
      </c>
      <c r="B488" s="12"/>
      <c r="C488" s="13"/>
      <c r="D488" s="23" t="str">
        <f aca="false">IF(C488="","",IFERROR(INDEX(LOTES!$D$5:$D$1004,MATCH(C488,LOTES!$F$5:$F$1004,0)),"¿Lote?"))</f>
        <v/>
      </c>
      <c r="E488" s="11" t="str">
        <f aca="false">IF(C488="","",IFERROR(INDEX(LOTES!$C$5:$C$1004,MATCH(C488,LOTES!$F$5:$F$1004,0)),""))</f>
        <v/>
      </c>
      <c r="F488" s="24" t="str">
        <f aca="false">IF(C488="","",IFERROR(INDEX(LOTES!$B$5:$B$1004,MATCH(C488,LOTES!$F$5:$F$1004,0)),""))</f>
        <v/>
      </c>
      <c r="G488" s="15" t="str">
        <f aca="false">IF(OR(B488="",F488=""),"",B488-F488)</f>
        <v/>
      </c>
      <c r="H488" s="13"/>
      <c r="I488" s="13"/>
      <c r="J488" s="13"/>
      <c r="K488" s="25"/>
      <c r="L488" s="25"/>
      <c r="M488" s="25"/>
      <c r="N488" s="25"/>
      <c r="O488" s="26"/>
      <c r="P488" s="16" t="str">
        <f aca="false">IF(O488="","",IFERROR(1/(1/(IF(K488="",INDEX(CONFIG!$F$5:$F$14,MATCH(D488,CONFIG!$D$5:$D$14,0)),K488)*IF(M488="",INDEX(CONFIG!$H$5:$H$14,MATCH(D488,CONFIG!$D$5:$D$14,0)),M488))),""))</f>
        <v/>
      </c>
      <c r="Q488" s="16" t="str">
        <f aca="false">IF(OR(O488="",P488=""),"",O488/P488)</f>
        <v/>
      </c>
      <c r="R488" s="16" t="str">
        <f aca="false">IF(Q488="","",Q488*0.0980665)</f>
        <v/>
      </c>
      <c r="S488" s="16" t="str">
        <f aca="false">IF(Q488="","",IFERROR(Q488/(1/(1/INDEX(CONFIG!$I$5:$I$14,MATCH(D488,CONFIG!$D$5:$D$14,0)))),""))</f>
        <v/>
      </c>
      <c r="T488" s="13"/>
      <c r="U488" s="13"/>
      <c r="V488" s="13"/>
      <c r="W488" s="13"/>
      <c r="X488" s="22" t="str">
        <f aca="false">IF(Q488="","",Q488^2)</f>
        <v/>
      </c>
      <c r="Y488" s="22" t="str">
        <f aca="false">IF(AND(C488&lt;&gt;"",C488=CERTIFICADO!$E$4,OR(CERTIFICADO!$E$5="",B488=CERTIFICADO!$E$5)),MAX($Y$4:Y487)+1,"")</f>
        <v/>
      </c>
    </row>
    <row r="489" customFormat="false" ht="15" hidden="false" customHeight="false" outlineLevel="0" collapsed="false">
      <c r="A489" s="11" t="str">
        <f aca="false">IF(C489="","",ROW()-4)</f>
        <v/>
      </c>
      <c r="B489" s="12"/>
      <c r="C489" s="13"/>
      <c r="D489" s="23" t="str">
        <f aca="false">IF(C489="","",IFERROR(INDEX(LOTES!$D$5:$D$1004,MATCH(C489,LOTES!$F$5:$F$1004,0)),"¿Lote?"))</f>
        <v/>
      </c>
      <c r="E489" s="11" t="str">
        <f aca="false">IF(C489="","",IFERROR(INDEX(LOTES!$C$5:$C$1004,MATCH(C489,LOTES!$F$5:$F$1004,0)),""))</f>
        <v/>
      </c>
      <c r="F489" s="24" t="str">
        <f aca="false">IF(C489="","",IFERROR(INDEX(LOTES!$B$5:$B$1004,MATCH(C489,LOTES!$F$5:$F$1004,0)),""))</f>
        <v/>
      </c>
      <c r="G489" s="15" t="str">
        <f aca="false">IF(OR(B489="",F489=""),"",B489-F489)</f>
        <v/>
      </c>
      <c r="H489" s="13"/>
      <c r="I489" s="13"/>
      <c r="J489" s="13"/>
      <c r="K489" s="25"/>
      <c r="L489" s="25"/>
      <c r="M489" s="25"/>
      <c r="N489" s="25"/>
      <c r="O489" s="26"/>
      <c r="P489" s="16" t="str">
        <f aca="false">IF(O489="","",IFERROR(1/(1/(IF(K489="",INDEX(CONFIG!$F$5:$F$14,MATCH(D489,CONFIG!$D$5:$D$14,0)),K489)*IF(M489="",INDEX(CONFIG!$H$5:$H$14,MATCH(D489,CONFIG!$D$5:$D$14,0)),M489))),""))</f>
        <v/>
      </c>
      <c r="Q489" s="16" t="str">
        <f aca="false">IF(OR(O489="",P489=""),"",O489/P489)</f>
        <v/>
      </c>
      <c r="R489" s="16" t="str">
        <f aca="false">IF(Q489="","",Q489*0.0980665)</f>
        <v/>
      </c>
      <c r="S489" s="16" t="str">
        <f aca="false">IF(Q489="","",IFERROR(Q489/(1/(1/INDEX(CONFIG!$I$5:$I$14,MATCH(D489,CONFIG!$D$5:$D$14,0)))),""))</f>
        <v/>
      </c>
      <c r="T489" s="13"/>
      <c r="U489" s="13"/>
      <c r="V489" s="13"/>
      <c r="W489" s="13"/>
      <c r="X489" s="22" t="str">
        <f aca="false">IF(Q489="","",Q489^2)</f>
        <v/>
      </c>
      <c r="Y489" s="22" t="str">
        <f aca="false">IF(AND(C489&lt;&gt;"",C489=CERTIFICADO!$E$4,OR(CERTIFICADO!$E$5="",B489=CERTIFICADO!$E$5)),MAX($Y$4:Y488)+1,"")</f>
        <v/>
      </c>
    </row>
    <row r="490" customFormat="false" ht="15" hidden="false" customHeight="false" outlineLevel="0" collapsed="false">
      <c r="A490" s="11" t="str">
        <f aca="false">IF(C490="","",ROW()-4)</f>
        <v/>
      </c>
      <c r="B490" s="12"/>
      <c r="C490" s="13"/>
      <c r="D490" s="23" t="str">
        <f aca="false">IF(C490="","",IFERROR(INDEX(LOTES!$D$5:$D$1004,MATCH(C490,LOTES!$F$5:$F$1004,0)),"¿Lote?"))</f>
        <v/>
      </c>
      <c r="E490" s="11" t="str">
        <f aca="false">IF(C490="","",IFERROR(INDEX(LOTES!$C$5:$C$1004,MATCH(C490,LOTES!$F$5:$F$1004,0)),""))</f>
        <v/>
      </c>
      <c r="F490" s="24" t="str">
        <f aca="false">IF(C490="","",IFERROR(INDEX(LOTES!$B$5:$B$1004,MATCH(C490,LOTES!$F$5:$F$1004,0)),""))</f>
        <v/>
      </c>
      <c r="G490" s="15" t="str">
        <f aca="false">IF(OR(B490="",F490=""),"",B490-F490)</f>
        <v/>
      </c>
      <c r="H490" s="13"/>
      <c r="I490" s="13"/>
      <c r="J490" s="13"/>
      <c r="K490" s="25"/>
      <c r="L490" s="25"/>
      <c r="M490" s="25"/>
      <c r="N490" s="25"/>
      <c r="O490" s="26"/>
      <c r="P490" s="16" t="str">
        <f aca="false">IF(O490="","",IFERROR(1/(1/(IF(K490="",INDEX(CONFIG!$F$5:$F$14,MATCH(D490,CONFIG!$D$5:$D$14,0)),K490)*IF(M490="",INDEX(CONFIG!$H$5:$H$14,MATCH(D490,CONFIG!$D$5:$D$14,0)),M490))),""))</f>
        <v/>
      </c>
      <c r="Q490" s="16" t="str">
        <f aca="false">IF(OR(O490="",P490=""),"",O490/P490)</f>
        <v/>
      </c>
      <c r="R490" s="16" t="str">
        <f aca="false">IF(Q490="","",Q490*0.0980665)</f>
        <v/>
      </c>
      <c r="S490" s="16" t="str">
        <f aca="false">IF(Q490="","",IFERROR(Q490/(1/(1/INDEX(CONFIG!$I$5:$I$14,MATCH(D490,CONFIG!$D$5:$D$14,0)))),""))</f>
        <v/>
      </c>
      <c r="T490" s="13"/>
      <c r="U490" s="13"/>
      <c r="V490" s="13"/>
      <c r="W490" s="13"/>
      <c r="X490" s="22" t="str">
        <f aca="false">IF(Q490="","",Q490^2)</f>
        <v/>
      </c>
      <c r="Y490" s="22" t="str">
        <f aca="false">IF(AND(C490&lt;&gt;"",C490=CERTIFICADO!$E$4,OR(CERTIFICADO!$E$5="",B490=CERTIFICADO!$E$5)),MAX($Y$4:Y489)+1,"")</f>
        <v/>
      </c>
    </row>
    <row r="491" customFormat="false" ht="15" hidden="false" customHeight="false" outlineLevel="0" collapsed="false">
      <c r="A491" s="11" t="str">
        <f aca="false">IF(C491="","",ROW()-4)</f>
        <v/>
      </c>
      <c r="B491" s="12"/>
      <c r="C491" s="13"/>
      <c r="D491" s="23" t="str">
        <f aca="false">IF(C491="","",IFERROR(INDEX(LOTES!$D$5:$D$1004,MATCH(C491,LOTES!$F$5:$F$1004,0)),"¿Lote?"))</f>
        <v/>
      </c>
      <c r="E491" s="11" t="str">
        <f aca="false">IF(C491="","",IFERROR(INDEX(LOTES!$C$5:$C$1004,MATCH(C491,LOTES!$F$5:$F$1004,0)),""))</f>
        <v/>
      </c>
      <c r="F491" s="24" t="str">
        <f aca="false">IF(C491="","",IFERROR(INDEX(LOTES!$B$5:$B$1004,MATCH(C491,LOTES!$F$5:$F$1004,0)),""))</f>
        <v/>
      </c>
      <c r="G491" s="15" t="str">
        <f aca="false">IF(OR(B491="",F491=""),"",B491-F491)</f>
        <v/>
      </c>
      <c r="H491" s="13"/>
      <c r="I491" s="13"/>
      <c r="J491" s="13"/>
      <c r="K491" s="25"/>
      <c r="L491" s="25"/>
      <c r="M491" s="25"/>
      <c r="N491" s="25"/>
      <c r="O491" s="26"/>
      <c r="P491" s="16" t="str">
        <f aca="false">IF(O491="","",IFERROR(1/(1/(IF(K491="",INDEX(CONFIG!$F$5:$F$14,MATCH(D491,CONFIG!$D$5:$D$14,0)),K491)*IF(M491="",INDEX(CONFIG!$H$5:$H$14,MATCH(D491,CONFIG!$D$5:$D$14,0)),M491))),""))</f>
        <v/>
      </c>
      <c r="Q491" s="16" t="str">
        <f aca="false">IF(OR(O491="",P491=""),"",O491/P491)</f>
        <v/>
      </c>
      <c r="R491" s="16" t="str">
        <f aca="false">IF(Q491="","",Q491*0.0980665)</f>
        <v/>
      </c>
      <c r="S491" s="16" t="str">
        <f aca="false">IF(Q491="","",IFERROR(Q491/(1/(1/INDEX(CONFIG!$I$5:$I$14,MATCH(D491,CONFIG!$D$5:$D$14,0)))),""))</f>
        <v/>
      </c>
      <c r="T491" s="13"/>
      <c r="U491" s="13"/>
      <c r="V491" s="13"/>
      <c r="W491" s="13"/>
      <c r="X491" s="22" t="str">
        <f aca="false">IF(Q491="","",Q491^2)</f>
        <v/>
      </c>
      <c r="Y491" s="22" t="str">
        <f aca="false">IF(AND(C491&lt;&gt;"",C491=CERTIFICADO!$E$4,OR(CERTIFICADO!$E$5="",B491=CERTIFICADO!$E$5)),MAX($Y$4:Y490)+1,"")</f>
        <v/>
      </c>
    </row>
    <row r="492" customFormat="false" ht="15" hidden="false" customHeight="false" outlineLevel="0" collapsed="false">
      <c r="A492" s="11" t="str">
        <f aca="false">IF(C492="","",ROW()-4)</f>
        <v/>
      </c>
      <c r="B492" s="12"/>
      <c r="C492" s="13"/>
      <c r="D492" s="23" t="str">
        <f aca="false">IF(C492="","",IFERROR(INDEX(LOTES!$D$5:$D$1004,MATCH(C492,LOTES!$F$5:$F$1004,0)),"¿Lote?"))</f>
        <v/>
      </c>
      <c r="E492" s="11" t="str">
        <f aca="false">IF(C492="","",IFERROR(INDEX(LOTES!$C$5:$C$1004,MATCH(C492,LOTES!$F$5:$F$1004,0)),""))</f>
        <v/>
      </c>
      <c r="F492" s="24" t="str">
        <f aca="false">IF(C492="","",IFERROR(INDEX(LOTES!$B$5:$B$1004,MATCH(C492,LOTES!$F$5:$F$1004,0)),""))</f>
        <v/>
      </c>
      <c r="G492" s="15" t="str">
        <f aca="false">IF(OR(B492="",F492=""),"",B492-F492)</f>
        <v/>
      </c>
      <c r="H492" s="13"/>
      <c r="I492" s="13"/>
      <c r="J492" s="13"/>
      <c r="K492" s="25"/>
      <c r="L492" s="25"/>
      <c r="M492" s="25"/>
      <c r="N492" s="25"/>
      <c r="O492" s="26"/>
      <c r="P492" s="16" t="str">
        <f aca="false">IF(O492="","",IFERROR(1/(1/(IF(K492="",INDEX(CONFIG!$F$5:$F$14,MATCH(D492,CONFIG!$D$5:$D$14,0)),K492)*IF(M492="",INDEX(CONFIG!$H$5:$H$14,MATCH(D492,CONFIG!$D$5:$D$14,0)),M492))),""))</f>
        <v/>
      </c>
      <c r="Q492" s="16" t="str">
        <f aca="false">IF(OR(O492="",P492=""),"",O492/P492)</f>
        <v/>
      </c>
      <c r="R492" s="16" t="str">
        <f aca="false">IF(Q492="","",Q492*0.0980665)</f>
        <v/>
      </c>
      <c r="S492" s="16" t="str">
        <f aca="false">IF(Q492="","",IFERROR(Q492/(1/(1/INDEX(CONFIG!$I$5:$I$14,MATCH(D492,CONFIG!$D$5:$D$14,0)))),""))</f>
        <v/>
      </c>
      <c r="T492" s="13"/>
      <c r="U492" s="13"/>
      <c r="V492" s="13"/>
      <c r="W492" s="13"/>
      <c r="X492" s="22" t="str">
        <f aca="false">IF(Q492="","",Q492^2)</f>
        <v/>
      </c>
      <c r="Y492" s="22" t="str">
        <f aca="false">IF(AND(C492&lt;&gt;"",C492=CERTIFICADO!$E$4,OR(CERTIFICADO!$E$5="",B492=CERTIFICADO!$E$5)),MAX($Y$4:Y491)+1,"")</f>
        <v/>
      </c>
    </row>
    <row r="493" customFormat="false" ht="15" hidden="false" customHeight="false" outlineLevel="0" collapsed="false">
      <c r="A493" s="11" t="str">
        <f aca="false">IF(C493="","",ROW()-4)</f>
        <v/>
      </c>
      <c r="B493" s="12"/>
      <c r="C493" s="13"/>
      <c r="D493" s="23" t="str">
        <f aca="false">IF(C493="","",IFERROR(INDEX(LOTES!$D$5:$D$1004,MATCH(C493,LOTES!$F$5:$F$1004,0)),"¿Lote?"))</f>
        <v/>
      </c>
      <c r="E493" s="11" t="str">
        <f aca="false">IF(C493="","",IFERROR(INDEX(LOTES!$C$5:$C$1004,MATCH(C493,LOTES!$F$5:$F$1004,0)),""))</f>
        <v/>
      </c>
      <c r="F493" s="24" t="str">
        <f aca="false">IF(C493="","",IFERROR(INDEX(LOTES!$B$5:$B$1004,MATCH(C493,LOTES!$F$5:$F$1004,0)),""))</f>
        <v/>
      </c>
      <c r="G493" s="15" t="str">
        <f aca="false">IF(OR(B493="",F493=""),"",B493-F493)</f>
        <v/>
      </c>
      <c r="H493" s="13"/>
      <c r="I493" s="13"/>
      <c r="J493" s="13"/>
      <c r="K493" s="25"/>
      <c r="L493" s="25"/>
      <c r="M493" s="25"/>
      <c r="N493" s="25"/>
      <c r="O493" s="26"/>
      <c r="P493" s="16" t="str">
        <f aca="false">IF(O493="","",IFERROR(1/(1/(IF(K493="",INDEX(CONFIG!$F$5:$F$14,MATCH(D493,CONFIG!$D$5:$D$14,0)),K493)*IF(M493="",INDEX(CONFIG!$H$5:$H$14,MATCH(D493,CONFIG!$D$5:$D$14,0)),M493))),""))</f>
        <v/>
      </c>
      <c r="Q493" s="16" t="str">
        <f aca="false">IF(OR(O493="",P493=""),"",O493/P493)</f>
        <v/>
      </c>
      <c r="R493" s="16" t="str">
        <f aca="false">IF(Q493="","",Q493*0.0980665)</f>
        <v/>
      </c>
      <c r="S493" s="16" t="str">
        <f aca="false">IF(Q493="","",IFERROR(Q493/(1/(1/INDEX(CONFIG!$I$5:$I$14,MATCH(D493,CONFIG!$D$5:$D$14,0)))),""))</f>
        <v/>
      </c>
      <c r="T493" s="13"/>
      <c r="U493" s="13"/>
      <c r="V493" s="13"/>
      <c r="W493" s="13"/>
      <c r="X493" s="22" t="str">
        <f aca="false">IF(Q493="","",Q493^2)</f>
        <v/>
      </c>
      <c r="Y493" s="22" t="str">
        <f aca="false">IF(AND(C493&lt;&gt;"",C493=CERTIFICADO!$E$4,OR(CERTIFICADO!$E$5="",B493=CERTIFICADO!$E$5)),MAX($Y$4:Y492)+1,"")</f>
        <v/>
      </c>
    </row>
    <row r="494" customFormat="false" ht="15" hidden="false" customHeight="false" outlineLevel="0" collapsed="false">
      <c r="A494" s="11" t="str">
        <f aca="false">IF(C494="","",ROW()-4)</f>
        <v/>
      </c>
      <c r="B494" s="12"/>
      <c r="C494" s="13"/>
      <c r="D494" s="23" t="str">
        <f aca="false">IF(C494="","",IFERROR(INDEX(LOTES!$D$5:$D$1004,MATCH(C494,LOTES!$F$5:$F$1004,0)),"¿Lote?"))</f>
        <v/>
      </c>
      <c r="E494" s="11" t="str">
        <f aca="false">IF(C494="","",IFERROR(INDEX(LOTES!$C$5:$C$1004,MATCH(C494,LOTES!$F$5:$F$1004,0)),""))</f>
        <v/>
      </c>
      <c r="F494" s="24" t="str">
        <f aca="false">IF(C494="","",IFERROR(INDEX(LOTES!$B$5:$B$1004,MATCH(C494,LOTES!$F$5:$F$1004,0)),""))</f>
        <v/>
      </c>
      <c r="G494" s="15" t="str">
        <f aca="false">IF(OR(B494="",F494=""),"",B494-F494)</f>
        <v/>
      </c>
      <c r="H494" s="13"/>
      <c r="I494" s="13"/>
      <c r="J494" s="13"/>
      <c r="K494" s="25"/>
      <c r="L494" s="25"/>
      <c r="M494" s="25"/>
      <c r="N494" s="25"/>
      <c r="O494" s="26"/>
      <c r="P494" s="16" t="str">
        <f aca="false">IF(O494="","",IFERROR(1/(1/(IF(K494="",INDEX(CONFIG!$F$5:$F$14,MATCH(D494,CONFIG!$D$5:$D$14,0)),K494)*IF(M494="",INDEX(CONFIG!$H$5:$H$14,MATCH(D494,CONFIG!$D$5:$D$14,0)),M494))),""))</f>
        <v/>
      </c>
      <c r="Q494" s="16" t="str">
        <f aca="false">IF(OR(O494="",P494=""),"",O494/P494)</f>
        <v/>
      </c>
      <c r="R494" s="16" t="str">
        <f aca="false">IF(Q494="","",Q494*0.0980665)</f>
        <v/>
      </c>
      <c r="S494" s="16" t="str">
        <f aca="false">IF(Q494="","",IFERROR(Q494/(1/(1/INDEX(CONFIG!$I$5:$I$14,MATCH(D494,CONFIG!$D$5:$D$14,0)))),""))</f>
        <v/>
      </c>
      <c r="T494" s="13"/>
      <c r="U494" s="13"/>
      <c r="V494" s="13"/>
      <c r="W494" s="13"/>
      <c r="X494" s="22" t="str">
        <f aca="false">IF(Q494="","",Q494^2)</f>
        <v/>
      </c>
      <c r="Y494" s="22" t="str">
        <f aca="false">IF(AND(C494&lt;&gt;"",C494=CERTIFICADO!$E$4,OR(CERTIFICADO!$E$5="",B494=CERTIFICADO!$E$5)),MAX($Y$4:Y493)+1,"")</f>
        <v/>
      </c>
    </row>
    <row r="495" customFormat="false" ht="15" hidden="false" customHeight="false" outlineLevel="0" collapsed="false">
      <c r="A495" s="11" t="str">
        <f aca="false">IF(C495="","",ROW()-4)</f>
        <v/>
      </c>
      <c r="B495" s="12"/>
      <c r="C495" s="13"/>
      <c r="D495" s="23" t="str">
        <f aca="false">IF(C495="","",IFERROR(INDEX(LOTES!$D$5:$D$1004,MATCH(C495,LOTES!$F$5:$F$1004,0)),"¿Lote?"))</f>
        <v/>
      </c>
      <c r="E495" s="11" t="str">
        <f aca="false">IF(C495="","",IFERROR(INDEX(LOTES!$C$5:$C$1004,MATCH(C495,LOTES!$F$5:$F$1004,0)),""))</f>
        <v/>
      </c>
      <c r="F495" s="24" t="str">
        <f aca="false">IF(C495="","",IFERROR(INDEX(LOTES!$B$5:$B$1004,MATCH(C495,LOTES!$F$5:$F$1004,0)),""))</f>
        <v/>
      </c>
      <c r="G495" s="15" t="str">
        <f aca="false">IF(OR(B495="",F495=""),"",B495-F495)</f>
        <v/>
      </c>
      <c r="H495" s="13"/>
      <c r="I495" s="13"/>
      <c r="J495" s="13"/>
      <c r="K495" s="25"/>
      <c r="L495" s="25"/>
      <c r="M495" s="25"/>
      <c r="N495" s="25"/>
      <c r="O495" s="26"/>
      <c r="P495" s="16" t="str">
        <f aca="false">IF(O495="","",IFERROR(1/(1/(IF(K495="",INDEX(CONFIG!$F$5:$F$14,MATCH(D495,CONFIG!$D$5:$D$14,0)),K495)*IF(M495="",INDEX(CONFIG!$H$5:$H$14,MATCH(D495,CONFIG!$D$5:$D$14,0)),M495))),""))</f>
        <v/>
      </c>
      <c r="Q495" s="16" t="str">
        <f aca="false">IF(OR(O495="",P495=""),"",O495/P495)</f>
        <v/>
      </c>
      <c r="R495" s="16" t="str">
        <f aca="false">IF(Q495="","",Q495*0.0980665)</f>
        <v/>
      </c>
      <c r="S495" s="16" t="str">
        <f aca="false">IF(Q495="","",IFERROR(Q495/(1/(1/INDEX(CONFIG!$I$5:$I$14,MATCH(D495,CONFIG!$D$5:$D$14,0)))),""))</f>
        <v/>
      </c>
      <c r="T495" s="13"/>
      <c r="U495" s="13"/>
      <c r="V495" s="13"/>
      <c r="W495" s="13"/>
      <c r="X495" s="22" t="str">
        <f aca="false">IF(Q495="","",Q495^2)</f>
        <v/>
      </c>
      <c r="Y495" s="22" t="str">
        <f aca="false">IF(AND(C495&lt;&gt;"",C495=CERTIFICADO!$E$4,OR(CERTIFICADO!$E$5="",B495=CERTIFICADO!$E$5)),MAX($Y$4:Y494)+1,"")</f>
        <v/>
      </c>
    </row>
    <row r="496" customFormat="false" ht="15" hidden="false" customHeight="false" outlineLevel="0" collapsed="false">
      <c r="A496" s="11" t="str">
        <f aca="false">IF(C496="","",ROW()-4)</f>
        <v/>
      </c>
      <c r="B496" s="12"/>
      <c r="C496" s="13"/>
      <c r="D496" s="23" t="str">
        <f aca="false">IF(C496="","",IFERROR(INDEX(LOTES!$D$5:$D$1004,MATCH(C496,LOTES!$F$5:$F$1004,0)),"¿Lote?"))</f>
        <v/>
      </c>
      <c r="E496" s="11" t="str">
        <f aca="false">IF(C496="","",IFERROR(INDEX(LOTES!$C$5:$C$1004,MATCH(C496,LOTES!$F$5:$F$1004,0)),""))</f>
        <v/>
      </c>
      <c r="F496" s="24" t="str">
        <f aca="false">IF(C496="","",IFERROR(INDEX(LOTES!$B$5:$B$1004,MATCH(C496,LOTES!$F$5:$F$1004,0)),""))</f>
        <v/>
      </c>
      <c r="G496" s="15" t="str">
        <f aca="false">IF(OR(B496="",F496=""),"",B496-F496)</f>
        <v/>
      </c>
      <c r="H496" s="13"/>
      <c r="I496" s="13"/>
      <c r="J496" s="13"/>
      <c r="K496" s="25"/>
      <c r="L496" s="25"/>
      <c r="M496" s="25"/>
      <c r="N496" s="25"/>
      <c r="O496" s="26"/>
      <c r="P496" s="16" t="str">
        <f aca="false">IF(O496="","",IFERROR(1/(1/(IF(K496="",INDEX(CONFIG!$F$5:$F$14,MATCH(D496,CONFIG!$D$5:$D$14,0)),K496)*IF(M496="",INDEX(CONFIG!$H$5:$H$14,MATCH(D496,CONFIG!$D$5:$D$14,0)),M496))),""))</f>
        <v/>
      </c>
      <c r="Q496" s="16" t="str">
        <f aca="false">IF(OR(O496="",P496=""),"",O496/P496)</f>
        <v/>
      </c>
      <c r="R496" s="16" t="str">
        <f aca="false">IF(Q496="","",Q496*0.0980665)</f>
        <v/>
      </c>
      <c r="S496" s="16" t="str">
        <f aca="false">IF(Q496="","",IFERROR(Q496/(1/(1/INDEX(CONFIG!$I$5:$I$14,MATCH(D496,CONFIG!$D$5:$D$14,0)))),""))</f>
        <v/>
      </c>
      <c r="T496" s="13"/>
      <c r="U496" s="13"/>
      <c r="V496" s="13"/>
      <c r="W496" s="13"/>
      <c r="X496" s="22" t="str">
        <f aca="false">IF(Q496="","",Q496^2)</f>
        <v/>
      </c>
      <c r="Y496" s="22" t="str">
        <f aca="false">IF(AND(C496&lt;&gt;"",C496=CERTIFICADO!$E$4,OR(CERTIFICADO!$E$5="",B496=CERTIFICADO!$E$5)),MAX($Y$4:Y495)+1,"")</f>
        <v/>
      </c>
    </row>
    <row r="497" customFormat="false" ht="15" hidden="false" customHeight="false" outlineLevel="0" collapsed="false">
      <c r="A497" s="11" t="str">
        <f aca="false">IF(C497="","",ROW()-4)</f>
        <v/>
      </c>
      <c r="B497" s="12"/>
      <c r="C497" s="13"/>
      <c r="D497" s="23" t="str">
        <f aca="false">IF(C497="","",IFERROR(INDEX(LOTES!$D$5:$D$1004,MATCH(C497,LOTES!$F$5:$F$1004,0)),"¿Lote?"))</f>
        <v/>
      </c>
      <c r="E497" s="11" t="str">
        <f aca="false">IF(C497="","",IFERROR(INDEX(LOTES!$C$5:$C$1004,MATCH(C497,LOTES!$F$5:$F$1004,0)),""))</f>
        <v/>
      </c>
      <c r="F497" s="24" t="str">
        <f aca="false">IF(C497="","",IFERROR(INDEX(LOTES!$B$5:$B$1004,MATCH(C497,LOTES!$F$5:$F$1004,0)),""))</f>
        <v/>
      </c>
      <c r="G497" s="15" t="str">
        <f aca="false">IF(OR(B497="",F497=""),"",B497-F497)</f>
        <v/>
      </c>
      <c r="H497" s="13"/>
      <c r="I497" s="13"/>
      <c r="J497" s="13"/>
      <c r="K497" s="25"/>
      <c r="L497" s="25"/>
      <c r="M497" s="25"/>
      <c r="N497" s="25"/>
      <c r="O497" s="26"/>
      <c r="P497" s="16" t="str">
        <f aca="false">IF(O497="","",IFERROR(1/(1/(IF(K497="",INDEX(CONFIG!$F$5:$F$14,MATCH(D497,CONFIG!$D$5:$D$14,0)),K497)*IF(M497="",INDEX(CONFIG!$H$5:$H$14,MATCH(D497,CONFIG!$D$5:$D$14,0)),M497))),""))</f>
        <v/>
      </c>
      <c r="Q497" s="16" t="str">
        <f aca="false">IF(OR(O497="",P497=""),"",O497/P497)</f>
        <v/>
      </c>
      <c r="R497" s="16" t="str">
        <f aca="false">IF(Q497="","",Q497*0.0980665)</f>
        <v/>
      </c>
      <c r="S497" s="16" t="str">
        <f aca="false">IF(Q497="","",IFERROR(Q497/(1/(1/INDEX(CONFIG!$I$5:$I$14,MATCH(D497,CONFIG!$D$5:$D$14,0)))),""))</f>
        <v/>
      </c>
      <c r="T497" s="13"/>
      <c r="U497" s="13"/>
      <c r="V497" s="13"/>
      <c r="W497" s="13"/>
      <c r="X497" s="22" t="str">
        <f aca="false">IF(Q497="","",Q497^2)</f>
        <v/>
      </c>
      <c r="Y497" s="22" t="str">
        <f aca="false">IF(AND(C497&lt;&gt;"",C497=CERTIFICADO!$E$4,OR(CERTIFICADO!$E$5="",B497=CERTIFICADO!$E$5)),MAX($Y$4:Y496)+1,"")</f>
        <v/>
      </c>
    </row>
    <row r="498" customFormat="false" ht="15" hidden="false" customHeight="false" outlineLevel="0" collapsed="false">
      <c r="A498" s="11" t="str">
        <f aca="false">IF(C498="","",ROW()-4)</f>
        <v/>
      </c>
      <c r="B498" s="12"/>
      <c r="C498" s="13"/>
      <c r="D498" s="23" t="str">
        <f aca="false">IF(C498="","",IFERROR(INDEX(LOTES!$D$5:$D$1004,MATCH(C498,LOTES!$F$5:$F$1004,0)),"¿Lote?"))</f>
        <v/>
      </c>
      <c r="E498" s="11" t="str">
        <f aca="false">IF(C498="","",IFERROR(INDEX(LOTES!$C$5:$C$1004,MATCH(C498,LOTES!$F$5:$F$1004,0)),""))</f>
        <v/>
      </c>
      <c r="F498" s="24" t="str">
        <f aca="false">IF(C498="","",IFERROR(INDEX(LOTES!$B$5:$B$1004,MATCH(C498,LOTES!$F$5:$F$1004,0)),""))</f>
        <v/>
      </c>
      <c r="G498" s="15" t="str">
        <f aca="false">IF(OR(B498="",F498=""),"",B498-F498)</f>
        <v/>
      </c>
      <c r="H498" s="13"/>
      <c r="I498" s="13"/>
      <c r="J498" s="13"/>
      <c r="K498" s="25"/>
      <c r="L498" s="25"/>
      <c r="M498" s="25"/>
      <c r="N498" s="25"/>
      <c r="O498" s="26"/>
      <c r="P498" s="16" t="str">
        <f aca="false">IF(O498="","",IFERROR(1/(1/(IF(K498="",INDEX(CONFIG!$F$5:$F$14,MATCH(D498,CONFIG!$D$5:$D$14,0)),K498)*IF(M498="",INDEX(CONFIG!$H$5:$H$14,MATCH(D498,CONFIG!$D$5:$D$14,0)),M498))),""))</f>
        <v/>
      </c>
      <c r="Q498" s="16" t="str">
        <f aca="false">IF(OR(O498="",P498=""),"",O498/P498)</f>
        <v/>
      </c>
      <c r="R498" s="16" t="str">
        <f aca="false">IF(Q498="","",Q498*0.0980665)</f>
        <v/>
      </c>
      <c r="S498" s="16" t="str">
        <f aca="false">IF(Q498="","",IFERROR(Q498/(1/(1/INDEX(CONFIG!$I$5:$I$14,MATCH(D498,CONFIG!$D$5:$D$14,0)))),""))</f>
        <v/>
      </c>
      <c r="T498" s="13"/>
      <c r="U498" s="13"/>
      <c r="V498" s="13"/>
      <c r="W498" s="13"/>
      <c r="X498" s="22" t="str">
        <f aca="false">IF(Q498="","",Q498^2)</f>
        <v/>
      </c>
      <c r="Y498" s="22" t="str">
        <f aca="false">IF(AND(C498&lt;&gt;"",C498=CERTIFICADO!$E$4,OR(CERTIFICADO!$E$5="",B498=CERTIFICADO!$E$5)),MAX($Y$4:Y497)+1,"")</f>
        <v/>
      </c>
    </row>
    <row r="499" customFormat="false" ht="15" hidden="false" customHeight="false" outlineLevel="0" collapsed="false">
      <c r="A499" s="11" t="str">
        <f aca="false">IF(C499="","",ROW()-4)</f>
        <v/>
      </c>
      <c r="B499" s="12"/>
      <c r="C499" s="13"/>
      <c r="D499" s="23" t="str">
        <f aca="false">IF(C499="","",IFERROR(INDEX(LOTES!$D$5:$D$1004,MATCH(C499,LOTES!$F$5:$F$1004,0)),"¿Lote?"))</f>
        <v/>
      </c>
      <c r="E499" s="11" t="str">
        <f aca="false">IF(C499="","",IFERROR(INDEX(LOTES!$C$5:$C$1004,MATCH(C499,LOTES!$F$5:$F$1004,0)),""))</f>
        <v/>
      </c>
      <c r="F499" s="24" t="str">
        <f aca="false">IF(C499="","",IFERROR(INDEX(LOTES!$B$5:$B$1004,MATCH(C499,LOTES!$F$5:$F$1004,0)),""))</f>
        <v/>
      </c>
      <c r="G499" s="15" t="str">
        <f aca="false">IF(OR(B499="",F499=""),"",B499-F499)</f>
        <v/>
      </c>
      <c r="H499" s="13"/>
      <c r="I499" s="13"/>
      <c r="J499" s="13"/>
      <c r="K499" s="25"/>
      <c r="L499" s="25"/>
      <c r="M499" s="25"/>
      <c r="N499" s="25"/>
      <c r="O499" s="26"/>
      <c r="P499" s="16" t="str">
        <f aca="false">IF(O499="","",IFERROR(1/(1/(IF(K499="",INDEX(CONFIG!$F$5:$F$14,MATCH(D499,CONFIG!$D$5:$D$14,0)),K499)*IF(M499="",INDEX(CONFIG!$H$5:$H$14,MATCH(D499,CONFIG!$D$5:$D$14,0)),M499))),""))</f>
        <v/>
      </c>
      <c r="Q499" s="16" t="str">
        <f aca="false">IF(OR(O499="",P499=""),"",O499/P499)</f>
        <v/>
      </c>
      <c r="R499" s="16" t="str">
        <f aca="false">IF(Q499="","",Q499*0.0980665)</f>
        <v/>
      </c>
      <c r="S499" s="16" t="str">
        <f aca="false">IF(Q499="","",IFERROR(Q499/(1/(1/INDEX(CONFIG!$I$5:$I$14,MATCH(D499,CONFIG!$D$5:$D$14,0)))),""))</f>
        <v/>
      </c>
      <c r="T499" s="13"/>
      <c r="U499" s="13"/>
      <c r="V499" s="13"/>
      <c r="W499" s="13"/>
      <c r="X499" s="22" t="str">
        <f aca="false">IF(Q499="","",Q499^2)</f>
        <v/>
      </c>
      <c r="Y499" s="22" t="str">
        <f aca="false">IF(AND(C499&lt;&gt;"",C499=CERTIFICADO!$E$4,OR(CERTIFICADO!$E$5="",B499=CERTIFICADO!$E$5)),MAX($Y$4:Y498)+1,"")</f>
        <v/>
      </c>
    </row>
    <row r="500" customFormat="false" ht="15" hidden="false" customHeight="false" outlineLevel="0" collapsed="false">
      <c r="A500" s="11" t="str">
        <f aca="false">IF(C500="","",ROW()-4)</f>
        <v/>
      </c>
      <c r="B500" s="12"/>
      <c r="C500" s="13"/>
      <c r="D500" s="23" t="str">
        <f aca="false">IF(C500="","",IFERROR(INDEX(LOTES!$D$5:$D$1004,MATCH(C500,LOTES!$F$5:$F$1004,0)),"¿Lote?"))</f>
        <v/>
      </c>
      <c r="E500" s="11" t="str">
        <f aca="false">IF(C500="","",IFERROR(INDEX(LOTES!$C$5:$C$1004,MATCH(C500,LOTES!$F$5:$F$1004,0)),""))</f>
        <v/>
      </c>
      <c r="F500" s="24" t="str">
        <f aca="false">IF(C500="","",IFERROR(INDEX(LOTES!$B$5:$B$1004,MATCH(C500,LOTES!$F$5:$F$1004,0)),""))</f>
        <v/>
      </c>
      <c r="G500" s="15" t="str">
        <f aca="false">IF(OR(B500="",F500=""),"",B500-F500)</f>
        <v/>
      </c>
      <c r="H500" s="13"/>
      <c r="I500" s="13"/>
      <c r="J500" s="13"/>
      <c r="K500" s="25"/>
      <c r="L500" s="25"/>
      <c r="M500" s="25"/>
      <c r="N500" s="25"/>
      <c r="O500" s="26"/>
      <c r="P500" s="16" t="str">
        <f aca="false">IF(O500="","",IFERROR(1/(1/(IF(K500="",INDEX(CONFIG!$F$5:$F$14,MATCH(D500,CONFIG!$D$5:$D$14,0)),K500)*IF(M500="",INDEX(CONFIG!$H$5:$H$14,MATCH(D500,CONFIG!$D$5:$D$14,0)),M500))),""))</f>
        <v/>
      </c>
      <c r="Q500" s="16" t="str">
        <f aca="false">IF(OR(O500="",P500=""),"",O500/P500)</f>
        <v/>
      </c>
      <c r="R500" s="16" t="str">
        <f aca="false">IF(Q500="","",Q500*0.0980665)</f>
        <v/>
      </c>
      <c r="S500" s="16" t="str">
        <f aca="false">IF(Q500="","",IFERROR(Q500/(1/(1/INDEX(CONFIG!$I$5:$I$14,MATCH(D500,CONFIG!$D$5:$D$14,0)))),""))</f>
        <v/>
      </c>
      <c r="T500" s="13"/>
      <c r="U500" s="13"/>
      <c r="V500" s="13"/>
      <c r="W500" s="13"/>
      <c r="X500" s="22" t="str">
        <f aca="false">IF(Q500="","",Q500^2)</f>
        <v/>
      </c>
      <c r="Y500" s="22" t="str">
        <f aca="false">IF(AND(C500&lt;&gt;"",C500=CERTIFICADO!$E$4,OR(CERTIFICADO!$E$5="",B500=CERTIFICADO!$E$5)),MAX($Y$4:Y499)+1,"")</f>
        <v/>
      </c>
    </row>
    <row r="501" customFormat="false" ht="15" hidden="false" customHeight="false" outlineLevel="0" collapsed="false">
      <c r="A501" s="11" t="str">
        <f aca="false">IF(C501="","",ROW()-4)</f>
        <v/>
      </c>
      <c r="B501" s="12"/>
      <c r="C501" s="13"/>
      <c r="D501" s="23" t="str">
        <f aca="false">IF(C501="","",IFERROR(INDEX(LOTES!$D$5:$D$1004,MATCH(C501,LOTES!$F$5:$F$1004,0)),"¿Lote?"))</f>
        <v/>
      </c>
      <c r="E501" s="11" t="str">
        <f aca="false">IF(C501="","",IFERROR(INDEX(LOTES!$C$5:$C$1004,MATCH(C501,LOTES!$F$5:$F$1004,0)),""))</f>
        <v/>
      </c>
      <c r="F501" s="24" t="str">
        <f aca="false">IF(C501="","",IFERROR(INDEX(LOTES!$B$5:$B$1004,MATCH(C501,LOTES!$F$5:$F$1004,0)),""))</f>
        <v/>
      </c>
      <c r="G501" s="15" t="str">
        <f aca="false">IF(OR(B501="",F501=""),"",B501-F501)</f>
        <v/>
      </c>
      <c r="H501" s="13"/>
      <c r="I501" s="13"/>
      <c r="J501" s="13"/>
      <c r="K501" s="25"/>
      <c r="L501" s="25"/>
      <c r="M501" s="25"/>
      <c r="N501" s="25"/>
      <c r="O501" s="26"/>
      <c r="P501" s="16" t="str">
        <f aca="false">IF(O501="","",IFERROR(1/(1/(IF(K501="",INDEX(CONFIG!$F$5:$F$14,MATCH(D501,CONFIG!$D$5:$D$14,0)),K501)*IF(M501="",INDEX(CONFIG!$H$5:$H$14,MATCH(D501,CONFIG!$D$5:$D$14,0)),M501))),""))</f>
        <v/>
      </c>
      <c r="Q501" s="16" t="str">
        <f aca="false">IF(OR(O501="",P501=""),"",O501/P501)</f>
        <v/>
      </c>
      <c r="R501" s="16" t="str">
        <f aca="false">IF(Q501="","",Q501*0.0980665)</f>
        <v/>
      </c>
      <c r="S501" s="16" t="str">
        <f aca="false">IF(Q501="","",IFERROR(Q501/(1/(1/INDEX(CONFIG!$I$5:$I$14,MATCH(D501,CONFIG!$D$5:$D$14,0)))),""))</f>
        <v/>
      </c>
      <c r="T501" s="13"/>
      <c r="U501" s="13"/>
      <c r="V501" s="13"/>
      <c r="W501" s="13"/>
      <c r="X501" s="22" t="str">
        <f aca="false">IF(Q501="","",Q501^2)</f>
        <v/>
      </c>
      <c r="Y501" s="22" t="str">
        <f aca="false">IF(AND(C501&lt;&gt;"",C501=CERTIFICADO!$E$4,OR(CERTIFICADO!$E$5="",B501=CERTIFICADO!$E$5)),MAX($Y$4:Y500)+1,"")</f>
        <v/>
      </c>
    </row>
    <row r="502" customFormat="false" ht="15" hidden="false" customHeight="false" outlineLevel="0" collapsed="false">
      <c r="A502" s="11" t="str">
        <f aca="false">IF(C502="","",ROW()-4)</f>
        <v/>
      </c>
      <c r="B502" s="12"/>
      <c r="C502" s="13"/>
      <c r="D502" s="23" t="str">
        <f aca="false">IF(C502="","",IFERROR(INDEX(LOTES!$D$5:$D$1004,MATCH(C502,LOTES!$F$5:$F$1004,0)),"¿Lote?"))</f>
        <v/>
      </c>
      <c r="E502" s="11" t="str">
        <f aca="false">IF(C502="","",IFERROR(INDEX(LOTES!$C$5:$C$1004,MATCH(C502,LOTES!$F$5:$F$1004,0)),""))</f>
        <v/>
      </c>
      <c r="F502" s="24" t="str">
        <f aca="false">IF(C502="","",IFERROR(INDEX(LOTES!$B$5:$B$1004,MATCH(C502,LOTES!$F$5:$F$1004,0)),""))</f>
        <v/>
      </c>
      <c r="G502" s="15" t="str">
        <f aca="false">IF(OR(B502="",F502=""),"",B502-F502)</f>
        <v/>
      </c>
      <c r="H502" s="13"/>
      <c r="I502" s="13"/>
      <c r="J502" s="13"/>
      <c r="K502" s="25"/>
      <c r="L502" s="25"/>
      <c r="M502" s="25"/>
      <c r="N502" s="25"/>
      <c r="O502" s="26"/>
      <c r="P502" s="16" t="str">
        <f aca="false">IF(O502="","",IFERROR(1/(1/(IF(K502="",INDEX(CONFIG!$F$5:$F$14,MATCH(D502,CONFIG!$D$5:$D$14,0)),K502)*IF(M502="",INDEX(CONFIG!$H$5:$H$14,MATCH(D502,CONFIG!$D$5:$D$14,0)),M502))),""))</f>
        <v/>
      </c>
      <c r="Q502" s="16" t="str">
        <f aca="false">IF(OR(O502="",P502=""),"",O502/P502)</f>
        <v/>
      </c>
      <c r="R502" s="16" t="str">
        <f aca="false">IF(Q502="","",Q502*0.0980665)</f>
        <v/>
      </c>
      <c r="S502" s="16" t="str">
        <f aca="false">IF(Q502="","",IFERROR(Q502/(1/(1/INDEX(CONFIG!$I$5:$I$14,MATCH(D502,CONFIG!$D$5:$D$14,0)))),""))</f>
        <v/>
      </c>
      <c r="T502" s="13"/>
      <c r="U502" s="13"/>
      <c r="V502" s="13"/>
      <c r="W502" s="13"/>
      <c r="X502" s="22" t="str">
        <f aca="false">IF(Q502="","",Q502^2)</f>
        <v/>
      </c>
      <c r="Y502" s="22" t="str">
        <f aca="false">IF(AND(C502&lt;&gt;"",C502=CERTIFICADO!$E$4,OR(CERTIFICADO!$E$5="",B502=CERTIFICADO!$E$5)),MAX($Y$4:Y501)+1,"")</f>
        <v/>
      </c>
    </row>
    <row r="503" customFormat="false" ht="15" hidden="false" customHeight="false" outlineLevel="0" collapsed="false">
      <c r="A503" s="11" t="str">
        <f aca="false">IF(C503="","",ROW()-4)</f>
        <v/>
      </c>
      <c r="B503" s="12"/>
      <c r="C503" s="13"/>
      <c r="D503" s="23" t="str">
        <f aca="false">IF(C503="","",IFERROR(INDEX(LOTES!$D$5:$D$1004,MATCH(C503,LOTES!$F$5:$F$1004,0)),"¿Lote?"))</f>
        <v/>
      </c>
      <c r="E503" s="11" t="str">
        <f aca="false">IF(C503="","",IFERROR(INDEX(LOTES!$C$5:$C$1004,MATCH(C503,LOTES!$F$5:$F$1004,0)),""))</f>
        <v/>
      </c>
      <c r="F503" s="24" t="str">
        <f aca="false">IF(C503="","",IFERROR(INDEX(LOTES!$B$5:$B$1004,MATCH(C503,LOTES!$F$5:$F$1004,0)),""))</f>
        <v/>
      </c>
      <c r="G503" s="15" t="str">
        <f aca="false">IF(OR(B503="",F503=""),"",B503-F503)</f>
        <v/>
      </c>
      <c r="H503" s="13"/>
      <c r="I503" s="13"/>
      <c r="J503" s="13"/>
      <c r="K503" s="25"/>
      <c r="L503" s="25"/>
      <c r="M503" s="25"/>
      <c r="N503" s="25"/>
      <c r="O503" s="26"/>
      <c r="P503" s="16" t="str">
        <f aca="false">IF(O503="","",IFERROR(1/(1/(IF(K503="",INDEX(CONFIG!$F$5:$F$14,MATCH(D503,CONFIG!$D$5:$D$14,0)),K503)*IF(M503="",INDEX(CONFIG!$H$5:$H$14,MATCH(D503,CONFIG!$D$5:$D$14,0)),M503))),""))</f>
        <v/>
      </c>
      <c r="Q503" s="16" t="str">
        <f aca="false">IF(OR(O503="",P503=""),"",O503/P503)</f>
        <v/>
      </c>
      <c r="R503" s="16" t="str">
        <f aca="false">IF(Q503="","",Q503*0.0980665)</f>
        <v/>
      </c>
      <c r="S503" s="16" t="str">
        <f aca="false">IF(Q503="","",IFERROR(Q503/(1/(1/INDEX(CONFIG!$I$5:$I$14,MATCH(D503,CONFIG!$D$5:$D$14,0)))),""))</f>
        <v/>
      </c>
      <c r="T503" s="13"/>
      <c r="U503" s="13"/>
      <c r="V503" s="13"/>
      <c r="W503" s="13"/>
      <c r="X503" s="22" t="str">
        <f aca="false">IF(Q503="","",Q503^2)</f>
        <v/>
      </c>
      <c r="Y503" s="22" t="str">
        <f aca="false">IF(AND(C503&lt;&gt;"",C503=CERTIFICADO!$E$4,OR(CERTIFICADO!$E$5="",B503=CERTIFICADO!$E$5)),MAX($Y$4:Y502)+1,"")</f>
        <v/>
      </c>
    </row>
    <row r="504" customFormat="false" ht="15" hidden="false" customHeight="false" outlineLevel="0" collapsed="false">
      <c r="A504" s="11" t="str">
        <f aca="false">IF(C504="","",ROW()-4)</f>
        <v/>
      </c>
      <c r="B504" s="12"/>
      <c r="C504" s="13"/>
      <c r="D504" s="23" t="str">
        <f aca="false">IF(C504="","",IFERROR(INDEX(LOTES!$D$5:$D$1004,MATCH(C504,LOTES!$F$5:$F$1004,0)),"¿Lote?"))</f>
        <v/>
      </c>
      <c r="E504" s="11" t="str">
        <f aca="false">IF(C504="","",IFERROR(INDEX(LOTES!$C$5:$C$1004,MATCH(C504,LOTES!$F$5:$F$1004,0)),""))</f>
        <v/>
      </c>
      <c r="F504" s="24" t="str">
        <f aca="false">IF(C504="","",IFERROR(INDEX(LOTES!$B$5:$B$1004,MATCH(C504,LOTES!$F$5:$F$1004,0)),""))</f>
        <v/>
      </c>
      <c r="G504" s="15" t="str">
        <f aca="false">IF(OR(B504="",F504=""),"",B504-F504)</f>
        <v/>
      </c>
      <c r="H504" s="13"/>
      <c r="I504" s="13"/>
      <c r="J504" s="13"/>
      <c r="K504" s="25"/>
      <c r="L504" s="25"/>
      <c r="M504" s="25"/>
      <c r="N504" s="25"/>
      <c r="O504" s="26"/>
      <c r="P504" s="16" t="str">
        <f aca="false">IF(O504="","",IFERROR(1/(1/(IF(K504="",INDEX(CONFIG!$F$5:$F$14,MATCH(D504,CONFIG!$D$5:$D$14,0)),K504)*IF(M504="",INDEX(CONFIG!$H$5:$H$14,MATCH(D504,CONFIG!$D$5:$D$14,0)),M504))),""))</f>
        <v/>
      </c>
      <c r="Q504" s="16" t="str">
        <f aca="false">IF(OR(O504="",P504=""),"",O504/P504)</f>
        <v/>
      </c>
      <c r="R504" s="16" t="str">
        <f aca="false">IF(Q504="","",Q504*0.0980665)</f>
        <v/>
      </c>
      <c r="S504" s="16" t="str">
        <f aca="false">IF(Q504="","",IFERROR(Q504/(1/(1/INDEX(CONFIG!$I$5:$I$14,MATCH(D504,CONFIG!$D$5:$D$14,0)))),""))</f>
        <v/>
      </c>
      <c r="T504" s="13"/>
      <c r="U504" s="13"/>
      <c r="V504" s="13"/>
      <c r="W504" s="13"/>
      <c r="X504" s="22" t="str">
        <f aca="false">IF(Q504="","",Q504^2)</f>
        <v/>
      </c>
      <c r="Y504" s="22" t="str">
        <f aca="false">IF(AND(C504&lt;&gt;"",C504=CERTIFICADO!$E$4,OR(CERTIFICADO!$E$5="",B504=CERTIFICADO!$E$5)),MAX($Y$4:Y503)+1,"")</f>
        <v/>
      </c>
    </row>
    <row r="505" customFormat="false" ht="15" hidden="false" customHeight="false" outlineLevel="0" collapsed="false">
      <c r="A505" s="11" t="str">
        <f aca="false">IF(C505="","",ROW()-4)</f>
        <v/>
      </c>
      <c r="B505" s="12"/>
      <c r="C505" s="13"/>
      <c r="D505" s="23" t="str">
        <f aca="false">IF(C505="","",IFERROR(INDEX(LOTES!$D$5:$D$1004,MATCH(C505,LOTES!$F$5:$F$1004,0)),"¿Lote?"))</f>
        <v/>
      </c>
      <c r="E505" s="11" t="str">
        <f aca="false">IF(C505="","",IFERROR(INDEX(LOTES!$C$5:$C$1004,MATCH(C505,LOTES!$F$5:$F$1004,0)),""))</f>
        <v/>
      </c>
      <c r="F505" s="24" t="str">
        <f aca="false">IF(C505="","",IFERROR(INDEX(LOTES!$B$5:$B$1004,MATCH(C505,LOTES!$F$5:$F$1004,0)),""))</f>
        <v/>
      </c>
      <c r="G505" s="15" t="str">
        <f aca="false">IF(OR(B505="",F505=""),"",B505-F505)</f>
        <v/>
      </c>
      <c r="H505" s="13"/>
      <c r="I505" s="13"/>
      <c r="J505" s="13"/>
      <c r="K505" s="25"/>
      <c r="L505" s="25"/>
      <c r="M505" s="25"/>
      <c r="N505" s="25"/>
      <c r="O505" s="26"/>
      <c r="P505" s="16" t="str">
        <f aca="false">IF(O505="","",IFERROR(1/(1/(IF(K505="",INDEX(CONFIG!$F$5:$F$14,MATCH(D505,CONFIG!$D$5:$D$14,0)),K505)*IF(M505="",INDEX(CONFIG!$H$5:$H$14,MATCH(D505,CONFIG!$D$5:$D$14,0)),M505))),""))</f>
        <v/>
      </c>
      <c r="Q505" s="16" t="str">
        <f aca="false">IF(OR(O505="",P505=""),"",O505/P505)</f>
        <v/>
      </c>
      <c r="R505" s="16" t="str">
        <f aca="false">IF(Q505="","",Q505*0.0980665)</f>
        <v/>
      </c>
      <c r="S505" s="16" t="str">
        <f aca="false">IF(Q505="","",IFERROR(Q505/(1/(1/INDEX(CONFIG!$I$5:$I$14,MATCH(D505,CONFIG!$D$5:$D$14,0)))),""))</f>
        <v/>
      </c>
      <c r="T505" s="13"/>
      <c r="U505" s="13"/>
      <c r="V505" s="13"/>
      <c r="W505" s="13"/>
      <c r="X505" s="22" t="str">
        <f aca="false">IF(Q505="","",Q505^2)</f>
        <v/>
      </c>
      <c r="Y505" s="22" t="str">
        <f aca="false">IF(AND(C505&lt;&gt;"",C505=CERTIFICADO!$E$4,OR(CERTIFICADO!$E$5="",B505=CERTIFICADO!$E$5)),MAX($Y$4:Y504)+1,"")</f>
        <v/>
      </c>
    </row>
    <row r="506" customFormat="false" ht="15" hidden="false" customHeight="false" outlineLevel="0" collapsed="false">
      <c r="A506" s="11" t="str">
        <f aca="false">IF(C506="","",ROW()-4)</f>
        <v/>
      </c>
      <c r="B506" s="12"/>
      <c r="C506" s="13"/>
      <c r="D506" s="23" t="str">
        <f aca="false">IF(C506="","",IFERROR(INDEX(LOTES!$D$5:$D$1004,MATCH(C506,LOTES!$F$5:$F$1004,0)),"¿Lote?"))</f>
        <v/>
      </c>
      <c r="E506" s="11" t="str">
        <f aca="false">IF(C506="","",IFERROR(INDEX(LOTES!$C$5:$C$1004,MATCH(C506,LOTES!$F$5:$F$1004,0)),""))</f>
        <v/>
      </c>
      <c r="F506" s="24" t="str">
        <f aca="false">IF(C506="","",IFERROR(INDEX(LOTES!$B$5:$B$1004,MATCH(C506,LOTES!$F$5:$F$1004,0)),""))</f>
        <v/>
      </c>
      <c r="G506" s="15" t="str">
        <f aca="false">IF(OR(B506="",F506=""),"",B506-F506)</f>
        <v/>
      </c>
      <c r="H506" s="13"/>
      <c r="I506" s="13"/>
      <c r="J506" s="13"/>
      <c r="K506" s="25"/>
      <c r="L506" s="25"/>
      <c r="M506" s="25"/>
      <c r="N506" s="25"/>
      <c r="O506" s="26"/>
      <c r="P506" s="16" t="str">
        <f aca="false">IF(O506="","",IFERROR(1/(1/(IF(K506="",INDEX(CONFIG!$F$5:$F$14,MATCH(D506,CONFIG!$D$5:$D$14,0)),K506)*IF(M506="",INDEX(CONFIG!$H$5:$H$14,MATCH(D506,CONFIG!$D$5:$D$14,0)),M506))),""))</f>
        <v/>
      </c>
      <c r="Q506" s="16" t="str">
        <f aca="false">IF(OR(O506="",P506=""),"",O506/P506)</f>
        <v/>
      </c>
      <c r="R506" s="16" t="str">
        <f aca="false">IF(Q506="","",Q506*0.0980665)</f>
        <v/>
      </c>
      <c r="S506" s="16" t="str">
        <f aca="false">IF(Q506="","",IFERROR(Q506/(1/(1/INDEX(CONFIG!$I$5:$I$14,MATCH(D506,CONFIG!$D$5:$D$14,0)))),""))</f>
        <v/>
      </c>
      <c r="T506" s="13"/>
      <c r="U506" s="13"/>
      <c r="V506" s="13"/>
      <c r="W506" s="13"/>
      <c r="X506" s="22" t="str">
        <f aca="false">IF(Q506="","",Q506^2)</f>
        <v/>
      </c>
      <c r="Y506" s="22" t="str">
        <f aca="false">IF(AND(C506&lt;&gt;"",C506=CERTIFICADO!$E$4,OR(CERTIFICADO!$E$5="",B506=CERTIFICADO!$E$5)),MAX($Y$4:Y505)+1,"")</f>
        <v/>
      </c>
    </row>
    <row r="507" customFormat="false" ht="15" hidden="false" customHeight="false" outlineLevel="0" collapsed="false">
      <c r="A507" s="11" t="str">
        <f aca="false">IF(C507="","",ROW()-4)</f>
        <v/>
      </c>
      <c r="B507" s="12"/>
      <c r="C507" s="13"/>
      <c r="D507" s="23" t="str">
        <f aca="false">IF(C507="","",IFERROR(INDEX(LOTES!$D$5:$D$1004,MATCH(C507,LOTES!$F$5:$F$1004,0)),"¿Lote?"))</f>
        <v/>
      </c>
      <c r="E507" s="11" t="str">
        <f aca="false">IF(C507="","",IFERROR(INDEX(LOTES!$C$5:$C$1004,MATCH(C507,LOTES!$F$5:$F$1004,0)),""))</f>
        <v/>
      </c>
      <c r="F507" s="24" t="str">
        <f aca="false">IF(C507="","",IFERROR(INDEX(LOTES!$B$5:$B$1004,MATCH(C507,LOTES!$F$5:$F$1004,0)),""))</f>
        <v/>
      </c>
      <c r="G507" s="15" t="str">
        <f aca="false">IF(OR(B507="",F507=""),"",B507-F507)</f>
        <v/>
      </c>
      <c r="H507" s="13"/>
      <c r="I507" s="13"/>
      <c r="J507" s="13"/>
      <c r="K507" s="25"/>
      <c r="L507" s="25"/>
      <c r="M507" s="25"/>
      <c r="N507" s="25"/>
      <c r="O507" s="26"/>
      <c r="P507" s="16" t="str">
        <f aca="false">IF(O507="","",IFERROR(1/(1/(IF(K507="",INDEX(CONFIG!$F$5:$F$14,MATCH(D507,CONFIG!$D$5:$D$14,0)),K507)*IF(M507="",INDEX(CONFIG!$H$5:$H$14,MATCH(D507,CONFIG!$D$5:$D$14,0)),M507))),""))</f>
        <v/>
      </c>
      <c r="Q507" s="16" t="str">
        <f aca="false">IF(OR(O507="",P507=""),"",O507/P507)</f>
        <v/>
      </c>
      <c r="R507" s="16" t="str">
        <f aca="false">IF(Q507="","",Q507*0.0980665)</f>
        <v/>
      </c>
      <c r="S507" s="16" t="str">
        <f aca="false">IF(Q507="","",IFERROR(Q507/(1/(1/INDEX(CONFIG!$I$5:$I$14,MATCH(D507,CONFIG!$D$5:$D$14,0)))),""))</f>
        <v/>
      </c>
      <c r="T507" s="13"/>
      <c r="U507" s="13"/>
      <c r="V507" s="13"/>
      <c r="W507" s="13"/>
      <c r="X507" s="22" t="str">
        <f aca="false">IF(Q507="","",Q507^2)</f>
        <v/>
      </c>
      <c r="Y507" s="22" t="str">
        <f aca="false">IF(AND(C507&lt;&gt;"",C507=CERTIFICADO!$E$4,OR(CERTIFICADO!$E$5="",B507=CERTIFICADO!$E$5)),MAX($Y$4:Y506)+1,"")</f>
        <v/>
      </c>
    </row>
    <row r="508" customFormat="false" ht="15" hidden="false" customHeight="false" outlineLevel="0" collapsed="false">
      <c r="A508" s="11" t="str">
        <f aca="false">IF(C508="","",ROW()-4)</f>
        <v/>
      </c>
      <c r="B508" s="12"/>
      <c r="C508" s="13"/>
      <c r="D508" s="23" t="str">
        <f aca="false">IF(C508="","",IFERROR(INDEX(LOTES!$D$5:$D$1004,MATCH(C508,LOTES!$F$5:$F$1004,0)),"¿Lote?"))</f>
        <v/>
      </c>
      <c r="E508" s="11" t="str">
        <f aca="false">IF(C508="","",IFERROR(INDEX(LOTES!$C$5:$C$1004,MATCH(C508,LOTES!$F$5:$F$1004,0)),""))</f>
        <v/>
      </c>
      <c r="F508" s="24" t="str">
        <f aca="false">IF(C508="","",IFERROR(INDEX(LOTES!$B$5:$B$1004,MATCH(C508,LOTES!$F$5:$F$1004,0)),""))</f>
        <v/>
      </c>
      <c r="G508" s="15" t="str">
        <f aca="false">IF(OR(B508="",F508=""),"",B508-F508)</f>
        <v/>
      </c>
      <c r="H508" s="13"/>
      <c r="I508" s="13"/>
      <c r="J508" s="13"/>
      <c r="K508" s="25"/>
      <c r="L508" s="25"/>
      <c r="M508" s="25"/>
      <c r="N508" s="25"/>
      <c r="O508" s="26"/>
      <c r="P508" s="16" t="str">
        <f aca="false">IF(O508="","",IFERROR(1/(1/(IF(K508="",INDEX(CONFIG!$F$5:$F$14,MATCH(D508,CONFIG!$D$5:$D$14,0)),K508)*IF(M508="",INDEX(CONFIG!$H$5:$H$14,MATCH(D508,CONFIG!$D$5:$D$14,0)),M508))),""))</f>
        <v/>
      </c>
      <c r="Q508" s="16" t="str">
        <f aca="false">IF(OR(O508="",P508=""),"",O508/P508)</f>
        <v/>
      </c>
      <c r="R508" s="16" t="str">
        <f aca="false">IF(Q508="","",Q508*0.0980665)</f>
        <v/>
      </c>
      <c r="S508" s="16" t="str">
        <f aca="false">IF(Q508="","",IFERROR(Q508/(1/(1/INDEX(CONFIG!$I$5:$I$14,MATCH(D508,CONFIG!$D$5:$D$14,0)))),""))</f>
        <v/>
      </c>
      <c r="T508" s="13"/>
      <c r="U508" s="13"/>
      <c r="V508" s="13"/>
      <c r="W508" s="13"/>
      <c r="X508" s="22" t="str">
        <f aca="false">IF(Q508="","",Q508^2)</f>
        <v/>
      </c>
      <c r="Y508" s="22" t="str">
        <f aca="false">IF(AND(C508&lt;&gt;"",C508=CERTIFICADO!$E$4,OR(CERTIFICADO!$E$5="",B508=CERTIFICADO!$E$5)),MAX($Y$4:Y507)+1,"")</f>
        <v/>
      </c>
    </row>
    <row r="509" customFormat="false" ht="15" hidden="false" customHeight="false" outlineLevel="0" collapsed="false">
      <c r="A509" s="11" t="str">
        <f aca="false">IF(C509="","",ROW()-4)</f>
        <v/>
      </c>
      <c r="B509" s="12"/>
      <c r="C509" s="13"/>
      <c r="D509" s="23" t="str">
        <f aca="false">IF(C509="","",IFERROR(INDEX(LOTES!$D$5:$D$1004,MATCH(C509,LOTES!$F$5:$F$1004,0)),"¿Lote?"))</f>
        <v/>
      </c>
      <c r="E509" s="11" t="str">
        <f aca="false">IF(C509="","",IFERROR(INDEX(LOTES!$C$5:$C$1004,MATCH(C509,LOTES!$F$5:$F$1004,0)),""))</f>
        <v/>
      </c>
      <c r="F509" s="24" t="str">
        <f aca="false">IF(C509="","",IFERROR(INDEX(LOTES!$B$5:$B$1004,MATCH(C509,LOTES!$F$5:$F$1004,0)),""))</f>
        <v/>
      </c>
      <c r="G509" s="15" t="str">
        <f aca="false">IF(OR(B509="",F509=""),"",B509-F509)</f>
        <v/>
      </c>
      <c r="H509" s="13"/>
      <c r="I509" s="13"/>
      <c r="J509" s="13"/>
      <c r="K509" s="25"/>
      <c r="L509" s="25"/>
      <c r="M509" s="25"/>
      <c r="N509" s="25"/>
      <c r="O509" s="26"/>
      <c r="P509" s="16" t="str">
        <f aca="false">IF(O509="","",IFERROR(1/(1/(IF(K509="",INDEX(CONFIG!$F$5:$F$14,MATCH(D509,CONFIG!$D$5:$D$14,0)),K509)*IF(M509="",INDEX(CONFIG!$H$5:$H$14,MATCH(D509,CONFIG!$D$5:$D$14,0)),M509))),""))</f>
        <v/>
      </c>
      <c r="Q509" s="16" t="str">
        <f aca="false">IF(OR(O509="",P509=""),"",O509/P509)</f>
        <v/>
      </c>
      <c r="R509" s="16" t="str">
        <f aca="false">IF(Q509="","",Q509*0.0980665)</f>
        <v/>
      </c>
      <c r="S509" s="16" t="str">
        <f aca="false">IF(Q509="","",IFERROR(Q509/(1/(1/INDEX(CONFIG!$I$5:$I$14,MATCH(D509,CONFIG!$D$5:$D$14,0)))),""))</f>
        <v/>
      </c>
      <c r="T509" s="13"/>
      <c r="U509" s="13"/>
      <c r="V509" s="13"/>
      <c r="W509" s="13"/>
      <c r="X509" s="22" t="str">
        <f aca="false">IF(Q509="","",Q509^2)</f>
        <v/>
      </c>
      <c r="Y509" s="22" t="str">
        <f aca="false">IF(AND(C509&lt;&gt;"",C509=CERTIFICADO!$E$4,OR(CERTIFICADO!$E$5="",B509=CERTIFICADO!$E$5)),MAX($Y$4:Y508)+1,"")</f>
        <v/>
      </c>
    </row>
    <row r="510" customFormat="false" ht="15" hidden="false" customHeight="false" outlineLevel="0" collapsed="false">
      <c r="A510" s="11" t="str">
        <f aca="false">IF(C510="","",ROW()-4)</f>
        <v/>
      </c>
      <c r="B510" s="12"/>
      <c r="C510" s="13"/>
      <c r="D510" s="23" t="str">
        <f aca="false">IF(C510="","",IFERROR(INDEX(LOTES!$D$5:$D$1004,MATCH(C510,LOTES!$F$5:$F$1004,0)),"¿Lote?"))</f>
        <v/>
      </c>
      <c r="E510" s="11" t="str">
        <f aca="false">IF(C510="","",IFERROR(INDEX(LOTES!$C$5:$C$1004,MATCH(C510,LOTES!$F$5:$F$1004,0)),""))</f>
        <v/>
      </c>
      <c r="F510" s="24" t="str">
        <f aca="false">IF(C510="","",IFERROR(INDEX(LOTES!$B$5:$B$1004,MATCH(C510,LOTES!$F$5:$F$1004,0)),""))</f>
        <v/>
      </c>
      <c r="G510" s="15" t="str">
        <f aca="false">IF(OR(B510="",F510=""),"",B510-F510)</f>
        <v/>
      </c>
      <c r="H510" s="13"/>
      <c r="I510" s="13"/>
      <c r="J510" s="13"/>
      <c r="K510" s="25"/>
      <c r="L510" s="25"/>
      <c r="M510" s="25"/>
      <c r="N510" s="25"/>
      <c r="O510" s="26"/>
      <c r="P510" s="16" t="str">
        <f aca="false">IF(O510="","",IFERROR(1/(1/(IF(K510="",INDEX(CONFIG!$F$5:$F$14,MATCH(D510,CONFIG!$D$5:$D$14,0)),K510)*IF(M510="",INDEX(CONFIG!$H$5:$H$14,MATCH(D510,CONFIG!$D$5:$D$14,0)),M510))),""))</f>
        <v/>
      </c>
      <c r="Q510" s="16" t="str">
        <f aca="false">IF(OR(O510="",P510=""),"",O510/P510)</f>
        <v/>
      </c>
      <c r="R510" s="16" t="str">
        <f aca="false">IF(Q510="","",Q510*0.0980665)</f>
        <v/>
      </c>
      <c r="S510" s="16" t="str">
        <f aca="false">IF(Q510="","",IFERROR(Q510/(1/(1/INDEX(CONFIG!$I$5:$I$14,MATCH(D510,CONFIG!$D$5:$D$14,0)))),""))</f>
        <v/>
      </c>
      <c r="T510" s="13"/>
      <c r="U510" s="13"/>
      <c r="V510" s="13"/>
      <c r="W510" s="13"/>
      <c r="X510" s="22" t="str">
        <f aca="false">IF(Q510="","",Q510^2)</f>
        <v/>
      </c>
      <c r="Y510" s="22" t="str">
        <f aca="false">IF(AND(C510&lt;&gt;"",C510=CERTIFICADO!$E$4,OR(CERTIFICADO!$E$5="",B510=CERTIFICADO!$E$5)),MAX($Y$4:Y509)+1,"")</f>
        <v/>
      </c>
    </row>
    <row r="511" customFormat="false" ht="15" hidden="false" customHeight="false" outlineLevel="0" collapsed="false">
      <c r="A511" s="11" t="str">
        <f aca="false">IF(C511="","",ROW()-4)</f>
        <v/>
      </c>
      <c r="B511" s="12"/>
      <c r="C511" s="13"/>
      <c r="D511" s="23" t="str">
        <f aca="false">IF(C511="","",IFERROR(INDEX(LOTES!$D$5:$D$1004,MATCH(C511,LOTES!$F$5:$F$1004,0)),"¿Lote?"))</f>
        <v/>
      </c>
      <c r="E511" s="11" t="str">
        <f aca="false">IF(C511="","",IFERROR(INDEX(LOTES!$C$5:$C$1004,MATCH(C511,LOTES!$F$5:$F$1004,0)),""))</f>
        <v/>
      </c>
      <c r="F511" s="24" t="str">
        <f aca="false">IF(C511="","",IFERROR(INDEX(LOTES!$B$5:$B$1004,MATCH(C511,LOTES!$F$5:$F$1004,0)),""))</f>
        <v/>
      </c>
      <c r="G511" s="15" t="str">
        <f aca="false">IF(OR(B511="",F511=""),"",B511-F511)</f>
        <v/>
      </c>
      <c r="H511" s="13"/>
      <c r="I511" s="13"/>
      <c r="J511" s="13"/>
      <c r="K511" s="25"/>
      <c r="L511" s="25"/>
      <c r="M511" s="25"/>
      <c r="N511" s="25"/>
      <c r="O511" s="26"/>
      <c r="P511" s="16" t="str">
        <f aca="false">IF(O511="","",IFERROR(1/(1/(IF(K511="",INDEX(CONFIG!$F$5:$F$14,MATCH(D511,CONFIG!$D$5:$D$14,0)),K511)*IF(M511="",INDEX(CONFIG!$H$5:$H$14,MATCH(D511,CONFIG!$D$5:$D$14,0)),M511))),""))</f>
        <v/>
      </c>
      <c r="Q511" s="16" t="str">
        <f aca="false">IF(OR(O511="",P511=""),"",O511/P511)</f>
        <v/>
      </c>
      <c r="R511" s="16" t="str">
        <f aca="false">IF(Q511="","",Q511*0.0980665)</f>
        <v/>
      </c>
      <c r="S511" s="16" t="str">
        <f aca="false">IF(Q511="","",IFERROR(Q511/(1/(1/INDEX(CONFIG!$I$5:$I$14,MATCH(D511,CONFIG!$D$5:$D$14,0)))),""))</f>
        <v/>
      </c>
      <c r="T511" s="13"/>
      <c r="U511" s="13"/>
      <c r="V511" s="13"/>
      <c r="W511" s="13"/>
      <c r="X511" s="22" t="str">
        <f aca="false">IF(Q511="","",Q511^2)</f>
        <v/>
      </c>
      <c r="Y511" s="22" t="str">
        <f aca="false">IF(AND(C511&lt;&gt;"",C511=CERTIFICADO!$E$4,OR(CERTIFICADO!$E$5="",B511=CERTIFICADO!$E$5)),MAX($Y$4:Y510)+1,"")</f>
        <v/>
      </c>
    </row>
    <row r="512" customFormat="false" ht="15" hidden="false" customHeight="false" outlineLevel="0" collapsed="false">
      <c r="A512" s="11" t="str">
        <f aca="false">IF(C512="","",ROW()-4)</f>
        <v/>
      </c>
      <c r="B512" s="12"/>
      <c r="C512" s="13"/>
      <c r="D512" s="23" t="str">
        <f aca="false">IF(C512="","",IFERROR(INDEX(LOTES!$D$5:$D$1004,MATCH(C512,LOTES!$F$5:$F$1004,0)),"¿Lote?"))</f>
        <v/>
      </c>
      <c r="E512" s="11" t="str">
        <f aca="false">IF(C512="","",IFERROR(INDEX(LOTES!$C$5:$C$1004,MATCH(C512,LOTES!$F$5:$F$1004,0)),""))</f>
        <v/>
      </c>
      <c r="F512" s="24" t="str">
        <f aca="false">IF(C512="","",IFERROR(INDEX(LOTES!$B$5:$B$1004,MATCH(C512,LOTES!$F$5:$F$1004,0)),""))</f>
        <v/>
      </c>
      <c r="G512" s="15" t="str">
        <f aca="false">IF(OR(B512="",F512=""),"",B512-F512)</f>
        <v/>
      </c>
      <c r="H512" s="13"/>
      <c r="I512" s="13"/>
      <c r="J512" s="13"/>
      <c r="K512" s="25"/>
      <c r="L512" s="25"/>
      <c r="M512" s="25"/>
      <c r="N512" s="25"/>
      <c r="O512" s="26"/>
      <c r="P512" s="16" t="str">
        <f aca="false">IF(O512="","",IFERROR(1/(1/(IF(K512="",INDEX(CONFIG!$F$5:$F$14,MATCH(D512,CONFIG!$D$5:$D$14,0)),K512)*IF(M512="",INDEX(CONFIG!$H$5:$H$14,MATCH(D512,CONFIG!$D$5:$D$14,0)),M512))),""))</f>
        <v/>
      </c>
      <c r="Q512" s="16" t="str">
        <f aca="false">IF(OR(O512="",P512=""),"",O512/P512)</f>
        <v/>
      </c>
      <c r="R512" s="16" t="str">
        <f aca="false">IF(Q512="","",Q512*0.0980665)</f>
        <v/>
      </c>
      <c r="S512" s="16" t="str">
        <f aca="false">IF(Q512="","",IFERROR(Q512/(1/(1/INDEX(CONFIG!$I$5:$I$14,MATCH(D512,CONFIG!$D$5:$D$14,0)))),""))</f>
        <v/>
      </c>
      <c r="T512" s="13"/>
      <c r="U512" s="13"/>
      <c r="V512" s="13"/>
      <c r="W512" s="13"/>
      <c r="X512" s="22" t="str">
        <f aca="false">IF(Q512="","",Q512^2)</f>
        <v/>
      </c>
      <c r="Y512" s="22" t="str">
        <f aca="false">IF(AND(C512&lt;&gt;"",C512=CERTIFICADO!$E$4,OR(CERTIFICADO!$E$5="",B512=CERTIFICADO!$E$5)),MAX($Y$4:Y511)+1,"")</f>
        <v/>
      </c>
    </row>
    <row r="513" customFormat="false" ht="15" hidden="false" customHeight="false" outlineLevel="0" collapsed="false">
      <c r="A513" s="11" t="str">
        <f aca="false">IF(C513="","",ROW()-4)</f>
        <v/>
      </c>
      <c r="B513" s="12"/>
      <c r="C513" s="13"/>
      <c r="D513" s="23" t="str">
        <f aca="false">IF(C513="","",IFERROR(INDEX(LOTES!$D$5:$D$1004,MATCH(C513,LOTES!$F$5:$F$1004,0)),"¿Lote?"))</f>
        <v/>
      </c>
      <c r="E513" s="11" t="str">
        <f aca="false">IF(C513="","",IFERROR(INDEX(LOTES!$C$5:$C$1004,MATCH(C513,LOTES!$F$5:$F$1004,0)),""))</f>
        <v/>
      </c>
      <c r="F513" s="24" t="str">
        <f aca="false">IF(C513="","",IFERROR(INDEX(LOTES!$B$5:$B$1004,MATCH(C513,LOTES!$F$5:$F$1004,0)),""))</f>
        <v/>
      </c>
      <c r="G513" s="15" t="str">
        <f aca="false">IF(OR(B513="",F513=""),"",B513-F513)</f>
        <v/>
      </c>
      <c r="H513" s="13"/>
      <c r="I513" s="13"/>
      <c r="J513" s="13"/>
      <c r="K513" s="25"/>
      <c r="L513" s="25"/>
      <c r="M513" s="25"/>
      <c r="N513" s="25"/>
      <c r="O513" s="26"/>
      <c r="P513" s="16" t="str">
        <f aca="false">IF(O513="","",IFERROR(1/(1/(IF(K513="",INDEX(CONFIG!$F$5:$F$14,MATCH(D513,CONFIG!$D$5:$D$14,0)),K513)*IF(M513="",INDEX(CONFIG!$H$5:$H$14,MATCH(D513,CONFIG!$D$5:$D$14,0)),M513))),""))</f>
        <v/>
      </c>
      <c r="Q513" s="16" t="str">
        <f aca="false">IF(OR(O513="",P513=""),"",O513/P513)</f>
        <v/>
      </c>
      <c r="R513" s="16" t="str">
        <f aca="false">IF(Q513="","",Q513*0.0980665)</f>
        <v/>
      </c>
      <c r="S513" s="16" t="str">
        <f aca="false">IF(Q513="","",IFERROR(Q513/(1/(1/INDEX(CONFIG!$I$5:$I$14,MATCH(D513,CONFIG!$D$5:$D$14,0)))),""))</f>
        <v/>
      </c>
      <c r="T513" s="13"/>
      <c r="U513" s="13"/>
      <c r="V513" s="13"/>
      <c r="W513" s="13"/>
      <c r="X513" s="22" t="str">
        <f aca="false">IF(Q513="","",Q513^2)</f>
        <v/>
      </c>
      <c r="Y513" s="22" t="str">
        <f aca="false">IF(AND(C513&lt;&gt;"",C513=CERTIFICADO!$E$4,OR(CERTIFICADO!$E$5="",B513=CERTIFICADO!$E$5)),MAX($Y$4:Y512)+1,"")</f>
        <v/>
      </c>
    </row>
    <row r="514" customFormat="false" ht="15" hidden="false" customHeight="false" outlineLevel="0" collapsed="false">
      <c r="A514" s="11" t="str">
        <f aca="false">IF(C514="","",ROW()-4)</f>
        <v/>
      </c>
      <c r="B514" s="12"/>
      <c r="C514" s="13"/>
      <c r="D514" s="23" t="str">
        <f aca="false">IF(C514="","",IFERROR(INDEX(LOTES!$D$5:$D$1004,MATCH(C514,LOTES!$F$5:$F$1004,0)),"¿Lote?"))</f>
        <v/>
      </c>
      <c r="E514" s="11" t="str">
        <f aca="false">IF(C514="","",IFERROR(INDEX(LOTES!$C$5:$C$1004,MATCH(C514,LOTES!$F$5:$F$1004,0)),""))</f>
        <v/>
      </c>
      <c r="F514" s="24" t="str">
        <f aca="false">IF(C514="","",IFERROR(INDEX(LOTES!$B$5:$B$1004,MATCH(C514,LOTES!$F$5:$F$1004,0)),""))</f>
        <v/>
      </c>
      <c r="G514" s="15" t="str">
        <f aca="false">IF(OR(B514="",F514=""),"",B514-F514)</f>
        <v/>
      </c>
      <c r="H514" s="13"/>
      <c r="I514" s="13"/>
      <c r="J514" s="13"/>
      <c r="K514" s="25"/>
      <c r="L514" s="25"/>
      <c r="M514" s="25"/>
      <c r="N514" s="25"/>
      <c r="O514" s="26"/>
      <c r="P514" s="16" t="str">
        <f aca="false">IF(O514="","",IFERROR(1/(1/(IF(K514="",INDEX(CONFIG!$F$5:$F$14,MATCH(D514,CONFIG!$D$5:$D$14,0)),K514)*IF(M514="",INDEX(CONFIG!$H$5:$H$14,MATCH(D514,CONFIG!$D$5:$D$14,0)),M514))),""))</f>
        <v/>
      </c>
      <c r="Q514" s="16" t="str">
        <f aca="false">IF(OR(O514="",P514=""),"",O514/P514)</f>
        <v/>
      </c>
      <c r="R514" s="16" t="str">
        <f aca="false">IF(Q514="","",Q514*0.0980665)</f>
        <v/>
      </c>
      <c r="S514" s="16" t="str">
        <f aca="false">IF(Q514="","",IFERROR(Q514/(1/(1/INDEX(CONFIG!$I$5:$I$14,MATCH(D514,CONFIG!$D$5:$D$14,0)))),""))</f>
        <v/>
      </c>
      <c r="T514" s="13"/>
      <c r="U514" s="13"/>
      <c r="V514" s="13"/>
      <c r="W514" s="13"/>
      <c r="X514" s="22" t="str">
        <f aca="false">IF(Q514="","",Q514^2)</f>
        <v/>
      </c>
      <c r="Y514" s="22" t="str">
        <f aca="false">IF(AND(C514&lt;&gt;"",C514=CERTIFICADO!$E$4,OR(CERTIFICADO!$E$5="",B514=CERTIFICADO!$E$5)),MAX($Y$4:Y513)+1,"")</f>
        <v/>
      </c>
    </row>
    <row r="515" customFormat="false" ht="15" hidden="false" customHeight="false" outlineLevel="0" collapsed="false">
      <c r="A515" s="11" t="str">
        <f aca="false">IF(C515="","",ROW()-4)</f>
        <v/>
      </c>
      <c r="B515" s="12"/>
      <c r="C515" s="13"/>
      <c r="D515" s="23" t="str">
        <f aca="false">IF(C515="","",IFERROR(INDEX(LOTES!$D$5:$D$1004,MATCH(C515,LOTES!$F$5:$F$1004,0)),"¿Lote?"))</f>
        <v/>
      </c>
      <c r="E515" s="11" t="str">
        <f aca="false">IF(C515="","",IFERROR(INDEX(LOTES!$C$5:$C$1004,MATCH(C515,LOTES!$F$5:$F$1004,0)),""))</f>
        <v/>
      </c>
      <c r="F515" s="24" t="str">
        <f aca="false">IF(C515="","",IFERROR(INDEX(LOTES!$B$5:$B$1004,MATCH(C515,LOTES!$F$5:$F$1004,0)),""))</f>
        <v/>
      </c>
      <c r="G515" s="15" t="str">
        <f aca="false">IF(OR(B515="",F515=""),"",B515-F515)</f>
        <v/>
      </c>
      <c r="H515" s="13"/>
      <c r="I515" s="13"/>
      <c r="J515" s="13"/>
      <c r="K515" s="25"/>
      <c r="L515" s="25"/>
      <c r="M515" s="25"/>
      <c r="N515" s="25"/>
      <c r="O515" s="26"/>
      <c r="P515" s="16" t="str">
        <f aca="false">IF(O515="","",IFERROR(1/(1/(IF(K515="",INDEX(CONFIG!$F$5:$F$14,MATCH(D515,CONFIG!$D$5:$D$14,0)),K515)*IF(M515="",INDEX(CONFIG!$H$5:$H$14,MATCH(D515,CONFIG!$D$5:$D$14,0)),M515))),""))</f>
        <v/>
      </c>
      <c r="Q515" s="16" t="str">
        <f aca="false">IF(OR(O515="",P515=""),"",O515/P515)</f>
        <v/>
      </c>
      <c r="R515" s="16" t="str">
        <f aca="false">IF(Q515="","",Q515*0.0980665)</f>
        <v/>
      </c>
      <c r="S515" s="16" t="str">
        <f aca="false">IF(Q515="","",IFERROR(Q515/(1/(1/INDEX(CONFIG!$I$5:$I$14,MATCH(D515,CONFIG!$D$5:$D$14,0)))),""))</f>
        <v/>
      </c>
      <c r="T515" s="13"/>
      <c r="U515" s="13"/>
      <c r="V515" s="13"/>
      <c r="W515" s="13"/>
      <c r="X515" s="22" t="str">
        <f aca="false">IF(Q515="","",Q515^2)</f>
        <v/>
      </c>
      <c r="Y515" s="22" t="str">
        <f aca="false">IF(AND(C515&lt;&gt;"",C515=CERTIFICADO!$E$4,OR(CERTIFICADO!$E$5="",B515=CERTIFICADO!$E$5)),MAX($Y$4:Y514)+1,"")</f>
        <v/>
      </c>
    </row>
    <row r="516" customFormat="false" ht="15" hidden="false" customHeight="false" outlineLevel="0" collapsed="false">
      <c r="A516" s="11" t="str">
        <f aca="false">IF(C516="","",ROW()-4)</f>
        <v/>
      </c>
      <c r="B516" s="12"/>
      <c r="C516" s="13"/>
      <c r="D516" s="23" t="str">
        <f aca="false">IF(C516="","",IFERROR(INDEX(LOTES!$D$5:$D$1004,MATCH(C516,LOTES!$F$5:$F$1004,0)),"¿Lote?"))</f>
        <v/>
      </c>
      <c r="E516" s="11" t="str">
        <f aca="false">IF(C516="","",IFERROR(INDEX(LOTES!$C$5:$C$1004,MATCH(C516,LOTES!$F$5:$F$1004,0)),""))</f>
        <v/>
      </c>
      <c r="F516" s="24" t="str">
        <f aca="false">IF(C516="","",IFERROR(INDEX(LOTES!$B$5:$B$1004,MATCH(C516,LOTES!$F$5:$F$1004,0)),""))</f>
        <v/>
      </c>
      <c r="G516" s="15" t="str">
        <f aca="false">IF(OR(B516="",F516=""),"",B516-F516)</f>
        <v/>
      </c>
      <c r="H516" s="13"/>
      <c r="I516" s="13"/>
      <c r="J516" s="13"/>
      <c r="K516" s="25"/>
      <c r="L516" s="25"/>
      <c r="M516" s="25"/>
      <c r="N516" s="25"/>
      <c r="O516" s="26"/>
      <c r="P516" s="16" t="str">
        <f aca="false">IF(O516="","",IFERROR(1/(1/(IF(K516="",INDEX(CONFIG!$F$5:$F$14,MATCH(D516,CONFIG!$D$5:$D$14,0)),K516)*IF(M516="",INDEX(CONFIG!$H$5:$H$14,MATCH(D516,CONFIG!$D$5:$D$14,0)),M516))),""))</f>
        <v/>
      </c>
      <c r="Q516" s="16" t="str">
        <f aca="false">IF(OR(O516="",P516=""),"",O516/P516)</f>
        <v/>
      </c>
      <c r="R516" s="16" t="str">
        <f aca="false">IF(Q516="","",Q516*0.0980665)</f>
        <v/>
      </c>
      <c r="S516" s="16" t="str">
        <f aca="false">IF(Q516="","",IFERROR(Q516/(1/(1/INDEX(CONFIG!$I$5:$I$14,MATCH(D516,CONFIG!$D$5:$D$14,0)))),""))</f>
        <v/>
      </c>
      <c r="T516" s="13"/>
      <c r="U516" s="13"/>
      <c r="V516" s="13"/>
      <c r="W516" s="13"/>
      <c r="X516" s="22" t="str">
        <f aca="false">IF(Q516="","",Q516^2)</f>
        <v/>
      </c>
      <c r="Y516" s="22" t="str">
        <f aca="false">IF(AND(C516&lt;&gt;"",C516=CERTIFICADO!$E$4,OR(CERTIFICADO!$E$5="",B516=CERTIFICADO!$E$5)),MAX($Y$4:Y515)+1,"")</f>
        <v/>
      </c>
    </row>
    <row r="517" customFormat="false" ht="15" hidden="false" customHeight="false" outlineLevel="0" collapsed="false">
      <c r="A517" s="11" t="str">
        <f aca="false">IF(C517="","",ROW()-4)</f>
        <v/>
      </c>
      <c r="B517" s="12"/>
      <c r="C517" s="13"/>
      <c r="D517" s="23" t="str">
        <f aca="false">IF(C517="","",IFERROR(INDEX(LOTES!$D$5:$D$1004,MATCH(C517,LOTES!$F$5:$F$1004,0)),"¿Lote?"))</f>
        <v/>
      </c>
      <c r="E517" s="11" t="str">
        <f aca="false">IF(C517="","",IFERROR(INDEX(LOTES!$C$5:$C$1004,MATCH(C517,LOTES!$F$5:$F$1004,0)),""))</f>
        <v/>
      </c>
      <c r="F517" s="24" t="str">
        <f aca="false">IF(C517="","",IFERROR(INDEX(LOTES!$B$5:$B$1004,MATCH(C517,LOTES!$F$5:$F$1004,0)),""))</f>
        <v/>
      </c>
      <c r="G517" s="15" t="str">
        <f aca="false">IF(OR(B517="",F517=""),"",B517-F517)</f>
        <v/>
      </c>
      <c r="H517" s="13"/>
      <c r="I517" s="13"/>
      <c r="J517" s="13"/>
      <c r="K517" s="25"/>
      <c r="L517" s="25"/>
      <c r="M517" s="25"/>
      <c r="N517" s="25"/>
      <c r="O517" s="26"/>
      <c r="P517" s="16" t="str">
        <f aca="false">IF(O517="","",IFERROR(1/(1/(IF(K517="",INDEX(CONFIG!$F$5:$F$14,MATCH(D517,CONFIG!$D$5:$D$14,0)),K517)*IF(M517="",INDEX(CONFIG!$H$5:$H$14,MATCH(D517,CONFIG!$D$5:$D$14,0)),M517))),""))</f>
        <v/>
      </c>
      <c r="Q517" s="16" t="str">
        <f aca="false">IF(OR(O517="",P517=""),"",O517/P517)</f>
        <v/>
      </c>
      <c r="R517" s="16" t="str">
        <f aca="false">IF(Q517="","",Q517*0.0980665)</f>
        <v/>
      </c>
      <c r="S517" s="16" t="str">
        <f aca="false">IF(Q517="","",IFERROR(Q517/(1/(1/INDEX(CONFIG!$I$5:$I$14,MATCH(D517,CONFIG!$D$5:$D$14,0)))),""))</f>
        <v/>
      </c>
      <c r="T517" s="13"/>
      <c r="U517" s="13"/>
      <c r="V517" s="13"/>
      <c r="W517" s="13"/>
      <c r="X517" s="22" t="str">
        <f aca="false">IF(Q517="","",Q517^2)</f>
        <v/>
      </c>
      <c r="Y517" s="22" t="str">
        <f aca="false">IF(AND(C517&lt;&gt;"",C517=CERTIFICADO!$E$4,OR(CERTIFICADO!$E$5="",B517=CERTIFICADO!$E$5)),MAX($Y$4:Y516)+1,"")</f>
        <v/>
      </c>
    </row>
    <row r="518" customFormat="false" ht="15" hidden="false" customHeight="false" outlineLevel="0" collapsed="false">
      <c r="A518" s="11" t="str">
        <f aca="false">IF(C518="","",ROW()-4)</f>
        <v/>
      </c>
      <c r="B518" s="12"/>
      <c r="C518" s="13"/>
      <c r="D518" s="23" t="str">
        <f aca="false">IF(C518="","",IFERROR(INDEX(LOTES!$D$5:$D$1004,MATCH(C518,LOTES!$F$5:$F$1004,0)),"¿Lote?"))</f>
        <v/>
      </c>
      <c r="E518" s="11" t="str">
        <f aca="false">IF(C518="","",IFERROR(INDEX(LOTES!$C$5:$C$1004,MATCH(C518,LOTES!$F$5:$F$1004,0)),""))</f>
        <v/>
      </c>
      <c r="F518" s="24" t="str">
        <f aca="false">IF(C518="","",IFERROR(INDEX(LOTES!$B$5:$B$1004,MATCH(C518,LOTES!$F$5:$F$1004,0)),""))</f>
        <v/>
      </c>
      <c r="G518" s="15" t="str">
        <f aca="false">IF(OR(B518="",F518=""),"",B518-F518)</f>
        <v/>
      </c>
      <c r="H518" s="13"/>
      <c r="I518" s="13"/>
      <c r="J518" s="13"/>
      <c r="K518" s="25"/>
      <c r="L518" s="25"/>
      <c r="M518" s="25"/>
      <c r="N518" s="25"/>
      <c r="O518" s="26"/>
      <c r="P518" s="16" t="str">
        <f aca="false">IF(O518="","",IFERROR(1/(1/(IF(K518="",INDEX(CONFIG!$F$5:$F$14,MATCH(D518,CONFIG!$D$5:$D$14,0)),K518)*IF(M518="",INDEX(CONFIG!$H$5:$H$14,MATCH(D518,CONFIG!$D$5:$D$14,0)),M518))),""))</f>
        <v/>
      </c>
      <c r="Q518" s="16" t="str">
        <f aca="false">IF(OR(O518="",P518=""),"",O518/P518)</f>
        <v/>
      </c>
      <c r="R518" s="16" t="str">
        <f aca="false">IF(Q518="","",Q518*0.0980665)</f>
        <v/>
      </c>
      <c r="S518" s="16" t="str">
        <f aca="false">IF(Q518="","",IFERROR(Q518/(1/(1/INDEX(CONFIG!$I$5:$I$14,MATCH(D518,CONFIG!$D$5:$D$14,0)))),""))</f>
        <v/>
      </c>
      <c r="T518" s="13"/>
      <c r="U518" s="13"/>
      <c r="V518" s="13"/>
      <c r="W518" s="13"/>
      <c r="X518" s="22" t="str">
        <f aca="false">IF(Q518="","",Q518^2)</f>
        <v/>
      </c>
      <c r="Y518" s="22" t="str">
        <f aca="false">IF(AND(C518&lt;&gt;"",C518=CERTIFICADO!$E$4,OR(CERTIFICADO!$E$5="",B518=CERTIFICADO!$E$5)),MAX($Y$4:Y517)+1,"")</f>
        <v/>
      </c>
    </row>
    <row r="519" customFormat="false" ht="15" hidden="false" customHeight="false" outlineLevel="0" collapsed="false">
      <c r="A519" s="11" t="str">
        <f aca="false">IF(C519="","",ROW()-4)</f>
        <v/>
      </c>
      <c r="B519" s="12"/>
      <c r="C519" s="13"/>
      <c r="D519" s="23" t="str">
        <f aca="false">IF(C519="","",IFERROR(INDEX(LOTES!$D$5:$D$1004,MATCH(C519,LOTES!$F$5:$F$1004,0)),"¿Lote?"))</f>
        <v/>
      </c>
      <c r="E519" s="11" t="str">
        <f aca="false">IF(C519="","",IFERROR(INDEX(LOTES!$C$5:$C$1004,MATCH(C519,LOTES!$F$5:$F$1004,0)),""))</f>
        <v/>
      </c>
      <c r="F519" s="24" t="str">
        <f aca="false">IF(C519="","",IFERROR(INDEX(LOTES!$B$5:$B$1004,MATCH(C519,LOTES!$F$5:$F$1004,0)),""))</f>
        <v/>
      </c>
      <c r="G519" s="15" t="str">
        <f aca="false">IF(OR(B519="",F519=""),"",B519-F519)</f>
        <v/>
      </c>
      <c r="H519" s="13"/>
      <c r="I519" s="13"/>
      <c r="J519" s="13"/>
      <c r="K519" s="25"/>
      <c r="L519" s="25"/>
      <c r="M519" s="25"/>
      <c r="N519" s="25"/>
      <c r="O519" s="26"/>
      <c r="P519" s="16" t="str">
        <f aca="false">IF(O519="","",IFERROR(1/(1/(IF(K519="",INDEX(CONFIG!$F$5:$F$14,MATCH(D519,CONFIG!$D$5:$D$14,0)),K519)*IF(M519="",INDEX(CONFIG!$H$5:$H$14,MATCH(D519,CONFIG!$D$5:$D$14,0)),M519))),""))</f>
        <v/>
      </c>
      <c r="Q519" s="16" t="str">
        <f aca="false">IF(OR(O519="",P519=""),"",O519/P519)</f>
        <v/>
      </c>
      <c r="R519" s="16" t="str">
        <f aca="false">IF(Q519="","",Q519*0.0980665)</f>
        <v/>
      </c>
      <c r="S519" s="16" t="str">
        <f aca="false">IF(Q519="","",IFERROR(Q519/(1/(1/INDEX(CONFIG!$I$5:$I$14,MATCH(D519,CONFIG!$D$5:$D$14,0)))),""))</f>
        <v/>
      </c>
      <c r="T519" s="13"/>
      <c r="U519" s="13"/>
      <c r="V519" s="13"/>
      <c r="W519" s="13"/>
      <c r="X519" s="22" t="str">
        <f aca="false">IF(Q519="","",Q519^2)</f>
        <v/>
      </c>
      <c r="Y519" s="22" t="str">
        <f aca="false">IF(AND(C519&lt;&gt;"",C519=CERTIFICADO!$E$4,OR(CERTIFICADO!$E$5="",B519=CERTIFICADO!$E$5)),MAX($Y$4:Y518)+1,"")</f>
        <v/>
      </c>
    </row>
    <row r="520" customFormat="false" ht="15" hidden="false" customHeight="false" outlineLevel="0" collapsed="false">
      <c r="A520" s="11" t="str">
        <f aca="false">IF(C520="","",ROW()-4)</f>
        <v/>
      </c>
      <c r="B520" s="12"/>
      <c r="C520" s="13"/>
      <c r="D520" s="23" t="str">
        <f aca="false">IF(C520="","",IFERROR(INDEX(LOTES!$D$5:$D$1004,MATCH(C520,LOTES!$F$5:$F$1004,0)),"¿Lote?"))</f>
        <v/>
      </c>
      <c r="E520" s="11" t="str">
        <f aca="false">IF(C520="","",IFERROR(INDEX(LOTES!$C$5:$C$1004,MATCH(C520,LOTES!$F$5:$F$1004,0)),""))</f>
        <v/>
      </c>
      <c r="F520" s="24" t="str">
        <f aca="false">IF(C520="","",IFERROR(INDEX(LOTES!$B$5:$B$1004,MATCH(C520,LOTES!$F$5:$F$1004,0)),""))</f>
        <v/>
      </c>
      <c r="G520" s="15" t="str">
        <f aca="false">IF(OR(B520="",F520=""),"",B520-F520)</f>
        <v/>
      </c>
      <c r="H520" s="13"/>
      <c r="I520" s="13"/>
      <c r="J520" s="13"/>
      <c r="K520" s="25"/>
      <c r="L520" s="25"/>
      <c r="M520" s="25"/>
      <c r="N520" s="25"/>
      <c r="O520" s="26"/>
      <c r="P520" s="16" t="str">
        <f aca="false">IF(O520="","",IFERROR(1/(1/(IF(K520="",INDEX(CONFIG!$F$5:$F$14,MATCH(D520,CONFIG!$D$5:$D$14,0)),K520)*IF(M520="",INDEX(CONFIG!$H$5:$H$14,MATCH(D520,CONFIG!$D$5:$D$14,0)),M520))),""))</f>
        <v/>
      </c>
      <c r="Q520" s="16" t="str">
        <f aca="false">IF(OR(O520="",P520=""),"",O520/P520)</f>
        <v/>
      </c>
      <c r="R520" s="16" t="str">
        <f aca="false">IF(Q520="","",Q520*0.0980665)</f>
        <v/>
      </c>
      <c r="S520" s="16" t="str">
        <f aca="false">IF(Q520="","",IFERROR(Q520/(1/(1/INDEX(CONFIG!$I$5:$I$14,MATCH(D520,CONFIG!$D$5:$D$14,0)))),""))</f>
        <v/>
      </c>
      <c r="T520" s="13"/>
      <c r="U520" s="13"/>
      <c r="V520" s="13"/>
      <c r="W520" s="13"/>
      <c r="X520" s="22" t="str">
        <f aca="false">IF(Q520="","",Q520^2)</f>
        <v/>
      </c>
      <c r="Y520" s="22" t="str">
        <f aca="false">IF(AND(C520&lt;&gt;"",C520=CERTIFICADO!$E$4,OR(CERTIFICADO!$E$5="",B520=CERTIFICADO!$E$5)),MAX($Y$4:Y519)+1,"")</f>
        <v/>
      </c>
    </row>
    <row r="521" customFormat="false" ht="15" hidden="false" customHeight="false" outlineLevel="0" collapsed="false">
      <c r="A521" s="11" t="str">
        <f aca="false">IF(C521="","",ROW()-4)</f>
        <v/>
      </c>
      <c r="B521" s="12"/>
      <c r="C521" s="13"/>
      <c r="D521" s="23" t="str">
        <f aca="false">IF(C521="","",IFERROR(INDEX(LOTES!$D$5:$D$1004,MATCH(C521,LOTES!$F$5:$F$1004,0)),"¿Lote?"))</f>
        <v/>
      </c>
      <c r="E521" s="11" t="str">
        <f aca="false">IF(C521="","",IFERROR(INDEX(LOTES!$C$5:$C$1004,MATCH(C521,LOTES!$F$5:$F$1004,0)),""))</f>
        <v/>
      </c>
      <c r="F521" s="24" t="str">
        <f aca="false">IF(C521="","",IFERROR(INDEX(LOTES!$B$5:$B$1004,MATCH(C521,LOTES!$F$5:$F$1004,0)),""))</f>
        <v/>
      </c>
      <c r="G521" s="15" t="str">
        <f aca="false">IF(OR(B521="",F521=""),"",B521-F521)</f>
        <v/>
      </c>
      <c r="H521" s="13"/>
      <c r="I521" s="13"/>
      <c r="J521" s="13"/>
      <c r="K521" s="25"/>
      <c r="L521" s="25"/>
      <c r="M521" s="25"/>
      <c r="N521" s="25"/>
      <c r="O521" s="26"/>
      <c r="P521" s="16" t="str">
        <f aca="false">IF(O521="","",IFERROR(1/(1/(IF(K521="",INDEX(CONFIG!$F$5:$F$14,MATCH(D521,CONFIG!$D$5:$D$14,0)),K521)*IF(M521="",INDEX(CONFIG!$H$5:$H$14,MATCH(D521,CONFIG!$D$5:$D$14,0)),M521))),""))</f>
        <v/>
      </c>
      <c r="Q521" s="16" t="str">
        <f aca="false">IF(OR(O521="",P521=""),"",O521/P521)</f>
        <v/>
      </c>
      <c r="R521" s="16" t="str">
        <f aca="false">IF(Q521="","",Q521*0.0980665)</f>
        <v/>
      </c>
      <c r="S521" s="16" t="str">
        <f aca="false">IF(Q521="","",IFERROR(Q521/(1/(1/INDEX(CONFIG!$I$5:$I$14,MATCH(D521,CONFIG!$D$5:$D$14,0)))),""))</f>
        <v/>
      </c>
      <c r="T521" s="13"/>
      <c r="U521" s="13"/>
      <c r="V521" s="13"/>
      <c r="W521" s="13"/>
      <c r="X521" s="22" t="str">
        <f aca="false">IF(Q521="","",Q521^2)</f>
        <v/>
      </c>
      <c r="Y521" s="22" t="str">
        <f aca="false">IF(AND(C521&lt;&gt;"",C521=CERTIFICADO!$E$4,OR(CERTIFICADO!$E$5="",B521=CERTIFICADO!$E$5)),MAX($Y$4:Y520)+1,"")</f>
        <v/>
      </c>
    </row>
    <row r="522" customFormat="false" ht="15" hidden="false" customHeight="false" outlineLevel="0" collapsed="false">
      <c r="A522" s="11" t="str">
        <f aca="false">IF(C522="","",ROW()-4)</f>
        <v/>
      </c>
      <c r="B522" s="12"/>
      <c r="C522" s="13"/>
      <c r="D522" s="23" t="str">
        <f aca="false">IF(C522="","",IFERROR(INDEX(LOTES!$D$5:$D$1004,MATCH(C522,LOTES!$F$5:$F$1004,0)),"¿Lote?"))</f>
        <v/>
      </c>
      <c r="E522" s="11" t="str">
        <f aca="false">IF(C522="","",IFERROR(INDEX(LOTES!$C$5:$C$1004,MATCH(C522,LOTES!$F$5:$F$1004,0)),""))</f>
        <v/>
      </c>
      <c r="F522" s="24" t="str">
        <f aca="false">IF(C522="","",IFERROR(INDEX(LOTES!$B$5:$B$1004,MATCH(C522,LOTES!$F$5:$F$1004,0)),""))</f>
        <v/>
      </c>
      <c r="G522" s="15" t="str">
        <f aca="false">IF(OR(B522="",F522=""),"",B522-F522)</f>
        <v/>
      </c>
      <c r="H522" s="13"/>
      <c r="I522" s="13"/>
      <c r="J522" s="13"/>
      <c r="K522" s="25"/>
      <c r="L522" s="25"/>
      <c r="M522" s="25"/>
      <c r="N522" s="25"/>
      <c r="O522" s="26"/>
      <c r="P522" s="16" t="str">
        <f aca="false">IF(O522="","",IFERROR(1/(1/(IF(K522="",INDEX(CONFIG!$F$5:$F$14,MATCH(D522,CONFIG!$D$5:$D$14,0)),K522)*IF(M522="",INDEX(CONFIG!$H$5:$H$14,MATCH(D522,CONFIG!$D$5:$D$14,0)),M522))),""))</f>
        <v/>
      </c>
      <c r="Q522" s="16" t="str">
        <f aca="false">IF(OR(O522="",P522=""),"",O522/P522)</f>
        <v/>
      </c>
      <c r="R522" s="16" t="str">
        <f aca="false">IF(Q522="","",Q522*0.0980665)</f>
        <v/>
      </c>
      <c r="S522" s="16" t="str">
        <f aca="false">IF(Q522="","",IFERROR(Q522/(1/(1/INDEX(CONFIG!$I$5:$I$14,MATCH(D522,CONFIG!$D$5:$D$14,0)))),""))</f>
        <v/>
      </c>
      <c r="T522" s="13"/>
      <c r="U522" s="13"/>
      <c r="V522" s="13"/>
      <c r="W522" s="13"/>
      <c r="X522" s="22" t="str">
        <f aca="false">IF(Q522="","",Q522^2)</f>
        <v/>
      </c>
      <c r="Y522" s="22" t="str">
        <f aca="false">IF(AND(C522&lt;&gt;"",C522=CERTIFICADO!$E$4,OR(CERTIFICADO!$E$5="",B522=CERTIFICADO!$E$5)),MAX($Y$4:Y521)+1,"")</f>
        <v/>
      </c>
    </row>
    <row r="523" customFormat="false" ht="15" hidden="false" customHeight="false" outlineLevel="0" collapsed="false">
      <c r="A523" s="11" t="str">
        <f aca="false">IF(C523="","",ROW()-4)</f>
        <v/>
      </c>
      <c r="B523" s="12"/>
      <c r="C523" s="13"/>
      <c r="D523" s="23" t="str">
        <f aca="false">IF(C523="","",IFERROR(INDEX(LOTES!$D$5:$D$1004,MATCH(C523,LOTES!$F$5:$F$1004,0)),"¿Lote?"))</f>
        <v/>
      </c>
      <c r="E523" s="11" t="str">
        <f aca="false">IF(C523="","",IFERROR(INDEX(LOTES!$C$5:$C$1004,MATCH(C523,LOTES!$F$5:$F$1004,0)),""))</f>
        <v/>
      </c>
      <c r="F523" s="24" t="str">
        <f aca="false">IF(C523="","",IFERROR(INDEX(LOTES!$B$5:$B$1004,MATCH(C523,LOTES!$F$5:$F$1004,0)),""))</f>
        <v/>
      </c>
      <c r="G523" s="15" t="str">
        <f aca="false">IF(OR(B523="",F523=""),"",B523-F523)</f>
        <v/>
      </c>
      <c r="H523" s="13"/>
      <c r="I523" s="13"/>
      <c r="J523" s="13"/>
      <c r="K523" s="25"/>
      <c r="L523" s="25"/>
      <c r="M523" s="25"/>
      <c r="N523" s="25"/>
      <c r="O523" s="26"/>
      <c r="P523" s="16" t="str">
        <f aca="false">IF(O523="","",IFERROR(1/(1/(IF(K523="",INDEX(CONFIG!$F$5:$F$14,MATCH(D523,CONFIG!$D$5:$D$14,0)),K523)*IF(M523="",INDEX(CONFIG!$H$5:$H$14,MATCH(D523,CONFIG!$D$5:$D$14,0)),M523))),""))</f>
        <v/>
      </c>
      <c r="Q523" s="16" t="str">
        <f aca="false">IF(OR(O523="",P523=""),"",O523/P523)</f>
        <v/>
      </c>
      <c r="R523" s="16" t="str">
        <f aca="false">IF(Q523="","",Q523*0.0980665)</f>
        <v/>
      </c>
      <c r="S523" s="16" t="str">
        <f aca="false">IF(Q523="","",IFERROR(Q523/(1/(1/INDEX(CONFIG!$I$5:$I$14,MATCH(D523,CONFIG!$D$5:$D$14,0)))),""))</f>
        <v/>
      </c>
      <c r="T523" s="13"/>
      <c r="U523" s="13"/>
      <c r="V523" s="13"/>
      <c r="W523" s="13"/>
      <c r="X523" s="22" t="str">
        <f aca="false">IF(Q523="","",Q523^2)</f>
        <v/>
      </c>
      <c r="Y523" s="22" t="str">
        <f aca="false">IF(AND(C523&lt;&gt;"",C523=CERTIFICADO!$E$4,OR(CERTIFICADO!$E$5="",B523=CERTIFICADO!$E$5)),MAX($Y$4:Y522)+1,"")</f>
        <v/>
      </c>
    </row>
    <row r="524" customFormat="false" ht="15" hidden="false" customHeight="false" outlineLevel="0" collapsed="false">
      <c r="A524" s="11" t="str">
        <f aca="false">IF(C524="","",ROW()-4)</f>
        <v/>
      </c>
      <c r="B524" s="12"/>
      <c r="C524" s="13"/>
      <c r="D524" s="23" t="str">
        <f aca="false">IF(C524="","",IFERROR(INDEX(LOTES!$D$5:$D$1004,MATCH(C524,LOTES!$F$5:$F$1004,0)),"¿Lote?"))</f>
        <v/>
      </c>
      <c r="E524" s="11" t="str">
        <f aca="false">IF(C524="","",IFERROR(INDEX(LOTES!$C$5:$C$1004,MATCH(C524,LOTES!$F$5:$F$1004,0)),""))</f>
        <v/>
      </c>
      <c r="F524" s="24" t="str">
        <f aca="false">IF(C524="","",IFERROR(INDEX(LOTES!$B$5:$B$1004,MATCH(C524,LOTES!$F$5:$F$1004,0)),""))</f>
        <v/>
      </c>
      <c r="G524" s="15" t="str">
        <f aca="false">IF(OR(B524="",F524=""),"",B524-F524)</f>
        <v/>
      </c>
      <c r="H524" s="13"/>
      <c r="I524" s="13"/>
      <c r="J524" s="13"/>
      <c r="K524" s="25"/>
      <c r="L524" s="25"/>
      <c r="M524" s="25"/>
      <c r="N524" s="25"/>
      <c r="O524" s="26"/>
      <c r="P524" s="16" t="str">
        <f aca="false">IF(O524="","",IFERROR(1/(1/(IF(K524="",INDEX(CONFIG!$F$5:$F$14,MATCH(D524,CONFIG!$D$5:$D$14,0)),K524)*IF(M524="",INDEX(CONFIG!$H$5:$H$14,MATCH(D524,CONFIG!$D$5:$D$14,0)),M524))),""))</f>
        <v/>
      </c>
      <c r="Q524" s="16" t="str">
        <f aca="false">IF(OR(O524="",P524=""),"",O524/P524)</f>
        <v/>
      </c>
      <c r="R524" s="16" t="str">
        <f aca="false">IF(Q524="","",Q524*0.0980665)</f>
        <v/>
      </c>
      <c r="S524" s="16" t="str">
        <f aca="false">IF(Q524="","",IFERROR(Q524/(1/(1/INDEX(CONFIG!$I$5:$I$14,MATCH(D524,CONFIG!$D$5:$D$14,0)))),""))</f>
        <v/>
      </c>
      <c r="T524" s="13"/>
      <c r="U524" s="13"/>
      <c r="V524" s="13"/>
      <c r="W524" s="13"/>
      <c r="X524" s="22" t="str">
        <f aca="false">IF(Q524="","",Q524^2)</f>
        <v/>
      </c>
      <c r="Y524" s="22" t="str">
        <f aca="false">IF(AND(C524&lt;&gt;"",C524=CERTIFICADO!$E$4,OR(CERTIFICADO!$E$5="",B524=CERTIFICADO!$E$5)),MAX($Y$4:Y523)+1,"")</f>
        <v/>
      </c>
    </row>
    <row r="525" customFormat="false" ht="15" hidden="false" customHeight="false" outlineLevel="0" collapsed="false">
      <c r="A525" s="11" t="str">
        <f aca="false">IF(C525="","",ROW()-4)</f>
        <v/>
      </c>
      <c r="B525" s="12"/>
      <c r="C525" s="13"/>
      <c r="D525" s="23" t="str">
        <f aca="false">IF(C525="","",IFERROR(INDEX(LOTES!$D$5:$D$1004,MATCH(C525,LOTES!$F$5:$F$1004,0)),"¿Lote?"))</f>
        <v/>
      </c>
      <c r="E525" s="11" t="str">
        <f aca="false">IF(C525="","",IFERROR(INDEX(LOTES!$C$5:$C$1004,MATCH(C525,LOTES!$F$5:$F$1004,0)),""))</f>
        <v/>
      </c>
      <c r="F525" s="24" t="str">
        <f aca="false">IF(C525="","",IFERROR(INDEX(LOTES!$B$5:$B$1004,MATCH(C525,LOTES!$F$5:$F$1004,0)),""))</f>
        <v/>
      </c>
      <c r="G525" s="15" t="str">
        <f aca="false">IF(OR(B525="",F525=""),"",B525-F525)</f>
        <v/>
      </c>
      <c r="H525" s="13"/>
      <c r="I525" s="13"/>
      <c r="J525" s="13"/>
      <c r="K525" s="25"/>
      <c r="L525" s="25"/>
      <c r="M525" s="25"/>
      <c r="N525" s="25"/>
      <c r="O525" s="26"/>
      <c r="P525" s="16" t="str">
        <f aca="false">IF(O525="","",IFERROR(1/(1/(IF(K525="",INDEX(CONFIG!$F$5:$F$14,MATCH(D525,CONFIG!$D$5:$D$14,0)),K525)*IF(M525="",INDEX(CONFIG!$H$5:$H$14,MATCH(D525,CONFIG!$D$5:$D$14,0)),M525))),""))</f>
        <v/>
      </c>
      <c r="Q525" s="16" t="str">
        <f aca="false">IF(OR(O525="",P525=""),"",O525/P525)</f>
        <v/>
      </c>
      <c r="R525" s="16" t="str">
        <f aca="false">IF(Q525="","",Q525*0.0980665)</f>
        <v/>
      </c>
      <c r="S525" s="16" t="str">
        <f aca="false">IF(Q525="","",IFERROR(Q525/(1/(1/INDEX(CONFIG!$I$5:$I$14,MATCH(D525,CONFIG!$D$5:$D$14,0)))),""))</f>
        <v/>
      </c>
      <c r="T525" s="13"/>
      <c r="U525" s="13"/>
      <c r="V525" s="13"/>
      <c r="W525" s="13"/>
      <c r="X525" s="22" t="str">
        <f aca="false">IF(Q525="","",Q525^2)</f>
        <v/>
      </c>
      <c r="Y525" s="22" t="str">
        <f aca="false">IF(AND(C525&lt;&gt;"",C525=CERTIFICADO!$E$4,OR(CERTIFICADO!$E$5="",B525=CERTIFICADO!$E$5)),MAX($Y$4:Y524)+1,"")</f>
        <v/>
      </c>
    </row>
    <row r="526" customFormat="false" ht="15" hidden="false" customHeight="false" outlineLevel="0" collapsed="false">
      <c r="A526" s="11" t="str">
        <f aca="false">IF(C526="","",ROW()-4)</f>
        <v/>
      </c>
      <c r="B526" s="12"/>
      <c r="C526" s="13"/>
      <c r="D526" s="23" t="str">
        <f aca="false">IF(C526="","",IFERROR(INDEX(LOTES!$D$5:$D$1004,MATCH(C526,LOTES!$F$5:$F$1004,0)),"¿Lote?"))</f>
        <v/>
      </c>
      <c r="E526" s="11" t="str">
        <f aca="false">IF(C526="","",IFERROR(INDEX(LOTES!$C$5:$C$1004,MATCH(C526,LOTES!$F$5:$F$1004,0)),""))</f>
        <v/>
      </c>
      <c r="F526" s="24" t="str">
        <f aca="false">IF(C526="","",IFERROR(INDEX(LOTES!$B$5:$B$1004,MATCH(C526,LOTES!$F$5:$F$1004,0)),""))</f>
        <v/>
      </c>
      <c r="G526" s="15" t="str">
        <f aca="false">IF(OR(B526="",F526=""),"",B526-F526)</f>
        <v/>
      </c>
      <c r="H526" s="13"/>
      <c r="I526" s="13"/>
      <c r="J526" s="13"/>
      <c r="K526" s="25"/>
      <c r="L526" s="25"/>
      <c r="M526" s="25"/>
      <c r="N526" s="25"/>
      <c r="O526" s="26"/>
      <c r="P526" s="16" t="str">
        <f aca="false">IF(O526="","",IFERROR(1/(1/(IF(K526="",INDEX(CONFIG!$F$5:$F$14,MATCH(D526,CONFIG!$D$5:$D$14,0)),K526)*IF(M526="",INDEX(CONFIG!$H$5:$H$14,MATCH(D526,CONFIG!$D$5:$D$14,0)),M526))),""))</f>
        <v/>
      </c>
      <c r="Q526" s="16" t="str">
        <f aca="false">IF(OR(O526="",P526=""),"",O526/P526)</f>
        <v/>
      </c>
      <c r="R526" s="16" t="str">
        <f aca="false">IF(Q526="","",Q526*0.0980665)</f>
        <v/>
      </c>
      <c r="S526" s="16" t="str">
        <f aca="false">IF(Q526="","",IFERROR(Q526/(1/(1/INDEX(CONFIG!$I$5:$I$14,MATCH(D526,CONFIG!$D$5:$D$14,0)))),""))</f>
        <v/>
      </c>
      <c r="T526" s="13"/>
      <c r="U526" s="13"/>
      <c r="V526" s="13"/>
      <c r="W526" s="13"/>
      <c r="X526" s="22" t="str">
        <f aca="false">IF(Q526="","",Q526^2)</f>
        <v/>
      </c>
      <c r="Y526" s="22" t="str">
        <f aca="false">IF(AND(C526&lt;&gt;"",C526=CERTIFICADO!$E$4,OR(CERTIFICADO!$E$5="",B526=CERTIFICADO!$E$5)),MAX($Y$4:Y525)+1,"")</f>
        <v/>
      </c>
    </row>
    <row r="527" customFormat="false" ht="15" hidden="false" customHeight="false" outlineLevel="0" collapsed="false">
      <c r="A527" s="11" t="str">
        <f aca="false">IF(C527="","",ROW()-4)</f>
        <v/>
      </c>
      <c r="B527" s="12"/>
      <c r="C527" s="13"/>
      <c r="D527" s="23" t="str">
        <f aca="false">IF(C527="","",IFERROR(INDEX(LOTES!$D$5:$D$1004,MATCH(C527,LOTES!$F$5:$F$1004,0)),"¿Lote?"))</f>
        <v/>
      </c>
      <c r="E527" s="11" t="str">
        <f aca="false">IF(C527="","",IFERROR(INDEX(LOTES!$C$5:$C$1004,MATCH(C527,LOTES!$F$5:$F$1004,0)),""))</f>
        <v/>
      </c>
      <c r="F527" s="24" t="str">
        <f aca="false">IF(C527="","",IFERROR(INDEX(LOTES!$B$5:$B$1004,MATCH(C527,LOTES!$F$5:$F$1004,0)),""))</f>
        <v/>
      </c>
      <c r="G527" s="15" t="str">
        <f aca="false">IF(OR(B527="",F527=""),"",B527-F527)</f>
        <v/>
      </c>
      <c r="H527" s="13"/>
      <c r="I527" s="13"/>
      <c r="J527" s="13"/>
      <c r="K527" s="25"/>
      <c r="L527" s="25"/>
      <c r="M527" s="25"/>
      <c r="N527" s="25"/>
      <c r="O527" s="26"/>
      <c r="P527" s="16" t="str">
        <f aca="false">IF(O527="","",IFERROR(1/(1/(IF(K527="",INDEX(CONFIG!$F$5:$F$14,MATCH(D527,CONFIG!$D$5:$D$14,0)),K527)*IF(M527="",INDEX(CONFIG!$H$5:$H$14,MATCH(D527,CONFIG!$D$5:$D$14,0)),M527))),""))</f>
        <v/>
      </c>
      <c r="Q527" s="16" t="str">
        <f aca="false">IF(OR(O527="",P527=""),"",O527/P527)</f>
        <v/>
      </c>
      <c r="R527" s="16" t="str">
        <f aca="false">IF(Q527="","",Q527*0.0980665)</f>
        <v/>
      </c>
      <c r="S527" s="16" t="str">
        <f aca="false">IF(Q527="","",IFERROR(Q527/(1/(1/INDEX(CONFIG!$I$5:$I$14,MATCH(D527,CONFIG!$D$5:$D$14,0)))),""))</f>
        <v/>
      </c>
      <c r="T527" s="13"/>
      <c r="U527" s="13"/>
      <c r="V527" s="13"/>
      <c r="W527" s="13"/>
      <c r="X527" s="22" t="str">
        <f aca="false">IF(Q527="","",Q527^2)</f>
        <v/>
      </c>
      <c r="Y527" s="22" t="str">
        <f aca="false">IF(AND(C527&lt;&gt;"",C527=CERTIFICADO!$E$4,OR(CERTIFICADO!$E$5="",B527=CERTIFICADO!$E$5)),MAX($Y$4:Y526)+1,"")</f>
        <v/>
      </c>
    </row>
    <row r="528" customFormat="false" ht="15" hidden="false" customHeight="false" outlineLevel="0" collapsed="false">
      <c r="A528" s="11" t="str">
        <f aca="false">IF(C528="","",ROW()-4)</f>
        <v/>
      </c>
      <c r="B528" s="12"/>
      <c r="C528" s="13"/>
      <c r="D528" s="23" t="str">
        <f aca="false">IF(C528="","",IFERROR(INDEX(LOTES!$D$5:$D$1004,MATCH(C528,LOTES!$F$5:$F$1004,0)),"¿Lote?"))</f>
        <v/>
      </c>
      <c r="E528" s="11" t="str">
        <f aca="false">IF(C528="","",IFERROR(INDEX(LOTES!$C$5:$C$1004,MATCH(C528,LOTES!$F$5:$F$1004,0)),""))</f>
        <v/>
      </c>
      <c r="F528" s="24" t="str">
        <f aca="false">IF(C528="","",IFERROR(INDEX(LOTES!$B$5:$B$1004,MATCH(C528,LOTES!$F$5:$F$1004,0)),""))</f>
        <v/>
      </c>
      <c r="G528" s="15" t="str">
        <f aca="false">IF(OR(B528="",F528=""),"",B528-F528)</f>
        <v/>
      </c>
      <c r="H528" s="13"/>
      <c r="I528" s="13"/>
      <c r="J528" s="13"/>
      <c r="K528" s="25"/>
      <c r="L528" s="25"/>
      <c r="M528" s="25"/>
      <c r="N528" s="25"/>
      <c r="O528" s="26"/>
      <c r="P528" s="16" t="str">
        <f aca="false">IF(O528="","",IFERROR(1/(1/(IF(K528="",INDEX(CONFIG!$F$5:$F$14,MATCH(D528,CONFIG!$D$5:$D$14,0)),K528)*IF(M528="",INDEX(CONFIG!$H$5:$H$14,MATCH(D528,CONFIG!$D$5:$D$14,0)),M528))),""))</f>
        <v/>
      </c>
      <c r="Q528" s="16" t="str">
        <f aca="false">IF(OR(O528="",P528=""),"",O528/P528)</f>
        <v/>
      </c>
      <c r="R528" s="16" t="str">
        <f aca="false">IF(Q528="","",Q528*0.0980665)</f>
        <v/>
      </c>
      <c r="S528" s="16" t="str">
        <f aca="false">IF(Q528="","",IFERROR(Q528/(1/(1/INDEX(CONFIG!$I$5:$I$14,MATCH(D528,CONFIG!$D$5:$D$14,0)))),""))</f>
        <v/>
      </c>
      <c r="T528" s="13"/>
      <c r="U528" s="13"/>
      <c r="V528" s="13"/>
      <c r="W528" s="13"/>
      <c r="X528" s="22" t="str">
        <f aca="false">IF(Q528="","",Q528^2)</f>
        <v/>
      </c>
      <c r="Y528" s="22" t="str">
        <f aca="false">IF(AND(C528&lt;&gt;"",C528=CERTIFICADO!$E$4,OR(CERTIFICADO!$E$5="",B528=CERTIFICADO!$E$5)),MAX($Y$4:Y527)+1,"")</f>
        <v/>
      </c>
    </row>
    <row r="529" customFormat="false" ht="15" hidden="false" customHeight="false" outlineLevel="0" collapsed="false">
      <c r="A529" s="11" t="str">
        <f aca="false">IF(C529="","",ROW()-4)</f>
        <v/>
      </c>
      <c r="B529" s="12"/>
      <c r="C529" s="13"/>
      <c r="D529" s="23" t="str">
        <f aca="false">IF(C529="","",IFERROR(INDEX(LOTES!$D$5:$D$1004,MATCH(C529,LOTES!$F$5:$F$1004,0)),"¿Lote?"))</f>
        <v/>
      </c>
      <c r="E529" s="11" t="str">
        <f aca="false">IF(C529="","",IFERROR(INDEX(LOTES!$C$5:$C$1004,MATCH(C529,LOTES!$F$5:$F$1004,0)),""))</f>
        <v/>
      </c>
      <c r="F529" s="24" t="str">
        <f aca="false">IF(C529="","",IFERROR(INDEX(LOTES!$B$5:$B$1004,MATCH(C529,LOTES!$F$5:$F$1004,0)),""))</f>
        <v/>
      </c>
      <c r="G529" s="15" t="str">
        <f aca="false">IF(OR(B529="",F529=""),"",B529-F529)</f>
        <v/>
      </c>
      <c r="H529" s="13"/>
      <c r="I529" s="13"/>
      <c r="J529" s="13"/>
      <c r="K529" s="25"/>
      <c r="L529" s="25"/>
      <c r="M529" s="25"/>
      <c r="N529" s="25"/>
      <c r="O529" s="26"/>
      <c r="P529" s="16" t="str">
        <f aca="false">IF(O529="","",IFERROR(1/(1/(IF(K529="",INDEX(CONFIG!$F$5:$F$14,MATCH(D529,CONFIG!$D$5:$D$14,0)),K529)*IF(M529="",INDEX(CONFIG!$H$5:$H$14,MATCH(D529,CONFIG!$D$5:$D$14,0)),M529))),""))</f>
        <v/>
      </c>
      <c r="Q529" s="16" t="str">
        <f aca="false">IF(OR(O529="",P529=""),"",O529/P529)</f>
        <v/>
      </c>
      <c r="R529" s="16" t="str">
        <f aca="false">IF(Q529="","",Q529*0.0980665)</f>
        <v/>
      </c>
      <c r="S529" s="16" t="str">
        <f aca="false">IF(Q529="","",IFERROR(Q529/(1/(1/INDEX(CONFIG!$I$5:$I$14,MATCH(D529,CONFIG!$D$5:$D$14,0)))),""))</f>
        <v/>
      </c>
      <c r="T529" s="13"/>
      <c r="U529" s="13"/>
      <c r="V529" s="13"/>
      <c r="W529" s="13"/>
      <c r="X529" s="22" t="str">
        <f aca="false">IF(Q529="","",Q529^2)</f>
        <v/>
      </c>
      <c r="Y529" s="22" t="str">
        <f aca="false">IF(AND(C529&lt;&gt;"",C529=CERTIFICADO!$E$4,OR(CERTIFICADO!$E$5="",B529=CERTIFICADO!$E$5)),MAX($Y$4:Y528)+1,"")</f>
        <v/>
      </c>
    </row>
    <row r="530" customFormat="false" ht="15" hidden="false" customHeight="false" outlineLevel="0" collapsed="false">
      <c r="A530" s="11" t="str">
        <f aca="false">IF(C530="","",ROW()-4)</f>
        <v/>
      </c>
      <c r="B530" s="12"/>
      <c r="C530" s="13"/>
      <c r="D530" s="23" t="str">
        <f aca="false">IF(C530="","",IFERROR(INDEX(LOTES!$D$5:$D$1004,MATCH(C530,LOTES!$F$5:$F$1004,0)),"¿Lote?"))</f>
        <v/>
      </c>
      <c r="E530" s="11" t="str">
        <f aca="false">IF(C530="","",IFERROR(INDEX(LOTES!$C$5:$C$1004,MATCH(C530,LOTES!$F$5:$F$1004,0)),""))</f>
        <v/>
      </c>
      <c r="F530" s="24" t="str">
        <f aca="false">IF(C530="","",IFERROR(INDEX(LOTES!$B$5:$B$1004,MATCH(C530,LOTES!$F$5:$F$1004,0)),""))</f>
        <v/>
      </c>
      <c r="G530" s="15" t="str">
        <f aca="false">IF(OR(B530="",F530=""),"",B530-F530)</f>
        <v/>
      </c>
      <c r="H530" s="13"/>
      <c r="I530" s="13"/>
      <c r="J530" s="13"/>
      <c r="K530" s="25"/>
      <c r="L530" s="25"/>
      <c r="M530" s="25"/>
      <c r="N530" s="25"/>
      <c r="O530" s="26"/>
      <c r="P530" s="16" t="str">
        <f aca="false">IF(O530="","",IFERROR(1/(1/(IF(K530="",INDEX(CONFIG!$F$5:$F$14,MATCH(D530,CONFIG!$D$5:$D$14,0)),K530)*IF(M530="",INDEX(CONFIG!$H$5:$H$14,MATCH(D530,CONFIG!$D$5:$D$14,0)),M530))),""))</f>
        <v/>
      </c>
      <c r="Q530" s="16" t="str">
        <f aca="false">IF(OR(O530="",P530=""),"",O530/P530)</f>
        <v/>
      </c>
      <c r="R530" s="16" t="str">
        <f aca="false">IF(Q530="","",Q530*0.0980665)</f>
        <v/>
      </c>
      <c r="S530" s="16" t="str">
        <f aca="false">IF(Q530="","",IFERROR(Q530/(1/(1/INDEX(CONFIG!$I$5:$I$14,MATCH(D530,CONFIG!$D$5:$D$14,0)))),""))</f>
        <v/>
      </c>
      <c r="T530" s="13"/>
      <c r="U530" s="13"/>
      <c r="V530" s="13"/>
      <c r="W530" s="13"/>
      <c r="X530" s="22" t="str">
        <f aca="false">IF(Q530="","",Q530^2)</f>
        <v/>
      </c>
      <c r="Y530" s="22" t="str">
        <f aca="false">IF(AND(C530&lt;&gt;"",C530=CERTIFICADO!$E$4,OR(CERTIFICADO!$E$5="",B530=CERTIFICADO!$E$5)),MAX($Y$4:Y529)+1,"")</f>
        <v/>
      </c>
    </row>
    <row r="531" customFormat="false" ht="15" hidden="false" customHeight="false" outlineLevel="0" collapsed="false">
      <c r="A531" s="11" t="str">
        <f aca="false">IF(C531="","",ROW()-4)</f>
        <v/>
      </c>
      <c r="B531" s="12"/>
      <c r="C531" s="13"/>
      <c r="D531" s="23" t="str">
        <f aca="false">IF(C531="","",IFERROR(INDEX(LOTES!$D$5:$D$1004,MATCH(C531,LOTES!$F$5:$F$1004,0)),"¿Lote?"))</f>
        <v/>
      </c>
      <c r="E531" s="11" t="str">
        <f aca="false">IF(C531="","",IFERROR(INDEX(LOTES!$C$5:$C$1004,MATCH(C531,LOTES!$F$5:$F$1004,0)),""))</f>
        <v/>
      </c>
      <c r="F531" s="24" t="str">
        <f aca="false">IF(C531="","",IFERROR(INDEX(LOTES!$B$5:$B$1004,MATCH(C531,LOTES!$F$5:$F$1004,0)),""))</f>
        <v/>
      </c>
      <c r="G531" s="15" t="str">
        <f aca="false">IF(OR(B531="",F531=""),"",B531-F531)</f>
        <v/>
      </c>
      <c r="H531" s="13"/>
      <c r="I531" s="13"/>
      <c r="J531" s="13"/>
      <c r="K531" s="25"/>
      <c r="L531" s="25"/>
      <c r="M531" s="25"/>
      <c r="N531" s="25"/>
      <c r="O531" s="26"/>
      <c r="P531" s="16" t="str">
        <f aca="false">IF(O531="","",IFERROR(1/(1/(IF(K531="",INDEX(CONFIG!$F$5:$F$14,MATCH(D531,CONFIG!$D$5:$D$14,0)),K531)*IF(M531="",INDEX(CONFIG!$H$5:$H$14,MATCH(D531,CONFIG!$D$5:$D$14,0)),M531))),""))</f>
        <v/>
      </c>
      <c r="Q531" s="16" t="str">
        <f aca="false">IF(OR(O531="",P531=""),"",O531/P531)</f>
        <v/>
      </c>
      <c r="R531" s="16" t="str">
        <f aca="false">IF(Q531="","",Q531*0.0980665)</f>
        <v/>
      </c>
      <c r="S531" s="16" t="str">
        <f aca="false">IF(Q531="","",IFERROR(Q531/(1/(1/INDEX(CONFIG!$I$5:$I$14,MATCH(D531,CONFIG!$D$5:$D$14,0)))),""))</f>
        <v/>
      </c>
      <c r="T531" s="13"/>
      <c r="U531" s="13"/>
      <c r="V531" s="13"/>
      <c r="W531" s="13"/>
      <c r="X531" s="22" t="str">
        <f aca="false">IF(Q531="","",Q531^2)</f>
        <v/>
      </c>
      <c r="Y531" s="22" t="str">
        <f aca="false">IF(AND(C531&lt;&gt;"",C531=CERTIFICADO!$E$4,OR(CERTIFICADO!$E$5="",B531=CERTIFICADO!$E$5)),MAX($Y$4:Y530)+1,"")</f>
        <v/>
      </c>
    </row>
    <row r="532" customFormat="false" ht="15" hidden="false" customHeight="false" outlineLevel="0" collapsed="false">
      <c r="A532" s="11" t="str">
        <f aca="false">IF(C532="","",ROW()-4)</f>
        <v/>
      </c>
      <c r="B532" s="12"/>
      <c r="C532" s="13"/>
      <c r="D532" s="23" t="str">
        <f aca="false">IF(C532="","",IFERROR(INDEX(LOTES!$D$5:$D$1004,MATCH(C532,LOTES!$F$5:$F$1004,0)),"¿Lote?"))</f>
        <v/>
      </c>
      <c r="E532" s="11" t="str">
        <f aca="false">IF(C532="","",IFERROR(INDEX(LOTES!$C$5:$C$1004,MATCH(C532,LOTES!$F$5:$F$1004,0)),""))</f>
        <v/>
      </c>
      <c r="F532" s="24" t="str">
        <f aca="false">IF(C532="","",IFERROR(INDEX(LOTES!$B$5:$B$1004,MATCH(C532,LOTES!$F$5:$F$1004,0)),""))</f>
        <v/>
      </c>
      <c r="G532" s="15" t="str">
        <f aca="false">IF(OR(B532="",F532=""),"",B532-F532)</f>
        <v/>
      </c>
      <c r="H532" s="13"/>
      <c r="I532" s="13"/>
      <c r="J532" s="13"/>
      <c r="K532" s="25"/>
      <c r="L532" s="25"/>
      <c r="M532" s="25"/>
      <c r="N532" s="25"/>
      <c r="O532" s="26"/>
      <c r="P532" s="16" t="str">
        <f aca="false">IF(O532="","",IFERROR(1/(1/(IF(K532="",INDEX(CONFIG!$F$5:$F$14,MATCH(D532,CONFIG!$D$5:$D$14,0)),K532)*IF(M532="",INDEX(CONFIG!$H$5:$H$14,MATCH(D532,CONFIG!$D$5:$D$14,0)),M532))),""))</f>
        <v/>
      </c>
      <c r="Q532" s="16" t="str">
        <f aca="false">IF(OR(O532="",P532=""),"",O532/P532)</f>
        <v/>
      </c>
      <c r="R532" s="16" t="str">
        <f aca="false">IF(Q532="","",Q532*0.0980665)</f>
        <v/>
      </c>
      <c r="S532" s="16" t="str">
        <f aca="false">IF(Q532="","",IFERROR(Q532/(1/(1/INDEX(CONFIG!$I$5:$I$14,MATCH(D532,CONFIG!$D$5:$D$14,0)))),""))</f>
        <v/>
      </c>
      <c r="T532" s="13"/>
      <c r="U532" s="13"/>
      <c r="V532" s="13"/>
      <c r="W532" s="13"/>
      <c r="X532" s="22" t="str">
        <f aca="false">IF(Q532="","",Q532^2)</f>
        <v/>
      </c>
      <c r="Y532" s="22" t="str">
        <f aca="false">IF(AND(C532&lt;&gt;"",C532=CERTIFICADO!$E$4,OR(CERTIFICADO!$E$5="",B532=CERTIFICADO!$E$5)),MAX($Y$4:Y531)+1,"")</f>
        <v/>
      </c>
    </row>
    <row r="533" customFormat="false" ht="15" hidden="false" customHeight="false" outlineLevel="0" collapsed="false">
      <c r="A533" s="11" t="str">
        <f aca="false">IF(C533="","",ROW()-4)</f>
        <v/>
      </c>
      <c r="B533" s="12"/>
      <c r="C533" s="13"/>
      <c r="D533" s="23" t="str">
        <f aca="false">IF(C533="","",IFERROR(INDEX(LOTES!$D$5:$D$1004,MATCH(C533,LOTES!$F$5:$F$1004,0)),"¿Lote?"))</f>
        <v/>
      </c>
      <c r="E533" s="11" t="str">
        <f aca="false">IF(C533="","",IFERROR(INDEX(LOTES!$C$5:$C$1004,MATCH(C533,LOTES!$F$5:$F$1004,0)),""))</f>
        <v/>
      </c>
      <c r="F533" s="24" t="str">
        <f aca="false">IF(C533="","",IFERROR(INDEX(LOTES!$B$5:$B$1004,MATCH(C533,LOTES!$F$5:$F$1004,0)),""))</f>
        <v/>
      </c>
      <c r="G533" s="15" t="str">
        <f aca="false">IF(OR(B533="",F533=""),"",B533-F533)</f>
        <v/>
      </c>
      <c r="H533" s="13"/>
      <c r="I533" s="13"/>
      <c r="J533" s="13"/>
      <c r="K533" s="25"/>
      <c r="L533" s="25"/>
      <c r="M533" s="25"/>
      <c r="N533" s="25"/>
      <c r="O533" s="26"/>
      <c r="P533" s="16" t="str">
        <f aca="false">IF(O533="","",IFERROR(1/(1/(IF(K533="",INDEX(CONFIG!$F$5:$F$14,MATCH(D533,CONFIG!$D$5:$D$14,0)),K533)*IF(M533="",INDEX(CONFIG!$H$5:$H$14,MATCH(D533,CONFIG!$D$5:$D$14,0)),M533))),""))</f>
        <v/>
      </c>
      <c r="Q533" s="16" t="str">
        <f aca="false">IF(OR(O533="",P533=""),"",O533/P533)</f>
        <v/>
      </c>
      <c r="R533" s="16" t="str">
        <f aca="false">IF(Q533="","",Q533*0.0980665)</f>
        <v/>
      </c>
      <c r="S533" s="16" t="str">
        <f aca="false">IF(Q533="","",IFERROR(Q533/(1/(1/INDEX(CONFIG!$I$5:$I$14,MATCH(D533,CONFIG!$D$5:$D$14,0)))),""))</f>
        <v/>
      </c>
      <c r="T533" s="13"/>
      <c r="U533" s="13"/>
      <c r="V533" s="13"/>
      <c r="W533" s="13"/>
      <c r="X533" s="22" t="str">
        <f aca="false">IF(Q533="","",Q533^2)</f>
        <v/>
      </c>
      <c r="Y533" s="22" t="str">
        <f aca="false">IF(AND(C533&lt;&gt;"",C533=CERTIFICADO!$E$4,OR(CERTIFICADO!$E$5="",B533=CERTIFICADO!$E$5)),MAX($Y$4:Y532)+1,"")</f>
        <v/>
      </c>
    </row>
    <row r="534" customFormat="false" ht="15" hidden="false" customHeight="false" outlineLevel="0" collapsed="false">
      <c r="A534" s="11" t="str">
        <f aca="false">IF(C534="","",ROW()-4)</f>
        <v/>
      </c>
      <c r="B534" s="12"/>
      <c r="C534" s="13"/>
      <c r="D534" s="23" t="str">
        <f aca="false">IF(C534="","",IFERROR(INDEX(LOTES!$D$5:$D$1004,MATCH(C534,LOTES!$F$5:$F$1004,0)),"¿Lote?"))</f>
        <v/>
      </c>
      <c r="E534" s="11" t="str">
        <f aca="false">IF(C534="","",IFERROR(INDEX(LOTES!$C$5:$C$1004,MATCH(C534,LOTES!$F$5:$F$1004,0)),""))</f>
        <v/>
      </c>
      <c r="F534" s="24" t="str">
        <f aca="false">IF(C534="","",IFERROR(INDEX(LOTES!$B$5:$B$1004,MATCH(C534,LOTES!$F$5:$F$1004,0)),""))</f>
        <v/>
      </c>
      <c r="G534" s="15" t="str">
        <f aca="false">IF(OR(B534="",F534=""),"",B534-F534)</f>
        <v/>
      </c>
      <c r="H534" s="13"/>
      <c r="I534" s="13"/>
      <c r="J534" s="13"/>
      <c r="K534" s="25"/>
      <c r="L534" s="25"/>
      <c r="M534" s="25"/>
      <c r="N534" s="25"/>
      <c r="O534" s="26"/>
      <c r="P534" s="16" t="str">
        <f aca="false">IF(O534="","",IFERROR(1/(1/(IF(K534="",INDEX(CONFIG!$F$5:$F$14,MATCH(D534,CONFIG!$D$5:$D$14,0)),K534)*IF(M534="",INDEX(CONFIG!$H$5:$H$14,MATCH(D534,CONFIG!$D$5:$D$14,0)),M534))),""))</f>
        <v/>
      </c>
      <c r="Q534" s="16" t="str">
        <f aca="false">IF(OR(O534="",P534=""),"",O534/P534)</f>
        <v/>
      </c>
      <c r="R534" s="16" t="str">
        <f aca="false">IF(Q534="","",Q534*0.0980665)</f>
        <v/>
      </c>
      <c r="S534" s="16" t="str">
        <f aca="false">IF(Q534="","",IFERROR(Q534/(1/(1/INDEX(CONFIG!$I$5:$I$14,MATCH(D534,CONFIG!$D$5:$D$14,0)))),""))</f>
        <v/>
      </c>
      <c r="T534" s="13"/>
      <c r="U534" s="13"/>
      <c r="V534" s="13"/>
      <c r="W534" s="13"/>
      <c r="X534" s="22" t="str">
        <f aca="false">IF(Q534="","",Q534^2)</f>
        <v/>
      </c>
      <c r="Y534" s="22" t="str">
        <f aca="false">IF(AND(C534&lt;&gt;"",C534=CERTIFICADO!$E$4,OR(CERTIFICADO!$E$5="",B534=CERTIFICADO!$E$5)),MAX($Y$4:Y533)+1,"")</f>
        <v/>
      </c>
    </row>
    <row r="535" customFormat="false" ht="15" hidden="false" customHeight="false" outlineLevel="0" collapsed="false">
      <c r="A535" s="11" t="str">
        <f aca="false">IF(C535="","",ROW()-4)</f>
        <v/>
      </c>
      <c r="B535" s="12"/>
      <c r="C535" s="13"/>
      <c r="D535" s="23" t="str">
        <f aca="false">IF(C535="","",IFERROR(INDEX(LOTES!$D$5:$D$1004,MATCH(C535,LOTES!$F$5:$F$1004,0)),"¿Lote?"))</f>
        <v/>
      </c>
      <c r="E535" s="11" t="str">
        <f aca="false">IF(C535="","",IFERROR(INDEX(LOTES!$C$5:$C$1004,MATCH(C535,LOTES!$F$5:$F$1004,0)),""))</f>
        <v/>
      </c>
      <c r="F535" s="24" t="str">
        <f aca="false">IF(C535="","",IFERROR(INDEX(LOTES!$B$5:$B$1004,MATCH(C535,LOTES!$F$5:$F$1004,0)),""))</f>
        <v/>
      </c>
      <c r="G535" s="15" t="str">
        <f aca="false">IF(OR(B535="",F535=""),"",B535-F535)</f>
        <v/>
      </c>
      <c r="H535" s="13"/>
      <c r="I535" s="13"/>
      <c r="J535" s="13"/>
      <c r="K535" s="25"/>
      <c r="L535" s="25"/>
      <c r="M535" s="25"/>
      <c r="N535" s="25"/>
      <c r="O535" s="26"/>
      <c r="P535" s="16" t="str">
        <f aca="false">IF(O535="","",IFERROR(1/(1/(IF(K535="",INDEX(CONFIG!$F$5:$F$14,MATCH(D535,CONFIG!$D$5:$D$14,0)),K535)*IF(M535="",INDEX(CONFIG!$H$5:$H$14,MATCH(D535,CONFIG!$D$5:$D$14,0)),M535))),""))</f>
        <v/>
      </c>
      <c r="Q535" s="16" t="str">
        <f aca="false">IF(OR(O535="",P535=""),"",O535/P535)</f>
        <v/>
      </c>
      <c r="R535" s="16" t="str">
        <f aca="false">IF(Q535="","",Q535*0.0980665)</f>
        <v/>
      </c>
      <c r="S535" s="16" t="str">
        <f aca="false">IF(Q535="","",IFERROR(Q535/(1/(1/INDEX(CONFIG!$I$5:$I$14,MATCH(D535,CONFIG!$D$5:$D$14,0)))),""))</f>
        <v/>
      </c>
      <c r="T535" s="13"/>
      <c r="U535" s="13"/>
      <c r="V535" s="13"/>
      <c r="W535" s="13"/>
      <c r="X535" s="22" t="str">
        <f aca="false">IF(Q535="","",Q535^2)</f>
        <v/>
      </c>
      <c r="Y535" s="22" t="str">
        <f aca="false">IF(AND(C535&lt;&gt;"",C535=CERTIFICADO!$E$4,OR(CERTIFICADO!$E$5="",B535=CERTIFICADO!$E$5)),MAX($Y$4:Y534)+1,"")</f>
        <v/>
      </c>
    </row>
    <row r="536" customFormat="false" ht="15" hidden="false" customHeight="false" outlineLevel="0" collapsed="false">
      <c r="A536" s="11" t="str">
        <f aca="false">IF(C536="","",ROW()-4)</f>
        <v/>
      </c>
      <c r="B536" s="12"/>
      <c r="C536" s="13"/>
      <c r="D536" s="23" t="str">
        <f aca="false">IF(C536="","",IFERROR(INDEX(LOTES!$D$5:$D$1004,MATCH(C536,LOTES!$F$5:$F$1004,0)),"¿Lote?"))</f>
        <v/>
      </c>
      <c r="E536" s="11" t="str">
        <f aca="false">IF(C536="","",IFERROR(INDEX(LOTES!$C$5:$C$1004,MATCH(C536,LOTES!$F$5:$F$1004,0)),""))</f>
        <v/>
      </c>
      <c r="F536" s="24" t="str">
        <f aca="false">IF(C536="","",IFERROR(INDEX(LOTES!$B$5:$B$1004,MATCH(C536,LOTES!$F$5:$F$1004,0)),""))</f>
        <v/>
      </c>
      <c r="G536" s="15" t="str">
        <f aca="false">IF(OR(B536="",F536=""),"",B536-F536)</f>
        <v/>
      </c>
      <c r="H536" s="13"/>
      <c r="I536" s="13"/>
      <c r="J536" s="13"/>
      <c r="K536" s="25"/>
      <c r="L536" s="25"/>
      <c r="M536" s="25"/>
      <c r="N536" s="25"/>
      <c r="O536" s="26"/>
      <c r="P536" s="16" t="str">
        <f aca="false">IF(O536="","",IFERROR(1/(1/(IF(K536="",INDEX(CONFIG!$F$5:$F$14,MATCH(D536,CONFIG!$D$5:$D$14,0)),K536)*IF(M536="",INDEX(CONFIG!$H$5:$H$14,MATCH(D536,CONFIG!$D$5:$D$14,0)),M536))),""))</f>
        <v/>
      </c>
      <c r="Q536" s="16" t="str">
        <f aca="false">IF(OR(O536="",P536=""),"",O536/P536)</f>
        <v/>
      </c>
      <c r="R536" s="16" t="str">
        <f aca="false">IF(Q536="","",Q536*0.0980665)</f>
        <v/>
      </c>
      <c r="S536" s="16" t="str">
        <f aca="false">IF(Q536="","",IFERROR(Q536/(1/(1/INDEX(CONFIG!$I$5:$I$14,MATCH(D536,CONFIG!$D$5:$D$14,0)))),""))</f>
        <v/>
      </c>
      <c r="T536" s="13"/>
      <c r="U536" s="13"/>
      <c r="V536" s="13"/>
      <c r="W536" s="13"/>
      <c r="X536" s="22" t="str">
        <f aca="false">IF(Q536="","",Q536^2)</f>
        <v/>
      </c>
      <c r="Y536" s="22" t="str">
        <f aca="false">IF(AND(C536&lt;&gt;"",C536=CERTIFICADO!$E$4,OR(CERTIFICADO!$E$5="",B536=CERTIFICADO!$E$5)),MAX($Y$4:Y535)+1,"")</f>
        <v/>
      </c>
    </row>
    <row r="537" customFormat="false" ht="15" hidden="false" customHeight="false" outlineLevel="0" collapsed="false">
      <c r="A537" s="11" t="str">
        <f aca="false">IF(C537="","",ROW()-4)</f>
        <v/>
      </c>
      <c r="B537" s="12"/>
      <c r="C537" s="13"/>
      <c r="D537" s="23" t="str">
        <f aca="false">IF(C537="","",IFERROR(INDEX(LOTES!$D$5:$D$1004,MATCH(C537,LOTES!$F$5:$F$1004,0)),"¿Lote?"))</f>
        <v/>
      </c>
      <c r="E537" s="11" t="str">
        <f aca="false">IF(C537="","",IFERROR(INDEX(LOTES!$C$5:$C$1004,MATCH(C537,LOTES!$F$5:$F$1004,0)),""))</f>
        <v/>
      </c>
      <c r="F537" s="24" t="str">
        <f aca="false">IF(C537="","",IFERROR(INDEX(LOTES!$B$5:$B$1004,MATCH(C537,LOTES!$F$5:$F$1004,0)),""))</f>
        <v/>
      </c>
      <c r="G537" s="15" t="str">
        <f aca="false">IF(OR(B537="",F537=""),"",B537-F537)</f>
        <v/>
      </c>
      <c r="H537" s="13"/>
      <c r="I537" s="13"/>
      <c r="J537" s="13"/>
      <c r="K537" s="25"/>
      <c r="L537" s="25"/>
      <c r="M537" s="25"/>
      <c r="N537" s="25"/>
      <c r="O537" s="26"/>
      <c r="P537" s="16" t="str">
        <f aca="false">IF(O537="","",IFERROR(1/(1/(IF(K537="",INDEX(CONFIG!$F$5:$F$14,MATCH(D537,CONFIG!$D$5:$D$14,0)),K537)*IF(M537="",INDEX(CONFIG!$H$5:$H$14,MATCH(D537,CONFIG!$D$5:$D$14,0)),M537))),""))</f>
        <v/>
      </c>
      <c r="Q537" s="16" t="str">
        <f aca="false">IF(OR(O537="",P537=""),"",O537/P537)</f>
        <v/>
      </c>
      <c r="R537" s="16" t="str">
        <f aca="false">IF(Q537="","",Q537*0.0980665)</f>
        <v/>
      </c>
      <c r="S537" s="16" t="str">
        <f aca="false">IF(Q537="","",IFERROR(Q537/(1/(1/INDEX(CONFIG!$I$5:$I$14,MATCH(D537,CONFIG!$D$5:$D$14,0)))),""))</f>
        <v/>
      </c>
      <c r="T537" s="13"/>
      <c r="U537" s="13"/>
      <c r="V537" s="13"/>
      <c r="W537" s="13"/>
      <c r="X537" s="22" t="str">
        <f aca="false">IF(Q537="","",Q537^2)</f>
        <v/>
      </c>
      <c r="Y537" s="22" t="str">
        <f aca="false">IF(AND(C537&lt;&gt;"",C537=CERTIFICADO!$E$4,OR(CERTIFICADO!$E$5="",B537=CERTIFICADO!$E$5)),MAX($Y$4:Y536)+1,"")</f>
        <v/>
      </c>
    </row>
    <row r="538" customFormat="false" ht="15" hidden="false" customHeight="false" outlineLevel="0" collapsed="false">
      <c r="A538" s="11" t="str">
        <f aca="false">IF(C538="","",ROW()-4)</f>
        <v/>
      </c>
      <c r="B538" s="12"/>
      <c r="C538" s="13"/>
      <c r="D538" s="23" t="str">
        <f aca="false">IF(C538="","",IFERROR(INDEX(LOTES!$D$5:$D$1004,MATCH(C538,LOTES!$F$5:$F$1004,0)),"¿Lote?"))</f>
        <v/>
      </c>
      <c r="E538" s="11" t="str">
        <f aca="false">IF(C538="","",IFERROR(INDEX(LOTES!$C$5:$C$1004,MATCH(C538,LOTES!$F$5:$F$1004,0)),""))</f>
        <v/>
      </c>
      <c r="F538" s="24" t="str">
        <f aca="false">IF(C538="","",IFERROR(INDEX(LOTES!$B$5:$B$1004,MATCH(C538,LOTES!$F$5:$F$1004,0)),""))</f>
        <v/>
      </c>
      <c r="G538" s="15" t="str">
        <f aca="false">IF(OR(B538="",F538=""),"",B538-F538)</f>
        <v/>
      </c>
      <c r="H538" s="13"/>
      <c r="I538" s="13"/>
      <c r="J538" s="13"/>
      <c r="K538" s="25"/>
      <c r="L538" s="25"/>
      <c r="M538" s="25"/>
      <c r="N538" s="25"/>
      <c r="O538" s="26"/>
      <c r="P538" s="16" t="str">
        <f aca="false">IF(O538="","",IFERROR(1/(1/(IF(K538="",INDEX(CONFIG!$F$5:$F$14,MATCH(D538,CONFIG!$D$5:$D$14,0)),K538)*IF(M538="",INDEX(CONFIG!$H$5:$H$14,MATCH(D538,CONFIG!$D$5:$D$14,0)),M538))),""))</f>
        <v/>
      </c>
      <c r="Q538" s="16" t="str">
        <f aca="false">IF(OR(O538="",P538=""),"",O538/P538)</f>
        <v/>
      </c>
      <c r="R538" s="16" t="str">
        <f aca="false">IF(Q538="","",Q538*0.0980665)</f>
        <v/>
      </c>
      <c r="S538" s="16" t="str">
        <f aca="false">IF(Q538="","",IFERROR(Q538/(1/(1/INDEX(CONFIG!$I$5:$I$14,MATCH(D538,CONFIG!$D$5:$D$14,0)))),""))</f>
        <v/>
      </c>
      <c r="T538" s="13"/>
      <c r="U538" s="13"/>
      <c r="V538" s="13"/>
      <c r="W538" s="13"/>
      <c r="X538" s="22" t="str">
        <f aca="false">IF(Q538="","",Q538^2)</f>
        <v/>
      </c>
      <c r="Y538" s="22" t="str">
        <f aca="false">IF(AND(C538&lt;&gt;"",C538=CERTIFICADO!$E$4,OR(CERTIFICADO!$E$5="",B538=CERTIFICADO!$E$5)),MAX($Y$4:Y537)+1,"")</f>
        <v/>
      </c>
    </row>
    <row r="539" customFormat="false" ht="15" hidden="false" customHeight="false" outlineLevel="0" collapsed="false">
      <c r="A539" s="11" t="str">
        <f aca="false">IF(C539="","",ROW()-4)</f>
        <v/>
      </c>
      <c r="B539" s="12"/>
      <c r="C539" s="13"/>
      <c r="D539" s="23" t="str">
        <f aca="false">IF(C539="","",IFERROR(INDEX(LOTES!$D$5:$D$1004,MATCH(C539,LOTES!$F$5:$F$1004,0)),"¿Lote?"))</f>
        <v/>
      </c>
      <c r="E539" s="11" t="str">
        <f aca="false">IF(C539="","",IFERROR(INDEX(LOTES!$C$5:$C$1004,MATCH(C539,LOTES!$F$5:$F$1004,0)),""))</f>
        <v/>
      </c>
      <c r="F539" s="24" t="str">
        <f aca="false">IF(C539="","",IFERROR(INDEX(LOTES!$B$5:$B$1004,MATCH(C539,LOTES!$F$5:$F$1004,0)),""))</f>
        <v/>
      </c>
      <c r="G539" s="15" t="str">
        <f aca="false">IF(OR(B539="",F539=""),"",B539-F539)</f>
        <v/>
      </c>
      <c r="H539" s="13"/>
      <c r="I539" s="13"/>
      <c r="J539" s="13"/>
      <c r="K539" s="25"/>
      <c r="L539" s="25"/>
      <c r="M539" s="25"/>
      <c r="N539" s="25"/>
      <c r="O539" s="26"/>
      <c r="P539" s="16" t="str">
        <f aca="false">IF(O539="","",IFERROR(1/(1/(IF(K539="",INDEX(CONFIG!$F$5:$F$14,MATCH(D539,CONFIG!$D$5:$D$14,0)),K539)*IF(M539="",INDEX(CONFIG!$H$5:$H$14,MATCH(D539,CONFIG!$D$5:$D$14,0)),M539))),""))</f>
        <v/>
      </c>
      <c r="Q539" s="16" t="str">
        <f aca="false">IF(OR(O539="",P539=""),"",O539/P539)</f>
        <v/>
      </c>
      <c r="R539" s="16" t="str">
        <f aca="false">IF(Q539="","",Q539*0.0980665)</f>
        <v/>
      </c>
      <c r="S539" s="16" t="str">
        <f aca="false">IF(Q539="","",IFERROR(Q539/(1/(1/INDEX(CONFIG!$I$5:$I$14,MATCH(D539,CONFIG!$D$5:$D$14,0)))),""))</f>
        <v/>
      </c>
      <c r="T539" s="13"/>
      <c r="U539" s="13"/>
      <c r="V539" s="13"/>
      <c r="W539" s="13"/>
      <c r="X539" s="22" t="str">
        <f aca="false">IF(Q539="","",Q539^2)</f>
        <v/>
      </c>
      <c r="Y539" s="22" t="str">
        <f aca="false">IF(AND(C539&lt;&gt;"",C539=CERTIFICADO!$E$4,OR(CERTIFICADO!$E$5="",B539=CERTIFICADO!$E$5)),MAX($Y$4:Y538)+1,"")</f>
        <v/>
      </c>
    </row>
    <row r="540" customFormat="false" ht="15" hidden="false" customHeight="false" outlineLevel="0" collapsed="false">
      <c r="A540" s="11" t="str">
        <f aca="false">IF(C540="","",ROW()-4)</f>
        <v/>
      </c>
      <c r="B540" s="12"/>
      <c r="C540" s="13"/>
      <c r="D540" s="23" t="str">
        <f aca="false">IF(C540="","",IFERROR(INDEX(LOTES!$D$5:$D$1004,MATCH(C540,LOTES!$F$5:$F$1004,0)),"¿Lote?"))</f>
        <v/>
      </c>
      <c r="E540" s="11" t="str">
        <f aca="false">IF(C540="","",IFERROR(INDEX(LOTES!$C$5:$C$1004,MATCH(C540,LOTES!$F$5:$F$1004,0)),""))</f>
        <v/>
      </c>
      <c r="F540" s="24" t="str">
        <f aca="false">IF(C540="","",IFERROR(INDEX(LOTES!$B$5:$B$1004,MATCH(C540,LOTES!$F$5:$F$1004,0)),""))</f>
        <v/>
      </c>
      <c r="G540" s="15" t="str">
        <f aca="false">IF(OR(B540="",F540=""),"",B540-F540)</f>
        <v/>
      </c>
      <c r="H540" s="13"/>
      <c r="I540" s="13"/>
      <c r="J540" s="13"/>
      <c r="K540" s="25"/>
      <c r="L540" s="25"/>
      <c r="M540" s="25"/>
      <c r="N540" s="25"/>
      <c r="O540" s="26"/>
      <c r="P540" s="16" t="str">
        <f aca="false">IF(O540="","",IFERROR(1/(1/(IF(K540="",INDEX(CONFIG!$F$5:$F$14,MATCH(D540,CONFIG!$D$5:$D$14,0)),K540)*IF(M540="",INDEX(CONFIG!$H$5:$H$14,MATCH(D540,CONFIG!$D$5:$D$14,0)),M540))),""))</f>
        <v/>
      </c>
      <c r="Q540" s="16" t="str">
        <f aca="false">IF(OR(O540="",P540=""),"",O540/P540)</f>
        <v/>
      </c>
      <c r="R540" s="16" t="str">
        <f aca="false">IF(Q540="","",Q540*0.0980665)</f>
        <v/>
      </c>
      <c r="S540" s="16" t="str">
        <f aca="false">IF(Q540="","",IFERROR(Q540/(1/(1/INDEX(CONFIG!$I$5:$I$14,MATCH(D540,CONFIG!$D$5:$D$14,0)))),""))</f>
        <v/>
      </c>
      <c r="T540" s="13"/>
      <c r="U540" s="13"/>
      <c r="V540" s="13"/>
      <c r="W540" s="13"/>
      <c r="X540" s="22" t="str">
        <f aca="false">IF(Q540="","",Q540^2)</f>
        <v/>
      </c>
      <c r="Y540" s="22" t="str">
        <f aca="false">IF(AND(C540&lt;&gt;"",C540=CERTIFICADO!$E$4,OR(CERTIFICADO!$E$5="",B540=CERTIFICADO!$E$5)),MAX($Y$4:Y539)+1,"")</f>
        <v/>
      </c>
    </row>
    <row r="541" customFormat="false" ht="15" hidden="false" customHeight="false" outlineLevel="0" collapsed="false">
      <c r="A541" s="11" t="str">
        <f aca="false">IF(C541="","",ROW()-4)</f>
        <v/>
      </c>
      <c r="B541" s="12"/>
      <c r="C541" s="13"/>
      <c r="D541" s="23" t="str">
        <f aca="false">IF(C541="","",IFERROR(INDEX(LOTES!$D$5:$D$1004,MATCH(C541,LOTES!$F$5:$F$1004,0)),"¿Lote?"))</f>
        <v/>
      </c>
      <c r="E541" s="11" t="str">
        <f aca="false">IF(C541="","",IFERROR(INDEX(LOTES!$C$5:$C$1004,MATCH(C541,LOTES!$F$5:$F$1004,0)),""))</f>
        <v/>
      </c>
      <c r="F541" s="24" t="str">
        <f aca="false">IF(C541="","",IFERROR(INDEX(LOTES!$B$5:$B$1004,MATCH(C541,LOTES!$F$5:$F$1004,0)),""))</f>
        <v/>
      </c>
      <c r="G541" s="15" t="str">
        <f aca="false">IF(OR(B541="",F541=""),"",B541-F541)</f>
        <v/>
      </c>
      <c r="H541" s="13"/>
      <c r="I541" s="13"/>
      <c r="J541" s="13"/>
      <c r="K541" s="25"/>
      <c r="L541" s="25"/>
      <c r="M541" s="25"/>
      <c r="N541" s="25"/>
      <c r="O541" s="26"/>
      <c r="P541" s="16" t="str">
        <f aca="false">IF(O541="","",IFERROR(1/(1/(IF(K541="",INDEX(CONFIG!$F$5:$F$14,MATCH(D541,CONFIG!$D$5:$D$14,0)),K541)*IF(M541="",INDEX(CONFIG!$H$5:$H$14,MATCH(D541,CONFIG!$D$5:$D$14,0)),M541))),""))</f>
        <v/>
      </c>
      <c r="Q541" s="16" t="str">
        <f aca="false">IF(OR(O541="",P541=""),"",O541/P541)</f>
        <v/>
      </c>
      <c r="R541" s="16" t="str">
        <f aca="false">IF(Q541="","",Q541*0.0980665)</f>
        <v/>
      </c>
      <c r="S541" s="16" t="str">
        <f aca="false">IF(Q541="","",IFERROR(Q541/(1/(1/INDEX(CONFIG!$I$5:$I$14,MATCH(D541,CONFIG!$D$5:$D$14,0)))),""))</f>
        <v/>
      </c>
      <c r="T541" s="13"/>
      <c r="U541" s="13"/>
      <c r="V541" s="13"/>
      <c r="W541" s="13"/>
      <c r="X541" s="22" t="str">
        <f aca="false">IF(Q541="","",Q541^2)</f>
        <v/>
      </c>
      <c r="Y541" s="22" t="str">
        <f aca="false">IF(AND(C541&lt;&gt;"",C541=CERTIFICADO!$E$4,OR(CERTIFICADO!$E$5="",B541=CERTIFICADO!$E$5)),MAX($Y$4:Y540)+1,"")</f>
        <v/>
      </c>
    </row>
    <row r="542" customFormat="false" ht="15" hidden="false" customHeight="false" outlineLevel="0" collapsed="false">
      <c r="A542" s="11" t="str">
        <f aca="false">IF(C542="","",ROW()-4)</f>
        <v/>
      </c>
      <c r="B542" s="12"/>
      <c r="C542" s="13"/>
      <c r="D542" s="23" t="str">
        <f aca="false">IF(C542="","",IFERROR(INDEX(LOTES!$D$5:$D$1004,MATCH(C542,LOTES!$F$5:$F$1004,0)),"¿Lote?"))</f>
        <v/>
      </c>
      <c r="E542" s="11" t="str">
        <f aca="false">IF(C542="","",IFERROR(INDEX(LOTES!$C$5:$C$1004,MATCH(C542,LOTES!$F$5:$F$1004,0)),""))</f>
        <v/>
      </c>
      <c r="F542" s="24" t="str">
        <f aca="false">IF(C542="","",IFERROR(INDEX(LOTES!$B$5:$B$1004,MATCH(C542,LOTES!$F$5:$F$1004,0)),""))</f>
        <v/>
      </c>
      <c r="G542" s="15" t="str">
        <f aca="false">IF(OR(B542="",F542=""),"",B542-F542)</f>
        <v/>
      </c>
      <c r="H542" s="13"/>
      <c r="I542" s="13"/>
      <c r="J542" s="13"/>
      <c r="K542" s="25"/>
      <c r="L542" s="25"/>
      <c r="M542" s="25"/>
      <c r="N542" s="25"/>
      <c r="O542" s="26"/>
      <c r="P542" s="16" t="str">
        <f aca="false">IF(O542="","",IFERROR(1/(1/(IF(K542="",INDEX(CONFIG!$F$5:$F$14,MATCH(D542,CONFIG!$D$5:$D$14,0)),K542)*IF(M542="",INDEX(CONFIG!$H$5:$H$14,MATCH(D542,CONFIG!$D$5:$D$14,0)),M542))),""))</f>
        <v/>
      </c>
      <c r="Q542" s="16" t="str">
        <f aca="false">IF(OR(O542="",P542=""),"",O542/P542)</f>
        <v/>
      </c>
      <c r="R542" s="16" t="str">
        <f aca="false">IF(Q542="","",Q542*0.0980665)</f>
        <v/>
      </c>
      <c r="S542" s="16" t="str">
        <f aca="false">IF(Q542="","",IFERROR(Q542/(1/(1/INDEX(CONFIG!$I$5:$I$14,MATCH(D542,CONFIG!$D$5:$D$14,0)))),""))</f>
        <v/>
      </c>
      <c r="T542" s="13"/>
      <c r="U542" s="13"/>
      <c r="V542" s="13"/>
      <c r="W542" s="13"/>
      <c r="X542" s="22" t="str">
        <f aca="false">IF(Q542="","",Q542^2)</f>
        <v/>
      </c>
      <c r="Y542" s="22" t="str">
        <f aca="false">IF(AND(C542&lt;&gt;"",C542=CERTIFICADO!$E$4,OR(CERTIFICADO!$E$5="",B542=CERTIFICADO!$E$5)),MAX($Y$4:Y541)+1,"")</f>
        <v/>
      </c>
    </row>
    <row r="543" customFormat="false" ht="15" hidden="false" customHeight="false" outlineLevel="0" collapsed="false">
      <c r="A543" s="11" t="str">
        <f aca="false">IF(C543="","",ROW()-4)</f>
        <v/>
      </c>
      <c r="B543" s="12"/>
      <c r="C543" s="13"/>
      <c r="D543" s="23" t="str">
        <f aca="false">IF(C543="","",IFERROR(INDEX(LOTES!$D$5:$D$1004,MATCH(C543,LOTES!$F$5:$F$1004,0)),"¿Lote?"))</f>
        <v/>
      </c>
      <c r="E543" s="11" t="str">
        <f aca="false">IF(C543="","",IFERROR(INDEX(LOTES!$C$5:$C$1004,MATCH(C543,LOTES!$F$5:$F$1004,0)),""))</f>
        <v/>
      </c>
      <c r="F543" s="24" t="str">
        <f aca="false">IF(C543="","",IFERROR(INDEX(LOTES!$B$5:$B$1004,MATCH(C543,LOTES!$F$5:$F$1004,0)),""))</f>
        <v/>
      </c>
      <c r="G543" s="15" t="str">
        <f aca="false">IF(OR(B543="",F543=""),"",B543-F543)</f>
        <v/>
      </c>
      <c r="H543" s="13"/>
      <c r="I543" s="13"/>
      <c r="J543" s="13"/>
      <c r="K543" s="25"/>
      <c r="L543" s="25"/>
      <c r="M543" s="25"/>
      <c r="N543" s="25"/>
      <c r="O543" s="26"/>
      <c r="P543" s="16" t="str">
        <f aca="false">IF(O543="","",IFERROR(1/(1/(IF(K543="",INDEX(CONFIG!$F$5:$F$14,MATCH(D543,CONFIG!$D$5:$D$14,0)),K543)*IF(M543="",INDEX(CONFIG!$H$5:$H$14,MATCH(D543,CONFIG!$D$5:$D$14,0)),M543))),""))</f>
        <v/>
      </c>
      <c r="Q543" s="16" t="str">
        <f aca="false">IF(OR(O543="",P543=""),"",O543/P543)</f>
        <v/>
      </c>
      <c r="R543" s="16" t="str">
        <f aca="false">IF(Q543="","",Q543*0.0980665)</f>
        <v/>
      </c>
      <c r="S543" s="16" t="str">
        <f aca="false">IF(Q543="","",IFERROR(Q543/(1/(1/INDEX(CONFIG!$I$5:$I$14,MATCH(D543,CONFIG!$D$5:$D$14,0)))),""))</f>
        <v/>
      </c>
      <c r="T543" s="13"/>
      <c r="U543" s="13"/>
      <c r="V543" s="13"/>
      <c r="W543" s="13"/>
      <c r="X543" s="22" t="str">
        <f aca="false">IF(Q543="","",Q543^2)</f>
        <v/>
      </c>
      <c r="Y543" s="22" t="str">
        <f aca="false">IF(AND(C543&lt;&gt;"",C543=CERTIFICADO!$E$4,OR(CERTIFICADO!$E$5="",B543=CERTIFICADO!$E$5)),MAX($Y$4:Y542)+1,"")</f>
        <v/>
      </c>
    </row>
    <row r="544" customFormat="false" ht="15" hidden="false" customHeight="false" outlineLevel="0" collapsed="false">
      <c r="A544" s="11" t="str">
        <f aca="false">IF(C544="","",ROW()-4)</f>
        <v/>
      </c>
      <c r="B544" s="12"/>
      <c r="C544" s="13"/>
      <c r="D544" s="23" t="str">
        <f aca="false">IF(C544="","",IFERROR(INDEX(LOTES!$D$5:$D$1004,MATCH(C544,LOTES!$F$5:$F$1004,0)),"¿Lote?"))</f>
        <v/>
      </c>
      <c r="E544" s="11" t="str">
        <f aca="false">IF(C544="","",IFERROR(INDEX(LOTES!$C$5:$C$1004,MATCH(C544,LOTES!$F$5:$F$1004,0)),""))</f>
        <v/>
      </c>
      <c r="F544" s="24" t="str">
        <f aca="false">IF(C544="","",IFERROR(INDEX(LOTES!$B$5:$B$1004,MATCH(C544,LOTES!$F$5:$F$1004,0)),""))</f>
        <v/>
      </c>
      <c r="G544" s="15" t="str">
        <f aca="false">IF(OR(B544="",F544=""),"",B544-F544)</f>
        <v/>
      </c>
      <c r="H544" s="13"/>
      <c r="I544" s="13"/>
      <c r="J544" s="13"/>
      <c r="K544" s="25"/>
      <c r="L544" s="25"/>
      <c r="M544" s="25"/>
      <c r="N544" s="25"/>
      <c r="O544" s="26"/>
      <c r="P544" s="16" t="str">
        <f aca="false">IF(O544="","",IFERROR(1/(1/(IF(K544="",INDEX(CONFIG!$F$5:$F$14,MATCH(D544,CONFIG!$D$5:$D$14,0)),K544)*IF(M544="",INDEX(CONFIG!$H$5:$H$14,MATCH(D544,CONFIG!$D$5:$D$14,0)),M544))),""))</f>
        <v/>
      </c>
      <c r="Q544" s="16" t="str">
        <f aca="false">IF(OR(O544="",P544=""),"",O544/P544)</f>
        <v/>
      </c>
      <c r="R544" s="16" t="str">
        <f aca="false">IF(Q544="","",Q544*0.0980665)</f>
        <v/>
      </c>
      <c r="S544" s="16" t="str">
        <f aca="false">IF(Q544="","",IFERROR(Q544/(1/(1/INDEX(CONFIG!$I$5:$I$14,MATCH(D544,CONFIG!$D$5:$D$14,0)))),""))</f>
        <v/>
      </c>
      <c r="T544" s="13"/>
      <c r="U544" s="13"/>
      <c r="V544" s="13"/>
      <c r="W544" s="13"/>
      <c r="X544" s="22" t="str">
        <f aca="false">IF(Q544="","",Q544^2)</f>
        <v/>
      </c>
      <c r="Y544" s="22" t="str">
        <f aca="false">IF(AND(C544&lt;&gt;"",C544=CERTIFICADO!$E$4,OR(CERTIFICADO!$E$5="",B544=CERTIFICADO!$E$5)),MAX($Y$4:Y543)+1,"")</f>
        <v/>
      </c>
    </row>
    <row r="545" customFormat="false" ht="15" hidden="false" customHeight="false" outlineLevel="0" collapsed="false">
      <c r="A545" s="11" t="str">
        <f aca="false">IF(C545="","",ROW()-4)</f>
        <v/>
      </c>
      <c r="B545" s="12"/>
      <c r="C545" s="13"/>
      <c r="D545" s="23" t="str">
        <f aca="false">IF(C545="","",IFERROR(INDEX(LOTES!$D$5:$D$1004,MATCH(C545,LOTES!$F$5:$F$1004,0)),"¿Lote?"))</f>
        <v/>
      </c>
      <c r="E545" s="11" t="str">
        <f aca="false">IF(C545="","",IFERROR(INDEX(LOTES!$C$5:$C$1004,MATCH(C545,LOTES!$F$5:$F$1004,0)),""))</f>
        <v/>
      </c>
      <c r="F545" s="24" t="str">
        <f aca="false">IF(C545="","",IFERROR(INDEX(LOTES!$B$5:$B$1004,MATCH(C545,LOTES!$F$5:$F$1004,0)),""))</f>
        <v/>
      </c>
      <c r="G545" s="15" t="str">
        <f aca="false">IF(OR(B545="",F545=""),"",B545-F545)</f>
        <v/>
      </c>
      <c r="H545" s="13"/>
      <c r="I545" s="13"/>
      <c r="J545" s="13"/>
      <c r="K545" s="25"/>
      <c r="L545" s="25"/>
      <c r="M545" s="25"/>
      <c r="N545" s="25"/>
      <c r="O545" s="26"/>
      <c r="P545" s="16" t="str">
        <f aca="false">IF(O545="","",IFERROR(1/(1/(IF(K545="",INDEX(CONFIG!$F$5:$F$14,MATCH(D545,CONFIG!$D$5:$D$14,0)),K545)*IF(M545="",INDEX(CONFIG!$H$5:$H$14,MATCH(D545,CONFIG!$D$5:$D$14,0)),M545))),""))</f>
        <v/>
      </c>
      <c r="Q545" s="16" t="str">
        <f aca="false">IF(OR(O545="",P545=""),"",O545/P545)</f>
        <v/>
      </c>
      <c r="R545" s="16" t="str">
        <f aca="false">IF(Q545="","",Q545*0.0980665)</f>
        <v/>
      </c>
      <c r="S545" s="16" t="str">
        <f aca="false">IF(Q545="","",IFERROR(Q545/(1/(1/INDEX(CONFIG!$I$5:$I$14,MATCH(D545,CONFIG!$D$5:$D$14,0)))),""))</f>
        <v/>
      </c>
      <c r="T545" s="13"/>
      <c r="U545" s="13"/>
      <c r="V545" s="13"/>
      <c r="W545" s="13"/>
      <c r="X545" s="22" t="str">
        <f aca="false">IF(Q545="","",Q545^2)</f>
        <v/>
      </c>
      <c r="Y545" s="22" t="str">
        <f aca="false">IF(AND(C545&lt;&gt;"",C545=CERTIFICADO!$E$4,OR(CERTIFICADO!$E$5="",B545=CERTIFICADO!$E$5)),MAX($Y$4:Y544)+1,"")</f>
        <v/>
      </c>
    </row>
    <row r="546" customFormat="false" ht="15" hidden="false" customHeight="false" outlineLevel="0" collapsed="false">
      <c r="A546" s="11" t="str">
        <f aca="false">IF(C546="","",ROW()-4)</f>
        <v/>
      </c>
      <c r="B546" s="12"/>
      <c r="C546" s="13"/>
      <c r="D546" s="23" t="str">
        <f aca="false">IF(C546="","",IFERROR(INDEX(LOTES!$D$5:$D$1004,MATCH(C546,LOTES!$F$5:$F$1004,0)),"¿Lote?"))</f>
        <v/>
      </c>
      <c r="E546" s="11" t="str">
        <f aca="false">IF(C546="","",IFERROR(INDEX(LOTES!$C$5:$C$1004,MATCH(C546,LOTES!$F$5:$F$1004,0)),""))</f>
        <v/>
      </c>
      <c r="F546" s="24" t="str">
        <f aca="false">IF(C546="","",IFERROR(INDEX(LOTES!$B$5:$B$1004,MATCH(C546,LOTES!$F$5:$F$1004,0)),""))</f>
        <v/>
      </c>
      <c r="G546" s="15" t="str">
        <f aca="false">IF(OR(B546="",F546=""),"",B546-F546)</f>
        <v/>
      </c>
      <c r="H546" s="13"/>
      <c r="I546" s="13"/>
      <c r="J546" s="13"/>
      <c r="K546" s="25"/>
      <c r="L546" s="25"/>
      <c r="M546" s="25"/>
      <c r="N546" s="25"/>
      <c r="O546" s="26"/>
      <c r="P546" s="16" t="str">
        <f aca="false">IF(O546="","",IFERROR(1/(1/(IF(K546="",INDEX(CONFIG!$F$5:$F$14,MATCH(D546,CONFIG!$D$5:$D$14,0)),K546)*IF(M546="",INDEX(CONFIG!$H$5:$H$14,MATCH(D546,CONFIG!$D$5:$D$14,0)),M546))),""))</f>
        <v/>
      </c>
      <c r="Q546" s="16" t="str">
        <f aca="false">IF(OR(O546="",P546=""),"",O546/P546)</f>
        <v/>
      </c>
      <c r="R546" s="16" t="str">
        <f aca="false">IF(Q546="","",Q546*0.0980665)</f>
        <v/>
      </c>
      <c r="S546" s="16" t="str">
        <f aca="false">IF(Q546="","",IFERROR(Q546/(1/(1/INDEX(CONFIG!$I$5:$I$14,MATCH(D546,CONFIG!$D$5:$D$14,0)))),""))</f>
        <v/>
      </c>
      <c r="T546" s="13"/>
      <c r="U546" s="13"/>
      <c r="V546" s="13"/>
      <c r="W546" s="13"/>
      <c r="X546" s="22" t="str">
        <f aca="false">IF(Q546="","",Q546^2)</f>
        <v/>
      </c>
      <c r="Y546" s="22" t="str">
        <f aca="false">IF(AND(C546&lt;&gt;"",C546=CERTIFICADO!$E$4,OR(CERTIFICADO!$E$5="",B546=CERTIFICADO!$E$5)),MAX($Y$4:Y545)+1,"")</f>
        <v/>
      </c>
    </row>
    <row r="547" customFormat="false" ht="15" hidden="false" customHeight="false" outlineLevel="0" collapsed="false">
      <c r="A547" s="11" t="str">
        <f aca="false">IF(C547="","",ROW()-4)</f>
        <v/>
      </c>
      <c r="B547" s="12"/>
      <c r="C547" s="13"/>
      <c r="D547" s="23" t="str">
        <f aca="false">IF(C547="","",IFERROR(INDEX(LOTES!$D$5:$D$1004,MATCH(C547,LOTES!$F$5:$F$1004,0)),"¿Lote?"))</f>
        <v/>
      </c>
      <c r="E547" s="11" t="str">
        <f aca="false">IF(C547="","",IFERROR(INDEX(LOTES!$C$5:$C$1004,MATCH(C547,LOTES!$F$5:$F$1004,0)),""))</f>
        <v/>
      </c>
      <c r="F547" s="24" t="str">
        <f aca="false">IF(C547="","",IFERROR(INDEX(LOTES!$B$5:$B$1004,MATCH(C547,LOTES!$F$5:$F$1004,0)),""))</f>
        <v/>
      </c>
      <c r="G547" s="15" t="str">
        <f aca="false">IF(OR(B547="",F547=""),"",B547-F547)</f>
        <v/>
      </c>
      <c r="H547" s="13"/>
      <c r="I547" s="13"/>
      <c r="J547" s="13"/>
      <c r="K547" s="25"/>
      <c r="L547" s="25"/>
      <c r="M547" s="25"/>
      <c r="N547" s="25"/>
      <c r="O547" s="26"/>
      <c r="P547" s="16" t="str">
        <f aca="false">IF(O547="","",IFERROR(1/(1/(IF(K547="",INDEX(CONFIG!$F$5:$F$14,MATCH(D547,CONFIG!$D$5:$D$14,0)),K547)*IF(M547="",INDEX(CONFIG!$H$5:$H$14,MATCH(D547,CONFIG!$D$5:$D$14,0)),M547))),""))</f>
        <v/>
      </c>
      <c r="Q547" s="16" t="str">
        <f aca="false">IF(OR(O547="",P547=""),"",O547/P547)</f>
        <v/>
      </c>
      <c r="R547" s="16" t="str">
        <f aca="false">IF(Q547="","",Q547*0.0980665)</f>
        <v/>
      </c>
      <c r="S547" s="16" t="str">
        <f aca="false">IF(Q547="","",IFERROR(Q547/(1/(1/INDEX(CONFIG!$I$5:$I$14,MATCH(D547,CONFIG!$D$5:$D$14,0)))),""))</f>
        <v/>
      </c>
      <c r="T547" s="13"/>
      <c r="U547" s="13"/>
      <c r="V547" s="13"/>
      <c r="W547" s="13"/>
      <c r="X547" s="22" t="str">
        <f aca="false">IF(Q547="","",Q547^2)</f>
        <v/>
      </c>
      <c r="Y547" s="22" t="str">
        <f aca="false">IF(AND(C547&lt;&gt;"",C547=CERTIFICADO!$E$4,OR(CERTIFICADO!$E$5="",B547=CERTIFICADO!$E$5)),MAX($Y$4:Y546)+1,"")</f>
        <v/>
      </c>
    </row>
    <row r="548" customFormat="false" ht="15" hidden="false" customHeight="false" outlineLevel="0" collapsed="false">
      <c r="A548" s="11" t="str">
        <f aca="false">IF(C548="","",ROW()-4)</f>
        <v/>
      </c>
      <c r="B548" s="12"/>
      <c r="C548" s="13"/>
      <c r="D548" s="23" t="str">
        <f aca="false">IF(C548="","",IFERROR(INDEX(LOTES!$D$5:$D$1004,MATCH(C548,LOTES!$F$5:$F$1004,0)),"¿Lote?"))</f>
        <v/>
      </c>
      <c r="E548" s="11" t="str">
        <f aca="false">IF(C548="","",IFERROR(INDEX(LOTES!$C$5:$C$1004,MATCH(C548,LOTES!$F$5:$F$1004,0)),""))</f>
        <v/>
      </c>
      <c r="F548" s="24" t="str">
        <f aca="false">IF(C548="","",IFERROR(INDEX(LOTES!$B$5:$B$1004,MATCH(C548,LOTES!$F$5:$F$1004,0)),""))</f>
        <v/>
      </c>
      <c r="G548" s="15" t="str">
        <f aca="false">IF(OR(B548="",F548=""),"",B548-F548)</f>
        <v/>
      </c>
      <c r="H548" s="13"/>
      <c r="I548" s="13"/>
      <c r="J548" s="13"/>
      <c r="K548" s="25"/>
      <c r="L548" s="25"/>
      <c r="M548" s="25"/>
      <c r="N548" s="25"/>
      <c r="O548" s="26"/>
      <c r="P548" s="16" t="str">
        <f aca="false">IF(O548="","",IFERROR(1/(1/(IF(K548="",INDEX(CONFIG!$F$5:$F$14,MATCH(D548,CONFIG!$D$5:$D$14,0)),K548)*IF(M548="",INDEX(CONFIG!$H$5:$H$14,MATCH(D548,CONFIG!$D$5:$D$14,0)),M548))),""))</f>
        <v/>
      </c>
      <c r="Q548" s="16" t="str">
        <f aca="false">IF(OR(O548="",P548=""),"",O548/P548)</f>
        <v/>
      </c>
      <c r="R548" s="16" t="str">
        <f aca="false">IF(Q548="","",Q548*0.0980665)</f>
        <v/>
      </c>
      <c r="S548" s="16" t="str">
        <f aca="false">IF(Q548="","",IFERROR(Q548/(1/(1/INDEX(CONFIG!$I$5:$I$14,MATCH(D548,CONFIG!$D$5:$D$14,0)))),""))</f>
        <v/>
      </c>
      <c r="T548" s="13"/>
      <c r="U548" s="13"/>
      <c r="V548" s="13"/>
      <c r="W548" s="13"/>
      <c r="X548" s="22" t="str">
        <f aca="false">IF(Q548="","",Q548^2)</f>
        <v/>
      </c>
      <c r="Y548" s="22" t="str">
        <f aca="false">IF(AND(C548&lt;&gt;"",C548=CERTIFICADO!$E$4,OR(CERTIFICADO!$E$5="",B548=CERTIFICADO!$E$5)),MAX($Y$4:Y547)+1,"")</f>
        <v/>
      </c>
    </row>
    <row r="549" customFormat="false" ht="15" hidden="false" customHeight="false" outlineLevel="0" collapsed="false">
      <c r="A549" s="11" t="str">
        <f aca="false">IF(C549="","",ROW()-4)</f>
        <v/>
      </c>
      <c r="B549" s="12"/>
      <c r="C549" s="13"/>
      <c r="D549" s="23" t="str">
        <f aca="false">IF(C549="","",IFERROR(INDEX(LOTES!$D$5:$D$1004,MATCH(C549,LOTES!$F$5:$F$1004,0)),"¿Lote?"))</f>
        <v/>
      </c>
      <c r="E549" s="11" t="str">
        <f aca="false">IF(C549="","",IFERROR(INDEX(LOTES!$C$5:$C$1004,MATCH(C549,LOTES!$F$5:$F$1004,0)),""))</f>
        <v/>
      </c>
      <c r="F549" s="24" t="str">
        <f aca="false">IF(C549="","",IFERROR(INDEX(LOTES!$B$5:$B$1004,MATCH(C549,LOTES!$F$5:$F$1004,0)),""))</f>
        <v/>
      </c>
      <c r="G549" s="15" t="str">
        <f aca="false">IF(OR(B549="",F549=""),"",B549-F549)</f>
        <v/>
      </c>
      <c r="H549" s="13"/>
      <c r="I549" s="13"/>
      <c r="J549" s="13"/>
      <c r="K549" s="25"/>
      <c r="L549" s="25"/>
      <c r="M549" s="25"/>
      <c r="N549" s="25"/>
      <c r="O549" s="26"/>
      <c r="P549" s="16" t="str">
        <f aca="false">IF(O549="","",IFERROR(1/(1/(IF(K549="",INDEX(CONFIG!$F$5:$F$14,MATCH(D549,CONFIG!$D$5:$D$14,0)),K549)*IF(M549="",INDEX(CONFIG!$H$5:$H$14,MATCH(D549,CONFIG!$D$5:$D$14,0)),M549))),""))</f>
        <v/>
      </c>
      <c r="Q549" s="16" t="str">
        <f aca="false">IF(OR(O549="",P549=""),"",O549/P549)</f>
        <v/>
      </c>
      <c r="R549" s="16" t="str">
        <f aca="false">IF(Q549="","",Q549*0.0980665)</f>
        <v/>
      </c>
      <c r="S549" s="16" t="str">
        <f aca="false">IF(Q549="","",IFERROR(Q549/(1/(1/INDEX(CONFIG!$I$5:$I$14,MATCH(D549,CONFIG!$D$5:$D$14,0)))),""))</f>
        <v/>
      </c>
      <c r="T549" s="13"/>
      <c r="U549" s="13"/>
      <c r="V549" s="13"/>
      <c r="W549" s="13"/>
      <c r="X549" s="22" t="str">
        <f aca="false">IF(Q549="","",Q549^2)</f>
        <v/>
      </c>
      <c r="Y549" s="22" t="str">
        <f aca="false">IF(AND(C549&lt;&gt;"",C549=CERTIFICADO!$E$4,OR(CERTIFICADO!$E$5="",B549=CERTIFICADO!$E$5)),MAX($Y$4:Y548)+1,"")</f>
        <v/>
      </c>
    </row>
    <row r="550" customFormat="false" ht="15" hidden="false" customHeight="false" outlineLevel="0" collapsed="false">
      <c r="A550" s="11" t="str">
        <f aca="false">IF(C550="","",ROW()-4)</f>
        <v/>
      </c>
      <c r="B550" s="12"/>
      <c r="C550" s="13"/>
      <c r="D550" s="23" t="str">
        <f aca="false">IF(C550="","",IFERROR(INDEX(LOTES!$D$5:$D$1004,MATCH(C550,LOTES!$F$5:$F$1004,0)),"¿Lote?"))</f>
        <v/>
      </c>
      <c r="E550" s="11" t="str">
        <f aca="false">IF(C550="","",IFERROR(INDEX(LOTES!$C$5:$C$1004,MATCH(C550,LOTES!$F$5:$F$1004,0)),""))</f>
        <v/>
      </c>
      <c r="F550" s="24" t="str">
        <f aca="false">IF(C550="","",IFERROR(INDEX(LOTES!$B$5:$B$1004,MATCH(C550,LOTES!$F$5:$F$1004,0)),""))</f>
        <v/>
      </c>
      <c r="G550" s="15" t="str">
        <f aca="false">IF(OR(B550="",F550=""),"",B550-F550)</f>
        <v/>
      </c>
      <c r="H550" s="13"/>
      <c r="I550" s="13"/>
      <c r="J550" s="13"/>
      <c r="K550" s="25"/>
      <c r="L550" s="25"/>
      <c r="M550" s="25"/>
      <c r="N550" s="25"/>
      <c r="O550" s="26"/>
      <c r="P550" s="16" t="str">
        <f aca="false">IF(O550="","",IFERROR(1/(1/(IF(K550="",INDEX(CONFIG!$F$5:$F$14,MATCH(D550,CONFIG!$D$5:$D$14,0)),K550)*IF(M550="",INDEX(CONFIG!$H$5:$H$14,MATCH(D550,CONFIG!$D$5:$D$14,0)),M550))),""))</f>
        <v/>
      </c>
      <c r="Q550" s="16" t="str">
        <f aca="false">IF(OR(O550="",P550=""),"",O550/P550)</f>
        <v/>
      </c>
      <c r="R550" s="16" t="str">
        <f aca="false">IF(Q550="","",Q550*0.0980665)</f>
        <v/>
      </c>
      <c r="S550" s="16" t="str">
        <f aca="false">IF(Q550="","",IFERROR(Q550/(1/(1/INDEX(CONFIG!$I$5:$I$14,MATCH(D550,CONFIG!$D$5:$D$14,0)))),""))</f>
        <v/>
      </c>
      <c r="T550" s="13"/>
      <c r="U550" s="13"/>
      <c r="V550" s="13"/>
      <c r="W550" s="13"/>
      <c r="X550" s="22" t="str">
        <f aca="false">IF(Q550="","",Q550^2)</f>
        <v/>
      </c>
      <c r="Y550" s="22" t="str">
        <f aca="false">IF(AND(C550&lt;&gt;"",C550=CERTIFICADO!$E$4,OR(CERTIFICADO!$E$5="",B550=CERTIFICADO!$E$5)),MAX($Y$4:Y549)+1,"")</f>
        <v/>
      </c>
    </row>
    <row r="551" customFormat="false" ht="15" hidden="false" customHeight="false" outlineLevel="0" collapsed="false">
      <c r="A551" s="11" t="str">
        <f aca="false">IF(C551="","",ROW()-4)</f>
        <v/>
      </c>
      <c r="B551" s="12"/>
      <c r="C551" s="13"/>
      <c r="D551" s="23" t="str">
        <f aca="false">IF(C551="","",IFERROR(INDEX(LOTES!$D$5:$D$1004,MATCH(C551,LOTES!$F$5:$F$1004,0)),"¿Lote?"))</f>
        <v/>
      </c>
      <c r="E551" s="11" t="str">
        <f aca="false">IF(C551="","",IFERROR(INDEX(LOTES!$C$5:$C$1004,MATCH(C551,LOTES!$F$5:$F$1004,0)),""))</f>
        <v/>
      </c>
      <c r="F551" s="24" t="str">
        <f aca="false">IF(C551="","",IFERROR(INDEX(LOTES!$B$5:$B$1004,MATCH(C551,LOTES!$F$5:$F$1004,0)),""))</f>
        <v/>
      </c>
      <c r="G551" s="15" t="str">
        <f aca="false">IF(OR(B551="",F551=""),"",B551-F551)</f>
        <v/>
      </c>
      <c r="H551" s="13"/>
      <c r="I551" s="13"/>
      <c r="J551" s="13"/>
      <c r="K551" s="25"/>
      <c r="L551" s="25"/>
      <c r="M551" s="25"/>
      <c r="N551" s="25"/>
      <c r="O551" s="26"/>
      <c r="P551" s="16" t="str">
        <f aca="false">IF(O551="","",IFERROR(1/(1/(IF(K551="",INDEX(CONFIG!$F$5:$F$14,MATCH(D551,CONFIG!$D$5:$D$14,0)),K551)*IF(M551="",INDEX(CONFIG!$H$5:$H$14,MATCH(D551,CONFIG!$D$5:$D$14,0)),M551))),""))</f>
        <v/>
      </c>
      <c r="Q551" s="16" t="str">
        <f aca="false">IF(OR(O551="",P551=""),"",O551/P551)</f>
        <v/>
      </c>
      <c r="R551" s="16" t="str">
        <f aca="false">IF(Q551="","",Q551*0.0980665)</f>
        <v/>
      </c>
      <c r="S551" s="16" t="str">
        <f aca="false">IF(Q551="","",IFERROR(Q551/(1/(1/INDEX(CONFIG!$I$5:$I$14,MATCH(D551,CONFIG!$D$5:$D$14,0)))),""))</f>
        <v/>
      </c>
      <c r="T551" s="13"/>
      <c r="U551" s="13"/>
      <c r="V551" s="13"/>
      <c r="W551" s="13"/>
      <c r="X551" s="22" t="str">
        <f aca="false">IF(Q551="","",Q551^2)</f>
        <v/>
      </c>
      <c r="Y551" s="22" t="str">
        <f aca="false">IF(AND(C551&lt;&gt;"",C551=CERTIFICADO!$E$4,OR(CERTIFICADO!$E$5="",B551=CERTIFICADO!$E$5)),MAX($Y$4:Y550)+1,"")</f>
        <v/>
      </c>
    </row>
    <row r="552" customFormat="false" ht="15" hidden="false" customHeight="false" outlineLevel="0" collapsed="false">
      <c r="A552" s="11" t="str">
        <f aca="false">IF(C552="","",ROW()-4)</f>
        <v/>
      </c>
      <c r="B552" s="12"/>
      <c r="C552" s="13"/>
      <c r="D552" s="23" t="str">
        <f aca="false">IF(C552="","",IFERROR(INDEX(LOTES!$D$5:$D$1004,MATCH(C552,LOTES!$F$5:$F$1004,0)),"¿Lote?"))</f>
        <v/>
      </c>
      <c r="E552" s="11" t="str">
        <f aca="false">IF(C552="","",IFERROR(INDEX(LOTES!$C$5:$C$1004,MATCH(C552,LOTES!$F$5:$F$1004,0)),""))</f>
        <v/>
      </c>
      <c r="F552" s="24" t="str">
        <f aca="false">IF(C552="","",IFERROR(INDEX(LOTES!$B$5:$B$1004,MATCH(C552,LOTES!$F$5:$F$1004,0)),""))</f>
        <v/>
      </c>
      <c r="G552" s="15" t="str">
        <f aca="false">IF(OR(B552="",F552=""),"",B552-F552)</f>
        <v/>
      </c>
      <c r="H552" s="13"/>
      <c r="I552" s="13"/>
      <c r="J552" s="13"/>
      <c r="K552" s="25"/>
      <c r="L552" s="25"/>
      <c r="M552" s="25"/>
      <c r="N552" s="25"/>
      <c r="O552" s="26"/>
      <c r="P552" s="16" t="str">
        <f aca="false">IF(O552="","",IFERROR(1/(1/(IF(K552="",INDEX(CONFIG!$F$5:$F$14,MATCH(D552,CONFIG!$D$5:$D$14,0)),K552)*IF(M552="",INDEX(CONFIG!$H$5:$H$14,MATCH(D552,CONFIG!$D$5:$D$14,0)),M552))),""))</f>
        <v/>
      </c>
      <c r="Q552" s="16" t="str">
        <f aca="false">IF(OR(O552="",P552=""),"",O552/P552)</f>
        <v/>
      </c>
      <c r="R552" s="16" t="str">
        <f aca="false">IF(Q552="","",Q552*0.0980665)</f>
        <v/>
      </c>
      <c r="S552" s="16" t="str">
        <f aca="false">IF(Q552="","",IFERROR(Q552/(1/(1/INDEX(CONFIG!$I$5:$I$14,MATCH(D552,CONFIG!$D$5:$D$14,0)))),""))</f>
        <v/>
      </c>
      <c r="T552" s="13"/>
      <c r="U552" s="13"/>
      <c r="V552" s="13"/>
      <c r="W552" s="13"/>
      <c r="X552" s="22" t="str">
        <f aca="false">IF(Q552="","",Q552^2)</f>
        <v/>
      </c>
      <c r="Y552" s="22" t="str">
        <f aca="false">IF(AND(C552&lt;&gt;"",C552=CERTIFICADO!$E$4,OR(CERTIFICADO!$E$5="",B552=CERTIFICADO!$E$5)),MAX($Y$4:Y551)+1,"")</f>
        <v/>
      </c>
    </row>
    <row r="553" customFormat="false" ht="15" hidden="false" customHeight="false" outlineLevel="0" collapsed="false">
      <c r="A553" s="11" t="str">
        <f aca="false">IF(C553="","",ROW()-4)</f>
        <v/>
      </c>
      <c r="B553" s="12"/>
      <c r="C553" s="13"/>
      <c r="D553" s="23" t="str">
        <f aca="false">IF(C553="","",IFERROR(INDEX(LOTES!$D$5:$D$1004,MATCH(C553,LOTES!$F$5:$F$1004,0)),"¿Lote?"))</f>
        <v/>
      </c>
      <c r="E553" s="11" t="str">
        <f aca="false">IF(C553="","",IFERROR(INDEX(LOTES!$C$5:$C$1004,MATCH(C553,LOTES!$F$5:$F$1004,0)),""))</f>
        <v/>
      </c>
      <c r="F553" s="24" t="str">
        <f aca="false">IF(C553="","",IFERROR(INDEX(LOTES!$B$5:$B$1004,MATCH(C553,LOTES!$F$5:$F$1004,0)),""))</f>
        <v/>
      </c>
      <c r="G553" s="15" t="str">
        <f aca="false">IF(OR(B553="",F553=""),"",B553-F553)</f>
        <v/>
      </c>
      <c r="H553" s="13"/>
      <c r="I553" s="13"/>
      <c r="J553" s="13"/>
      <c r="K553" s="25"/>
      <c r="L553" s="25"/>
      <c r="M553" s="25"/>
      <c r="N553" s="25"/>
      <c r="O553" s="26"/>
      <c r="P553" s="16" t="str">
        <f aca="false">IF(O553="","",IFERROR(1/(1/(IF(K553="",INDEX(CONFIG!$F$5:$F$14,MATCH(D553,CONFIG!$D$5:$D$14,0)),K553)*IF(M553="",INDEX(CONFIG!$H$5:$H$14,MATCH(D553,CONFIG!$D$5:$D$14,0)),M553))),""))</f>
        <v/>
      </c>
      <c r="Q553" s="16" t="str">
        <f aca="false">IF(OR(O553="",P553=""),"",O553/P553)</f>
        <v/>
      </c>
      <c r="R553" s="16" t="str">
        <f aca="false">IF(Q553="","",Q553*0.0980665)</f>
        <v/>
      </c>
      <c r="S553" s="16" t="str">
        <f aca="false">IF(Q553="","",IFERROR(Q553/(1/(1/INDEX(CONFIG!$I$5:$I$14,MATCH(D553,CONFIG!$D$5:$D$14,0)))),""))</f>
        <v/>
      </c>
      <c r="T553" s="13"/>
      <c r="U553" s="13"/>
      <c r="V553" s="13"/>
      <c r="W553" s="13"/>
      <c r="X553" s="22" t="str">
        <f aca="false">IF(Q553="","",Q553^2)</f>
        <v/>
      </c>
      <c r="Y553" s="22" t="str">
        <f aca="false">IF(AND(C553&lt;&gt;"",C553=CERTIFICADO!$E$4,OR(CERTIFICADO!$E$5="",B553=CERTIFICADO!$E$5)),MAX($Y$4:Y552)+1,"")</f>
        <v/>
      </c>
    </row>
    <row r="554" customFormat="false" ht="15" hidden="false" customHeight="false" outlineLevel="0" collapsed="false">
      <c r="A554" s="11" t="str">
        <f aca="false">IF(C554="","",ROW()-4)</f>
        <v/>
      </c>
      <c r="B554" s="12"/>
      <c r="C554" s="13"/>
      <c r="D554" s="23" t="str">
        <f aca="false">IF(C554="","",IFERROR(INDEX(LOTES!$D$5:$D$1004,MATCH(C554,LOTES!$F$5:$F$1004,0)),"¿Lote?"))</f>
        <v/>
      </c>
      <c r="E554" s="11" t="str">
        <f aca="false">IF(C554="","",IFERROR(INDEX(LOTES!$C$5:$C$1004,MATCH(C554,LOTES!$F$5:$F$1004,0)),""))</f>
        <v/>
      </c>
      <c r="F554" s="24" t="str">
        <f aca="false">IF(C554="","",IFERROR(INDEX(LOTES!$B$5:$B$1004,MATCH(C554,LOTES!$F$5:$F$1004,0)),""))</f>
        <v/>
      </c>
      <c r="G554" s="15" t="str">
        <f aca="false">IF(OR(B554="",F554=""),"",B554-F554)</f>
        <v/>
      </c>
      <c r="H554" s="13"/>
      <c r="I554" s="13"/>
      <c r="J554" s="13"/>
      <c r="K554" s="25"/>
      <c r="L554" s="25"/>
      <c r="M554" s="25"/>
      <c r="N554" s="25"/>
      <c r="O554" s="26"/>
      <c r="P554" s="16" t="str">
        <f aca="false">IF(O554="","",IFERROR(1/(1/(IF(K554="",INDEX(CONFIG!$F$5:$F$14,MATCH(D554,CONFIG!$D$5:$D$14,0)),K554)*IF(M554="",INDEX(CONFIG!$H$5:$H$14,MATCH(D554,CONFIG!$D$5:$D$14,0)),M554))),""))</f>
        <v/>
      </c>
      <c r="Q554" s="16" t="str">
        <f aca="false">IF(OR(O554="",P554=""),"",O554/P554)</f>
        <v/>
      </c>
      <c r="R554" s="16" t="str">
        <f aca="false">IF(Q554="","",Q554*0.0980665)</f>
        <v/>
      </c>
      <c r="S554" s="16" t="str">
        <f aca="false">IF(Q554="","",IFERROR(Q554/(1/(1/INDEX(CONFIG!$I$5:$I$14,MATCH(D554,CONFIG!$D$5:$D$14,0)))),""))</f>
        <v/>
      </c>
      <c r="T554" s="13"/>
      <c r="U554" s="13"/>
      <c r="V554" s="13"/>
      <c r="W554" s="13"/>
      <c r="X554" s="22" t="str">
        <f aca="false">IF(Q554="","",Q554^2)</f>
        <v/>
      </c>
      <c r="Y554" s="22" t="str">
        <f aca="false">IF(AND(C554&lt;&gt;"",C554=CERTIFICADO!$E$4,OR(CERTIFICADO!$E$5="",B554=CERTIFICADO!$E$5)),MAX($Y$4:Y553)+1,"")</f>
        <v/>
      </c>
    </row>
    <row r="555" customFormat="false" ht="15" hidden="false" customHeight="false" outlineLevel="0" collapsed="false">
      <c r="A555" s="11" t="str">
        <f aca="false">IF(C555="","",ROW()-4)</f>
        <v/>
      </c>
      <c r="B555" s="12"/>
      <c r="C555" s="13"/>
      <c r="D555" s="23" t="str">
        <f aca="false">IF(C555="","",IFERROR(INDEX(LOTES!$D$5:$D$1004,MATCH(C555,LOTES!$F$5:$F$1004,0)),"¿Lote?"))</f>
        <v/>
      </c>
      <c r="E555" s="11" t="str">
        <f aca="false">IF(C555="","",IFERROR(INDEX(LOTES!$C$5:$C$1004,MATCH(C555,LOTES!$F$5:$F$1004,0)),""))</f>
        <v/>
      </c>
      <c r="F555" s="24" t="str">
        <f aca="false">IF(C555="","",IFERROR(INDEX(LOTES!$B$5:$B$1004,MATCH(C555,LOTES!$F$5:$F$1004,0)),""))</f>
        <v/>
      </c>
      <c r="G555" s="15" t="str">
        <f aca="false">IF(OR(B555="",F555=""),"",B555-F555)</f>
        <v/>
      </c>
      <c r="H555" s="13"/>
      <c r="I555" s="13"/>
      <c r="J555" s="13"/>
      <c r="K555" s="25"/>
      <c r="L555" s="25"/>
      <c r="M555" s="25"/>
      <c r="N555" s="25"/>
      <c r="O555" s="26"/>
      <c r="P555" s="16" t="str">
        <f aca="false">IF(O555="","",IFERROR(1/(1/(IF(K555="",INDEX(CONFIG!$F$5:$F$14,MATCH(D555,CONFIG!$D$5:$D$14,0)),K555)*IF(M555="",INDEX(CONFIG!$H$5:$H$14,MATCH(D555,CONFIG!$D$5:$D$14,0)),M555))),""))</f>
        <v/>
      </c>
      <c r="Q555" s="16" t="str">
        <f aca="false">IF(OR(O555="",P555=""),"",O555/P555)</f>
        <v/>
      </c>
      <c r="R555" s="16" t="str">
        <f aca="false">IF(Q555="","",Q555*0.0980665)</f>
        <v/>
      </c>
      <c r="S555" s="16" t="str">
        <f aca="false">IF(Q555="","",IFERROR(Q555/(1/(1/INDEX(CONFIG!$I$5:$I$14,MATCH(D555,CONFIG!$D$5:$D$14,0)))),""))</f>
        <v/>
      </c>
      <c r="T555" s="13"/>
      <c r="U555" s="13"/>
      <c r="V555" s="13"/>
      <c r="W555" s="13"/>
      <c r="X555" s="22" t="str">
        <f aca="false">IF(Q555="","",Q555^2)</f>
        <v/>
      </c>
      <c r="Y555" s="22" t="str">
        <f aca="false">IF(AND(C555&lt;&gt;"",C555=CERTIFICADO!$E$4,OR(CERTIFICADO!$E$5="",B555=CERTIFICADO!$E$5)),MAX($Y$4:Y554)+1,"")</f>
        <v/>
      </c>
    </row>
    <row r="556" customFormat="false" ht="15" hidden="false" customHeight="false" outlineLevel="0" collapsed="false">
      <c r="A556" s="11" t="str">
        <f aca="false">IF(C556="","",ROW()-4)</f>
        <v/>
      </c>
      <c r="B556" s="12"/>
      <c r="C556" s="13"/>
      <c r="D556" s="23" t="str">
        <f aca="false">IF(C556="","",IFERROR(INDEX(LOTES!$D$5:$D$1004,MATCH(C556,LOTES!$F$5:$F$1004,0)),"¿Lote?"))</f>
        <v/>
      </c>
      <c r="E556" s="11" t="str">
        <f aca="false">IF(C556="","",IFERROR(INDEX(LOTES!$C$5:$C$1004,MATCH(C556,LOTES!$F$5:$F$1004,0)),""))</f>
        <v/>
      </c>
      <c r="F556" s="24" t="str">
        <f aca="false">IF(C556="","",IFERROR(INDEX(LOTES!$B$5:$B$1004,MATCH(C556,LOTES!$F$5:$F$1004,0)),""))</f>
        <v/>
      </c>
      <c r="G556" s="15" t="str">
        <f aca="false">IF(OR(B556="",F556=""),"",B556-F556)</f>
        <v/>
      </c>
      <c r="H556" s="13"/>
      <c r="I556" s="13"/>
      <c r="J556" s="13"/>
      <c r="K556" s="25"/>
      <c r="L556" s="25"/>
      <c r="M556" s="25"/>
      <c r="N556" s="25"/>
      <c r="O556" s="26"/>
      <c r="P556" s="16" t="str">
        <f aca="false">IF(O556="","",IFERROR(1/(1/(IF(K556="",INDEX(CONFIG!$F$5:$F$14,MATCH(D556,CONFIG!$D$5:$D$14,0)),K556)*IF(M556="",INDEX(CONFIG!$H$5:$H$14,MATCH(D556,CONFIG!$D$5:$D$14,0)),M556))),""))</f>
        <v/>
      </c>
      <c r="Q556" s="16" t="str">
        <f aca="false">IF(OR(O556="",P556=""),"",O556/P556)</f>
        <v/>
      </c>
      <c r="R556" s="16" t="str">
        <f aca="false">IF(Q556="","",Q556*0.0980665)</f>
        <v/>
      </c>
      <c r="S556" s="16" t="str">
        <f aca="false">IF(Q556="","",IFERROR(Q556/(1/(1/INDEX(CONFIG!$I$5:$I$14,MATCH(D556,CONFIG!$D$5:$D$14,0)))),""))</f>
        <v/>
      </c>
      <c r="T556" s="13"/>
      <c r="U556" s="13"/>
      <c r="V556" s="13"/>
      <c r="W556" s="13"/>
      <c r="X556" s="22" t="str">
        <f aca="false">IF(Q556="","",Q556^2)</f>
        <v/>
      </c>
      <c r="Y556" s="22" t="str">
        <f aca="false">IF(AND(C556&lt;&gt;"",C556=CERTIFICADO!$E$4,OR(CERTIFICADO!$E$5="",B556=CERTIFICADO!$E$5)),MAX($Y$4:Y555)+1,"")</f>
        <v/>
      </c>
    </row>
    <row r="557" customFormat="false" ht="15" hidden="false" customHeight="false" outlineLevel="0" collapsed="false">
      <c r="A557" s="11" t="str">
        <f aca="false">IF(C557="","",ROW()-4)</f>
        <v/>
      </c>
      <c r="B557" s="12"/>
      <c r="C557" s="13"/>
      <c r="D557" s="23" t="str">
        <f aca="false">IF(C557="","",IFERROR(INDEX(LOTES!$D$5:$D$1004,MATCH(C557,LOTES!$F$5:$F$1004,0)),"¿Lote?"))</f>
        <v/>
      </c>
      <c r="E557" s="11" t="str">
        <f aca="false">IF(C557="","",IFERROR(INDEX(LOTES!$C$5:$C$1004,MATCH(C557,LOTES!$F$5:$F$1004,0)),""))</f>
        <v/>
      </c>
      <c r="F557" s="24" t="str">
        <f aca="false">IF(C557="","",IFERROR(INDEX(LOTES!$B$5:$B$1004,MATCH(C557,LOTES!$F$5:$F$1004,0)),""))</f>
        <v/>
      </c>
      <c r="G557" s="15" t="str">
        <f aca="false">IF(OR(B557="",F557=""),"",B557-F557)</f>
        <v/>
      </c>
      <c r="H557" s="13"/>
      <c r="I557" s="13"/>
      <c r="J557" s="13"/>
      <c r="K557" s="25"/>
      <c r="L557" s="25"/>
      <c r="M557" s="25"/>
      <c r="N557" s="25"/>
      <c r="O557" s="26"/>
      <c r="P557" s="16" t="str">
        <f aca="false">IF(O557="","",IFERROR(1/(1/(IF(K557="",INDEX(CONFIG!$F$5:$F$14,MATCH(D557,CONFIG!$D$5:$D$14,0)),K557)*IF(M557="",INDEX(CONFIG!$H$5:$H$14,MATCH(D557,CONFIG!$D$5:$D$14,0)),M557))),""))</f>
        <v/>
      </c>
      <c r="Q557" s="16" t="str">
        <f aca="false">IF(OR(O557="",P557=""),"",O557/P557)</f>
        <v/>
      </c>
      <c r="R557" s="16" t="str">
        <f aca="false">IF(Q557="","",Q557*0.0980665)</f>
        <v/>
      </c>
      <c r="S557" s="16" t="str">
        <f aca="false">IF(Q557="","",IFERROR(Q557/(1/(1/INDEX(CONFIG!$I$5:$I$14,MATCH(D557,CONFIG!$D$5:$D$14,0)))),""))</f>
        <v/>
      </c>
      <c r="T557" s="13"/>
      <c r="U557" s="13"/>
      <c r="V557" s="13"/>
      <c r="W557" s="13"/>
      <c r="X557" s="22" t="str">
        <f aca="false">IF(Q557="","",Q557^2)</f>
        <v/>
      </c>
      <c r="Y557" s="22" t="str">
        <f aca="false">IF(AND(C557&lt;&gt;"",C557=CERTIFICADO!$E$4,OR(CERTIFICADO!$E$5="",B557=CERTIFICADO!$E$5)),MAX($Y$4:Y556)+1,"")</f>
        <v/>
      </c>
    </row>
    <row r="558" customFormat="false" ht="15" hidden="false" customHeight="false" outlineLevel="0" collapsed="false">
      <c r="A558" s="11" t="str">
        <f aca="false">IF(C558="","",ROW()-4)</f>
        <v/>
      </c>
      <c r="B558" s="12"/>
      <c r="C558" s="13"/>
      <c r="D558" s="23" t="str">
        <f aca="false">IF(C558="","",IFERROR(INDEX(LOTES!$D$5:$D$1004,MATCH(C558,LOTES!$F$5:$F$1004,0)),"¿Lote?"))</f>
        <v/>
      </c>
      <c r="E558" s="11" t="str">
        <f aca="false">IF(C558="","",IFERROR(INDEX(LOTES!$C$5:$C$1004,MATCH(C558,LOTES!$F$5:$F$1004,0)),""))</f>
        <v/>
      </c>
      <c r="F558" s="24" t="str">
        <f aca="false">IF(C558="","",IFERROR(INDEX(LOTES!$B$5:$B$1004,MATCH(C558,LOTES!$F$5:$F$1004,0)),""))</f>
        <v/>
      </c>
      <c r="G558" s="15" t="str">
        <f aca="false">IF(OR(B558="",F558=""),"",B558-F558)</f>
        <v/>
      </c>
      <c r="H558" s="13"/>
      <c r="I558" s="13"/>
      <c r="J558" s="13"/>
      <c r="K558" s="25"/>
      <c r="L558" s="25"/>
      <c r="M558" s="25"/>
      <c r="N558" s="25"/>
      <c r="O558" s="26"/>
      <c r="P558" s="16" t="str">
        <f aca="false">IF(O558="","",IFERROR(1/(1/(IF(K558="",INDEX(CONFIG!$F$5:$F$14,MATCH(D558,CONFIG!$D$5:$D$14,0)),K558)*IF(M558="",INDEX(CONFIG!$H$5:$H$14,MATCH(D558,CONFIG!$D$5:$D$14,0)),M558))),""))</f>
        <v/>
      </c>
      <c r="Q558" s="16" t="str">
        <f aca="false">IF(OR(O558="",P558=""),"",O558/P558)</f>
        <v/>
      </c>
      <c r="R558" s="16" t="str">
        <f aca="false">IF(Q558="","",Q558*0.0980665)</f>
        <v/>
      </c>
      <c r="S558" s="16" t="str">
        <f aca="false">IF(Q558="","",IFERROR(Q558/(1/(1/INDEX(CONFIG!$I$5:$I$14,MATCH(D558,CONFIG!$D$5:$D$14,0)))),""))</f>
        <v/>
      </c>
      <c r="T558" s="13"/>
      <c r="U558" s="13"/>
      <c r="V558" s="13"/>
      <c r="W558" s="13"/>
      <c r="X558" s="22" t="str">
        <f aca="false">IF(Q558="","",Q558^2)</f>
        <v/>
      </c>
      <c r="Y558" s="22" t="str">
        <f aca="false">IF(AND(C558&lt;&gt;"",C558=CERTIFICADO!$E$4,OR(CERTIFICADO!$E$5="",B558=CERTIFICADO!$E$5)),MAX($Y$4:Y557)+1,"")</f>
        <v/>
      </c>
    </row>
    <row r="559" customFormat="false" ht="15" hidden="false" customHeight="false" outlineLevel="0" collapsed="false">
      <c r="A559" s="11" t="str">
        <f aca="false">IF(C559="","",ROW()-4)</f>
        <v/>
      </c>
      <c r="B559" s="12"/>
      <c r="C559" s="13"/>
      <c r="D559" s="23" t="str">
        <f aca="false">IF(C559="","",IFERROR(INDEX(LOTES!$D$5:$D$1004,MATCH(C559,LOTES!$F$5:$F$1004,0)),"¿Lote?"))</f>
        <v/>
      </c>
      <c r="E559" s="11" t="str">
        <f aca="false">IF(C559="","",IFERROR(INDEX(LOTES!$C$5:$C$1004,MATCH(C559,LOTES!$F$5:$F$1004,0)),""))</f>
        <v/>
      </c>
      <c r="F559" s="24" t="str">
        <f aca="false">IF(C559="","",IFERROR(INDEX(LOTES!$B$5:$B$1004,MATCH(C559,LOTES!$F$5:$F$1004,0)),""))</f>
        <v/>
      </c>
      <c r="G559" s="15" t="str">
        <f aca="false">IF(OR(B559="",F559=""),"",B559-F559)</f>
        <v/>
      </c>
      <c r="H559" s="13"/>
      <c r="I559" s="13"/>
      <c r="J559" s="13"/>
      <c r="K559" s="25"/>
      <c r="L559" s="25"/>
      <c r="M559" s="25"/>
      <c r="N559" s="25"/>
      <c r="O559" s="26"/>
      <c r="P559" s="16" t="str">
        <f aca="false">IF(O559="","",IFERROR(1/(1/(IF(K559="",INDEX(CONFIG!$F$5:$F$14,MATCH(D559,CONFIG!$D$5:$D$14,0)),K559)*IF(M559="",INDEX(CONFIG!$H$5:$H$14,MATCH(D559,CONFIG!$D$5:$D$14,0)),M559))),""))</f>
        <v/>
      </c>
      <c r="Q559" s="16" t="str">
        <f aca="false">IF(OR(O559="",P559=""),"",O559/P559)</f>
        <v/>
      </c>
      <c r="R559" s="16" t="str">
        <f aca="false">IF(Q559="","",Q559*0.0980665)</f>
        <v/>
      </c>
      <c r="S559" s="16" t="str">
        <f aca="false">IF(Q559="","",IFERROR(Q559/(1/(1/INDEX(CONFIG!$I$5:$I$14,MATCH(D559,CONFIG!$D$5:$D$14,0)))),""))</f>
        <v/>
      </c>
      <c r="T559" s="13"/>
      <c r="U559" s="13"/>
      <c r="V559" s="13"/>
      <c r="W559" s="13"/>
      <c r="X559" s="22" t="str">
        <f aca="false">IF(Q559="","",Q559^2)</f>
        <v/>
      </c>
      <c r="Y559" s="22" t="str">
        <f aca="false">IF(AND(C559&lt;&gt;"",C559=CERTIFICADO!$E$4,OR(CERTIFICADO!$E$5="",B559=CERTIFICADO!$E$5)),MAX($Y$4:Y558)+1,"")</f>
        <v/>
      </c>
    </row>
    <row r="560" customFormat="false" ht="15" hidden="false" customHeight="false" outlineLevel="0" collapsed="false">
      <c r="A560" s="11" t="str">
        <f aca="false">IF(C560="","",ROW()-4)</f>
        <v/>
      </c>
      <c r="B560" s="12"/>
      <c r="C560" s="13"/>
      <c r="D560" s="23" t="str">
        <f aca="false">IF(C560="","",IFERROR(INDEX(LOTES!$D$5:$D$1004,MATCH(C560,LOTES!$F$5:$F$1004,0)),"¿Lote?"))</f>
        <v/>
      </c>
      <c r="E560" s="11" t="str">
        <f aca="false">IF(C560="","",IFERROR(INDEX(LOTES!$C$5:$C$1004,MATCH(C560,LOTES!$F$5:$F$1004,0)),""))</f>
        <v/>
      </c>
      <c r="F560" s="24" t="str">
        <f aca="false">IF(C560="","",IFERROR(INDEX(LOTES!$B$5:$B$1004,MATCH(C560,LOTES!$F$5:$F$1004,0)),""))</f>
        <v/>
      </c>
      <c r="G560" s="15" t="str">
        <f aca="false">IF(OR(B560="",F560=""),"",B560-F560)</f>
        <v/>
      </c>
      <c r="H560" s="13"/>
      <c r="I560" s="13"/>
      <c r="J560" s="13"/>
      <c r="K560" s="25"/>
      <c r="L560" s="25"/>
      <c r="M560" s="25"/>
      <c r="N560" s="25"/>
      <c r="O560" s="26"/>
      <c r="P560" s="16" t="str">
        <f aca="false">IF(O560="","",IFERROR(1/(1/(IF(K560="",INDEX(CONFIG!$F$5:$F$14,MATCH(D560,CONFIG!$D$5:$D$14,0)),K560)*IF(M560="",INDEX(CONFIG!$H$5:$H$14,MATCH(D560,CONFIG!$D$5:$D$14,0)),M560))),""))</f>
        <v/>
      </c>
      <c r="Q560" s="16" t="str">
        <f aca="false">IF(OR(O560="",P560=""),"",O560/P560)</f>
        <v/>
      </c>
      <c r="R560" s="16" t="str">
        <f aca="false">IF(Q560="","",Q560*0.0980665)</f>
        <v/>
      </c>
      <c r="S560" s="16" t="str">
        <f aca="false">IF(Q560="","",IFERROR(Q560/(1/(1/INDEX(CONFIG!$I$5:$I$14,MATCH(D560,CONFIG!$D$5:$D$14,0)))),""))</f>
        <v/>
      </c>
      <c r="T560" s="13"/>
      <c r="U560" s="13"/>
      <c r="V560" s="13"/>
      <c r="W560" s="13"/>
      <c r="X560" s="22" t="str">
        <f aca="false">IF(Q560="","",Q560^2)</f>
        <v/>
      </c>
      <c r="Y560" s="22" t="str">
        <f aca="false">IF(AND(C560&lt;&gt;"",C560=CERTIFICADO!$E$4,OR(CERTIFICADO!$E$5="",B560=CERTIFICADO!$E$5)),MAX($Y$4:Y559)+1,"")</f>
        <v/>
      </c>
    </row>
    <row r="561" customFormat="false" ht="15" hidden="false" customHeight="false" outlineLevel="0" collapsed="false">
      <c r="A561" s="11" t="str">
        <f aca="false">IF(C561="","",ROW()-4)</f>
        <v/>
      </c>
      <c r="B561" s="12"/>
      <c r="C561" s="13"/>
      <c r="D561" s="23" t="str">
        <f aca="false">IF(C561="","",IFERROR(INDEX(LOTES!$D$5:$D$1004,MATCH(C561,LOTES!$F$5:$F$1004,0)),"¿Lote?"))</f>
        <v/>
      </c>
      <c r="E561" s="11" t="str">
        <f aca="false">IF(C561="","",IFERROR(INDEX(LOTES!$C$5:$C$1004,MATCH(C561,LOTES!$F$5:$F$1004,0)),""))</f>
        <v/>
      </c>
      <c r="F561" s="24" t="str">
        <f aca="false">IF(C561="","",IFERROR(INDEX(LOTES!$B$5:$B$1004,MATCH(C561,LOTES!$F$5:$F$1004,0)),""))</f>
        <v/>
      </c>
      <c r="G561" s="15" t="str">
        <f aca="false">IF(OR(B561="",F561=""),"",B561-F561)</f>
        <v/>
      </c>
      <c r="H561" s="13"/>
      <c r="I561" s="13"/>
      <c r="J561" s="13"/>
      <c r="K561" s="25"/>
      <c r="L561" s="25"/>
      <c r="M561" s="25"/>
      <c r="N561" s="25"/>
      <c r="O561" s="26"/>
      <c r="P561" s="16" t="str">
        <f aca="false">IF(O561="","",IFERROR(1/(1/(IF(K561="",INDEX(CONFIG!$F$5:$F$14,MATCH(D561,CONFIG!$D$5:$D$14,0)),K561)*IF(M561="",INDEX(CONFIG!$H$5:$H$14,MATCH(D561,CONFIG!$D$5:$D$14,0)),M561))),""))</f>
        <v/>
      </c>
      <c r="Q561" s="16" t="str">
        <f aca="false">IF(OR(O561="",P561=""),"",O561/P561)</f>
        <v/>
      </c>
      <c r="R561" s="16" t="str">
        <f aca="false">IF(Q561="","",Q561*0.0980665)</f>
        <v/>
      </c>
      <c r="S561" s="16" t="str">
        <f aca="false">IF(Q561="","",IFERROR(Q561/(1/(1/INDEX(CONFIG!$I$5:$I$14,MATCH(D561,CONFIG!$D$5:$D$14,0)))),""))</f>
        <v/>
      </c>
      <c r="T561" s="13"/>
      <c r="U561" s="13"/>
      <c r="V561" s="13"/>
      <c r="W561" s="13"/>
      <c r="X561" s="22" t="str">
        <f aca="false">IF(Q561="","",Q561^2)</f>
        <v/>
      </c>
      <c r="Y561" s="22" t="str">
        <f aca="false">IF(AND(C561&lt;&gt;"",C561=CERTIFICADO!$E$4,OR(CERTIFICADO!$E$5="",B561=CERTIFICADO!$E$5)),MAX($Y$4:Y560)+1,"")</f>
        <v/>
      </c>
    </row>
    <row r="562" customFormat="false" ht="15" hidden="false" customHeight="false" outlineLevel="0" collapsed="false">
      <c r="A562" s="11" t="str">
        <f aca="false">IF(C562="","",ROW()-4)</f>
        <v/>
      </c>
      <c r="B562" s="12"/>
      <c r="C562" s="13"/>
      <c r="D562" s="23" t="str">
        <f aca="false">IF(C562="","",IFERROR(INDEX(LOTES!$D$5:$D$1004,MATCH(C562,LOTES!$F$5:$F$1004,0)),"¿Lote?"))</f>
        <v/>
      </c>
      <c r="E562" s="11" t="str">
        <f aca="false">IF(C562="","",IFERROR(INDEX(LOTES!$C$5:$C$1004,MATCH(C562,LOTES!$F$5:$F$1004,0)),""))</f>
        <v/>
      </c>
      <c r="F562" s="24" t="str">
        <f aca="false">IF(C562="","",IFERROR(INDEX(LOTES!$B$5:$B$1004,MATCH(C562,LOTES!$F$5:$F$1004,0)),""))</f>
        <v/>
      </c>
      <c r="G562" s="15" t="str">
        <f aca="false">IF(OR(B562="",F562=""),"",B562-F562)</f>
        <v/>
      </c>
      <c r="H562" s="13"/>
      <c r="I562" s="13"/>
      <c r="J562" s="13"/>
      <c r="K562" s="25"/>
      <c r="L562" s="25"/>
      <c r="M562" s="25"/>
      <c r="N562" s="25"/>
      <c r="O562" s="26"/>
      <c r="P562" s="16" t="str">
        <f aca="false">IF(O562="","",IFERROR(1/(1/(IF(K562="",INDEX(CONFIG!$F$5:$F$14,MATCH(D562,CONFIG!$D$5:$D$14,0)),K562)*IF(M562="",INDEX(CONFIG!$H$5:$H$14,MATCH(D562,CONFIG!$D$5:$D$14,0)),M562))),""))</f>
        <v/>
      </c>
      <c r="Q562" s="16" t="str">
        <f aca="false">IF(OR(O562="",P562=""),"",O562/P562)</f>
        <v/>
      </c>
      <c r="R562" s="16" t="str">
        <f aca="false">IF(Q562="","",Q562*0.0980665)</f>
        <v/>
      </c>
      <c r="S562" s="16" t="str">
        <f aca="false">IF(Q562="","",IFERROR(Q562/(1/(1/INDEX(CONFIG!$I$5:$I$14,MATCH(D562,CONFIG!$D$5:$D$14,0)))),""))</f>
        <v/>
      </c>
      <c r="T562" s="13"/>
      <c r="U562" s="13"/>
      <c r="V562" s="13"/>
      <c r="W562" s="13"/>
      <c r="X562" s="22" t="str">
        <f aca="false">IF(Q562="","",Q562^2)</f>
        <v/>
      </c>
      <c r="Y562" s="22" t="str">
        <f aca="false">IF(AND(C562&lt;&gt;"",C562=CERTIFICADO!$E$4,OR(CERTIFICADO!$E$5="",B562=CERTIFICADO!$E$5)),MAX($Y$4:Y561)+1,"")</f>
        <v/>
      </c>
    </row>
    <row r="563" customFormat="false" ht="15" hidden="false" customHeight="false" outlineLevel="0" collapsed="false">
      <c r="A563" s="11" t="str">
        <f aca="false">IF(C563="","",ROW()-4)</f>
        <v/>
      </c>
      <c r="B563" s="12"/>
      <c r="C563" s="13"/>
      <c r="D563" s="23" t="str">
        <f aca="false">IF(C563="","",IFERROR(INDEX(LOTES!$D$5:$D$1004,MATCH(C563,LOTES!$F$5:$F$1004,0)),"¿Lote?"))</f>
        <v/>
      </c>
      <c r="E563" s="11" t="str">
        <f aca="false">IF(C563="","",IFERROR(INDEX(LOTES!$C$5:$C$1004,MATCH(C563,LOTES!$F$5:$F$1004,0)),""))</f>
        <v/>
      </c>
      <c r="F563" s="24" t="str">
        <f aca="false">IF(C563="","",IFERROR(INDEX(LOTES!$B$5:$B$1004,MATCH(C563,LOTES!$F$5:$F$1004,0)),""))</f>
        <v/>
      </c>
      <c r="G563" s="15" t="str">
        <f aca="false">IF(OR(B563="",F563=""),"",B563-F563)</f>
        <v/>
      </c>
      <c r="H563" s="13"/>
      <c r="I563" s="13"/>
      <c r="J563" s="13"/>
      <c r="K563" s="25"/>
      <c r="L563" s="25"/>
      <c r="M563" s="25"/>
      <c r="N563" s="25"/>
      <c r="O563" s="26"/>
      <c r="P563" s="16" t="str">
        <f aca="false">IF(O563="","",IFERROR(1/(1/(IF(K563="",INDEX(CONFIG!$F$5:$F$14,MATCH(D563,CONFIG!$D$5:$D$14,0)),K563)*IF(M563="",INDEX(CONFIG!$H$5:$H$14,MATCH(D563,CONFIG!$D$5:$D$14,0)),M563))),""))</f>
        <v/>
      </c>
      <c r="Q563" s="16" t="str">
        <f aca="false">IF(OR(O563="",P563=""),"",O563/P563)</f>
        <v/>
      </c>
      <c r="R563" s="16" t="str">
        <f aca="false">IF(Q563="","",Q563*0.0980665)</f>
        <v/>
      </c>
      <c r="S563" s="16" t="str">
        <f aca="false">IF(Q563="","",IFERROR(Q563/(1/(1/INDEX(CONFIG!$I$5:$I$14,MATCH(D563,CONFIG!$D$5:$D$14,0)))),""))</f>
        <v/>
      </c>
      <c r="T563" s="13"/>
      <c r="U563" s="13"/>
      <c r="V563" s="13"/>
      <c r="W563" s="13"/>
      <c r="X563" s="22" t="str">
        <f aca="false">IF(Q563="","",Q563^2)</f>
        <v/>
      </c>
      <c r="Y563" s="22" t="str">
        <f aca="false">IF(AND(C563&lt;&gt;"",C563=CERTIFICADO!$E$4,OR(CERTIFICADO!$E$5="",B563=CERTIFICADO!$E$5)),MAX($Y$4:Y562)+1,"")</f>
        <v/>
      </c>
    </row>
    <row r="564" customFormat="false" ht="15" hidden="false" customHeight="false" outlineLevel="0" collapsed="false">
      <c r="A564" s="11" t="str">
        <f aca="false">IF(C564="","",ROW()-4)</f>
        <v/>
      </c>
      <c r="B564" s="12"/>
      <c r="C564" s="13"/>
      <c r="D564" s="23" t="str">
        <f aca="false">IF(C564="","",IFERROR(INDEX(LOTES!$D$5:$D$1004,MATCH(C564,LOTES!$F$5:$F$1004,0)),"¿Lote?"))</f>
        <v/>
      </c>
      <c r="E564" s="11" t="str">
        <f aca="false">IF(C564="","",IFERROR(INDEX(LOTES!$C$5:$C$1004,MATCH(C564,LOTES!$F$5:$F$1004,0)),""))</f>
        <v/>
      </c>
      <c r="F564" s="24" t="str">
        <f aca="false">IF(C564="","",IFERROR(INDEX(LOTES!$B$5:$B$1004,MATCH(C564,LOTES!$F$5:$F$1004,0)),""))</f>
        <v/>
      </c>
      <c r="G564" s="15" t="str">
        <f aca="false">IF(OR(B564="",F564=""),"",B564-F564)</f>
        <v/>
      </c>
      <c r="H564" s="13"/>
      <c r="I564" s="13"/>
      <c r="J564" s="13"/>
      <c r="K564" s="25"/>
      <c r="L564" s="25"/>
      <c r="M564" s="25"/>
      <c r="N564" s="25"/>
      <c r="O564" s="26"/>
      <c r="P564" s="16" t="str">
        <f aca="false">IF(O564="","",IFERROR(1/(1/(IF(K564="",INDEX(CONFIG!$F$5:$F$14,MATCH(D564,CONFIG!$D$5:$D$14,0)),K564)*IF(M564="",INDEX(CONFIG!$H$5:$H$14,MATCH(D564,CONFIG!$D$5:$D$14,0)),M564))),""))</f>
        <v/>
      </c>
      <c r="Q564" s="16" t="str">
        <f aca="false">IF(OR(O564="",P564=""),"",O564/P564)</f>
        <v/>
      </c>
      <c r="R564" s="16" t="str">
        <f aca="false">IF(Q564="","",Q564*0.0980665)</f>
        <v/>
      </c>
      <c r="S564" s="16" t="str">
        <f aca="false">IF(Q564="","",IFERROR(Q564/(1/(1/INDEX(CONFIG!$I$5:$I$14,MATCH(D564,CONFIG!$D$5:$D$14,0)))),""))</f>
        <v/>
      </c>
      <c r="T564" s="13"/>
      <c r="U564" s="13"/>
      <c r="V564" s="13"/>
      <c r="W564" s="13"/>
      <c r="X564" s="22" t="str">
        <f aca="false">IF(Q564="","",Q564^2)</f>
        <v/>
      </c>
      <c r="Y564" s="22" t="str">
        <f aca="false">IF(AND(C564&lt;&gt;"",C564=CERTIFICADO!$E$4,OR(CERTIFICADO!$E$5="",B564=CERTIFICADO!$E$5)),MAX($Y$4:Y563)+1,"")</f>
        <v/>
      </c>
    </row>
    <row r="565" customFormat="false" ht="15" hidden="false" customHeight="false" outlineLevel="0" collapsed="false">
      <c r="A565" s="11" t="str">
        <f aca="false">IF(C565="","",ROW()-4)</f>
        <v/>
      </c>
      <c r="B565" s="12"/>
      <c r="C565" s="13"/>
      <c r="D565" s="23" t="str">
        <f aca="false">IF(C565="","",IFERROR(INDEX(LOTES!$D$5:$D$1004,MATCH(C565,LOTES!$F$5:$F$1004,0)),"¿Lote?"))</f>
        <v/>
      </c>
      <c r="E565" s="11" t="str">
        <f aca="false">IF(C565="","",IFERROR(INDEX(LOTES!$C$5:$C$1004,MATCH(C565,LOTES!$F$5:$F$1004,0)),""))</f>
        <v/>
      </c>
      <c r="F565" s="24" t="str">
        <f aca="false">IF(C565="","",IFERROR(INDEX(LOTES!$B$5:$B$1004,MATCH(C565,LOTES!$F$5:$F$1004,0)),""))</f>
        <v/>
      </c>
      <c r="G565" s="15" t="str">
        <f aca="false">IF(OR(B565="",F565=""),"",B565-F565)</f>
        <v/>
      </c>
      <c r="H565" s="13"/>
      <c r="I565" s="13"/>
      <c r="J565" s="13"/>
      <c r="K565" s="25"/>
      <c r="L565" s="25"/>
      <c r="M565" s="25"/>
      <c r="N565" s="25"/>
      <c r="O565" s="26"/>
      <c r="P565" s="16" t="str">
        <f aca="false">IF(O565="","",IFERROR(1/(1/(IF(K565="",INDEX(CONFIG!$F$5:$F$14,MATCH(D565,CONFIG!$D$5:$D$14,0)),K565)*IF(M565="",INDEX(CONFIG!$H$5:$H$14,MATCH(D565,CONFIG!$D$5:$D$14,0)),M565))),""))</f>
        <v/>
      </c>
      <c r="Q565" s="16" t="str">
        <f aca="false">IF(OR(O565="",P565=""),"",O565/P565)</f>
        <v/>
      </c>
      <c r="R565" s="16" t="str">
        <f aca="false">IF(Q565="","",Q565*0.0980665)</f>
        <v/>
      </c>
      <c r="S565" s="16" t="str">
        <f aca="false">IF(Q565="","",IFERROR(Q565/(1/(1/INDEX(CONFIG!$I$5:$I$14,MATCH(D565,CONFIG!$D$5:$D$14,0)))),""))</f>
        <v/>
      </c>
      <c r="T565" s="13"/>
      <c r="U565" s="13"/>
      <c r="V565" s="13"/>
      <c r="W565" s="13"/>
      <c r="X565" s="22" t="str">
        <f aca="false">IF(Q565="","",Q565^2)</f>
        <v/>
      </c>
      <c r="Y565" s="22" t="str">
        <f aca="false">IF(AND(C565&lt;&gt;"",C565=CERTIFICADO!$E$4,OR(CERTIFICADO!$E$5="",B565=CERTIFICADO!$E$5)),MAX($Y$4:Y564)+1,"")</f>
        <v/>
      </c>
    </row>
    <row r="566" customFormat="false" ht="15" hidden="false" customHeight="false" outlineLevel="0" collapsed="false">
      <c r="A566" s="11" t="str">
        <f aca="false">IF(C566="","",ROW()-4)</f>
        <v/>
      </c>
      <c r="B566" s="12"/>
      <c r="C566" s="13"/>
      <c r="D566" s="23" t="str">
        <f aca="false">IF(C566="","",IFERROR(INDEX(LOTES!$D$5:$D$1004,MATCH(C566,LOTES!$F$5:$F$1004,0)),"¿Lote?"))</f>
        <v/>
      </c>
      <c r="E566" s="11" t="str">
        <f aca="false">IF(C566="","",IFERROR(INDEX(LOTES!$C$5:$C$1004,MATCH(C566,LOTES!$F$5:$F$1004,0)),""))</f>
        <v/>
      </c>
      <c r="F566" s="24" t="str">
        <f aca="false">IF(C566="","",IFERROR(INDEX(LOTES!$B$5:$B$1004,MATCH(C566,LOTES!$F$5:$F$1004,0)),""))</f>
        <v/>
      </c>
      <c r="G566" s="15" t="str">
        <f aca="false">IF(OR(B566="",F566=""),"",B566-F566)</f>
        <v/>
      </c>
      <c r="H566" s="13"/>
      <c r="I566" s="13"/>
      <c r="J566" s="13"/>
      <c r="K566" s="25"/>
      <c r="L566" s="25"/>
      <c r="M566" s="25"/>
      <c r="N566" s="25"/>
      <c r="O566" s="26"/>
      <c r="P566" s="16" t="str">
        <f aca="false">IF(O566="","",IFERROR(1/(1/(IF(K566="",INDEX(CONFIG!$F$5:$F$14,MATCH(D566,CONFIG!$D$5:$D$14,0)),K566)*IF(M566="",INDEX(CONFIG!$H$5:$H$14,MATCH(D566,CONFIG!$D$5:$D$14,0)),M566))),""))</f>
        <v/>
      </c>
      <c r="Q566" s="16" t="str">
        <f aca="false">IF(OR(O566="",P566=""),"",O566/P566)</f>
        <v/>
      </c>
      <c r="R566" s="16" t="str">
        <f aca="false">IF(Q566="","",Q566*0.0980665)</f>
        <v/>
      </c>
      <c r="S566" s="16" t="str">
        <f aca="false">IF(Q566="","",IFERROR(Q566/(1/(1/INDEX(CONFIG!$I$5:$I$14,MATCH(D566,CONFIG!$D$5:$D$14,0)))),""))</f>
        <v/>
      </c>
      <c r="T566" s="13"/>
      <c r="U566" s="13"/>
      <c r="V566" s="13"/>
      <c r="W566" s="13"/>
      <c r="X566" s="22" t="str">
        <f aca="false">IF(Q566="","",Q566^2)</f>
        <v/>
      </c>
      <c r="Y566" s="22" t="str">
        <f aca="false">IF(AND(C566&lt;&gt;"",C566=CERTIFICADO!$E$4,OR(CERTIFICADO!$E$5="",B566=CERTIFICADO!$E$5)),MAX($Y$4:Y565)+1,"")</f>
        <v/>
      </c>
    </row>
    <row r="567" customFormat="false" ht="15" hidden="false" customHeight="false" outlineLevel="0" collapsed="false">
      <c r="A567" s="11" t="str">
        <f aca="false">IF(C567="","",ROW()-4)</f>
        <v/>
      </c>
      <c r="B567" s="12"/>
      <c r="C567" s="13"/>
      <c r="D567" s="23" t="str">
        <f aca="false">IF(C567="","",IFERROR(INDEX(LOTES!$D$5:$D$1004,MATCH(C567,LOTES!$F$5:$F$1004,0)),"¿Lote?"))</f>
        <v/>
      </c>
      <c r="E567" s="11" t="str">
        <f aca="false">IF(C567="","",IFERROR(INDEX(LOTES!$C$5:$C$1004,MATCH(C567,LOTES!$F$5:$F$1004,0)),""))</f>
        <v/>
      </c>
      <c r="F567" s="24" t="str">
        <f aca="false">IF(C567="","",IFERROR(INDEX(LOTES!$B$5:$B$1004,MATCH(C567,LOTES!$F$5:$F$1004,0)),""))</f>
        <v/>
      </c>
      <c r="G567" s="15" t="str">
        <f aca="false">IF(OR(B567="",F567=""),"",B567-F567)</f>
        <v/>
      </c>
      <c r="H567" s="13"/>
      <c r="I567" s="13"/>
      <c r="J567" s="13"/>
      <c r="K567" s="25"/>
      <c r="L567" s="25"/>
      <c r="M567" s="25"/>
      <c r="N567" s="25"/>
      <c r="O567" s="26"/>
      <c r="P567" s="16" t="str">
        <f aca="false">IF(O567="","",IFERROR(1/(1/(IF(K567="",INDEX(CONFIG!$F$5:$F$14,MATCH(D567,CONFIG!$D$5:$D$14,0)),K567)*IF(M567="",INDEX(CONFIG!$H$5:$H$14,MATCH(D567,CONFIG!$D$5:$D$14,0)),M567))),""))</f>
        <v/>
      </c>
      <c r="Q567" s="16" t="str">
        <f aca="false">IF(OR(O567="",P567=""),"",O567/P567)</f>
        <v/>
      </c>
      <c r="R567" s="16" t="str">
        <f aca="false">IF(Q567="","",Q567*0.0980665)</f>
        <v/>
      </c>
      <c r="S567" s="16" t="str">
        <f aca="false">IF(Q567="","",IFERROR(Q567/(1/(1/INDEX(CONFIG!$I$5:$I$14,MATCH(D567,CONFIG!$D$5:$D$14,0)))),""))</f>
        <v/>
      </c>
      <c r="T567" s="13"/>
      <c r="U567" s="13"/>
      <c r="V567" s="13"/>
      <c r="W567" s="13"/>
      <c r="X567" s="22" t="str">
        <f aca="false">IF(Q567="","",Q567^2)</f>
        <v/>
      </c>
      <c r="Y567" s="22" t="str">
        <f aca="false">IF(AND(C567&lt;&gt;"",C567=CERTIFICADO!$E$4,OR(CERTIFICADO!$E$5="",B567=CERTIFICADO!$E$5)),MAX($Y$4:Y566)+1,"")</f>
        <v/>
      </c>
    </row>
    <row r="568" customFormat="false" ht="15" hidden="false" customHeight="false" outlineLevel="0" collapsed="false">
      <c r="A568" s="11" t="str">
        <f aca="false">IF(C568="","",ROW()-4)</f>
        <v/>
      </c>
      <c r="B568" s="12"/>
      <c r="C568" s="13"/>
      <c r="D568" s="23" t="str">
        <f aca="false">IF(C568="","",IFERROR(INDEX(LOTES!$D$5:$D$1004,MATCH(C568,LOTES!$F$5:$F$1004,0)),"¿Lote?"))</f>
        <v/>
      </c>
      <c r="E568" s="11" t="str">
        <f aca="false">IF(C568="","",IFERROR(INDEX(LOTES!$C$5:$C$1004,MATCH(C568,LOTES!$F$5:$F$1004,0)),""))</f>
        <v/>
      </c>
      <c r="F568" s="24" t="str">
        <f aca="false">IF(C568="","",IFERROR(INDEX(LOTES!$B$5:$B$1004,MATCH(C568,LOTES!$F$5:$F$1004,0)),""))</f>
        <v/>
      </c>
      <c r="G568" s="15" t="str">
        <f aca="false">IF(OR(B568="",F568=""),"",B568-F568)</f>
        <v/>
      </c>
      <c r="H568" s="13"/>
      <c r="I568" s="13"/>
      <c r="J568" s="13"/>
      <c r="K568" s="25"/>
      <c r="L568" s="25"/>
      <c r="M568" s="25"/>
      <c r="N568" s="25"/>
      <c r="O568" s="26"/>
      <c r="P568" s="16" t="str">
        <f aca="false">IF(O568="","",IFERROR(1/(1/(IF(K568="",INDEX(CONFIG!$F$5:$F$14,MATCH(D568,CONFIG!$D$5:$D$14,0)),K568)*IF(M568="",INDEX(CONFIG!$H$5:$H$14,MATCH(D568,CONFIG!$D$5:$D$14,0)),M568))),""))</f>
        <v/>
      </c>
      <c r="Q568" s="16" t="str">
        <f aca="false">IF(OR(O568="",P568=""),"",O568/P568)</f>
        <v/>
      </c>
      <c r="R568" s="16" t="str">
        <f aca="false">IF(Q568="","",Q568*0.0980665)</f>
        <v/>
      </c>
      <c r="S568" s="16" t="str">
        <f aca="false">IF(Q568="","",IFERROR(Q568/(1/(1/INDEX(CONFIG!$I$5:$I$14,MATCH(D568,CONFIG!$D$5:$D$14,0)))),""))</f>
        <v/>
      </c>
      <c r="T568" s="13"/>
      <c r="U568" s="13"/>
      <c r="V568" s="13"/>
      <c r="W568" s="13"/>
      <c r="X568" s="22" t="str">
        <f aca="false">IF(Q568="","",Q568^2)</f>
        <v/>
      </c>
      <c r="Y568" s="22" t="str">
        <f aca="false">IF(AND(C568&lt;&gt;"",C568=CERTIFICADO!$E$4,OR(CERTIFICADO!$E$5="",B568=CERTIFICADO!$E$5)),MAX($Y$4:Y567)+1,"")</f>
        <v/>
      </c>
    </row>
    <row r="569" customFormat="false" ht="15" hidden="false" customHeight="false" outlineLevel="0" collapsed="false">
      <c r="A569" s="11" t="str">
        <f aca="false">IF(C569="","",ROW()-4)</f>
        <v/>
      </c>
      <c r="B569" s="12"/>
      <c r="C569" s="13"/>
      <c r="D569" s="23" t="str">
        <f aca="false">IF(C569="","",IFERROR(INDEX(LOTES!$D$5:$D$1004,MATCH(C569,LOTES!$F$5:$F$1004,0)),"¿Lote?"))</f>
        <v/>
      </c>
      <c r="E569" s="11" t="str">
        <f aca="false">IF(C569="","",IFERROR(INDEX(LOTES!$C$5:$C$1004,MATCH(C569,LOTES!$F$5:$F$1004,0)),""))</f>
        <v/>
      </c>
      <c r="F569" s="24" t="str">
        <f aca="false">IF(C569="","",IFERROR(INDEX(LOTES!$B$5:$B$1004,MATCH(C569,LOTES!$F$5:$F$1004,0)),""))</f>
        <v/>
      </c>
      <c r="G569" s="15" t="str">
        <f aca="false">IF(OR(B569="",F569=""),"",B569-F569)</f>
        <v/>
      </c>
      <c r="H569" s="13"/>
      <c r="I569" s="13"/>
      <c r="J569" s="13"/>
      <c r="K569" s="25"/>
      <c r="L569" s="25"/>
      <c r="M569" s="25"/>
      <c r="N569" s="25"/>
      <c r="O569" s="26"/>
      <c r="P569" s="16" t="str">
        <f aca="false">IF(O569="","",IFERROR(1/(1/(IF(K569="",INDEX(CONFIG!$F$5:$F$14,MATCH(D569,CONFIG!$D$5:$D$14,0)),K569)*IF(M569="",INDEX(CONFIG!$H$5:$H$14,MATCH(D569,CONFIG!$D$5:$D$14,0)),M569))),""))</f>
        <v/>
      </c>
      <c r="Q569" s="16" t="str">
        <f aca="false">IF(OR(O569="",P569=""),"",O569/P569)</f>
        <v/>
      </c>
      <c r="R569" s="16" t="str">
        <f aca="false">IF(Q569="","",Q569*0.0980665)</f>
        <v/>
      </c>
      <c r="S569" s="16" t="str">
        <f aca="false">IF(Q569="","",IFERROR(Q569/(1/(1/INDEX(CONFIG!$I$5:$I$14,MATCH(D569,CONFIG!$D$5:$D$14,0)))),""))</f>
        <v/>
      </c>
      <c r="T569" s="13"/>
      <c r="U569" s="13"/>
      <c r="V569" s="13"/>
      <c r="W569" s="13"/>
      <c r="X569" s="22" t="str">
        <f aca="false">IF(Q569="","",Q569^2)</f>
        <v/>
      </c>
      <c r="Y569" s="22" t="str">
        <f aca="false">IF(AND(C569&lt;&gt;"",C569=CERTIFICADO!$E$4,OR(CERTIFICADO!$E$5="",B569=CERTIFICADO!$E$5)),MAX($Y$4:Y568)+1,"")</f>
        <v/>
      </c>
    </row>
    <row r="570" customFormat="false" ht="15" hidden="false" customHeight="false" outlineLevel="0" collapsed="false">
      <c r="A570" s="11" t="str">
        <f aca="false">IF(C570="","",ROW()-4)</f>
        <v/>
      </c>
      <c r="B570" s="12"/>
      <c r="C570" s="13"/>
      <c r="D570" s="23" t="str">
        <f aca="false">IF(C570="","",IFERROR(INDEX(LOTES!$D$5:$D$1004,MATCH(C570,LOTES!$F$5:$F$1004,0)),"¿Lote?"))</f>
        <v/>
      </c>
      <c r="E570" s="11" t="str">
        <f aca="false">IF(C570="","",IFERROR(INDEX(LOTES!$C$5:$C$1004,MATCH(C570,LOTES!$F$5:$F$1004,0)),""))</f>
        <v/>
      </c>
      <c r="F570" s="24" t="str">
        <f aca="false">IF(C570="","",IFERROR(INDEX(LOTES!$B$5:$B$1004,MATCH(C570,LOTES!$F$5:$F$1004,0)),""))</f>
        <v/>
      </c>
      <c r="G570" s="15" t="str">
        <f aca="false">IF(OR(B570="",F570=""),"",B570-F570)</f>
        <v/>
      </c>
      <c r="H570" s="13"/>
      <c r="I570" s="13"/>
      <c r="J570" s="13"/>
      <c r="K570" s="25"/>
      <c r="L570" s="25"/>
      <c r="M570" s="25"/>
      <c r="N570" s="25"/>
      <c r="O570" s="26"/>
      <c r="P570" s="16" t="str">
        <f aca="false">IF(O570="","",IFERROR(1/(1/(IF(K570="",INDEX(CONFIG!$F$5:$F$14,MATCH(D570,CONFIG!$D$5:$D$14,0)),K570)*IF(M570="",INDEX(CONFIG!$H$5:$H$14,MATCH(D570,CONFIG!$D$5:$D$14,0)),M570))),""))</f>
        <v/>
      </c>
      <c r="Q570" s="16" t="str">
        <f aca="false">IF(OR(O570="",P570=""),"",O570/P570)</f>
        <v/>
      </c>
      <c r="R570" s="16" t="str">
        <f aca="false">IF(Q570="","",Q570*0.0980665)</f>
        <v/>
      </c>
      <c r="S570" s="16" t="str">
        <f aca="false">IF(Q570="","",IFERROR(Q570/(1/(1/INDEX(CONFIG!$I$5:$I$14,MATCH(D570,CONFIG!$D$5:$D$14,0)))),""))</f>
        <v/>
      </c>
      <c r="T570" s="13"/>
      <c r="U570" s="13"/>
      <c r="V570" s="13"/>
      <c r="W570" s="13"/>
      <c r="X570" s="22" t="str">
        <f aca="false">IF(Q570="","",Q570^2)</f>
        <v/>
      </c>
      <c r="Y570" s="22" t="str">
        <f aca="false">IF(AND(C570&lt;&gt;"",C570=CERTIFICADO!$E$4,OR(CERTIFICADO!$E$5="",B570=CERTIFICADO!$E$5)),MAX($Y$4:Y569)+1,"")</f>
        <v/>
      </c>
    </row>
    <row r="571" customFormat="false" ht="15" hidden="false" customHeight="false" outlineLevel="0" collapsed="false">
      <c r="A571" s="11" t="str">
        <f aca="false">IF(C571="","",ROW()-4)</f>
        <v/>
      </c>
      <c r="B571" s="12"/>
      <c r="C571" s="13"/>
      <c r="D571" s="23" t="str">
        <f aca="false">IF(C571="","",IFERROR(INDEX(LOTES!$D$5:$D$1004,MATCH(C571,LOTES!$F$5:$F$1004,0)),"¿Lote?"))</f>
        <v/>
      </c>
      <c r="E571" s="11" t="str">
        <f aca="false">IF(C571="","",IFERROR(INDEX(LOTES!$C$5:$C$1004,MATCH(C571,LOTES!$F$5:$F$1004,0)),""))</f>
        <v/>
      </c>
      <c r="F571" s="24" t="str">
        <f aca="false">IF(C571="","",IFERROR(INDEX(LOTES!$B$5:$B$1004,MATCH(C571,LOTES!$F$5:$F$1004,0)),""))</f>
        <v/>
      </c>
      <c r="G571" s="15" t="str">
        <f aca="false">IF(OR(B571="",F571=""),"",B571-F571)</f>
        <v/>
      </c>
      <c r="H571" s="13"/>
      <c r="I571" s="13"/>
      <c r="J571" s="13"/>
      <c r="K571" s="25"/>
      <c r="L571" s="25"/>
      <c r="M571" s="25"/>
      <c r="N571" s="25"/>
      <c r="O571" s="26"/>
      <c r="P571" s="16" t="str">
        <f aca="false">IF(O571="","",IFERROR(1/(1/(IF(K571="",INDEX(CONFIG!$F$5:$F$14,MATCH(D571,CONFIG!$D$5:$D$14,0)),K571)*IF(M571="",INDEX(CONFIG!$H$5:$H$14,MATCH(D571,CONFIG!$D$5:$D$14,0)),M571))),""))</f>
        <v/>
      </c>
      <c r="Q571" s="16" t="str">
        <f aca="false">IF(OR(O571="",P571=""),"",O571/P571)</f>
        <v/>
      </c>
      <c r="R571" s="16" t="str">
        <f aca="false">IF(Q571="","",Q571*0.0980665)</f>
        <v/>
      </c>
      <c r="S571" s="16" t="str">
        <f aca="false">IF(Q571="","",IFERROR(Q571/(1/(1/INDEX(CONFIG!$I$5:$I$14,MATCH(D571,CONFIG!$D$5:$D$14,0)))),""))</f>
        <v/>
      </c>
      <c r="T571" s="13"/>
      <c r="U571" s="13"/>
      <c r="V571" s="13"/>
      <c r="W571" s="13"/>
      <c r="X571" s="22" t="str">
        <f aca="false">IF(Q571="","",Q571^2)</f>
        <v/>
      </c>
      <c r="Y571" s="22" t="str">
        <f aca="false">IF(AND(C571&lt;&gt;"",C571=CERTIFICADO!$E$4,OR(CERTIFICADO!$E$5="",B571=CERTIFICADO!$E$5)),MAX($Y$4:Y570)+1,"")</f>
        <v/>
      </c>
    </row>
    <row r="572" customFormat="false" ht="15" hidden="false" customHeight="false" outlineLevel="0" collapsed="false">
      <c r="A572" s="11" t="str">
        <f aca="false">IF(C572="","",ROW()-4)</f>
        <v/>
      </c>
      <c r="B572" s="12"/>
      <c r="C572" s="13"/>
      <c r="D572" s="23" t="str">
        <f aca="false">IF(C572="","",IFERROR(INDEX(LOTES!$D$5:$D$1004,MATCH(C572,LOTES!$F$5:$F$1004,0)),"¿Lote?"))</f>
        <v/>
      </c>
      <c r="E572" s="11" t="str">
        <f aca="false">IF(C572="","",IFERROR(INDEX(LOTES!$C$5:$C$1004,MATCH(C572,LOTES!$F$5:$F$1004,0)),""))</f>
        <v/>
      </c>
      <c r="F572" s="24" t="str">
        <f aca="false">IF(C572="","",IFERROR(INDEX(LOTES!$B$5:$B$1004,MATCH(C572,LOTES!$F$5:$F$1004,0)),""))</f>
        <v/>
      </c>
      <c r="G572" s="15" t="str">
        <f aca="false">IF(OR(B572="",F572=""),"",B572-F572)</f>
        <v/>
      </c>
      <c r="H572" s="13"/>
      <c r="I572" s="13"/>
      <c r="J572" s="13"/>
      <c r="K572" s="25"/>
      <c r="L572" s="25"/>
      <c r="M572" s="25"/>
      <c r="N572" s="25"/>
      <c r="O572" s="26"/>
      <c r="P572" s="16" t="str">
        <f aca="false">IF(O572="","",IFERROR(1/(1/(IF(K572="",INDEX(CONFIG!$F$5:$F$14,MATCH(D572,CONFIG!$D$5:$D$14,0)),K572)*IF(M572="",INDEX(CONFIG!$H$5:$H$14,MATCH(D572,CONFIG!$D$5:$D$14,0)),M572))),""))</f>
        <v/>
      </c>
      <c r="Q572" s="16" t="str">
        <f aca="false">IF(OR(O572="",P572=""),"",O572/P572)</f>
        <v/>
      </c>
      <c r="R572" s="16" t="str">
        <f aca="false">IF(Q572="","",Q572*0.0980665)</f>
        <v/>
      </c>
      <c r="S572" s="16" t="str">
        <f aca="false">IF(Q572="","",IFERROR(Q572/(1/(1/INDEX(CONFIG!$I$5:$I$14,MATCH(D572,CONFIG!$D$5:$D$14,0)))),""))</f>
        <v/>
      </c>
      <c r="T572" s="13"/>
      <c r="U572" s="13"/>
      <c r="V572" s="13"/>
      <c r="W572" s="13"/>
      <c r="X572" s="22" t="str">
        <f aca="false">IF(Q572="","",Q572^2)</f>
        <v/>
      </c>
      <c r="Y572" s="22" t="str">
        <f aca="false">IF(AND(C572&lt;&gt;"",C572=CERTIFICADO!$E$4,OR(CERTIFICADO!$E$5="",B572=CERTIFICADO!$E$5)),MAX($Y$4:Y571)+1,"")</f>
        <v/>
      </c>
    </row>
    <row r="573" customFormat="false" ht="15" hidden="false" customHeight="false" outlineLevel="0" collapsed="false">
      <c r="A573" s="11" t="str">
        <f aca="false">IF(C573="","",ROW()-4)</f>
        <v/>
      </c>
      <c r="B573" s="12"/>
      <c r="C573" s="13"/>
      <c r="D573" s="23" t="str">
        <f aca="false">IF(C573="","",IFERROR(INDEX(LOTES!$D$5:$D$1004,MATCH(C573,LOTES!$F$5:$F$1004,0)),"¿Lote?"))</f>
        <v/>
      </c>
      <c r="E573" s="11" t="str">
        <f aca="false">IF(C573="","",IFERROR(INDEX(LOTES!$C$5:$C$1004,MATCH(C573,LOTES!$F$5:$F$1004,0)),""))</f>
        <v/>
      </c>
      <c r="F573" s="24" t="str">
        <f aca="false">IF(C573="","",IFERROR(INDEX(LOTES!$B$5:$B$1004,MATCH(C573,LOTES!$F$5:$F$1004,0)),""))</f>
        <v/>
      </c>
      <c r="G573" s="15" t="str">
        <f aca="false">IF(OR(B573="",F573=""),"",B573-F573)</f>
        <v/>
      </c>
      <c r="H573" s="13"/>
      <c r="I573" s="13"/>
      <c r="J573" s="13"/>
      <c r="K573" s="25"/>
      <c r="L573" s="25"/>
      <c r="M573" s="25"/>
      <c r="N573" s="25"/>
      <c r="O573" s="26"/>
      <c r="P573" s="16" t="str">
        <f aca="false">IF(O573="","",IFERROR(1/(1/(IF(K573="",INDEX(CONFIG!$F$5:$F$14,MATCH(D573,CONFIG!$D$5:$D$14,0)),K573)*IF(M573="",INDEX(CONFIG!$H$5:$H$14,MATCH(D573,CONFIG!$D$5:$D$14,0)),M573))),""))</f>
        <v/>
      </c>
      <c r="Q573" s="16" t="str">
        <f aca="false">IF(OR(O573="",P573=""),"",O573/P573)</f>
        <v/>
      </c>
      <c r="R573" s="16" t="str">
        <f aca="false">IF(Q573="","",Q573*0.0980665)</f>
        <v/>
      </c>
      <c r="S573" s="16" t="str">
        <f aca="false">IF(Q573="","",IFERROR(Q573/(1/(1/INDEX(CONFIG!$I$5:$I$14,MATCH(D573,CONFIG!$D$5:$D$14,0)))),""))</f>
        <v/>
      </c>
      <c r="T573" s="13"/>
      <c r="U573" s="13"/>
      <c r="V573" s="13"/>
      <c r="W573" s="13"/>
      <c r="X573" s="22" t="str">
        <f aca="false">IF(Q573="","",Q573^2)</f>
        <v/>
      </c>
      <c r="Y573" s="22" t="str">
        <f aca="false">IF(AND(C573&lt;&gt;"",C573=CERTIFICADO!$E$4,OR(CERTIFICADO!$E$5="",B573=CERTIFICADO!$E$5)),MAX($Y$4:Y572)+1,"")</f>
        <v/>
      </c>
    </row>
    <row r="574" customFormat="false" ht="15" hidden="false" customHeight="false" outlineLevel="0" collapsed="false">
      <c r="A574" s="11" t="str">
        <f aca="false">IF(C574="","",ROW()-4)</f>
        <v/>
      </c>
      <c r="B574" s="12"/>
      <c r="C574" s="13"/>
      <c r="D574" s="23" t="str">
        <f aca="false">IF(C574="","",IFERROR(INDEX(LOTES!$D$5:$D$1004,MATCH(C574,LOTES!$F$5:$F$1004,0)),"¿Lote?"))</f>
        <v/>
      </c>
      <c r="E574" s="11" t="str">
        <f aca="false">IF(C574="","",IFERROR(INDEX(LOTES!$C$5:$C$1004,MATCH(C574,LOTES!$F$5:$F$1004,0)),""))</f>
        <v/>
      </c>
      <c r="F574" s="24" t="str">
        <f aca="false">IF(C574="","",IFERROR(INDEX(LOTES!$B$5:$B$1004,MATCH(C574,LOTES!$F$5:$F$1004,0)),""))</f>
        <v/>
      </c>
      <c r="G574" s="15" t="str">
        <f aca="false">IF(OR(B574="",F574=""),"",B574-F574)</f>
        <v/>
      </c>
      <c r="H574" s="13"/>
      <c r="I574" s="13"/>
      <c r="J574" s="13"/>
      <c r="K574" s="25"/>
      <c r="L574" s="25"/>
      <c r="M574" s="25"/>
      <c r="N574" s="25"/>
      <c r="O574" s="26"/>
      <c r="P574" s="16" t="str">
        <f aca="false">IF(O574="","",IFERROR(1/(1/(IF(K574="",INDEX(CONFIG!$F$5:$F$14,MATCH(D574,CONFIG!$D$5:$D$14,0)),K574)*IF(M574="",INDEX(CONFIG!$H$5:$H$14,MATCH(D574,CONFIG!$D$5:$D$14,0)),M574))),""))</f>
        <v/>
      </c>
      <c r="Q574" s="16" t="str">
        <f aca="false">IF(OR(O574="",P574=""),"",O574/P574)</f>
        <v/>
      </c>
      <c r="R574" s="16" t="str">
        <f aca="false">IF(Q574="","",Q574*0.0980665)</f>
        <v/>
      </c>
      <c r="S574" s="16" t="str">
        <f aca="false">IF(Q574="","",IFERROR(Q574/(1/(1/INDEX(CONFIG!$I$5:$I$14,MATCH(D574,CONFIG!$D$5:$D$14,0)))),""))</f>
        <v/>
      </c>
      <c r="T574" s="13"/>
      <c r="U574" s="13"/>
      <c r="V574" s="13"/>
      <c r="W574" s="13"/>
      <c r="X574" s="22" t="str">
        <f aca="false">IF(Q574="","",Q574^2)</f>
        <v/>
      </c>
      <c r="Y574" s="22" t="str">
        <f aca="false">IF(AND(C574&lt;&gt;"",C574=CERTIFICADO!$E$4,OR(CERTIFICADO!$E$5="",B574=CERTIFICADO!$E$5)),MAX($Y$4:Y573)+1,"")</f>
        <v/>
      </c>
    </row>
    <row r="575" customFormat="false" ht="15" hidden="false" customHeight="false" outlineLevel="0" collapsed="false">
      <c r="A575" s="11" t="str">
        <f aca="false">IF(C575="","",ROW()-4)</f>
        <v/>
      </c>
      <c r="B575" s="12"/>
      <c r="C575" s="13"/>
      <c r="D575" s="23" t="str">
        <f aca="false">IF(C575="","",IFERROR(INDEX(LOTES!$D$5:$D$1004,MATCH(C575,LOTES!$F$5:$F$1004,0)),"¿Lote?"))</f>
        <v/>
      </c>
      <c r="E575" s="11" t="str">
        <f aca="false">IF(C575="","",IFERROR(INDEX(LOTES!$C$5:$C$1004,MATCH(C575,LOTES!$F$5:$F$1004,0)),""))</f>
        <v/>
      </c>
      <c r="F575" s="24" t="str">
        <f aca="false">IF(C575="","",IFERROR(INDEX(LOTES!$B$5:$B$1004,MATCH(C575,LOTES!$F$5:$F$1004,0)),""))</f>
        <v/>
      </c>
      <c r="G575" s="15" t="str">
        <f aca="false">IF(OR(B575="",F575=""),"",B575-F575)</f>
        <v/>
      </c>
      <c r="H575" s="13"/>
      <c r="I575" s="13"/>
      <c r="J575" s="13"/>
      <c r="K575" s="25"/>
      <c r="L575" s="25"/>
      <c r="M575" s="25"/>
      <c r="N575" s="25"/>
      <c r="O575" s="26"/>
      <c r="P575" s="16" t="str">
        <f aca="false">IF(O575="","",IFERROR(1/(1/(IF(K575="",INDEX(CONFIG!$F$5:$F$14,MATCH(D575,CONFIG!$D$5:$D$14,0)),K575)*IF(M575="",INDEX(CONFIG!$H$5:$H$14,MATCH(D575,CONFIG!$D$5:$D$14,0)),M575))),""))</f>
        <v/>
      </c>
      <c r="Q575" s="16" t="str">
        <f aca="false">IF(OR(O575="",P575=""),"",O575/P575)</f>
        <v/>
      </c>
      <c r="R575" s="16" t="str">
        <f aca="false">IF(Q575="","",Q575*0.0980665)</f>
        <v/>
      </c>
      <c r="S575" s="16" t="str">
        <f aca="false">IF(Q575="","",IFERROR(Q575/(1/(1/INDEX(CONFIG!$I$5:$I$14,MATCH(D575,CONFIG!$D$5:$D$14,0)))),""))</f>
        <v/>
      </c>
      <c r="T575" s="13"/>
      <c r="U575" s="13"/>
      <c r="V575" s="13"/>
      <c r="W575" s="13"/>
      <c r="X575" s="22" t="str">
        <f aca="false">IF(Q575="","",Q575^2)</f>
        <v/>
      </c>
      <c r="Y575" s="22" t="str">
        <f aca="false">IF(AND(C575&lt;&gt;"",C575=CERTIFICADO!$E$4,OR(CERTIFICADO!$E$5="",B575=CERTIFICADO!$E$5)),MAX($Y$4:Y574)+1,"")</f>
        <v/>
      </c>
    </row>
    <row r="576" customFormat="false" ht="15" hidden="false" customHeight="false" outlineLevel="0" collapsed="false">
      <c r="A576" s="11" t="str">
        <f aca="false">IF(C576="","",ROW()-4)</f>
        <v/>
      </c>
      <c r="B576" s="12"/>
      <c r="C576" s="13"/>
      <c r="D576" s="23" t="str">
        <f aca="false">IF(C576="","",IFERROR(INDEX(LOTES!$D$5:$D$1004,MATCH(C576,LOTES!$F$5:$F$1004,0)),"¿Lote?"))</f>
        <v/>
      </c>
      <c r="E576" s="11" t="str">
        <f aca="false">IF(C576="","",IFERROR(INDEX(LOTES!$C$5:$C$1004,MATCH(C576,LOTES!$F$5:$F$1004,0)),""))</f>
        <v/>
      </c>
      <c r="F576" s="24" t="str">
        <f aca="false">IF(C576="","",IFERROR(INDEX(LOTES!$B$5:$B$1004,MATCH(C576,LOTES!$F$5:$F$1004,0)),""))</f>
        <v/>
      </c>
      <c r="G576" s="15" t="str">
        <f aca="false">IF(OR(B576="",F576=""),"",B576-F576)</f>
        <v/>
      </c>
      <c r="H576" s="13"/>
      <c r="I576" s="13"/>
      <c r="J576" s="13"/>
      <c r="K576" s="25"/>
      <c r="L576" s="25"/>
      <c r="M576" s="25"/>
      <c r="N576" s="25"/>
      <c r="O576" s="26"/>
      <c r="P576" s="16" t="str">
        <f aca="false">IF(O576="","",IFERROR(1/(1/(IF(K576="",INDEX(CONFIG!$F$5:$F$14,MATCH(D576,CONFIG!$D$5:$D$14,0)),K576)*IF(M576="",INDEX(CONFIG!$H$5:$H$14,MATCH(D576,CONFIG!$D$5:$D$14,0)),M576))),""))</f>
        <v/>
      </c>
      <c r="Q576" s="16" t="str">
        <f aca="false">IF(OR(O576="",P576=""),"",O576/P576)</f>
        <v/>
      </c>
      <c r="R576" s="16" t="str">
        <f aca="false">IF(Q576="","",Q576*0.0980665)</f>
        <v/>
      </c>
      <c r="S576" s="16" t="str">
        <f aca="false">IF(Q576="","",IFERROR(Q576/(1/(1/INDEX(CONFIG!$I$5:$I$14,MATCH(D576,CONFIG!$D$5:$D$14,0)))),""))</f>
        <v/>
      </c>
      <c r="T576" s="13"/>
      <c r="U576" s="13"/>
      <c r="V576" s="13"/>
      <c r="W576" s="13"/>
      <c r="X576" s="22" t="str">
        <f aca="false">IF(Q576="","",Q576^2)</f>
        <v/>
      </c>
      <c r="Y576" s="22" t="str">
        <f aca="false">IF(AND(C576&lt;&gt;"",C576=CERTIFICADO!$E$4,OR(CERTIFICADO!$E$5="",B576=CERTIFICADO!$E$5)),MAX($Y$4:Y575)+1,"")</f>
        <v/>
      </c>
    </row>
    <row r="577" customFormat="false" ht="15" hidden="false" customHeight="false" outlineLevel="0" collapsed="false">
      <c r="A577" s="11" t="str">
        <f aca="false">IF(C577="","",ROW()-4)</f>
        <v/>
      </c>
      <c r="B577" s="12"/>
      <c r="C577" s="13"/>
      <c r="D577" s="23" t="str">
        <f aca="false">IF(C577="","",IFERROR(INDEX(LOTES!$D$5:$D$1004,MATCH(C577,LOTES!$F$5:$F$1004,0)),"¿Lote?"))</f>
        <v/>
      </c>
      <c r="E577" s="11" t="str">
        <f aca="false">IF(C577="","",IFERROR(INDEX(LOTES!$C$5:$C$1004,MATCH(C577,LOTES!$F$5:$F$1004,0)),""))</f>
        <v/>
      </c>
      <c r="F577" s="24" t="str">
        <f aca="false">IF(C577="","",IFERROR(INDEX(LOTES!$B$5:$B$1004,MATCH(C577,LOTES!$F$5:$F$1004,0)),""))</f>
        <v/>
      </c>
      <c r="G577" s="15" t="str">
        <f aca="false">IF(OR(B577="",F577=""),"",B577-F577)</f>
        <v/>
      </c>
      <c r="H577" s="13"/>
      <c r="I577" s="13"/>
      <c r="J577" s="13"/>
      <c r="K577" s="25"/>
      <c r="L577" s="25"/>
      <c r="M577" s="25"/>
      <c r="N577" s="25"/>
      <c r="O577" s="26"/>
      <c r="P577" s="16" t="str">
        <f aca="false">IF(O577="","",IFERROR(1/(1/(IF(K577="",INDEX(CONFIG!$F$5:$F$14,MATCH(D577,CONFIG!$D$5:$D$14,0)),K577)*IF(M577="",INDEX(CONFIG!$H$5:$H$14,MATCH(D577,CONFIG!$D$5:$D$14,0)),M577))),""))</f>
        <v/>
      </c>
      <c r="Q577" s="16" t="str">
        <f aca="false">IF(OR(O577="",P577=""),"",O577/P577)</f>
        <v/>
      </c>
      <c r="R577" s="16" t="str">
        <f aca="false">IF(Q577="","",Q577*0.0980665)</f>
        <v/>
      </c>
      <c r="S577" s="16" t="str">
        <f aca="false">IF(Q577="","",IFERROR(Q577/(1/(1/INDEX(CONFIG!$I$5:$I$14,MATCH(D577,CONFIG!$D$5:$D$14,0)))),""))</f>
        <v/>
      </c>
      <c r="T577" s="13"/>
      <c r="U577" s="13"/>
      <c r="V577" s="13"/>
      <c r="W577" s="13"/>
      <c r="X577" s="22" t="str">
        <f aca="false">IF(Q577="","",Q577^2)</f>
        <v/>
      </c>
      <c r="Y577" s="22" t="str">
        <f aca="false">IF(AND(C577&lt;&gt;"",C577=CERTIFICADO!$E$4,OR(CERTIFICADO!$E$5="",B577=CERTIFICADO!$E$5)),MAX($Y$4:Y576)+1,"")</f>
        <v/>
      </c>
    </row>
    <row r="578" customFormat="false" ht="15" hidden="false" customHeight="false" outlineLevel="0" collapsed="false">
      <c r="A578" s="11" t="str">
        <f aca="false">IF(C578="","",ROW()-4)</f>
        <v/>
      </c>
      <c r="B578" s="12"/>
      <c r="C578" s="13"/>
      <c r="D578" s="23" t="str">
        <f aca="false">IF(C578="","",IFERROR(INDEX(LOTES!$D$5:$D$1004,MATCH(C578,LOTES!$F$5:$F$1004,0)),"¿Lote?"))</f>
        <v/>
      </c>
      <c r="E578" s="11" t="str">
        <f aca="false">IF(C578="","",IFERROR(INDEX(LOTES!$C$5:$C$1004,MATCH(C578,LOTES!$F$5:$F$1004,0)),""))</f>
        <v/>
      </c>
      <c r="F578" s="24" t="str">
        <f aca="false">IF(C578="","",IFERROR(INDEX(LOTES!$B$5:$B$1004,MATCH(C578,LOTES!$F$5:$F$1004,0)),""))</f>
        <v/>
      </c>
      <c r="G578" s="15" t="str">
        <f aca="false">IF(OR(B578="",F578=""),"",B578-F578)</f>
        <v/>
      </c>
      <c r="H578" s="13"/>
      <c r="I578" s="13"/>
      <c r="J578" s="13"/>
      <c r="K578" s="25"/>
      <c r="L578" s="25"/>
      <c r="M578" s="25"/>
      <c r="N578" s="25"/>
      <c r="O578" s="26"/>
      <c r="P578" s="16" t="str">
        <f aca="false">IF(O578="","",IFERROR(1/(1/(IF(K578="",INDEX(CONFIG!$F$5:$F$14,MATCH(D578,CONFIG!$D$5:$D$14,0)),K578)*IF(M578="",INDEX(CONFIG!$H$5:$H$14,MATCH(D578,CONFIG!$D$5:$D$14,0)),M578))),""))</f>
        <v/>
      </c>
      <c r="Q578" s="16" t="str">
        <f aca="false">IF(OR(O578="",P578=""),"",O578/P578)</f>
        <v/>
      </c>
      <c r="R578" s="16" t="str">
        <f aca="false">IF(Q578="","",Q578*0.0980665)</f>
        <v/>
      </c>
      <c r="S578" s="16" t="str">
        <f aca="false">IF(Q578="","",IFERROR(Q578/(1/(1/INDEX(CONFIG!$I$5:$I$14,MATCH(D578,CONFIG!$D$5:$D$14,0)))),""))</f>
        <v/>
      </c>
      <c r="T578" s="13"/>
      <c r="U578" s="13"/>
      <c r="V578" s="13"/>
      <c r="W578" s="13"/>
      <c r="X578" s="22" t="str">
        <f aca="false">IF(Q578="","",Q578^2)</f>
        <v/>
      </c>
      <c r="Y578" s="22" t="str">
        <f aca="false">IF(AND(C578&lt;&gt;"",C578=CERTIFICADO!$E$4,OR(CERTIFICADO!$E$5="",B578=CERTIFICADO!$E$5)),MAX($Y$4:Y577)+1,"")</f>
        <v/>
      </c>
    </row>
    <row r="579" customFormat="false" ht="15" hidden="false" customHeight="false" outlineLevel="0" collapsed="false">
      <c r="A579" s="11" t="str">
        <f aca="false">IF(C579="","",ROW()-4)</f>
        <v/>
      </c>
      <c r="B579" s="12"/>
      <c r="C579" s="13"/>
      <c r="D579" s="23" t="str">
        <f aca="false">IF(C579="","",IFERROR(INDEX(LOTES!$D$5:$D$1004,MATCH(C579,LOTES!$F$5:$F$1004,0)),"¿Lote?"))</f>
        <v/>
      </c>
      <c r="E579" s="11" t="str">
        <f aca="false">IF(C579="","",IFERROR(INDEX(LOTES!$C$5:$C$1004,MATCH(C579,LOTES!$F$5:$F$1004,0)),""))</f>
        <v/>
      </c>
      <c r="F579" s="24" t="str">
        <f aca="false">IF(C579="","",IFERROR(INDEX(LOTES!$B$5:$B$1004,MATCH(C579,LOTES!$F$5:$F$1004,0)),""))</f>
        <v/>
      </c>
      <c r="G579" s="15" t="str">
        <f aca="false">IF(OR(B579="",F579=""),"",B579-F579)</f>
        <v/>
      </c>
      <c r="H579" s="13"/>
      <c r="I579" s="13"/>
      <c r="J579" s="13"/>
      <c r="K579" s="25"/>
      <c r="L579" s="25"/>
      <c r="M579" s="25"/>
      <c r="N579" s="25"/>
      <c r="O579" s="26"/>
      <c r="P579" s="16" t="str">
        <f aca="false">IF(O579="","",IFERROR(1/(1/(IF(K579="",INDEX(CONFIG!$F$5:$F$14,MATCH(D579,CONFIG!$D$5:$D$14,0)),K579)*IF(M579="",INDEX(CONFIG!$H$5:$H$14,MATCH(D579,CONFIG!$D$5:$D$14,0)),M579))),""))</f>
        <v/>
      </c>
      <c r="Q579" s="16" t="str">
        <f aca="false">IF(OR(O579="",P579=""),"",O579/P579)</f>
        <v/>
      </c>
      <c r="R579" s="16" t="str">
        <f aca="false">IF(Q579="","",Q579*0.0980665)</f>
        <v/>
      </c>
      <c r="S579" s="16" t="str">
        <f aca="false">IF(Q579="","",IFERROR(Q579/(1/(1/INDEX(CONFIG!$I$5:$I$14,MATCH(D579,CONFIG!$D$5:$D$14,0)))),""))</f>
        <v/>
      </c>
      <c r="T579" s="13"/>
      <c r="U579" s="13"/>
      <c r="V579" s="13"/>
      <c r="W579" s="13"/>
      <c r="X579" s="22" t="str">
        <f aca="false">IF(Q579="","",Q579^2)</f>
        <v/>
      </c>
      <c r="Y579" s="22" t="str">
        <f aca="false">IF(AND(C579&lt;&gt;"",C579=CERTIFICADO!$E$4,OR(CERTIFICADO!$E$5="",B579=CERTIFICADO!$E$5)),MAX($Y$4:Y578)+1,"")</f>
        <v/>
      </c>
    </row>
    <row r="580" customFormat="false" ht="15" hidden="false" customHeight="false" outlineLevel="0" collapsed="false">
      <c r="A580" s="11" t="str">
        <f aca="false">IF(C580="","",ROW()-4)</f>
        <v/>
      </c>
      <c r="B580" s="12"/>
      <c r="C580" s="13"/>
      <c r="D580" s="23" t="str">
        <f aca="false">IF(C580="","",IFERROR(INDEX(LOTES!$D$5:$D$1004,MATCH(C580,LOTES!$F$5:$F$1004,0)),"¿Lote?"))</f>
        <v/>
      </c>
      <c r="E580" s="11" t="str">
        <f aca="false">IF(C580="","",IFERROR(INDEX(LOTES!$C$5:$C$1004,MATCH(C580,LOTES!$F$5:$F$1004,0)),""))</f>
        <v/>
      </c>
      <c r="F580" s="24" t="str">
        <f aca="false">IF(C580="","",IFERROR(INDEX(LOTES!$B$5:$B$1004,MATCH(C580,LOTES!$F$5:$F$1004,0)),""))</f>
        <v/>
      </c>
      <c r="G580" s="15" t="str">
        <f aca="false">IF(OR(B580="",F580=""),"",B580-F580)</f>
        <v/>
      </c>
      <c r="H580" s="13"/>
      <c r="I580" s="13"/>
      <c r="J580" s="13"/>
      <c r="K580" s="25"/>
      <c r="L580" s="25"/>
      <c r="M580" s="25"/>
      <c r="N580" s="25"/>
      <c r="O580" s="26"/>
      <c r="P580" s="16" t="str">
        <f aca="false">IF(O580="","",IFERROR(1/(1/(IF(K580="",INDEX(CONFIG!$F$5:$F$14,MATCH(D580,CONFIG!$D$5:$D$14,0)),K580)*IF(M580="",INDEX(CONFIG!$H$5:$H$14,MATCH(D580,CONFIG!$D$5:$D$14,0)),M580))),""))</f>
        <v/>
      </c>
      <c r="Q580" s="16" t="str">
        <f aca="false">IF(OR(O580="",P580=""),"",O580/P580)</f>
        <v/>
      </c>
      <c r="R580" s="16" t="str">
        <f aca="false">IF(Q580="","",Q580*0.0980665)</f>
        <v/>
      </c>
      <c r="S580" s="16" t="str">
        <f aca="false">IF(Q580="","",IFERROR(Q580/(1/(1/INDEX(CONFIG!$I$5:$I$14,MATCH(D580,CONFIG!$D$5:$D$14,0)))),""))</f>
        <v/>
      </c>
      <c r="T580" s="13"/>
      <c r="U580" s="13"/>
      <c r="V580" s="13"/>
      <c r="W580" s="13"/>
      <c r="X580" s="22" t="str">
        <f aca="false">IF(Q580="","",Q580^2)</f>
        <v/>
      </c>
      <c r="Y580" s="22" t="str">
        <f aca="false">IF(AND(C580&lt;&gt;"",C580=CERTIFICADO!$E$4,OR(CERTIFICADO!$E$5="",B580=CERTIFICADO!$E$5)),MAX($Y$4:Y579)+1,"")</f>
        <v/>
      </c>
    </row>
    <row r="581" customFormat="false" ht="15" hidden="false" customHeight="false" outlineLevel="0" collapsed="false">
      <c r="A581" s="11" t="str">
        <f aca="false">IF(C581="","",ROW()-4)</f>
        <v/>
      </c>
      <c r="B581" s="12"/>
      <c r="C581" s="13"/>
      <c r="D581" s="23" t="str">
        <f aca="false">IF(C581="","",IFERROR(INDEX(LOTES!$D$5:$D$1004,MATCH(C581,LOTES!$F$5:$F$1004,0)),"¿Lote?"))</f>
        <v/>
      </c>
      <c r="E581" s="11" t="str">
        <f aca="false">IF(C581="","",IFERROR(INDEX(LOTES!$C$5:$C$1004,MATCH(C581,LOTES!$F$5:$F$1004,0)),""))</f>
        <v/>
      </c>
      <c r="F581" s="24" t="str">
        <f aca="false">IF(C581="","",IFERROR(INDEX(LOTES!$B$5:$B$1004,MATCH(C581,LOTES!$F$5:$F$1004,0)),""))</f>
        <v/>
      </c>
      <c r="G581" s="15" t="str">
        <f aca="false">IF(OR(B581="",F581=""),"",B581-F581)</f>
        <v/>
      </c>
      <c r="H581" s="13"/>
      <c r="I581" s="13"/>
      <c r="J581" s="13"/>
      <c r="K581" s="25"/>
      <c r="L581" s="25"/>
      <c r="M581" s="25"/>
      <c r="N581" s="25"/>
      <c r="O581" s="26"/>
      <c r="P581" s="16" t="str">
        <f aca="false">IF(O581="","",IFERROR(1/(1/(IF(K581="",INDEX(CONFIG!$F$5:$F$14,MATCH(D581,CONFIG!$D$5:$D$14,0)),K581)*IF(M581="",INDEX(CONFIG!$H$5:$H$14,MATCH(D581,CONFIG!$D$5:$D$14,0)),M581))),""))</f>
        <v/>
      </c>
      <c r="Q581" s="16" t="str">
        <f aca="false">IF(OR(O581="",P581=""),"",O581/P581)</f>
        <v/>
      </c>
      <c r="R581" s="16" t="str">
        <f aca="false">IF(Q581="","",Q581*0.0980665)</f>
        <v/>
      </c>
      <c r="S581" s="16" t="str">
        <f aca="false">IF(Q581="","",IFERROR(Q581/(1/(1/INDEX(CONFIG!$I$5:$I$14,MATCH(D581,CONFIG!$D$5:$D$14,0)))),""))</f>
        <v/>
      </c>
      <c r="T581" s="13"/>
      <c r="U581" s="13"/>
      <c r="V581" s="13"/>
      <c r="W581" s="13"/>
      <c r="X581" s="22" t="str">
        <f aca="false">IF(Q581="","",Q581^2)</f>
        <v/>
      </c>
      <c r="Y581" s="22" t="str">
        <f aca="false">IF(AND(C581&lt;&gt;"",C581=CERTIFICADO!$E$4,OR(CERTIFICADO!$E$5="",B581=CERTIFICADO!$E$5)),MAX($Y$4:Y580)+1,"")</f>
        <v/>
      </c>
    </row>
    <row r="582" customFormat="false" ht="15" hidden="false" customHeight="false" outlineLevel="0" collapsed="false">
      <c r="A582" s="11" t="str">
        <f aca="false">IF(C582="","",ROW()-4)</f>
        <v/>
      </c>
      <c r="B582" s="12"/>
      <c r="C582" s="13"/>
      <c r="D582" s="23" t="str">
        <f aca="false">IF(C582="","",IFERROR(INDEX(LOTES!$D$5:$D$1004,MATCH(C582,LOTES!$F$5:$F$1004,0)),"¿Lote?"))</f>
        <v/>
      </c>
      <c r="E582" s="11" t="str">
        <f aca="false">IF(C582="","",IFERROR(INDEX(LOTES!$C$5:$C$1004,MATCH(C582,LOTES!$F$5:$F$1004,0)),""))</f>
        <v/>
      </c>
      <c r="F582" s="24" t="str">
        <f aca="false">IF(C582="","",IFERROR(INDEX(LOTES!$B$5:$B$1004,MATCH(C582,LOTES!$F$5:$F$1004,0)),""))</f>
        <v/>
      </c>
      <c r="G582" s="15" t="str">
        <f aca="false">IF(OR(B582="",F582=""),"",B582-F582)</f>
        <v/>
      </c>
      <c r="H582" s="13"/>
      <c r="I582" s="13"/>
      <c r="J582" s="13"/>
      <c r="K582" s="25"/>
      <c r="L582" s="25"/>
      <c r="M582" s="25"/>
      <c r="N582" s="25"/>
      <c r="O582" s="26"/>
      <c r="P582" s="16" t="str">
        <f aca="false">IF(O582="","",IFERROR(1/(1/(IF(K582="",INDEX(CONFIG!$F$5:$F$14,MATCH(D582,CONFIG!$D$5:$D$14,0)),K582)*IF(M582="",INDEX(CONFIG!$H$5:$H$14,MATCH(D582,CONFIG!$D$5:$D$14,0)),M582))),""))</f>
        <v/>
      </c>
      <c r="Q582" s="16" t="str">
        <f aca="false">IF(OR(O582="",P582=""),"",O582/P582)</f>
        <v/>
      </c>
      <c r="R582" s="16" t="str">
        <f aca="false">IF(Q582="","",Q582*0.0980665)</f>
        <v/>
      </c>
      <c r="S582" s="16" t="str">
        <f aca="false">IF(Q582="","",IFERROR(Q582/(1/(1/INDEX(CONFIG!$I$5:$I$14,MATCH(D582,CONFIG!$D$5:$D$14,0)))),""))</f>
        <v/>
      </c>
      <c r="T582" s="13"/>
      <c r="U582" s="13"/>
      <c r="V582" s="13"/>
      <c r="W582" s="13"/>
      <c r="X582" s="22" t="str">
        <f aca="false">IF(Q582="","",Q582^2)</f>
        <v/>
      </c>
      <c r="Y582" s="22" t="str">
        <f aca="false">IF(AND(C582&lt;&gt;"",C582=CERTIFICADO!$E$4,OR(CERTIFICADO!$E$5="",B582=CERTIFICADO!$E$5)),MAX($Y$4:Y581)+1,"")</f>
        <v/>
      </c>
    </row>
    <row r="583" customFormat="false" ht="15" hidden="false" customHeight="false" outlineLevel="0" collapsed="false">
      <c r="A583" s="11" t="str">
        <f aca="false">IF(C583="","",ROW()-4)</f>
        <v/>
      </c>
      <c r="B583" s="12"/>
      <c r="C583" s="13"/>
      <c r="D583" s="23" t="str">
        <f aca="false">IF(C583="","",IFERROR(INDEX(LOTES!$D$5:$D$1004,MATCH(C583,LOTES!$F$5:$F$1004,0)),"¿Lote?"))</f>
        <v/>
      </c>
      <c r="E583" s="11" t="str">
        <f aca="false">IF(C583="","",IFERROR(INDEX(LOTES!$C$5:$C$1004,MATCH(C583,LOTES!$F$5:$F$1004,0)),""))</f>
        <v/>
      </c>
      <c r="F583" s="24" t="str">
        <f aca="false">IF(C583="","",IFERROR(INDEX(LOTES!$B$5:$B$1004,MATCH(C583,LOTES!$F$5:$F$1004,0)),""))</f>
        <v/>
      </c>
      <c r="G583" s="15" t="str">
        <f aca="false">IF(OR(B583="",F583=""),"",B583-F583)</f>
        <v/>
      </c>
      <c r="H583" s="13"/>
      <c r="I583" s="13"/>
      <c r="J583" s="13"/>
      <c r="K583" s="25"/>
      <c r="L583" s="25"/>
      <c r="M583" s="25"/>
      <c r="N583" s="25"/>
      <c r="O583" s="26"/>
      <c r="P583" s="16" t="str">
        <f aca="false">IF(O583="","",IFERROR(1/(1/(IF(K583="",INDEX(CONFIG!$F$5:$F$14,MATCH(D583,CONFIG!$D$5:$D$14,0)),K583)*IF(M583="",INDEX(CONFIG!$H$5:$H$14,MATCH(D583,CONFIG!$D$5:$D$14,0)),M583))),""))</f>
        <v/>
      </c>
      <c r="Q583" s="16" t="str">
        <f aca="false">IF(OR(O583="",P583=""),"",O583/P583)</f>
        <v/>
      </c>
      <c r="R583" s="16" t="str">
        <f aca="false">IF(Q583="","",Q583*0.0980665)</f>
        <v/>
      </c>
      <c r="S583" s="16" t="str">
        <f aca="false">IF(Q583="","",IFERROR(Q583/(1/(1/INDEX(CONFIG!$I$5:$I$14,MATCH(D583,CONFIG!$D$5:$D$14,0)))),""))</f>
        <v/>
      </c>
      <c r="T583" s="13"/>
      <c r="U583" s="13"/>
      <c r="V583" s="13"/>
      <c r="W583" s="13"/>
      <c r="X583" s="22" t="str">
        <f aca="false">IF(Q583="","",Q583^2)</f>
        <v/>
      </c>
      <c r="Y583" s="22" t="str">
        <f aca="false">IF(AND(C583&lt;&gt;"",C583=CERTIFICADO!$E$4,OR(CERTIFICADO!$E$5="",B583=CERTIFICADO!$E$5)),MAX($Y$4:Y582)+1,"")</f>
        <v/>
      </c>
    </row>
    <row r="584" customFormat="false" ht="15" hidden="false" customHeight="false" outlineLevel="0" collapsed="false">
      <c r="A584" s="11" t="str">
        <f aca="false">IF(C584="","",ROW()-4)</f>
        <v/>
      </c>
      <c r="B584" s="12"/>
      <c r="C584" s="13"/>
      <c r="D584" s="23" t="str">
        <f aca="false">IF(C584="","",IFERROR(INDEX(LOTES!$D$5:$D$1004,MATCH(C584,LOTES!$F$5:$F$1004,0)),"¿Lote?"))</f>
        <v/>
      </c>
      <c r="E584" s="11" t="str">
        <f aca="false">IF(C584="","",IFERROR(INDEX(LOTES!$C$5:$C$1004,MATCH(C584,LOTES!$F$5:$F$1004,0)),""))</f>
        <v/>
      </c>
      <c r="F584" s="24" t="str">
        <f aca="false">IF(C584="","",IFERROR(INDEX(LOTES!$B$5:$B$1004,MATCH(C584,LOTES!$F$5:$F$1004,0)),""))</f>
        <v/>
      </c>
      <c r="G584" s="15" t="str">
        <f aca="false">IF(OR(B584="",F584=""),"",B584-F584)</f>
        <v/>
      </c>
      <c r="H584" s="13"/>
      <c r="I584" s="13"/>
      <c r="J584" s="13"/>
      <c r="K584" s="25"/>
      <c r="L584" s="25"/>
      <c r="M584" s="25"/>
      <c r="N584" s="25"/>
      <c r="O584" s="26"/>
      <c r="P584" s="16" t="str">
        <f aca="false">IF(O584="","",IFERROR(1/(1/(IF(K584="",INDEX(CONFIG!$F$5:$F$14,MATCH(D584,CONFIG!$D$5:$D$14,0)),K584)*IF(M584="",INDEX(CONFIG!$H$5:$H$14,MATCH(D584,CONFIG!$D$5:$D$14,0)),M584))),""))</f>
        <v/>
      </c>
      <c r="Q584" s="16" t="str">
        <f aca="false">IF(OR(O584="",P584=""),"",O584/P584)</f>
        <v/>
      </c>
      <c r="R584" s="16" t="str">
        <f aca="false">IF(Q584="","",Q584*0.0980665)</f>
        <v/>
      </c>
      <c r="S584" s="16" t="str">
        <f aca="false">IF(Q584="","",IFERROR(Q584/(1/(1/INDEX(CONFIG!$I$5:$I$14,MATCH(D584,CONFIG!$D$5:$D$14,0)))),""))</f>
        <v/>
      </c>
      <c r="T584" s="13"/>
      <c r="U584" s="13"/>
      <c r="V584" s="13"/>
      <c r="W584" s="13"/>
      <c r="X584" s="22" t="str">
        <f aca="false">IF(Q584="","",Q584^2)</f>
        <v/>
      </c>
      <c r="Y584" s="22" t="str">
        <f aca="false">IF(AND(C584&lt;&gt;"",C584=CERTIFICADO!$E$4,OR(CERTIFICADO!$E$5="",B584=CERTIFICADO!$E$5)),MAX($Y$4:Y583)+1,"")</f>
        <v/>
      </c>
    </row>
    <row r="585" customFormat="false" ht="15" hidden="false" customHeight="false" outlineLevel="0" collapsed="false">
      <c r="A585" s="11" t="str">
        <f aca="false">IF(C585="","",ROW()-4)</f>
        <v/>
      </c>
      <c r="B585" s="12"/>
      <c r="C585" s="13"/>
      <c r="D585" s="23" t="str">
        <f aca="false">IF(C585="","",IFERROR(INDEX(LOTES!$D$5:$D$1004,MATCH(C585,LOTES!$F$5:$F$1004,0)),"¿Lote?"))</f>
        <v/>
      </c>
      <c r="E585" s="11" t="str">
        <f aca="false">IF(C585="","",IFERROR(INDEX(LOTES!$C$5:$C$1004,MATCH(C585,LOTES!$F$5:$F$1004,0)),""))</f>
        <v/>
      </c>
      <c r="F585" s="24" t="str">
        <f aca="false">IF(C585="","",IFERROR(INDEX(LOTES!$B$5:$B$1004,MATCH(C585,LOTES!$F$5:$F$1004,0)),""))</f>
        <v/>
      </c>
      <c r="G585" s="15" t="str">
        <f aca="false">IF(OR(B585="",F585=""),"",B585-F585)</f>
        <v/>
      </c>
      <c r="H585" s="13"/>
      <c r="I585" s="13"/>
      <c r="J585" s="13"/>
      <c r="K585" s="25"/>
      <c r="L585" s="25"/>
      <c r="M585" s="25"/>
      <c r="N585" s="25"/>
      <c r="O585" s="26"/>
      <c r="P585" s="16" t="str">
        <f aca="false">IF(O585="","",IFERROR(1/(1/(IF(K585="",INDEX(CONFIG!$F$5:$F$14,MATCH(D585,CONFIG!$D$5:$D$14,0)),K585)*IF(M585="",INDEX(CONFIG!$H$5:$H$14,MATCH(D585,CONFIG!$D$5:$D$14,0)),M585))),""))</f>
        <v/>
      </c>
      <c r="Q585" s="16" t="str">
        <f aca="false">IF(OR(O585="",P585=""),"",O585/P585)</f>
        <v/>
      </c>
      <c r="R585" s="16" t="str">
        <f aca="false">IF(Q585="","",Q585*0.0980665)</f>
        <v/>
      </c>
      <c r="S585" s="16" t="str">
        <f aca="false">IF(Q585="","",IFERROR(Q585/(1/(1/INDEX(CONFIG!$I$5:$I$14,MATCH(D585,CONFIG!$D$5:$D$14,0)))),""))</f>
        <v/>
      </c>
      <c r="T585" s="13"/>
      <c r="U585" s="13"/>
      <c r="V585" s="13"/>
      <c r="W585" s="13"/>
      <c r="X585" s="22" t="str">
        <f aca="false">IF(Q585="","",Q585^2)</f>
        <v/>
      </c>
      <c r="Y585" s="22" t="str">
        <f aca="false">IF(AND(C585&lt;&gt;"",C585=CERTIFICADO!$E$4,OR(CERTIFICADO!$E$5="",B585=CERTIFICADO!$E$5)),MAX($Y$4:Y584)+1,"")</f>
        <v/>
      </c>
    </row>
    <row r="586" customFormat="false" ht="15" hidden="false" customHeight="false" outlineLevel="0" collapsed="false">
      <c r="A586" s="11" t="str">
        <f aca="false">IF(C586="","",ROW()-4)</f>
        <v/>
      </c>
      <c r="B586" s="12"/>
      <c r="C586" s="13"/>
      <c r="D586" s="23" t="str">
        <f aca="false">IF(C586="","",IFERROR(INDEX(LOTES!$D$5:$D$1004,MATCH(C586,LOTES!$F$5:$F$1004,0)),"¿Lote?"))</f>
        <v/>
      </c>
      <c r="E586" s="11" t="str">
        <f aca="false">IF(C586="","",IFERROR(INDEX(LOTES!$C$5:$C$1004,MATCH(C586,LOTES!$F$5:$F$1004,0)),""))</f>
        <v/>
      </c>
      <c r="F586" s="24" t="str">
        <f aca="false">IF(C586="","",IFERROR(INDEX(LOTES!$B$5:$B$1004,MATCH(C586,LOTES!$F$5:$F$1004,0)),""))</f>
        <v/>
      </c>
      <c r="G586" s="15" t="str">
        <f aca="false">IF(OR(B586="",F586=""),"",B586-F586)</f>
        <v/>
      </c>
      <c r="H586" s="13"/>
      <c r="I586" s="13"/>
      <c r="J586" s="13"/>
      <c r="K586" s="25"/>
      <c r="L586" s="25"/>
      <c r="M586" s="25"/>
      <c r="N586" s="25"/>
      <c r="O586" s="26"/>
      <c r="P586" s="16" t="str">
        <f aca="false">IF(O586="","",IFERROR(1/(1/(IF(K586="",INDEX(CONFIG!$F$5:$F$14,MATCH(D586,CONFIG!$D$5:$D$14,0)),K586)*IF(M586="",INDEX(CONFIG!$H$5:$H$14,MATCH(D586,CONFIG!$D$5:$D$14,0)),M586))),""))</f>
        <v/>
      </c>
      <c r="Q586" s="16" t="str">
        <f aca="false">IF(OR(O586="",P586=""),"",O586/P586)</f>
        <v/>
      </c>
      <c r="R586" s="16" t="str">
        <f aca="false">IF(Q586="","",Q586*0.0980665)</f>
        <v/>
      </c>
      <c r="S586" s="16" t="str">
        <f aca="false">IF(Q586="","",IFERROR(Q586/(1/(1/INDEX(CONFIG!$I$5:$I$14,MATCH(D586,CONFIG!$D$5:$D$14,0)))),""))</f>
        <v/>
      </c>
      <c r="T586" s="13"/>
      <c r="U586" s="13"/>
      <c r="V586" s="13"/>
      <c r="W586" s="13"/>
      <c r="X586" s="22" t="str">
        <f aca="false">IF(Q586="","",Q586^2)</f>
        <v/>
      </c>
      <c r="Y586" s="22" t="str">
        <f aca="false">IF(AND(C586&lt;&gt;"",C586=CERTIFICADO!$E$4,OR(CERTIFICADO!$E$5="",B586=CERTIFICADO!$E$5)),MAX($Y$4:Y585)+1,"")</f>
        <v/>
      </c>
    </row>
    <row r="587" customFormat="false" ht="15" hidden="false" customHeight="false" outlineLevel="0" collapsed="false">
      <c r="A587" s="11" t="str">
        <f aca="false">IF(C587="","",ROW()-4)</f>
        <v/>
      </c>
      <c r="B587" s="12"/>
      <c r="C587" s="13"/>
      <c r="D587" s="23" t="str">
        <f aca="false">IF(C587="","",IFERROR(INDEX(LOTES!$D$5:$D$1004,MATCH(C587,LOTES!$F$5:$F$1004,0)),"¿Lote?"))</f>
        <v/>
      </c>
      <c r="E587" s="11" t="str">
        <f aca="false">IF(C587="","",IFERROR(INDEX(LOTES!$C$5:$C$1004,MATCH(C587,LOTES!$F$5:$F$1004,0)),""))</f>
        <v/>
      </c>
      <c r="F587" s="24" t="str">
        <f aca="false">IF(C587="","",IFERROR(INDEX(LOTES!$B$5:$B$1004,MATCH(C587,LOTES!$F$5:$F$1004,0)),""))</f>
        <v/>
      </c>
      <c r="G587" s="15" t="str">
        <f aca="false">IF(OR(B587="",F587=""),"",B587-F587)</f>
        <v/>
      </c>
      <c r="H587" s="13"/>
      <c r="I587" s="13"/>
      <c r="J587" s="13"/>
      <c r="K587" s="25"/>
      <c r="L587" s="25"/>
      <c r="M587" s="25"/>
      <c r="N587" s="25"/>
      <c r="O587" s="26"/>
      <c r="P587" s="16" t="str">
        <f aca="false">IF(O587="","",IFERROR(1/(1/(IF(K587="",INDEX(CONFIG!$F$5:$F$14,MATCH(D587,CONFIG!$D$5:$D$14,0)),K587)*IF(M587="",INDEX(CONFIG!$H$5:$H$14,MATCH(D587,CONFIG!$D$5:$D$14,0)),M587))),""))</f>
        <v/>
      </c>
      <c r="Q587" s="16" t="str">
        <f aca="false">IF(OR(O587="",P587=""),"",O587/P587)</f>
        <v/>
      </c>
      <c r="R587" s="16" t="str">
        <f aca="false">IF(Q587="","",Q587*0.0980665)</f>
        <v/>
      </c>
      <c r="S587" s="16" t="str">
        <f aca="false">IF(Q587="","",IFERROR(Q587/(1/(1/INDEX(CONFIG!$I$5:$I$14,MATCH(D587,CONFIG!$D$5:$D$14,0)))),""))</f>
        <v/>
      </c>
      <c r="T587" s="13"/>
      <c r="U587" s="13"/>
      <c r="V587" s="13"/>
      <c r="W587" s="13"/>
      <c r="X587" s="22" t="str">
        <f aca="false">IF(Q587="","",Q587^2)</f>
        <v/>
      </c>
      <c r="Y587" s="22" t="str">
        <f aca="false">IF(AND(C587&lt;&gt;"",C587=CERTIFICADO!$E$4,OR(CERTIFICADO!$E$5="",B587=CERTIFICADO!$E$5)),MAX($Y$4:Y586)+1,"")</f>
        <v/>
      </c>
    </row>
    <row r="588" customFormat="false" ht="15" hidden="false" customHeight="false" outlineLevel="0" collapsed="false">
      <c r="A588" s="11" t="str">
        <f aca="false">IF(C588="","",ROW()-4)</f>
        <v/>
      </c>
      <c r="B588" s="12"/>
      <c r="C588" s="13"/>
      <c r="D588" s="23" t="str">
        <f aca="false">IF(C588="","",IFERROR(INDEX(LOTES!$D$5:$D$1004,MATCH(C588,LOTES!$F$5:$F$1004,0)),"¿Lote?"))</f>
        <v/>
      </c>
      <c r="E588" s="11" t="str">
        <f aca="false">IF(C588="","",IFERROR(INDEX(LOTES!$C$5:$C$1004,MATCH(C588,LOTES!$F$5:$F$1004,0)),""))</f>
        <v/>
      </c>
      <c r="F588" s="24" t="str">
        <f aca="false">IF(C588="","",IFERROR(INDEX(LOTES!$B$5:$B$1004,MATCH(C588,LOTES!$F$5:$F$1004,0)),""))</f>
        <v/>
      </c>
      <c r="G588" s="15" t="str">
        <f aca="false">IF(OR(B588="",F588=""),"",B588-F588)</f>
        <v/>
      </c>
      <c r="H588" s="13"/>
      <c r="I588" s="13"/>
      <c r="J588" s="13"/>
      <c r="K588" s="25"/>
      <c r="L588" s="25"/>
      <c r="M588" s="25"/>
      <c r="N588" s="25"/>
      <c r="O588" s="26"/>
      <c r="P588" s="16" t="str">
        <f aca="false">IF(O588="","",IFERROR(1/(1/(IF(K588="",INDEX(CONFIG!$F$5:$F$14,MATCH(D588,CONFIG!$D$5:$D$14,0)),K588)*IF(M588="",INDEX(CONFIG!$H$5:$H$14,MATCH(D588,CONFIG!$D$5:$D$14,0)),M588))),""))</f>
        <v/>
      </c>
      <c r="Q588" s="16" t="str">
        <f aca="false">IF(OR(O588="",P588=""),"",O588/P588)</f>
        <v/>
      </c>
      <c r="R588" s="16" t="str">
        <f aca="false">IF(Q588="","",Q588*0.0980665)</f>
        <v/>
      </c>
      <c r="S588" s="16" t="str">
        <f aca="false">IF(Q588="","",IFERROR(Q588/(1/(1/INDEX(CONFIG!$I$5:$I$14,MATCH(D588,CONFIG!$D$5:$D$14,0)))),""))</f>
        <v/>
      </c>
      <c r="T588" s="13"/>
      <c r="U588" s="13"/>
      <c r="V588" s="13"/>
      <c r="W588" s="13"/>
      <c r="X588" s="22" t="str">
        <f aca="false">IF(Q588="","",Q588^2)</f>
        <v/>
      </c>
      <c r="Y588" s="22" t="str">
        <f aca="false">IF(AND(C588&lt;&gt;"",C588=CERTIFICADO!$E$4,OR(CERTIFICADO!$E$5="",B588=CERTIFICADO!$E$5)),MAX($Y$4:Y587)+1,"")</f>
        <v/>
      </c>
    </row>
    <row r="589" customFormat="false" ht="15" hidden="false" customHeight="false" outlineLevel="0" collapsed="false">
      <c r="A589" s="11" t="str">
        <f aca="false">IF(C589="","",ROW()-4)</f>
        <v/>
      </c>
      <c r="B589" s="12"/>
      <c r="C589" s="13"/>
      <c r="D589" s="23" t="str">
        <f aca="false">IF(C589="","",IFERROR(INDEX(LOTES!$D$5:$D$1004,MATCH(C589,LOTES!$F$5:$F$1004,0)),"¿Lote?"))</f>
        <v/>
      </c>
      <c r="E589" s="11" t="str">
        <f aca="false">IF(C589="","",IFERROR(INDEX(LOTES!$C$5:$C$1004,MATCH(C589,LOTES!$F$5:$F$1004,0)),""))</f>
        <v/>
      </c>
      <c r="F589" s="24" t="str">
        <f aca="false">IF(C589="","",IFERROR(INDEX(LOTES!$B$5:$B$1004,MATCH(C589,LOTES!$F$5:$F$1004,0)),""))</f>
        <v/>
      </c>
      <c r="G589" s="15" t="str">
        <f aca="false">IF(OR(B589="",F589=""),"",B589-F589)</f>
        <v/>
      </c>
      <c r="H589" s="13"/>
      <c r="I589" s="13"/>
      <c r="J589" s="13"/>
      <c r="K589" s="25"/>
      <c r="L589" s="25"/>
      <c r="M589" s="25"/>
      <c r="N589" s="25"/>
      <c r="O589" s="26"/>
      <c r="P589" s="16" t="str">
        <f aca="false">IF(O589="","",IFERROR(1/(1/(IF(K589="",INDEX(CONFIG!$F$5:$F$14,MATCH(D589,CONFIG!$D$5:$D$14,0)),K589)*IF(M589="",INDEX(CONFIG!$H$5:$H$14,MATCH(D589,CONFIG!$D$5:$D$14,0)),M589))),""))</f>
        <v/>
      </c>
      <c r="Q589" s="16" t="str">
        <f aca="false">IF(OR(O589="",P589=""),"",O589/P589)</f>
        <v/>
      </c>
      <c r="R589" s="16" t="str">
        <f aca="false">IF(Q589="","",Q589*0.0980665)</f>
        <v/>
      </c>
      <c r="S589" s="16" t="str">
        <f aca="false">IF(Q589="","",IFERROR(Q589/(1/(1/INDEX(CONFIG!$I$5:$I$14,MATCH(D589,CONFIG!$D$5:$D$14,0)))),""))</f>
        <v/>
      </c>
      <c r="T589" s="13"/>
      <c r="U589" s="13"/>
      <c r="V589" s="13"/>
      <c r="W589" s="13"/>
      <c r="X589" s="22" t="str">
        <f aca="false">IF(Q589="","",Q589^2)</f>
        <v/>
      </c>
      <c r="Y589" s="22" t="str">
        <f aca="false">IF(AND(C589&lt;&gt;"",C589=CERTIFICADO!$E$4,OR(CERTIFICADO!$E$5="",B589=CERTIFICADO!$E$5)),MAX($Y$4:Y588)+1,"")</f>
        <v/>
      </c>
    </row>
    <row r="590" customFormat="false" ht="15" hidden="false" customHeight="false" outlineLevel="0" collapsed="false">
      <c r="A590" s="11" t="str">
        <f aca="false">IF(C590="","",ROW()-4)</f>
        <v/>
      </c>
      <c r="B590" s="12"/>
      <c r="C590" s="13"/>
      <c r="D590" s="23" t="str">
        <f aca="false">IF(C590="","",IFERROR(INDEX(LOTES!$D$5:$D$1004,MATCH(C590,LOTES!$F$5:$F$1004,0)),"¿Lote?"))</f>
        <v/>
      </c>
      <c r="E590" s="11" t="str">
        <f aca="false">IF(C590="","",IFERROR(INDEX(LOTES!$C$5:$C$1004,MATCH(C590,LOTES!$F$5:$F$1004,0)),""))</f>
        <v/>
      </c>
      <c r="F590" s="24" t="str">
        <f aca="false">IF(C590="","",IFERROR(INDEX(LOTES!$B$5:$B$1004,MATCH(C590,LOTES!$F$5:$F$1004,0)),""))</f>
        <v/>
      </c>
      <c r="G590" s="15" t="str">
        <f aca="false">IF(OR(B590="",F590=""),"",B590-F590)</f>
        <v/>
      </c>
      <c r="H590" s="13"/>
      <c r="I590" s="13"/>
      <c r="J590" s="13"/>
      <c r="K590" s="25"/>
      <c r="L590" s="25"/>
      <c r="M590" s="25"/>
      <c r="N590" s="25"/>
      <c r="O590" s="26"/>
      <c r="P590" s="16" t="str">
        <f aca="false">IF(O590="","",IFERROR(1/(1/(IF(K590="",INDEX(CONFIG!$F$5:$F$14,MATCH(D590,CONFIG!$D$5:$D$14,0)),K590)*IF(M590="",INDEX(CONFIG!$H$5:$H$14,MATCH(D590,CONFIG!$D$5:$D$14,0)),M590))),""))</f>
        <v/>
      </c>
      <c r="Q590" s="16" t="str">
        <f aca="false">IF(OR(O590="",P590=""),"",O590/P590)</f>
        <v/>
      </c>
      <c r="R590" s="16" t="str">
        <f aca="false">IF(Q590="","",Q590*0.0980665)</f>
        <v/>
      </c>
      <c r="S590" s="16" t="str">
        <f aca="false">IF(Q590="","",IFERROR(Q590/(1/(1/INDEX(CONFIG!$I$5:$I$14,MATCH(D590,CONFIG!$D$5:$D$14,0)))),""))</f>
        <v/>
      </c>
      <c r="T590" s="13"/>
      <c r="U590" s="13"/>
      <c r="V590" s="13"/>
      <c r="W590" s="13"/>
      <c r="X590" s="22" t="str">
        <f aca="false">IF(Q590="","",Q590^2)</f>
        <v/>
      </c>
      <c r="Y590" s="22" t="str">
        <f aca="false">IF(AND(C590&lt;&gt;"",C590=CERTIFICADO!$E$4,OR(CERTIFICADO!$E$5="",B590=CERTIFICADO!$E$5)),MAX($Y$4:Y589)+1,"")</f>
        <v/>
      </c>
    </row>
    <row r="591" customFormat="false" ht="15" hidden="false" customHeight="false" outlineLevel="0" collapsed="false">
      <c r="A591" s="11" t="str">
        <f aca="false">IF(C591="","",ROW()-4)</f>
        <v/>
      </c>
      <c r="B591" s="12"/>
      <c r="C591" s="13"/>
      <c r="D591" s="23" t="str">
        <f aca="false">IF(C591="","",IFERROR(INDEX(LOTES!$D$5:$D$1004,MATCH(C591,LOTES!$F$5:$F$1004,0)),"¿Lote?"))</f>
        <v/>
      </c>
      <c r="E591" s="11" t="str">
        <f aca="false">IF(C591="","",IFERROR(INDEX(LOTES!$C$5:$C$1004,MATCH(C591,LOTES!$F$5:$F$1004,0)),""))</f>
        <v/>
      </c>
      <c r="F591" s="24" t="str">
        <f aca="false">IF(C591="","",IFERROR(INDEX(LOTES!$B$5:$B$1004,MATCH(C591,LOTES!$F$5:$F$1004,0)),""))</f>
        <v/>
      </c>
      <c r="G591" s="15" t="str">
        <f aca="false">IF(OR(B591="",F591=""),"",B591-F591)</f>
        <v/>
      </c>
      <c r="H591" s="13"/>
      <c r="I591" s="13"/>
      <c r="J591" s="13"/>
      <c r="K591" s="25"/>
      <c r="L591" s="25"/>
      <c r="M591" s="25"/>
      <c r="N591" s="25"/>
      <c r="O591" s="26"/>
      <c r="P591" s="16" t="str">
        <f aca="false">IF(O591="","",IFERROR(1/(1/(IF(K591="",INDEX(CONFIG!$F$5:$F$14,MATCH(D591,CONFIG!$D$5:$D$14,0)),K591)*IF(M591="",INDEX(CONFIG!$H$5:$H$14,MATCH(D591,CONFIG!$D$5:$D$14,0)),M591))),""))</f>
        <v/>
      </c>
      <c r="Q591" s="16" t="str">
        <f aca="false">IF(OR(O591="",P591=""),"",O591/P591)</f>
        <v/>
      </c>
      <c r="R591" s="16" t="str">
        <f aca="false">IF(Q591="","",Q591*0.0980665)</f>
        <v/>
      </c>
      <c r="S591" s="16" t="str">
        <f aca="false">IF(Q591="","",IFERROR(Q591/(1/(1/INDEX(CONFIG!$I$5:$I$14,MATCH(D591,CONFIG!$D$5:$D$14,0)))),""))</f>
        <v/>
      </c>
      <c r="T591" s="13"/>
      <c r="U591" s="13"/>
      <c r="V591" s="13"/>
      <c r="W591" s="13"/>
      <c r="X591" s="22" t="str">
        <f aca="false">IF(Q591="","",Q591^2)</f>
        <v/>
      </c>
      <c r="Y591" s="22" t="str">
        <f aca="false">IF(AND(C591&lt;&gt;"",C591=CERTIFICADO!$E$4,OR(CERTIFICADO!$E$5="",B591=CERTIFICADO!$E$5)),MAX($Y$4:Y590)+1,"")</f>
        <v/>
      </c>
    </row>
    <row r="592" customFormat="false" ht="15" hidden="false" customHeight="false" outlineLevel="0" collapsed="false">
      <c r="A592" s="11" t="str">
        <f aca="false">IF(C592="","",ROW()-4)</f>
        <v/>
      </c>
      <c r="B592" s="12"/>
      <c r="C592" s="13"/>
      <c r="D592" s="23" t="str">
        <f aca="false">IF(C592="","",IFERROR(INDEX(LOTES!$D$5:$D$1004,MATCH(C592,LOTES!$F$5:$F$1004,0)),"¿Lote?"))</f>
        <v/>
      </c>
      <c r="E592" s="11" t="str">
        <f aca="false">IF(C592="","",IFERROR(INDEX(LOTES!$C$5:$C$1004,MATCH(C592,LOTES!$F$5:$F$1004,0)),""))</f>
        <v/>
      </c>
      <c r="F592" s="24" t="str">
        <f aca="false">IF(C592="","",IFERROR(INDEX(LOTES!$B$5:$B$1004,MATCH(C592,LOTES!$F$5:$F$1004,0)),""))</f>
        <v/>
      </c>
      <c r="G592" s="15" t="str">
        <f aca="false">IF(OR(B592="",F592=""),"",B592-F592)</f>
        <v/>
      </c>
      <c r="H592" s="13"/>
      <c r="I592" s="13"/>
      <c r="J592" s="13"/>
      <c r="K592" s="25"/>
      <c r="L592" s="25"/>
      <c r="M592" s="25"/>
      <c r="N592" s="25"/>
      <c r="O592" s="26"/>
      <c r="P592" s="16" t="str">
        <f aca="false">IF(O592="","",IFERROR(1/(1/(IF(K592="",INDEX(CONFIG!$F$5:$F$14,MATCH(D592,CONFIG!$D$5:$D$14,0)),K592)*IF(M592="",INDEX(CONFIG!$H$5:$H$14,MATCH(D592,CONFIG!$D$5:$D$14,0)),M592))),""))</f>
        <v/>
      </c>
      <c r="Q592" s="16" t="str">
        <f aca="false">IF(OR(O592="",P592=""),"",O592/P592)</f>
        <v/>
      </c>
      <c r="R592" s="16" t="str">
        <f aca="false">IF(Q592="","",Q592*0.0980665)</f>
        <v/>
      </c>
      <c r="S592" s="16" t="str">
        <f aca="false">IF(Q592="","",IFERROR(Q592/(1/(1/INDEX(CONFIG!$I$5:$I$14,MATCH(D592,CONFIG!$D$5:$D$14,0)))),""))</f>
        <v/>
      </c>
      <c r="T592" s="13"/>
      <c r="U592" s="13"/>
      <c r="V592" s="13"/>
      <c r="W592" s="13"/>
      <c r="X592" s="22" t="str">
        <f aca="false">IF(Q592="","",Q592^2)</f>
        <v/>
      </c>
      <c r="Y592" s="22" t="str">
        <f aca="false">IF(AND(C592&lt;&gt;"",C592=CERTIFICADO!$E$4,OR(CERTIFICADO!$E$5="",B592=CERTIFICADO!$E$5)),MAX($Y$4:Y591)+1,"")</f>
        <v/>
      </c>
    </row>
    <row r="593" customFormat="false" ht="15" hidden="false" customHeight="false" outlineLevel="0" collapsed="false">
      <c r="A593" s="11" t="str">
        <f aca="false">IF(C593="","",ROW()-4)</f>
        <v/>
      </c>
      <c r="B593" s="12"/>
      <c r="C593" s="13"/>
      <c r="D593" s="23" t="str">
        <f aca="false">IF(C593="","",IFERROR(INDEX(LOTES!$D$5:$D$1004,MATCH(C593,LOTES!$F$5:$F$1004,0)),"¿Lote?"))</f>
        <v/>
      </c>
      <c r="E593" s="11" t="str">
        <f aca="false">IF(C593="","",IFERROR(INDEX(LOTES!$C$5:$C$1004,MATCH(C593,LOTES!$F$5:$F$1004,0)),""))</f>
        <v/>
      </c>
      <c r="F593" s="24" t="str">
        <f aca="false">IF(C593="","",IFERROR(INDEX(LOTES!$B$5:$B$1004,MATCH(C593,LOTES!$F$5:$F$1004,0)),""))</f>
        <v/>
      </c>
      <c r="G593" s="15" t="str">
        <f aca="false">IF(OR(B593="",F593=""),"",B593-F593)</f>
        <v/>
      </c>
      <c r="H593" s="13"/>
      <c r="I593" s="13"/>
      <c r="J593" s="13"/>
      <c r="K593" s="25"/>
      <c r="L593" s="25"/>
      <c r="M593" s="25"/>
      <c r="N593" s="25"/>
      <c r="O593" s="26"/>
      <c r="P593" s="16" t="str">
        <f aca="false">IF(O593="","",IFERROR(1/(1/(IF(K593="",INDEX(CONFIG!$F$5:$F$14,MATCH(D593,CONFIG!$D$5:$D$14,0)),K593)*IF(M593="",INDEX(CONFIG!$H$5:$H$14,MATCH(D593,CONFIG!$D$5:$D$14,0)),M593))),""))</f>
        <v/>
      </c>
      <c r="Q593" s="16" t="str">
        <f aca="false">IF(OR(O593="",P593=""),"",O593/P593)</f>
        <v/>
      </c>
      <c r="R593" s="16" t="str">
        <f aca="false">IF(Q593="","",Q593*0.0980665)</f>
        <v/>
      </c>
      <c r="S593" s="16" t="str">
        <f aca="false">IF(Q593="","",IFERROR(Q593/(1/(1/INDEX(CONFIG!$I$5:$I$14,MATCH(D593,CONFIG!$D$5:$D$14,0)))),""))</f>
        <v/>
      </c>
      <c r="T593" s="13"/>
      <c r="U593" s="13"/>
      <c r="V593" s="13"/>
      <c r="W593" s="13"/>
      <c r="X593" s="22" t="str">
        <f aca="false">IF(Q593="","",Q593^2)</f>
        <v/>
      </c>
      <c r="Y593" s="22" t="str">
        <f aca="false">IF(AND(C593&lt;&gt;"",C593=CERTIFICADO!$E$4,OR(CERTIFICADO!$E$5="",B593=CERTIFICADO!$E$5)),MAX($Y$4:Y592)+1,"")</f>
        <v/>
      </c>
    </row>
    <row r="594" customFormat="false" ht="15" hidden="false" customHeight="false" outlineLevel="0" collapsed="false">
      <c r="A594" s="11" t="str">
        <f aca="false">IF(C594="","",ROW()-4)</f>
        <v/>
      </c>
      <c r="B594" s="12"/>
      <c r="C594" s="13"/>
      <c r="D594" s="23" t="str">
        <f aca="false">IF(C594="","",IFERROR(INDEX(LOTES!$D$5:$D$1004,MATCH(C594,LOTES!$F$5:$F$1004,0)),"¿Lote?"))</f>
        <v/>
      </c>
      <c r="E594" s="11" t="str">
        <f aca="false">IF(C594="","",IFERROR(INDEX(LOTES!$C$5:$C$1004,MATCH(C594,LOTES!$F$5:$F$1004,0)),""))</f>
        <v/>
      </c>
      <c r="F594" s="24" t="str">
        <f aca="false">IF(C594="","",IFERROR(INDEX(LOTES!$B$5:$B$1004,MATCH(C594,LOTES!$F$5:$F$1004,0)),""))</f>
        <v/>
      </c>
      <c r="G594" s="15" t="str">
        <f aca="false">IF(OR(B594="",F594=""),"",B594-F594)</f>
        <v/>
      </c>
      <c r="H594" s="13"/>
      <c r="I594" s="13"/>
      <c r="J594" s="13"/>
      <c r="K594" s="25"/>
      <c r="L594" s="25"/>
      <c r="M594" s="25"/>
      <c r="N594" s="25"/>
      <c r="O594" s="26"/>
      <c r="P594" s="16" t="str">
        <f aca="false">IF(O594="","",IFERROR(1/(1/(IF(K594="",INDEX(CONFIG!$F$5:$F$14,MATCH(D594,CONFIG!$D$5:$D$14,0)),K594)*IF(M594="",INDEX(CONFIG!$H$5:$H$14,MATCH(D594,CONFIG!$D$5:$D$14,0)),M594))),""))</f>
        <v/>
      </c>
      <c r="Q594" s="16" t="str">
        <f aca="false">IF(OR(O594="",P594=""),"",O594/P594)</f>
        <v/>
      </c>
      <c r="R594" s="16" t="str">
        <f aca="false">IF(Q594="","",Q594*0.0980665)</f>
        <v/>
      </c>
      <c r="S594" s="16" t="str">
        <f aca="false">IF(Q594="","",IFERROR(Q594/(1/(1/INDEX(CONFIG!$I$5:$I$14,MATCH(D594,CONFIG!$D$5:$D$14,0)))),""))</f>
        <v/>
      </c>
      <c r="T594" s="13"/>
      <c r="U594" s="13"/>
      <c r="V594" s="13"/>
      <c r="W594" s="13"/>
      <c r="X594" s="22" t="str">
        <f aca="false">IF(Q594="","",Q594^2)</f>
        <v/>
      </c>
      <c r="Y594" s="22" t="str">
        <f aca="false">IF(AND(C594&lt;&gt;"",C594=CERTIFICADO!$E$4,OR(CERTIFICADO!$E$5="",B594=CERTIFICADO!$E$5)),MAX($Y$4:Y593)+1,"")</f>
        <v/>
      </c>
    </row>
    <row r="595" customFormat="false" ht="15" hidden="false" customHeight="false" outlineLevel="0" collapsed="false">
      <c r="A595" s="11" t="str">
        <f aca="false">IF(C595="","",ROW()-4)</f>
        <v/>
      </c>
      <c r="B595" s="12"/>
      <c r="C595" s="13"/>
      <c r="D595" s="23" t="str">
        <f aca="false">IF(C595="","",IFERROR(INDEX(LOTES!$D$5:$D$1004,MATCH(C595,LOTES!$F$5:$F$1004,0)),"¿Lote?"))</f>
        <v/>
      </c>
      <c r="E595" s="11" t="str">
        <f aca="false">IF(C595="","",IFERROR(INDEX(LOTES!$C$5:$C$1004,MATCH(C595,LOTES!$F$5:$F$1004,0)),""))</f>
        <v/>
      </c>
      <c r="F595" s="24" t="str">
        <f aca="false">IF(C595="","",IFERROR(INDEX(LOTES!$B$5:$B$1004,MATCH(C595,LOTES!$F$5:$F$1004,0)),""))</f>
        <v/>
      </c>
      <c r="G595" s="15" t="str">
        <f aca="false">IF(OR(B595="",F595=""),"",B595-F595)</f>
        <v/>
      </c>
      <c r="H595" s="13"/>
      <c r="I595" s="13"/>
      <c r="J595" s="13"/>
      <c r="K595" s="25"/>
      <c r="L595" s="25"/>
      <c r="M595" s="25"/>
      <c r="N595" s="25"/>
      <c r="O595" s="26"/>
      <c r="P595" s="16" t="str">
        <f aca="false">IF(O595="","",IFERROR(1/(1/(IF(K595="",INDEX(CONFIG!$F$5:$F$14,MATCH(D595,CONFIG!$D$5:$D$14,0)),K595)*IF(M595="",INDEX(CONFIG!$H$5:$H$14,MATCH(D595,CONFIG!$D$5:$D$14,0)),M595))),""))</f>
        <v/>
      </c>
      <c r="Q595" s="16" t="str">
        <f aca="false">IF(OR(O595="",P595=""),"",O595/P595)</f>
        <v/>
      </c>
      <c r="R595" s="16" t="str">
        <f aca="false">IF(Q595="","",Q595*0.0980665)</f>
        <v/>
      </c>
      <c r="S595" s="16" t="str">
        <f aca="false">IF(Q595="","",IFERROR(Q595/(1/(1/INDEX(CONFIG!$I$5:$I$14,MATCH(D595,CONFIG!$D$5:$D$14,0)))),""))</f>
        <v/>
      </c>
      <c r="T595" s="13"/>
      <c r="U595" s="13"/>
      <c r="V595" s="13"/>
      <c r="W595" s="13"/>
      <c r="X595" s="22" t="str">
        <f aca="false">IF(Q595="","",Q595^2)</f>
        <v/>
      </c>
      <c r="Y595" s="22" t="str">
        <f aca="false">IF(AND(C595&lt;&gt;"",C595=CERTIFICADO!$E$4,OR(CERTIFICADO!$E$5="",B595=CERTIFICADO!$E$5)),MAX($Y$4:Y594)+1,"")</f>
        <v/>
      </c>
    </row>
    <row r="596" customFormat="false" ht="15" hidden="false" customHeight="false" outlineLevel="0" collapsed="false">
      <c r="A596" s="11" t="str">
        <f aca="false">IF(C596="","",ROW()-4)</f>
        <v/>
      </c>
      <c r="B596" s="12"/>
      <c r="C596" s="13"/>
      <c r="D596" s="23" t="str">
        <f aca="false">IF(C596="","",IFERROR(INDEX(LOTES!$D$5:$D$1004,MATCH(C596,LOTES!$F$5:$F$1004,0)),"¿Lote?"))</f>
        <v/>
      </c>
      <c r="E596" s="11" t="str">
        <f aca="false">IF(C596="","",IFERROR(INDEX(LOTES!$C$5:$C$1004,MATCH(C596,LOTES!$F$5:$F$1004,0)),""))</f>
        <v/>
      </c>
      <c r="F596" s="24" t="str">
        <f aca="false">IF(C596="","",IFERROR(INDEX(LOTES!$B$5:$B$1004,MATCH(C596,LOTES!$F$5:$F$1004,0)),""))</f>
        <v/>
      </c>
      <c r="G596" s="15" t="str">
        <f aca="false">IF(OR(B596="",F596=""),"",B596-F596)</f>
        <v/>
      </c>
      <c r="H596" s="13"/>
      <c r="I596" s="13"/>
      <c r="J596" s="13"/>
      <c r="K596" s="25"/>
      <c r="L596" s="25"/>
      <c r="M596" s="25"/>
      <c r="N596" s="25"/>
      <c r="O596" s="26"/>
      <c r="P596" s="16" t="str">
        <f aca="false">IF(O596="","",IFERROR(1/(1/(IF(K596="",INDEX(CONFIG!$F$5:$F$14,MATCH(D596,CONFIG!$D$5:$D$14,0)),K596)*IF(M596="",INDEX(CONFIG!$H$5:$H$14,MATCH(D596,CONFIG!$D$5:$D$14,0)),M596))),""))</f>
        <v/>
      </c>
      <c r="Q596" s="16" t="str">
        <f aca="false">IF(OR(O596="",P596=""),"",O596/P596)</f>
        <v/>
      </c>
      <c r="R596" s="16" t="str">
        <f aca="false">IF(Q596="","",Q596*0.0980665)</f>
        <v/>
      </c>
      <c r="S596" s="16" t="str">
        <f aca="false">IF(Q596="","",IFERROR(Q596/(1/(1/INDEX(CONFIG!$I$5:$I$14,MATCH(D596,CONFIG!$D$5:$D$14,0)))),""))</f>
        <v/>
      </c>
      <c r="T596" s="13"/>
      <c r="U596" s="13"/>
      <c r="V596" s="13"/>
      <c r="W596" s="13"/>
      <c r="X596" s="22" t="str">
        <f aca="false">IF(Q596="","",Q596^2)</f>
        <v/>
      </c>
      <c r="Y596" s="22" t="str">
        <f aca="false">IF(AND(C596&lt;&gt;"",C596=CERTIFICADO!$E$4,OR(CERTIFICADO!$E$5="",B596=CERTIFICADO!$E$5)),MAX($Y$4:Y595)+1,"")</f>
        <v/>
      </c>
    </row>
    <row r="597" customFormat="false" ht="15" hidden="false" customHeight="false" outlineLevel="0" collapsed="false">
      <c r="A597" s="11" t="str">
        <f aca="false">IF(C597="","",ROW()-4)</f>
        <v/>
      </c>
      <c r="B597" s="12"/>
      <c r="C597" s="13"/>
      <c r="D597" s="23" t="str">
        <f aca="false">IF(C597="","",IFERROR(INDEX(LOTES!$D$5:$D$1004,MATCH(C597,LOTES!$F$5:$F$1004,0)),"¿Lote?"))</f>
        <v/>
      </c>
      <c r="E597" s="11" t="str">
        <f aca="false">IF(C597="","",IFERROR(INDEX(LOTES!$C$5:$C$1004,MATCH(C597,LOTES!$F$5:$F$1004,0)),""))</f>
        <v/>
      </c>
      <c r="F597" s="24" t="str">
        <f aca="false">IF(C597="","",IFERROR(INDEX(LOTES!$B$5:$B$1004,MATCH(C597,LOTES!$F$5:$F$1004,0)),""))</f>
        <v/>
      </c>
      <c r="G597" s="15" t="str">
        <f aca="false">IF(OR(B597="",F597=""),"",B597-F597)</f>
        <v/>
      </c>
      <c r="H597" s="13"/>
      <c r="I597" s="13"/>
      <c r="J597" s="13"/>
      <c r="K597" s="25"/>
      <c r="L597" s="25"/>
      <c r="M597" s="25"/>
      <c r="N597" s="25"/>
      <c r="O597" s="26"/>
      <c r="P597" s="16" t="str">
        <f aca="false">IF(O597="","",IFERROR(1/(1/(IF(K597="",INDEX(CONFIG!$F$5:$F$14,MATCH(D597,CONFIG!$D$5:$D$14,0)),K597)*IF(M597="",INDEX(CONFIG!$H$5:$H$14,MATCH(D597,CONFIG!$D$5:$D$14,0)),M597))),""))</f>
        <v/>
      </c>
      <c r="Q597" s="16" t="str">
        <f aca="false">IF(OR(O597="",P597=""),"",O597/P597)</f>
        <v/>
      </c>
      <c r="R597" s="16" t="str">
        <f aca="false">IF(Q597="","",Q597*0.0980665)</f>
        <v/>
      </c>
      <c r="S597" s="16" t="str">
        <f aca="false">IF(Q597="","",IFERROR(Q597/(1/(1/INDEX(CONFIG!$I$5:$I$14,MATCH(D597,CONFIG!$D$5:$D$14,0)))),""))</f>
        <v/>
      </c>
      <c r="T597" s="13"/>
      <c r="U597" s="13"/>
      <c r="V597" s="13"/>
      <c r="W597" s="13"/>
      <c r="X597" s="22" t="str">
        <f aca="false">IF(Q597="","",Q597^2)</f>
        <v/>
      </c>
      <c r="Y597" s="22" t="str">
        <f aca="false">IF(AND(C597&lt;&gt;"",C597=CERTIFICADO!$E$4,OR(CERTIFICADO!$E$5="",B597=CERTIFICADO!$E$5)),MAX($Y$4:Y596)+1,"")</f>
        <v/>
      </c>
    </row>
    <row r="598" customFormat="false" ht="15" hidden="false" customHeight="false" outlineLevel="0" collapsed="false">
      <c r="A598" s="11" t="str">
        <f aca="false">IF(C598="","",ROW()-4)</f>
        <v/>
      </c>
      <c r="B598" s="12"/>
      <c r="C598" s="13"/>
      <c r="D598" s="23" t="str">
        <f aca="false">IF(C598="","",IFERROR(INDEX(LOTES!$D$5:$D$1004,MATCH(C598,LOTES!$F$5:$F$1004,0)),"¿Lote?"))</f>
        <v/>
      </c>
      <c r="E598" s="11" t="str">
        <f aca="false">IF(C598="","",IFERROR(INDEX(LOTES!$C$5:$C$1004,MATCH(C598,LOTES!$F$5:$F$1004,0)),""))</f>
        <v/>
      </c>
      <c r="F598" s="24" t="str">
        <f aca="false">IF(C598="","",IFERROR(INDEX(LOTES!$B$5:$B$1004,MATCH(C598,LOTES!$F$5:$F$1004,0)),""))</f>
        <v/>
      </c>
      <c r="G598" s="15" t="str">
        <f aca="false">IF(OR(B598="",F598=""),"",B598-F598)</f>
        <v/>
      </c>
      <c r="H598" s="13"/>
      <c r="I598" s="13"/>
      <c r="J598" s="13"/>
      <c r="K598" s="25"/>
      <c r="L598" s="25"/>
      <c r="M598" s="25"/>
      <c r="N598" s="25"/>
      <c r="O598" s="26"/>
      <c r="P598" s="16" t="str">
        <f aca="false">IF(O598="","",IFERROR(1/(1/(IF(K598="",INDEX(CONFIG!$F$5:$F$14,MATCH(D598,CONFIG!$D$5:$D$14,0)),K598)*IF(M598="",INDEX(CONFIG!$H$5:$H$14,MATCH(D598,CONFIG!$D$5:$D$14,0)),M598))),""))</f>
        <v/>
      </c>
      <c r="Q598" s="16" t="str">
        <f aca="false">IF(OR(O598="",P598=""),"",O598/P598)</f>
        <v/>
      </c>
      <c r="R598" s="16" t="str">
        <f aca="false">IF(Q598="","",Q598*0.0980665)</f>
        <v/>
      </c>
      <c r="S598" s="16" t="str">
        <f aca="false">IF(Q598="","",IFERROR(Q598/(1/(1/INDEX(CONFIG!$I$5:$I$14,MATCH(D598,CONFIG!$D$5:$D$14,0)))),""))</f>
        <v/>
      </c>
      <c r="T598" s="13"/>
      <c r="U598" s="13"/>
      <c r="V598" s="13"/>
      <c r="W598" s="13"/>
      <c r="X598" s="22" t="str">
        <f aca="false">IF(Q598="","",Q598^2)</f>
        <v/>
      </c>
      <c r="Y598" s="22" t="str">
        <f aca="false">IF(AND(C598&lt;&gt;"",C598=CERTIFICADO!$E$4,OR(CERTIFICADO!$E$5="",B598=CERTIFICADO!$E$5)),MAX($Y$4:Y597)+1,"")</f>
        <v/>
      </c>
    </row>
    <row r="599" customFormat="false" ht="15" hidden="false" customHeight="false" outlineLevel="0" collapsed="false">
      <c r="A599" s="11" t="str">
        <f aca="false">IF(C599="","",ROW()-4)</f>
        <v/>
      </c>
      <c r="B599" s="12"/>
      <c r="C599" s="13"/>
      <c r="D599" s="23" t="str">
        <f aca="false">IF(C599="","",IFERROR(INDEX(LOTES!$D$5:$D$1004,MATCH(C599,LOTES!$F$5:$F$1004,0)),"¿Lote?"))</f>
        <v/>
      </c>
      <c r="E599" s="11" t="str">
        <f aca="false">IF(C599="","",IFERROR(INDEX(LOTES!$C$5:$C$1004,MATCH(C599,LOTES!$F$5:$F$1004,0)),""))</f>
        <v/>
      </c>
      <c r="F599" s="24" t="str">
        <f aca="false">IF(C599="","",IFERROR(INDEX(LOTES!$B$5:$B$1004,MATCH(C599,LOTES!$F$5:$F$1004,0)),""))</f>
        <v/>
      </c>
      <c r="G599" s="15" t="str">
        <f aca="false">IF(OR(B599="",F599=""),"",B599-F599)</f>
        <v/>
      </c>
      <c r="H599" s="13"/>
      <c r="I599" s="13"/>
      <c r="J599" s="13"/>
      <c r="K599" s="25"/>
      <c r="L599" s="25"/>
      <c r="M599" s="25"/>
      <c r="N599" s="25"/>
      <c r="O599" s="26"/>
      <c r="P599" s="16" t="str">
        <f aca="false">IF(O599="","",IFERROR(1/(1/(IF(K599="",INDEX(CONFIG!$F$5:$F$14,MATCH(D599,CONFIG!$D$5:$D$14,0)),K599)*IF(M599="",INDEX(CONFIG!$H$5:$H$14,MATCH(D599,CONFIG!$D$5:$D$14,0)),M599))),""))</f>
        <v/>
      </c>
      <c r="Q599" s="16" t="str">
        <f aca="false">IF(OR(O599="",P599=""),"",O599/P599)</f>
        <v/>
      </c>
      <c r="R599" s="16" t="str">
        <f aca="false">IF(Q599="","",Q599*0.0980665)</f>
        <v/>
      </c>
      <c r="S599" s="16" t="str">
        <f aca="false">IF(Q599="","",IFERROR(Q599/(1/(1/INDEX(CONFIG!$I$5:$I$14,MATCH(D599,CONFIG!$D$5:$D$14,0)))),""))</f>
        <v/>
      </c>
      <c r="T599" s="13"/>
      <c r="U599" s="13"/>
      <c r="V599" s="13"/>
      <c r="W599" s="13"/>
      <c r="X599" s="22" t="str">
        <f aca="false">IF(Q599="","",Q599^2)</f>
        <v/>
      </c>
      <c r="Y599" s="22" t="str">
        <f aca="false">IF(AND(C599&lt;&gt;"",C599=CERTIFICADO!$E$4,OR(CERTIFICADO!$E$5="",B599=CERTIFICADO!$E$5)),MAX($Y$4:Y598)+1,"")</f>
        <v/>
      </c>
    </row>
    <row r="600" customFormat="false" ht="15" hidden="false" customHeight="false" outlineLevel="0" collapsed="false">
      <c r="A600" s="11" t="str">
        <f aca="false">IF(C600="","",ROW()-4)</f>
        <v/>
      </c>
      <c r="B600" s="12"/>
      <c r="C600" s="13"/>
      <c r="D600" s="23" t="str">
        <f aca="false">IF(C600="","",IFERROR(INDEX(LOTES!$D$5:$D$1004,MATCH(C600,LOTES!$F$5:$F$1004,0)),"¿Lote?"))</f>
        <v/>
      </c>
      <c r="E600" s="11" t="str">
        <f aca="false">IF(C600="","",IFERROR(INDEX(LOTES!$C$5:$C$1004,MATCH(C600,LOTES!$F$5:$F$1004,0)),""))</f>
        <v/>
      </c>
      <c r="F600" s="24" t="str">
        <f aca="false">IF(C600="","",IFERROR(INDEX(LOTES!$B$5:$B$1004,MATCH(C600,LOTES!$F$5:$F$1004,0)),""))</f>
        <v/>
      </c>
      <c r="G600" s="15" t="str">
        <f aca="false">IF(OR(B600="",F600=""),"",B600-F600)</f>
        <v/>
      </c>
      <c r="H600" s="13"/>
      <c r="I600" s="13"/>
      <c r="J600" s="13"/>
      <c r="K600" s="25"/>
      <c r="L600" s="25"/>
      <c r="M600" s="25"/>
      <c r="N600" s="25"/>
      <c r="O600" s="26"/>
      <c r="P600" s="16" t="str">
        <f aca="false">IF(O600="","",IFERROR(1/(1/(IF(K600="",INDEX(CONFIG!$F$5:$F$14,MATCH(D600,CONFIG!$D$5:$D$14,0)),K600)*IF(M600="",INDEX(CONFIG!$H$5:$H$14,MATCH(D600,CONFIG!$D$5:$D$14,0)),M600))),""))</f>
        <v/>
      </c>
      <c r="Q600" s="16" t="str">
        <f aca="false">IF(OR(O600="",P600=""),"",O600/P600)</f>
        <v/>
      </c>
      <c r="R600" s="16" t="str">
        <f aca="false">IF(Q600="","",Q600*0.0980665)</f>
        <v/>
      </c>
      <c r="S600" s="16" t="str">
        <f aca="false">IF(Q600="","",IFERROR(Q600/(1/(1/INDEX(CONFIG!$I$5:$I$14,MATCH(D600,CONFIG!$D$5:$D$14,0)))),""))</f>
        <v/>
      </c>
      <c r="T600" s="13"/>
      <c r="U600" s="13"/>
      <c r="V600" s="13"/>
      <c r="W600" s="13"/>
      <c r="X600" s="22" t="str">
        <f aca="false">IF(Q600="","",Q600^2)</f>
        <v/>
      </c>
      <c r="Y600" s="22" t="str">
        <f aca="false">IF(AND(C600&lt;&gt;"",C600=CERTIFICADO!$E$4,OR(CERTIFICADO!$E$5="",B600=CERTIFICADO!$E$5)),MAX($Y$4:Y599)+1,"")</f>
        <v/>
      </c>
    </row>
    <row r="601" customFormat="false" ht="15" hidden="false" customHeight="false" outlineLevel="0" collapsed="false">
      <c r="A601" s="11" t="str">
        <f aca="false">IF(C601="","",ROW()-4)</f>
        <v/>
      </c>
      <c r="B601" s="12"/>
      <c r="C601" s="13"/>
      <c r="D601" s="23" t="str">
        <f aca="false">IF(C601="","",IFERROR(INDEX(LOTES!$D$5:$D$1004,MATCH(C601,LOTES!$F$5:$F$1004,0)),"¿Lote?"))</f>
        <v/>
      </c>
      <c r="E601" s="11" t="str">
        <f aca="false">IF(C601="","",IFERROR(INDEX(LOTES!$C$5:$C$1004,MATCH(C601,LOTES!$F$5:$F$1004,0)),""))</f>
        <v/>
      </c>
      <c r="F601" s="24" t="str">
        <f aca="false">IF(C601="","",IFERROR(INDEX(LOTES!$B$5:$B$1004,MATCH(C601,LOTES!$F$5:$F$1004,0)),""))</f>
        <v/>
      </c>
      <c r="G601" s="15" t="str">
        <f aca="false">IF(OR(B601="",F601=""),"",B601-F601)</f>
        <v/>
      </c>
      <c r="H601" s="13"/>
      <c r="I601" s="13"/>
      <c r="J601" s="13"/>
      <c r="K601" s="25"/>
      <c r="L601" s="25"/>
      <c r="M601" s="25"/>
      <c r="N601" s="25"/>
      <c r="O601" s="26"/>
      <c r="P601" s="16" t="str">
        <f aca="false">IF(O601="","",IFERROR(1/(1/(IF(K601="",INDEX(CONFIG!$F$5:$F$14,MATCH(D601,CONFIG!$D$5:$D$14,0)),K601)*IF(M601="",INDEX(CONFIG!$H$5:$H$14,MATCH(D601,CONFIG!$D$5:$D$14,0)),M601))),""))</f>
        <v/>
      </c>
      <c r="Q601" s="16" t="str">
        <f aca="false">IF(OR(O601="",P601=""),"",O601/P601)</f>
        <v/>
      </c>
      <c r="R601" s="16" t="str">
        <f aca="false">IF(Q601="","",Q601*0.0980665)</f>
        <v/>
      </c>
      <c r="S601" s="16" t="str">
        <f aca="false">IF(Q601="","",IFERROR(Q601/(1/(1/INDEX(CONFIG!$I$5:$I$14,MATCH(D601,CONFIG!$D$5:$D$14,0)))),""))</f>
        <v/>
      </c>
      <c r="T601" s="13"/>
      <c r="U601" s="13"/>
      <c r="V601" s="13"/>
      <c r="W601" s="13"/>
      <c r="X601" s="22" t="str">
        <f aca="false">IF(Q601="","",Q601^2)</f>
        <v/>
      </c>
      <c r="Y601" s="22" t="str">
        <f aca="false">IF(AND(C601&lt;&gt;"",C601=CERTIFICADO!$E$4,OR(CERTIFICADO!$E$5="",B601=CERTIFICADO!$E$5)),MAX($Y$4:Y600)+1,"")</f>
        <v/>
      </c>
    </row>
    <row r="602" customFormat="false" ht="15" hidden="false" customHeight="false" outlineLevel="0" collapsed="false">
      <c r="A602" s="11" t="str">
        <f aca="false">IF(C602="","",ROW()-4)</f>
        <v/>
      </c>
      <c r="B602" s="12"/>
      <c r="C602" s="13"/>
      <c r="D602" s="23" t="str">
        <f aca="false">IF(C602="","",IFERROR(INDEX(LOTES!$D$5:$D$1004,MATCH(C602,LOTES!$F$5:$F$1004,0)),"¿Lote?"))</f>
        <v/>
      </c>
      <c r="E602" s="11" t="str">
        <f aca="false">IF(C602="","",IFERROR(INDEX(LOTES!$C$5:$C$1004,MATCH(C602,LOTES!$F$5:$F$1004,0)),""))</f>
        <v/>
      </c>
      <c r="F602" s="24" t="str">
        <f aca="false">IF(C602="","",IFERROR(INDEX(LOTES!$B$5:$B$1004,MATCH(C602,LOTES!$F$5:$F$1004,0)),""))</f>
        <v/>
      </c>
      <c r="G602" s="15" t="str">
        <f aca="false">IF(OR(B602="",F602=""),"",B602-F602)</f>
        <v/>
      </c>
      <c r="H602" s="13"/>
      <c r="I602" s="13"/>
      <c r="J602" s="13"/>
      <c r="K602" s="25"/>
      <c r="L602" s="25"/>
      <c r="M602" s="25"/>
      <c r="N602" s="25"/>
      <c r="O602" s="26"/>
      <c r="P602" s="16" t="str">
        <f aca="false">IF(O602="","",IFERROR(1/(1/(IF(K602="",INDEX(CONFIG!$F$5:$F$14,MATCH(D602,CONFIG!$D$5:$D$14,0)),K602)*IF(M602="",INDEX(CONFIG!$H$5:$H$14,MATCH(D602,CONFIG!$D$5:$D$14,0)),M602))),""))</f>
        <v/>
      </c>
      <c r="Q602" s="16" t="str">
        <f aca="false">IF(OR(O602="",P602=""),"",O602/P602)</f>
        <v/>
      </c>
      <c r="R602" s="16" t="str">
        <f aca="false">IF(Q602="","",Q602*0.0980665)</f>
        <v/>
      </c>
      <c r="S602" s="16" t="str">
        <f aca="false">IF(Q602="","",IFERROR(Q602/(1/(1/INDEX(CONFIG!$I$5:$I$14,MATCH(D602,CONFIG!$D$5:$D$14,0)))),""))</f>
        <v/>
      </c>
      <c r="T602" s="13"/>
      <c r="U602" s="13"/>
      <c r="V602" s="13"/>
      <c r="W602" s="13"/>
      <c r="X602" s="22" t="str">
        <f aca="false">IF(Q602="","",Q602^2)</f>
        <v/>
      </c>
      <c r="Y602" s="22" t="str">
        <f aca="false">IF(AND(C602&lt;&gt;"",C602=CERTIFICADO!$E$4,OR(CERTIFICADO!$E$5="",B602=CERTIFICADO!$E$5)),MAX($Y$4:Y601)+1,"")</f>
        <v/>
      </c>
    </row>
    <row r="603" customFormat="false" ht="15" hidden="false" customHeight="false" outlineLevel="0" collapsed="false">
      <c r="A603" s="11" t="str">
        <f aca="false">IF(C603="","",ROW()-4)</f>
        <v/>
      </c>
      <c r="B603" s="12"/>
      <c r="C603" s="13"/>
      <c r="D603" s="23" t="str">
        <f aca="false">IF(C603="","",IFERROR(INDEX(LOTES!$D$5:$D$1004,MATCH(C603,LOTES!$F$5:$F$1004,0)),"¿Lote?"))</f>
        <v/>
      </c>
      <c r="E603" s="11" t="str">
        <f aca="false">IF(C603="","",IFERROR(INDEX(LOTES!$C$5:$C$1004,MATCH(C603,LOTES!$F$5:$F$1004,0)),""))</f>
        <v/>
      </c>
      <c r="F603" s="24" t="str">
        <f aca="false">IF(C603="","",IFERROR(INDEX(LOTES!$B$5:$B$1004,MATCH(C603,LOTES!$F$5:$F$1004,0)),""))</f>
        <v/>
      </c>
      <c r="G603" s="15" t="str">
        <f aca="false">IF(OR(B603="",F603=""),"",B603-F603)</f>
        <v/>
      </c>
      <c r="H603" s="13"/>
      <c r="I603" s="13"/>
      <c r="J603" s="13"/>
      <c r="K603" s="25"/>
      <c r="L603" s="25"/>
      <c r="M603" s="25"/>
      <c r="N603" s="25"/>
      <c r="O603" s="26"/>
      <c r="P603" s="16" t="str">
        <f aca="false">IF(O603="","",IFERROR(1/(1/(IF(K603="",INDEX(CONFIG!$F$5:$F$14,MATCH(D603,CONFIG!$D$5:$D$14,0)),K603)*IF(M603="",INDEX(CONFIG!$H$5:$H$14,MATCH(D603,CONFIG!$D$5:$D$14,0)),M603))),""))</f>
        <v/>
      </c>
      <c r="Q603" s="16" t="str">
        <f aca="false">IF(OR(O603="",P603=""),"",O603/P603)</f>
        <v/>
      </c>
      <c r="R603" s="16" t="str">
        <f aca="false">IF(Q603="","",Q603*0.0980665)</f>
        <v/>
      </c>
      <c r="S603" s="16" t="str">
        <f aca="false">IF(Q603="","",IFERROR(Q603/(1/(1/INDEX(CONFIG!$I$5:$I$14,MATCH(D603,CONFIG!$D$5:$D$14,0)))),""))</f>
        <v/>
      </c>
      <c r="T603" s="13"/>
      <c r="U603" s="13"/>
      <c r="V603" s="13"/>
      <c r="W603" s="13"/>
      <c r="X603" s="22" t="str">
        <f aca="false">IF(Q603="","",Q603^2)</f>
        <v/>
      </c>
      <c r="Y603" s="22" t="str">
        <f aca="false">IF(AND(C603&lt;&gt;"",C603=CERTIFICADO!$E$4,OR(CERTIFICADO!$E$5="",B603=CERTIFICADO!$E$5)),MAX($Y$4:Y602)+1,"")</f>
        <v/>
      </c>
    </row>
    <row r="604" customFormat="false" ht="15" hidden="false" customHeight="false" outlineLevel="0" collapsed="false">
      <c r="A604" s="11" t="str">
        <f aca="false">IF(C604="","",ROW()-4)</f>
        <v/>
      </c>
      <c r="B604" s="12"/>
      <c r="C604" s="13"/>
      <c r="D604" s="23" t="str">
        <f aca="false">IF(C604="","",IFERROR(INDEX(LOTES!$D$5:$D$1004,MATCH(C604,LOTES!$F$5:$F$1004,0)),"¿Lote?"))</f>
        <v/>
      </c>
      <c r="E604" s="11" t="str">
        <f aca="false">IF(C604="","",IFERROR(INDEX(LOTES!$C$5:$C$1004,MATCH(C604,LOTES!$F$5:$F$1004,0)),""))</f>
        <v/>
      </c>
      <c r="F604" s="24" t="str">
        <f aca="false">IF(C604="","",IFERROR(INDEX(LOTES!$B$5:$B$1004,MATCH(C604,LOTES!$F$5:$F$1004,0)),""))</f>
        <v/>
      </c>
      <c r="G604" s="15" t="str">
        <f aca="false">IF(OR(B604="",F604=""),"",B604-F604)</f>
        <v/>
      </c>
      <c r="H604" s="13"/>
      <c r="I604" s="13"/>
      <c r="J604" s="13"/>
      <c r="K604" s="25"/>
      <c r="L604" s="25"/>
      <c r="M604" s="25"/>
      <c r="N604" s="25"/>
      <c r="O604" s="26"/>
      <c r="P604" s="16" t="str">
        <f aca="false">IF(O604="","",IFERROR(1/(1/(IF(K604="",INDEX(CONFIG!$F$5:$F$14,MATCH(D604,CONFIG!$D$5:$D$14,0)),K604)*IF(M604="",INDEX(CONFIG!$H$5:$H$14,MATCH(D604,CONFIG!$D$5:$D$14,0)),M604))),""))</f>
        <v/>
      </c>
      <c r="Q604" s="16" t="str">
        <f aca="false">IF(OR(O604="",P604=""),"",O604/P604)</f>
        <v/>
      </c>
      <c r="R604" s="16" t="str">
        <f aca="false">IF(Q604="","",Q604*0.0980665)</f>
        <v/>
      </c>
      <c r="S604" s="16" t="str">
        <f aca="false">IF(Q604="","",IFERROR(Q604/(1/(1/INDEX(CONFIG!$I$5:$I$14,MATCH(D604,CONFIG!$D$5:$D$14,0)))),""))</f>
        <v/>
      </c>
      <c r="T604" s="13"/>
      <c r="U604" s="13"/>
      <c r="V604" s="13"/>
      <c r="W604" s="13"/>
      <c r="X604" s="22" t="str">
        <f aca="false">IF(Q604="","",Q604^2)</f>
        <v/>
      </c>
      <c r="Y604" s="22" t="str">
        <f aca="false">IF(AND(C604&lt;&gt;"",C604=CERTIFICADO!$E$4,OR(CERTIFICADO!$E$5="",B604=CERTIFICADO!$E$5)),MAX($Y$4:Y603)+1,"")</f>
        <v/>
      </c>
    </row>
    <row r="605" customFormat="false" ht="15" hidden="false" customHeight="false" outlineLevel="0" collapsed="false">
      <c r="A605" s="11" t="str">
        <f aca="false">IF(C605="","",ROW()-4)</f>
        <v/>
      </c>
      <c r="B605" s="12"/>
      <c r="C605" s="13"/>
      <c r="D605" s="23" t="str">
        <f aca="false">IF(C605="","",IFERROR(INDEX(LOTES!$D$5:$D$1004,MATCH(C605,LOTES!$F$5:$F$1004,0)),"¿Lote?"))</f>
        <v/>
      </c>
      <c r="E605" s="11" t="str">
        <f aca="false">IF(C605="","",IFERROR(INDEX(LOTES!$C$5:$C$1004,MATCH(C605,LOTES!$F$5:$F$1004,0)),""))</f>
        <v/>
      </c>
      <c r="F605" s="24" t="str">
        <f aca="false">IF(C605="","",IFERROR(INDEX(LOTES!$B$5:$B$1004,MATCH(C605,LOTES!$F$5:$F$1004,0)),""))</f>
        <v/>
      </c>
      <c r="G605" s="15" t="str">
        <f aca="false">IF(OR(B605="",F605=""),"",B605-F605)</f>
        <v/>
      </c>
      <c r="H605" s="13"/>
      <c r="I605" s="13"/>
      <c r="J605" s="13"/>
      <c r="K605" s="25"/>
      <c r="L605" s="25"/>
      <c r="M605" s="25"/>
      <c r="N605" s="25"/>
      <c r="O605" s="26"/>
      <c r="P605" s="16" t="str">
        <f aca="false">IF(O605="","",IFERROR(1/(1/(IF(K605="",INDEX(CONFIG!$F$5:$F$14,MATCH(D605,CONFIG!$D$5:$D$14,0)),K605)*IF(M605="",INDEX(CONFIG!$H$5:$H$14,MATCH(D605,CONFIG!$D$5:$D$14,0)),M605))),""))</f>
        <v/>
      </c>
      <c r="Q605" s="16" t="str">
        <f aca="false">IF(OR(O605="",P605=""),"",O605/P605)</f>
        <v/>
      </c>
      <c r="R605" s="16" t="str">
        <f aca="false">IF(Q605="","",Q605*0.0980665)</f>
        <v/>
      </c>
      <c r="S605" s="16" t="str">
        <f aca="false">IF(Q605="","",IFERROR(Q605/(1/(1/INDEX(CONFIG!$I$5:$I$14,MATCH(D605,CONFIG!$D$5:$D$14,0)))),""))</f>
        <v/>
      </c>
      <c r="T605" s="13"/>
      <c r="U605" s="13"/>
      <c r="V605" s="13"/>
      <c r="W605" s="13"/>
      <c r="X605" s="22" t="str">
        <f aca="false">IF(Q605="","",Q605^2)</f>
        <v/>
      </c>
      <c r="Y605" s="22" t="str">
        <f aca="false">IF(AND(C605&lt;&gt;"",C605=CERTIFICADO!$E$4,OR(CERTIFICADO!$E$5="",B605=CERTIFICADO!$E$5)),MAX($Y$4:Y604)+1,"")</f>
        <v/>
      </c>
    </row>
    <row r="606" customFormat="false" ht="15" hidden="false" customHeight="false" outlineLevel="0" collapsed="false">
      <c r="A606" s="11" t="str">
        <f aca="false">IF(C606="","",ROW()-4)</f>
        <v/>
      </c>
      <c r="B606" s="12"/>
      <c r="C606" s="13"/>
      <c r="D606" s="23" t="str">
        <f aca="false">IF(C606="","",IFERROR(INDEX(LOTES!$D$5:$D$1004,MATCH(C606,LOTES!$F$5:$F$1004,0)),"¿Lote?"))</f>
        <v/>
      </c>
      <c r="E606" s="11" t="str">
        <f aca="false">IF(C606="","",IFERROR(INDEX(LOTES!$C$5:$C$1004,MATCH(C606,LOTES!$F$5:$F$1004,0)),""))</f>
        <v/>
      </c>
      <c r="F606" s="24" t="str">
        <f aca="false">IF(C606="","",IFERROR(INDEX(LOTES!$B$5:$B$1004,MATCH(C606,LOTES!$F$5:$F$1004,0)),""))</f>
        <v/>
      </c>
      <c r="G606" s="15" t="str">
        <f aca="false">IF(OR(B606="",F606=""),"",B606-F606)</f>
        <v/>
      </c>
      <c r="H606" s="13"/>
      <c r="I606" s="13"/>
      <c r="J606" s="13"/>
      <c r="K606" s="25"/>
      <c r="L606" s="25"/>
      <c r="M606" s="25"/>
      <c r="N606" s="25"/>
      <c r="O606" s="26"/>
      <c r="P606" s="16" t="str">
        <f aca="false">IF(O606="","",IFERROR(1/(1/(IF(K606="",INDEX(CONFIG!$F$5:$F$14,MATCH(D606,CONFIG!$D$5:$D$14,0)),K606)*IF(M606="",INDEX(CONFIG!$H$5:$H$14,MATCH(D606,CONFIG!$D$5:$D$14,0)),M606))),""))</f>
        <v/>
      </c>
      <c r="Q606" s="16" t="str">
        <f aca="false">IF(OR(O606="",P606=""),"",O606/P606)</f>
        <v/>
      </c>
      <c r="R606" s="16" t="str">
        <f aca="false">IF(Q606="","",Q606*0.0980665)</f>
        <v/>
      </c>
      <c r="S606" s="16" t="str">
        <f aca="false">IF(Q606="","",IFERROR(Q606/(1/(1/INDEX(CONFIG!$I$5:$I$14,MATCH(D606,CONFIG!$D$5:$D$14,0)))),""))</f>
        <v/>
      </c>
      <c r="T606" s="13"/>
      <c r="U606" s="13"/>
      <c r="V606" s="13"/>
      <c r="W606" s="13"/>
      <c r="X606" s="22" t="str">
        <f aca="false">IF(Q606="","",Q606^2)</f>
        <v/>
      </c>
      <c r="Y606" s="22" t="str">
        <f aca="false">IF(AND(C606&lt;&gt;"",C606=CERTIFICADO!$E$4,OR(CERTIFICADO!$E$5="",B606=CERTIFICADO!$E$5)),MAX($Y$4:Y605)+1,"")</f>
        <v/>
      </c>
    </row>
    <row r="607" customFormat="false" ht="15" hidden="false" customHeight="false" outlineLevel="0" collapsed="false">
      <c r="A607" s="11" t="str">
        <f aca="false">IF(C607="","",ROW()-4)</f>
        <v/>
      </c>
      <c r="B607" s="12"/>
      <c r="C607" s="13"/>
      <c r="D607" s="23" t="str">
        <f aca="false">IF(C607="","",IFERROR(INDEX(LOTES!$D$5:$D$1004,MATCH(C607,LOTES!$F$5:$F$1004,0)),"¿Lote?"))</f>
        <v/>
      </c>
      <c r="E607" s="11" t="str">
        <f aca="false">IF(C607="","",IFERROR(INDEX(LOTES!$C$5:$C$1004,MATCH(C607,LOTES!$F$5:$F$1004,0)),""))</f>
        <v/>
      </c>
      <c r="F607" s="24" t="str">
        <f aca="false">IF(C607="","",IFERROR(INDEX(LOTES!$B$5:$B$1004,MATCH(C607,LOTES!$F$5:$F$1004,0)),""))</f>
        <v/>
      </c>
      <c r="G607" s="15" t="str">
        <f aca="false">IF(OR(B607="",F607=""),"",B607-F607)</f>
        <v/>
      </c>
      <c r="H607" s="13"/>
      <c r="I607" s="13"/>
      <c r="J607" s="13"/>
      <c r="K607" s="25"/>
      <c r="L607" s="25"/>
      <c r="M607" s="25"/>
      <c r="N607" s="25"/>
      <c r="O607" s="26"/>
      <c r="P607" s="16" t="str">
        <f aca="false">IF(O607="","",IFERROR(1/(1/(IF(K607="",INDEX(CONFIG!$F$5:$F$14,MATCH(D607,CONFIG!$D$5:$D$14,0)),K607)*IF(M607="",INDEX(CONFIG!$H$5:$H$14,MATCH(D607,CONFIG!$D$5:$D$14,0)),M607))),""))</f>
        <v/>
      </c>
      <c r="Q607" s="16" t="str">
        <f aca="false">IF(OR(O607="",P607=""),"",O607/P607)</f>
        <v/>
      </c>
      <c r="R607" s="16" t="str">
        <f aca="false">IF(Q607="","",Q607*0.0980665)</f>
        <v/>
      </c>
      <c r="S607" s="16" t="str">
        <f aca="false">IF(Q607="","",IFERROR(Q607/(1/(1/INDEX(CONFIG!$I$5:$I$14,MATCH(D607,CONFIG!$D$5:$D$14,0)))),""))</f>
        <v/>
      </c>
      <c r="T607" s="13"/>
      <c r="U607" s="13"/>
      <c r="V607" s="13"/>
      <c r="W607" s="13"/>
      <c r="X607" s="22" t="str">
        <f aca="false">IF(Q607="","",Q607^2)</f>
        <v/>
      </c>
      <c r="Y607" s="22" t="str">
        <f aca="false">IF(AND(C607&lt;&gt;"",C607=CERTIFICADO!$E$4,OR(CERTIFICADO!$E$5="",B607=CERTIFICADO!$E$5)),MAX($Y$4:Y606)+1,"")</f>
        <v/>
      </c>
    </row>
    <row r="608" customFormat="false" ht="15" hidden="false" customHeight="false" outlineLevel="0" collapsed="false">
      <c r="A608" s="11" t="str">
        <f aca="false">IF(C608="","",ROW()-4)</f>
        <v/>
      </c>
      <c r="B608" s="12"/>
      <c r="C608" s="13"/>
      <c r="D608" s="23" t="str">
        <f aca="false">IF(C608="","",IFERROR(INDEX(LOTES!$D$5:$D$1004,MATCH(C608,LOTES!$F$5:$F$1004,0)),"¿Lote?"))</f>
        <v/>
      </c>
      <c r="E608" s="11" t="str">
        <f aca="false">IF(C608="","",IFERROR(INDEX(LOTES!$C$5:$C$1004,MATCH(C608,LOTES!$F$5:$F$1004,0)),""))</f>
        <v/>
      </c>
      <c r="F608" s="24" t="str">
        <f aca="false">IF(C608="","",IFERROR(INDEX(LOTES!$B$5:$B$1004,MATCH(C608,LOTES!$F$5:$F$1004,0)),""))</f>
        <v/>
      </c>
      <c r="G608" s="15" t="str">
        <f aca="false">IF(OR(B608="",F608=""),"",B608-F608)</f>
        <v/>
      </c>
      <c r="H608" s="13"/>
      <c r="I608" s="13"/>
      <c r="J608" s="13"/>
      <c r="K608" s="25"/>
      <c r="L608" s="25"/>
      <c r="M608" s="25"/>
      <c r="N608" s="25"/>
      <c r="O608" s="26"/>
      <c r="P608" s="16" t="str">
        <f aca="false">IF(O608="","",IFERROR(1/(1/(IF(K608="",INDEX(CONFIG!$F$5:$F$14,MATCH(D608,CONFIG!$D$5:$D$14,0)),K608)*IF(M608="",INDEX(CONFIG!$H$5:$H$14,MATCH(D608,CONFIG!$D$5:$D$14,0)),M608))),""))</f>
        <v/>
      </c>
      <c r="Q608" s="16" t="str">
        <f aca="false">IF(OR(O608="",P608=""),"",O608/P608)</f>
        <v/>
      </c>
      <c r="R608" s="16" t="str">
        <f aca="false">IF(Q608="","",Q608*0.0980665)</f>
        <v/>
      </c>
      <c r="S608" s="16" t="str">
        <f aca="false">IF(Q608="","",IFERROR(Q608/(1/(1/INDEX(CONFIG!$I$5:$I$14,MATCH(D608,CONFIG!$D$5:$D$14,0)))),""))</f>
        <v/>
      </c>
      <c r="T608" s="13"/>
      <c r="U608" s="13"/>
      <c r="V608" s="13"/>
      <c r="W608" s="13"/>
      <c r="X608" s="22" t="str">
        <f aca="false">IF(Q608="","",Q608^2)</f>
        <v/>
      </c>
      <c r="Y608" s="22" t="str">
        <f aca="false">IF(AND(C608&lt;&gt;"",C608=CERTIFICADO!$E$4,OR(CERTIFICADO!$E$5="",B608=CERTIFICADO!$E$5)),MAX($Y$4:Y607)+1,"")</f>
        <v/>
      </c>
    </row>
    <row r="609" customFormat="false" ht="15" hidden="false" customHeight="false" outlineLevel="0" collapsed="false">
      <c r="A609" s="11" t="str">
        <f aca="false">IF(C609="","",ROW()-4)</f>
        <v/>
      </c>
      <c r="B609" s="12"/>
      <c r="C609" s="13"/>
      <c r="D609" s="23" t="str">
        <f aca="false">IF(C609="","",IFERROR(INDEX(LOTES!$D$5:$D$1004,MATCH(C609,LOTES!$F$5:$F$1004,0)),"¿Lote?"))</f>
        <v/>
      </c>
      <c r="E609" s="11" t="str">
        <f aca="false">IF(C609="","",IFERROR(INDEX(LOTES!$C$5:$C$1004,MATCH(C609,LOTES!$F$5:$F$1004,0)),""))</f>
        <v/>
      </c>
      <c r="F609" s="24" t="str">
        <f aca="false">IF(C609="","",IFERROR(INDEX(LOTES!$B$5:$B$1004,MATCH(C609,LOTES!$F$5:$F$1004,0)),""))</f>
        <v/>
      </c>
      <c r="G609" s="15" t="str">
        <f aca="false">IF(OR(B609="",F609=""),"",B609-F609)</f>
        <v/>
      </c>
      <c r="H609" s="13"/>
      <c r="I609" s="13"/>
      <c r="J609" s="13"/>
      <c r="K609" s="25"/>
      <c r="L609" s="25"/>
      <c r="M609" s="25"/>
      <c r="N609" s="25"/>
      <c r="O609" s="26"/>
      <c r="P609" s="16" t="str">
        <f aca="false">IF(O609="","",IFERROR(1/(1/(IF(K609="",INDEX(CONFIG!$F$5:$F$14,MATCH(D609,CONFIG!$D$5:$D$14,0)),K609)*IF(M609="",INDEX(CONFIG!$H$5:$H$14,MATCH(D609,CONFIG!$D$5:$D$14,0)),M609))),""))</f>
        <v/>
      </c>
      <c r="Q609" s="16" t="str">
        <f aca="false">IF(OR(O609="",P609=""),"",O609/P609)</f>
        <v/>
      </c>
      <c r="R609" s="16" t="str">
        <f aca="false">IF(Q609="","",Q609*0.0980665)</f>
        <v/>
      </c>
      <c r="S609" s="16" t="str">
        <f aca="false">IF(Q609="","",IFERROR(Q609/(1/(1/INDEX(CONFIG!$I$5:$I$14,MATCH(D609,CONFIG!$D$5:$D$14,0)))),""))</f>
        <v/>
      </c>
      <c r="T609" s="13"/>
      <c r="U609" s="13"/>
      <c r="V609" s="13"/>
      <c r="W609" s="13"/>
      <c r="X609" s="22" t="str">
        <f aca="false">IF(Q609="","",Q609^2)</f>
        <v/>
      </c>
      <c r="Y609" s="22" t="str">
        <f aca="false">IF(AND(C609&lt;&gt;"",C609=CERTIFICADO!$E$4,OR(CERTIFICADO!$E$5="",B609=CERTIFICADO!$E$5)),MAX($Y$4:Y608)+1,"")</f>
        <v/>
      </c>
    </row>
    <row r="610" customFormat="false" ht="15" hidden="false" customHeight="false" outlineLevel="0" collapsed="false">
      <c r="A610" s="11" t="str">
        <f aca="false">IF(C610="","",ROW()-4)</f>
        <v/>
      </c>
      <c r="B610" s="12"/>
      <c r="C610" s="13"/>
      <c r="D610" s="23" t="str">
        <f aca="false">IF(C610="","",IFERROR(INDEX(LOTES!$D$5:$D$1004,MATCH(C610,LOTES!$F$5:$F$1004,0)),"¿Lote?"))</f>
        <v/>
      </c>
      <c r="E610" s="11" t="str">
        <f aca="false">IF(C610="","",IFERROR(INDEX(LOTES!$C$5:$C$1004,MATCH(C610,LOTES!$F$5:$F$1004,0)),""))</f>
        <v/>
      </c>
      <c r="F610" s="24" t="str">
        <f aca="false">IF(C610="","",IFERROR(INDEX(LOTES!$B$5:$B$1004,MATCH(C610,LOTES!$F$5:$F$1004,0)),""))</f>
        <v/>
      </c>
      <c r="G610" s="15" t="str">
        <f aca="false">IF(OR(B610="",F610=""),"",B610-F610)</f>
        <v/>
      </c>
      <c r="H610" s="13"/>
      <c r="I610" s="13"/>
      <c r="J610" s="13"/>
      <c r="K610" s="25"/>
      <c r="L610" s="25"/>
      <c r="M610" s="25"/>
      <c r="N610" s="25"/>
      <c r="O610" s="26"/>
      <c r="P610" s="16" t="str">
        <f aca="false">IF(O610="","",IFERROR(1/(1/(IF(K610="",INDEX(CONFIG!$F$5:$F$14,MATCH(D610,CONFIG!$D$5:$D$14,0)),K610)*IF(M610="",INDEX(CONFIG!$H$5:$H$14,MATCH(D610,CONFIG!$D$5:$D$14,0)),M610))),""))</f>
        <v/>
      </c>
      <c r="Q610" s="16" t="str">
        <f aca="false">IF(OR(O610="",P610=""),"",O610/P610)</f>
        <v/>
      </c>
      <c r="R610" s="16" t="str">
        <f aca="false">IF(Q610="","",Q610*0.0980665)</f>
        <v/>
      </c>
      <c r="S610" s="16" t="str">
        <f aca="false">IF(Q610="","",IFERROR(Q610/(1/(1/INDEX(CONFIG!$I$5:$I$14,MATCH(D610,CONFIG!$D$5:$D$14,0)))),""))</f>
        <v/>
      </c>
      <c r="T610" s="13"/>
      <c r="U610" s="13"/>
      <c r="V610" s="13"/>
      <c r="W610" s="13"/>
      <c r="X610" s="22" t="str">
        <f aca="false">IF(Q610="","",Q610^2)</f>
        <v/>
      </c>
      <c r="Y610" s="22" t="str">
        <f aca="false">IF(AND(C610&lt;&gt;"",C610=CERTIFICADO!$E$4,OR(CERTIFICADO!$E$5="",B610=CERTIFICADO!$E$5)),MAX($Y$4:Y609)+1,"")</f>
        <v/>
      </c>
    </row>
    <row r="611" customFormat="false" ht="15" hidden="false" customHeight="false" outlineLevel="0" collapsed="false">
      <c r="A611" s="11" t="str">
        <f aca="false">IF(C611="","",ROW()-4)</f>
        <v/>
      </c>
      <c r="B611" s="12"/>
      <c r="C611" s="13"/>
      <c r="D611" s="23" t="str">
        <f aca="false">IF(C611="","",IFERROR(INDEX(LOTES!$D$5:$D$1004,MATCH(C611,LOTES!$F$5:$F$1004,0)),"¿Lote?"))</f>
        <v/>
      </c>
      <c r="E611" s="11" t="str">
        <f aca="false">IF(C611="","",IFERROR(INDEX(LOTES!$C$5:$C$1004,MATCH(C611,LOTES!$F$5:$F$1004,0)),""))</f>
        <v/>
      </c>
      <c r="F611" s="24" t="str">
        <f aca="false">IF(C611="","",IFERROR(INDEX(LOTES!$B$5:$B$1004,MATCH(C611,LOTES!$F$5:$F$1004,0)),""))</f>
        <v/>
      </c>
      <c r="G611" s="15" t="str">
        <f aca="false">IF(OR(B611="",F611=""),"",B611-F611)</f>
        <v/>
      </c>
      <c r="H611" s="13"/>
      <c r="I611" s="13"/>
      <c r="J611" s="13"/>
      <c r="K611" s="25"/>
      <c r="L611" s="25"/>
      <c r="M611" s="25"/>
      <c r="N611" s="25"/>
      <c r="O611" s="26"/>
      <c r="P611" s="16" t="str">
        <f aca="false">IF(O611="","",IFERROR(1/(1/(IF(K611="",INDEX(CONFIG!$F$5:$F$14,MATCH(D611,CONFIG!$D$5:$D$14,0)),K611)*IF(M611="",INDEX(CONFIG!$H$5:$H$14,MATCH(D611,CONFIG!$D$5:$D$14,0)),M611))),""))</f>
        <v/>
      </c>
      <c r="Q611" s="16" t="str">
        <f aca="false">IF(OR(O611="",P611=""),"",O611/P611)</f>
        <v/>
      </c>
      <c r="R611" s="16" t="str">
        <f aca="false">IF(Q611="","",Q611*0.0980665)</f>
        <v/>
      </c>
      <c r="S611" s="16" t="str">
        <f aca="false">IF(Q611="","",IFERROR(Q611/(1/(1/INDEX(CONFIG!$I$5:$I$14,MATCH(D611,CONFIG!$D$5:$D$14,0)))),""))</f>
        <v/>
      </c>
      <c r="T611" s="13"/>
      <c r="U611" s="13"/>
      <c r="V611" s="13"/>
      <c r="W611" s="13"/>
      <c r="X611" s="22" t="str">
        <f aca="false">IF(Q611="","",Q611^2)</f>
        <v/>
      </c>
      <c r="Y611" s="22" t="str">
        <f aca="false">IF(AND(C611&lt;&gt;"",C611=CERTIFICADO!$E$4,OR(CERTIFICADO!$E$5="",B611=CERTIFICADO!$E$5)),MAX($Y$4:Y610)+1,"")</f>
        <v/>
      </c>
    </row>
    <row r="612" customFormat="false" ht="15" hidden="false" customHeight="false" outlineLevel="0" collapsed="false">
      <c r="A612" s="11" t="str">
        <f aca="false">IF(C612="","",ROW()-4)</f>
        <v/>
      </c>
      <c r="B612" s="12"/>
      <c r="C612" s="13"/>
      <c r="D612" s="23" t="str">
        <f aca="false">IF(C612="","",IFERROR(INDEX(LOTES!$D$5:$D$1004,MATCH(C612,LOTES!$F$5:$F$1004,0)),"¿Lote?"))</f>
        <v/>
      </c>
      <c r="E612" s="11" t="str">
        <f aca="false">IF(C612="","",IFERROR(INDEX(LOTES!$C$5:$C$1004,MATCH(C612,LOTES!$F$5:$F$1004,0)),""))</f>
        <v/>
      </c>
      <c r="F612" s="24" t="str">
        <f aca="false">IF(C612="","",IFERROR(INDEX(LOTES!$B$5:$B$1004,MATCH(C612,LOTES!$F$5:$F$1004,0)),""))</f>
        <v/>
      </c>
      <c r="G612" s="15" t="str">
        <f aca="false">IF(OR(B612="",F612=""),"",B612-F612)</f>
        <v/>
      </c>
      <c r="H612" s="13"/>
      <c r="I612" s="13"/>
      <c r="J612" s="13"/>
      <c r="K612" s="25"/>
      <c r="L612" s="25"/>
      <c r="M612" s="25"/>
      <c r="N612" s="25"/>
      <c r="O612" s="26"/>
      <c r="P612" s="16" t="str">
        <f aca="false">IF(O612="","",IFERROR(1/(1/(IF(K612="",INDEX(CONFIG!$F$5:$F$14,MATCH(D612,CONFIG!$D$5:$D$14,0)),K612)*IF(M612="",INDEX(CONFIG!$H$5:$H$14,MATCH(D612,CONFIG!$D$5:$D$14,0)),M612))),""))</f>
        <v/>
      </c>
      <c r="Q612" s="16" t="str">
        <f aca="false">IF(OR(O612="",P612=""),"",O612/P612)</f>
        <v/>
      </c>
      <c r="R612" s="16" t="str">
        <f aca="false">IF(Q612="","",Q612*0.0980665)</f>
        <v/>
      </c>
      <c r="S612" s="16" t="str">
        <f aca="false">IF(Q612="","",IFERROR(Q612/(1/(1/INDEX(CONFIG!$I$5:$I$14,MATCH(D612,CONFIG!$D$5:$D$14,0)))),""))</f>
        <v/>
      </c>
      <c r="T612" s="13"/>
      <c r="U612" s="13"/>
      <c r="V612" s="13"/>
      <c r="W612" s="13"/>
      <c r="X612" s="22" t="str">
        <f aca="false">IF(Q612="","",Q612^2)</f>
        <v/>
      </c>
      <c r="Y612" s="22" t="str">
        <f aca="false">IF(AND(C612&lt;&gt;"",C612=CERTIFICADO!$E$4,OR(CERTIFICADO!$E$5="",B612=CERTIFICADO!$E$5)),MAX($Y$4:Y611)+1,"")</f>
        <v/>
      </c>
    </row>
    <row r="613" customFormat="false" ht="15" hidden="false" customHeight="false" outlineLevel="0" collapsed="false">
      <c r="A613" s="11" t="str">
        <f aca="false">IF(C613="","",ROW()-4)</f>
        <v/>
      </c>
      <c r="B613" s="12"/>
      <c r="C613" s="13"/>
      <c r="D613" s="23" t="str">
        <f aca="false">IF(C613="","",IFERROR(INDEX(LOTES!$D$5:$D$1004,MATCH(C613,LOTES!$F$5:$F$1004,0)),"¿Lote?"))</f>
        <v/>
      </c>
      <c r="E613" s="11" t="str">
        <f aca="false">IF(C613="","",IFERROR(INDEX(LOTES!$C$5:$C$1004,MATCH(C613,LOTES!$F$5:$F$1004,0)),""))</f>
        <v/>
      </c>
      <c r="F613" s="24" t="str">
        <f aca="false">IF(C613="","",IFERROR(INDEX(LOTES!$B$5:$B$1004,MATCH(C613,LOTES!$F$5:$F$1004,0)),""))</f>
        <v/>
      </c>
      <c r="G613" s="15" t="str">
        <f aca="false">IF(OR(B613="",F613=""),"",B613-F613)</f>
        <v/>
      </c>
      <c r="H613" s="13"/>
      <c r="I613" s="13"/>
      <c r="J613" s="13"/>
      <c r="K613" s="25"/>
      <c r="L613" s="25"/>
      <c r="M613" s="25"/>
      <c r="N613" s="25"/>
      <c r="O613" s="26"/>
      <c r="P613" s="16" t="str">
        <f aca="false">IF(O613="","",IFERROR(1/(1/(IF(K613="",INDEX(CONFIG!$F$5:$F$14,MATCH(D613,CONFIG!$D$5:$D$14,0)),K613)*IF(M613="",INDEX(CONFIG!$H$5:$H$14,MATCH(D613,CONFIG!$D$5:$D$14,0)),M613))),""))</f>
        <v/>
      </c>
      <c r="Q613" s="16" t="str">
        <f aca="false">IF(OR(O613="",P613=""),"",O613/P613)</f>
        <v/>
      </c>
      <c r="R613" s="16" t="str">
        <f aca="false">IF(Q613="","",Q613*0.0980665)</f>
        <v/>
      </c>
      <c r="S613" s="16" t="str">
        <f aca="false">IF(Q613="","",IFERROR(Q613/(1/(1/INDEX(CONFIG!$I$5:$I$14,MATCH(D613,CONFIG!$D$5:$D$14,0)))),""))</f>
        <v/>
      </c>
      <c r="T613" s="13"/>
      <c r="U613" s="13"/>
      <c r="V613" s="13"/>
      <c r="W613" s="13"/>
      <c r="X613" s="22" t="str">
        <f aca="false">IF(Q613="","",Q613^2)</f>
        <v/>
      </c>
      <c r="Y613" s="22" t="str">
        <f aca="false">IF(AND(C613&lt;&gt;"",C613=CERTIFICADO!$E$4,OR(CERTIFICADO!$E$5="",B613=CERTIFICADO!$E$5)),MAX($Y$4:Y612)+1,"")</f>
        <v/>
      </c>
    </row>
    <row r="614" customFormat="false" ht="15" hidden="false" customHeight="false" outlineLevel="0" collapsed="false">
      <c r="A614" s="11" t="str">
        <f aca="false">IF(C614="","",ROW()-4)</f>
        <v/>
      </c>
      <c r="B614" s="12"/>
      <c r="C614" s="13"/>
      <c r="D614" s="23" t="str">
        <f aca="false">IF(C614="","",IFERROR(INDEX(LOTES!$D$5:$D$1004,MATCH(C614,LOTES!$F$5:$F$1004,0)),"¿Lote?"))</f>
        <v/>
      </c>
      <c r="E614" s="11" t="str">
        <f aca="false">IF(C614="","",IFERROR(INDEX(LOTES!$C$5:$C$1004,MATCH(C614,LOTES!$F$5:$F$1004,0)),""))</f>
        <v/>
      </c>
      <c r="F614" s="24" t="str">
        <f aca="false">IF(C614="","",IFERROR(INDEX(LOTES!$B$5:$B$1004,MATCH(C614,LOTES!$F$5:$F$1004,0)),""))</f>
        <v/>
      </c>
      <c r="G614" s="15" t="str">
        <f aca="false">IF(OR(B614="",F614=""),"",B614-F614)</f>
        <v/>
      </c>
      <c r="H614" s="13"/>
      <c r="I614" s="13"/>
      <c r="J614" s="13"/>
      <c r="K614" s="25"/>
      <c r="L614" s="25"/>
      <c r="M614" s="25"/>
      <c r="N614" s="25"/>
      <c r="O614" s="26"/>
      <c r="P614" s="16" t="str">
        <f aca="false">IF(O614="","",IFERROR(1/(1/(IF(K614="",INDEX(CONFIG!$F$5:$F$14,MATCH(D614,CONFIG!$D$5:$D$14,0)),K614)*IF(M614="",INDEX(CONFIG!$H$5:$H$14,MATCH(D614,CONFIG!$D$5:$D$14,0)),M614))),""))</f>
        <v/>
      </c>
      <c r="Q614" s="16" t="str">
        <f aca="false">IF(OR(O614="",P614=""),"",O614/P614)</f>
        <v/>
      </c>
      <c r="R614" s="16" t="str">
        <f aca="false">IF(Q614="","",Q614*0.0980665)</f>
        <v/>
      </c>
      <c r="S614" s="16" t="str">
        <f aca="false">IF(Q614="","",IFERROR(Q614/(1/(1/INDEX(CONFIG!$I$5:$I$14,MATCH(D614,CONFIG!$D$5:$D$14,0)))),""))</f>
        <v/>
      </c>
      <c r="T614" s="13"/>
      <c r="U614" s="13"/>
      <c r="V614" s="13"/>
      <c r="W614" s="13"/>
      <c r="X614" s="22" t="str">
        <f aca="false">IF(Q614="","",Q614^2)</f>
        <v/>
      </c>
      <c r="Y614" s="22" t="str">
        <f aca="false">IF(AND(C614&lt;&gt;"",C614=CERTIFICADO!$E$4,OR(CERTIFICADO!$E$5="",B614=CERTIFICADO!$E$5)),MAX($Y$4:Y613)+1,"")</f>
        <v/>
      </c>
    </row>
    <row r="615" customFormat="false" ht="15" hidden="false" customHeight="false" outlineLevel="0" collapsed="false">
      <c r="A615" s="11" t="str">
        <f aca="false">IF(C615="","",ROW()-4)</f>
        <v/>
      </c>
      <c r="B615" s="12"/>
      <c r="C615" s="13"/>
      <c r="D615" s="23" t="str">
        <f aca="false">IF(C615="","",IFERROR(INDEX(LOTES!$D$5:$D$1004,MATCH(C615,LOTES!$F$5:$F$1004,0)),"¿Lote?"))</f>
        <v/>
      </c>
      <c r="E615" s="11" t="str">
        <f aca="false">IF(C615="","",IFERROR(INDEX(LOTES!$C$5:$C$1004,MATCH(C615,LOTES!$F$5:$F$1004,0)),""))</f>
        <v/>
      </c>
      <c r="F615" s="24" t="str">
        <f aca="false">IF(C615="","",IFERROR(INDEX(LOTES!$B$5:$B$1004,MATCH(C615,LOTES!$F$5:$F$1004,0)),""))</f>
        <v/>
      </c>
      <c r="G615" s="15" t="str">
        <f aca="false">IF(OR(B615="",F615=""),"",B615-F615)</f>
        <v/>
      </c>
      <c r="H615" s="13"/>
      <c r="I615" s="13"/>
      <c r="J615" s="13"/>
      <c r="K615" s="25"/>
      <c r="L615" s="25"/>
      <c r="M615" s="25"/>
      <c r="N615" s="25"/>
      <c r="O615" s="26"/>
      <c r="P615" s="16" t="str">
        <f aca="false">IF(O615="","",IFERROR(1/(1/(IF(K615="",INDEX(CONFIG!$F$5:$F$14,MATCH(D615,CONFIG!$D$5:$D$14,0)),K615)*IF(M615="",INDEX(CONFIG!$H$5:$H$14,MATCH(D615,CONFIG!$D$5:$D$14,0)),M615))),""))</f>
        <v/>
      </c>
      <c r="Q615" s="16" t="str">
        <f aca="false">IF(OR(O615="",P615=""),"",O615/P615)</f>
        <v/>
      </c>
      <c r="R615" s="16" t="str">
        <f aca="false">IF(Q615="","",Q615*0.0980665)</f>
        <v/>
      </c>
      <c r="S615" s="16" t="str">
        <f aca="false">IF(Q615="","",IFERROR(Q615/(1/(1/INDEX(CONFIG!$I$5:$I$14,MATCH(D615,CONFIG!$D$5:$D$14,0)))),""))</f>
        <v/>
      </c>
      <c r="T615" s="13"/>
      <c r="U615" s="13"/>
      <c r="V615" s="13"/>
      <c r="W615" s="13"/>
      <c r="X615" s="22" t="str">
        <f aca="false">IF(Q615="","",Q615^2)</f>
        <v/>
      </c>
      <c r="Y615" s="22" t="str">
        <f aca="false">IF(AND(C615&lt;&gt;"",C615=CERTIFICADO!$E$4,OR(CERTIFICADO!$E$5="",B615=CERTIFICADO!$E$5)),MAX($Y$4:Y614)+1,"")</f>
        <v/>
      </c>
    </row>
    <row r="616" customFormat="false" ht="15" hidden="false" customHeight="false" outlineLevel="0" collapsed="false">
      <c r="A616" s="11" t="str">
        <f aca="false">IF(C616="","",ROW()-4)</f>
        <v/>
      </c>
      <c r="B616" s="12"/>
      <c r="C616" s="13"/>
      <c r="D616" s="23" t="str">
        <f aca="false">IF(C616="","",IFERROR(INDEX(LOTES!$D$5:$D$1004,MATCH(C616,LOTES!$F$5:$F$1004,0)),"¿Lote?"))</f>
        <v/>
      </c>
      <c r="E616" s="11" t="str">
        <f aca="false">IF(C616="","",IFERROR(INDEX(LOTES!$C$5:$C$1004,MATCH(C616,LOTES!$F$5:$F$1004,0)),""))</f>
        <v/>
      </c>
      <c r="F616" s="24" t="str">
        <f aca="false">IF(C616="","",IFERROR(INDEX(LOTES!$B$5:$B$1004,MATCH(C616,LOTES!$F$5:$F$1004,0)),""))</f>
        <v/>
      </c>
      <c r="G616" s="15" t="str">
        <f aca="false">IF(OR(B616="",F616=""),"",B616-F616)</f>
        <v/>
      </c>
      <c r="H616" s="13"/>
      <c r="I616" s="13"/>
      <c r="J616" s="13"/>
      <c r="K616" s="25"/>
      <c r="L616" s="25"/>
      <c r="M616" s="25"/>
      <c r="N616" s="25"/>
      <c r="O616" s="26"/>
      <c r="P616" s="16" t="str">
        <f aca="false">IF(O616="","",IFERROR(1/(1/(IF(K616="",INDEX(CONFIG!$F$5:$F$14,MATCH(D616,CONFIG!$D$5:$D$14,0)),K616)*IF(M616="",INDEX(CONFIG!$H$5:$H$14,MATCH(D616,CONFIG!$D$5:$D$14,0)),M616))),""))</f>
        <v/>
      </c>
      <c r="Q616" s="16" t="str">
        <f aca="false">IF(OR(O616="",P616=""),"",O616/P616)</f>
        <v/>
      </c>
      <c r="R616" s="16" t="str">
        <f aca="false">IF(Q616="","",Q616*0.0980665)</f>
        <v/>
      </c>
      <c r="S616" s="16" t="str">
        <f aca="false">IF(Q616="","",IFERROR(Q616/(1/(1/INDEX(CONFIG!$I$5:$I$14,MATCH(D616,CONFIG!$D$5:$D$14,0)))),""))</f>
        <v/>
      </c>
      <c r="T616" s="13"/>
      <c r="U616" s="13"/>
      <c r="V616" s="13"/>
      <c r="W616" s="13"/>
      <c r="X616" s="22" t="str">
        <f aca="false">IF(Q616="","",Q616^2)</f>
        <v/>
      </c>
      <c r="Y616" s="22" t="str">
        <f aca="false">IF(AND(C616&lt;&gt;"",C616=CERTIFICADO!$E$4,OR(CERTIFICADO!$E$5="",B616=CERTIFICADO!$E$5)),MAX($Y$4:Y615)+1,"")</f>
        <v/>
      </c>
    </row>
    <row r="617" customFormat="false" ht="15" hidden="false" customHeight="false" outlineLevel="0" collapsed="false">
      <c r="A617" s="11" t="str">
        <f aca="false">IF(C617="","",ROW()-4)</f>
        <v/>
      </c>
      <c r="B617" s="12"/>
      <c r="C617" s="13"/>
      <c r="D617" s="23" t="str">
        <f aca="false">IF(C617="","",IFERROR(INDEX(LOTES!$D$5:$D$1004,MATCH(C617,LOTES!$F$5:$F$1004,0)),"¿Lote?"))</f>
        <v/>
      </c>
      <c r="E617" s="11" t="str">
        <f aca="false">IF(C617="","",IFERROR(INDEX(LOTES!$C$5:$C$1004,MATCH(C617,LOTES!$F$5:$F$1004,0)),""))</f>
        <v/>
      </c>
      <c r="F617" s="24" t="str">
        <f aca="false">IF(C617="","",IFERROR(INDEX(LOTES!$B$5:$B$1004,MATCH(C617,LOTES!$F$5:$F$1004,0)),""))</f>
        <v/>
      </c>
      <c r="G617" s="15" t="str">
        <f aca="false">IF(OR(B617="",F617=""),"",B617-F617)</f>
        <v/>
      </c>
      <c r="H617" s="13"/>
      <c r="I617" s="13"/>
      <c r="J617" s="13"/>
      <c r="K617" s="25"/>
      <c r="L617" s="25"/>
      <c r="M617" s="25"/>
      <c r="N617" s="25"/>
      <c r="O617" s="26"/>
      <c r="P617" s="16" t="str">
        <f aca="false">IF(O617="","",IFERROR(1/(1/(IF(K617="",INDEX(CONFIG!$F$5:$F$14,MATCH(D617,CONFIG!$D$5:$D$14,0)),K617)*IF(M617="",INDEX(CONFIG!$H$5:$H$14,MATCH(D617,CONFIG!$D$5:$D$14,0)),M617))),""))</f>
        <v/>
      </c>
      <c r="Q617" s="16" t="str">
        <f aca="false">IF(OR(O617="",P617=""),"",O617/P617)</f>
        <v/>
      </c>
      <c r="R617" s="16" t="str">
        <f aca="false">IF(Q617="","",Q617*0.0980665)</f>
        <v/>
      </c>
      <c r="S617" s="16" t="str">
        <f aca="false">IF(Q617="","",IFERROR(Q617/(1/(1/INDEX(CONFIG!$I$5:$I$14,MATCH(D617,CONFIG!$D$5:$D$14,0)))),""))</f>
        <v/>
      </c>
      <c r="T617" s="13"/>
      <c r="U617" s="13"/>
      <c r="V617" s="13"/>
      <c r="W617" s="13"/>
      <c r="X617" s="22" t="str">
        <f aca="false">IF(Q617="","",Q617^2)</f>
        <v/>
      </c>
      <c r="Y617" s="22" t="str">
        <f aca="false">IF(AND(C617&lt;&gt;"",C617=CERTIFICADO!$E$4,OR(CERTIFICADO!$E$5="",B617=CERTIFICADO!$E$5)),MAX($Y$4:Y616)+1,"")</f>
        <v/>
      </c>
    </row>
    <row r="618" customFormat="false" ht="15" hidden="false" customHeight="false" outlineLevel="0" collapsed="false">
      <c r="A618" s="11" t="str">
        <f aca="false">IF(C618="","",ROW()-4)</f>
        <v/>
      </c>
      <c r="B618" s="12"/>
      <c r="C618" s="13"/>
      <c r="D618" s="23" t="str">
        <f aca="false">IF(C618="","",IFERROR(INDEX(LOTES!$D$5:$D$1004,MATCH(C618,LOTES!$F$5:$F$1004,0)),"¿Lote?"))</f>
        <v/>
      </c>
      <c r="E618" s="11" t="str">
        <f aca="false">IF(C618="","",IFERROR(INDEX(LOTES!$C$5:$C$1004,MATCH(C618,LOTES!$F$5:$F$1004,0)),""))</f>
        <v/>
      </c>
      <c r="F618" s="24" t="str">
        <f aca="false">IF(C618="","",IFERROR(INDEX(LOTES!$B$5:$B$1004,MATCH(C618,LOTES!$F$5:$F$1004,0)),""))</f>
        <v/>
      </c>
      <c r="G618" s="15" t="str">
        <f aca="false">IF(OR(B618="",F618=""),"",B618-F618)</f>
        <v/>
      </c>
      <c r="H618" s="13"/>
      <c r="I618" s="13"/>
      <c r="J618" s="13"/>
      <c r="K618" s="25"/>
      <c r="L618" s="25"/>
      <c r="M618" s="25"/>
      <c r="N618" s="25"/>
      <c r="O618" s="26"/>
      <c r="P618" s="16" t="str">
        <f aca="false">IF(O618="","",IFERROR(1/(1/(IF(K618="",INDEX(CONFIG!$F$5:$F$14,MATCH(D618,CONFIG!$D$5:$D$14,0)),K618)*IF(M618="",INDEX(CONFIG!$H$5:$H$14,MATCH(D618,CONFIG!$D$5:$D$14,0)),M618))),""))</f>
        <v/>
      </c>
      <c r="Q618" s="16" t="str">
        <f aca="false">IF(OR(O618="",P618=""),"",O618/P618)</f>
        <v/>
      </c>
      <c r="R618" s="16" t="str">
        <f aca="false">IF(Q618="","",Q618*0.0980665)</f>
        <v/>
      </c>
      <c r="S618" s="16" t="str">
        <f aca="false">IF(Q618="","",IFERROR(Q618/(1/(1/INDEX(CONFIG!$I$5:$I$14,MATCH(D618,CONFIG!$D$5:$D$14,0)))),""))</f>
        <v/>
      </c>
      <c r="T618" s="13"/>
      <c r="U618" s="13"/>
      <c r="V618" s="13"/>
      <c r="W618" s="13"/>
      <c r="X618" s="22" t="str">
        <f aca="false">IF(Q618="","",Q618^2)</f>
        <v/>
      </c>
      <c r="Y618" s="22" t="str">
        <f aca="false">IF(AND(C618&lt;&gt;"",C618=CERTIFICADO!$E$4,OR(CERTIFICADO!$E$5="",B618=CERTIFICADO!$E$5)),MAX($Y$4:Y617)+1,"")</f>
        <v/>
      </c>
    </row>
    <row r="619" customFormat="false" ht="15" hidden="false" customHeight="false" outlineLevel="0" collapsed="false">
      <c r="A619" s="11" t="str">
        <f aca="false">IF(C619="","",ROW()-4)</f>
        <v/>
      </c>
      <c r="B619" s="12"/>
      <c r="C619" s="13"/>
      <c r="D619" s="23" t="str">
        <f aca="false">IF(C619="","",IFERROR(INDEX(LOTES!$D$5:$D$1004,MATCH(C619,LOTES!$F$5:$F$1004,0)),"¿Lote?"))</f>
        <v/>
      </c>
      <c r="E619" s="11" t="str">
        <f aca="false">IF(C619="","",IFERROR(INDEX(LOTES!$C$5:$C$1004,MATCH(C619,LOTES!$F$5:$F$1004,0)),""))</f>
        <v/>
      </c>
      <c r="F619" s="24" t="str">
        <f aca="false">IF(C619="","",IFERROR(INDEX(LOTES!$B$5:$B$1004,MATCH(C619,LOTES!$F$5:$F$1004,0)),""))</f>
        <v/>
      </c>
      <c r="G619" s="15" t="str">
        <f aca="false">IF(OR(B619="",F619=""),"",B619-F619)</f>
        <v/>
      </c>
      <c r="H619" s="13"/>
      <c r="I619" s="13"/>
      <c r="J619" s="13"/>
      <c r="K619" s="25"/>
      <c r="L619" s="25"/>
      <c r="M619" s="25"/>
      <c r="N619" s="25"/>
      <c r="O619" s="26"/>
      <c r="P619" s="16" t="str">
        <f aca="false">IF(O619="","",IFERROR(1/(1/(IF(K619="",INDEX(CONFIG!$F$5:$F$14,MATCH(D619,CONFIG!$D$5:$D$14,0)),K619)*IF(M619="",INDEX(CONFIG!$H$5:$H$14,MATCH(D619,CONFIG!$D$5:$D$14,0)),M619))),""))</f>
        <v/>
      </c>
      <c r="Q619" s="16" t="str">
        <f aca="false">IF(OR(O619="",P619=""),"",O619/P619)</f>
        <v/>
      </c>
      <c r="R619" s="16" t="str">
        <f aca="false">IF(Q619="","",Q619*0.0980665)</f>
        <v/>
      </c>
      <c r="S619" s="16" t="str">
        <f aca="false">IF(Q619="","",IFERROR(Q619/(1/(1/INDEX(CONFIG!$I$5:$I$14,MATCH(D619,CONFIG!$D$5:$D$14,0)))),""))</f>
        <v/>
      </c>
      <c r="T619" s="13"/>
      <c r="U619" s="13"/>
      <c r="V619" s="13"/>
      <c r="W619" s="13"/>
      <c r="X619" s="22" t="str">
        <f aca="false">IF(Q619="","",Q619^2)</f>
        <v/>
      </c>
      <c r="Y619" s="22" t="str">
        <f aca="false">IF(AND(C619&lt;&gt;"",C619=CERTIFICADO!$E$4,OR(CERTIFICADO!$E$5="",B619=CERTIFICADO!$E$5)),MAX($Y$4:Y618)+1,"")</f>
        <v/>
      </c>
    </row>
    <row r="620" customFormat="false" ht="15" hidden="false" customHeight="false" outlineLevel="0" collapsed="false">
      <c r="A620" s="11" t="str">
        <f aca="false">IF(C620="","",ROW()-4)</f>
        <v/>
      </c>
      <c r="B620" s="12"/>
      <c r="C620" s="13"/>
      <c r="D620" s="23" t="str">
        <f aca="false">IF(C620="","",IFERROR(INDEX(LOTES!$D$5:$D$1004,MATCH(C620,LOTES!$F$5:$F$1004,0)),"¿Lote?"))</f>
        <v/>
      </c>
      <c r="E620" s="11" t="str">
        <f aca="false">IF(C620="","",IFERROR(INDEX(LOTES!$C$5:$C$1004,MATCH(C620,LOTES!$F$5:$F$1004,0)),""))</f>
        <v/>
      </c>
      <c r="F620" s="24" t="str">
        <f aca="false">IF(C620="","",IFERROR(INDEX(LOTES!$B$5:$B$1004,MATCH(C620,LOTES!$F$5:$F$1004,0)),""))</f>
        <v/>
      </c>
      <c r="G620" s="15" t="str">
        <f aca="false">IF(OR(B620="",F620=""),"",B620-F620)</f>
        <v/>
      </c>
      <c r="H620" s="13"/>
      <c r="I620" s="13"/>
      <c r="J620" s="13"/>
      <c r="K620" s="25"/>
      <c r="L620" s="25"/>
      <c r="M620" s="25"/>
      <c r="N620" s="25"/>
      <c r="O620" s="26"/>
      <c r="P620" s="16" t="str">
        <f aca="false">IF(O620="","",IFERROR(1/(1/(IF(K620="",INDEX(CONFIG!$F$5:$F$14,MATCH(D620,CONFIG!$D$5:$D$14,0)),K620)*IF(M620="",INDEX(CONFIG!$H$5:$H$14,MATCH(D620,CONFIG!$D$5:$D$14,0)),M620))),""))</f>
        <v/>
      </c>
      <c r="Q620" s="16" t="str">
        <f aca="false">IF(OR(O620="",P620=""),"",O620/P620)</f>
        <v/>
      </c>
      <c r="R620" s="16" t="str">
        <f aca="false">IF(Q620="","",Q620*0.0980665)</f>
        <v/>
      </c>
      <c r="S620" s="16" t="str">
        <f aca="false">IF(Q620="","",IFERROR(Q620/(1/(1/INDEX(CONFIG!$I$5:$I$14,MATCH(D620,CONFIG!$D$5:$D$14,0)))),""))</f>
        <v/>
      </c>
      <c r="T620" s="13"/>
      <c r="U620" s="13"/>
      <c r="V620" s="13"/>
      <c r="W620" s="13"/>
      <c r="X620" s="22" t="str">
        <f aca="false">IF(Q620="","",Q620^2)</f>
        <v/>
      </c>
      <c r="Y620" s="22" t="str">
        <f aca="false">IF(AND(C620&lt;&gt;"",C620=CERTIFICADO!$E$4,OR(CERTIFICADO!$E$5="",B620=CERTIFICADO!$E$5)),MAX($Y$4:Y619)+1,"")</f>
        <v/>
      </c>
    </row>
    <row r="621" customFormat="false" ht="15" hidden="false" customHeight="false" outlineLevel="0" collapsed="false">
      <c r="A621" s="11" t="str">
        <f aca="false">IF(C621="","",ROW()-4)</f>
        <v/>
      </c>
      <c r="B621" s="12"/>
      <c r="C621" s="13"/>
      <c r="D621" s="23" t="str">
        <f aca="false">IF(C621="","",IFERROR(INDEX(LOTES!$D$5:$D$1004,MATCH(C621,LOTES!$F$5:$F$1004,0)),"¿Lote?"))</f>
        <v/>
      </c>
      <c r="E621" s="11" t="str">
        <f aca="false">IF(C621="","",IFERROR(INDEX(LOTES!$C$5:$C$1004,MATCH(C621,LOTES!$F$5:$F$1004,0)),""))</f>
        <v/>
      </c>
      <c r="F621" s="24" t="str">
        <f aca="false">IF(C621="","",IFERROR(INDEX(LOTES!$B$5:$B$1004,MATCH(C621,LOTES!$F$5:$F$1004,0)),""))</f>
        <v/>
      </c>
      <c r="G621" s="15" t="str">
        <f aca="false">IF(OR(B621="",F621=""),"",B621-F621)</f>
        <v/>
      </c>
      <c r="H621" s="13"/>
      <c r="I621" s="13"/>
      <c r="J621" s="13"/>
      <c r="K621" s="25"/>
      <c r="L621" s="25"/>
      <c r="M621" s="25"/>
      <c r="N621" s="25"/>
      <c r="O621" s="26"/>
      <c r="P621" s="16" t="str">
        <f aca="false">IF(O621="","",IFERROR(1/(1/(IF(K621="",INDEX(CONFIG!$F$5:$F$14,MATCH(D621,CONFIG!$D$5:$D$14,0)),K621)*IF(M621="",INDEX(CONFIG!$H$5:$H$14,MATCH(D621,CONFIG!$D$5:$D$14,0)),M621))),""))</f>
        <v/>
      </c>
      <c r="Q621" s="16" t="str">
        <f aca="false">IF(OR(O621="",P621=""),"",O621/P621)</f>
        <v/>
      </c>
      <c r="R621" s="16" t="str">
        <f aca="false">IF(Q621="","",Q621*0.0980665)</f>
        <v/>
      </c>
      <c r="S621" s="16" t="str">
        <f aca="false">IF(Q621="","",IFERROR(Q621/(1/(1/INDEX(CONFIG!$I$5:$I$14,MATCH(D621,CONFIG!$D$5:$D$14,0)))),""))</f>
        <v/>
      </c>
      <c r="T621" s="13"/>
      <c r="U621" s="13"/>
      <c r="V621" s="13"/>
      <c r="W621" s="13"/>
      <c r="X621" s="22" t="str">
        <f aca="false">IF(Q621="","",Q621^2)</f>
        <v/>
      </c>
      <c r="Y621" s="22" t="str">
        <f aca="false">IF(AND(C621&lt;&gt;"",C621=CERTIFICADO!$E$4,OR(CERTIFICADO!$E$5="",B621=CERTIFICADO!$E$5)),MAX($Y$4:Y620)+1,"")</f>
        <v/>
      </c>
    </row>
    <row r="622" customFormat="false" ht="15" hidden="false" customHeight="false" outlineLevel="0" collapsed="false">
      <c r="A622" s="11" t="str">
        <f aca="false">IF(C622="","",ROW()-4)</f>
        <v/>
      </c>
      <c r="B622" s="12"/>
      <c r="C622" s="13"/>
      <c r="D622" s="23" t="str">
        <f aca="false">IF(C622="","",IFERROR(INDEX(LOTES!$D$5:$D$1004,MATCH(C622,LOTES!$F$5:$F$1004,0)),"¿Lote?"))</f>
        <v/>
      </c>
      <c r="E622" s="11" t="str">
        <f aca="false">IF(C622="","",IFERROR(INDEX(LOTES!$C$5:$C$1004,MATCH(C622,LOTES!$F$5:$F$1004,0)),""))</f>
        <v/>
      </c>
      <c r="F622" s="24" t="str">
        <f aca="false">IF(C622="","",IFERROR(INDEX(LOTES!$B$5:$B$1004,MATCH(C622,LOTES!$F$5:$F$1004,0)),""))</f>
        <v/>
      </c>
      <c r="G622" s="15" t="str">
        <f aca="false">IF(OR(B622="",F622=""),"",B622-F622)</f>
        <v/>
      </c>
      <c r="H622" s="13"/>
      <c r="I622" s="13"/>
      <c r="J622" s="13"/>
      <c r="K622" s="25"/>
      <c r="L622" s="25"/>
      <c r="M622" s="25"/>
      <c r="N622" s="25"/>
      <c r="O622" s="26"/>
      <c r="P622" s="16" t="str">
        <f aca="false">IF(O622="","",IFERROR(1/(1/(IF(K622="",INDEX(CONFIG!$F$5:$F$14,MATCH(D622,CONFIG!$D$5:$D$14,0)),K622)*IF(M622="",INDEX(CONFIG!$H$5:$H$14,MATCH(D622,CONFIG!$D$5:$D$14,0)),M622))),""))</f>
        <v/>
      </c>
      <c r="Q622" s="16" t="str">
        <f aca="false">IF(OR(O622="",P622=""),"",O622/P622)</f>
        <v/>
      </c>
      <c r="R622" s="16" t="str">
        <f aca="false">IF(Q622="","",Q622*0.0980665)</f>
        <v/>
      </c>
      <c r="S622" s="16" t="str">
        <f aca="false">IF(Q622="","",IFERROR(Q622/(1/(1/INDEX(CONFIG!$I$5:$I$14,MATCH(D622,CONFIG!$D$5:$D$14,0)))),""))</f>
        <v/>
      </c>
      <c r="T622" s="13"/>
      <c r="U622" s="13"/>
      <c r="V622" s="13"/>
      <c r="W622" s="13"/>
      <c r="X622" s="22" t="str">
        <f aca="false">IF(Q622="","",Q622^2)</f>
        <v/>
      </c>
      <c r="Y622" s="22" t="str">
        <f aca="false">IF(AND(C622&lt;&gt;"",C622=CERTIFICADO!$E$4,OR(CERTIFICADO!$E$5="",B622=CERTIFICADO!$E$5)),MAX($Y$4:Y621)+1,"")</f>
        <v/>
      </c>
    </row>
    <row r="623" customFormat="false" ht="15" hidden="false" customHeight="false" outlineLevel="0" collapsed="false">
      <c r="A623" s="11" t="str">
        <f aca="false">IF(C623="","",ROW()-4)</f>
        <v/>
      </c>
      <c r="B623" s="12"/>
      <c r="C623" s="13"/>
      <c r="D623" s="23" t="str">
        <f aca="false">IF(C623="","",IFERROR(INDEX(LOTES!$D$5:$D$1004,MATCH(C623,LOTES!$F$5:$F$1004,0)),"¿Lote?"))</f>
        <v/>
      </c>
      <c r="E623" s="11" t="str">
        <f aca="false">IF(C623="","",IFERROR(INDEX(LOTES!$C$5:$C$1004,MATCH(C623,LOTES!$F$5:$F$1004,0)),""))</f>
        <v/>
      </c>
      <c r="F623" s="24" t="str">
        <f aca="false">IF(C623="","",IFERROR(INDEX(LOTES!$B$5:$B$1004,MATCH(C623,LOTES!$F$5:$F$1004,0)),""))</f>
        <v/>
      </c>
      <c r="G623" s="15" t="str">
        <f aca="false">IF(OR(B623="",F623=""),"",B623-F623)</f>
        <v/>
      </c>
      <c r="H623" s="13"/>
      <c r="I623" s="13"/>
      <c r="J623" s="13"/>
      <c r="K623" s="25"/>
      <c r="L623" s="25"/>
      <c r="M623" s="25"/>
      <c r="N623" s="25"/>
      <c r="O623" s="26"/>
      <c r="P623" s="16" t="str">
        <f aca="false">IF(O623="","",IFERROR(1/(1/(IF(K623="",INDEX(CONFIG!$F$5:$F$14,MATCH(D623,CONFIG!$D$5:$D$14,0)),K623)*IF(M623="",INDEX(CONFIG!$H$5:$H$14,MATCH(D623,CONFIG!$D$5:$D$14,0)),M623))),""))</f>
        <v/>
      </c>
      <c r="Q623" s="16" t="str">
        <f aca="false">IF(OR(O623="",P623=""),"",O623/P623)</f>
        <v/>
      </c>
      <c r="R623" s="16" t="str">
        <f aca="false">IF(Q623="","",Q623*0.0980665)</f>
        <v/>
      </c>
      <c r="S623" s="16" t="str">
        <f aca="false">IF(Q623="","",IFERROR(Q623/(1/(1/INDEX(CONFIG!$I$5:$I$14,MATCH(D623,CONFIG!$D$5:$D$14,0)))),""))</f>
        <v/>
      </c>
      <c r="T623" s="13"/>
      <c r="U623" s="13"/>
      <c r="V623" s="13"/>
      <c r="W623" s="13"/>
      <c r="X623" s="22" t="str">
        <f aca="false">IF(Q623="","",Q623^2)</f>
        <v/>
      </c>
      <c r="Y623" s="22" t="str">
        <f aca="false">IF(AND(C623&lt;&gt;"",C623=CERTIFICADO!$E$4,OR(CERTIFICADO!$E$5="",B623=CERTIFICADO!$E$5)),MAX($Y$4:Y622)+1,"")</f>
        <v/>
      </c>
    </row>
    <row r="624" customFormat="false" ht="15" hidden="false" customHeight="false" outlineLevel="0" collapsed="false">
      <c r="A624" s="11" t="str">
        <f aca="false">IF(C624="","",ROW()-4)</f>
        <v/>
      </c>
      <c r="B624" s="12"/>
      <c r="C624" s="13"/>
      <c r="D624" s="23" t="str">
        <f aca="false">IF(C624="","",IFERROR(INDEX(LOTES!$D$5:$D$1004,MATCH(C624,LOTES!$F$5:$F$1004,0)),"¿Lote?"))</f>
        <v/>
      </c>
      <c r="E624" s="11" t="str">
        <f aca="false">IF(C624="","",IFERROR(INDEX(LOTES!$C$5:$C$1004,MATCH(C624,LOTES!$F$5:$F$1004,0)),""))</f>
        <v/>
      </c>
      <c r="F624" s="24" t="str">
        <f aca="false">IF(C624="","",IFERROR(INDEX(LOTES!$B$5:$B$1004,MATCH(C624,LOTES!$F$5:$F$1004,0)),""))</f>
        <v/>
      </c>
      <c r="G624" s="15" t="str">
        <f aca="false">IF(OR(B624="",F624=""),"",B624-F624)</f>
        <v/>
      </c>
      <c r="H624" s="13"/>
      <c r="I624" s="13"/>
      <c r="J624" s="13"/>
      <c r="K624" s="25"/>
      <c r="L624" s="25"/>
      <c r="M624" s="25"/>
      <c r="N624" s="25"/>
      <c r="O624" s="26"/>
      <c r="P624" s="16" t="str">
        <f aca="false">IF(O624="","",IFERROR(1/(1/(IF(K624="",INDEX(CONFIG!$F$5:$F$14,MATCH(D624,CONFIG!$D$5:$D$14,0)),K624)*IF(M624="",INDEX(CONFIG!$H$5:$H$14,MATCH(D624,CONFIG!$D$5:$D$14,0)),M624))),""))</f>
        <v/>
      </c>
      <c r="Q624" s="16" t="str">
        <f aca="false">IF(OR(O624="",P624=""),"",O624/P624)</f>
        <v/>
      </c>
      <c r="R624" s="16" t="str">
        <f aca="false">IF(Q624="","",Q624*0.0980665)</f>
        <v/>
      </c>
      <c r="S624" s="16" t="str">
        <f aca="false">IF(Q624="","",IFERROR(Q624/(1/(1/INDEX(CONFIG!$I$5:$I$14,MATCH(D624,CONFIG!$D$5:$D$14,0)))),""))</f>
        <v/>
      </c>
      <c r="T624" s="13"/>
      <c r="U624" s="13"/>
      <c r="V624" s="13"/>
      <c r="W624" s="13"/>
      <c r="X624" s="22" t="str">
        <f aca="false">IF(Q624="","",Q624^2)</f>
        <v/>
      </c>
      <c r="Y624" s="22" t="str">
        <f aca="false">IF(AND(C624&lt;&gt;"",C624=CERTIFICADO!$E$4,OR(CERTIFICADO!$E$5="",B624=CERTIFICADO!$E$5)),MAX($Y$4:Y623)+1,"")</f>
        <v/>
      </c>
    </row>
    <row r="625" customFormat="false" ht="15" hidden="false" customHeight="false" outlineLevel="0" collapsed="false">
      <c r="A625" s="11" t="str">
        <f aca="false">IF(C625="","",ROW()-4)</f>
        <v/>
      </c>
      <c r="B625" s="12"/>
      <c r="C625" s="13"/>
      <c r="D625" s="23" t="str">
        <f aca="false">IF(C625="","",IFERROR(INDEX(LOTES!$D$5:$D$1004,MATCH(C625,LOTES!$F$5:$F$1004,0)),"¿Lote?"))</f>
        <v/>
      </c>
      <c r="E625" s="11" t="str">
        <f aca="false">IF(C625="","",IFERROR(INDEX(LOTES!$C$5:$C$1004,MATCH(C625,LOTES!$F$5:$F$1004,0)),""))</f>
        <v/>
      </c>
      <c r="F625" s="24" t="str">
        <f aca="false">IF(C625="","",IFERROR(INDEX(LOTES!$B$5:$B$1004,MATCH(C625,LOTES!$F$5:$F$1004,0)),""))</f>
        <v/>
      </c>
      <c r="G625" s="15" t="str">
        <f aca="false">IF(OR(B625="",F625=""),"",B625-F625)</f>
        <v/>
      </c>
      <c r="H625" s="13"/>
      <c r="I625" s="13"/>
      <c r="J625" s="13"/>
      <c r="K625" s="25"/>
      <c r="L625" s="25"/>
      <c r="M625" s="25"/>
      <c r="N625" s="25"/>
      <c r="O625" s="26"/>
      <c r="P625" s="16" t="str">
        <f aca="false">IF(O625="","",IFERROR(1/(1/(IF(K625="",INDEX(CONFIG!$F$5:$F$14,MATCH(D625,CONFIG!$D$5:$D$14,0)),K625)*IF(M625="",INDEX(CONFIG!$H$5:$H$14,MATCH(D625,CONFIG!$D$5:$D$14,0)),M625))),""))</f>
        <v/>
      </c>
      <c r="Q625" s="16" t="str">
        <f aca="false">IF(OR(O625="",P625=""),"",O625/P625)</f>
        <v/>
      </c>
      <c r="R625" s="16" t="str">
        <f aca="false">IF(Q625="","",Q625*0.0980665)</f>
        <v/>
      </c>
      <c r="S625" s="16" t="str">
        <f aca="false">IF(Q625="","",IFERROR(Q625/(1/(1/INDEX(CONFIG!$I$5:$I$14,MATCH(D625,CONFIG!$D$5:$D$14,0)))),""))</f>
        <v/>
      </c>
      <c r="T625" s="13"/>
      <c r="U625" s="13"/>
      <c r="V625" s="13"/>
      <c r="W625" s="13"/>
      <c r="X625" s="22" t="str">
        <f aca="false">IF(Q625="","",Q625^2)</f>
        <v/>
      </c>
      <c r="Y625" s="22" t="str">
        <f aca="false">IF(AND(C625&lt;&gt;"",C625=CERTIFICADO!$E$4,OR(CERTIFICADO!$E$5="",B625=CERTIFICADO!$E$5)),MAX($Y$4:Y624)+1,"")</f>
        <v/>
      </c>
    </row>
    <row r="626" customFormat="false" ht="15" hidden="false" customHeight="false" outlineLevel="0" collapsed="false">
      <c r="A626" s="11" t="str">
        <f aca="false">IF(C626="","",ROW()-4)</f>
        <v/>
      </c>
      <c r="B626" s="12"/>
      <c r="C626" s="13"/>
      <c r="D626" s="23" t="str">
        <f aca="false">IF(C626="","",IFERROR(INDEX(LOTES!$D$5:$D$1004,MATCH(C626,LOTES!$F$5:$F$1004,0)),"¿Lote?"))</f>
        <v/>
      </c>
      <c r="E626" s="11" t="str">
        <f aca="false">IF(C626="","",IFERROR(INDEX(LOTES!$C$5:$C$1004,MATCH(C626,LOTES!$F$5:$F$1004,0)),""))</f>
        <v/>
      </c>
      <c r="F626" s="24" t="str">
        <f aca="false">IF(C626="","",IFERROR(INDEX(LOTES!$B$5:$B$1004,MATCH(C626,LOTES!$F$5:$F$1004,0)),""))</f>
        <v/>
      </c>
      <c r="G626" s="15" t="str">
        <f aca="false">IF(OR(B626="",F626=""),"",B626-F626)</f>
        <v/>
      </c>
      <c r="H626" s="13"/>
      <c r="I626" s="13"/>
      <c r="J626" s="13"/>
      <c r="K626" s="25"/>
      <c r="L626" s="25"/>
      <c r="M626" s="25"/>
      <c r="N626" s="25"/>
      <c r="O626" s="26"/>
      <c r="P626" s="16" t="str">
        <f aca="false">IF(O626="","",IFERROR(1/(1/(IF(K626="",INDEX(CONFIG!$F$5:$F$14,MATCH(D626,CONFIG!$D$5:$D$14,0)),K626)*IF(M626="",INDEX(CONFIG!$H$5:$H$14,MATCH(D626,CONFIG!$D$5:$D$14,0)),M626))),""))</f>
        <v/>
      </c>
      <c r="Q626" s="16" t="str">
        <f aca="false">IF(OR(O626="",P626=""),"",O626/P626)</f>
        <v/>
      </c>
      <c r="R626" s="16" t="str">
        <f aca="false">IF(Q626="","",Q626*0.0980665)</f>
        <v/>
      </c>
      <c r="S626" s="16" t="str">
        <f aca="false">IF(Q626="","",IFERROR(Q626/(1/(1/INDEX(CONFIG!$I$5:$I$14,MATCH(D626,CONFIG!$D$5:$D$14,0)))),""))</f>
        <v/>
      </c>
      <c r="T626" s="13"/>
      <c r="U626" s="13"/>
      <c r="V626" s="13"/>
      <c r="W626" s="13"/>
      <c r="X626" s="22" t="str">
        <f aca="false">IF(Q626="","",Q626^2)</f>
        <v/>
      </c>
      <c r="Y626" s="22" t="str">
        <f aca="false">IF(AND(C626&lt;&gt;"",C626=CERTIFICADO!$E$4,OR(CERTIFICADO!$E$5="",B626=CERTIFICADO!$E$5)),MAX($Y$4:Y625)+1,"")</f>
        <v/>
      </c>
    </row>
    <row r="627" customFormat="false" ht="15" hidden="false" customHeight="false" outlineLevel="0" collapsed="false">
      <c r="A627" s="11" t="str">
        <f aca="false">IF(C627="","",ROW()-4)</f>
        <v/>
      </c>
      <c r="B627" s="12"/>
      <c r="C627" s="13"/>
      <c r="D627" s="23" t="str">
        <f aca="false">IF(C627="","",IFERROR(INDEX(LOTES!$D$5:$D$1004,MATCH(C627,LOTES!$F$5:$F$1004,0)),"¿Lote?"))</f>
        <v/>
      </c>
      <c r="E627" s="11" t="str">
        <f aca="false">IF(C627="","",IFERROR(INDEX(LOTES!$C$5:$C$1004,MATCH(C627,LOTES!$F$5:$F$1004,0)),""))</f>
        <v/>
      </c>
      <c r="F627" s="24" t="str">
        <f aca="false">IF(C627="","",IFERROR(INDEX(LOTES!$B$5:$B$1004,MATCH(C627,LOTES!$F$5:$F$1004,0)),""))</f>
        <v/>
      </c>
      <c r="G627" s="15" t="str">
        <f aca="false">IF(OR(B627="",F627=""),"",B627-F627)</f>
        <v/>
      </c>
      <c r="H627" s="13"/>
      <c r="I627" s="13"/>
      <c r="J627" s="13"/>
      <c r="K627" s="25"/>
      <c r="L627" s="25"/>
      <c r="M627" s="25"/>
      <c r="N627" s="25"/>
      <c r="O627" s="26"/>
      <c r="P627" s="16" t="str">
        <f aca="false">IF(O627="","",IFERROR(1/(1/(IF(K627="",INDEX(CONFIG!$F$5:$F$14,MATCH(D627,CONFIG!$D$5:$D$14,0)),K627)*IF(M627="",INDEX(CONFIG!$H$5:$H$14,MATCH(D627,CONFIG!$D$5:$D$14,0)),M627))),""))</f>
        <v/>
      </c>
      <c r="Q627" s="16" t="str">
        <f aca="false">IF(OR(O627="",P627=""),"",O627/P627)</f>
        <v/>
      </c>
      <c r="R627" s="16" t="str">
        <f aca="false">IF(Q627="","",Q627*0.0980665)</f>
        <v/>
      </c>
      <c r="S627" s="16" t="str">
        <f aca="false">IF(Q627="","",IFERROR(Q627/(1/(1/INDEX(CONFIG!$I$5:$I$14,MATCH(D627,CONFIG!$D$5:$D$14,0)))),""))</f>
        <v/>
      </c>
      <c r="T627" s="13"/>
      <c r="U627" s="13"/>
      <c r="V627" s="13"/>
      <c r="W627" s="13"/>
      <c r="X627" s="22" t="str">
        <f aca="false">IF(Q627="","",Q627^2)</f>
        <v/>
      </c>
      <c r="Y627" s="22" t="str">
        <f aca="false">IF(AND(C627&lt;&gt;"",C627=CERTIFICADO!$E$4,OR(CERTIFICADO!$E$5="",B627=CERTIFICADO!$E$5)),MAX($Y$4:Y626)+1,"")</f>
        <v/>
      </c>
    </row>
    <row r="628" customFormat="false" ht="15" hidden="false" customHeight="false" outlineLevel="0" collapsed="false">
      <c r="A628" s="11" t="str">
        <f aca="false">IF(C628="","",ROW()-4)</f>
        <v/>
      </c>
      <c r="B628" s="12"/>
      <c r="C628" s="13"/>
      <c r="D628" s="23" t="str">
        <f aca="false">IF(C628="","",IFERROR(INDEX(LOTES!$D$5:$D$1004,MATCH(C628,LOTES!$F$5:$F$1004,0)),"¿Lote?"))</f>
        <v/>
      </c>
      <c r="E628" s="11" t="str">
        <f aca="false">IF(C628="","",IFERROR(INDEX(LOTES!$C$5:$C$1004,MATCH(C628,LOTES!$F$5:$F$1004,0)),""))</f>
        <v/>
      </c>
      <c r="F628" s="24" t="str">
        <f aca="false">IF(C628="","",IFERROR(INDEX(LOTES!$B$5:$B$1004,MATCH(C628,LOTES!$F$5:$F$1004,0)),""))</f>
        <v/>
      </c>
      <c r="G628" s="15" t="str">
        <f aca="false">IF(OR(B628="",F628=""),"",B628-F628)</f>
        <v/>
      </c>
      <c r="H628" s="13"/>
      <c r="I628" s="13"/>
      <c r="J628" s="13"/>
      <c r="K628" s="25"/>
      <c r="L628" s="25"/>
      <c r="M628" s="25"/>
      <c r="N628" s="25"/>
      <c r="O628" s="26"/>
      <c r="P628" s="16" t="str">
        <f aca="false">IF(O628="","",IFERROR(1/(1/(IF(K628="",INDEX(CONFIG!$F$5:$F$14,MATCH(D628,CONFIG!$D$5:$D$14,0)),K628)*IF(M628="",INDEX(CONFIG!$H$5:$H$14,MATCH(D628,CONFIG!$D$5:$D$14,0)),M628))),""))</f>
        <v/>
      </c>
      <c r="Q628" s="16" t="str">
        <f aca="false">IF(OR(O628="",P628=""),"",O628/P628)</f>
        <v/>
      </c>
      <c r="R628" s="16" t="str">
        <f aca="false">IF(Q628="","",Q628*0.0980665)</f>
        <v/>
      </c>
      <c r="S628" s="16" t="str">
        <f aca="false">IF(Q628="","",IFERROR(Q628/(1/(1/INDEX(CONFIG!$I$5:$I$14,MATCH(D628,CONFIG!$D$5:$D$14,0)))),""))</f>
        <v/>
      </c>
      <c r="T628" s="13"/>
      <c r="U628" s="13"/>
      <c r="V628" s="13"/>
      <c r="W628" s="13"/>
      <c r="X628" s="22" t="str">
        <f aca="false">IF(Q628="","",Q628^2)</f>
        <v/>
      </c>
      <c r="Y628" s="22" t="str">
        <f aca="false">IF(AND(C628&lt;&gt;"",C628=CERTIFICADO!$E$4,OR(CERTIFICADO!$E$5="",B628=CERTIFICADO!$E$5)),MAX($Y$4:Y627)+1,"")</f>
        <v/>
      </c>
    </row>
    <row r="629" customFormat="false" ht="15" hidden="false" customHeight="false" outlineLevel="0" collapsed="false">
      <c r="A629" s="11" t="str">
        <f aca="false">IF(C629="","",ROW()-4)</f>
        <v/>
      </c>
      <c r="B629" s="12"/>
      <c r="C629" s="13"/>
      <c r="D629" s="23" t="str">
        <f aca="false">IF(C629="","",IFERROR(INDEX(LOTES!$D$5:$D$1004,MATCH(C629,LOTES!$F$5:$F$1004,0)),"¿Lote?"))</f>
        <v/>
      </c>
      <c r="E629" s="11" t="str">
        <f aca="false">IF(C629="","",IFERROR(INDEX(LOTES!$C$5:$C$1004,MATCH(C629,LOTES!$F$5:$F$1004,0)),""))</f>
        <v/>
      </c>
      <c r="F629" s="24" t="str">
        <f aca="false">IF(C629="","",IFERROR(INDEX(LOTES!$B$5:$B$1004,MATCH(C629,LOTES!$F$5:$F$1004,0)),""))</f>
        <v/>
      </c>
      <c r="G629" s="15" t="str">
        <f aca="false">IF(OR(B629="",F629=""),"",B629-F629)</f>
        <v/>
      </c>
      <c r="H629" s="13"/>
      <c r="I629" s="13"/>
      <c r="J629" s="13"/>
      <c r="K629" s="25"/>
      <c r="L629" s="25"/>
      <c r="M629" s="25"/>
      <c r="N629" s="25"/>
      <c r="O629" s="26"/>
      <c r="P629" s="16" t="str">
        <f aca="false">IF(O629="","",IFERROR(1/(1/(IF(K629="",INDEX(CONFIG!$F$5:$F$14,MATCH(D629,CONFIG!$D$5:$D$14,0)),K629)*IF(M629="",INDEX(CONFIG!$H$5:$H$14,MATCH(D629,CONFIG!$D$5:$D$14,0)),M629))),""))</f>
        <v/>
      </c>
      <c r="Q629" s="16" t="str">
        <f aca="false">IF(OR(O629="",P629=""),"",O629/P629)</f>
        <v/>
      </c>
      <c r="R629" s="16" t="str">
        <f aca="false">IF(Q629="","",Q629*0.0980665)</f>
        <v/>
      </c>
      <c r="S629" s="16" t="str">
        <f aca="false">IF(Q629="","",IFERROR(Q629/(1/(1/INDEX(CONFIG!$I$5:$I$14,MATCH(D629,CONFIG!$D$5:$D$14,0)))),""))</f>
        <v/>
      </c>
      <c r="T629" s="13"/>
      <c r="U629" s="13"/>
      <c r="V629" s="13"/>
      <c r="W629" s="13"/>
      <c r="X629" s="22" t="str">
        <f aca="false">IF(Q629="","",Q629^2)</f>
        <v/>
      </c>
      <c r="Y629" s="22" t="str">
        <f aca="false">IF(AND(C629&lt;&gt;"",C629=CERTIFICADO!$E$4,OR(CERTIFICADO!$E$5="",B629=CERTIFICADO!$E$5)),MAX($Y$4:Y628)+1,"")</f>
        <v/>
      </c>
    </row>
    <row r="630" customFormat="false" ht="15" hidden="false" customHeight="false" outlineLevel="0" collapsed="false">
      <c r="A630" s="11" t="str">
        <f aca="false">IF(C630="","",ROW()-4)</f>
        <v/>
      </c>
      <c r="B630" s="12"/>
      <c r="C630" s="13"/>
      <c r="D630" s="23" t="str">
        <f aca="false">IF(C630="","",IFERROR(INDEX(LOTES!$D$5:$D$1004,MATCH(C630,LOTES!$F$5:$F$1004,0)),"¿Lote?"))</f>
        <v/>
      </c>
      <c r="E630" s="11" t="str">
        <f aca="false">IF(C630="","",IFERROR(INDEX(LOTES!$C$5:$C$1004,MATCH(C630,LOTES!$F$5:$F$1004,0)),""))</f>
        <v/>
      </c>
      <c r="F630" s="24" t="str">
        <f aca="false">IF(C630="","",IFERROR(INDEX(LOTES!$B$5:$B$1004,MATCH(C630,LOTES!$F$5:$F$1004,0)),""))</f>
        <v/>
      </c>
      <c r="G630" s="15" t="str">
        <f aca="false">IF(OR(B630="",F630=""),"",B630-F630)</f>
        <v/>
      </c>
      <c r="H630" s="13"/>
      <c r="I630" s="13"/>
      <c r="J630" s="13"/>
      <c r="K630" s="25"/>
      <c r="L630" s="25"/>
      <c r="M630" s="25"/>
      <c r="N630" s="25"/>
      <c r="O630" s="26"/>
      <c r="P630" s="16" t="str">
        <f aca="false">IF(O630="","",IFERROR(1/(1/(IF(K630="",INDEX(CONFIG!$F$5:$F$14,MATCH(D630,CONFIG!$D$5:$D$14,0)),K630)*IF(M630="",INDEX(CONFIG!$H$5:$H$14,MATCH(D630,CONFIG!$D$5:$D$14,0)),M630))),""))</f>
        <v/>
      </c>
      <c r="Q630" s="16" t="str">
        <f aca="false">IF(OR(O630="",P630=""),"",O630/P630)</f>
        <v/>
      </c>
      <c r="R630" s="16" t="str">
        <f aca="false">IF(Q630="","",Q630*0.0980665)</f>
        <v/>
      </c>
      <c r="S630" s="16" t="str">
        <f aca="false">IF(Q630="","",IFERROR(Q630/(1/(1/INDEX(CONFIG!$I$5:$I$14,MATCH(D630,CONFIG!$D$5:$D$14,0)))),""))</f>
        <v/>
      </c>
      <c r="T630" s="13"/>
      <c r="U630" s="13"/>
      <c r="V630" s="13"/>
      <c r="W630" s="13"/>
      <c r="X630" s="22" t="str">
        <f aca="false">IF(Q630="","",Q630^2)</f>
        <v/>
      </c>
      <c r="Y630" s="22" t="str">
        <f aca="false">IF(AND(C630&lt;&gt;"",C630=CERTIFICADO!$E$4,OR(CERTIFICADO!$E$5="",B630=CERTIFICADO!$E$5)),MAX($Y$4:Y629)+1,"")</f>
        <v/>
      </c>
    </row>
    <row r="631" customFormat="false" ht="15" hidden="false" customHeight="false" outlineLevel="0" collapsed="false">
      <c r="A631" s="11" t="str">
        <f aca="false">IF(C631="","",ROW()-4)</f>
        <v/>
      </c>
      <c r="B631" s="12"/>
      <c r="C631" s="13"/>
      <c r="D631" s="23" t="str">
        <f aca="false">IF(C631="","",IFERROR(INDEX(LOTES!$D$5:$D$1004,MATCH(C631,LOTES!$F$5:$F$1004,0)),"¿Lote?"))</f>
        <v/>
      </c>
      <c r="E631" s="11" t="str">
        <f aca="false">IF(C631="","",IFERROR(INDEX(LOTES!$C$5:$C$1004,MATCH(C631,LOTES!$F$5:$F$1004,0)),""))</f>
        <v/>
      </c>
      <c r="F631" s="24" t="str">
        <f aca="false">IF(C631="","",IFERROR(INDEX(LOTES!$B$5:$B$1004,MATCH(C631,LOTES!$F$5:$F$1004,0)),""))</f>
        <v/>
      </c>
      <c r="G631" s="15" t="str">
        <f aca="false">IF(OR(B631="",F631=""),"",B631-F631)</f>
        <v/>
      </c>
      <c r="H631" s="13"/>
      <c r="I631" s="13"/>
      <c r="J631" s="13"/>
      <c r="K631" s="25"/>
      <c r="L631" s="25"/>
      <c r="M631" s="25"/>
      <c r="N631" s="25"/>
      <c r="O631" s="26"/>
      <c r="P631" s="16" t="str">
        <f aca="false">IF(O631="","",IFERROR(1/(1/(IF(K631="",INDEX(CONFIG!$F$5:$F$14,MATCH(D631,CONFIG!$D$5:$D$14,0)),K631)*IF(M631="",INDEX(CONFIG!$H$5:$H$14,MATCH(D631,CONFIG!$D$5:$D$14,0)),M631))),""))</f>
        <v/>
      </c>
      <c r="Q631" s="16" t="str">
        <f aca="false">IF(OR(O631="",P631=""),"",O631/P631)</f>
        <v/>
      </c>
      <c r="R631" s="16" t="str">
        <f aca="false">IF(Q631="","",Q631*0.0980665)</f>
        <v/>
      </c>
      <c r="S631" s="16" t="str">
        <f aca="false">IF(Q631="","",IFERROR(Q631/(1/(1/INDEX(CONFIG!$I$5:$I$14,MATCH(D631,CONFIG!$D$5:$D$14,0)))),""))</f>
        <v/>
      </c>
      <c r="T631" s="13"/>
      <c r="U631" s="13"/>
      <c r="V631" s="13"/>
      <c r="W631" s="13"/>
      <c r="X631" s="22" t="str">
        <f aca="false">IF(Q631="","",Q631^2)</f>
        <v/>
      </c>
      <c r="Y631" s="22" t="str">
        <f aca="false">IF(AND(C631&lt;&gt;"",C631=CERTIFICADO!$E$4,OR(CERTIFICADO!$E$5="",B631=CERTIFICADO!$E$5)),MAX($Y$4:Y630)+1,"")</f>
        <v/>
      </c>
    </row>
    <row r="632" customFormat="false" ht="15" hidden="false" customHeight="false" outlineLevel="0" collapsed="false">
      <c r="A632" s="11" t="str">
        <f aca="false">IF(C632="","",ROW()-4)</f>
        <v/>
      </c>
      <c r="B632" s="12"/>
      <c r="C632" s="13"/>
      <c r="D632" s="23" t="str">
        <f aca="false">IF(C632="","",IFERROR(INDEX(LOTES!$D$5:$D$1004,MATCH(C632,LOTES!$F$5:$F$1004,0)),"¿Lote?"))</f>
        <v/>
      </c>
      <c r="E632" s="11" t="str">
        <f aca="false">IF(C632="","",IFERROR(INDEX(LOTES!$C$5:$C$1004,MATCH(C632,LOTES!$F$5:$F$1004,0)),""))</f>
        <v/>
      </c>
      <c r="F632" s="24" t="str">
        <f aca="false">IF(C632="","",IFERROR(INDEX(LOTES!$B$5:$B$1004,MATCH(C632,LOTES!$F$5:$F$1004,0)),""))</f>
        <v/>
      </c>
      <c r="G632" s="15" t="str">
        <f aca="false">IF(OR(B632="",F632=""),"",B632-F632)</f>
        <v/>
      </c>
      <c r="H632" s="13"/>
      <c r="I632" s="13"/>
      <c r="J632" s="13"/>
      <c r="K632" s="25"/>
      <c r="L632" s="25"/>
      <c r="M632" s="25"/>
      <c r="N632" s="25"/>
      <c r="O632" s="26"/>
      <c r="P632" s="16" t="str">
        <f aca="false">IF(O632="","",IFERROR(1/(1/(IF(K632="",INDEX(CONFIG!$F$5:$F$14,MATCH(D632,CONFIG!$D$5:$D$14,0)),K632)*IF(M632="",INDEX(CONFIG!$H$5:$H$14,MATCH(D632,CONFIG!$D$5:$D$14,0)),M632))),""))</f>
        <v/>
      </c>
      <c r="Q632" s="16" t="str">
        <f aca="false">IF(OR(O632="",P632=""),"",O632/P632)</f>
        <v/>
      </c>
      <c r="R632" s="16" t="str">
        <f aca="false">IF(Q632="","",Q632*0.0980665)</f>
        <v/>
      </c>
      <c r="S632" s="16" t="str">
        <f aca="false">IF(Q632="","",IFERROR(Q632/(1/(1/INDEX(CONFIG!$I$5:$I$14,MATCH(D632,CONFIG!$D$5:$D$14,0)))),""))</f>
        <v/>
      </c>
      <c r="T632" s="13"/>
      <c r="U632" s="13"/>
      <c r="V632" s="13"/>
      <c r="W632" s="13"/>
      <c r="X632" s="22" t="str">
        <f aca="false">IF(Q632="","",Q632^2)</f>
        <v/>
      </c>
      <c r="Y632" s="22" t="str">
        <f aca="false">IF(AND(C632&lt;&gt;"",C632=CERTIFICADO!$E$4,OR(CERTIFICADO!$E$5="",B632=CERTIFICADO!$E$5)),MAX($Y$4:Y631)+1,"")</f>
        <v/>
      </c>
    </row>
    <row r="633" customFormat="false" ht="15" hidden="false" customHeight="false" outlineLevel="0" collapsed="false">
      <c r="A633" s="11" t="str">
        <f aca="false">IF(C633="","",ROW()-4)</f>
        <v/>
      </c>
      <c r="B633" s="12"/>
      <c r="C633" s="13"/>
      <c r="D633" s="23" t="str">
        <f aca="false">IF(C633="","",IFERROR(INDEX(LOTES!$D$5:$D$1004,MATCH(C633,LOTES!$F$5:$F$1004,0)),"¿Lote?"))</f>
        <v/>
      </c>
      <c r="E633" s="11" t="str">
        <f aca="false">IF(C633="","",IFERROR(INDEX(LOTES!$C$5:$C$1004,MATCH(C633,LOTES!$F$5:$F$1004,0)),""))</f>
        <v/>
      </c>
      <c r="F633" s="24" t="str">
        <f aca="false">IF(C633="","",IFERROR(INDEX(LOTES!$B$5:$B$1004,MATCH(C633,LOTES!$F$5:$F$1004,0)),""))</f>
        <v/>
      </c>
      <c r="G633" s="15" t="str">
        <f aca="false">IF(OR(B633="",F633=""),"",B633-F633)</f>
        <v/>
      </c>
      <c r="H633" s="13"/>
      <c r="I633" s="13"/>
      <c r="J633" s="13"/>
      <c r="K633" s="25"/>
      <c r="L633" s="25"/>
      <c r="M633" s="25"/>
      <c r="N633" s="25"/>
      <c r="O633" s="26"/>
      <c r="P633" s="16" t="str">
        <f aca="false">IF(O633="","",IFERROR(1/(1/(IF(K633="",INDEX(CONFIG!$F$5:$F$14,MATCH(D633,CONFIG!$D$5:$D$14,0)),K633)*IF(M633="",INDEX(CONFIG!$H$5:$H$14,MATCH(D633,CONFIG!$D$5:$D$14,0)),M633))),""))</f>
        <v/>
      </c>
      <c r="Q633" s="16" t="str">
        <f aca="false">IF(OR(O633="",P633=""),"",O633/P633)</f>
        <v/>
      </c>
      <c r="R633" s="16" t="str">
        <f aca="false">IF(Q633="","",Q633*0.0980665)</f>
        <v/>
      </c>
      <c r="S633" s="16" t="str">
        <f aca="false">IF(Q633="","",IFERROR(Q633/(1/(1/INDEX(CONFIG!$I$5:$I$14,MATCH(D633,CONFIG!$D$5:$D$14,0)))),""))</f>
        <v/>
      </c>
      <c r="T633" s="13"/>
      <c r="U633" s="13"/>
      <c r="V633" s="13"/>
      <c r="W633" s="13"/>
      <c r="X633" s="22" t="str">
        <f aca="false">IF(Q633="","",Q633^2)</f>
        <v/>
      </c>
      <c r="Y633" s="22" t="str">
        <f aca="false">IF(AND(C633&lt;&gt;"",C633=CERTIFICADO!$E$4,OR(CERTIFICADO!$E$5="",B633=CERTIFICADO!$E$5)),MAX($Y$4:Y632)+1,"")</f>
        <v/>
      </c>
    </row>
    <row r="634" customFormat="false" ht="15" hidden="false" customHeight="false" outlineLevel="0" collapsed="false">
      <c r="A634" s="11" t="str">
        <f aca="false">IF(C634="","",ROW()-4)</f>
        <v/>
      </c>
      <c r="B634" s="12"/>
      <c r="C634" s="13"/>
      <c r="D634" s="23" t="str">
        <f aca="false">IF(C634="","",IFERROR(INDEX(LOTES!$D$5:$D$1004,MATCH(C634,LOTES!$F$5:$F$1004,0)),"¿Lote?"))</f>
        <v/>
      </c>
      <c r="E634" s="11" t="str">
        <f aca="false">IF(C634="","",IFERROR(INDEX(LOTES!$C$5:$C$1004,MATCH(C634,LOTES!$F$5:$F$1004,0)),""))</f>
        <v/>
      </c>
      <c r="F634" s="24" t="str">
        <f aca="false">IF(C634="","",IFERROR(INDEX(LOTES!$B$5:$B$1004,MATCH(C634,LOTES!$F$5:$F$1004,0)),""))</f>
        <v/>
      </c>
      <c r="G634" s="15" t="str">
        <f aca="false">IF(OR(B634="",F634=""),"",B634-F634)</f>
        <v/>
      </c>
      <c r="H634" s="13"/>
      <c r="I634" s="13"/>
      <c r="J634" s="13"/>
      <c r="K634" s="25"/>
      <c r="L634" s="25"/>
      <c r="M634" s="25"/>
      <c r="N634" s="25"/>
      <c r="O634" s="26"/>
      <c r="P634" s="16" t="str">
        <f aca="false">IF(O634="","",IFERROR(1/(1/(IF(K634="",INDEX(CONFIG!$F$5:$F$14,MATCH(D634,CONFIG!$D$5:$D$14,0)),K634)*IF(M634="",INDEX(CONFIG!$H$5:$H$14,MATCH(D634,CONFIG!$D$5:$D$14,0)),M634))),""))</f>
        <v/>
      </c>
      <c r="Q634" s="16" t="str">
        <f aca="false">IF(OR(O634="",P634=""),"",O634/P634)</f>
        <v/>
      </c>
      <c r="R634" s="16" t="str">
        <f aca="false">IF(Q634="","",Q634*0.0980665)</f>
        <v/>
      </c>
      <c r="S634" s="16" t="str">
        <f aca="false">IF(Q634="","",IFERROR(Q634/(1/(1/INDEX(CONFIG!$I$5:$I$14,MATCH(D634,CONFIG!$D$5:$D$14,0)))),""))</f>
        <v/>
      </c>
      <c r="T634" s="13"/>
      <c r="U634" s="13"/>
      <c r="V634" s="13"/>
      <c r="W634" s="13"/>
      <c r="X634" s="22" t="str">
        <f aca="false">IF(Q634="","",Q634^2)</f>
        <v/>
      </c>
      <c r="Y634" s="22" t="str">
        <f aca="false">IF(AND(C634&lt;&gt;"",C634=CERTIFICADO!$E$4,OR(CERTIFICADO!$E$5="",B634=CERTIFICADO!$E$5)),MAX($Y$4:Y633)+1,"")</f>
        <v/>
      </c>
    </row>
    <row r="635" customFormat="false" ht="15" hidden="false" customHeight="false" outlineLevel="0" collapsed="false">
      <c r="A635" s="11" t="str">
        <f aca="false">IF(C635="","",ROW()-4)</f>
        <v/>
      </c>
      <c r="B635" s="12"/>
      <c r="C635" s="13"/>
      <c r="D635" s="23" t="str">
        <f aca="false">IF(C635="","",IFERROR(INDEX(LOTES!$D$5:$D$1004,MATCH(C635,LOTES!$F$5:$F$1004,0)),"¿Lote?"))</f>
        <v/>
      </c>
      <c r="E635" s="11" t="str">
        <f aca="false">IF(C635="","",IFERROR(INDEX(LOTES!$C$5:$C$1004,MATCH(C635,LOTES!$F$5:$F$1004,0)),""))</f>
        <v/>
      </c>
      <c r="F635" s="24" t="str">
        <f aca="false">IF(C635="","",IFERROR(INDEX(LOTES!$B$5:$B$1004,MATCH(C635,LOTES!$F$5:$F$1004,0)),""))</f>
        <v/>
      </c>
      <c r="G635" s="15" t="str">
        <f aca="false">IF(OR(B635="",F635=""),"",B635-F635)</f>
        <v/>
      </c>
      <c r="H635" s="13"/>
      <c r="I635" s="13"/>
      <c r="J635" s="13"/>
      <c r="K635" s="25"/>
      <c r="L635" s="25"/>
      <c r="M635" s="25"/>
      <c r="N635" s="25"/>
      <c r="O635" s="26"/>
      <c r="P635" s="16" t="str">
        <f aca="false">IF(O635="","",IFERROR(1/(1/(IF(K635="",INDEX(CONFIG!$F$5:$F$14,MATCH(D635,CONFIG!$D$5:$D$14,0)),K635)*IF(M635="",INDEX(CONFIG!$H$5:$H$14,MATCH(D635,CONFIG!$D$5:$D$14,0)),M635))),""))</f>
        <v/>
      </c>
      <c r="Q635" s="16" t="str">
        <f aca="false">IF(OR(O635="",P635=""),"",O635/P635)</f>
        <v/>
      </c>
      <c r="R635" s="16" t="str">
        <f aca="false">IF(Q635="","",Q635*0.0980665)</f>
        <v/>
      </c>
      <c r="S635" s="16" t="str">
        <f aca="false">IF(Q635="","",IFERROR(Q635/(1/(1/INDEX(CONFIG!$I$5:$I$14,MATCH(D635,CONFIG!$D$5:$D$14,0)))),""))</f>
        <v/>
      </c>
      <c r="T635" s="13"/>
      <c r="U635" s="13"/>
      <c r="V635" s="13"/>
      <c r="W635" s="13"/>
      <c r="X635" s="22" t="str">
        <f aca="false">IF(Q635="","",Q635^2)</f>
        <v/>
      </c>
      <c r="Y635" s="22" t="str">
        <f aca="false">IF(AND(C635&lt;&gt;"",C635=CERTIFICADO!$E$4,OR(CERTIFICADO!$E$5="",B635=CERTIFICADO!$E$5)),MAX($Y$4:Y634)+1,"")</f>
        <v/>
      </c>
    </row>
    <row r="636" customFormat="false" ht="15" hidden="false" customHeight="false" outlineLevel="0" collapsed="false">
      <c r="A636" s="11" t="str">
        <f aca="false">IF(C636="","",ROW()-4)</f>
        <v/>
      </c>
      <c r="B636" s="12"/>
      <c r="C636" s="13"/>
      <c r="D636" s="23" t="str">
        <f aca="false">IF(C636="","",IFERROR(INDEX(LOTES!$D$5:$D$1004,MATCH(C636,LOTES!$F$5:$F$1004,0)),"¿Lote?"))</f>
        <v/>
      </c>
      <c r="E636" s="11" t="str">
        <f aca="false">IF(C636="","",IFERROR(INDEX(LOTES!$C$5:$C$1004,MATCH(C636,LOTES!$F$5:$F$1004,0)),""))</f>
        <v/>
      </c>
      <c r="F636" s="24" t="str">
        <f aca="false">IF(C636="","",IFERROR(INDEX(LOTES!$B$5:$B$1004,MATCH(C636,LOTES!$F$5:$F$1004,0)),""))</f>
        <v/>
      </c>
      <c r="G636" s="15" t="str">
        <f aca="false">IF(OR(B636="",F636=""),"",B636-F636)</f>
        <v/>
      </c>
      <c r="H636" s="13"/>
      <c r="I636" s="13"/>
      <c r="J636" s="13"/>
      <c r="K636" s="25"/>
      <c r="L636" s="25"/>
      <c r="M636" s="25"/>
      <c r="N636" s="25"/>
      <c r="O636" s="26"/>
      <c r="P636" s="16" t="str">
        <f aca="false">IF(O636="","",IFERROR(1/(1/(IF(K636="",INDEX(CONFIG!$F$5:$F$14,MATCH(D636,CONFIG!$D$5:$D$14,0)),K636)*IF(M636="",INDEX(CONFIG!$H$5:$H$14,MATCH(D636,CONFIG!$D$5:$D$14,0)),M636))),""))</f>
        <v/>
      </c>
      <c r="Q636" s="16" t="str">
        <f aca="false">IF(OR(O636="",P636=""),"",O636/P636)</f>
        <v/>
      </c>
      <c r="R636" s="16" t="str">
        <f aca="false">IF(Q636="","",Q636*0.0980665)</f>
        <v/>
      </c>
      <c r="S636" s="16" t="str">
        <f aca="false">IF(Q636="","",IFERROR(Q636/(1/(1/INDEX(CONFIG!$I$5:$I$14,MATCH(D636,CONFIG!$D$5:$D$14,0)))),""))</f>
        <v/>
      </c>
      <c r="T636" s="13"/>
      <c r="U636" s="13"/>
      <c r="V636" s="13"/>
      <c r="W636" s="13"/>
      <c r="X636" s="22" t="str">
        <f aca="false">IF(Q636="","",Q636^2)</f>
        <v/>
      </c>
      <c r="Y636" s="22" t="str">
        <f aca="false">IF(AND(C636&lt;&gt;"",C636=CERTIFICADO!$E$4,OR(CERTIFICADO!$E$5="",B636=CERTIFICADO!$E$5)),MAX($Y$4:Y635)+1,"")</f>
        <v/>
      </c>
    </row>
    <row r="637" customFormat="false" ht="15" hidden="false" customHeight="false" outlineLevel="0" collapsed="false">
      <c r="A637" s="11" t="str">
        <f aca="false">IF(C637="","",ROW()-4)</f>
        <v/>
      </c>
      <c r="B637" s="12"/>
      <c r="C637" s="13"/>
      <c r="D637" s="23" t="str">
        <f aca="false">IF(C637="","",IFERROR(INDEX(LOTES!$D$5:$D$1004,MATCH(C637,LOTES!$F$5:$F$1004,0)),"¿Lote?"))</f>
        <v/>
      </c>
      <c r="E637" s="11" t="str">
        <f aca="false">IF(C637="","",IFERROR(INDEX(LOTES!$C$5:$C$1004,MATCH(C637,LOTES!$F$5:$F$1004,0)),""))</f>
        <v/>
      </c>
      <c r="F637" s="24" t="str">
        <f aca="false">IF(C637="","",IFERROR(INDEX(LOTES!$B$5:$B$1004,MATCH(C637,LOTES!$F$5:$F$1004,0)),""))</f>
        <v/>
      </c>
      <c r="G637" s="15" t="str">
        <f aca="false">IF(OR(B637="",F637=""),"",B637-F637)</f>
        <v/>
      </c>
      <c r="H637" s="13"/>
      <c r="I637" s="13"/>
      <c r="J637" s="13"/>
      <c r="K637" s="25"/>
      <c r="L637" s="25"/>
      <c r="M637" s="25"/>
      <c r="N637" s="25"/>
      <c r="O637" s="26"/>
      <c r="P637" s="16" t="str">
        <f aca="false">IF(O637="","",IFERROR(1/(1/(IF(K637="",INDEX(CONFIG!$F$5:$F$14,MATCH(D637,CONFIG!$D$5:$D$14,0)),K637)*IF(M637="",INDEX(CONFIG!$H$5:$H$14,MATCH(D637,CONFIG!$D$5:$D$14,0)),M637))),""))</f>
        <v/>
      </c>
      <c r="Q637" s="16" t="str">
        <f aca="false">IF(OR(O637="",P637=""),"",O637/P637)</f>
        <v/>
      </c>
      <c r="R637" s="16" t="str">
        <f aca="false">IF(Q637="","",Q637*0.0980665)</f>
        <v/>
      </c>
      <c r="S637" s="16" t="str">
        <f aca="false">IF(Q637="","",IFERROR(Q637/(1/(1/INDEX(CONFIG!$I$5:$I$14,MATCH(D637,CONFIG!$D$5:$D$14,0)))),""))</f>
        <v/>
      </c>
      <c r="T637" s="13"/>
      <c r="U637" s="13"/>
      <c r="V637" s="13"/>
      <c r="W637" s="13"/>
      <c r="X637" s="22" t="str">
        <f aca="false">IF(Q637="","",Q637^2)</f>
        <v/>
      </c>
      <c r="Y637" s="22" t="str">
        <f aca="false">IF(AND(C637&lt;&gt;"",C637=CERTIFICADO!$E$4,OR(CERTIFICADO!$E$5="",B637=CERTIFICADO!$E$5)),MAX($Y$4:Y636)+1,"")</f>
        <v/>
      </c>
    </row>
    <row r="638" customFormat="false" ht="15" hidden="false" customHeight="false" outlineLevel="0" collapsed="false">
      <c r="A638" s="11" t="str">
        <f aca="false">IF(C638="","",ROW()-4)</f>
        <v/>
      </c>
      <c r="B638" s="12"/>
      <c r="C638" s="13"/>
      <c r="D638" s="23" t="str">
        <f aca="false">IF(C638="","",IFERROR(INDEX(LOTES!$D$5:$D$1004,MATCH(C638,LOTES!$F$5:$F$1004,0)),"¿Lote?"))</f>
        <v/>
      </c>
      <c r="E638" s="11" t="str">
        <f aca="false">IF(C638="","",IFERROR(INDEX(LOTES!$C$5:$C$1004,MATCH(C638,LOTES!$F$5:$F$1004,0)),""))</f>
        <v/>
      </c>
      <c r="F638" s="24" t="str">
        <f aca="false">IF(C638="","",IFERROR(INDEX(LOTES!$B$5:$B$1004,MATCH(C638,LOTES!$F$5:$F$1004,0)),""))</f>
        <v/>
      </c>
      <c r="G638" s="15" t="str">
        <f aca="false">IF(OR(B638="",F638=""),"",B638-F638)</f>
        <v/>
      </c>
      <c r="H638" s="13"/>
      <c r="I638" s="13"/>
      <c r="J638" s="13"/>
      <c r="K638" s="25"/>
      <c r="L638" s="25"/>
      <c r="M638" s="25"/>
      <c r="N638" s="25"/>
      <c r="O638" s="26"/>
      <c r="P638" s="16" t="str">
        <f aca="false">IF(O638="","",IFERROR(1/(1/(IF(K638="",INDEX(CONFIG!$F$5:$F$14,MATCH(D638,CONFIG!$D$5:$D$14,0)),K638)*IF(M638="",INDEX(CONFIG!$H$5:$H$14,MATCH(D638,CONFIG!$D$5:$D$14,0)),M638))),""))</f>
        <v/>
      </c>
      <c r="Q638" s="16" t="str">
        <f aca="false">IF(OR(O638="",P638=""),"",O638/P638)</f>
        <v/>
      </c>
      <c r="R638" s="16" t="str">
        <f aca="false">IF(Q638="","",Q638*0.0980665)</f>
        <v/>
      </c>
      <c r="S638" s="16" t="str">
        <f aca="false">IF(Q638="","",IFERROR(Q638/(1/(1/INDEX(CONFIG!$I$5:$I$14,MATCH(D638,CONFIG!$D$5:$D$14,0)))),""))</f>
        <v/>
      </c>
      <c r="T638" s="13"/>
      <c r="U638" s="13"/>
      <c r="V638" s="13"/>
      <c r="W638" s="13"/>
      <c r="X638" s="22" t="str">
        <f aca="false">IF(Q638="","",Q638^2)</f>
        <v/>
      </c>
      <c r="Y638" s="22" t="str">
        <f aca="false">IF(AND(C638&lt;&gt;"",C638=CERTIFICADO!$E$4,OR(CERTIFICADO!$E$5="",B638=CERTIFICADO!$E$5)),MAX($Y$4:Y637)+1,"")</f>
        <v/>
      </c>
    </row>
    <row r="639" customFormat="false" ht="15" hidden="false" customHeight="false" outlineLevel="0" collapsed="false">
      <c r="A639" s="11" t="str">
        <f aca="false">IF(C639="","",ROW()-4)</f>
        <v/>
      </c>
      <c r="B639" s="12"/>
      <c r="C639" s="13"/>
      <c r="D639" s="23" t="str">
        <f aca="false">IF(C639="","",IFERROR(INDEX(LOTES!$D$5:$D$1004,MATCH(C639,LOTES!$F$5:$F$1004,0)),"¿Lote?"))</f>
        <v/>
      </c>
      <c r="E639" s="11" t="str">
        <f aca="false">IF(C639="","",IFERROR(INDEX(LOTES!$C$5:$C$1004,MATCH(C639,LOTES!$F$5:$F$1004,0)),""))</f>
        <v/>
      </c>
      <c r="F639" s="24" t="str">
        <f aca="false">IF(C639="","",IFERROR(INDEX(LOTES!$B$5:$B$1004,MATCH(C639,LOTES!$F$5:$F$1004,0)),""))</f>
        <v/>
      </c>
      <c r="G639" s="15" t="str">
        <f aca="false">IF(OR(B639="",F639=""),"",B639-F639)</f>
        <v/>
      </c>
      <c r="H639" s="13"/>
      <c r="I639" s="13"/>
      <c r="J639" s="13"/>
      <c r="K639" s="25"/>
      <c r="L639" s="25"/>
      <c r="M639" s="25"/>
      <c r="N639" s="25"/>
      <c r="O639" s="26"/>
      <c r="P639" s="16" t="str">
        <f aca="false">IF(O639="","",IFERROR(1/(1/(IF(K639="",INDEX(CONFIG!$F$5:$F$14,MATCH(D639,CONFIG!$D$5:$D$14,0)),K639)*IF(M639="",INDEX(CONFIG!$H$5:$H$14,MATCH(D639,CONFIG!$D$5:$D$14,0)),M639))),""))</f>
        <v/>
      </c>
      <c r="Q639" s="16" t="str">
        <f aca="false">IF(OR(O639="",P639=""),"",O639/P639)</f>
        <v/>
      </c>
      <c r="R639" s="16" t="str">
        <f aca="false">IF(Q639="","",Q639*0.0980665)</f>
        <v/>
      </c>
      <c r="S639" s="16" t="str">
        <f aca="false">IF(Q639="","",IFERROR(Q639/(1/(1/INDEX(CONFIG!$I$5:$I$14,MATCH(D639,CONFIG!$D$5:$D$14,0)))),""))</f>
        <v/>
      </c>
      <c r="T639" s="13"/>
      <c r="U639" s="13"/>
      <c r="V639" s="13"/>
      <c r="W639" s="13"/>
      <c r="X639" s="22" t="str">
        <f aca="false">IF(Q639="","",Q639^2)</f>
        <v/>
      </c>
      <c r="Y639" s="22" t="str">
        <f aca="false">IF(AND(C639&lt;&gt;"",C639=CERTIFICADO!$E$4,OR(CERTIFICADO!$E$5="",B639=CERTIFICADO!$E$5)),MAX($Y$4:Y638)+1,"")</f>
        <v/>
      </c>
    </row>
    <row r="640" customFormat="false" ht="15" hidden="false" customHeight="false" outlineLevel="0" collapsed="false">
      <c r="A640" s="11" t="str">
        <f aca="false">IF(C640="","",ROW()-4)</f>
        <v/>
      </c>
      <c r="B640" s="12"/>
      <c r="C640" s="13"/>
      <c r="D640" s="23" t="str">
        <f aca="false">IF(C640="","",IFERROR(INDEX(LOTES!$D$5:$D$1004,MATCH(C640,LOTES!$F$5:$F$1004,0)),"¿Lote?"))</f>
        <v/>
      </c>
      <c r="E640" s="11" t="str">
        <f aca="false">IF(C640="","",IFERROR(INDEX(LOTES!$C$5:$C$1004,MATCH(C640,LOTES!$F$5:$F$1004,0)),""))</f>
        <v/>
      </c>
      <c r="F640" s="24" t="str">
        <f aca="false">IF(C640="","",IFERROR(INDEX(LOTES!$B$5:$B$1004,MATCH(C640,LOTES!$F$5:$F$1004,0)),""))</f>
        <v/>
      </c>
      <c r="G640" s="15" t="str">
        <f aca="false">IF(OR(B640="",F640=""),"",B640-F640)</f>
        <v/>
      </c>
      <c r="H640" s="13"/>
      <c r="I640" s="13"/>
      <c r="J640" s="13"/>
      <c r="K640" s="25"/>
      <c r="L640" s="25"/>
      <c r="M640" s="25"/>
      <c r="N640" s="25"/>
      <c r="O640" s="26"/>
      <c r="P640" s="16" t="str">
        <f aca="false">IF(O640="","",IFERROR(1/(1/(IF(K640="",INDEX(CONFIG!$F$5:$F$14,MATCH(D640,CONFIG!$D$5:$D$14,0)),K640)*IF(M640="",INDEX(CONFIG!$H$5:$H$14,MATCH(D640,CONFIG!$D$5:$D$14,0)),M640))),""))</f>
        <v/>
      </c>
      <c r="Q640" s="16" t="str">
        <f aca="false">IF(OR(O640="",P640=""),"",O640/P640)</f>
        <v/>
      </c>
      <c r="R640" s="16" t="str">
        <f aca="false">IF(Q640="","",Q640*0.0980665)</f>
        <v/>
      </c>
      <c r="S640" s="16" t="str">
        <f aca="false">IF(Q640="","",IFERROR(Q640/(1/(1/INDEX(CONFIG!$I$5:$I$14,MATCH(D640,CONFIG!$D$5:$D$14,0)))),""))</f>
        <v/>
      </c>
      <c r="T640" s="13"/>
      <c r="U640" s="13"/>
      <c r="V640" s="13"/>
      <c r="W640" s="13"/>
      <c r="X640" s="22" t="str">
        <f aca="false">IF(Q640="","",Q640^2)</f>
        <v/>
      </c>
      <c r="Y640" s="22" t="str">
        <f aca="false">IF(AND(C640&lt;&gt;"",C640=CERTIFICADO!$E$4,OR(CERTIFICADO!$E$5="",B640=CERTIFICADO!$E$5)),MAX($Y$4:Y639)+1,"")</f>
        <v/>
      </c>
    </row>
    <row r="641" customFormat="false" ht="15" hidden="false" customHeight="false" outlineLevel="0" collapsed="false">
      <c r="A641" s="11" t="str">
        <f aca="false">IF(C641="","",ROW()-4)</f>
        <v/>
      </c>
      <c r="B641" s="12"/>
      <c r="C641" s="13"/>
      <c r="D641" s="23" t="str">
        <f aca="false">IF(C641="","",IFERROR(INDEX(LOTES!$D$5:$D$1004,MATCH(C641,LOTES!$F$5:$F$1004,0)),"¿Lote?"))</f>
        <v/>
      </c>
      <c r="E641" s="11" t="str">
        <f aca="false">IF(C641="","",IFERROR(INDEX(LOTES!$C$5:$C$1004,MATCH(C641,LOTES!$F$5:$F$1004,0)),""))</f>
        <v/>
      </c>
      <c r="F641" s="24" t="str">
        <f aca="false">IF(C641="","",IFERROR(INDEX(LOTES!$B$5:$B$1004,MATCH(C641,LOTES!$F$5:$F$1004,0)),""))</f>
        <v/>
      </c>
      <c r="G641" s="15" t="str">
        <f aca="false">IF(OR(B641="",F641=""),"",B641-F641)</f>
        <v/>
      </c>
      <c r="H641" s="13"/>
      <c r="I641" s="13"/>
      <c r="J641" s="13"/>
      <c r="K641" s="25"/>
      <c r="L641" s="25"/>
      <c r="M641" s="25"/>
      <c r="N641" s="25"/>
      <c r="O641" s="26"/>
      <c r="P641" s="16" t="str">
        <f aca="false">IF(O641="","",IFERROR(1/(1/(IF(K641="",INDEX(CONFIG!$F$5:$F$14,MATCH(D641,CONFIG!$D$5:$D$14,0)),K641)*IF(M641="",INDEX(CONFIG!$H$5:$H$14,MATCH(D641,CONFIG!$D$5:$D$14,0)),M641))),""))</f>
        <v/>
      </c>
      <c r="Q641" s="16" t="str">
        <f aca="false">IF(OR(O641="",P641=""),"",O641/P641)</f>
        <v/>
      </c>
      <c r="R641" s="16" t="str">
        <f aca="false">IF(Q641="","",Q641*0.0980665)</f>
        <v/>
      </c>
      <c r="S641" s="16" t="str">
        <f aca="false">IF(Q641="","",IFERROR(Q641/(1/(1/INDEX(CONFIG!$I$5:$I$14,MATCH(D641,CONFIG!$D$5:$D$14,0)))),""))</f>
        <v/>
      </c>
      <c r="T641" s="13"/>
      <c r="U641" s="13"/>
      <c r="V641" s="13"/>
      <c r="W641" s="13"/>
      <c r="X641" s="22" t="str">
        <f aca="false">IF(Q641="","",Q641^2)</f>
        <v/>
      </c>
      <c r="Y641" s="22" t="str">
        <f aca="false">IF(AND(C641&lt;&gt;"",C641=CERTIFICADO!$E$4,OR(CERTIFICADO!$E$5="",B641=CERTIFICADO!$E$5)),MAX($Y$4:Y640)+1,"")</f>
        <v/>
      </c>
    </row>
    <row r="642" customFormat="false" ht="15" hidden="false" customHeight="false" outlineLevel="0" collapsed="false">
      <c r="A642" s="11" t="str">
        <f aca="false">IF(C642="","",ROW()-4)</f>
        <v/>
      </c>
      <c r="B642" s="12"/>
      <c r="C642" s="13"/>
      <c r="D642" s="23" t="str">
        <f aca="false">IF(C642="","",IFERROR(INDEX(LOTES!$D$5:$D$1004,MATCH(C642,LOTES!$F$5:$F$1004,0)),"¿Lote?"))</f>
        <v/>
      </c>
      <c r="E642" s="11" t="str">
        <f aca="false">IF(C642="","",IFERROR(INDEX(LOTES!$C$5:$C$1004,MATCH(C642,LOTES!$F$5:$F$1004,0)),""))</f>
        <v/>
      </c>
      <c r="F642" s="24" t="str">
        <f aca="false">IF(C642="","",IFERROR(INDEX(LOTES!$B$5:$B$1004,MATCH(C642,LOTES!$F$5:$F$1004,0)),""))</f>
        <v/>
      </c>
      <c r="G642" s="15" t="str">
        <f aca="false">IF(OR(B642="",F642=""),"",B642-F642)</f>
        <v/>
      </c>
      <c r="H642" s="13"/>
      <c r="I642" s="13"/>
      <c r="J642" s="13"/>
      <c r="K642" s="25"/>
      <c r="L642" s="25"/>
      <c r="M642" s="25"/>
      <c r="N642" s="25"/>
      <c r="O642" s="26"/>
      <c r="P642" s="16" t="str">
        <f aca="false">IF(O642="","",IFERROR(1/(1/(IF(K642="",INDEX(CONFIG!$F$5:$F$14,MATCH(D642,CONFIG!$D$5:$D$14,0)),K642)*IF(M642="",INDEX(CONFIG!$H$5:$H$14,MATCH(D642,CONFIG!$D$5:$D$14,0)),M642))),""))</f>
        <v/>
      </c>
      <c r="Q642" s="16" t="str">
        <f aca="false">IF(OR(O642="",P642=""),"",O642/P642)</f>
        <v/>
      </c>
      <c r="R642" s="16" t="str">
        <f aca="false">IF(Q642="","",Q642*0.0980665)</f>
        <v/>
      </c>
      <c r="S642" s="16" t="str">
        <f aca="false">IF(Q642="","",IFERROR(Q642/(1/(1/INDEX(CONFIG!$I$5:$I$14,MATCH(D642,CONFIG!$D$5:$D$14,0)))),""))</f>
        <v/>
      </c>
      <c r="T642" s="13"/>
      <c r="U642" s="13"/>
      <c r="V642" s="13"/>
      <c r="W642" s="13"/>
      <c r="X642" s="22" t="str">
        <f aca="false">IF(Q642="","",Q642^2)</f>
        <v/>
      </c>
      <c r="Y642" s="22" t="str">
        <f aca="false">IF(AND(C642&lt;&gt;"",C642=CERTIFICADO!$E$4,OR(CERTIFICADO!$E$5="",B642=CERTIFICADO!$E$5)),MAX($Y$4:Y641)+1,"")</f>
        <v/>
      </c>
    </row>
    <row r="643" customFormat="false" ht="15" hidden="false" customHeight="false" outlineLevel="0" collapsed="false">
      <c r="A643" s="11" t="str">
        <f aca="false">IF(C643="","",ROW()-4)</f>
        <v/>
      </c>
      <c r="B643" s="12"/>
      <c r="C643" s="13"/>
      <c r="D643" s="23" t="str">
        <f aca="false">IF(C643="","",IFERROR(INDEX(LOTES!$D$5:$D$1004,MATCH(C643,LOTES!$F$5:$F$1004,0)),"¿Lote?"))</f>
        <v/>
      </c>
      <c r="E643" s="11" t="str">
        <f aca="false">IF(C643="","",IFERROR(INDEX(LOTES!$C$5:$C$1004,MATCH(C643,LOTES!$F$5:$F$1004,0)),""))</f>
        <v/>
      </c>
      <c r="F643" s="24" t="str">
        <f aca="false">IF(C643="","",IFERROR(INDEX(LOTES!$B$5:$B$1004,MATCH(C643,LOTES!$F$5:$F$1004,0)),""))</f>
        <v/>
      </c>
      <c r="G643" s="15" t="str">
        <f aca="false">IF(OR(B643="",F643=""),"",B643-F643)</f>
        <v/>
      </c>
      <c r="H643" s="13"/>
      <c r="I643" s="13"/>
      <c r="J643" s="13"/>
      <c r="K643" s="25"/>
      <c r="L643" s="25"/>
      <c r="M643" s="25"/>
      <c r="N643" s="25"/>
      <c r="O643" s="26"/>
      <c r="P643" s="16" t="str">
        <f aca="false">IF(O643="","",IFERROR(1/(1/(IF(K643="",INDEX(CONFIG!$F$5:$F$14,MATCH(D643,CONFIG!$D$5:$D$14,0)),K643)*IF(M643="",INDEX(CONFIG!$H$5:$H$14,MATCH(D643,CONFIG!$D$5:$D$14,0)),M643))),""))</f>
        <v/>
      </c>
      <c r="Q643" s="16" t="str">
        <f aca="false">IF(OR(O643="",P643=""),"",O643/P643)</f>
        <v/>
      </c>
      <c r="R643" s="16" t="str">
        <f aca="false">IF(Q643="","",Q643*0.0980665)</f>
        <v/>
      </c>
      <c r="S643" s="16" t="str">
        <f aca="false">IF(Q643="","",IFERROR(Q643/(1/(1/INDEX(CONFIG!$I$5:$I$14,MATCH(D643,CONFIG!$D$5:$D$14,0)))),""))</f>
        <v/>
      </c>
      <c r="T643" s="13"/>
      <c r="U643" s="13"/>
      <c r="V643" s="13"/>
      <c r="W643" s="13"/>
      <c r="X643" s="22" t="str">
        <f aca="false">IF(Q643="","",Q643^2)</f>
        <v/>
      </c>
      <c r="Y643" s="22" t="str">
        <f aca="false">IF(AND(C643&lt;&gt;"",C643=CERTIFICADO!$E$4,OR(CERTIFICADO!$E$5="",B643=CERTIFICADO!$E$5)),MAX($Y$4:Y642)+1,"")</f>
        <v/>
      </c>
    </row>
    <row r="644" customFormat="false" ht="15" hidden="false" customHeight="false" outlineLevel="0" collapsed="false">
      <c r="A644" s="11" t="str">
        <f aca="false">IF(C644="","",ROW()-4)</f>
        <v/>
      </c>
      <c r="B644" s="12"/>
      <c r="C644" s="13"/>
      <c r="D644" s="23" t="str">
        <f aca="false">IF(C644="","",IFERROR(INDEX(LOTES!$D$5:$D$1004,MATCH(C644,LOTES!$F$5:$F$1004,0)),"¿Lote?"))</f>
        <v/>
      </c>
      <c r="E644" s="11" t="str">
        <f aca="false">IF(C644="","",IFERROR(INDEX(LOTES!$C$5:$C$1004,MATCH(C644,LOTES!$F$5:$F$1004,0)),""))</f>
        <v/>
      </c>
      <c r="F644" s="24" t="str">
        <f aca="false">IF(C644="","",IFERROR(INDEX(LOTES!$B$5:$B$1004,MATCH(C644,LOTES!$F$5:$F$1004,0)),""))</f>
        <v/>
      </c>
      <c r="G644" s="15" t="str">
        <f aca="false">IF(OR(B644="",F644=""),"",B644-F644)</f>
        <v/>
      </c>
      <c r="H644" s="13"/>
      <c r="I644" s="13"/>
      <c r="J644" s="13"/>
      <c r="K644" s="25"/>
      <c r="L644" s="25"/>
      <c r="M644" s="25"/>
      <c r="N644" s="25"/>
      <c r="O644" s="26"/>
      <c r="P644" s="16" t="str">
        <f aca="false">IF(O644="","",IFERROR(1/(1/(IF(K644="",INDEX(CONFIG!$F$5:$F$14,MATCH(D644,CONFIG!$D$5:$D$14,0)),K644)*IF(M644="",INDEX(CONFIG!$H$5:$H$14,MATCH(D644,CONFIG!$D$5:$D$14,0)),M644))),""))</f>
        <v/>
      </c>
      <c r="Q644" s="16" t="str">
        <f aca="false">IF(OR(O644="",P644=""),"",O644/P644)</f>
        <v/>
      </c>
      <c r="R644" s="16" t="str">
        <f aca="false">IF(Q644="","",Q644*0.0980665)</f>
        <v/>
      </c>
      <c r="S644" s="16" t="str">
        <f aca="false">IF(Q644="","",IFERROR(Q644/(1/(1/INDEX(CONFIG!$I$5:$I$14,MATCH(D644,CONFIG!$D$5:$D$14,0)))),""))</f>
        <v/>
      </c>
      <c r="T644" s="13"/>
      <c r="U644" s="13"/>
      <c r="V644" s="13"/>
      <c r="W644" s="13"/>
      <c r="X644" s="22" t="str">
        <f aca="false">IF(Q644="","",Q644^2)</f>
        <v/>
      </c>
      <c r="Y644" s="22" t="str">
        <f aca="false">IF(AND(C644&lt;&gt;"",C644=CERTIFICADO!$E$4,OR(CERTIFICADO!$E$5="",B644=CERTIFICADO!$E$5)),MAX($Y$4:Y643)+1,"")</f>
        <v/>
      </c>
    </row>
    <row r="645" customFormat="false" ht="15" hidden="false" customHeight="false" outlineLevel="0" collapsed="false">
      <c r="A645" s="11" t="str">
        <f aca="false">IF(C645="","",ROW()-4)</f>
        <v/>
      </c>
      <c r="B645" s="12"/>
      <c r="C645" s="13"/>
      <c r="D645" s="23" t="str">
        <f aca="false">IF(C645="","",IFERROR(INDEX(LOTES!$D$5:$D$1004,MATCH(C645,LOTES!$F$5:$F$1004,0)),"¿Lote?"))</f>
        <v/>
      </c>
      <c r="E645" s="11" t="str">
        <f aca="false">IF(C645="","",IFERROR(INDEX(LOTES!$C$5:$C$1004,MATCH(C645,LOTES!$F$5:$F$1004,0)),""))</f>
        <v/>
      </c>
      <c r="F645" s="24" t="str">
        <f aca="false">IF(C645="","",IFERROR(INDEX(LOTES!$B$5:$B$1004,MATCH(C645,LOTES!$F$5:$F$1004,0)),""))</f>
        <v/>
      </c>
      <c r="G645" s="15" t="str">
        <f aca="false">IF(OR(B645="",F645=""),"",B645-F645)</f>
        <v/>
      </c>
      <c r="H645" s="13"/>
      <c r="I645" s="13"/>
      <c r="J645" s="13"/>
      <c r="K645" s="25"/>
      <c r="L645" s="25"/>
      <c r="M645" s="25"/>
      <c r="N645" s="25"/>
      <c r="O645" s="26"/>
      <c r="P645" s="16" t="str">
        <f aca="false">IF(O645="","",IFERROR(1/(1/(IF(K645="",INDEX(CONFIG!$F$5:$F$14,MATCH(D645,CONFIG!$D$5:$D$14,0)),K645)*IF(M645="",INDEX(CONFIG!$H$5:$H$14,MATCH(D645,CONFIG!$D$5:$D$14,0)),M645))),""))</f>
        <v/>
      </c>
      <c r="Q645" s="16" t="str">
        <f aca="false">IF(OR(O645="",P645=""),"",O645/P645)</f>
        <v/>
      </c>
      <c r="R645" s="16" t="str">
        <f aca="false">IF(Q645="","",Q645*0.0980665)</f>
        <v/>
      </c>
      <c r="S645" s="16" t="str">
        <f aca="false">IF(Q645="","",IFERROR(Q645/(1/(1/INDEX(CONFIG!$I$5:$I$14,MATCH(D645,CONFIG!$D$5:$D$14,0)))),""))</f>
        <v/>
      </c>
      <c r="T645" s="13"/>
      <c r="U645" s="13"/>
      <c r="V645" s="13"/>
      <c r="W645" s="13"/>
      <c r="X645" s="22" t="str">
        <f aca="false">IF(Q645="","",Q645^2)</f>
        <v/>
      </c>
      <c r="Y645" s="22" t="str">
        <f aca="false">IF(AND(C645&lt;&gt;"",C645=CERTIFICADO!$E$4,OR(CERTIFICADO!$E$5="",B645=CERTIFICADO!$E$5)),MAX($Y$4:Y644)+1,"")</f>
        <v/>
      </c>
    </row>
    <row r="646" customFormat="false" ht="15" hidden="false" customHeight="false" outlineLevel="0" collapsed="false">
      <c r="A646" s="11" t="str">
        <f aca="false">IF(C646="","",ROW()-4)</f>
        <v/>
      </c>
      <c r="B646" s="12"/>
      <c r="C646" s="13"/>
      <c r="D646" s="23" t="str">
        <f aca="false">IF(C646="","",IFERROR(INDEX(LOTES!$D$5:$D$1004,MATCH(C646,LOTES!$F$5:$F$1004,0)),"¿Lote?"))</f>
        <v/>
      </c>
      <c r="E646" s="11" t="str">
        <f aca="false">IF(C646="","",IFERROR(INDEX(LOTES!$C$5:$C$1004,MATCH(C646,LOTES!$F$5:$F$1004,0)),""))</f>
        <v/>
      </c>
      <c r="F646" s="24" t="str">
        <f aca="false">IF(C646="","",IFERROR(INDEX(LOTES!$B$5:$B$1004,MATCH(C646,LOTES!$F$5:$F$1004,0)),""))</f>
        <v/>
      </c>
      <c r="G646" s="15" t="str">
        <f aca="false">IF(OR(B646="",F646=""),"",B646-F646)</f>
        <v/>
      </c>
      <c r="H646" s="13"/>
      <c r="I646" s="13"/>
      <c r="J646" s="13"/>
      <c r="K646" s="25"/>
      <c r="L646" s="25"/>
      <c r="M646" s="25"/>
      <c r="N646" s="25"/>
      <c r="O646" s="26"/>
      <c r="P646" s="16" t="str">
        <f aca="false">IF(O646="","",IFERROR(1/(1/(IF(K646="",INDEX(CONFIG!$F$5:$F$14,MATCH(D646,CONFIG!$D$5:$D$14,0)),K646)*IF(M646="",INDEX(CONFIG!$H$5:$H$14,MATCH(D646,CONFIG!$D$5:$D$14,0)),M646))),""))</f>
        <v/>
      </c>
      <c r="Q646" s="16" t="str">
        <f aca="false">IF(OR(O646="",P646=""),"",O646/P646)</f>
        <v/>
      </c>
      <c r="R646" s="16" t="str">
        <f aca="false">IF(Q646="","",Q646*0.0980665)</f>
        <v/>
      </c>
      <c r="S646" s="16" t="str">
        <f aca="false">IF(Q646="","",IFERROR(Q646/(1/(1/INDEX(CONFIG!$I$5:$I$14,MATCH(D646,CONFIG!$D$5:$D$14,0)))),""))</f>
        <v/>
      </c>
      <c r="T646" s="13"/>
      <c r="U646" s="13"/>
      <c r="V646" s="13"/>
      <c r="W646" s="13"/>
      <c r="X646" s="22" t="str">
        <f aca="false">IF(Q646="","",Q646^2)</f>
        <v/>
      </c>
      <c r="Y646" s="22" t="str">
        <f aca="false">IF(AND(C646&lt;&gt;"",C646=CERTIFICADO!$E$4,OR(CERTIFICADO!$E$5="",B646=CERTIFICADO!$E$5)),MAX($Y$4:Y645)+1,"")</f>
        <v/>
      </c>
    </row>
    <row r="647" customFormat="false" ht="15" hidden="false" customHeight="false" outlineLevel="0" collapsed="false">
      <c r="A647" s="11" t="str">
        <f aca="false">IF(C647="","",ROW()-4)</f>
        <v/>
      </c>
      <c r="B647" s="12"/>
      <c r="C647" s="13"/>
      <c r="D647" s="23" t="str">
        <f aca="false">IF(C647="","",IFERROR(INDEX(LOTES!$D$5:$D$1004,MATCH(C647,LOTES!$F$5:$F$1004,0)),"¿Lote?"))</f>
        <v/>
      </c>
      <c r="E647" s="11" t="str">
        <f aca="false">IF(C647="","",IFERROR(INDEX(LOTES!$C$5:$C$1004,MATCH(C647,LOTES!$F$5:$F$1004,0)),""))</f>
        <v/>
      </c>
      <c r="F647" s="24" t="str">
        <f aca="false">IF(C647="","",IFERROR(INDEX(LOTES!$B$5:$B$1004,MATCH(C647,LOTES!$F$5:$F$1004,0)),""))</f>
        <v/>
      </c>
      <c r="G647" s="15" t="str">
        <f aca="false">IF(OR(B647="",F647=""),"",B647-F647)</f>
        <v/>
      </c>
      <c r="H647" s="13"/>
      <c r="I647" s="13"/>
      <c r="J647" s="13"/>
      <c r="K647" s="25"/>
      <c r="L647" s="25"/>
      <c r="M647" s="25"/>
      <c r="N647" s="25"/>
      <c r="O647" s="26"/>
      <c r="P647" s="16" t="str">
        <f aca="false">IF(O647="","",IFERROR(1/(1/(IF(K647="",INDEX(CONFIG!$F$5:$F$14,MATCH(D647,CONFIG!$D$5:$D$14,0)),K647)*IF(M647="",INDEX(CONFIG!$H$5:$H$14,MATCH(D647,CONFIG!$D$5:$D$14,0)),M647))),""))</f>
        <v/>
      </c>
      <c r="Q647" s="16" t="str">
        <f aca="false">IF(OR(O647="",P647=""),"",O647/P647)</f>
        <v/>
      </c>
      <c r="R647" s="16" t="str">
        <f aca="false">IF(Q647="","",Q647*0.0980665)</f>
        <v/>
      </c>
      <c r="S647" s="16" t="str">
        <f aca="false">IF(Q647="","",IFERROR(Q647/(1/(1/INDEX(CONFIG!$I$5:$I$14,MATCH(D647,CONFIG!$D$5:$D$14,0)))),""))</f>
        <v/>
      </c>
      <c r="T647" s="13"/>
      <c r="U647" s="13"/>
      <c r="V647" s="13"/>
      <c r="W647" s="13"/>
      <c r="X647" s="22" t="str">
        <f aca="false">IF(Q647="","",Q647^2)</f>
        <v/>
      </c>
      <c r="Y647" s="22" t="str">
        <f aca="false">IF(AND(C647&lt;&gt;"",C647=CERTIFICADO!$E$4,OR(CERTIFICADO!$E$5="",B647=CERTIFICADO!$E$5)),MAX($Y$4:Y646)+1,"")</f>
        <v/>
      </c>
    </row>
    <row r="648" customFormat="false" ht="15" hidden="false" customHeight="false" outlineLevel="0" collapsed="false">
      <c r="A648" s="11" t="str">
        <f aca="false">IF(C648="","",ROW()-4)</f>
        <v/>
      </c>
      <c r="B648" s="12"/>
      <c r="C648" s="13"/>
      <c r="D648" s="23" t="str">
        <f aca="false">IF(C648="","",IFERROR(INDEX(LOTES!$D$5:$D$1004,MATCH(C648,LOTES!$F$5:$F$1004,0)),"¿Lote?"))</f>
        <v/>
      </c>
      <c r="E648" s="11" t="str">
        <f aca="false">IF(C648="","",IFERROR(INDEX(LOTES!$C$5:$C$1004,MATCH(C648,LOTES!$F$5:$F$1004,0)),""))</f>
        <v/>
      </c>
      <c r="F648" s="24" t="str">
        <f aca="false">IF(C648="","",IFERROR(INDEX(LOTES!$B$5:$B$1004,MATCH(C648,LOTES!$F$5:$F$1004,0)),""))</f>
        <v/>
      </c>
      <c r="G648" s="15" t="str">
        <f aca="false">IF(OR(B648="",F648=""),"",B648-F648)</f>
        <v/>
      </c>
      <c r="H648" s="13"/>
      <c r="I648" s="13"/>
      <c r="J648" s="13"/>
      <c r="K648" s="25"/>
      <c r="L648" s="25"/>
      <c r="M648" s="25"/>
      <c r="N648" s="25"/>
      <c r="O648" s="26"/>
      <c r="P648" s="16" t="str">
        <f aca="false">IF(O648="","",IFERROR(1/(1/(IF(K648="",INDEX(CONFIG!$F$5:$F$14,MATCH(D648,CONFIG!$D$5:$D$14,0)),K648)*IF(M648="",INDEX(CONFIG!$H$5:$H$14,MATCH(D648,CONFIG!$D$5:$D$14,0)),M648))),""))</f>
        <v/>
      </c>
      <c r="Q648" s="16" t="str">
        <f aca="false">IF(OR(O648="",P648=""),"",O648/P648)</f>
        <v/>
      </c>
      <c r="R648" s="16" t="str">
        <f aca="false">IF(Q648="","",Q648*0.0980665)</f>
        <v/>
      </c>
      <c r="S648" s="16" t="str">
        <f aca="false">IF(Q648="","",IFERROR(Q648/(1/(1/INDEX(CONFIG!$I$5:$I$14,MATCH(D648,CONFIG!$D$5:$D$14,0)))),""))</f>
        <v/>
      </c>
      <c r="T648" s="13"/>
      <c r="U648" s="13"/>
      <c r="V648" s="13"/>
      <c r="W648" s="13"/>
      <c r="X648" s="22" t="str">
        <f aca="false">IF(Q648="","",Q648^2)</f>
        <v/>
      </c>
      <c r="Y648" s="22" t="str">
        <f aca="false">IF(AND(C648&lt;&gt;"",C648=CERTIFICADO!$E$4,OR(CERTIFICADO!$E$5="",B648=CERTIFICADO!$E$5)),MAX($Y$4:Y647)+1,"")</f>
        <v/>
      </c>
    </row>
    <row r="649" customFormat="false" ht="15" hidden="false" customHeight="false" outlineLevel="0" collapsed="false">
      <c r="A649" s="11" t="str">
        <f aca="false">IF(C649="","",ROW()-4)</f>
        <v/>
      </c>
      <c r="B649" s="12"/>
      <c r="C649" s="13"/>
      <c r="D649" s="23" t="str">
        <f aca="false">IF(C649="","",IFERROR(INDEX(LOTES!$D$5:$D$1004,MATCH(C649,LOTES!$F$5:$F$1004,0)),"¿Lote?"))</f>
        <v/>
      </c>
      <c r="E649" s="11" t="str">
        <f aca="false">IF(C649="","",IFERROR(INDEX(LOTES!$C$5:$C$1004,MATCH(C649,LOTES!$F$5:$F$1004,0)),""))</f>
        <v/>
      </c>
      <c r="F649" s="24" t="str">
        <f aca="false">IF(C649="","",IFERROR(INDEX(LOTES!$B$5:$B$1004,MATCH(C649,LOTES!$F$5:$F$1004,0)),""))</f>
        <v/>
      </c>
      <c r="G649" s="15" t="str">
        <f aca="false">IF(OR(B649="",F649=""),"",B649-F649)</f>
        <v/>
      </c>
      <c r="H649" s="13"/>
      <c r="I649" s="13"/>
      <c r="J649" s="13"/>
      <c r="K649" s="25"/>
      <c r="L649" s="25"/>
      <c r="M649" s="25"/>
      <c r="N649" s="25"/>
      <c r="O649" s="26"/>
      <c r="P649" s="16" t="str">
        <f aca="false">IF(O649="","",IFERROR(1/(1/(IF(K649="",INDEX(CONFIG!$F$5:$F$14,MATCH(D649,CONFIG!$D$5:$D$14,0)),K649)*IF(M649="",INDEX(CONFIG!$H$5:$H$14,MATCH(D649,CONFIG!$D$5:$D$14,0)),M649))),""))</f>
        <v/>
      </c>
      <c r="Q649" s="16" t="str">
        <f aca="false">IF(OR(O649="",P649=""),"",O649/P649)</f>
        <v/>
      </c>
      <c r="R649" s="16" t="str">
        <f aca="false">IF(Q649="","",Q649*0.0980665)</f>
        <v/>
      </c>
      <c r="S649" s="16" t="str">
        <f aca="false">IF(Q649="","",IFERROR(Q649/(1/(1/INDEX(CONFIG!$I$5:$I$14,MATCH(D649,CONFIG!$D$5:$D$14,0)))),""))</f>
        <v/>
      </c>
      <c r="T649" s="13"/>
      <c r="U649" s="13"/>
      <c r="V649" s="13"/>
      <c r="W649" s="13"/>
      <c r="X649" s="22" t="str">
        <f aca="false">IF(Q649="","",Q649^2)</f>
        <v/>
      </c>
      <c r="Y649" s="22" t="str">
        <f aca="false">IF(AND(C649&lt;&gt;"",C649=CERTIFICADO!$E$4,OR(CERTIFICADO!$E$5="",B649=CERTIFICADO!$E$5)),MAX($Y$4:Y648)+1,"")</f>
        <v/>
      </c>
    </row>
    <row r="650" customFormat="false" ht="15" hidden="false" customHeight="false" outlineLevel="0" collapsed="false">
      <c r="A650" s="11" t="str">
        <f aca="false">IF(C650="","",ROW()-4)</f>
        <v/>
      </c>
      <c r="B650" s="12"/>
      <c r="C650" s="13"/>
      <c r="D650" s="23" t="str">
        <f aca="false">IF(C650="","",IFERROR(INDEX(LOTES!$D$5:$D$1004,MATCH(C650,LOTES!$F$5:$F$1004,0)),"¿Lote?"))</f>
        <v/>
      </c>
      <c r="E650" s="11" t="str">
        <f aca="false">IF(C650="","",IFERROR(INDEX(LOTES!$C$5:$C$1004,MATCH(C650,LOTES!$F$5:$F$1004,0)),""))</f>
        <v/>
      </c>
      <c r="F650" s="24" t="str">
        <f aca="false">IF(C650="","",IFERROR(INDEX(LOTES!$B$5:$B$1004,MATCH(C650,LOTES!$F$5:$F$1004,0)),""))</f>
        <v/>
      </c>
      <c r="G650" s="15" t="str">
        <f aca="false">IF(OR(B650="",F650=""),"",B650-F650)</f>
        <v/>
      </c>
      <c r="H650" s="13"/>
      <c r="I650" s="13"/>
      <c r="J650" s="13"/>
      <c r="K650" s="25"/>
      <c r="L650" s="25"/>
      <c r="M650" s="25"/>
      <c r="N650" s="25"/>
      <c r="O650" s="26"/>
      <c r="P650" s="16" t="str">
        <f aca="false">IF(O650="","",IFERROR(1/(1/(IF(K650="",INDEX(CONFIG!$F$5:$F$14,MATCH(D650,CONFIG!$D$5:$D$14,0)),K650)*IF(M650="",INDEX(CONFIG!$H$5:$H$14,MATCH(D650,CONFIG!$D$5:$D$14,0)),M650))),""))</f>
        <v/>
      </c>
      <c r="Q650" s="16" t="str">
        <f aca="false">IF(OR(O650="",P650=""),"",O650/P650)</f>
        <v/>
      </c>
      <c r="R650" s="16" t="str">
        <f aca="false">IF(Q650="","",Q650*0.0980665)</f>
        <v/>
      </c>
      <c r="S650" s="16" t="str">
        <f aca="false">IF(Q650="","",IFERROR(Q650/(1/(1/INDEX(CONFIG!$I$5:$I$14,MATCH(D650,CONFIG!$D$5:$D$14,0)))),""))</f>
        <v/>
      </c>
      <c r="T650" s="13"/>
      <c r="U650" s="13"/>
      <c r="V650" s="13"/>
      <c r="W650" s="13"/>
      <c r="X650" s="22" t="str">
        <f aca="false">IF(Q650="","",Q650^2)</f>
        <v/>
      </c>
      <c r="Y650" s="22" t="str">
        <f aca="false">IF(AND(C650&lt;&gt;"",C650=CERTIFICADO!$E$4,OR(CERTIFICADO!$E$5="",B650=CERTIFICADO!$E$5)),MAX($Y$4:Y649)+1,"")</f>
        <v/>
      </c>
    </row>
    <row r="651" customFormat="false" ht="15" hidden="false" customHeight="false" outlineLevel="0" collapsed="false">
      <c r="A651" s="11" t="str">
        <f aca="false">IF(C651="","",ROW()-4)</f>
        <v/>
      </c>
      <c r="B651" s="12"/>
      <c r="C651" s="13"/>
      <c r="D651" s="23" t="str">
        <f aca="false">IF(C651="","",IFERROR(INDEX(LOTES!$D$5:$D$1004,MATCH(C651,LOTES!$F$5:$F$1004,0)),"¿Lote?"))</f>
        <v/>
      </c>
      <c r="E651" s="11" t="str">
        <f aca="false">IF(C651="","",IFERROR(INDEX(LOTES!$C$5:$C$1004,MATCH(C651,LOTES!$F$5:$F$1004,0)),""))</f>
        <v/>
      </c>
      <c r="F651" s="24" t="str">
        <f aca="false">IF(C651="","",IFERROR(INDEX(LOTES!$B$5:$B$1004,MATCH(C651,LOTES!$F$5:$F$1004,0)),""))</f>
        <v/>
      </c>
      <c r="G651" s="15" t="str">
        <f aca="false">IF(OR(B651="",F651=""),"",B651-F651)</f>
        <v/>
      </c>
      <c r="H651" s="13"/>
      <c r="I651" s="13"/>
      <c r="J651" s="13"/>
      <c r="K651" s="25"/>
      <c r="L651" s="25"/>
      <c r="M651" s="25"/>
      <c r="N651" s="25"/>
      <c r="O651" s="26"/>
      <c r="P651" s="16" t="str">
        <f aca="false">IF(O651="","",IFERROR(1/(1/(IF(K651="",INDEX(CONFIG!$F$5:$F$14,MATCH(D651,CONFIG!$D$5:$D$14,0)),K651)*IF(M651="",INDEX(CONFIG!$H$5:$H$14,MATCH(D651,CONFIG!$D$5:$D$14,0)),M651))),""))</f>
        <v/>
      </c>
      <c r="Q651" s="16" t="str">
        <f aca="false">IF(OR(O651="",P651=""),"",O651/P651)</f>
        <v/>
      </c>
      <c r="R651" s="16" t="str">
        <f aca="false">IF(Q651="","",Q651*0.0980665)</f>
        <v/>
      </c>
      <c r="S651" s="16" t="str">
        <f aca="false">IF(Q651="","",IFERROR(Q651/(1/(1/INDEX(CONFIG!$I$5:$I$14,MATCH(D651,CONFIG!$D$5:$D$14,0)))),""))</f>
        <v/>
      </c>
      <c r="T651" s="13"/>
      <c r="U651" s="13"/>
      <c r="V651" s="13"/>
      <c r="W651" s="13"/>
      <c r="X651" s="22" t="str">
        <f aca="false">IF(Q651="","",Q651^2)</f>
        <v/>
      </c>
      <c r="Y651" s="22" t="str">
        <f aca="false">IF(AND(C651&lt;&gt;"",C651=CERTIFICADO!$E$4,OR(CERTIFICADO!$E$5="",B651=CERTIFICADO!$E$5)),MAX($Y$4:Y650)+1,"")</f>
        <v/>
      </c>
    </row>
    <row r="652" customFormat="false" ht="15" hidden="false" customHeight="false" outlineLevel="0" collapsed="false">
      <c r="A652" s="11" t="str">
        <f aca="false">IF(C652="","",ROW()-4)</f>
        <v/>
      </c>
      <c r="B652" s="12"/>
      <c r="C652" s="13"/>
      <c r="D652" s="23" t="str">
        <f aca="false">IF(C652="","",IFERROR(INDEX(LOTES!$D$5:$D$1004,MATCH(C652,LOTES!$F$5:$F$1004,0)),"¿Lote?"))</f>
        <v/>
      </c>
      <c r="E652" s="11" t="str">
        <f aca="false">IF(C652="","",IFERROR(INDEX(LOTES!$C$5:$C$1004,MATCH(C652,LOTES!$F$5:$F$1004,0)),""))</f>
        <v/>
      </c>
      <c r="F652" s="24" t="str">
        <f aca="false">IF(C652="","",IFERROR(INDEX(LOTES!$B$5:$B$1004,MATCH(C652,LOTES!$F$5:$F$1004,0)),""))</f>
        <v/>
      </c>
      <c r="G652" s="15" t="str">
        <f aca="false">IF(OR(B652="",F652=""),"",B652-F652)</f>
        <v/>
      </c>
      <c r="H652" s="13"/>
      <c r="I652" s="13"/>
      <c r="J652" s="13"/>
      <c r="K652" s="25"/>
      <c r="L652" s="25"/>
      <c r="M652" s="25"/>
      <c r="N652" s="25"/>
      <c r="O652" s="26"/>
      <c r="P652" s="16" t="str">
        <f aca="false">IF(O652="","",IFERROR(1/(1/(IF(K652="",INDEX(CONFIG!$F$5:$F$14,MATCH(D652,CONFIG!$D$5:$D$14,0)),K652)*IF(M652="",INDEX(CONFIG!$H$5:$H$14,MATCH(D652,CONFIG!$D$5:$D$14,0)),M652))),""))</f>
        <v/>
      </c>
      <c r="Q652" s="16" t="str">
        <f aca="false">IF(OR(O652="",P652=""),"",O652/P652)</f>
        <v/>
      </c>
      <c r="R652" s="16" t="str">
        <f aca="false">IF(Q652="","",Q652*0.0980665)</f>
        <v/>
      </c>
      <c r="S652" s="16" t="str">
        <f aca="false">IF(Q652="","",IFERROR(Q652/(1/(1/INDEX(CONFIG!$I$5:$I$14,MATCH(D652,CONFIG!$D$5:$D$14,0)))),""))</f>
        <v/>
      </c>
      <c r="T652" s="13"/>
      <c r="U652" s="13"/>
      <c r="V652" s="13"/>
      <c r="W652" s="13"/>
      <c r="X652" s="22" t="str">
        <f aca="false">IF(Q652="","",Q652^2)</f>
        <v/>
      </c>
      <c r="Y652" s="22" t="str">
        <f aca="false">IF(AND(C652&lt;&gt;"",C652=CERTIFICADO!$E$4,OR(CERTIFICADO!$E$5="",B652=CERTIFICADO!$E$5)),MAX($Y$4:Y651)+1,"")</f>
        <v/>
      </c>
    </row>
    <row r="653" customFormat="false" ht="15" hidden="false" customHeight="false" outlineLevel="0" collapsed="false">
      <c r="A653" s="11" t="str">
        <f aca="false">IF(C653="","",ROW()-4)</f>
        <v/>
      </c>
      <c r="B653" s="12"/>
      <c r="C653" s="13"/>
      <c r="D653" s="23" t="str">
        <f aca="false">IF(C653="","",IFERROR(INDEX(LOTES!$D$5:$D$1004,MATCH(C653,LOTES!$F$5:$F$1004,0)),"¿Lote?"))</f>
        <v/>
      </c>
      <c r="E653" s="11" t="str">
        <f aca="false">IF(C653="","",IFERROR(INDEX(LOTES!$C$5:$C$1004,MATCH(C653,LOTES!$F$5:$F$1004,0)),""))</f>
        <v/>
      </c>
      <c r="F653" s="24" t="str">
        <f aca="false">IF(C653="","",IFERROR(INDEX(LOTES!$B$5:$B$1004,MATCH(C653,LOTES!$F$5:$F$1004,0)),""))</f>
        <v/>
      </c>
      <c r="G653" s="15" t="str">
        <f aca="false">IF(OR(B653="",F653=""),"",B653-F653)</f>
        <v/>
      </c>
      <c r="H653" s="13"/>
      <c r="I653" s="13"/>
      <c r="J653" s="13"/>
      <c r="K653" s="25"/>
      <c r="L653" s="25"/>
      <c r="M653" s="25"/>
      <c r="N653" s="25"/>
      <c r="O653" s="26"/>
      <c r="P653" s="16" t="str">
        <f aca="false">IF(O653="","",IFERROR(1/(1/(IF(K653="",INDEX(CONFIG!$F$5:$F$14,MATCH(D653,CONFIG!$D$5:$D$14,0)),K653)*IF(M653="",INDEX(CONFIG!$H$5:$H$14,MATCH(D653,CONFIG!$D$5:$D$14,0)),M653))),""))</f>
        <v/>
      </c>
      <c r="Q653" s="16" t="str">
        <f aca="false">IF(OR(O653="",P653=""),"",O653/P653)</f>
        <v/>
      </c>
      <c r="R653" s="16" t="str">
        <f aca="false">IF(Q653="","",Q653*0.0980665)</f>
        <v/>
      </c>
      <c r="S653" s="16" t="str">
        <f aca="false">IF(Q653="","",IFERROR(Q653/(1/(1/INDEX(CONFIG!$I$5:$I$14,MATCH(D653,CONFIG!$D$5:$D$14,0)))),""))</f>
        <v/>
      </c>
      <c r="T653" s="13"/>
      <c r="U653" s="13"/>
      <c r="V653" s="13"/>
      <c r="W653" s="13"/>
      <c r="X653" s="22" t="str">
        <f aca="false">IF(Q653="","",Q653^2)</f>
        <v/>
      </c>
      <c r="Y653" s="22" t="str">
        <f aca="false">IF(AND(C653&lt;&gt;"",C653=CERTIFICADO!$E$4,OR(CERTIFICADO!$E$5="",B653=CERTIFICADO!$E$5)),MAX($Y$4:Y652)+1,"")</f>
        <v/>
      </c>
    </row>
    <row r="654" customFormat="false" ht="15" hidden="false" customHeight="false" outlineLevel="0" collapsed="false">
      <c r="A654" s="11" t="str">
        <f aca="false">IF(C654="","",ROW()-4)</f>
        <v/>
      </c>
      <c r="B654" s="12"/>
      <c r="C654" s="13"/>
      <c r="D654" s="23" t="str">
        <f aca="false">IF(C654="","",IFERROR(INDEX(LOTES!$D$5:$D$1004,MATCH(C654,LOTES!$F$5:$F$1004,0)),"¿Lote?"))</f>
        <v/>
      </c>
      <c r="E654" s="11" t="str">
        <f aca="false">IF(C654="","",IFERROR(INDEX(LOTES!$C$5:$C$1004,MATCH(C654,LOTES!$F$5:$F$1004,0)),""))</f>
        <v/>
      </c>
      <c r="F654" s="24" t="str">
        <f aca="false">IF(C654="","",IFERROR(INDEX(LOTES!$B$5:$B$1004,MATCH(C654,LOTES!$F$5:$F$1004,0)),""))</f>
        <v/>
      </c>
      <c r="G654" s="15" t="str">
        <f aca="false">IF(OR(B654="",F654=""),"",B654-F654)</f>
        <v/>
      </c>
      <c r="H654" s="13"/>
      <c r="I654" s="13"/>
      <c r="J654" s="13"/>
      <c r="K654" s="25"/>
      <c r="L654" s="25"/>
      <c r="M654" s="25"/>
      <c r="N654" s="25"/>
      <c r="O654" s="26"/>
      <c r="P654" s="16" t="str">
        <f aca="false">IF(O654="","",IFERROR(1/(1/(IF(K654="",INDEX(CONFIG!$F$5:$F$14,MATCH(D654,CONFIG!$D$5:$D$14,0)),K654)*IF(M654="",INDEX(CONFIG!$H$5:$H$14,MATCH(D654,CONFIG!$D$5:$D$14,0)),M654))),""))</f>
        <v/>
      </c>
      <c r="Q654" s="16" t="str">
        <f aca="false">IF(OR(O654="",P654=""),"",O654/P654)</f>
        <v/>
      </c>
      <c r="R654" s="16" t="str">
        <f aca="false">IF(Q654="","",Q654*0.0980665)</f>
        <v/>
      </c>
      <c r="S654" s="16" t="str">
        <f aca="false">IF(Q654="","",IFERROR(Q654/(1/(1/INDEX(CONFIG!$I$5:$I$14,MATCH(D654,CONFIG!$D$5:$D$14,0)))),""))</f>
        <v/>
      </c>
      <c r="T654" s="13"/>
      <c r="U654" s="13"/>
      <c r="V654" s="13"/>
      <c r="W654" s="13"/>
      <c r="X654" s="22" t="str">
        <f aca="false">IF(Q654="","",Q654^2)</f>
        <v/>
      </c>
      <c r="Y654" s="22" t="str">
        <f aca="false">IF(AND(C654&lt;&gt;"",C654=CERTIFICADO!$E$4,OR(CERTIFICADO!$E$5="",B654=CERTIFICADO!$E$5)),MAX($Y$4:Y653)+1,"")</f>
        <v/>
      </c>
    </row>
    <row r="655" customFormat="false" ht="15" hidden="false" customHeight="false" outlineLevel="0" collapsed="false">
      <c r="A655" s="11" t="str">
        <f aca="false">IF(C655="","",ROW()-4)</f>
        <v/>
      </c>
      <c r="B655" s="12"/>
      <c r="C655" s="13"/>
      <c r="D655" s="23" t="str">
        <f aca="false">IF(C655="","",IFERROR(INDEX(LOTES!$D$5:$D$1004,MATCH(C655,LOTES!$F$5:$F$1004,0)),"¿Lote?"))</f>
        <v/>
      </c>
      <c r="E655" s="11" t="str">
        <f aca="false">IF(C655="","",IFERROR(INDEX(LOTES!$C$5:$C$1004,MATCH(C655,LOTES!$F$5:$F$1004,0)),""))</f>
        <v/>
      </c>
      <c r="F655" s="24" t="str">
        <f aca="false">IF(C655="","",IFERROR(INDEX(LOTES!$B$5:$B$1004,MATCH(C655,LOTES!$F$5:$F$1004,0)),""))</f>
        <v/>
      </c>
      <c r="G655" s="15" t="str">
        <f aca="false">IF(OR(B655="",F655=""),"",B655-F655)</f>
        <v/>
      </c>
      <c r="H655" s="13"/>
      <c r="I655" s="13"/>
      <c r="J655" s="13"/>
      <c r="K655" s="25"/>
      <c r="L655" s="25"/>
      <c r="M655" s="25"/>
      <c r="N655" s="25"/>
      <c r="O655" s="26"/>
      <c r="P655" s="16" t="str">
        <f aca="false">IF(O655="","",IFERROR(1/(1/(IF(K655="",INDEX(CONFIG!$F$5:$F$14,MATCH(D655,CONFIG!$D$5:$D$14,0)),K655)*IF(M655="",INDEX(CONFIG!$H$5:$H$14,MATCH(D655,CONFIG!$D$5:$D$14,0)),M655))),""))</f>
        <v/>
      </c>
      <c r="Q655" s="16" t="str">
        <f aca="false">IF(OR(O655="",P655=""),"",O655/P655)</f>
        <v/>
      </c>
      <c r="R655" s="16" t="str">
        <f aca="false">IF(Q655="","",Q655*0.0980665)</f>
        <v/>
      </c>
      <c r="S655" s="16" t="str">
        <f aca="false">IF(Q655="","",IFERROR(Q655/(1/(1/INDEX(CONFIG!$I$5:$I$14,MATCH(D655,CONFIG!$D$5:$D$14,0)))),""))</f>
        <v/>
      </c>
      <c r="T655" s="13"/>
      <c r="U655" s="13"/>
      <c r="V655" s="13"/>
      <c r="W655" s="13"/>
      <c r="X655" s="22" t="str">
        <f aca="false">IF(Q655="","",Q655^2)</f>
        <v/>
      </c>
      <c r="Y655" s="22" t="str">
        <f aca="false">IF(AND(C655&lt;&gt;"",C655=CERTIFICADO!$E$4,OR(CERTIFICADO!$E$5="",B655=CERTIFICADO!$E$5)),MAX($Y$4:Y654)+1,"")</f>
        <v/>
      </c>
    </row>
    <row r="656" customFormat="false" ht="15" hidden="false" customHeight="false" outlineLevel="0" collapsed="false">
      <c r="A656" s="11" t="str">
        <f aca="false">IF(C656="","",ROW()-4)</f>
        <v/>
      </c>
      <c r="B656" s="12"/>
      <c r="C656" s="13"/>
      <c r="D656" s="23" t="str">
        <f aca="false">IF(C656="","",IFERROR(INDEX(LOTES!$D$5:$D$1004,MATCH(C656,LOTES!$F$5:$F$1004,0)),"¿Lote?"))</f>
        <v/>
      </c>
      <c r="E656" s="11" t="str">
        <f aca="false">IF(C656="","",IFERROR(INDEX(LOTES!$C$5:$C$1004,MATCH(C656,LOTES!$F$5:$F$1004,0)),""))</f>
        <v/>
      </c>
      <c r="F656" s="24" t="str">
        <f aca="false">IF(C656="","",IFERROR(INDEX(LOTES!$B$5:$B$1004,MATCH(C656,LOTES!$F$5:$F$1004,0)),""))</f>
        <v/>
      </c>
      <c r="G656" s="15" t="str">
        <f aca="false">IF(OR(B656="",F656=""),"",B656-F656)</f>
        <v/>
      </c>
      <c r="H656" s="13"/>
      <c r="I656" s="13"/>
      <c r="J656" s="13"/>
      <c r="K656" s="25"/>
      <c r="L656" s="25"/>
      <c r="M656" s="25"/>
      <c r="N656" s="25"/>
      <c r="O656" s="26"/>
      <c r="P656" s="16" t="str">
        <f aca="false">IF(O656="","",IFERROR(1/(1/(IF(K656="",INDEX(CONFIG!$F$5:$F$14,MATCH(D656,CONFIG!$D$5:$D$14,0)),K656)*IF(M656="",INDEX(CONFIG!$H$5:$H$14,MATCH(D656,CONFIG!$D$5:$D$14,0)),M656))),""))</f>
        <v/>
      </c>
      <c r="Q656" s="16" t="str">
        <f aca="false">IF(OR(O656="",P656=""),"",O656/P656)</f>
        <v/>
      </c>
      <c r="R656" s="16" t="str">
        <f aca="false">IF(Q656="","",Q656*0.0980665)</f>
        <v/>
      </c>
      <c r="S656" s="16" t="str">
        <f aca="false">IF(Q656="","",IFERROR(Q656/(1/(1/INDEX(CONFIG!$I$5:$I$14,MATCH(D656,CONFIG!$D$5:$D$14,0)))),""))</f>
        <v/>
      </c>
      <c r="T656" s="13"/>
      <c r="U656" s="13"/>
      <c r="V656" s="13"/>
      <c r="W656" s="13"/>
      <c r="X656" s="22" t="str">
        <f aca="false">IF(Q656="","",Q656^2)</f>
        <v/>
      </c>
      <c r="Y656" s="22" t="str">
        <f aca="false">IF(AND(C656&lt;&gt;"",C656=CERTIFICADO!$E$4,OR(CERTIFICADO!$E$5="",B656=CERTIFICADO!$E$5)),MAX($Y$4:Y655)+1,"")</f>
        <v/>
      </c>
    </row>
    <row r="657" customFormat="false" ht="15" hidden="false" customHeight="false" outlineLevel="0" collapsed="false">
      <c r="A657" s="11" t="str">
        <f aca="false">IF(C657="","",ROW()-4)</f>
        <v/>
      </c>
      <c r="B657" s="12"/>
      <c r="C657" s="13"/>
      <c r="D657" s="23" t="str">
        <f aca="false">IF(C657="","",IFERROR(INDEX(LOTES!$D$5:$D$1004,MATCH(C657,LOTES!$F$5:$F$1004,0)),"¿Lote?"))</f>
        <v/>
      </c>
      <c r="E657" s="11" t="str">
        <f aca="false">IF(C657="","",IFERROR(INDEX(LOTES!$C$5:$C$1004,MATCH(C657,LOTES!$F$5:$F$1004,0)),""))</f>
        <v/>
      </c>
      <c r="F657" s="24" t="str">
        <f aca="false">IF(C657="","",IFERROR(INDEX(LOTES!$B$5:$B$1004,MATCH(C657,LOTES!$F$5:$F$1004,0)),""))</f>
        <v/>
      </c>
      <c r="G657" s="15" t="str">
        <f aca="false">IF(OR(B657="",F657=""),"",B657-F657)</f>
        <v/>
      </c>
      <c r="H657" s="13"/>
      <c r="I657" s="13"/>
      <c r="J657" s="13"/>
      <c r="K657" s="25"/>
      <c r="L657" s="25"/>
      <c r="M657" s="25"/>
      <c r="N657" s="25"/>
      <c r="O657" s="26"/>
      <c r="P657" s="16" t="str">
        <f aca="false">IF(O657="","",IFERROR(1/(1/(IF(K657="",INDEX(CONFIG!$F$5:$F$14,MATCH(D657,CONFIG!$D$5:$D$14,0)),K657)*IF(M657="",INDEX(CONFIG!$H$5:$H$14,MATCH(D657,CONFIG!$D$5:$D$14,0)),M657))),""))</f>
        <v/>
      </c>
      <c r="Q657" s="16" t="str">
        <f aca="false">IF(OR(O657="",P657=""),"",O657/P657)</f>
        <v/>
      </c>
      <c r="R657" s="16" t="str">
        <f aca="false">IF(Q657="","",Q657*0.0980665)</f>
        <v/>
      </c>
      <c r="S657" s="16" t="str">
        <f aca="false">IF(Q657="","",IFERROR(Q657/(1/(1/INDEX(CONFIG!$I$5:$I$14,MATCH(D657,CONFIG!$D$5:$D$14,0)))),""))</f>
        <v/>
      </c>
      <c r="T657" s="13"/>
      <c r="U657" s="13"/>
      <c r="V657" s="13"/>
      <c r="W657" s="13"/>
      <c r="X657" s="22" t="str">
        <f aca="false">IF(Q657="","",Q657^2)</f>
        <v/>
      </c>
      <c r="Y657" s="22" t="str">
        <f aca="false">IF(AND(C657&lt;&gt;"",C657=CERTIFICADO!$E$4,OR(CERTIFICADO!$E$5="",B657=CERTIFICADO!$E$5)),MAX($Y$4:Y656)+1,"")</f>
        <v/>
      </c>
    </row>
    <row r="658" customFormat="false" ht="15" hidden="false" customHeight="false" outlineLevel="0" collapsed="false">
      <c r="A658" s="11" t="str">
        <f aca="false">IF(C658="","",ROW()-4)</f>
        <v/>
      </c>
      <c r="B658" s="12"/>
      <c r="C658" s="13"/>
      <c r="D658" s="23" t="str">
        <f aca="false">IF(C658="","",IFERROR(INDEX(LOTES!$D$5:$D$1004,MATCH(C658,LOTES!$F$5:$F$1004,0)),"¿Lote?"))</f>
        <v/>
      </c>
      <c r="E658" s="11" t="str">
        <f aca="false">IF(C658="","",IFERROR(INDEX(LOTES!$C$5:$C$1004,MATCH(C658,LOTES!$F$5:$F$1004,0)),""))</f>
        <v/>
      </c>
      <c r="F658" s="24" t="str">
        <f aca="false">IF(C658="","",IFERROR(INDEX(LOTES!$B$5:$B$1004,MATCH(C658,LOTES!$F$5:$F$1004,0)),""))</f>
        <v/>
      </c>
      <c r="G658" s="15" t="str">
        <f aca="false">IF(OR(B658="",F658=""),"",B658-F658)</f>
        <v/>
      </c>
      <c r="H658" s="13"/>
      <c r="I658" s="13"/>
      <c r="J658" s="13"/>
      <c r="K658" s="25"/>
      <c r="L658" s="25"/>
      <c r="M658" s="25"/>
      <c r="N658" s="25"/>
      <c r="O658" s="26"/>
      <c r="P658" s="16" t="str">
        <f aca="false">IF(O658="","",IFERROR(1/(1/(IF(K658="",INDEX(CONFIG!$F$5:$F$14,MATCH(D658,CONFIG!$D$5:$D$14,0)),K658)*IF(M658="",INDEX(CONFIG!$H$5:$H$14,MATCH(D658,CONFIG!$D$5:$D$14,0)),M658))),""))</f>
        <v/>
      </c>
      <c r="Q658" s="16" t="str">
        <f aca="false">IF(OR(O658="",P658=""),"",O658/P658)</f>
        <v/>
      </c>
      <c r="R658" s="16" t="str">
        <f aca="false">IF(Q658="","",Q658*0.0980665)</f>
        <v/>
      </c>
      <c r="S658" s="16" t="str">
        <f aca="false">IF(Q658="","",IFERROR(Q658/(1/(1/INDEX(CONFIG!$I$5:$I$14,MATCH(D658,CONFIG!$D$5:$D$14,0)))),""))</f>
        <v/>
      </c>
      <c r="T658" s="13"/>
      <c r="U658" s="13"/>
      <c r="V658" s="13"/>
      <c r="W658" s="13"/>
      <c r="X658" s="22" t="str">
        <f aca="false">IF(Q658="","",Q658^2)</f>
        <v/>
      </c>
      <c r="Y658" s="22" t="str">
        <f aca="false">IF(AND(C658&lt;&gt;"",C658=CERTIFICADO!$E$4,OR(CERTIFICADO!$E$5="",B658=CERTIFICADO!$E$5)),MAX($Y$4:Y657)+1,"")</f>
        <v/>
      </c>
    </row>
    <row r="659" customFormat="false" ht="15" hidden="false" customHeight="false" outlineLevel="0" collapsed="false">
      <c r="A659" s="11" t="str">
        <f aca="false">IF(C659="","",ROW()-4)</f>
        <v/>
      </c>
      <c r="B659" s="12"/>
      <c r="C659" s="13"/>
      <c r="D659" s="23" t="str">
        <f aca="false">IF(C659="","",IFERROR(INDEX(LOTES!$D$5:$D$1004,MATCH(C659,LOTES!$F$5:$F$1004,0)),"¿Lote?"))</f>
        <v/>
      </c>
      <c r="E659" s="11" t="str">
        <f aca="false">IF(C659="","",IFERROR(INDEX(LOTES!$C$5:$C$1004,MATCH(C659,LOTES!$F$5:$F$1004,0)),""))</f>
        <v/>
      </c>
      <c r="F659" s="24" t="str">
        <f aca="false">IF(C659="","",IFERROR(INDEX(LOTES!$B$5:$B$1004,MATCH(C659,LOTES!$F$5:$F$1004,0)),""))</f>
        <v/>
      </c>
      <c r="G659" s="15" t="str">
        <f aca="false">IF(OR(B659="",F659=""),"",B659-F659)</f>
        <v/>
      </c>
      <c r="H659" s="13"/>
      <c r="I659" s="13"/>
      <c r="J659" s="13"/>
      <c r="K659" s="25"/>
      <c r="L659" s="25"/>
      <c r="M659" s="25"/>
      <c r="N659" s="25"/>
      <c r="O659" s="26"/>
      <c r="P659" s="16" t="str">
        <f aca="false">IF(O659="","",IFERROR(1/(1/(IF(K659="",INDEX(CONFIG!$F$5:$F$14,MATCH(D659,CONFIG!$D$5:$D$14,0)),K659)*IF(M659="",INDEX(CONFIG!$H$5:$H$14,MATCH(D659,CONFIG!$D$5:$D$14,0)),M659))),""))</f>
        <v/>
      </c>
      <c r="Q659" s="16" t="str">
        <f aca="false">IF(OR(O659="",P659=""),"",O659/P659)</f>
        <v/>
      </c>
      <c r="R659" s="16" t="str">
        <f aca="false">IF(Q659="","",Q659*0.0980665)</f>
        <v/>
      </c>
      <c r="S659" s="16" t="str">
        <f aca="false">IF(Q659="","",IFERROR(Q659/(1/(1/INDEX(CONFIG!$I$5:$I$14,MATCH(D659,CONFIG!$D$5:$D$14,0)))),""))</f>
        <v/>
      </c>
      <c r="T659" s="13"/>
      <c r="U659" s="13"/>
      <c r="V659" s="13"/>
      <c r="W659" s="13"/>
      <c r="X659" s="22" t="str">
        <f aca="false">IF(Q659="","",Q659^2)</f>
        <v/>
      </c>
      <c r="Y659" s="22" t="str">
        <f aca="false">IF(AND(C659&lt;&gt;"",C659=CERTIFICADO!$E$4,OR(CERTIFICADO!$E$5="",B659=CERTIFICADO!$E$5)),MAX($Y$4:Y658)+1,"")</f>
        <v/>
      </c>
    </row>
    <row r="660" customFormat="false" ht="15" hidden="false" customHeight="false" outlineLevel="0" collapsed="false">
      <c r="A660" s="11" t="str">
        <f aca="false">IF(C660="","",ROW()-4)</f>
        <v/>
      </c>
      <c r="B660" s="12"/>
      <c r="C660" s="13"/>
      <c r="D660" s="23" t="str">
        <f aca="false">IF(C660="","",IFERROR(INDEX(LOTES!$D$5:$D$1004,MATCH(C660,LOTES!$F$5:$F$1004,0)),"¿Lote?"))</f>
        <v/>
      </c>
      <c r="E660" s="11" t="str">
        <f aca="false">IF(C660="","",IFERROR(INDEX(LOTES!$C$5:$C$1004,MATCH(C660,LOTES!$F$5:$F$1004,0)),""))</f>
        <v/>
      </c>
      <c r="F660" s="24" t="str">
        <f aca="false">IF(C660="","",IFERROR(INDEX(LOTES!$B$5:$B$1004,MATCH(C660,LOTES!$F$5:$F$1004,0)),""))</f>
        <v/>
      </c>
      <c r="G660" s="15" t="str">
        <f aca="false">IF(OR(B660="",F660=""),"",B660-F660)</f>
        <v/>
      </c>
      <c r="H660" s="13"/>
      <c r="I660" s="13"/>
      <c r="J660" s="13"/>
      <c r="K660" s="25"/>
      <c r="L660" s="25"/>
      <c r="M660" s="25"/>
      <c r="N660" s="25"/>
      <c r="O660" s="26"/>
      <c r="P660" s="16" t="str">
        <f aca="false">IF(O660="","",IFERROR(1/(1/(IF(K660="",INDEX(CONFIG!$F$5:$F$14,MATCH(D660,CONFIG!$D$5:$D$14,0)),K660)*IF(M660="",INDEX(CONFIG!$H$5:$H$14,MATCH(D660,CONFIG!$D$5:$D$14,0)),M660))),""))</f>
        <v/>
      </c>
      <c r="Q660" s="16" t="str">
        <f aca="false">IF(OR(O660="",P660=""),"",O660/P660)</f>
        <v/>
      </c>
      <c r="R660" s="16" t="str">
        <f aca="false">IF(Q660="","",Q660*0.0980665)</f>
        <v/>
      </c>
      <c r="S660" s="16" t="str">
        <f aca="false">IF(Q660="","",IFERROR(Q660/(1/(1/INDEX(CONFIG!$I$5:$I$14,MATCH(D660,CONFIG!$D$5:$D$14,0)))),""))</f>
        <v/>
      </c>
      <c r="T660" s="13"/>
      <c r="U660" s="13"/>
      <c r="V660" s="13"/>
      <c r="W660" s="13"/>
      <c r="X660" s="22" t="str">
        <f aca="false">IF(Q660="","",Q660^2)</f>
        <v/>
      </c>
      <c r="Y660" s="22" t="str">
        <f aca="false">IF(AND(C660&lt;&gt;"",C660=CERTIFICADO!$E$4,OR(CERTIFICADO!$E$5="",B660=CERTIFICADO!$E$5)),MAX($Y$4:Y659)+1,"")</f>
        <v/>
      </c>
    </row>
    <row r="661" customFormat="false" ht="15" hidden="false" customHeight="false" outlineLevel="0" collapsed="false">
      <c r="A661" s="11" t="str">
        <f aca="false">IF(C661="","",ROW()-4)</f>
        <v/>
      </c>
      <c r="B661" s="12"/>
      <c r="C661" s="13"/>
      <c r="D661" s="23" t="str">
        <f aca="false">IF(C661="","",IFERROR(INDEX(LOTES!$D$5:$D$1004,MATCH(C661,LOTES!$F$5:$F$1004,0)),"¿Lote?"))</f>
        <v/>
      </c>
      <c r="E661" s="11" t="str">
        <f aca="false">IF(C661="","",IFERROR(INDEX(LOTES!$C$5:$C$1004,MATCH(C661,LOTES!$F$5:$F$1004,0)),""))</f>
        <v/>
      </c>
      <c r="F661" s="24" t="str">
        <f aca="false">IF(C661="","",IFERROR(INDEX(LOTES!$B$5:$B$1004,MATCH(C661,LOTES!$F$5:$F$1004,0)),""))</f>
        <v/>
      </c>
      <c r="G661" s="15" t="str">
        <f aca="false">IF(OR(B661="",F661=""),"",B661-F661)</f>
        <v/>
      </c>
      <c r="H661" s="13"/>
      <c r="I661" s="13"/>
      <c r="J661" s="13"/>
      <c r="K661" s="25"/>
      <c r="L661" s="25"/>
      <c r="M661" s="25"/>
      <c r="N661" s="25"/>
      <c r="O661" s="26"/>
      <c r="P661" s="16" t="str">
        <f aca="false">IF(O661="","",IFERROR(1/(1/(IF(K661="",INDEX(CONFIG!$F$5:$F$14,MATCH(D661,CONFIG!$D$5:$D$14,0)),K661)*IF(M661="",INDEX(CONFIG!$H$5:$H$14,MATCH(D661,CONFIG!$D$5:$D$14,0)),M661))),""))</f>
        <v/>
      </c>
      <c r="Q661" s="16" t="str">
        <f aca="false">IF(OR(O661="",P661=""),"",O661/P661)</f>
        <v/>
      </c>
      <c r="R661" s="16" t="str">
        <f aca="false">IF(Q661="","",Q661*0.0980665)</f>
        <v/>
      </c>
      <c r="S661" s="16" t="str">
        <f aca="false">IF(Q661="","",IFERROR(Q661/(1/(1/INDEX(CONFIG!$I$5:$I$14,MATCH(D661,CONFIG!$D$5:$D$14,0)))),""))</f>
        <v/>
      </c>
      <c r="T661" s="13"/>
      <c r="U661" s="13"/>
      <c r="V661" s="13"/>
      <c r="W661" s="13"/>
      <c r="X661" s="22" t="str">
        <f aca="false">IF(Q661="","",Q661^2)</f>
        <v/>
      </c>
      <c r="Y661" s="22" t="str">
        <f aca="false">IF(AND(C661&lt;&gt;"",C661=CERTIFICADO!$E$4,OR(CERTIFICADO!$E$5="",B661=CERTIFICADO!$E$5)),MAX($Y$4:Y660)+1,"")</f>
        <v/>
      </c>
    </row>
    <row r="662" customFormat="false" ht="15" hidden="false" customHeight="false" outlineLevel="0" collapsed="false">
      <c r="A662" s="11" t="str">
        <f aca="false">IF(C662="","",ROW()-4)</f>
        <v/>
      </c>
      <c r="B662" s="12"/>
      <c r="C662" s="13"/>
      <c r="D662" s="23" t="str">
        <f aca="false">IF(C662="","",IFERROR(INDEX(LOTES!$D$5:$D$1004,MATCH(C662,LOTES!$F$5:$F$1004,0)),"¿Lote?"))</f>
        <v/>
      </c>
      <c r="E662" s="11" t="str">
        <f aca="false">IF(C662="","",IFERROR(INDEX(LOTES!$C$5:$C$1004,MATCH(C662,LOTES!$F$5:$F$1004,0)),""))</f>
        <v/>
      </c>
      <c r="F662" s="24" t="str">
        <f aca="false">IF(C662="","",IFERROR(INDEX(LOTES!$B$5:$B$1004,MATCH(C662,LOTES!$F$5:$F$1004,0)),""))</f>
        <v/>
      </c>
      <c r="G662" s="15" t="str">
        <f aca="false">IF(OR(B662="",F662=""),"",B662-F662)</f>
        <v/>
      </c>
      <c r="H662" s="13"/>
      <c r="I662" s="13"/>
      <c r="J662" s="13"/>
      <c r="K662" s="25"/>
      <c r="L662" s="25"/>
      <c r="M662" s="25"/>
      <c r="N662" s="25"/>
      <c r="O662" s="26"/>
      <c r="P662" s="16" t="str">
        <f aca="false">IF(O662="","",IFERROR(1/(1/(IF(K662="",INDEX(CONFIG!$F$5:$F$14,MATCH(D662,CONFIG!$D$5:$D$14,0)),K662)*IF(M662="",INDEX(CONFIG!$H$5:$H$14,MATCH(D662,CONFIG!$D$5:$D$14,0)),M662))),""))</f>
        <v/>
      </c>
      <c r="Q662" s="16" t="str">
        <f aca="false">IF(OR(O662="",P662=""),"",O662/P662)</f>
        <v/>
      </c>
      <c r="R662" s="16" t="str">
        <f aca="false">IF(Q662="","",Q662*0.0980665)</f>
        <v/>
      </c>
      <c r="S662" s="16" t="str">
        <f aca="false">IF(Q662="","",IFERROR(Q662/(1/(1/INDEX(CONFIG!$I$5:$I$14,MATCH(D662,CONFIG!$D$5:$D$14,0)))),""))</f>
        <v/>
      </c>
      <c r="T662" s="13"/>
      <c r="U662" s="13"/>
      <c r="V662" s="13"/>
      <c r="W662" s="13"/>
      <c r="X662" s="22" t="str">
        <f aca="false">IF(Q662="","",Q662^2)</f>
        <v/>
      </c>
      <c r="Y662" s="22" t="str">
        <f aca="false">IF(AND(C662&lt;&gt;"",C662=CERTIFICADO!$E$4,OR(CERTIFICADO!$E$5="",B662=CERTIFICADO!$E$5)),MAX($Y$4:Y661)+1,"")</f>
        <v/>
      </c>
    </row>
    <row r="663" customFormat="false" ht="15" hidden="false" customHeight="false" outlineLevel="0" collapsed="false">
      <c r="A663" s="11" t="str">
        <f aca="false">IF(C663="","",ROW()-4)</f>
        <v/>
      </c>
      <c r="B663" s="12"/>
      <c r="C663" s="13"/>
      <c r="D663" s="23" t="str">
        <f aca="false">IF(C663="","",IFERROR(INDEX(LOTES!$D$5:$D$1004,MATCH(C663,LOTES!$F$5:$F$1004,0)),"¿Lote?"))</f>
        <v/>
      </c>
      <c r="E663" s="11" t="str">
        <f aca="false">IF(C663="","",IFERROR(INDEX(LOTES!$C$5:$C$1004,MATCH(C663,LOTES!$F$5:$F$1004,0)),""))</f>
        <v/>
      </c>
      <c r="F663" s="24" t="str">
        <f aca="false">IF(C663="","",IFERROR(INDEX(LOTES!$B$5:$B$1004,MATCH(C663,LOTES!$F$5:$F$1004,0)),""))</f>
        <v/>
      </c>
      <c r="G663" s="15" t="str">
        <f aca="false">IF(OR(B663="",F663=""),"",B663-F663)</f>
        <v/>
      </c>
      <c r="H663" s="13"/>
      <c r="I663" s="13"/>
      <c r="J663" s="13"/>
      <c r="K663" s="25"/>
      <c r="L663" s="25"/>
      <c r="M663" s="25"/>
      <c r="N663" s="25"/>
      <c r="O663" s="26"/>
      <c r="P663" s="16" t="str">
        <f aca="false">IF(O663="","",IFERROR(1/(1/(IF(K663="",INDEX(CONFIG!$F$5:$F$14,MATCH(D663,CONFIG!$D$5:$D$14,0)),K663)*IF(M663="",INDEX(CONFIG!$H$5:$H$14,MATCH(D663,CONFIG!$D$5:$D$14,0)),M663))),""))</f>
        <v/>
      </c>
      <c r="Q663" s="16" t="str">
        <f aca="false">IF(OR(O663="",P663=""),"",O663/P663)</f>
        <v/>
      </c>
      <c r="R663" s="16" t="str">
        <f aca="false">IF(Q663="","",Q663*0.0980665)</f>
        <v/>
      </c>
      <c r="S663" s="16" t="str">
        <f aca="false">IF(Q663="","",IFERROR(Q663/(1/(1/INDEX(CONFIG!$I$5:$I$14,MATCH(D663,CONFIG!$D$5:$D$14,0)))),""))</f>
        <v/>
      </c>
      <c r="T663" s="13"/>
      <c r="U663" s="13"/>
      <c r="V663" s="13"/>
      <c r="W663" s="13"/>
      <c r="X663" s="22" t="str">
        <f aca="false">IF(Q663="","",Q663^2)</f>
        <v/>
      </c>
      <c r="Y663" s="22" t="str">
        <f aca="false">IF(AND(C663&lt;&gt;"",C663=CERTIFICADO!$E$4,OR(CERTIFICADO!$E$5="",B663=CERTIFICADO!$E$5)),MAX($Y$4:Y662)+1,"")</f>
        <v/>
      </c>
    </row>
    <row r="664" customFormat="false" ht="15" hidden="false" customHeight="false" outlineLevel="0" collapsed="false">
      <c r="A664" s="11" t="str">
        <f aca="false">IF(C664="","",ROW()-4)</f>
        <v/>
      </c>
      <c r="B664" s="12"/>
      <c r="C664" s="13"/>
      <c r="D664" s="23" t="str">
        <f aca="false">IF(C664="","",IFERROR(INDEX(LOTES!$D$5:$D$1004,MATCH(C664,LOTES!$F$5:$F$1004,0)),"¿Lote?"))</f>
        <v/>
      </c>
      <c r="E664" s="11" t="str">
        <f aca="false">IF(C664="","",IFERROR(INDEX(LOTES!$C$5:$C$1004,MATCH(C664,LOTES!$F$5:$F$1004,0)),""))</f>
        <v/>
      </c>
      <c r="F664" s="24" t="str">
        <f aca="false">IF(C664="","",IFERROR(INDEX(LOTES!$B$5:$B$1004,MATCH(C664,LOTES!$F$5:$F$1004,0)),""))</f>
        <v/>
      </c>
      <c r="G664" s="15" t="str">
        <f aca="false">IF(OR(B664="",F664=""),"",B664-F664)</f>
        <v/>
      </c>
      <c r="H664" s="13"/>
      <c r="I664" s="13"/>
      <c r="J664" s="13"/>
      <c r="K664" s="25"/>
      <c r="L664" s="25"/>
      <c r="M664" s="25"/>
      <c r="N664" s="25"/>
      <c r="O664" s="26"/>
      <c r="P664" s="16" t="str">
        <f aca="false">IF(O664="","",IFERROR(1/(1/(IF(K664="",INDEX(CONFIG!$F$5:$F$14,MATCH(D664,CONFIG!$D$5:$D$14,0)),K664)*IF(M664="",INDEX(CONFIG!$H$5:$H$14,MATCH(D664,CONFIG!$D$5:$D$14,0)),M664))),""))</f>
        <v/>
      </c>
      <c r="Q664" s="16" t="str">
        <f aca="false">IF(OR(O664="",P664=""),"",O664/P664)</f>
        <v/>
      </c>
      <c r="R664" s="16" t="str">
        <f aca="false">IF(Q664="","",Q664*0.0980665)</f>
        <v/>
      </c>
      <c r="S664" s="16" t="str">
        <f aca="false">IF(Q664="","",IFERROR(Q664/(1/(1/INDEX(CONFIG!$I$5:$I$14,MATCH(D664,CONFIG!$D$5:$D$14,0)))),""))</f>
        <v/>
      </c>
      <c r="T664" s="13"/>
      <c r="U664" s="13"/>
      <c r="V664" s="13"/>
      <c r="W664" s="13"/>
      <c r="X664" s="22" t="str">
        <f aca="false">IF(Q664="","",Q664^2)</f>
        <v/>
      </c>
      <c r="Y664" s="22" t="str">
        <f aca="false">IF(AND(C664&lt;&gt;"",C664=CERTIFICADO!$E$4,OR(CERTIFICADO!$E$5="",B664=CERTIFICADO!$E$5)),MAX($Y$4:Y663)+1,"")</f>
        <v/>
      </c>
    </row>
    <row r="665" customFormat="false" ht="15" hidden="false" customHeight="false" outlineLevel="0" collapsed="false">
      <c r="A665" s="11" t="str">
        <f aca="false">IF(C665="","",ROW()-4)</f>
        <v/>
      </c>
      <c r="B665" s="12"/>
      <c r="C665" s="13"/>
      <c r="D665" s="23" t="str">
        <f aca="false">IF(C665="","",IFERROR(INDEX(LOTES!$D$5:$D$1004,MATCH(C665,LOTES!$F$5:$F$1004,0)),"¿Lote?"))</f>
        <v/>
      </c>
      <c r="E665" s="11" t="str">
        <f aca="false">IF(C665="","",IFERROR(INDEX(LOTES!$C$5:$C$1004,MATCH(C665,LOTES!$F$5:$F$1004,0)),""))</f>
        <v/>
      </c>
      <c r="F665" s="24" t="str">
        <f aca="false">IF(C665="","",IFERROR(INDEX(LOTES!$B$5:$B$1004,MATCH(C665,LOTES!$F$5:$F$1004,0)),""))</f>
        <v/>
      </c>
      <c r="G665" s="15" t="str">
        <f aca="false">IF(OR(B665="",F665=""),"",B665-F665)</f>
        <v/>
      </c>
      <c r="H665" s="13"/>
      <c r="I665" s="13"/>
      <c r="J665" s="13"/>
      <c r="K665" s="25"/>
      <c r="L665" s="25"/>
      <c r="M665" s="25"/>
      <c r="N665" s="25"/>
      <c r="O665" s="26"/>
      <c r="P665" s="16" t="str">
        <f aca="false">IF(O665="","",IFERROR(1/(1/(IF(K665="",INDEX(CONFIG!$F$5:$F$14,MATCH(D665,CONFIG!$D$5:$D$14,0)),K665)*IF(M665="",INDEX(CONFIG!$H$5:$H$14,MATCH(D665,CONFIG!$D$5:$D$14,0)),M665))),""))</f>
        <v/>
      </c>
      <c r="Q665" s="16" t="str">
        <f aca="false">IF(OR(O665="",P665=""),"",O665/P665)</f>
        <v/>
      </c>
      <c r="R665" s="16" t="str">
        <f aca="false">IF(Q665="","",Q665*0.0980665)</f>
        <v/>
      </c>
      <c r="S665" s="16" t="str">
        <f aca="false">IF(Q665="","",IFERROR(Q665/(1/(1/INDEX(CONFIG!$I$5:$I$14,MATCH(D665,CONFIG!$D$5:$D$14,0)))),""))</f>
        <v/>
      </c>
      <c r="T665" s="13"/>
      <c r="U665" s="13"/>
      <c r="V665" s="13"/>
      <c r="W665" s="13"/>
      <c r="X665" s="22" t="str">
        <f aca="false">IF(Q665="","",Q665^2)</f>
        <v/>
      </c>
      <c r="Y665" s="22" t="str">
        <f aca="false">IF(AND(C665&lt;&gt;"",C665=CERTIFICADO!$E$4,OR(CERTIFICADO!$E$5="",B665=CERTIFICADO!$E$5)),MAX($Y$4:Y664)+1,"")</f>
        <v/>
      </c>
    </row>
    <row r="666" customFormat="false" ht="15" hidden="false" customHeight="false" outlineLevel="0" collapsed="false">
      <c r="A666" s="11" t="str">
        <f aca="false">IF(C666="","",ROW()-4)</f>
        <v/>
      </c>
      <c r="B666" s="12"/>
      <c r="C666" s="13"/>
      <c r="D666" s="23" t="str">
        <f aca="false">IF(C666="","",IFERROR(INDEX(LOTES!$D$5:$D$1004,MATCH(C666,LOTES!$F$5:$F$1004,0)),"¿Lote?"))</f>
        <v/>
      </c>
      <c r="E666" s="11" t="str">
        <f aca="false">IF(C666="","",IFERROR(INDEX(LOTES!$C$5:$C$1004,MATCH(C666,LOTES!$F$5:$F$1004,0)),""))</f>
        <v/>
      </c>
      <c r="F666" s="24" t="str">
        <f aca="false">IF(C666="","",IFERROR(INDEX(LOTES!$B$5:$B$1004,MATCH(C666,LOTES!$F$5:$F$1004,0)),""))</f>
        <v/>
      </c>
      <c r="G666" s="15" t="str">
        <f aca="false">IF(OR(B666="",F666=""),"",B666-F666)</f>
        <v/>
      </c>
      <c r="H666" s="13"/>
      <c r="I666" s="13"/>
      <c r="J666" s="13"/>
      <c r="K666" s="25"/>
      <c r="L666" s="25"/>
      <c r="M666" s="25"/>
      <c r="N666" s="25"/>
      <c r="O666" s="26"/>
      <c r="P666" s="16" t="str">
        <f aca="false">IF(O666="","",IFERROR(1/(1/(IF(K666="",INDEX(CONFIG!$F$5:$F$14,MATCH(D666,CONFIG!$D$5:$D$14,0)),K666)*IF(M666="",INDEX(CONFIG!$H$5:$H$14,MATCH(D666,CONFIG!$D$5:$D$14,0)),M666))),""))</f>
        <v/>
      </c>
      <c r="Q666" s="16" t="str">
        <f aca="false">IF(OR(O666="",P666=""),"",O666/P666)</f>
        <v/>
      </c>
      <c r="R666" s="16" t="str">
        <f aca="false">IF(Q666="","",Q666*0.0980665)</f>
        <v/>
      </c>
      <c r="S666" s="16" t="str">
        <f aca="false">IF(Q666="","",IFERROR(Q666/(1/(1/INDEX(CONFIG!$I$5:$I$14,MATCH(D666,CONFIG!$D$5:$D$14,0)))),""))</f>
        <v/>
      </c>
      <c r="T666" s="13"/>
      <c r="U666" s="13"/>
      <c r="V666" s="13"/>
      <c r="W666" s="13"/>
      <c r="X666" s="22" t="str">
        <f aca="false">IF(Q666="","",Q666^2)</f>
        <v/>
      </c>
      <c r="Y666" s="22" t="str">
        <f aca="false">IF(AND(C666&lt;&gt;"",C666=CERTIFICADO!$E$4,OR(CERTIFICADO!$E$5="",B666=CERTIFICADO!$E$5)),MAX($Y$4:Y665)+1,"")</f>
        <v/>
      </c>
    </row>
    <row r="667" customFormat="false" ht="15" hidden="false" customHeight="false" outlineLevel="0" collapsed="false">
      <c r="A667" s="11" t="str">
        <f aca="false">IF(C667="","",ROW()-4)</f>
        <v/>
      </c>
      <c r="B667" s="12"/>
      <c r="C667" s="13"/>
      <c r="D667" s="23" t="str">
        <f aca="false">IF(C667="","",IFERROR(INDEX(LOTES!$D$5:$D$1004,MATCH(C667,LOTES!$F$5:$F$1004,0)),"¿Lote?"))</f>
        <v/>
      </c>
      <c r="E667" s="11" t="str">
        <f aca="false">IF(C667="","",IFERROR(INDEX(LOTES!$C$5:$C$1004,MATCH(C667,LOTES!$F$5:$F$1004,0)),""))</f>
        <v/>
      </c>
      <c r="F667" s="24" t="str">
        <f aca="false">IF(C667="","",IFERROR(INDEX(LOTES!$B$5:$B$1004,MATCH(C667,LOTES!$F$5:$F$1004,0)),""))</f>
        <v/>
      </c>
      <c r="G667" s="15" t="str">
        <f aca="false">IF(OR(B667="",F667=""),"",B667-F667)</f>
        <v/>
      </c>
      <c r="H667" s="13"/>
      <c r="I667" s="13"/>
      <c r="J667" s="13"/>
      <c r="K667" s="25"/>
      <c r="L667" s="25"/>
      <c r="M667" s="25"/>
      <c r="N667" s="25"/>
      <c r="O667" s="26"/>
      <c r="P667" s="16" t="str">
        <f aca="false">IF(O667="","",IFERROR(1/(1/(IF(K667="",INDEX(CONFIG!$F$5:$F$14,MATCH(D667,CONFIG!$D$5:$D$14,0)),K667)*IF(M667="",INDEX(CONFIG!$H$5:$H$14,MATCH(D667,CONFIG!$D$5:$D$14,0)),M667))),""))</f>
        <v/>
      </c>
      <c r="Q667" s="16" t="str">
        <f aca="false">IF(OR(O667="",P667=""),"",O667/P667)</f>
        <v/>
      </c>
      <c r="R667" s="16" t="str">
        <f aca="false">IF(Q667="","",Q667*0.0980665)</f>
        <v/>
      </c>
      <c r="S667" s="16" t="str">
        <f aca="false">IF(Q667="","",IFERROR(Q667/(1/(1/INDEX(CONFIG!$I$5:$I$14,MATCH(D667,CONFIG!$D$5:$D$14,0)))),""))</f>
        <v/>
      </c>
      <c r="T667" s="13"/>
      <c r="U667" s="13"/>
      <c r="V667" s="13"/>
      <c r="W667" s="13"/>
      <c r="X667" s="22" t="str">
        <f aca="false">IF(Q667="","",Q667^2)</f>
        <v/>
      </c>
      <c r="Y667" s="22" t="str">
        <f aca="false">IF(AND(C667&lt;&gt;"",C667=CERTIFICADO!$E$4,OR(CERTIFICADO!$E$5="",B667=CERTIFICADO!$E$5)),MAX($Y$4:Y666)+1,"")</f>
        <v/>
      </c>
    </row>
    <row r="668" customFormat="false" ht="15" hidden="false" customHeight="false" outlineLevel="0" collapsed="false">
      <c r="A668" s="11" t="str">
        <f aca="false">IF(C668="","",ROW()-4)</f>
        <v/>
      </c>
      <c r="B668" s="12"/>
      <c r="C668" s="13"/>
      <c r="D668" s="23" t="str">
        <f aca="false">IF(C668="","",IFERROR(INDEX(LOTES!$D$5:$D$1004,MATCH(C668,LOTES!$F$5:$F$1004,0)),"¿Lote?"))</f>
        <v/>
      </c>
      <c r="E668" s="11" t="str">
        <f aca="false">IF(C668="","",IFERROR(INDEX(LOTES!$C$5:$C$1004,MATCH(C668,LOTES!$F$5:$F$1004,0)),""))</f>
        <v/>
      </c>
      <c r="F668" s="24" t="str">
        <f aca="false">IF(C668="","",IFERROR(INDEX(LOTES!$B$5:$B$1004,MATCH(C668,LOTES!$F$5:$F$1004,0)),""))</f>
        <v/>
      </c>
      <c r="G668" s="15" t="str">
        <f aca="false">IF(OR(B668="",F668=""),"",B668-F668)</f>
        <v/>
      </c>
      <c r="H668" s="13"/>
      <c r="I668" s="13"/>
      <c r="J668" s="13"/>
      <c r="K668" s="25"/>
      <c r="L668" s="25"/>
      <c r="M668" s="25"/>
      <c r="N668" s="25"/>
      <c r="O668" s="26"/>
      <c r="P668" s="16" t="str">
        <f aca="false">IF(O668="","",IFERROR(1/(1/(IF(K668="",INDEX(CONFIG!$F$5:$F$14,MATCH(D668,CONFIG!$D$5:$D$14,0)),K668)*IF(M668="",INDEX(CONFIG!$H$5:$H$14,MATCH(D668,CONFIG!$D$5:$D$14,0)),M668))),""))</f>
        <v/>
      </c>
      <c r="Q668" s="16" t="str">
        <f aca="false">IF(OR(O668="",P668=""),"",O668/P668)</f>
        <v/>
      </c>
      <c r="R668" s="16" t="str">
        <f aca="false">IF(Q668="","",Q668*0.0980665)</f>
        <v/>
      </c>
      <c r="S668" s="16" t="str">
        <f aca="false">IF(Q668="","",IFERROR(Q668/(1/(1/INDEX(CONFIG!$I$5:$I$14,MATCH(D668,CONFIG!$D$5:$D$14,0)))),""))</f>
        <v/>
      </c>
      <c r="T668" s="13"/>
      <c r="U668" s="13"/>
      <c r="V668" s="13"/>
      <c r="W668" s="13"/>
      <c r="X668" s="22" t="str">
        <f aca="false">IF(Q668="","",Q668^2)</f>
        <v/>
      </c>
      <c r="Y668" s="22" t="str">
        <f aca="false">IF(AND(C668&lt;&gt;"",C668=CERTIFICADO!$E$4,OR(CERTIFICADO!$E$5="",B668=CERTIFICADO!$E$5)),MAX($Y$4:Y667)+1,"")</f>
        <v/>
      </c>
    </row>
    <row r="669" customFormat="false" ht="15" hidden="false" customHeight="false" outlineLevel="0" collapsed="false">
      <c r="A669" s="11" t="str">
        <f aca="false">IF(C669="","",ROW()-4)</f>
        <v/>
      </c>
      <c r="B669" s="12"/>
      <c r="C669" s="13"/>
      <c r="D669" s="23" t="str">
        <f aca="false">IF(C669="","",IFERROR(INDEX(LOTES!$D$5:$D$1004,MATCH(C669,LOTES!$F$5:$F$1004,0)),"¿Lote?"))</f>
        <v/>
      </c>
      <c r="E669" s="11" t="str">
        <f aca="false">IF(C669="","",IFERROR(INDEX(LOTES!$C$5:$C$1004,MATCH(C669,LOTES!$F$5:$F$1004,0)),""))</f>
        <v/>
      </c>
      <c r="F669" s="24" t="str">
        <f aca="false">IF(C669="","",IFERROR(INDEX(LOTES!$B$5:$B$1004,MATCH(C669,LOTES!$F$5:$F$1004,0)),""))</f>
        <v/>
      </c>
      <c r="G669" s="15" t="str">
        <f aca="false">IF(OR(B669="",F669=""),"",B669-F669)</f>
        <v/>
      </c>
      <c r="H669" s="13"/>
      <c r="I669" s="13"/>
      <c r="J669" s="13"/>
      <c r="K669" s="25"/>
      <c r="L669" s="25"/>
      <c r="M669" s="25"/>
      <c r="N669" s="25"/>
      <c r="O669" s="26"/>
      <c r="P669" s="16" t="str">
        <f aca="false">IF(O669="","",IFERROR(1/(1/(IF(K669="",INDEX(CONFIG!$F$5:$F$14,MATCH(D669,CONFIG!$D$5:$D$14,0)),K669)*IF(M669="",INDEX(CONFIG!$H$5:$H$14,MATCH(D669,CONFIG!$D$5:$D$14,0)),M669))),""))</f>
        <v/>
      </c>
      <c r="Q669" s="16" t="str">
        <f aca="false">IF(OR(O669="",P669=""),"",O669/P669)</f>
        <v/>
      </c>
      <c r="R669" s="16" t="str">
        <f aca="false">IF(Q669="","",Q669*0.0980665)</f>
        <v/>
      </c>
      <c r="S669" s="16" t="str">
        <f aca="false">IF(Q669="","",IFERROR(Q669/(1/(1/INDEX(CONFIG!$I$5:$I$14,MATCH(D669,CONFIG!$D$5:$D$14,0)))),""))</f>
        <v/>
      </c>
      <c r="T669" s="13"/>
      <c r="U669" s="13"/>
      <c r="V669" s="13"/>
      <c r="W669" s="13"/>
      <c r="X669" s="22" t="str">
        <f aca="false">IF(Q669="","",Q669^2)</f>
        <v/>
      </c>
      <c r="Y669" s="22" t="str">
        <f aca="false">IF(AND(C669&lt;&gt;"",C669=CERTIFICADO!$E$4,OR(CERTIFICADO!$E$5="",B669=CERTIFICADO!$E$5)),MAX($Y$4:Y668)+1,"")</f>
        <v/>
      </c>
    </row>
    <row r="670" customFormat="false" ht="15" hidden="false" customHeight="false" outlineLevel="0" collapsed="false">
      <c r="A670" s="11" t="str">
        <f aca="false">IF(C670="","",ROW()-4)</f>
        <v/>
      </c>
      <c r="B670" s="12"/>
      <c r="C670" s="13"/>
      <c r="D670" s="23" t="str">
        <f aca="false">IF(C670="","",IFERROR(INDEX(LOTES!$D$5:$D$1004,MATCH(C670,LOTES!$F$5:$F$1004,0)),"¿Lote?"))</f>
        <v/>
      </c>
      <c r="E670" s="11" t="str">
        <f aca="false">IF(C670="","",IFERROR(INDEX(LOTES!$C$5:$C$1004,MATCH(C670,LOTES!$F$5:$F$1004,0)),""))</f>
        <v/>
      </c>
      <c r="F670" s="24" t="str">
        <f aca="false">IF(C670="","",IFERROR(INDEX(LOTES!$B$5:$B$1004,MATCH(C670,LOTES!$F$5:$F$1004,0)),""))</f>
        <v/>
      </c>
      <c r="G670" s="15" t="str">
        <f aca="false">IF(OR(B670="",F670=""),"",B670-F670)</f>
        <v/>
      </c>
      <c r="H670" s="13"/>
      <c r="I670" s="13"/>
      <c r="J670" s="13"/>
      <c r="K670" s="25"/>
      <c r="L670" s="25"/>
      <c r="M670" s="25"/>
      <c r="N670" s="25"/>
      <c r="O670" s="26"/>
      <c r="P670" s="16" t="str">
        <f aca="false">IF(O670="","",IFERROR(1/(1/(IF(K670="",INDEX(CONFIG!$F$5:$F$14,MATCH(D670,CONFIG!$D$5:$D$14,0)),K670)*IF(M670="",INDEX(CONFIG!$H$5:$H$14,MATCH(D670,CONFIG!$D$5:$D$14,0)),M670))),""))</f>
        <v/>
      </c>
      <c r="Q670" s="16" t="str">
        <f aca="false">IF(OR(O670="",P670=""),"",O670/P670)</f>
        <v/>
      </c>
      <c r="R670" s="16" t="str">
        <f aca="false">IF(Q670="","",Q670*0.0980665)</f>
        <v/>
      </c>
      <c r="S670" s="16" t="str">
        <f aca="false">IF(Q670="","",IFERROR(Q670/(1/(1/INDEX(CONFIG!$I$5:$I$14,MATCH(D670,CONFIG!$D$5:$D$14,0)))),""))</f>
        <v/>
      </c>
      <c r="T670" s="13"/>
      <c r="U670" s="13"/>
      <c r="V670" s="13"/>
      <c r="W670" s="13"/>
      <c r="X670" s="22" t="str">
        <f aca="false">IF(Q670="","",Q670^2)</f>
        <v/>
      </c>
      <c r="Y670" s="22" t="str">
        <f aca="false">IF(AND(C670&lt;&gt;"",C670=CERTIFICADO!$E$4,OR(CERTIFICADO!$E$5="",B670=CERTIFICADO!$E$5)),MAX($Y$4:Y669)+1,"")</f>
        <v/>
      </c>
    </row>
    <row r="671" customFormat="false" ht="15" hidden="false" customHeight="false" outlineLevel="0" collapsed="false">
      <c r="A671" s="11" t="str">
        <f aca="false">IF(C671="","",ROW()-4)</f>
        <v/>
      </c>
      <c r="B671" s="12"/>
      <c r="C671" s="13"/>
      <c r="D671" s="23" t="str">
        <f aca="false">IF(C671="","",IFERROR(INDEX(LOTES!$D$5:$D$1004,MATCH(C671,LOTES!$F$5:$F$1004,0)),"¿Lote?"))</f>
        <v/>
      </c>
      <c r="E671" s="11" t="str">
        <f aca="false">IF(C671="","",IFERROR(INDEX(LOTES!$C$5:$C$1004,MATCH(C671,LOTES!$F$5:$F$1004,0)),""))</f>
        <v/>
      </c>
      <c r="F671" s="24" t="str">
        <f aca="false">IF(C671="","",IFERROR(INDEX(LOTES!$B$5:$B$1004,MATCH(C671,LOTES!$F$5:$F$1004,0)),""))</f>
        <v/>
      </c>
      <c r="G671" s="15" t="str">
        <f aca="false">IF(OR(B671="",F671=""),"",B671-F671)</f>
        <v/>
      </c>
      <c r="H671" s="13"/>
      <c r="I671" s="13"/>
      <c r="J671" s="13"/>
      <c r="K671" s="25"/>
      <c r="L671" s="25"/>
      <c r="M671" s="25"/>
      <c r="N671" s="25"/>
      <c r="O671" s="26"/>
      <c r="P671" s="16" t="str">
        <f aca="false">IF(O671="","",IFERROR(1/(1/(IF(K671="",INDEX(CONFIG!$F$5:$F$14,MATCH(D671,CONFIG!$D$5:$D$14,0)),K671)*IF(M671="",INDEX(CONFIG!$H$5:$H$14,MATCH(D671,CONFIG!$D$5:$D$14,0)),M671))),""))</f>
        <v/>
      </c>
      <c r="Q671" s="16" t="str">
        <f aca="false">IF(OR(O671="",P671=""),"",O671/P671)</f>
        <v/>
      </c>
      <c r="R671" s="16" t="str">
        <f aca="false">IF(Q671="","",Q671*0.0980665)</f>
        <v/>
      </c>
      <c r="S671" s="16" t="str">
        <f aca="false">IF(Q671="","",IFERROR(Q671/(1/(1/INDEX(CONFIG!$I$5:$I$14,MATCH(D671,CONFIG!$D$5:$D$14,0)))),""))</f>
        <v/>
      </c>
      <c r="T671" s="13"/>
      <c r="U671" s="13"/>
      <c r="V671" s="13"/>
      <c r="W671" s="13"/>
      <c r="X671" s="22" t="str">
        <f aca="false">IF(Q671="","",Q671^2)</f>
        <v/>
      </c>
      <c r="Y671" s="22" t="str">
        <f aca="false">IF(AND(C671&lt;&gt;"",C671=CERTIFICADO!$E$4,OR(CERTIFICADO!$E$5="",B671=CERTIFICADO!$E$5)),MAX($Y$4:Y670)+1,"")</f>
        <v/>
      </c>
    </row>
    <row r="672" customFormat="false" ht="15" hidden="false" customHeight="false" outlineLevel="0" collapsed="false">
      <c r="A672" s="11" t="str">
        <f aca="false">IF(C672="","",ROW()-4)</f>
        <v/>
      </c>
      <c r="B672" s="12"/>
      <c r="C672" s="13"/>
      <c r="D672" s="23" t="str">
        <f aca="false">IF(C672="","",IFERROR(INDEX(LOTES!$D$5:$D$1004,MATCH(C672,LOTES!$F$5:$F$1004,0)),"¿Lote?"))</f>
        <v/>
      </c>
      <c r="E672" s="11" t="str">
        <f aca="false">IF(C672="","",IFERROR(INDEX(LOTES!$C$5:$C$1004,MATCH(C672,LOTES!$F$5:$F$1004,0)),""))</f>
        <v/>
      </c>
      <c r="F672" s="24" t="str">
        <f aca="false">IF(C672="","",IFERROR(INDEX(LOTES!$B$5:$B$1004,MATCH(C672,LOTES!$F$5:$F$1004,0)),""))</f>
        <v/>
      </c>
      <c r="G672" s="15" t="str">
        <f aca="false">IF(OR(B672="",F672=""),"",B672-F672)</f>
        <v/>
      </c>
      <c r="H672" s="13"/>
      <c r="I672" s="13"/>
      <c r="J672" s="13"/>
      <c r="K672" s="25"/>
      <c r="L672" s="25"/>
      <c r="M672" s="25"/>
      <c r="N672" s="25"/>
      <c r="O672" s="26"/>
      <c r="P672" s="16" t="str">
        <f aca="false">IF(O672="","",IFERROR(1/(1/(IF(K672="",INDEX(CONFIG!$F$5:$F$14,MATCH(D672,CONFIG!$D$5:$D$14,0)),K672)*IF(M672="",INDEX(CONFIG!$H$5:$H$14,MATCH(D672,CONFIG!$D$5:$D$14,0)),M672))),""))</f>
        <v/>
      </c>
      <c r="Q672" s="16" t="str">
        <f aca="false">IF(OR(O672="",P672=""),"",O672/P672)</f>
        <v/>
      </c>
      <c r="R672" s="16" t="str">
        <f aca="false">IF(Q672="","",Q672*0.0980665)</f>
        <v/>
      </c>
      <c r="S672" s="16" t="str">
        <f aca="false">IF(Q672="","",IFERROR(Q672/(1/(1/INDEX(CONFIG!$I$5:$I$14,MATCH(D672,CONFIG!$D$5:$D$14,0)))),""))</f>
        <v/>
      </c>
      <c r="T672" s="13"/>
      <c r="U672" s="13"/>
      <c r="V672" s="13"/>
      <c r="W672" s="13"/>
      <c r="X672" s="22" t="str">
        <f aca="false">IF(Q672="","",Q672^2)</f>
        <v/>
      </c>
      <c r="Y672" s="22" t="str">
        <f aca="false">IF(AND(C672&lt;&gt;"",C672=CERTIFICADO!$E$4,OR(CERTIFICADO!$E$5="",B672=CERTIFICADO!$E$5)),MAX($Y$4:Y671)+1,"")</f>
        <v/>
      </c>
    </row>
    <row r="673" customFormat="false" ht="15" hidden="false" customHeight="false" outlineLevel="0" collapsed="false">
      <c r="A673" s="11" t="str">
        <f aca="false">IF(C673="","",ROW()-4)</f>
        <v/>
      </c>
      <c r="B673" s="12"/>
      <c r="C673" s="13"/>
      <c r="D673" s="23" t="str">
        <f aca="false">IF(C673="","",IFERROR(INDEX(LOTES!$D$5:$D$1004,MATCH(C673,LOTES!$F$5:$F$1004,0)),"¿Lote?"))</f>
        <v/>
      </c>
      <c r="E673" s="11" t="str">
        <f aca="false">IF(C673="","",IFERROR(INDEX(LOTES!$C$5:$C$1004,MATCH(C673,LOTES!$F$5:$F$1004,0)),""))</f>
        <v/>
      </c>
      <c r="F673" s="24" t="str">
        <f aca="false">IF(C673="","",IFERROR(INDEX(LOTES!$B$5:$B$1004,MATCH(C673,LOTES!$F$5:$F$1004,0)),""))</f>
        <v/>
      </c>
      <c r="G673" s="15" t="str">
        <f aca="false">IF(OR(B673="",F673=""),"",B673-F673)</f>
        <v/>
      </c>
      <c r="H673" s="13"/>
      <c r="I673" s="13"/>
      <c r="J673" s="13"/>
      <c r="K673" s="25"/>
      <c r="L673" s="25"/>
      <c r="M673" s="25"/>
      <c r="N673" s="25"/>
      <c r="O673" s="26"/>
      <c r="P673" s="16" t="str">
        <f aca="false">IF(O673="","",IFERROR(1/(1/(IF(K673="",INDEX(CONFIG!$F$5:$F$14,MATCH(D673,CONFIG!$D$5:$D$14,0)),K673)*IF(M673="",INDEX(CONFIG!$H$5:$H$14,MATCH(D673,CONFIG!$D$5:$D$14,0)),M673))),""))</f>
        <v/>
      </c>
      <c r="Q673" s="16" t="str">
        <f aca="false">IF(OR(O673="",P673=""),"",O673/P673)</f>
        <v/>
      </c>
      <c r="R673" s="16" t="str">
        <f aca="false">IF(Q673="","",Q673*0.0980665)</f>
        <v/>
      </c>
      <c r="S673" s="16" t="str">
        <f aca="false">IF(Q673="","",IFERROR(Q673/(1/(1/INDEX(CONFIG!$I$5:$I$14,MATCH(D673,CONFIG!$D$5:$D$14,0)))),""))</f>
        <v/>
      </c>
      <c r="T673" s="13"/>
      <c r="U673" s="13"/>
      <c r="V673" s="13"/>
      <c r="W673" s="13"/>
      <c r="X673" s="22" t="str">
        <f aca="false">IF(Q673="","",Q673^2)</f>
        <v/>
      </c>
      <c r="Y673" s="22" t="str">
        <f aca="false">IF(AND(C673&lt;&gt;"",C673=CERTIFICADO!$E$4,OR(CERTIFICADO!$E$5="",B673=CERTIFICADO!$E$5)),MAX($Y$4:Y672)+1,"")</f>
        <v/>
      </c>
    </row>
    <row r="674" customFormat="false" ht="15" hidden="false" customHeight="false" outlineLevel="0" collapsed="false">
      <c r="A674" s="11" t="str">
        <f aca="false">IF(C674="","",ROW()-4)</f>
        <v/>
      </c>
      <c r="B674" s="12"/>
      <c r="C674" s="13"/>
      <c r="D674" s="23" t="str">
        <f aca="false">IF(C674="","",IFERROR(INDEX(LOTES!$D$5:$D$1004,MATCH(C674,LOTES!$F$5:$F$1004,0)),"¿Lote?"))</f>
        <v/>
      </c>
      <c r="E674" s="11" t="str">
        <f aca="false">IF(C674="","",IFERROR(INDEX(LOTES!$C$5:$C$1004,MATCH(C674,LOTES!$F$5:$F$1004,0)),""))</f>
        <v/>
      </c>
      <c r="F674" s="24" t="str">
        <f aca="false">IF(C674="","",IFERROR(INDEX(LOTES!$B$5:$B$1004,MATCH(C674,LOTES!$F$5:$F$1004,0)),""))</f>
        <v/>
      </c>
      <c r="G674" s="15" t="str">
        <f aca="false">IF(OR(B674="",F674=""),"",B674-F674)</f>
        <v/>
      </c>
      <c r="H674" s="13"/>
      <c r="I674" s="13"/>
      <c r="J674" s="13"/>
      <c r="K674" s="25"/>
      <c r="L674" s="25"/>
      <c r="M674" s="25"/>
      <c r="N674" s="25"/>
      <c r="O674" s="26"/>
      <c r="P674" s="16" t="str">
        <f aca="false">IF(O674="","",IFERROR(1/(1/(IF(K674="",INDEX(CONFIG!$F$5:$F$14,MATCH(D674,CONFIG!$D$5:$D$14,0)),K674)*IF(M674="",INDEX(CONFIG!$H$5:$H$14,MATCH(D674,CONFIG!$D$5:$D$14,0)),M674))),""))</f>
        <v/>
      </c>
      <c r="Q674" s="16" t="str">
        <f aca="false">IF(OR(O674="",P674=""),"",O674/P674)</f>
        <v/>
      </c>
      <c r="R674" s="16" t="str">
        <f aca="false">IF(Q674="","",Q674*0.0980665)</f>
        <v/>
      </c>
      <c r="S674" s="16" t="str">
        <f aca="false">IF(Q674="","",IFERROR(Q674/(1/(1/INDEX(CONFIG!$I$5:$I$14,MATCH(D674,CONFIG!$D$5:$D$14,0)))),""))</f>
        <v/>
      </c>
      <c r="T674" s="13"/>
      <c r="U674" s="13"/>
      <c r="V674" s="13"/>
      <c r="W674" s="13"/>
      <c r="X674" s="22" t="str">
        <f aca="false">IF(Q674="","",Q674^2)</f>
        <v/>
      </c>
      <c r="Y674" s="22" t="str">
        <f aca="false">IF(AND(C674&lt;&gt;"",C674=CERTIFICADO!$E$4,OR(CERTIFICADO!$E$5="",B674=CERTIFICADO!$E$5)),MAX($Y$4:Y673)+1,"")</f>
        <v/>
      </c>
    </row>
    <row r="675" customFormat="false" ht="15" hidden="false" customHeight="false" outlineLevel="0" collapsed="false">
      <c r="A675" s="11" t="str">
        <f aca="false">IF(C675="","",ROW()-4)</f>
        <v/>
      </c>
      <c r="B675" s="12"/>
      <c r="C675" s="13"/>
      <c r="D675" s="23" t="str">
        <f aca="false">IF(C675="","",IFERROR(INDEX(LOTES!$D$5:$D$1004,MATCH(C675,LOTES!$F$5:$F$1004,0)),"¿Lote?"))</f>
        <v/>
      </c>
      <c r="E675" s="11" t="str">
        <f aca="false">IF(C675="","",IFERROR(INDEX(LOTES!$C$5:$C$1004,MATCH(C675,LOTES!$F$5:$F$1004,0)),""))</f>
        <v/>
      </c>
      <c r="F675" s="24" t="str">
        <f aca="false">IF(C675="","",IFERROR(INDEX(LOTES!$B$5:$B$1004,MATCH(C675,LOTES!$F$5:$F$1004,0)),""))</f>
        <v/>
      </c>
      <c r="G675" s="15" t="str">
        <f aca="false">IF(OR(B675="",F675=""),"",B675-F675)</f>
        <v/>
      </c>
      <c r="H675" s="13"/>
      <c r="I675" s="13"/>
      <c r="J675" s="13"/>
      <c r="K675" s="25"/>
      <c r="L675" s="25"/>
      <c r="M675" s="25"/>
      <c r="N675" s="25"/>
      <c r="O675" s="26"/>
      <c r="P675" s="16" t="str">
        <f aca="false">IF(O675="","",IFERROR(1/(1/(IF(K675="",INDEX(CONFIG!$F$5:$F$14,MATCH(D675,CONFIG!$D$5:$D$14,0)),K675)*IF(M675="",INDEX(CONFIG!$H$5:$H$14,MATCH(D675,CONFIG!$D$5:$D$14,0)),M675))),""))</f>
        <v/>
      </c>
      <c r="Q675" s="16" t="str">
        <f aca="false">IF(OR(O675="",P675=""),"",O675/P675)</f>
        <v/>
      </c>
      <c r="R675" s="16" t="str">
        <f aca="false">IF(Q675="","",Q675*0.0980665)</f>
        <v/>
      </c>
      <c r="S675" s="16" t="str">
        <f aca="false">IF(Q675="","",IFERROR(Q675/(1/(1/INDEX(CONFIG!$I$5:$I$14,MATCH(D675,CONFIG!$D$5:$D$14,0)))),""))</f>
        <v/>
      </c>
      <c r="T675" s="13"/>
      <c r="U675" s="13"/>
      <c r="V675" s="13"/>
      <c r="W675" s="13"/>
      <c r="X675" s="22" t="str">
        <f aca="false">IF(Q675="","",Q675^2)</f>
        <v/>
      </c>
      <c r="Y675" s="22" t="str">
        <f aca="false">IF(AND(C675&lt;&gt;"",C675=CERTIFICADO!$E$4,OR(CERTIFICADO!$E$5="",B675=CERTIFICADO!$E$5)),MAX($Y$4:Y674)+1,"")</f>
        <v/>
      </c>
    </row>
    <row r="676" customFormat="false" ht="15" hidden="false" customHeight="false" outlineLevel="0" collapsed="false">
      <c r="A676" s="11" t="str">
        <f aca="false">IF(C676="","",ROW()-4)</f>
        <v/>
      </c>
      <c r="B676" s="12"/>
      <c r="C676" s="13"/>
      <c r="D676" s="23" t="str">
        <f aca="false">IF(C676="","",IFERROR(INDEX(LOTES!$D$5:$D$1004,MATCH(C676,LOTES!$F$5:$F$1004,0)),"¿Lote?"))</f>
        <v/>
      </c>
      <c r="E676" s="11" t="str">
        <f aca="false">IF(C676="","",IFERROR(INDEX(LOTES!$C$5:$C$1004,MATCH(C676,LOTES!$F$5:$F$1004,0)),""))</f>
        <v/>
      </c>
      <c r="F676" s="24" t="str">
        <f aca="false">IF(C676="","",IFERROR(INDEX(LOTES!$B$5:$B$1004,MATCH(C676,LOTES!$F$5:$F$1004,0)),""))</f>
        <v/>
      </c>
      <c r="G676" s="15" t="str">
        <f aca="false">IF(OR(B676="",F676=""),"",B676-F676)</f>
        <v/>
      </c>
      <c r="H676" s="13"/>
      <c r="I676" s="13"/>
      <c r="J676" s="13"/>
      <c r="K676" s="25"/>
      <c r="L676" s="25"/>
      <c r="M676" s="25"/>
      <c r="N676" s="25"/>
      <c r="O676" s="26"/>
      <c r="P676" s="16" t="str">
        <f aca="false">IF(O676="","",IFERROR(1/(1/(IF(K676="",INDEX(CONFIG!$F$5:$F$14,MATCH(D676,CONFIG!$D$5:$D$14,0)),K676)*IF(M676="",INDEX(CONFIG!$H$5:$H$14,MATCH(D676,CONFIG!$D$5:$D$14,0)),M676))),""))</f>
        <v/>
      </c>
      <c r="Q676" s="16" t="str">
        <f aca="false">IF(OR(O676="",P676=""),"",O676/P676)</f>
        <v/>
      </c>
      <c r="R676" s="16" t="str">
        <f aca="false">IF(Q676="","",Q676*0.0980665)</f>
        <v/>
      </c>
      <c r="S676" s="16" t="str">
        <f aca="false">IF(Q676="","",IFERROR(Q676/(1/(1/INDEX(CONFIG!$I$5:$I$14,MATCH(D676,CONFIG!$D$5:$D$14,0)))),""))</f>
        <v/>
      </c>
      <c r="T676" s="13"/>
      <c r="U676" s="13"/>
      <c r="V676" s="13"/>
      <c r="W676" s="13"/>
      <c r="X676" s="22" t="str">
        <f aca="false">IF(Q676="","",Q676^2)</f>
        <v/>
      </c>
      <c r="Y676" s="22" t="str">
        <f aca="false">IF(AND(C676&lt;&gt;"",C676=CERTIFICADO!$E$4,OR(CERTIFICADO!$E$5="",B676=CERTIFICADO!$E$5)),MAX($Y$4:Y675)+1,"")</f>
        <v/>
      </c>
    </row>
    <row r="677" customFormat="false" ht="15" hidden="false" customHeight="false" outlineLevel="0" collapsed="false">
      <c r="A677" s="11" t="str">
        <f aca="false">IF(C677="","",ROW()-4)</f>
        <v/>
      </c>
      <c r="B677" s="12"/>
      <c r="C677" s="13"/>
      <c r="D677" s="23" t="str">
        <f aca="false">IF(C677="","",IFERROR(INDEX(LOTES!$D$5:$D$1004,MATCH(C677,LOTES!$F$5:$F$1004,0)),"¿Lote?"))</f>
        <v/>
      </c>
      <c r="E677" s="11" t="str">
        <f aca="false">IF(C677="","",IFERROR(INDEX(LOTES!$C$5:$C$1004,MATCH(C677,LOTES!$F$5:$F$1004,0)),""))</f>
        <v/>
      </c>
      <c r="F677" s="24" t="str">
        <f aca="false">IF(C677="","",IFERROR(INDEX(LOTES!$B$5:$B$1004,MATCH(C677,LOTES!$F$5:$F$1004,0)),""))</f>
        <v/>
      </c>
      <c r="G677" s="15" t="str">
        <f aca="false">IF(OR(B677="",F677=""),"",B677-F677)</f>
        <v/>
      </c>
      <c r="H677" s="13"/>
      <c r="I677" s="13"/>
      <c r="J677" s="13"/>
      <c r="K677" s="25"/>
      <c r="L677" s="25"/>
      <c r="M677" s="25"/>
      <c r="N677" s="25"/>
      <c r="O677" s="26"/>
      <c r="P677" s="16" t="str">
        <f aca="false">IF(O677="","",IFERROR(1/(1/(IF(K677="",INDEX(CONFIG!$F$5:$F$14,MATCH(D677,CONFIG!$D$5:$D$14,0)),K677)*IF(M677="",INDEX(CONFIG!$H$5:$H$14,MATCH(D677,CONFIG!$D$5:$D$14,0)),M677))),""))</f>
        <v/>
      </c>
      <c r="Q677" s="16" t="str">
        <f aca="false">IF(OR(O677="",P677=""),"",O677/P677)</f>
        <v/>
      </c>
      <c r="R677" s="16" t="str">
        <f aca="false">IF(Q677="","",Q677*0.0980665)</f>
        <v/>
      </c>
      <c r="S677" s="16" t="str">
        <f aca="false">IF(Q677="","",IFERROR(Q677/(1/(1/INDEX(CONFIG!$I$5:$I$14,MATCH(D677,CONFIG!$D$5:$D$14,0)))),""))</f>
        <v/>
      </c>
      <c r="T677" s="13"/>
      <c r="U677" s="13"/>
      <c r="V677" s="13"/>
      <c r="W677" s="13"/>
      <c r="X677" s="22" t="str">
        <f aca="false">IF(Q677="","",Q677^2)</f>
        <v/>
      </c>
      <c r="Y677" s="22" t="str">
        <f aca="false">IF(AND(C677&lt;&gt;"",C677=CERTIFICADO!$E$4,OR(CERTIFICADO!$E$5="",B677=CERTIFICADO!$E$5)),MAX($Y$4:Y676)+1,"")</f>
        <v/>
      </c>
    </row>
    <row r="678" customFormat="false" ht="15" hidden="false" customHeight="false" outlineLevel="0" collapsed="false">
      <c r="A678" s="11" t="str">
        <f aca="false">IF(C678="","",ROW()-4)</f>
        <v/>
      </c>
      <c r="B678" s="12"/>
      <c r="C678" s="13"/>
      <c r="D678" s="23" t="str">
        <f aca="false">IF(C678="","",IFERROR(INDEX(LOTES!$D$5:$D$1004,MATCH(C678,LOTES!$F$5:$F$1004,0)),"¿Lote?"))</f>
        <v/>
      </c>
      <c r="E678" s="11" t="str">
        <f aca="false">IF(C678="","",IFERROR(INDEX(LOTES!$C$5:$C$1004,MATCH(C678,LOTES!$F$5:$F$1004,0)),""))</f>
        <v/>
      </c>
      <c r="F678" s="24" t="str">
        <f aca="false">IF(C678="","",IFERROR(INDEX(LOTES!$B$5:$B$1004,MATCH(C678,LOTES!$F$5:$F$1004,0)),""))</f>
        <v/>
      </c>
      <c r="G678" s="15" t="str">
        <f aca="false">IF(OR(B678="",F678=""),"",B678-F678)</f>
        <v/>
      </c>
      <c r="H678" s="13"/>
      <c r="I678" s="13"/>
      <c r="J678" s="13"/>
      <c r="K678" s="25"/>
      <c r="L678" s="25"/>
      <c r="M678" s="25"/>
      <c r="N678" s="25"/>
      <c r="O678" s="26"/>
      <c r="P678" s="16" t="str">
        <f aca="false">IF(O678="","",IFERROR(1/(1/(IF(K678="",INDEX(CONFIG!$F$5:$F$14,MATCH(D678,CONFIG!$D$5:$D$14,0)),K678)*IF(M678="",INDEX(CONFIG!$H$5:$H$14,MATCH(D678,CONFIG!$D$5:$D$14,0)),M678))),""))</f>
        <v/>
      </c>
      <c r="Q678" s="16" t="str">
        <f aca="false">IF(OR(O678="",P678=""),"",O678/P678)</f>
        <v/>
      </c>
      <c r="R678" s="16" t="str">
        <f aca="false">IF(Q678="","",Q678*0.0980665)</f>
        <v/>
      </c>
      <c r="S678" s="16" t="str">
        <f aca="false">IF(Q678="","",IFERROR(Q678/(1/(1/INDEX(CONFIG!$I$5:$I$14,MATCH(D678,CONFIG!$D$5:$D$14,0)))),""))</f>
        <v/>
      </c>
      <c r="T678" s="13"/>
      <c r="U678" s="13"/>
      <c r="V678" s="13"/>
      <c r="W678" s="13"/>
      <c r="X678" s="22" t="str">
        <f aca="false">IF(Q678="","",Q678^2)</f>
        <v/>
      </c>
      <c r="Y678" s="22" t="str">
        <f aca="false">IF(AND(C678&lt;&gt;"",C678=CERTIFICADO!$E$4,OR(CERTIFICADO!$E$5="",B678=CERTIFICADO!$E$5)),MAX($Y$4:Y677)+1,"")</f>
        <v/>
      </c>
    </row>
    <row r="679" customFormat="false" ht="15" hidden="false" customHeight="false" outlineLevel="0" collapsed="false">
      <c r="A679" s="11" t="str">
        <f aca="false">IF(C679="","",ROW()-4)</f>
        <v/>
      </c>
      <c r="B679" s="12"/>
      <c r="C679" s="13"/>
      <c r="D679" s="23" t="str">
        <f aca="false">IF(C679="","",IFERROR(INDEX(LOTES!$D$5:$D$1004,MATCH(C679,LOTES!$F$5:$F$1004,0)),"¿Lote?"))</f>
        <v/>
      </c>
      <c r="E679" s="11" t="str">
        <f aca="false">IF(C679="","",IFERROR(INDEX(LOTES!$C$5:$C$1004,MATCH(C679,LOTES!$F$5:$F$1004,0)),""))</f>
        <v/>
      </c>
      <c r="F679" s="24" t="str">
        <f aca="false">IF(C679="","",IFERROR(INDEX(LOTES!$B$5:$B$1004,MATCH(C679,LOTES!$F$5:$F$1004,0)),""))</f>
        <v/>
      </c>
      <c r="G679" s="15" t="str">
        <f aca="false">IF(OR(B679="",F679=""),"",B679-F679)</f>
        <v/>
      </c>
      <c r="H679" s="13"/>
      <c r="I679" s="13"/>
      <c r="J679" s="13"/>
      <c r="K679" s="25"/>
      <c r="L679" s="25"/>
      <c r="M679" s="25"/>
      <c r="N679" s="25"/>
      <c r="O679" s="26"/>
      <c r="P679" s="16" t="str">
        <f aca="false">IF(O679="","",IFERROR(1/(1/(IF(K679="",INDEX(CONFIG!$F$5:$F$14,MATCH(D679,CONFIG!$D$5:$D$14,0)),K679)*IF(M679="",INDEX(CONFIG!$H$5:$H$14,MATCH(D679,CONFIG!$D$5:$D$14,0)),M679))),""))</f>
        <v/>
      </c>
      <c r="Q679" s="16" t="str">
        <f aca="false">IF(OR(O679="",P679=""),"",O679/P679)</f>
        <v/>
      </c>
      <c r="R679" s="16" t="str">
        <f aca="false">IF(Q679="","",Q679*0.0980665)</f>
        <v/>
      </c>
      <c r="S679" s="16" t="str">
        <f aca="false">IF(Q679="","",IFERROR(Q679/(1/(1/INDEX(CONFIG!$I$5:$I$14,MATCH(D679,CONFIG!$D$5:$D$14,0)))),""))</f>
        <v/>
      </c>
      <c r="T679" s="13"/>
      <c r="U679" s="13"/>
      <c r="V679" s="13"/>
      <c r="W679" s="13"/>
      <c r="X679" s="22" t="str">
        <f aca="false">IF(Q679="","",Q679^2)</f>
        <v/>
      </c>
      <c r="Y679" s="22" t="str">
        <f aca="false">IF(AND(C679&lt;&gt;"",C679=CERTIFICADO!$E$4,OR(CERTIFICADO!$E$5="",B679=CERTIFICADO!$E$5)),MAX($Y$4:Y678)+1,"")</f>
        <v/>
      </c>
    </row>
    <row r="680" customFormat="false" ht="15" hidden="false" customHeight="false" outlineLevel="0" collapsed="false">
      <c r="A680" s="11" t="str">
        <f aca="false">IF(C680="","",ROW()-4)</f>
        <v/>
      </c>
      <c r="B680" s="12"/>
      <c r="C680" s="13"/>
      <c r="D680" s="23" t="str">
        <f aca="false">IF(C680="","",IFERROR(INDEX(LOTES!$D$5:$D$1004,MATCH(C680,LOTES!$F$5:$F$1004,0)),"¿Lote?"))</f>
        <v/>
      </c>
      <c r="E680" s="11" t="str">
        <f aca="false">IF(C680="","",IFERROR(INDEX(LOTES!$C$5:$C$1004,MATCH(C680,LOTES!$F$5:$F$1004,0)),""))</f>
        <v/>
      </c>
      <c r="F680" s="24" t="str">
        <f aca="false">IF(C680="","",IFERROR(INDEX(LOTES!$B$5:$B$1004,MATCH(C680,LOTES!$F$5:$F$1004,0)),""))</f>
        <v/>
      </c>
      <c r="G680" s="15" t="str">
        <f aca="false">IF(OR(B680="",F680=""),"",B680-F680)</f>
        <v/>
      </c>
      <c r="H680" s="13"/>
      <c r="I680" s="13"/>
      <c r="J680" s="13"/>
      <c r="K680" s="25"/>
      <c r="L680" s="25"/>
      <c r="M680" s="25"/>
      <c r="N680" s="25"/>
      <c r="O680" s="26"/>
      <c r="P680" s="16" t="str">
        <f aca="false">IF(O680="","",IFERROR(1/(1/(IF(K680="",INDEX(CONFIG!$F$5:$F$14,MATCH(D680,CONFIG!$D$5:$D$14,0)),K680)*IF(M680="",INDEX(CONFIG!$H$5:$H$14,MATCH(D680,CONFIG!$D$5:$D$14,0)),M680))),""))</f>
        <v/>
      </c>
      <c r="Q680" s="16" t="str">
        <f aca="false">IF(OR(O680="",P680=""),"",O680/P680)</f>
        <v/>
      </c>
      <c r="R680" s="16" t="str">
        <f aca="false">IF(Q680="","",Q680*0.0980665)</f>
        <v/>
      </c>
      <c r="S680" s="16" t="str">
        <f aca="false">IF(Q680="","",IFERROR(Q680/(1/(1/INDEX(CONFIG!$I$5:$I$14,MATCH(D680,CONFIG!$D$5:$D$14,0)))),""))</f>
        <v/>
      </c>
      <c r="T680" s="13"/>
      <c r="U680" s="13"/>
      <c r="V680" s="13"/>
      <c r="W680" s="13"/>
      <c r="X680" s="22" t="str">
        <f aca="false">IF(Q680="","",Q680^2)</f>
        <v/>
      </c>
      <c r="Y680" s="22" t="str">
        <f aca="false">IF(AND(C680&lt;&gt;"",C680=CERTIFICADO!$E$4,OR(CERTIFICADO!$E$5="",B680=CERTIFICADO!$E$5)),MAX($Y$4:Y679)+1,"")</f>
        <v/>
      </c>
    </row>
    <row r="681" customFormat="false" ht="15" hidden="false" customHeight="false" outlineLevel="0" collapsed="false">
      <c r="A681" s="11" t="str">
        <f aca="false">IF(C681="","",ROW()-4)</f>
        <v/>
      </c>
      <c r="B681" s="12"/>
      <c r="C681" s="13"/>
      <c r="D681" s="23" t="str">
        <f aca="false">IF(C681="","",IFERROR(INDEX(LOTES!$D$5:$D$1004,MATCH(C681,LOTES!$F$5:$F$1004,0)),"¿Lote?"))</f>
        <v/>
      </c>
      <c r="E681" s="11" t="str">
        <f aca="false">IF(C681="","",IFERROR(INDEX(LOTES!$C$5:$C$1004,MATCH(C681,LOTES!$F$5:$F$1004,0)),""))</f>
        <v/>
      </c>
      <c r="F681" s="24" t="str">
        <f aca="false">IF(C681="","",IFERROR(INDEX(LOTES!$B$5:$B$1004,MATCH(C681,LOTES!$F$5:$F$1004,0)),""))</f>
        <v/>
      </c>
      <c r="G681" s="15" t="str">
        <f aca="false">IF(OR(B681="",F681=""),"",B681-F681)</f>
        <v/>
      </c>
      <c r="H681" s="13"/>
      <c r="I681" s="13"/>
      <c r="J681" s="13"/>
      <c r="K681" s="25"/>
      <c r="L681" s="25"/>
      <c r="M681" s="25"/>
      <c r="N681" s="25"/>
      <c r="O681" s="26"/>
      <c r="P681" s="16" t="str">
        <f aca="false">IF(O681="","",IFERROR(1/(1/(IF(K681="",INDEX(CONFIG!$F$5:$F$14,MATCH(D681,CONFIG!$D$5:$D$14,0)),K681)*IF(M681="",INDEX(CONFIG!$H$5:$H$14,MATCH(D681,CONFIG!$D$5:$D$14,0)),M681))),""))</f>
        <v/>
      </c>
      <c r="Q681" s="16" t="str">
        <f aca="false">IF(OR(O681="",P681=""),"",O681/P681)</f>
        <v/>
      </c>
      <c r="R681" s="16" t="str">
        <f aca="false">IF(Q681="","",Q681*0.0980665)</f>
        <v/>
      </c>
      <c r="S681" s="16" t="str">
        <f aca="false">IF(Q681="","",IFERROR(Q681/(1/(1/INDEX(CONFIG!$I$5:$I$14,MATCH(D681,CONFIG!$D$5:$D$14,0)))),""))</f>
        <v/>
      </c>
      <c r="T681" s="13"/>
      <c r="U681" s="13"/>
      <c r="V681" s="13"/>
      <c r="W681" s="13"/>
      <c r="X681" s="22" t="str">
        <f aca="false">IF(Q681="","",Q681^2)</f>
        <v/>
      </c>
      <c r="Y681" s="22" t="str">
        <f aca="false">IF(AND(C681&lt;&gt;"",C681=CERTIFICADO!$E$4,OR(CERTIFICADO!$E$5="",B681=CERTIFICADO!$E$5)),MAX($Y$4:Y680)+1,"")</f>
        <v/>
      </c>
    </row>
    <row r="682" customFormat="false" ht="15" hidden="false" customHeight="false" outlineLevel="0" collapsed="false">
      <c r="A682" s="11" t="str">
        <f aca="false">IF(C682="","",ROW()-4)</f>
        <v/>
      </c>
      <c r="B682" s="12"/>
      <c r="C682" s="13"/>
      <c r="D682" s="23" t="str">
        <f aca="false">IF(C682="","",IFERROR(INDEX(LOTES!$D$5:$D$1004,MATCH(C682,LOTES!$F$5:$F$1004,0)),"¿Lote?"))</f>
        <v/>
      </c>
      <c r="E682" s="11" t="str">
        <f aca="false">IF(C682="","",IFERROR(INDEX(LOTES!$C$5:$C$1004,MATCH(C682,LOTES!$F$5:$F$1004,0)),""))</f>
        <v/>
      </c>
      <c r="F682" s="24" t="str">
        <f aca="false">IF(C682="","",IFERROR(INDEX(LOTES!$B$5:$B$1004,MATCH(C682,LOTES!$F$5:$F$1004,0)),""))</f>
        <v/>
      </c>
      <c r="G682" s="15" t="str">
        <f aca="false">IF(OR(B682="",F682=""),"",B682-F682)</f>
        <v/>
      </c>
      <c r="H682" s="13"/>
      <c r="I682" s="13"/>
      <c r="J682" s="13"/>
      <c r="K682" s="25"/>
      <c r="L682" s="25"/>
      <c r="M682" s="25"/>
      <c r="N682" s="25"/>
      <c r="O682" s="26"/>
      <c r="P682" s="16" t="str">
        <f aca="false">IF(O682="","",IFERROR(1/(1/(IF(K682="",INDEX(CONFIG!$F$5:$F$14,MATCH(D682,CONFIG!$D$5:$D$14,0)),K682)*IF(M682="",INDEX(CONFIG!$H$5:$H$14,MATCH(D682,CONFIG!$D$5:$D$14,0)),M682))),""))</f>
        <v/>
      </c>
      <c r="Q682" s="16" t="str">
        <f aca="false">IF(OR(O682="",P682=""),"",O682/P682)</f>
        <v/>
      </c>
      <c r="R682" s="16" t="str">
        <f aca="false">IF(Q682="","",Q682*0.0980665)</f>
        <v/>
      </c>
      <c r="S682" s="16" t="str">
        <f aca="false">IF(Q682="","",IFERROR(Q682/(1/(1/INDEX(CONFIG!$I$5:$I$14,MATCH(D682,CONFIG!$D$5:$D$14,0)))),""))</f>
        <v/>
      </c>
      <c r="T682" s="13"/>
      <c r="U682" s="13"/>
      <c r="V682" s="13"/>
      <c r="W682" s="13"/>
      <c r="X682" s="22" t="str">
        <f aca="false">IF(Q682="","",Q682^2)</f>
        <v/>
      </c>
      <c r="Y682" s="22" t="str">
        <f aca="false">IF(AND(C682&lt;&gt;"",C682=CERTIFICADO!$E$4,OR(CERTIFICADO!$E$5="",B682=CERTIFICADO!$E$5)),MAX($Y$4:Y681)+1,"")</f>
        <v/>
      </c>
    </row>
    <row r="683" customFormat="false" ht="15" hidden="false" customHeight="false" outlineLevel="0" collapsed="false">
      <c r="A683" s="11" t="str">
        <f aca="false">IF(C683="","",ROW()-4)</f>
        <v/>
      </c>
      <c r="B683" s="12"/>
      <c r="C683" s="13"/>
      <c r="D683" s="23" t="str">
        <f aca="false">IF(C683="","",IFERROR(INDEX(LOTES!$D$5:$D$1004,MATCH(C683,LOTES!$F$5:$F$1004,0)),"¿Lote?"))</f>
        <v/>
      </c>
      <c r="E683" s="11" t="str">
        <f aca="false">IF(C683="","",IFERROR(INDEX(LOTES!$C$5:$C$1004,MATCH(C683,LOTES!$F$5:$F$1004,0)),""))</f>
        <v/>
      </c>
      <c r="F683" s="24" t="str">
        <f aca="false">IF(C683="","",IFERROR(INDEX(LOTES!$B$5:$B$1004,MATCH(C683,LOTES!$F$5:$F$1004,0)),""))</f>
        <v/>
      </c>
      <c r="G683" s="15" t="str">
        <f aca="false">IF(OR(B683="",F683=""),"",B683-F683)</f>
        <v/>
      </c>
      <c r="H683" s="13"/>
      <c r="I683" s="13"/>
      <c r="J683" s="13"/>
      <c r="K683" s="25"/>
      <c r="L683" s="25"/>
      <c r="M683" s="25"/>
      <c r="N683" s="25"/>
      <c r="O683" s="26"/>
      <c r="P683" s="16" t="str">
        <f aca="false">IF(O683="","",IFERROR(1/(1/(IF(K683="",INDEX(CONFIG!$F$5:$F$14,MATCH(D683,CONFIG!$D$5:$D$14,0)),K683)*IF(M683="",INDEX(CONFIG!$H$5:$H$14,MATCH(D683,CONFIG!$D$5:$D$14,0)),M683))),""))</f>
        <v/>
      </c>
      <c r="Q683" s="16" t="str">
        <f aca="false">IF(OR(O683="",P683=""),"",O683/P683)</f>
        <v/>
      </c>
      <c r="R683" s="16" t="str">
        <f aca="false">IF(Q683="","",Q683*0.0980665)</f>
        <v/>
      </c>
      <c r="S683" s="16" t="str">
        <f aca="false">IF(Q683="","",IFERROR(Q683/(1/(1/INDEX(CONFIG!$I$5:$I$14,MATCH(D683,CONFIG!$D$5:$D$14,0)))),""))</f>
        <v/>
      </c>
      <c r="T683" s="13"/>
      <c r="U683" s="13"/>
      <c r="V683" s="13"/>
      <c r="W683" s="13"/>
      <c r="X683" s="22" t="str">
        <f aca="false">IF(Q683="","",Q683^2)</f>
        <v/>
      </c>
      <c r="Y683" s="22" t="str">
        <f aca="false">IF(AND(C683&lt;&gt;"",C683=CERTIFICADO!$E$4,OR(CERTIFICADO!$E$5="",B683=CERTIFICADO!$E$5)),MAX($Y$4:Y682)+1,"")</f>
        <v/>
      </c>
    </row>
    <row r="684" customFormat="false" ht="15" hidden="false" customHeight="false" outlineLevel="0" collapsed="false">
      <c r="A684" s="11" t="str">
        <f aca="false">IF(C684="","",ROW()-4)</f>
        <v/>
      </c>
      <c r="B684" s="12"/>
      <c r="C684" s="13"/>
      <c r="D684" s="23" t="str">
        <f aca="false">IF(C684="","",IFERROR(INDEX(LOTES!$D$5:$D$1004,MATCH(C684,LOTES!$F$5:$F$1004,0)),"¿Lote?"))</f>
        <v/>
      </c>
      <c r="E684" s="11" t="str">
        <f aca="false">IF(C684="","",IFERROR(INDEX(LOTES!$C$5:$C$1004,MATCH(C684,LOTES!$F$5:$F$1004,0)),""))</f>
        <v/>
      </c>
      <c r="F684" s="24" t="str">
        <f aca="false">IF(C684="","",IFERROR(INDEX(LOTES!$B$5:$B$1004,MATCH(C684,LOTES!$F$5:$F$1004,0)),""))</f>
        <v/>
      </c>
      <c r="G684" s="15" t="str">
        <f aca="false">IF(OR(B684="",F684=""),"",B684-F684)</f>
        <v/>
      </c>
      <c r="H684" s="13"/>
      <c r="I684" s="13"/>
      <c r="J684" s="13"/>
      <c r="K684" s="25"/>
      <c r="L684" s="25"/>
      <c r="M684" s="25"/>
      <c r="N684" s="25"/>
      <c r="O684" s="26"/>
      <c r="P684" s="16" t="str">
        <f aca="false">IF(O684="","",IFERROR(1/(1/(IF(K684="",INDEX(CONFIG!$F$5:$F$14,MATCH(D684,CONFIG!$D$5:$D$14,0)),K684)*IF(M684="",INDEX(CONFIG!$H$5:$H$14,MATCH(D684,CONFIG!$D$5:$D$14,0)),M684))),""))</f>
        <v/>
      </c>
      <c r="Q684" s="16" t="str">
        <f aca="false">IF(OR(O684="",P684=""),"",O684/P684)</f>
        <v/>
      </c>
      <c r="R684" s="16" t="str">
        <f aca="false">IF(Q684="","",Q684*0.0980665)</f>
        <v/>
      </c>
      <c r="S684" s="16" t="str">
        <f aca="false">IF(Q684="","",IFERROR(Q684/(1/(1/INDEX(CONFIG!$I$5:$I$14,MATCH(D684,CONFIG!$D$5:$D$14,0)))),""))</f>
        <v/>
      </c>
      <c r="T684" s="13"/>
      <c r="U684" s="13"/>
      <c r="V684" s="13"/>
      <c r="W684" s="13"/>
      <c r="X684" s="22" t="str">
        <f aca="false">IF(Q684="","",Q684^2)</f>
        <v/>
      </c>
      <c r="Y684" s="22" t="str">
        <f aca="false">IF(AND(C684&lt;&gt;"",C684=CERTIFICADO!$E$4,OR(CERTIFICADO!$E$5="",B684=CERTIFICADO!$E$5)),MAX($Y$4:Y683)+1,"")</f>
        <v/>
      </c>
    </row>
    <row r="685" customFormat="false" ht="15" hidden="false" customHeight="false" outlineLevel="0" collapsed="false">
      <c r="A685" s="11" t="str">
        <f aca="false">IF(C685="","",ROW()-4)</f>
        <v/>
      </c>
      <c r="B685" s="12"/>
      <c r="C685" s="13"/>
      <c r="D685" s="23" t="str">
        <f aca="false">IF(C685="","",IFERROR(INDEX(LOTES!$D$5:$D$1004,MATCH(C685,LOTES!$F$5:$F$1004,0)),"¿Lote?"))</f>
        <v/>
      </c>
      <c r="E685" s="11" t="str">
        <f aca="false">IF(C685="","",IFERROR(INDEX(LOTES!$C$5:$C$1004,MATCH(C685,LOTES!$F$5:$F$1004,0)),""))</f>
        <v/>
      </c>
      <c r="F685" s="24" t="str">
        <f aca="false">IF(C685="","",IFERROR(INDEX(LOTES!$B$5:$B$1004,MATCH(C685,LOTES!$F$5:$F$1004,0)),""))</f>
        <v/>
      </c>
      <c r="G685" s="15" t="str">
        <f aca="false">IF(OR(B685="",F685=""),"",B685-F685)</f>
        <v/>
      </c>
      <c r="H685" s="13"/>
      <c r="I685" s="13"/>
      <c r="J685" s="13"/>
      <c r="K685" s="25"/>
      <c r="L685" s="25"/>
      <c r="M685" s="25"/>
      <c r="N685" s="25"/>
      <c r="O685" s="26"/>
      <c r="P685" s="16" t="str">
        <f aca="false">IF(O685="","",IFERROR(1/(1/(IF(K685="",INDEX(CONFIG!$F$5:$F$14,MATCH(D685,CONFIG!$D$5:$D$14,0)),K685)*IF(M685="",INDEX(CONFIG!$H$5:$H$14,MATCH(D685,CONFIG!$D$5:$D$14,0)),M685))),""))</f>
        <v/>
      </c>
      <c r="Q685" s="16" t="str">
        <f aca="false">IF(OR(O685="",P685=""),"",O685/P685)</f>
        <v/>
      </c>
      <c r="R685" s="16" t="str">
        <f aca="false">IF(Q685="","",Q685*0.0980665)</f>
        <v/>
      </c>
      <c r="S685" s="16" t="str">
        <f aca="false">IF(Q685="","",IFERROR(Q685/(1/(1/INDEX(CONFIG!$I$5:$I$14,MATCH(D685,CONFIG!$D$5:$D$14,0)))),""))</f>
        <v/>
      </c>
      <c r="T685" s="13"/>
      <c r="U685" s="13"/>
      <c r="V685" s="13"/>
      <c r="W685" s="13"/>
      <c r="X685" s="22" t="str">
        <f aca="false">IF(Q685="","",Q685^2)</f>
        <v/>
      </c>
      <c r="Y685" s="22" t="str">
        <f aca="false">IF(AND(C685&lt;&gt;"",C685=CERTIFICADO!$E$4,OR(CERTIFICADO!$E$5="",B685=CERTIFICADO!$E$5)),MAX($Y$4:Y684)+1,"")</f>
        <v/>
      </c>
    </row>
    <row r="686" customFormat="false" ht="15" hidden="false" customHeight="false" outlineLevel="0" collapsed="false">
      <c r="A686" s="11" t="str">
        <f aca="false">IF(C686="","",ROW()-4)</f>
        <v/>
      </c>
      <c r="B686" s="12"/>
      <c r="C686" s="13"/>
      <c r="D686" s="23" t="str">
        <f aca="false">IF(C686="","",IFERROR(INDEX(LOTES!$D$5:$D$1004,MATCH(C686,LOTES!$F$5:$F$1004,0)),"¿Lote?"))</f>
        <v/>
      </c>
      <c r="E686" s="11" t="str">
        <f aca="false">IF(C686="","",IFERROR(INDEX(LOTES!$C$5:$C$1004,MATCH(C686,LOTES!$F$5:$F$1004,0)),""))</f>
        <v/>
      </c>
      <c r="F686" s="24" t="str">
        <f aca="false">IF(C686="","",IFERROR(INDEX(LOTES!$B$5:$B$1004,MATCH(C686,LOTES!$F$5:$F$1004,0)),""))</f>
        <v/>
      </c>
      <c r="G686" s="15" t="str">
        <f aca="false">IF(OR(B686="",F686=""),"",B686-F686)</f>
        <v/>
      </c>
      <c r="H686" s="13"/>
      <c r="I686" s="13"/>
      <c r="J686" s="13"/>
      <c r="K686" s="25"/>
      <c r="L686" s="25"/>
      <c r="M686" s="25"/>
      <c r="N686" s="25"/>
      <c r="O686" s="26"/>
      <c r="P686" s="16" t="str">
        <f aca="false">IF(O686="","",IFERROR(1/(1/(IF(K686="",INDEX(CONFIG!$F$5:$F$14,MATCH(D686,CONFIG!$D$5:$D$14,0)),K686)*IF(M686="",INDEX(CONFIG!$H$5:$H$14,MATCH(D686,CONFIG!$D$5:$D$14,0)),M686))),""))</f>
        <v/>
      </c>
      <c r="Q686" s="16" t="str">
        <f aca="false">IF(OR(O686="",P686=""),"",O686/P686)</f>
        <v/>
      </c>
      <c r="R686" s="16" t="str">
        <f aca="false">IF(Q686="","",Q686*0.0980665)</f>
        <v/>
      </c>
      <c r="S686" s="16" t="str">
        <f aca="false">IF(Q686="","",IFERROR(Q686/(1/(1/INDEX(CONFIG!$I$5:$I$14,MATCH(D686,CONFIG!$D$5:$D$14,0)))),""))</f>
        <v/>
      </c>
      <c r="T686" s="13"/>
      <c r="U686" s="13"/>
      <c r="V686" s="13"/>
      <c r="W686" s="13"/>
      <c r="X686" s="22" t="str">
        <f aca="false">IF(Q686="","",Q686^2)</f>
        <v/>
      </c>
      <c r="Y686" s="22" t="str">
        <f aca="false">IF(AND(C686&lt;&gt;"",C686=CERTIFICADO!$E$4,OR(CERTIFICADO!$E$5="",B686=CERTIFICADO!$E$5)),MAX($Y$4:Y685)+1,"")</f>
        <v/>
      </c>
    </row>
    <row r="687" customFormat="false" ht="15" hidden="false" customHeight="false" outlineLevel="0" collapsed="false">
      <c r="A687" s="11" t="str">
        <f aca="false">IF(C687="","",ROW()-4)</f>
        <v/>
      </c>
      <c r="B687" s="12"/>
      <c r="C687" s="13"/>
      <c r="D687" s="23" t="str">
        <f aca="false">IF(C687="","",IFERROR(INDEX(LOTES!$D$5:$D$1004,MATCH(C687,LOTES!$F$5:$F$1004,0)),"¿Lote?"))</f>
        <v/>
      </c>
      <c r="E687" s="11" t="str">
        <f aca="false">IF(C687="","",IFERROR(INDEX(LOTES!$C$5:$C$1004,MATCH(C687,LOTES!$F$5:$F$1004,0)),""))</f>
        <v/>
      </c>
      <c r="F687" s="24" t="str">
        <f aca="false">IF(C687="","",IFERROR(INDEX(LOTES!$B$5:$B$1004,MATCH(C687,LOTES!$F$5:$F$1004,0)),""))</f>
        <v/>
      </c>
      <c r="G687" s="15" t="str">
        <f aca="false">IF(OR(B687="",F687=""),"",B687-F687)</f>
        <v/>
      </c>
      <c r="H687" s="13"/>
      <c r="I687" s="13"/>
      <c r="J687" s="13"/>
      <c r="K687" s="25"/>
      <c r="L687" s="25"/>
      <c r="M687" s="25"/>
      <c r="N687" s="25"/>
      <c r="O687" s="26"/>
      <c r="P687" s="16" t="str">
        <f aca="false">IF(O687="","",IFERROR(1/(1/(IF(K687="",INDEX(CONFIG!$F$5:$F$14,MATCH(D687,CONFIG!$D$5:$D$14,0)),K687)*IF(M687="",INDEX(CONFIG!$H$5:$H$14,MATCH(D687,CONFIG!$D$5:$D$14,0)),M687))),""))</f>
        <v/>
      </c>
      <c r="Q687" s="16" t="str">
        <f aca="false">IF(OR(O687="",P687=""),"",O687/P687)</f>
        <v/>
      </c>
      <c r="R687" s="16" t="str">
        <f aca="false">IF(Q687="","",Q687*0.0980665)</f>
        <v/>
      </c>
      <c r="S687" s="16" t="str">
        <f aca="false">IF(Q687="","",IFERROR(Q687/(1/(1/INDEX(CONFIG!$I$5:$I$14,MATCH(D687,CONFIG!$D$5:$D$14,0)))),""))</f>
        <v/>
      </c>
      <c r="T687" s="13"/>
      <c r="U687" s="13"/>
      <c r="V687" s="13"/>
      <c r="W687" s="13"/>
      <c r="X687" s="22" t="str">
        <f aca="false">IF(Q687="","",Q687^2)</f>
        <v/>
      </c>
      <c r="Y687" s="22" t="str">
        <f aca="false">IF(AND(C687&lt;&gt;"",C687=CERTIFICADO!$E$4,OR(CERTIFICADO!$E$5="",B687=CERTIFICADO!$E$5)),MAX($Y$4:Y686)+1,"")</f>
        <v/>
      </c>
    </row>
    <row r="688" customFormat="false" ht="15" hidden="false" customHeight="false" outlineLevel="0" collapsed="false">
      <c r="A688" s="11" t="str">
        <f aca="false">IF(C688="","",ROW()-4)</f>
        <v/>
      </c>
      <c r="B688" s="12"/>
      <c r="C688" s="13"/>
      <c r="D688" s="23" t="str">
        <f aca="false">IF(C688="","",IFERROR(INDEX(LOTES!$D$5:$D$1004,MATCH(C688,LOTES!$F$5:$F$1004,0)),"¿Lote?"))</f>
        <v/>
      </c>
      <c r="E688" s="11" t="str">
        <f aca="false">IF(C688="","",IFERROR(INDEX(LOTES!$C$5:$C$1004,MATCH(C688,LOTES!$F$5:$F$1004,0)),""))</f>
        <v/>
      </c>
      <c r="F688" s="24" t="str">
        <f aca="false">IF(C688="","",IFERROR(INDEX(LOTES!$B$5:$B$1004,MATCH(C688,LOTES!$F$5:$F$1004,0)),""))</f>
        <v/>
      </c>
      <c r="G688" s="15" t="str">
        <f aca="false">IF(OR(B688="",F688=""),"",B688-F688)</f>
        <v/>
      </c>
      <c r="H688" s="13"/>
      <c r="I688" s="13"/>
      <c r="J688" s="13"/>
      <c r="K688" s="25"/>
      <c r="L688" s="25"/>
      <c r="M688" s="25"/>
      <c r="N688" s="25"/>
      <c r="O688" s="26"/>
      <c r="P688" s="16" t="str">
        <f aca="false">IF(O688="","",IFERROR(1/(1/(IF(K688="",INDEX(CONFIG!$F$5:$F$14,MATCH(D688,CONFIG!$D$5:$D$14,0)),K688)*IF(M688="",INDEX(CONFIG!$H$5:$H$14,MATCH(D688,CONFIG!$D$5:$D$14,0)),M688))),""))</f>
        <v/>
      </c>
      <c r="Q688" s="16" t="str">
        <f aca="false">IF(OR(O688="",P688=""),"",O688/P688)</f>
        <v/>
      </c>
      <c r="R688" s="16" t="str">
        <f aca="false">IF(Q688="","",Q688*0.0980665)</f>
        <v/>
      </c>
      <c r="S688" s="16" t="str">
        <f aca="false">IF(Q688="","",IFERROR(Q688/(1/(1/INDEX(CONFIG!$I$5:$I$14,MATCH(D688,CONFIG!$D$5:$D$14,0)))),""))</f>
        <v/>
      </c>
      <c r="T688" s="13"/>
      <c r="U688" s="13"/>
      <c r="V688" s="13"/>
      <c r="W688" s="13"/>
      <c r="X688" s="22" t="str">
        <f aca="false">IF(Q688="","",Q688^2)</f>
        <v/>
      </c>
      <c r="Y688" s="22" t="str">
        <f aca="false">IF(AND(C688&lt;&gt;"",C688=CERTIFICADO!$E$4,OR(CERTIFICADO!$E$5="",B688=CERTIFICADO!$E$5)),MAX($Y$4:Y687)+1,"")</f>
        <v/>
      </c>
    </row>
    <row r="689" customFormat="false" ht="15" hidden="false" customHeight="false" outlineLevel="0" collapsed="false">
      <c r="A689" s="11" t="str">
        <f aca="false">IF(C689="","",ROW()-4)</f>
        <v/>
      </c>
      <c r="B689" s="12"/>
      <c r="C689" s="13"/>
      <c r="D689" s="23" t="str">
        <f aca="false">IF(C689="","",IFERROR(INDEX(LOTES!$D$5:$D$1004,MATCH(C689,LOTES!$F$5:$F$1004,0)),"¿Lote?"))</f>
        <v/>
      </c>
      <c r="E689" s="11" t="str">
        <f aca="false">IF(C689="","",IFERROR(INDEX(LOTES!$C$5:$C$1004,MATCH(C689,LOTES!$F$5:$F$1004,0)),""))</f>
        <v/>
      </c>
      <c r="F689" s="24" t="str">
        <f aca="false">IF(C689="","",IFERROR(INDEX(LOTES!$B$5:$B$1004,MATCH(C689,LOTES!$F$5:$F$1004,0)),""))</f>
        <v/>
      </c>
      <c r="G689" s="15" t="str">
        <f aca="false">IF(OR(B689="",F689=""),"",B689-F689)</f>
        <v/>
      </c>
      <c r="H689" s="13"/>
      <c r="I689" s="13"/>
      <c r="J689" s="13"/>
      <c r="K689" s="25"/>
      <c r="L689" s="25"/>
      <c r="M689" s="25"/>
      <c r="N689" s="25"/>
      <c r="O689" s="26"/>
      <c r="P689" s="16" t="str">
        <f aca="false">IF(O689="","",IFERROR(1/(1/(IF(K689="",INDEX(CONFIG!$F$5:$F$14,MATCH(D689,CONFIG!$D$5:$D$14,0)),K689)*IF(M689="",INDEX(CONFIG!$H$5:$H$14,MATCH(D689,CONFIG!$D$5:$D$14,0)),M689))),""))</f>
        <v/>
      </c>
      <c r="Q689" s="16" t="str">
        <f aca="false">IF(OR(O689="",P689=""),"",O689/P689)</f>
        <v/>
      </c>
      <c r="R689" s="16" t="str">
        <f aca="false">IF(Q689="","",Q689*0.0980665)</f>
        <v/>
      </c>
      <c r="S689" s="16" t="str">
        <f aca="false">IF(Q689="","",IFERROR(Q689/(1/(1/INDEX(CONFIG!$I$5:$I$14,MATCH(D689,CONFIG!$D$5:$D$14,0)))),""))</f>
        <v/>
      </c>
      <c r="T689" s="13"/>
      <c r="U689" s="13"/>
      <c r="V689" s="13"/>
      <c r="W689" s="13"/>
      <c r="X689" s="22" t="str">
        <f aca="false">IF(Q689="","",Q689^2)</f>
        <v/>
      </c>
      <c r="Y689" s="22" t="str">
        <f aca="false">IF(AND(C689&lt;&gt;"",C689=CERTIFICADO!$E$4,OR(CERTIFICADO!$E$5="",B689=CERTIFICADO!$E$5)),MAX($Y$4:Y688)+1,"")</f>
        <v/>
      </c>
    </row>
    <row r="690" customFormat="false" ht="15" hidden="false" customHeight="false" outlineLevel="0" collapsed="false">
      <c r="A690" s="11" t="str">
        <f aca="false">IF(C690="","",ROW()-4)</f>
        <v/>
      </c>
      <c r="B690" s="12"/>
      <c r="C690" s="13"/>
      <c r="D690" s="23" t="str">
        <f aca="false">IF(C690="","",IFERROR(INDEX(LOTES!$D$5:$D$1004,MATCH(C690,LOTES!$F$5:$F$1004,0)),"¿Lote?"))</f>
        <v/>
      </c>
      <c r="E690" s="11" t="str">
        <f aca="false">IF(C690="","",IFERROR(INDEX(LOTES!$C$5:$C$1004,MATCH(C690,LOTES!$F$5:$F$1004,0)),""))</f>
        <v/>
      </c>
      <c r="F690" s="24" t="str">
        <f aca="false">IF(C690="","",IFERROR(INDEX(LOTES!$B$5:$B$1004,MATCH(C690,LOTES!$F$5:$F$1004,0)),""))</f>
        <v/>
      </c>
      <c r="G690" s="15" t="str">
        <f aca="false">IF(OR(B690="",F690=""),"",B690-F690)</f>
        <v/>
      </c>
      <c r="H690" s="13"/>
      <c r="I690" s="13"/>
      <c r="J690" s="13"/>
      <c r="K690" s="25"/>
      <c r="L690" s="25"/>
      <c r="M690" s="25"/>
      <c r="N690" s="25"/>
      <c r="O690" s="26"/>
      <c r="P690" s="16" t="str">
        <f aca="false">IF(O690="","",IFERROR(1/(1/(IF(K690="",INDEX(CONFIG!$F$5:$F$14,MATCH(D690,CONFIG!$D$5:$D$14,0)),K690)*IF(M690="",INDEX(CONFIG!$H$5:$H$14,MATCH(D690,CONFIG!$D$5:$D$14,0)),M690))),""))</f>
        <v/>
      </c>
      <c r="Q690" s="16" t="str">
        <f aca="false">IF(OR(O690="",P690=""),"",O690/P690)</f>
        <v/>
      </c>
      <c r="R690" s="16" t="str">
        <f aca="false">IF(Q690="","",Q690*0.0980665)</f>
        <v/>
      </c>
      <c r="S690" s="16" t="str">
        <f aca="false">IF(Q690="","",IFERROR(Q690/(1/(1/INDEX(CONFIG!$I$5:$I$14,MATCH(D690,CONFIG!$D$5:$D$14,0)))),""))</f>
        <v/>
      </c>
      <c r="T690" s="13"/>
      <c r="U690" s="13"/>
      <c r="V690" s="13"/>
      <c r="W690" s="13"/>
      <c r="X690" s="22" t="str">
        <f aca="false">IF(Q690="","",Q690^2)</f>
        <v/>
      </c>
      <c r="Y690" s="22" t="str">
        <f aca="false">IF(AND(C690&lt;&gt;"",C690=CERTIFICADO!$E$4,OR(CERTIFICADO!$E$5="",B690=CERTIFICADO!$E$5)),MAX($Y$4:Y689)+1,"")</f>
        <v/>
      </c>
    </row>
    <row r="691" customFormat="false" ht="15" hidden="false" customHeight="false" outlineLevel="0" collapsed="false">
      <c r="A691" s="11" t="str">
        <f aca="false">IF(C691="","",ROW()-4)</f>
        <v/>
      </c>
      <c r="B691" s="12"/>
      <c r="C691" s="13"/>
      <c r="D691" s="23" t="str">
        <f aca="false">IF(C691="","",IFERROR(INDEX(LOTES!$D$5:$D$1004,MATCH(C691,LOTES!$F$5:$F$1004,0)),"¿Lote?"))</f>
        <v/>
      </c>
      <c r="E691" s="11" t="str">
        <f aca="false">IF(C691="","",IFERROR(INDEX(LOTES!$C$5:$C$1004,MATCH(C691,LOTES!$F$5:$F$1004,0)),""))</f>
        <v/>
      </c>
      <c r="F691" s="24" t="str">
        <f aca="false">IF(C691="","",IFERROR(INDEX(LOTES!$B$5:$B$1004,MATCH(C691,LOTES!$F$5:$F$1004,0)),""))</f>
        <v/>
      </c>
      <c r="G691" s="15" t="str">
        <f aca="false">IF(OR(B691="",F691=""),"",B691-F691)</f>
        <v/>
      </c>
      <c r="H691" s="13"/>
      <c r="I691" s="13"/>
      <c r="J691" s="13"/>
      <c r="K691" s="25"/>
      <c r="L691" s="25"/>
      <c r="M691" s="25"/>
      <c r="N691" s="25"/>
      <c r="O691" s="26"/>
      <c r="P691" s="16" t="str">
        <f aca="false">IF(O691="","",IFERROR(1/(1/(IF(K691="",INDEX(CONFIG!$F$5:$F$14,MATCH(D691,CONFIG!$D$5:$D$14,0)),K691)*IF(M691="",INDEX(CONFIG!$H$5:$H$14,MATCH(D691,CONFIG!$D$5:$D$14,0)),M691))),""))</f>
        <v/>
      </c>
      <c r="Q691" s="16" t="str">
        <f aca="false">IF(OR(O691="",P691=""),"",O691/P691)</f>
        <v/>
      </c>
      <c r="R691" s="16" t="str">
        <f aca="false">IF(Q691="","",Q691*0.0980665)</f>
        <v/>
      </c>
      <c r="S691" s="16" t="str">
        <f aca="false">IF(Q691="","",IFERROR(Q691/(1/(1/INDEX(CONFIG!$I$5:$I$14,MATCH(D691,CONFIG!$D$5:$D$14,0)))),""))</f>
        <v/>
      </c>
      <c r="T691" s="13"/>
      <c r="U691" s="13"/>
      <c r="V691" s="13"/>
      <c r="W691" s="13"/>
      <c r="X691" s="22" t="str">
        <f aca="false">IF(Q691="","",Q691^2)</f>
        <v/>
      </c>
      <c r="Y691" s="22" t="str">
        <f aca="false">IF(AND(C691&lt;&gt;"",C691=CERTIFICADO!$E$4,OR(CERTIFICADO!$E$5="",B691=CERTIFICADO!$E$5)),MAX($Y$4:Y690)+1,"")</f>
        <v/>
      </c>
    </row>
    <row r="692" customFormat="false" ht="15" hidden="false" customHeight="false" outlineLevel="0" collapsed="false">
      <c r="A692" s="11" t="str">
        <f aca="false">IF(C692="","",ROW()-4)</f>
        <v/>
      </c>
      <c r="B692" s="12"/>
      <c r="C692" s="13"/>
      <c r="D692" s="23" t="str">
        <f aca="false">IF(C692="","",IFERROR(INDEX(LOTES!$D$5:$D$1004,MATCH(C692,LOTES!$F$5:$F$1004,0)),"¿Lote?"))</f>
        <v/>
      </c>
      <c r="E692" s="11" t="str">
        <f aca="false">IF(C692="","",IFERROR(INDEX(LOTES!$C$5:$C$1004,MATCH(C692,LOTES!$F$5:$F$1004,0)),""))</f>
        <v/>
      </c>
      <c r="F692" s="24" t="str">
        <f aca="false">IF(C692="","",IFERROR(INDEX(LOTES!$B$5:$B$1004,MATCH(C692,LOTES!$F$5:$F$1004,0)),""))</f>
        <v/>
      </c>
      <c r="G692" s="15" t="str">
        <f aca="false">IF(OR(B692="",F692=""),"",B692-F692)</f>
        <v/>
      </c>
      <c r="H692" s="13"/>
      <c r="I692" s="13"/>
      <c r="J692" s="13"/>
      <c r="K692" s="25"/>
      <c r="L692" s="25"/>
      <c r="M692" s="25"/>
      <c r="N692" s="25"/>
      <c r="O692" s="26"/>
      <c r="P692" s="16" t="str">
        <f aca="false">IF(O692="","",IFERROR(1/(1/(IF(K692="",INDEX(CONFIG!$F$5:$F$14,MATCH(D692,CONFIG!$D$5:$D$14,0)),K692)*IF(M692="",INDEX(CONFIG!$H$5:$H$14,MATCH(D692,CONFIG!$D$5:$D$14,0)),M692))),""))</f>
        <v/>
      </c>
      <c r="Q692" s="16" t="str">
        <f aca="false">IF(OR(O692="",P692=""),"",O692/P692)</f>
        <v/>
      </c>
      <c r="R692" s="16" t="str">
        <f aca="false">IF(Q692="","",Q692*0.0980665)</f>
        <v/>
      </c>
      <c r="S692" s="16" t="str">
        <f aca="false">IF(Q692="","",IFERROR(Q692/(1/(1/INDEX(CONFIG!$I$5:$I$14,MATCH(D692,CONFIG!$D$5:$D$14,0)))),""))</f>
        <v/>
      </c>
      <c r="T692" s="13"/>
      <c r="U692" s="13"/>
      <c r="V692" s="13"/>
      <c r="W692" s="13"/>
      <c r="X692" s="22" t="str">
        <f aca="false">IF(Q692="","",Q692^2)</f>
        <v/>
      </c>
      <c r="Y692" s="22" t="str">
        <f aca="false">IF(AND(C692&lt;&gt;"",C692=CERTIFICADO!$E$4,OR(CERTIFICADO!$E$5="",B692=CERTIFICADO!$E$5)),MAX($Y$4:Y691)+1,"")</f>
        <v/>
      </c>
    </row>
    <row r="693" customFormat="false" ht="15" hidden="false" customHeight="false" outlineLevel="0" collapsed="false">
      <c r="A693" s="11" t="str">
        <f aca="false">IF(C693="","",ROW()-4)</f>
        <v/>
      </c>
      <c r="B693" s="12"/>
      <c r="C693" s="13"/>
      <c r="D693" s="23" t="str">
        <f aca="false">IF(C693="","",IFERROR(INDEX(LOTES!$D$5:$D$1004,MATCH(C693,LOTES!$F$5:$F$1004,0)),"¿Lote?"))</f>
        <v/>
      </c>
      <c r="E693" s="11" t="str">
        <f aca="false">IF(C693="","",IFERROR(INDEX(LOTES!$C$5:$C$1004,MATCH(C693,LOTES!$F$5:$F$1004,0)),""))</f>
        <v/>
      </c>
      <c r="F693" s="24" t="str">
        <f aca="false">IF(C693="","",IFERROR(INDEX(LOTES!$B$5:$B$1004,MATCH(C693,LOTES!$F$5:$F$1004,0)),""))</f>
        <v/>
      </c>
      <c r="G693" s="15" t="str">
        <f aca="false">IF(OR(B693="",F693=""),"",B693-F693)</f>
        <v/>
      </c>
      <c r="H693" s="13"/>
      <c r="I693" s="13"/>
      <c r="J693" s="13"/>
      <c r="K693" s="25"/>
      <c r="L693" s="25"/>
      <c r="M693" s="25"/>
      <c r="N693" s="25"/>
      <c r="O693" s="26"/>
      <c r="P693" s="16" t="str">
        <f aca="false">IF(O693="","",IFERROR(1/(1/(IF(K693="",INDEX(CONFIG!$F$5:$F$14,MATCH(D693,CONFIG!$D$5:$D$14,0)),K693)*IF(M693="",INDEX(CONFIG!$H$5:$H$14,MATCH(D693,CONFIG!$D$5:$D$14,0)),M693))),""))</f>
        <v/>
      </c>
      <c r="Q693" s="16" t="str">
        <f aca="false">IF(OR(O693="",P693=""),"",O693/P693)</f>
        <v/>
      </c>
      <c r="R693" s="16" t="str">
        <f aca="false">IF(Q693="","",Q693*0.0980665)</f>
        <v/>
      </c>
      <c r="S693" s="16" t="str">
        <f aca="false">IF(Q693="","",IFERROR(Q693/(1/(1/INDEX(CONFIG!$I$5:$I$14,MATCH(D693,CONFIG!$D$5:$D$14,0)))),""))</f>
        <v/>
      </c>
      <c r="T693" s="13"/>
      <c r="U693" s="13"/>
      <c r="V693" s="13"/>
      <c r="W693" s="13"/>
      <c r="X693" s="22" t="str">
        <f aca="false">IF(Q693="","",Q693^2)</f>
        <v/>
      </c>
      <c r="Y693" s="22" t="str">
        <f aca="false">IF(AND(C693&lt;&gt;"",C693=CERTIFICADO!$E$4,OR(CERTIFICADO!$E$5="",B693=CERTIFICADO!$E$5)),MAX($Y$4:Y692)+1,"")</f>
        <v/>
      </c>
    </row>
    <row r="694" customFormat="false" ht="15" hidden="false" customHeight="false" outlineLevel="0" collapsed="false">
      <c r="A694" s="11" t="str">
        <f aca="false">IF(C694="","",ROW()-4)</f>
        <v/>
      </c>
      <c r="B694" s="12"/>
      <c r="C694" s="13"/>
      <c r="D694" s="23" t="str">
        <f aca="false">IF(C694="","",IFERROR(INDEX(LOTES!$D$5:$D$1004,MATCH(C694,LOTES!$F$5:$F$1004,0)),"¿Lote?"))</f>
        <v/>
      </c>
      <c r="E694" s="11" t="str">
        <f aca="false">IF(C694="","",IFERROR(INDEX(LOTES!$C$5:$C$1004,MATCH(C694,LOTES!$F$5:$F$1004,0)),""))</f>
        <v/>
      </c>
      <c r="F694" s="24" t="str">
        <f aca="false">IF(C694="","",IFERROR(INDEX(LOTES!$B$5:$B$1004,MATCH(C694,LOTES!$F$5:$F$1004,0)),""))</f>
        <v/>
      </c>
      <c r="G694" s="15" t="str">
        <f aca="false">IF(OR(B694="",F694=""),"",B694-F694)</f>
        <v/>
      </c>
      <c r="H694" s="13"/>
      <c r="I694" s="13"/>
      <c r="J694" s="13"/>
      <c r="K694" s="25"/>
      <c r="L694" s="25"/>
      <c r="M694" s="25"/>
      <c r="N694" s="25"/>
      <c r="O694" s="26"/>
      <c r="P694" s="16" t="str">
        <f aca="false">IF(O694="","",IFERROR(1/(1/(IF(K694="",INDEX(CONFIG!$F$5:$F$14,MATCH(D694,CONFIG!$D$5:$D$14,0)),K694)*IF(M694="",INDEX(CONFIG!$H$5:$H$14,MATCH(D694,CONFIG!$D$5:$D$14,0)),M694))),""))</f>
        <v/>
      </c>
      <c r="Q694" s="16" t="str">
        <f aca="false">IF(OR(O694="",P694=""),"",O694/P694)</f>
        <v/>
      </c>
      <c r="R694" s="16" t="str">
        <f aca="false">IF(Q694="","",Q694*0.0980665)</f>
        <v/>
      </c>
      <c r="S694" s="16" t="str">
        <f aca="false">IF(Q694="","",IFERROR(Q694/(1/(1/INDEX(CONFIG!$I$5:$I$14,MATCH(D694,CONFIG!$D$5:$D$14,0)))),""))</f>
        <v/>
      </c>
      <c r="T694" s="13"/>
      <c r="U694" s="13"/>
      <c r="V694" s="13"/>
      <c r="W694" s="13"/>
      <c r="X694" s="22" t="str">
        <f aca="false">IF(Q694="","",Q694^2)</f>
        <v/>
      </c>
      <c r="Y694" s="22" t="str">
        <f aca="false">IF(AND(C694&lt;&gt;"",C694=CERTIFICADO!$E$4,OR(CERTIFICADO!$E$5="",B694=CERTIFICADO!$E$5)),MAX($Y$4:Y693)+1,"")</f>
        <v/>
      </c>
    </row>
    <row r="695" customFormat="false" ht="15" hidden="false" customHeight="false" outlineLevel="0" collapsed="false">
      <c r="A695" s="11" t="str">
        <f aca="false">IF(C695="","",ROW()-4)</f>
        <v/>
      </c>
      <c r="B695" s="12"/>
      <c r="C695" s="13"/>
      <c r="D695" s="23" t="str">
        <f aca="false">IF(C695="","",IFERROR(INDEX(LOTES!$D$5:$D$1004,MATCH(C695,LOTES!$F$5:$F$1004,0)),"¿Lote?"))</f>
        <v/>
      </c>
      <c r="E695" s="11" t="str">
        <f aca="false">IF(C695="","",IFERROR(INDEX(LOTES!$C$5:$C$1004,MATCH(C695,LOTES!$F$5:$F$1004,0)),""))</f>
        <v/>
      </c>
      <c r="F695" s="24" t="str">
        <f aca="false">IF(C695="","",IFERROR(INDEX(LOTES!$B$5:$B$1004,MATCH(C695,LOTES!$F$5:$F$1004,0)),""))</f>
        <v/>
      </c>
      <c r="G695" s="15" t="str">
        <f aca="false">IF(OR(B695="",F695=""),"",B695-F695)</f>
        <v/>
      </c>
      <c r="H695" s="13"/>
      <c r="I695" s="13"/>
      <c r="J695" s="13"/>
      <c r="K695" s="25"/>
      <c r="L695" s="25"/>
      <c r="M695" s="25"/>
      <c r="N695" s="25"/>
      <c r="O695" s="26"/>
      <c r="P695" s="16" t="str">
        <f aca="false">IF(O695="","",IFERROR(1/(1/(IF(K695="",INDEX(CONFIG!$F$5:$F$14,MATCH(D695,CONFIG!$D$5:$D$14,0)),K695)*IF(M695="",INDEX(CONFIG!$H$5:$H$14,MATCH(D695,CONFIG!$D$5:$D$14,0)),M695))),""))</f>
        <v/>
      </c>
      <c r="Q695" s="16" t="str">
        <f aca="false">IF(OR(O695="",P695=""),"",O695/P695)</f>
        <v/>
      </c>
      <c r="R695" s="16" t="str">
        <f aca="false">IF(Q695="","",Q695*0.0980665)</f>
        <v/>
      </c>
      <c r="S695" s="16" t="str">
        <f aca="false">IF(Q695="","",IFERROR(Q695/(1/(1/INDEX(CONFIG!$I$5:$I$14,MATCH(D695,CONFIG!$D$5:$D$14,0)))),""))</f>
        <v/>
      </c>
      <c r="T695" s="13"/>
      <c r="U695" s="13"/>
      <c r="V695" s="13"/>
      <c r="W695" s="13"/>
      <c r="X695" s="22" t="str">
        <f aca="false">IF(Q695="","",Q695^2)</f>
        <v/>
      </c>
      <c r="Y695" s="22" t="str">
        <f aca="false">IF(AND(C695&lt;&gt;"",C695=CERTIFICADO!$E$4,OR(CERTIFICADO!$E$5="",B695=CERTIFICADO!$E$5)),MAX($Y$4:Y694)+1,"")</f>
        <v/>
      </c>
    </row>
    <row r="696" customFormat="false" ht="15" hidden="false" customHeight="false" outlineLevel="0" collapsed="false">
      <c r="A696" s="11" t="str">
        <f aca="false">IF(C696="","",ROW()-4)</f>
        <v/>
      </c>
      <c r="B696" s="12"/>
      <c r="C696" s="13"/>
      <c r="D696" s="23" t="str">
        <f aca="false">IF(C696="","",IFERROR(INDEX(LOTES!$D$5:$D$1004,MATCH(C696,LOTES!$F$5:$F$1004,0)),"¿Lote?"))</f>
        <v/>
      </c>
      <c r="E696" s="11" t="str">
        <f aca="false">IF(C696="","",IFERROR(INDEX(LOTES!$C$5:$C$1004,MATCH(C696,LOTES!$F$5:$F$1004,0)),""))</f>
        <v/>
      </c>
      <c r="F696" s="24" t="str">
        <f aca="false">IF(C696="","",IFERROR(INDEX(LOTES!$B$5:$B$1004,MATCH(C696,LOTES!$F$5:$F$1004,0)),""))</f>
        <v/>
      </c>
      <c r="G696" s="15" t="str">
        <f aca="false">IF(OR(B696="",F696=""),"",B696-F696)</f>
        <v/>
      </c>
      <c r="H696" s="13"/>
      <c r="I696" s="13"/>
      <c r="J696" s="13"/>
      <c r="K696" s="25"/>
      <c r="L696" s="25"/>
      <c r="M696" s="25"/>
      <c r="N696" s="25"/>
      <c r="O696" s="26"/>
      <c r="P696" s="16" t="str">
        <f aca="false">IF(O696="","",IFERROR(1/(1/(IF(K696="",INDEX(CONFIG!$F$5:$F$14,MATCH(D696,CONFIG!$D$5:$D$14,0)),K696)*IF(M696="",INDEX(CONFIG!$H$5:$H$14,MATCH(D696,CONFIG!$D$5:$D$14,0)),M696))),""))</f>
        <v/>
      </c>
      <c r="Q696" s="16" t="str">
        <f aca="false">IF(OR(O696="",P696=""),"",O696/P696)</f>
        <v/>
      </c>
      <c r="R696" s="16" t="str">
        <f aca="false">IF(Q696="","",Q696*0.0980665)</f>
        <v/>
      </c>
      <c r="S696" s="16" t="str">
        <f aca="false">IF(Q696="","",IFERROR(Q696/(1/(1/INDEX(CONFIG!$I$5:$I$14,MATCH(D696,CONFIG!$D$5:$D$14,0)))),""))</f>
        <v/>
      </c>
      <c r="T696" s="13"/>
      <c r="U696" s="13"/>
      <c r="V696" s="13"/>
      <c r="W696" s="13"/>
      <c r="X696" s="22" t="str">
        <f aca="false">IF(Q696="","",Q696^2)</f>
        <v/>
      </c>
      <c r="Y696" s="22" t="str">
        <f aca="false">IF(AND(C696&lt;&gt;"",C696=CERTIFICADO!$E$4,OR(CERTIFICADO!$E$5="",B696=CERTIFICADO!$E$5)),MAX($Y$4:Y695)+1,"")</f>
        <v/>
      </c>
    </row>
    <row r="697" customFormat="false" ht="15" hidden="false" customHeight="false" outlineLevel="0" collapsed="false">
      <c r="A697" s="11" t="str">
        <f aca="false">IF(C697="","",ROW()-4)</f>
        <v/>
      </c>
      <c r="B697" s="12"/>
      <c r="C697" s="13"/>
      <c r="D697" s="23" t="str">
        <f aca="false">IF(C697="","",IFERROR(INDEX(LOTES!$D$5:$D$1004,MATCH(C697,LOTES!$F$5:$F$1004,0)),"¿Lote?"))</f>
        <v/>
      </c>
      <c r="E697" s="11" t="str">
        <f aca="false">IF(C697="","",IFERROR(INDEX(LOTES!$C$5:$C$1004,MATCH(C697,LOTES!$F$5:$F$1004,0)),""))</f>
        <v/>
      </c>
      <c r="F697" s="24" t="str">
        <f aca="false">IF(C697="","",IFERROR(INDEX(LOTES!$B$5:$B$1004,MATCH(C697,LOTES!$F$5:$F$1004,0)),""))</f>
        <v/>
      </c>
      <c r="G697" s="15" t="str">
        <f aca="false">IF(OR(B697="",F697=""),"",B697-F697)</f>
        <v/>
      </c>
      <c r="H697" s="13"/>
      <c r="I697" s="13"/>
      <c r="J697" s="13"/>
      <c r="K697" s="25"/>
      <c r="L697" s="25"/>
      <c r="M697" s="25"/>
      <c r="N697" s="25"/>
      <c r="O697" s="26"/>
      <c r="P697" s="16" t="str">
        <f aca="false">IF(O697="","",IFERROR(1/(1/(IF(K697="",INDEX(CONFIG!$F$5:$F$14,MATCH(D697,CONFIG!$D$5:$D$14,0)),K697)*IF(M697="",INDEX(CONFIG!$H$5:$H$14,MATCH(D697,CONFIG!$D$5:$D$14,0)),M697))),""))</f>
        <v/>
      </c>
      <c r="Q697" s="16" t="str">
        <f aca="false">IF(OR(O697="",P697=""),"",O697/P697)</f>
        <v/>
      </c>
      <c r="R697" s="16" t="str">
        <f aca="false">IF(Q697="","",Q697*0.0980665)</f>
        <v/>
      </c>
      <c r="S697" s="16" t="str">
        <f aca="false">IF(Q697="","",IFERROR(Q697/(1/(1/INDEX(CONFIG!$I$5:$I$14,MATCH(D697,CONFIG!$D$5:$D$14,0)))),""))</f>
        <v/>
      </c>
      <c r="T697" s="13"/>
      <c r="U697" s="13"/>
      <c r="V697" s="13"/>
      <c r="W697" s="13"/>
      <c r="X697" s="22" t="str">
        <f aca="false">IF(Q697="","",Q697^2)</f>
        <v/>
      </c>
      <c r="Y697" s="22" t="str">
        <f aca="false">IF(AND(C697&lt;&gt;"",C697=CERTIFICADO!$E$4,OR(CERTIFICADO!$E$5="",B697=CERTIFICADO!$E$5)),MAX($Y$4:Y696)+1,"")</f>
        <v/>
      </c>
    </row>
    <row r="698" customFormat="false" ht="15" hidden="false" customHeight="false" outlineLevel="0" collapsed="false">
      <c r="A698" s="11" t="str">
        <f aca="false">IF(C698="","",ROW()-4)</f>
        <v/>
      </c>
      <c r="B698" s="12"/>
      <c r="C698" s="13"/>
      <c r="D698" s="23" t="str">
        <f aca="false">IF(C698="","",IFERROR(INDEX(LOTES!$D$5:$D$1004,MATCH(C698,LOTES!$F$5:$F$1004,0)),"¿Lote?"))</f>
        <v/>
      </c>
      <c r="E698" s="11" t="str">
        <f aca="false">IF(C698="","",IFERROR(INDEX(LOTES!$C$5:$C$1004,MATCH(C698,LOTES!$F$5:$F$1004,0)),""))</f>
        <v/>
      </c>
      <c r="F698" s="24" t="str">
        <f aca="false">IF(C698="","",IFERROR(INDEX(LOTES!$B$5:$B$1004,MATCH(C698,LOTES!$F$5:$F$1004,0)),""))</f>
        <v/>
      </c>
      <c r="G698" s="15" t="str">
        <f aca="false">IF(OR(B698="",F698=""),"",B698-F698)</f>
        <v/>
      </c>
      <c r="H698" s="13"/>
      <c r="I698" s="13"/>
      <c r="J698" s="13"/>
      <c r="K698" s="25"/>
      <c r="L698" s="25"/>
      <c r="M698" s="25"/>
      <c r="N698" s="25"/>
      <c r="O698" s="26"/>
      <c r="P698" s="16" t="str">
        <f aca="false">IF(O698="","",IFERROR(1/(1/(IF(K698="",INDEX(CONFIG!$F$5:$F$14,MATCH(D698,CONFIG!$D$5:$D$14,0)),K698)*IF(M698="",INDEX(CONFIG!$H$5:$H$14,MATCH(D698,CONFIG!$D$5:$D$14,0)),M698))),""))</f>
        <v/>
      </c>
      <c r="Q698" s="16" t="str">
        <f aca="false">IF(OR(O698="",P698=""),"",O698/P698)</f>
        <v/>
      </c>
      <c r="R698" s="16" t="str">
        <f aca="false">IF(Q698="","",Q698*0.0980665)</f>
        <v/>
      </c>
      <c r="S698" s="16" t="str">
        <f aca="false">IF(Q698="","",IFERROR(Q698/(1/(1/INDEX(CONFIG!$I$5:$I$14,MATCH(D698,CONFIG!$D$5:$D$14,0)))),""))</f>
        <v/>
      </c>
      <c r="T698" s="13"/>
      <c r="U698" s="13"/>
      <c r="V698" s="13"/>
      <c r="W698" s="13"/>
      <c r="X698" s="22" t="str">
        <f aca="false">IF(Q698="","",Q698^2)</f>
        <v/>
      </c>
      <c r="Y698" s="22" t="str">
        <f aca="false">IF(AND(C698&lt;&gt;"",C698=CERTIFICADO!$E$4,OR(CERTIFICADO!$E$5="",B698=CERTIFICADO!$E$5)),MAX($Y$4:Y697)+1,"")</f>
        <v/>
      </c>
    </row>
    <row r="699" customFormat="false" ht="15" hidden="false" customHeight="false" outlineLevel="0" collapsed="false">
      <c r="A699" s="11" t="str">
        <f aca="false">IF(C699="","",ROW()-4)</f>
        <v/>
      </c>
      <c r="B699" s="12"/>
      <c r="C699" s="13"/>
      <c r="D699" s="23" t="str">
        <f aca="false">IF(C699="","",IFERROR(INDEX(LOTES!$D$5:$D$1004,MATCH(C699,LOTES!$F$5:$F$1004,0)),"¿Lote?"))</f>
        <v/>
      </c>
      <c r="E699" s="11" t="str">
        <f aca="false">IF(C699="","",IFERROR(INDEX(LOTES!$C$5:$C$1004,MATCH(C699,LOTES!$F$5:$F$1004,0)),""))</f>
        <v/>
      </c>
      <c r="F699" s="24" t="str">
        <f aca="false">IF(C699="","",IFERROR(INDEX(LOTES!$B$5:$B$1004,MATCH(C699,LOTES!$F$5:$F$1004,0)),""))</f>
        <v/>
      </c>
      <c r="G699" s="15" t="str">
        <f aca="false">IF(OR(B699="",F699=""),"",B699-F699)</f>
        <v/>
      </c>
      <c r="H699" s="13"/>
      <c r="I699" s="13"/>
      <c r="J699" s="13"/>
      <c r="K699" s="25"/>
      <c r="L699" s="25"/>
      <c r="M699" s="25"/>
      <c r="N699" s="25"/>
      <c r="O699" s="26"/>
      <c r="P699" s="16" t="str">
        <f aca="false">IF(O699="","",IFERROR(1/(1/(IF(K699="",INDEX(CONFIG!$F$5:$F$14,MATCH(D699,CONFIG!$D$5:$D$14,0)),K699)*IF(M699="",INDEX(CONFIG!$H$5:$H$14,MATCH(D699,CONFIG!$D$5:$D$14,0)),M699))),""))</f>
        <v/>
      </c>
      <c r="Q699" s="16" t="str">
        <f aca="false">IF(OR(O699="",P699=""),"",O699/P699)</f>
        <v/>
      </c>
      <c r="R699" s="16" t="str">
        <f aca="false">IF(Q699="","",Q699*0.0980665)</f>
        <v/>
      </c>
      <c r="S699" s="16" t="str">
        <f aca="false">IF(Q699="","",IFERROR(Q699/(1/(1/INDEX(CONFIG!$I$5:$I$14,MATCH(D699,CONFIG!$D$5:$D$14,0)))),""))</f>
        <v/>
      </c>
      <c r="T699" s="13"/>
      <c r="U699" s="13"/>
      <c r="V699" s="13"/>
      <c r="W699" s="13"/>
      <c r="X699" s="22" t="str">
        <f aca="false">IF(Q699="","",Q699^2)</f>
        <v/>
      </c>
      <c r="Y699" s="22" t="str">
        <f aca="false">IF(AND(C699&lt;&gt;"",C699=CERTIFICADO!$E$4,OR(CERTIFICADO!$E$5="",B699=CERTIFICADO!$E$5)),MAX($Y$4:Y698)+1,"")</f>
        <v/>
      </c>
    </row>
    <row r="700" customFormat="false" ht="15" hidden="false" customHeight="false" outlineLevel="0" collapsed="false">
      <c r="A700" s="11" t="str">
        <f aca="false">IF(C700="","",ROW()-4)</f>
        <v/>
      </c>
      <c r="B700" s="12"/>
      <c r="C700" s="13"/>
      <c r="D700" s="23" t="str">
        <f aca="false">IF(C700="","",IFERROR(INDEX(LOTES!$D$5:$D$1004,MATCH(C700,LOTES!$F$5:$F$1004,0)),"¿Lote?"))</f>
        <v/>
      </c>
      <c r="E700" s="11" t="str">
        <f aca="false">IF(C700="","",IFERROR(INDEX(LOTES!$C$5:$C$1004,MATCH(C700,LOTES!$F$5:$F$1004,0)),""))</f>
        <v/>
      </c>
      <c r="F700" s="24" t="str">
        <f aca="false">IF(C700="","",IFERROR(INDEX(LOTES!$B$5:$B$1004,MATCH(C700,LOTES!$F$5:$F$1004,0)),""))</f>
        <v/>
      </c>
      <c r="G700" s="15" t="str">
        <f aca="false">IF(OR(B700="",F700=""),"",B700-F700)</f>
        <v/>
      </c>
      <c r="H700" s="13"/>
      <c r="I700" s="13"/>
      <c r="J700" s="13"/>
      <c r="K700" s="25"/>
      <c r="L700" s="25"/>
      <c r="M700" s="25"/>
      <c r="N700" s="25"/>
      <c r="O700" s="26"/>
      <c r="P700" s="16" t="str">
        <f aca="false">IF(O700="","",IFERROR(1/(1/(IF(K700="",INDEX(CONFIG!$F$5:$F$14,MATCH(D700,CONFIG!$D$5:$D$14,0)),K700)*IF(M700="",INDEX(CONFIG!$H$5:$H$14,MATCH(D700,CONFIG!$D$5:$D$14,0)),M700))),""))</f>
        <v/>
      </c>
      <c r="Q700" s="16" t="str">
        <f aca="false">IF(OR(O700="",P700=""),"",O700/P700)</f>
        <v/>
      </c>
      <c r="R700" s="16" t="str">
        <f aca="false">IF(Q700="","",Q700*0.0980665)</f>
        <v/>
      </c>
      <c r="S700" s="16" t="str">
        <f aca="false">IF(Q700="","",IFERROR(Q700/(1/(1/INDEX(CONFIG!$I$5:$I$14,MATCH(D700,CONFIG!$D$5:$D$14,0)))),""))</f>
        <v/>
      </c>
      <c r="T700" s="13"/>
      <c r="U700" s="13"/>
      <c r="V700" s="13"/>
      <c r="W700" s="13"/>
      <c r="X700" s="22" t="str">
        <f aca="false">IF(Q700="","",Q700^2)</f>
        <v/>
      </c>
      <c r="Y700" s="22" t="str">
        <f aca="false">IF(AND(C700&lt;&gt;"",C700=CERTIFICADO!$E$4,OR(CERTIFICADO!$E$5="",B700=CERTIFICADO!$E$5)),MAX($Y$4:Y699)+1,"")</f>
        <v/>
      </c>
    </row>
    <row r="701" customFormat="false" ht="15" hidden="false" customHeight="false" outlineLevel="0" collapsed="false">
      <c r="A701" s="11" t="str">
        <f aca="false">IF(C701="","",ROW()-4)</f>
        <v/>
      </c>
      <c r="B701" s="12"/>
      <c r="C701" s="13"/>
      <c r="D701" s="23" t="str">
        <f aca="false">IF(C701="","",IFERROR(INDEX(LOTES!$D$5:$D$1004,MATCH(C701,LOTES!$F$5:$F$1004,0)),"¿Lote?"))</f>
        <v/>
      </c>
      <c r="E701" s="11" t="str">
        <f aca="false">IF(C701="","",IFERROR(INDEX(LOTES!$C$5:$C$1004,MATCH(C701,LOTES!$F$5:$F$1004,0)),""))</f>
        <v/>
      </c>
      <c r="F701" s="24" t="str">
        <f aca="false">IF(C701="","",IFERROR(INDEX(LOTES!$B$5:$B$1004,MATCH(C701,LOTES!$F$5:$F$1004,0)),""))</f>
        <v/>
      </c>
      <c r="G701" s="15" t="str">
        <f aca="false">IF(OR(B701="",F701=""),"",B701-F701)</f>
        <v/>
      </c>
      <c r="H701" s="13"/>
      <c r="I701" s="13"/>
      <c r="J701" s="13"/>
      <c r="K701" s="25"/>
      <c r="L701" s="25"/>
      <c r="M701" s="25"/>
      <c r="N701" s="25"/>
      <c r="O701" s="26"/>
      <c r="P701" s="16" t="str">
        <f aca="false">IF(O701="","",IFERROR(1/(1/(IF(K701="",INDEX(CONFIG!$F$5:$F$14,MATCH(D701,CONFIG!$D$5:$D$14,0)),K701)*IF(M701="",INDEX(CONFIG!$H$5:$H$14,MATCH(D701,CONFIG!$D$5:$D$14,0)),M701))),""))</f>
        <v/>
      </c>
      <c r="Q701" s="16" t="str">
        <f aca="false">IF(OR(O701="",P701=""),"",O701/P701)</f>
        <v/>
      </c>
      <c r="R701" s="16" t="str">
        <f aca="false">IF(Q701="","",Q701*0.0980665)</f>
        <v/>
      </c>
      <c r="S701" s="16" t="str">
        <f aca="false">IF(Q701="","",IFERROR(Q701/(1/(1/INDEX(CONFIG!$I$5:$I$14,MATCH(D701,CONFIG!$D$5:$D$14,0)))),""))</f>
        <v/>
      </c>
      <c r="T701" s="13"/>
      <c r="U701" s="13"/>
      <c r="V701" s="13"/>
      <c r="W701" s="13"/>
      <c r="X701" s="22" t="str">
        <f aca="false">IF(Q701="","",Q701^2)</f>
        <v/>
      </c>
      <c r="Y701" s="22" t="str">
        <f aca="false">IF(AND(C701&lt;&gt;"",C701=CERTIFICADO!$E$4,OR(CERTIFICADO!$E$5="",B701=CERTIFICADO!$E$5)),MAX($Y$4:Y700)+1,"")</f>
        <v/>
      </c>
    </row>
    <row r="702" customFormat="false" ht="15" hidden="false" customHeight="false" outlineLevel="0" collapsed="false">
      <c r="A702" s="11" t="str">
        <f aca="false">IF(C702="","",ROW()-4)</f>
        <v/>
      </c>
      <c r="B702" s="12"/>
      <c r="C702" s="13"/>
      <c r="D702" s="23" t="str">
        <f aca="false">IF(C702="","",IFERROR(INDEX(LOTES!$D$5:$D$1004,MATCH(C702,LOTES!$F$5:$F$1004,0)),"¿Lote?"))</f>
        <v/>
      </c>
      <c r="E702" s="11" t="str">
        <f aca="false">IF(C702="","",IFERROR(INDEX(LOTES!$C$5:$C$1004,MATCH(C702,LOTES!$F$5:$F$1004,0)),""))</f>
        <v/>
      </c>
      <c r="F702" s="24" t="str">
        <f aca="false">IF(C702="","",IFERROR(INDEX(LOTES!$B$5:$B$1004,MATCH(C702,LOTES!$F$5:$F$1004,0)),""))</f>
        <v/>
      </c>
      <c r="G702" s="15" t="str">
        <f aca="false">IF(OR(B702="",F702=""),"",B702-F702)</f>
        <v/>
      </c>
      <c r="H702" s="13"/>
      <c r="I702" s="13"/>
      <c r="J702" s="13"/>
      <c r="K702" s="25"/>
      <c r="L702" s="25"/>
      <c r="M702" s="25"/>
      <c r="N702" s="25"/>
      <c r="O702" s="26"/>
      <c r="P702" s="16" t="str">
        <f aca="false">IF(O702="","",IFERROR(1/(1/(IF(K702="",INDEX(CONFIG!$F$5:$F$14,MATCH(D702,CONFIG!$D$5:$D$14,0)),K702)*IF(M702="",INDEX(CONFIG!$H$5:$H$14,MATCH(D702,CONFIG!$D$5:$D$14,0)),M702))),""))</f>
        <v/>
      </c>
      <c r="Q702" s="16" t="str">
        <f aca="false">IF(OR(O702="",P702=""),"",O702/P702)</f>
        <v/>
      </c>
      <c r="R702" s="16" t="str">
        <f aca="false">IF(Q702="","",Q702*0.0980665)</f>
        <v/>
      </c>
      <c r="S702" s="16" t="str">
        <f aca="false">IF(Q702="","",IFERROR(Q702/(1/(1/INDEX(CONFIG!$I$5:$I$14,MATCH(D702,CONFIG!$D$5:$D$14,0)))),""))</f>
        <v/>
      </c>
      <c r="T702" s="13"/>
      <c r="U702" s="13"/>
      <c r="V702" s="13"/>
      <c r="W702" s="13"/>
      <c r="X702" s="22" t="str">
        <f aca="false">IF(Q702="","",Q702^2)</f>
        <v/>
      </c>
      <c r="Y702" s="22" t="str">
        <f aca="false">IF(AND(C702&lt;&gt;"",C702=CERTIFICADO!$E$4,OR(CERTIFICADO!$E$5="",B702=CERTIFICADO!$E$5)),MAX($Y$4:Y701)+1,"")</f>
        <v/>
      </c>
    </row>
    <row r="703" customFormat="false" ht="15" hidden="false" customHeight="false" outlineLevel="0" collapsed="false">
      <c r="A703" s="11" t="str">
        <f aca="false">IF(C703="","",ROW()-4)</f>
        <v/>
      </c>
      <c r="B703" s="12"/>
      <c r="C703" s="13"/>
      <c r="D703" s="23" t="str">
        <f aca="false">IF(C703="","",IFERROR(INDEX(LOTES!$D$5:$D$1004,MATCH(C703,LOTES!$F$5:$F$1004,0)),"¿Lote?"))</f>
        <v/>
      </c>
      <c r="E703" s="11" t="str">
        <f aca="false">IF(C703="","",IFERROR(INDEX(LOTES!$C$5:$C$1004,MATCH(C703,LOTES!$F$5:$F$1004,0)),""))</f>
        <v/>
      </c>
      <c r="F703" s="24" t="str">
        <f aca="false">IF(C703="","",IFERROR(INDEX(LOTES!$B$5:$B$1004,MATCH(C703,LOTES!$F$5:$F$1004,0)),""))</f>
        <v/>
      </c>
      <c r="G703" s="15" t="str">
        <f aca="false">IF(OR(B703="",F703=""),"",B703-F703)</f>
        <v/>
      </c>
      <c r="H703" s="13"/>
      <c r="I703" s="13"/>
      <c r="J703" s="13"/>
      <c r="K703" s="25"/>
      <c r="L703" s="25"/>
      <c r="M703" s="25"/>
      <c r="N703" s="25"/>
      <c r="O703" s="26"/>
      <c r="P703" s="16" t="str">
        <f aca="false">IF(O703="","",IFERROR(1/(1/(IF(K703="",INDEX(CONFIG!$F$5:$F$14,MATCH(D703,CONFIG!$D$5:$D$14,0)),K703)*IF(M703="",INDEX(CONFIG!$H$5:$H$14,MATCH(D703,CONFIG!$D$5:$D$14,0)),M703))),""))</f>
        <v/>
      </c>
      <c r="Q703" s="16" t="str">
        <f aca="false">IF(OR(O703="",P703=""),"",O703/P703)</f>
        <v/>
      </c>
      <c r="R703" s="16" t="str">
        <f aca="false">IF(Q703="","",Q703*0.0980665)</f>
        <v/>
      </c>
      <c r="S703" s="16" t="str">
        <f aca="false">IF(Q703="","",IFERROR(Q703/(1/(1/INDEX(CONFIG!$I$5:$I$14,MATCH(D703,CONFIG!$D$5:$D$14,0)))),""))</f>
        <v/>
      </c>
      <c r="T703" s="13"/>
      <c r="U703" s="13"/>
      <c r="V703" s="13"/>
      <c r="W703" s="13"/>
      <c r="X703" s="22" t="str">
        <f aca="false">IF(Q703="","",Q703^2)</f>
        <v/>
      </c>
      <c r="Y703" s="22" t="str">
        <f aca="false">IF(AND(C703&lt;&gt;"",C703=CERTIFICADO!$E$4,OR(CERTIFICADO!$E$5="",B703=CERTIFICADO!$E$5)),MAX($Y$4:Y702)+1,"")</f>
        <v/>
      </c>
    </row>
    <row r="704" customFormat="false" ht="15" hidden="false" customHeight="false" outlineLevel="0" collapsed="false">
      <c r="A704" s="11" t="str">
        <f aca="false">IF(C704="","",ROW()-4)</f>
        <v/>
      </c>
      <c r="B704" s="12"/>
      <c r="C704" s="13"/>
      <c r="D704" s="23" t="str">
        <f aca="false">IF(C704="","",IFERROR(INDEX(LOTES!$D$5:$D$1004,MATCH(C704,LOTES!$F$5:$F$1004,0)),"¿Lote?"))</f>
        <v/>
      </c>
      <c r="E704" s="11" t="str">
        <f aca="false">IF(C704="","",IFERROR(INDEX(LOTES!$C$5:$C$1004,MATCH(C704,LOTES!$F$5:$F$1004,0)),""))</f>
        <v/>
      </c>
      <c r="F704" s="24" t="str">
        <f aca="false">IF(C704="","",IFERROR(INDEX(LOTES!$B$5:$B$1004,MATCH(C704,LOTES!$F$5:$F$1004,0)),""))</f>
        <v/>
      </c>
      <c r="G704" s="15" t="str">
        <f aca="false">IF(OR(B704="",F704=""),"",B704-F704)</f>
        <v/>
      </c>
      <c r="H704" s="13"/>
      <c r="I704" s="13"/>
      <c r="J704" s="13"/>
      <c r="K704" s="25"/>
      <c r="L704" s="25"/>
      <c r="M704" s="25"/>
      <c r="N704" s="25"/>
      <c r="O704" s="26"/>
      <c r="P704" s="16" t="str">
        <f aca="false">IF(O704="","",IFERROR(1/(1/(IF(K704="",INDEX(CONFIG!$F$5:$F$14,MATCH(D704,CONFIG!$D$5:$D$14,0)),K704)*IF(M704="",INDEX(CONFIG!$H$5:$H$14,MATCH(D704,CONFIG!$D$5:$D$14,0)),M704))),""))</f>
        <v/>
      </c>
      <c r="Q704" s="16" t="str">
        <f aca="false">IF(OR(O704="",P704=""),"",O704/P704)</f>
        <v/>
      </c>
      <c r="R704" s="16" t="str">
        <f aca="false">IF(Q704="","",Q704*0.0980665)</f>
        <v/>
      </c>
      <c r="S704" s="16" t="str">
        <f aca="false">IF(Q704="","",IFERROR(Q704/(1/(1/INDEX(CONFIG!$I$5:$I$14,MATCH(D704,CONFIG!$D$5:$D$14,0)))),""))</f>
        <v/>
      </c>
      <c r="T704" s="13"/>
      <c r="U704" s="13"/>
      <c r="V704" s="13"/>
      <c r="W704" s="13"/>
      <c r="X704" s="22" t="str">
        <f aca="false">IF(Q704="","",Q704^2)</f>
        <v/>
      </c>
      <c r="Y704" s="22" t="str">
        <f aca="false">IF(AND(C704&lt;&gt;"",C704=CERTIFICADO!$E$4,OR(CERTIFICADO!$E$5="",B704=CERTIFICADO!$E$5)),MAX($Y$4:Y703)+1,"")</f>
        <v/>
      </c>
    </row>
    <row r="705" customFormat="false" ht="15" hidden="false" customHeight="false" outlineLevel="0" collapsed="false">
      <c r="A705" s="11" t="str">
        <f aca="false">IF(C705="","",ROW()-4)</f>
        <v/>
      </c>
      <c r="B705" s="12"/>
      <c r="C705" s="13"/>
      <c r="D705" s="23" t="str">
        <f aca="false">IF(C705="","",IFERROR(INDEX(LOTES!$D$5:$D$1004,MATCH(C705,LOTES!$F$5:$F$1004,0)),"¿Lote?"))</f>
        <v/>
      </c>
      <c r="E705" s="11" t="str">
        <f aca="false">IF(C705="","",IFERROR(INDEX(LOTES!$C$5:$C$1004,MATCH(C705,LOTES!$F$5:$F$1004,0)),""))</f>
        <v/>
      </c>
      <c r="F705" s="24" t="str">
        <f aca="false">IF(C705="","",IFERROR(INDEX(LOTES!$B$5:$B$1004,MATCH(C705,LOTES!$F$5:$F$1004,0)),""))</f>
        <v/>
      </c>
      <c r="G705" s="15" t="str">
        <f aca="false">IF(OR(B705="",F705=""),"",B705-F705)</f>
        <v/>
      </c>
      <c r="H705" s="13"/>
      <c r="I705" s="13"/>
      <c r="J705" s="13"/>
      <c r="K705" s="25"/>
      <c r="L705" s="25"/>
      <c r="M705" s="25"/>
      <c r="N705" s="25"/>
      <c r="O705" s="26"/>
      <c r="P705" s="16" t="str">
        <f aca="false">IF(O705="","",IFERROR(1/(1/(IF(K705="",INDEX(CONFIG!$F$5:$F$14,MATCH(D705,CONFIG!$D$5:$D$14,0)),K705)*IF(M705="",INDEX(CONFIG!$H$5:$H$14,MATCH(D705,CONFIG!$D$5:$D$14,0)),M705))),""))</f>
        <v/>
      </c>
      <c r="Q705" s="16" t="str">
        <f aca="false">IF(OR(O705="",P705=""),"",O705/P705)</f>
        <v/>
      </c>
      <c r="R705" s="16" t="str">
        <f aca="false">IF(Q705="","",Q705*0.0980665)</f>
        <v/>
      </c>
      <c r="S705" s="16" t="str">
        <f aca="false">IF(Q705="","",IFERROR(Q705/(1/(1/INDEX(CONFIG!$I$5:$I$14,MATCH(D705,CONFIG!$D$5:$D$14,0)))),""))</f>
        <v/>
      </c>
      <c r="T705" s="13"/>
      <c r="U705" s="13"/>
      <c r="V705" s="13"/>
      <c r="W705" s="13"/>
      <c r="X705" s="22" t="str">
        <f aca="false">IF(Q705="","",Q705^2)</f>
        <v/>
      </c>
      <c r="Y705" s="22" t="str">
        <f aca="false">IF(AND(C705&lt;&gt;"",C705=CERTIFICADO!$E$4,OR(CERTIFICADO!$E$5="",B705=CERTIFICADO!$E$5)),MAX($Y$4:Y704)+1,"")</f>
        <v/>
      </c>
    </row>
    <row r="706" customFormat="false" ht="15" hidden="false" customHeight="false" outlineLevel="0" collapsed="false">
      <c r="A706" s="11" t="str">
        <f aca="false">IF(C706="","",ROW()-4)</f>
        <v/>
      </c>
      <c r="B706" s="12"/>
      <c r="C706" s="13"/>
      <c r="D706" s="23" t="str">
        <f aca="false">IF(C706="","",IFERROR(INDEX(LOTES!$D$5:$D$1004,MATCH(C706,LOTES!$F$5:$F$1004,0)),"¿Lote?"))</f>
        <v/>
      </c>
      <c r="E706" s="11" t="str">
        <f aca="false">IF(C706="","",IFERROR(INDEX(LOTES!$C$5:$C$1004,MATCH(C706,LOTES!$F$5:$F$1004,0)),""))</f>
        <v/>
      </c>
      <c r="F706" s="24" t="str">
        <f aca="false">IF(C706="","",IFERROR(INDEX(LOTES!$B$5:$B$1004,MATCH(C706,LOTES!$F$5:$F$1004,0)),""))</f>
        <v/>
      </c>
      <c r="G706" s="15" t="str">
        <f aca="false">IF(OR(B706="",F706=""),"",B706-F706)</f>
        <v/>
      </c>
      <c r="H706" s="13"/>
      <c r="I706" s="13"/>
      <c r="J706" s="13"/>
      <c r="K706" s="25"/>
      <c r="L706" s="25"/>
      <c r="M706" s="25"/>
      <c r="N706" s="25"/>
      <c r="O706" s="26"/>
      <c r="P706" s="16" t="str">
        <f aca="false">IF(O706="","",IFERROR(1/(1/(IF(K706="",INDEX(CONFIG!$F$5:$F$14,MATCH(D706,CONFIG!$D$5:$D$14,0)),K706)*IF(M706="",INDEX(CONFIG!$H$5:$H$14,MATCH(D706,CONFIG!$D$5:$D$14,0)),M706))),""))</f>
        <v/>
      </c>
      <c r="Q706" s="16" t="str">
        <f aca="false">IF(OR(O706="",P706=""),"",O706/P706)</f>
        <v/>
      </c>
      <c r="R706" s="16" t="str">
        <f aca="false">IF(Q706="","",Q706*0.0980665)</f>
        <v/>
      </c>
      <c r="S706" s="16" t="str">
        <f aca="false">IF(Q706="","",IFERROR(Q706/(1/(1/INDEX(CONFIG!$I$5:$I$14,MATCH(D706,CONFIG!$D$5:$D$14,0)))),""))</f>
        <v/>
      </c>
      <c r="T706" s="13"/>
      <c r="U706" s="13"/>
      <c r="V706" s="13"/>
      <c r="W706" s="13"/>
      <c r="X706" s="22" t="str">
        <f aca="false">IF(Q706="","",Q706^2)</f>
        <v/>
      </c>
      <c r="Y706" s="22" t="str">
        <f aca="false">IF(AND(C706&lt;&gt;"",C706=CERTIFICADO!$E$4,OR(CERTIFICADO!$E$5="",B706=CERTIFICADO!$E$5)),MAX($Y$4:Y705)+1,"")</f>
        <v/>
      </c>
    </row>
    <row r="707" customFormat="false" ht="15" hidden="false" customHeight="false" outlineLevel="0" collapsed="false">
      <c r="A707" s="11" t="str">
        <f aca="false">IF(C707="","",ROW()-4)</f>
        <v/>
      </c>
      <c r="B707" s="12"/>
      <c r="C707" s="13"/>
      <c r="D707" s="23" t="str">
        <f aca="false">IF(C707="","",IFERROR(INDEX(LOTES!$D$5:$D$1004,MATCH(C707,LOTES!$F$5:$F$1004,0)),"¿Lote?"))</f>
        <v/>
      </c>
      <c r="E707" s="11" t="str">
        <f aca="false">IF(C707="","",IFERROR(INDEX(LOTES!$C$5:$C$1004,MATCH(C707,LOTES!$F$5:$F$1004,0)),""))</f>
        <v/>
      </c>
      <c r="F707" s="24" t="str">
        <f aca="false">IF(C707="","",IFERROR(INDEX(LOTES!$B$5:$B$1004,MATCH(C707,LOTES!$F$5:$F$1004,0)),""))</f>
        <v/>
      </c>
      <c r="G707" s="15" t="str">
        <f aca="false">IF(OR(B707="",F707=""),"",B707-F707)</f>
        <v/>
      </c>
      <c r="H707" s="13"/>
      <c r="I707" s="13"/>
      <c r="J707" s="13"/>
      <c r="K707" s="25"/>
      <c r="L707" s="25"/>
      <c r="M707" s="25"/>
      <c r="N707" s="25"/>
      <c r="O707" s="26"/>
      <c r="P707" s="16" t="str">
        <f aca="false">IF(O707="","",IFERROR(1/(1/(IF(K707="",INDEX(CONFIG!$F$5:$F$14,MATCH(D707,CONFIG!$D$5:$D$14,0)),K707)*IF(M707="",INDEX(CONFIG!$H$5:$H$14,MATCH(D707,CONFIG!$D$5:$D$14,0)),M707))),""))</f>
        <v/>
      </c>
      <c r="Q707" s="16" t="str">
        <f aca="false">IF(OR(O707="",P707=""),"",O707/P707)</f>
        <v/>
      </c>
      <c r="R707" s="16" t="str">
        <f aca="false">IF(Q707="","",Q707*0.0980665)</f>
        <v/>
      </c>
      <c r="S707" s="16" t="str">
        <f aca="false">IF(Q707="","",IFERROR(Q707/(1/(1/INDEX(CONFIG!$I$5:$I$14,MATCH(D707,CONFIG!$D$5:$D$14,0)))),""))</f>
        <v/>
      </c>
      <c r="T707" s="13"/>
      <c r="U707" s="13"/>
      <c r="V707" s="13"/>
      <c r="W707" s="13"/>
      <c r="X707" s="22" t="str">
        <f aca="false">IF(Q707="","",Q707^2)</f>
        <v/>
      </c>
      <c r="Y707" s="22" t="str">
        <f aca="false">IF(AND(C707&lt;&gt;"",C707=CERTIFICADO!$E$4,OR(CERTIFICADO!$E$5="",B707=CERTIFICADO!$E$5)),MAX($Y$4:Y706)+1,"")</f>
        <v/>
      </c>
    </row>
    <row r="708" customFormat="false" ht="15" hidden="false" customHeight="false" outlineLevel="0" collapsed="false">
      <c r="A708" s="11" t="str">
        <f aca="false">IF(C708="","",ROW()-4)</f>
        <v/>
      </c>
      <c r="B708" s="12"/>
      <c r="C708" s="13"/>
      <c r="D708" s="23" t="str">
        <f aca="false">IF(C708="","",IFERROR(INDEX(LOTES!$D$5:$D$1004,MATCH(C708,LOTES!$F$5:$F$1004,0)),"¿Lote?"))</f>
        <v/>
      </c>
      <c r="E708" s="11" t="str">
        <f aca="false">IF(C708="","",IFERROR(INDEX(LOTES!$C$5:$C$1004,MATCH(C708,LOTES!$F$5:$F$1004,0)),""))</f>
        <v/>
      </c>
      <c r="F708" s="24" t="str">
        <f aca="false">IF(C708="","",IFERROR(INDEX(LOTES!$B$5:$B$1004,MATCH(C708,LOTES!$F$5:$F$1004,0)),""))</f>
        <v/>
      </c>
      <c r="G708" s="15" t="str">
        <f aca="false">IF(OR(B708="",F708=""),"",B708-F708)</f>
        <v/>
      </c>
      <c r="H708" s="13"/>
      <c r="I708" s="13"/>
      <c r="J708" s="13"/>
      <c r="K708" s="25"/>
      <c r="L708" s="25"/>
      <c r="M708" s="25"/>
      <c r="N708" s="25"/>
      <c r="O708" s="26"/>
      <c r="P708" s="16" t="str">
        <f aca="false">IF(O708="","",IFERROR(1/(1/(IF(K708="",INDEX(CONFIG!$F$5:$F$14,MATCH(D708,CONFIG!$D$5:$D$14,0)),K708)*IF(M708="",INDEX(CONFIG!$H$5:$H$14,MATCH(D708,CONFIG!$D$5:$D$14,0)),M708))),""))</f>
        <v/>
      </c>
      <c r="Q708" s="16" t="str">
        <f aca="false">IF(OR(O708="",P708=""),"",O708/P708)</f>
        <v/>
      </c>
      <c r="R708" s="16" t="str">
        <f aca="false">IF(Q708="","",Q708*0.0980665)</f>
        <v/>
      </c>
      <c r="S708" s="16" t="str">
        <f aca="false">IF(Q708="","",IFERROR(Q708/(1/(1/INDEX(CONFIG!$I$5:$I$14,MATCH(D708,CONFIG!$D$5:$D$14,0)))),""))</f>
        <v/>
      </c>
      <c r="T708" s="13"/>
      <c r="U708" s="13"/>
      <c r="V708" s="13"/>
      <c r="W708" s="13"/>
      <c r="X708" s="22" t="str">
        <f aca="false">IF(Q708="","",Q708^2)</f>
        <v/>
      </c>
      <c r="Y708" s="22" t="str">
        <f aca="false">IF(AND(C708&lt;&gt;"",C708=CERTIFICADO!$E$4,OR(CERTIFICADO!$E$5="",B708=CERTIFICADO!$E$5)),MAX($Y$4:Y707)+1,"")</f>
        <v/>
      </c>
    </row>
    <row r="709" customFormat="false" ht="15" hidden="false" customHeight="false" outlineLevel="0" collapsed="false">
      <c r="A709" s="11" t="str">
        <f aca="false">IF(C709="","",ROW()-4)</f>
        <v/>
      </c>
      <c r="B709" s="12"/>
      <c r="C709" s="13"/>
      <c r="D709" s="23" t="str">
        <f aca="false">IF(C709="","",IFERROR(INDEX(LOTES!$D$5:$D$1004,MATCH(C709,LOTES!$F$5:$F$1004,0)),"¿Lote?"))</f>
        <v/>
      </c>
      <c r="E709" s="11" t="str">
        <f aca="false">IF(C709="","",IFERROR(INDEX(LOTES!$C$5:$C$1004,MATCH(C709,LOTES!$F$5:$F$1004,0)),""))</f>
        <v/>
      </c>
      <c r="F709" s="24" t="str">
        <f aca="false">IF(C709="","",IFERROR(INDEX(LOTES!$B$5:$B$1004,MATCH(C709,LOTES!$F$5:$F$1004,0)),""))</f>
        <v/>
      </c>
      <c r="G709" s="15" t="str">
        <f aca="false">IF(OR(B709="",F709=""),"",B709-F709)</f>
        <v/>
      </c>
      <c r="H709" s="13"/>
      <c r="I709" s="13"/>
      <c r="J709" s="13"/>
      <c r="K709" s="25"/>
      <c r="L709" s="25"/>
      <c r="M709" s="25"/>
      <c r="N709" s="25"/>
      <c r="O709" s="26"/>
      <c r="P709" s="16" t="str">
        <f aca="false">IF(O709="","",IFERROR(1/(1/(IF(K709="",INDEX(CONFIG!$F$5:$F$14,MATCH(D709,CONFIG!$D$5:$D$14,0)),K709)*IF(M709="",INDEX(CONFIG!$H$5:$H$14,MATCH(D709,CONFIG!$D$5:$D$14,0)),M709))),""))</f>
        <v/>
      </c>
      <c r="Q709" s="16" t="str">
        <f aca="false">IF(OR(O709="",P709=""),"",O709/P709)</f>
        <v/>
      </c>
      <c r="R709" s="16" t="str">
        <f aca="false">IF(Q709="","",Q709*0.0980665)</f>
        <v/>
      </c>
      <c r="S709" s="16" t="str">
        <f aca="false">IF(Q709="","",IFERROR(Q709/(1/(1/INDEX(CONFIG!$I$5:$I$14,MATCH(D709,CONFIG!$D$5:$D$14,0)))),""))</f>
        <v/>
      </c>
      <c r="T709" s="13"/>
      <c r="U709" s="13"/>
      <c r="V709" s="13"/>
      <c r="W709" s="13"/>
      <c r="X709" s="22" t="str">
        <f aca="false">IF(Q709="","",Q709^2)</f>
        <v/>
      </c>
      <c r="Y709" s="22" t="str">
        <f aca="false">IF(AND(C709&lt;&gt;"",C709=CERTIFICADO!$E$4,OR(CERTIFICADO!$E$5="",B709=CERTIFICADO!$E$5)),MAX($Y$4:Y708)+1,"")</f>
        <v/>
      </c>
    </row>
    <row r="710" customFormat="false" ht="15" hidden="false" customHeight="false" outlineLevel="0" collapsed="false">
      <c r="A710" s="11" t="str">
        <f aca="false">IF(C710="","",ROW()-4)</f>
        <v/>
      </c>
      <c r="B710" s="12"/>
      <c r="C710" s="13"/>
      <c r="D710" s="23" t="str">
        <f aca="false">IF(C710="","",IFERROR(INDEX(LOTES!$D$5:$D$1004,MATCH(C710,LOTES!$F$5:$F$1004,0)),"¿Lote?"))</f>
        <v/>
      </c>
      <c r="E710" s="11" t="str">
        <f aca="false">IF(C710="","",IFERROR(INDEX(LOTES!$C$5:$C$1004,MATCH(C710,LOTES!$F$5:$F$1004,0)),""))</f>
        <v/>
      </c>
      <c r="F710" s="24" t="str">
        <f aca="false">IF(C710="","",IFERROR(INDEX(LOTES!$B$5:$B$1004,MATCH(C710,LOTES!$F$5:$F$1004,0)),""))</f>
        <v/>
      </c>
      <c r="G710" s="15" t="str">
        <f aca="false">IF(OR(B710="",F710=""),"",B710-F710)</f>
        <v/>
      </c>
      <c r="H710" s="13"/>
      <c r="I710" s="13"/>
      <c r="J710" s="13"/>
      <c r="K710" s="25"/>
      <c r="L710" s="25"/>
      <c r="M710" s="25"/>
      <c r="N710" s="25"/>
      <c r="O710" s="26"/>
      <c r="P710" s="16" t="str">
        <f aca="false">IF(O710="","",IFERROR(1/(1/(IF(K710="",INDEX(CONFIG!$F$5:$F$14,MATCH(D710,CONFIG!$D$5:$D$14,0)),K710)*IF(M710="",INDEX(CONFIG!$H$5:$H$14,MATCH(D710,CONFIG!$D$5:$D$14,0)),M710))),""))</f>
        <v/>
      </c>
      <c r="Q710" s="16" t="str">
        <f aca="false">IF(OR(O710="",P710=""),"",O710/P710)</f>
        <v/>
      </c>
      <c r="R710" s="16" t="str">
        <f aca="false">IF(Q710="","",Q710*0.0980665)</f>
        <v/>
      </c>
      <c r="S710" s="16" t="str">
        <f aca="false">IF(Q710="","",IFERROR(Q710/(1/(1/INDEX(CONFIG!$I$5:$I$14,MATCH(D710,CONFIG!$D$5:$D$14,0)))),""))</f>
        <v/>
      </c>
      <c r="T710" s="13"/>
      <c r="U710" s="13"/>
      <c r="V710" s="13"/>
      <c r="W710" s="13"/>
      <c r="X710" s="22" t="str">
        <f aca="false">IF(Q710="","",Q710^2)</f>
        <v/>
      </c>
      <c r="Y710" s="22" t="str">
        <f aca="false">IF(AND(C710&lt;&gt;"",C710=CERTIFICADO!$E$4,OR(CERTIFICADO!$E$5="",B710=CERTIFICADO!$E$5)),MAX($Y$4:Y709)+1,"")</f>
        <v/>
      </c>
    </row>
    <row r="711" customFormat="false" ht="15" hidden="false" customHeight="false" outlineLevel="0" collapsed="false">
      <c r="A711" s="11" t="str">
        <f aca="false">IF(C711="","",ROW()-4)</f>
        <v/>
      </c>
      <c r="B711" s="12"/>
      <c r="C711" s="13"/>
      <c r="D711" s="23" t="str">
        <f aca="false">IF(C711="","",IFERROR(INDEX(LOTES!$D$5:$D$1004,MATCH(C711,LOTES!$F$5:$F$1004,0)),"¿Lote?"))</f>
        <v/>
      </c>
      <c r="E711" s="11" t="str">
        <f aca="false">IF(C711="","",IFERROR(INDEX(LOTES!$C$5:$C$1004,MATCH(C711,LOTES!$F$5:$F$1004,0)),""))</f>
        <v/>
      </c>
      <c r="F711" s="24" t="str">
        <f aca="false">IF(C711="","",IFERROR(INDEX(LOTES!$B$5:$B$1004,MATCH(C711,LOTES!$F$5:$F$1004,0)),""))</f>
        <v/>
      </c>
      <c r="G711" s="15" t="str">
        <f aca="false">IF(OR(B711="",F711=""),"",B711-F711)</f>
        <v/>
      </c>
      <c r="H711" s="13"/>
      <c r="I711" s="13"/>
      <c r="J711" s="13"/>
      <c r="K711" s="25"/>
      <c r="L711" s="25"/>
      <c r="M711" s="25"/>
      <c r="N711" s="25"/>
      <c r="O711" s="26"/>
      <c r="P711" s="16" t="str">
        <f aca="false">IF(O711="","",IFERROR(1/(1/(IF(K711="",INDEX(CONFIG!$F$5:$F$14,MATCH(D711,CONFIG!$D$5:$D$14,0)),K711)*IF(M711="",INDEX(CONFIG!$H$5:$H$14,MATCH(D711,CONFIG!$D$5:$D$14,0)),M711))),""))</f>
        <v/>
      </c>
      <c r="Q711" s="16" t="str">
        <f aca="false">IF(OR(O711="",P711=""),"",O711/P711)</f>
        <v/>
      </c>
      <c r="R711" s="16" t="str">
        <f aca="false">IF(Q711="","",Q711*0.0980665)</f>
        <v/>
      </c>
      <c r="S711" s="16" t="str">
        <f aca="false">IF(Q711="","",IFERROR(Q711/(1/(1/INDEX(CONFIG!$I$5:$I$14,MATCH(D711,CONFIG!$D$5:$D$14,0)))),""))</f>
        <v/>
      </c>
      <c r="T711" s="13"/>
      <c r="U711" s="13"/>
      <c r="V711" s="13"/>
      <c r="W711" s="13"/>
      <c r="X711" s="22" t="str">
        <f aca="false">IF(Q711="","",Q711^2)</f>
        <v/>
      </c>
      <c r="Y711" s="22" t="str">
        <f aca="false">IF(AND(C711&lt;&gt;"",C711=CERTIFICADO!$E$4,OR(CERTIFICADO!$E$5="",B711=CERTIFICADO!$E$5)),MAX($Y$4:Y710)+1,"")</f>
        <v/>
      </c>
    </row>
    <row r="712" customFormat="false" ht="15" hidden="false" customHeight="false" outlineLevel="0" collapsed="false">
      <c r="A712" s="11" t="str">
        <f aca="false">IF(C712="","",ROW()-4)</f>
        <v/>
      </c>
      <c r="B712" s="12"/>
      <c r="C712" s="13"/>
      <c r="D712" s="23" t="str">
        <f aca="false">IF(C712="","",IFERROR(INDEX(LOTES!$D$5:$D$1004,MATCH(C712,LOTES!$F$5:$F$1004,0)),"¿Lote?"))</f>
        <v/>
      </c>
      <c r="E712" s="11" t="str">
        <f aca="false">IF(C712="","",IFERROR(INDEX(LOTES!$C$5:$C$1004,MATCH(C712,LOTES!$F$5:$F$1004,0)),""))</f>
        <v/>
      </c>
      <c r="F712" s="24" t="str">
        <f aca="false">IF(C712="","",IFERROR(INDEX(LOTES!$B$5:$B$1004,MATCH(C712,LOTES!$F$5:$F$1004,0)),""))</f>
        <v/>
      </c>
      <c r="G712" s="15" t="str">
        <f aca="false">IF(OR(B712="",F712=""),"",B712-F712)</f>
        <v/>
      </c>
      <c r="H712" s="13"/>
      <c r="I712" s="13"/>
      <c r="J712" s="13"/>
      <c r="K712" s="25"/>
      <c r="L712" s="25"/>
      <c r="M712" s="25"/>
      <c r="N712" s="25"/>
      <c r="O712" s="26"/>
      <c r="P712" s="16" t="str">
        <f aca="false">IF(O712="","",IFERROR(1/(1/(IF(K712="",INDEX(CONFIG!$F$5:$F$14,MATCH(D712,CONFIG!$D$5:$D$14,0)),K712)*IF(M712="",INDEX(CONFIG!$H$5:$H$14,MATCH(D712,CONFIG!$D$5:$D$14,0)),M712))),""))</f>
        <v/>
      </c>
      <c r="Q712" s="16" t="str">
        <f aca="false">IF(OR(O712="",P712=""),"",O712/P712)</f>
        <v/>
      </c>
      <c r="R712" s="16" t="str">
        <f aca="false">IF(Q712="","",Q712*0.0980665)</f>
        <v/>
      </c>
      <c r="S712" s="16" t="str">
        <f aca="false">IF(Q712="","",IFERROR(Q712/(1/(1/INDEX(CONFIG!$I$5:$I$14,MATCH(D712,CONFIG!$D$5:$D$14,0)))),""))</f>
        <v/>
      </c>
      <c r="T712" s="13"/>
      <c r="U712" s="13"/>
      <c r="V712" s="13"/>
      <c r="W712" s="13"/>
      <c r="X712" s="22" t="str">
        <f aca="false">IF(Q712="","",Q712^2)</f>
        <v/>
      </c>
      <c r="Y712" s="22" t="str">
        <f aca="false">IF(AND(C712&lt;&gt;"",C712=CERTIFICADO!$E$4,OR(CERTIFICADO!$E$5="",B712=CERTIFICADO!$E$5)),MAX($Y$4:Y711)+1,"")</f>
        <v/>
      </c>
    </row>
    <row r="713" customFormat="false" ht="15" hidden="false" customHeight="false" outlineLevel="0" collapsed="false">
      <c r="A713" s="11" t="str">
        <f aca="false">IF(C713="","",ROW()-4)</f>
        <v/>
      </c>
      <c r="B713" s="12"/>
      <c r="C713" s="13"/>
      <c r="D713" s="23" t="str">
        <f aca="false">IF(C713="","",IFERROR(INDEX(LOTES!$D$5:$D$1004,MATCH(C713,LOTES!$F$5:$F$1004,0)),"¿Lote?"))</f>
        <v/>
      </c>
      <c r="E713" s="11" t="str">
        <f aca="false">IF(C713="","",IFERROR(INDEX(LOTES!$C$5:$C$1004,MATCH(C713,LOTES!$F$5:$F$1004,0)),""))</f>
        <v/>
      </c>
      <c r="F713" s="24" t="str">
        <f aca="false">IF(C713="","",IFERROR(INDEX(LOTES!$B$5:$B$1004,MATCH(C713,LOTES!$F$5:$F$1004,0)),""))</f>
        <v/>
      </c>
      <c r="G713" s="15" t="str">
        <f aca="false">IF(OR(B713="",F713=""),"",B713-F713)</f>
        <v/>
      </c>
      <c r="H713" s="13"/>
      <c r="I713" s="13"/>
      <c r="J713" s="13"/>
      <c r="K713" s="25"/>
      <c r="L713" s="25"/>
      <c r="M713" s="25"/>
      <c r="N713" s="25"/>
      <c r="O713" s="26"/>
      <c r="P713" s="16" t="str">
        <f aca="false">IF(O713="","",IFERROR(1/(1/(IF(K713="",INDEX(CONFIG!$F$5:$F$14,MATCH(D713,CONFIG!$D$5:$D$14,0)),K713)*IF(M713="",INDEX(CONFIG!$H$5:$H$14,MATCH(D713,CONFIG!$D$5:$D$14,0)),M713))),""))</f>
        <v/>
      </c>
      <c r="Q713" s="16" t="str">
        <f aca="false">IF(OR(O713="",P713=""),"",O713/P713)</f>
        <v/>
      </c>
      <c r="R713" s="16" t="str">
        <f aca="false">IF(Q713="","",Q713*0.0980665)</f>
        <v/>
      </c>
      <c r="S713" s="16" t="str">
        <f aca="false">IF(Q713="","",IFERROR(Q713/(1/(1/INDEX(CONFIG!$I$5:$I$14,MATCH(D713,CONFIG!$D$5:$D$14,0)))),""))</f>
        <v/>
      </c>
      <c r="T713" s="13"/>
      <c r="U713" s="13"/>
      <c r="V713" s="13"/>
      <c r="W713" s="13"/>
      <c r="X713" s="22" t="str">
        <f aca="false">IF(Q713="","",Q713^2)</f>
        <v/>
      </c>
      <c r="Y713" s="22" t="str">
        <f aca="false">IF(AND(C713&lt;&gt;"",C713=CERTIFICADO!$E$4,OR(CERTIFICADO!$E$5="",B713=CERTIFICADO!$E$5)),MAX($Y$4:Y712)+1,"")</f>
        <v/>
      </c>
    </row>
    <row r="714" customFormat="false" ht="15" hidden="false" customHeight="false" outlineLevel="0" collapsed="false">
      <c r="A714" s="11" t="str">
        <f aca="false">IF(C714="","",ROW()-4)</f>
        <v/>
      </c>
      <c r="B714" s="12"/>
      <c r="C714" s="13"/>
      <c r="D714" s="23" t="str">
        <f aca="false">IF(C714="","",IFERROR(INDEX(LOTES!$D$5:$D$1004,MATCH(C714,LOTES!$F$5:$F$1004,0)),"¿Lote?"))</f>
        <v/>
      </c>
      <c r="E714" s="11" t="str">
        <f aca="false">IF(C714="","",IFERROR(INDEX(LOTES!$C$5:$C$1004,MATCH(C714,LOTES!$F$5:$F$1004,0)),""))</f>
        <v/>
      </c>
      <c r="F714" s="24" t="str">
        <f aca="false">IF(C714="","",IFERROR(INDEX(LOTES!$B$5:$B$1004,MATCH(C714,LOTES!$F$5:$F$1004,0)),""))</f>
        <v/>
      </c>
      <c r="G714" s="15" t="str">
        <f aca="false">IF(OR(B714="",F714=""),"",B714-F714)</f>
        <v/>
      </c>
      <c r="H714" s="13"/>
      <c r="I714" s="13"/>
      <c r="J714" s="13"/>
      <c r="K714" s="25"/>
      <c r="L714" s="25"/>
      <c r="M714" s="25"/>
      <c r="N714" s="25"/>
      <c r="O714" s="26"/>
      <c r="P714" s="16" t="str">
        <f aca="false">IF(O714="","",IFERROR(1/(1/(IF(K714="",INDEX(CONFIG!$F$5:$F$14,MATCH(D714,CONFIG!$D$5:$D$14,0)),K714)*IF(M714="",INDEX(CONFIG!$H$5:$H$14,MATCH(D714,CONFIG!$D$5:$D$14,0)),M714))),""))</f>
        <v/>
      </c>
      <c r="Q714" s="16" t="str">
        <f aca="false">IF(OR(O714="",P714=""),"",O714/P714)</f>
        <v/>
      </c>
      <c r="R714" s="16" t="str">
        <f aca="false">IF(Q714="","",Q714*0.0980665)</f>
        <v/>
      </c>
      <c r="S714" s="16" t="str">
        <f aca="false">IF(Q714="","",IFERROR(Q714/(1/(1/INDEX(CONFIG!$I$5:$I$14,MATCH(D714,CONFIG!$D$5:$D$14,0)))),""))</f>
        <v/>
      </c>
      <c r="T714" s="13"/>
      <c r="U714" s="13"/>
      <c r="V714" s="13"/>
      <c r="W714" s="13"/>
      <c r="X714" s="22" t="str">
        <f aca="false">IF(Q714="","",Q714^2)</f>
        <v/>
      </c>
      <c r="Y714" s="22" t="str">
        <f aca="false">IF(AND(C714&lt;&gt;"",C714=CERTIFICADO!$E$4,OR(CERTIFICADO!$E$5="",B714=CERTIFICADO!$E$5)),MAX($Y$4:Y713)+1,"")</f>
        <v/>
      </c>
    </row>
    <row r="715" customFormat="false" ht="15" hidden="false" customHeight="false" outlineLevel="0" collapsed="false">
      <c r="A715" s="11" t="str">
        <f aca="false">IF(C715="","",ROW()-4)</f>
        <v/>
      </c>
      <c r="B715" s="12"/>
      <c r="C715" s="13"/>
      <c r="D715" s="23" t="str">
        <f aca="false">IF(C715="","",IFERROR(INDEX(LOTES!$D$5:$D$1004,MATCH(C715,LOTES!$F$5:$F$1004,0)),"¿Lote?"))</f>
        <v/>
      </c>
      <c r="E715" s="11" t="str">
        <f aca="false">IF(C715="","",IFERROR(INDEX(LOTES!$C$5:$C$1004,MATCH(C715,LOTES!$F$5:$F$1004,0)),""))</f>
        <v/>
      </c>
      <c r="F715" s="24" t="str">
        <f aca="false">IF(C715="","",IFERROR(INDEX(LOTES!$B$5:$B$1004,MATCH(C715,LOTES!$F$5:$F$1004,0)),""))</f>
        <v/>
      </c>
      <c r="G715" s="15" t="str">
        <f aca="false">IF(OR(B715="",F715=""),"",B715-F715)</f>
        <v/>
      </c>
      <c r="H715" s="13"/>
      <c r="I715" s="13"/>
      <c r="J715" s="13"/>
      <c r="K715" s="25"/>
      <c r="L715" s="25"/>
      <c r="M715" s="25"/>
      <c r="N715" s="25"/>
      <c r="O715" s="26"/>
      <c r="P715" s="16" t="str">
        <f aca="false">IF(O715="","",IFERROR(1/(1/(IF(K715="",INDEX(CONFIG!$F$5:$F$14,MATCH(D715,CONFIG!$D$5:$D$14,0)),K715)*IF(M715="",INDEX(CONFIG!$H$5:$H$14,MATCH(D715,CONFIG!$D$5:$D$14,0)),M715))),""))</f>
        <v/>
      </c>
      <c r="Q715" s="16" t="str">
        <f aca="false">IF(OR(O715="",P715=""),"",O715/P715)</f>
        <v/>
      </c>
      <c r="R715" s="16" t="str">
        <f aca="false">IF(Q715="","",Q715*0.0980665)</f>
        <v/>
      </c>
      <c r="S715" s="16" t="str">
        <f aca="false">IF(Q715="","",IFERROR(Q715/(1/(1/INDEX(CONFIG!$I$5:$I$14,MATCH(D715,CONFIG!$D$5:$D$14,0)))),""))</f>
        <v/>
      </c>
      <c r="T715" s="13"/>
      <c r="U715" s="13"/>
      <c r="V715" s="13"/>
      <c r="W715" s="13"/>
      <c r="X715" s="22" t="str">
        <f aca="false">IF(Q715="","",Q715^2)</f>
        <v/>
      </c>
      <c r="Y715" s="22" t="str">
        <f aca="false">IF(AND(C715&lt;&gt;"",C715=CERTIFICADO!$E$4,OR(CERTIFICADO!$E$5="",B715=CERTIFICADO!$E$5)),MAX($Y$4:Y714)+1,"")</f>
        <v/>
      </c>
    </row>
    <row r="716" customFormat="false" ht="15" hidden="false" customHeight="false" outlineLevel="0" collapsed="false">
      <c r="A716" s="11" t="str">
        <f aca="false">IF(C716="","",ROW()-4)</f>
        <v/>
      </c>
      <c r="B716" s="12"/>
      <c r="C716" s="13"/>
      <c r="D716" s="23" t="str">
        <f aca="false">IF(C716="","",IFERROR(INDEX(LOTES!$D$5:$D$1004,MATCH(C716,LOTES!$F$5:$F$1004,0)),"¿Lote?"))</f>
        <v/>
      </c>
      <c r="E716" s="11" t="str">
        <f aca="false">IF(C716="","",IFERROR(INDEX(LOTES!$C$5:$C$1004,MATCH(C716,LOTES!$F$5:$F$1004,0)),""))</f>
        <v/>
      </c>
      <c r="F716" s="24" t="str">
        <f aca="false">IF(C716="","",IFERROR(INDEX(LOTES!$B$5:$B$1004,MATCH(C716,LOTES!$F$5:$F$1004,0)),""))</f>
        <v/>
      </c>
      <c r="G716" s="15" t="str">
        <f aca="false">IF(OR(B716="",F716=""),"",B716-F716)</f>
        <v/>
      </c>
      <c r="H716" s="13"/>
      <c r="I716" s="13"/>
      <c r="J716" s="13"/>
      <c r="K716" s="25"/>
      <c r="L716" s="25"/>
      <c r="M716" s="25"/>
      <c r="N716" s="25"/>
      <c r="O716" s="26"/>
      <c r="P716" s="16" t="str">
        <f aca="false">IF(O716="","",IFERROR(1/(1/(IF(K716="",INDEX(CONFIG!$F$5:$F$14,MATCH(D716,CONFIG!$D$5:$D$14,0)),K716)*IF(M716="",INDEX(CONFIG!$H$5:$H$14,MATCH(D716,CONFIG!$D$5:$D$14,0)),M716))),""))</f>
        <v/>
      </c>
      <c r="Q716" s="16" t="str">
        <f aca="false">IF(OR(O716="",P716=""),"",O716/P716)</f>
        <v/>
      </c>
      <c r="R716" s="16" t="str">
        <f aca="false">IF(Q716="","",Q716*0.0980665)</f>
        <v/>
      </c>
      <c r="S716" s="16" t="str">
        <f aca="false">IF(Q716="","",IFERROR(Q716/(1/(1/INDEX(CONFIG!$I$5:$I$14,MATCH(D716,CONFIG!$D$5:$D$14,0)))),""))</f>
        <v/>
      </c>
      <c r="T716" s="13"/>
      <c r="U716" s="13"/>
      <c r="V716" s="13"/>
      <c r="W716" s="13"/>
      <c r="X716" s="22" t="str">
        <f aca="false">IF(Q716="","",Q716^2)</f>
        <v/>
      </c>
      <c r="Y716" s="22" t="str">
        <f aca="false">IF(AND(C716&lt;&gt;"",C716=CERTIFICADO!$E$4,OR(CERTIFICADO!$E$5="",B716=CERTIFICADO!$E$5)),MAX($Y$4:Y715)+1,"")</f>
        <v/>
      </c>
    </row>
    <row r="717" customFormat="false" ht="15" hidden="false" customHeight="false" outlineLevel="0" collapsed="false">
      <c r="A717" s="11" t="str">
        <f aca="false">IF(C717="","",ROW()-4)</f>
        <v/>
      </c>
      <c r="B717" s="12"/>
      <c r="C717" s="13"/>
      <c r="D717" s="23" t="str">
        <f aca="false">IF(C717="","",IFERROR(INDEX(LOTES!$D$5:$D$1004,MATCH(C717,LOTES!$F$5:$F$1004,0)),"¿Lote?"))</f>
        <v/>
      </c>
      <c r="E717" s="11" t="str">
        <f aca="false">IF(C717="","",IFERROR(INDEX(LOTES!$C$5:$C$1004,MATCH(C717,LOTES!$F$5:$F$1004,0)),""))</f>
        <v/>
      </c>
      <c r="F717" s="24" t="str">
        <f aca="false">IF(C717="","",IFERROR(INDEX(LOTES!$B$5:$B$1004,MATCH(C717,LOTES!$F$5:$F$1004,0)),""))</f>
        <v/>
      </c>
      <c r="G717" s="15" t="str">
        <f aca="false">IF(OR(B717="",F717=""),"",B717-F717)</f>
        <v/>
      </c>
      <c r="H717" s="13"/>
      <c r="I717" s="13"/>
      <c r="J717" s="13"/>
      <c r="K717" s="25"/>
      <c r="L717" s="25"/>
      <c r="M717" s="25"/>
      <c r="N717" s="25"/>
      <c r="O717" s="26"/>
      <c r="P717" s="16" t="str">
        <f aca="false">IF(O717="","",IFERROR(1/(1/(IF(K717="",INDEX(CONFIG!$F$5:$F$14,MATCH(D717,CONFIG!$D$5:$D$14,0)),K717)*IF(M717="",INDEX(CONFIG!$H$5:$H$14,MATCH(D717,CONFIG!$D$5:$D$14,0)),M717))),""))</f>
        <v/>
      </c>
      <c r="Q717" s="16" t="str">
        <f aca="false">IF(OR(O717="",P717=""),"",O717/P717)</f>
        <v/>
      </c>
      <c r="R717" s="16" t="str">
        <f aca="false">IF(Q717="","",Q717*0.0980665)</f>
        <v/>
      </c>
      <c r="S717" s="16" t="str">
        <f aca="false">IF(Q717="","",IFERROR(Q717/(1/(1/INDEX(CONFIG!$I$5:$I$14,MATCH(D717,CONFIG!$D$5:$D$14,0)))),""))</f>
        <v/>
      </c>
      <c r="T717" s="13"/>
      <c r="U717" s="13"/>
      <c r="V717" s="13"/>
      <c r="W717" s="13"/>
      <c r="X717" s="22" t="str">
        <f aca="false">IF(Q717="","",Q717^2)</f>
        <v/>
      </c>
      <c r="Y717" s="22" t="str">
        <f aca="false">IF(AND(C717&lt;&gt;"",C717=CERTIFICADO!$E$4,OR(CERTIFICADO!$E$5="",B717=CERTIFICADO!$E$5)),MAX($Y$4:Y716)+1,"")</f>
        <v/>
      </c>
    </row>
    <row r="718" customFormat="false" ht="15" hidden="false" customHeight="false" outlineLevel="0" collapsed="false">
      <c r="A718" s="11" t="str">
        <f aca="false">IF(C718="","",ROW()-4)</f>
        <v/>
      </c>
      <c r="B718" s="12"/>
      <c r="C718" s="13"/>
      <c r="D718" s="23" t="str">
        <f aca="false">IF(C718="","",IFERROR(INDEX(LOTES!$D$5:$D$1004,MATCH(C718,LOTES!$F$5:$F$1004,0)),"¿Lote?"))</f>
        <v/>
      </c>
      <c r="E718" s="11" t="str">
        <f aca="false">IF(C718="","",IFERROR(INDEX(LOTES!$C$5:$C$1004,MATCH(C718,LOTES!$F$5:$F$1004,0)),""))</f>
        <v/>
      </c>
      <c r="F718" s="24" t="str">
        <f aca="false">IF(C718="","",IFERROR(INDEX(LOTES!$B$5:$B$1004,MATCH(C718,LOTES!$F$5:$F$1004,0)),""))</f>
        <v/>
      </c>
      <c r="G718" s="15" t="str">
        <f aca="false">IF(OR(B718="",F718=""),"",B718-F718)</f>
        <v/>
      </c>
      <c r="H718" s="13"/>
      <c r="I718" s="13"/>
      <c r="J718" s="13"/>
      <c r="K718" s="25"/>
      <c r="L718" s="25"/>
      <c r="M718" s="25"/>
      <c r="N718" s="25"/>
      <c r="O718" s="26"/>
      <c r="P718" s="16" t="str">
        <f aca="false">IF(O718="","",IFERROR(1/(1/(IF(K718="",INDEX(CONFIG!$F$5:$F$14,MATCH(D718,CONFIG!$D$5:$D$14,0)),K718)*IF(M718="",INDEX(CONFIG!$H$5:$H$14,MATCH(D718,CONFIG!$D$5:$D$14,0)),M718))),""))</f>
        <v/>
      </c>
      <c r="Q718" s="16" t="str">
        <f aca="false">IF(OR(O718="",P718=""),"",O718/P718)</f>
        <v/>
      </c>
      <c r="R718" s="16" t="str">
        <f aca="false">IF(Q718="","",Q718*0.0980665)</f>
        <v/>
      </c>
      <c r="S718" s="16" t="str">
        <f aca="false">IF(Q718="","",IFERROR(Q718/(1/(1/INDEX(CONFIG!$I$5:$I$14,MATCH(D718,CONFIG!$D$5:$D$14,0)))),""))</f>
        <v/>
      </c>
      <c r="T718" s="13"/>
      <c r="U718" s="13"/>
      <c r="V718" s="13"/>
      <c r="W718" s="13"/>
      <c r="X718" s="22" t="str">
        <f aca="false">IF(Q718="","",Q718^2)</f>
        <v/>
      </c>
      <c r="Y718" s="22" t="str">
        <f aca="false">IF(AND(C718&lt;&gt;"",C718=CERTIFICADO!$E$4,OR(CERTIFICADO!$E$5="",B718=CERTIFICADO!$E$5)),MAX($Y$4:Y717)+1,"")</f>
        <v/>
      </c>
    </row>
    <row r="719" customFormat="false" ht="15" hidden="false" customHeight="false" outlineLevel="0" collapsed="false">
      <c r="A719" s="11" t="str">
        <f aca="false">IF(C719="","",ROW()-4)</f>
        <v/>
      </c>
      <c r="B719" s="12"/>
      <c r="C719" s="13"/>
      <c r="D719" s="23" t="str">
        <f aca="false">IF(C719="","",IFERROR(INDEX(LOTES!$D$5:$D$1004,MATCH(C719,LOTES!$F$5:$F$1004,0)),"¿Lote?"))</f>
        <v/>
      </c>
      <c r="E719" s="11" t="str">
        <f aca="false">IF(C719="","",IFERROR(INDEX(LOTES!$C$5:$C$1004,MATCH(C719,LOTES!$F$5:$F$1004,0)),""))</f>
        <v/>
      </c>
      <c r="F719" s="24" t="str">
        <f aca="false">IF(C719="","",IFERROR(INDEX(LOTES!$B$5:$B$1004,MATCH(C719,LOTES!$F$5:$F$1004,0)),""))</f>
        <v/>
      </c>
      <c r="G719" s="15" t="str">
        <f aca="false">IF(OR(B719="",F719=""),"",B719-F719)</f>
        <v/>
      </c>
      <c r="H719" s="13"/>
      <c r="I719" s="13"/>
      <c r="J719" s="13"/>
      <c r="K719" s="25"/>
      <c r="L719" s="25"/>
      <c r="M719" s="25"/>
      <c r="N719" s="25"/>
      <c r="O719" s="26"/>
      <c r="P719" s="16" t="str">
        <f aca="false">IF(O719="","",IFERROR(1/(1/(IF(K719="",INDEX(CONFIG!$F$5:$F$14,MATCH(D719,CONFIG!$D$5:$D$14,0)),K719)*IF(M719="",INDEX(CONFIG!$H$5:$H$14,MATCH(D719,CONFIG!$D$5:$D$14,0)),M719))),""))</f>
        <v/>
      </c>
      <c r="Q719" s="16" t="str">
        <f aca="false">IF(OR(O719="",P719=""),"",O719/P719)</f>
        <v/>
      </c>
      <c r="R719" s="16" t="str">
        <f aca="false">IF(Q719="","",Q719*0.0980665)</f>
        <v/>
      </c>
      <c r="S719" s="16" t="str">
        <f aca="false">IF(Q719="","",IFERROR(Q719/(1/(1/INDEX(CONFIG!$I$5:$I$14,MATCH(D719,CONFIG!$D$5:$D$14,0)))),""))</f>
        <v/>
      </c>
      <c r="T719" s="13"/>
      <c r="U719" s="13"/>
      <c r="V719" s="13"/>
      <c r="W719" s="13"/>
      <c r="X719" s="22" t="str">
        <f aca="false">IF(Q719="","",Q719^2)</f>
        <v/>
      </c>
      <c r="Y719" s="22" t="str">
        <f aca="false">IF(AND(C719&lt;&gt;"",C719=CERTIFICADO!$E$4,OR(CERTIFICADO!$E$5="",B719=CERTIFICADO!$E$5)),MAX($Y$4:Y718)+1,"")</f>
        <v/>
      </c>
    </row>
    <row r="720" customFormat="false" ht="15" hidden="false" customHeight="false" outlineLevel="0" collapsed="false">
      <c r="A720" s="11" t="str">
        <f aca="false">IF(C720="","",ROW()-4)</f>
        <v/>
      </c>
      <c r="B720" s="12"/>
      <c r="C720" s="13"/>
      <c r="D720" s="23" t="str">
        <f aca="false">IF(C720="","",IFERROR(INDEX(LOTES!$D$5:$D$1004,MATCH(C720,LOTES!$F$5:$F$1004,0)),"¿Lote?"))</f>
        <v/>
      </c>
      <c r="E720" s="11" t="str">
        <f aca="false">IF(C720="","",IFERROR(INDEX(LOTES!$C$5:$C$1004,MATCH(C720,LOTES!$F$5:$F$1004,0)),""))</f>
        <v/>
      </c>
      <c r="F720" s="24" t="str">
        <f aca="false">IF(C720="","",IFERROR(INDEX(LOTES!$B$5:$B$1004,MATCH(C720,LOTES!$F$5:$F$1004,0)),""))</f>
        <v/>
      </c>
      <c r="G720" s="15" t="str">
        <f aca="false">IF(OR(B720="",F720=""),"",B720-F720)</f>
        <v/>
      </c>
      <c r="H720" s="13"/>
      <c r="I720" s="13"/>
      <c r="J720" s="13"/>
      <c r="K720" s="25"/>
      <c r="L720" s="25"/>
      <c r="M720" s="25"/>
      <c r="N720" s="25"/>
      <c r="O720" s="26"/>
      <c r="P720" s="16" t="str">
        <f aca="false">IF(O720="","",IFERROR(1/(1/(IF(K720="",INDEX(CONFIG!$F$5:$F$14,MATCH(D720,CONFIG!$D$5:$D$14,0)),K720)*IF(M720="",INDEX(CONFIG!$H$5:$H$14,MATCH(D720,CONFIG!$D$5:$D$14,0)),M720))),""))</f>
        <v/>
      </c>
      <c r="Q720" s="16" t="str">
        <f aca="false">IF(OR(O720="",P720=""),"",O720/P720)</f>
        <v/>
      </c>
      <c r="R720" s="16" t="str">
        <f aca="false">IF(Q720="","",Q720*0.0980665)</f>
        <v/>
      </c>
      <c r="S720" s="16" t="str">
        <f aca="false">IF(Q720="","",IFERROR(Q720/(1/(1/INDEX(CONFIG!$I$5:$I$14,MATCH(D720,CONFIG!$D$5:$D$14,0)))),""))</f>
        <v/>
      </c>
      <c r="T720" s="13"/>
      <c r="U720" s="13"/>
      <c r="V720" s="13"/>
      <c r="W720" s="13"/>
      <c r="X720" s="22" t="str">
        <f aca="false">IF(Q720="","",Q720^2)</f>
        <v/>
      </c>
      <c r="Y720" s="22" t="str">
        <f aca="false">IF(AND(C720&lt;&gt;"",C720=CERTIFICADO!$E$4,OR(CERTIFICADO!$E$5="",B720=CERTIFICADO!$E$5)),MAX($Y$4:Y719)+1,"")</f>
        <v/>
      </c>
    </row>
    <row r="721" customFormat="false" ht="15" hidden="false" customHeight="false" outlineLevel="0" collapsed="false">
      <c r="A721" s="11" t="str">
        <f aca="false">IF(C721="","",ROW()-4)</f>
        <v/>
      </c>
      <c r="B721" s="12"/>
      <c r="C721" s="13"/>
      <c r="D721" s="23" t="str">
        <f aca="false">IF(C721="","",IFERROR(INDEX(LOTES!$D$5:$D$1004,MATCH(C721,LOTES!$F$5:$F$1004,0)),"¿Lote?"))</f>
        <v/>
      </c>
      <c r="E721" s="11" t="str">
        <f aca="false">IF(C721="","",IFERROR(INDEX(LOTES!$C$5:$C$1004,MATCH(C721,LOTES!$F$5:$F$1004,0)),""))</f>
        <v/>
      </c>
      <c r="F721" s="24" t="str">
        <f aca="false">IF(C721="","",IFERROR(INDEX(LOTES!$B$5:$B$1004,MATCH(C721,LOTES!$F$5:$F$1004,0)),""))</f>
        <v/>
      </c>
      <c r="G721" s="15" t="str">
        <f aca="false">IF(OR(B721="",F721=""),"",B721-F721)</f>
        <v/>
      </c>
      <c r="H721" s="13"/>
      <c r="I721" s="13"/>
      <c r="J721" s="13"/>
      <c r="K721" s="25"/>
      <c r="L721" s="25"/>
      <c r="M721" s="25"/>
      <c r="N721" s="25"/>
      <c r="O721" s="26"/>
      <c r="P721" s="16" t="str">
        <f aca="false">IF(O721="","",IFERROR(1/(1/(IF(K721="",INDEX(CONFIG!$F$5:$F$14,MATCH(D721,CONFIG!$D$5:$D$14,0)),K721)*IF(M721="",INDEX(CONFIG!$H$5:$H$14,MATCH(D721,CONFIG!$D$5:$D$14,0)),M721))),""))</f>
        <v/>
      </c>
      <c r="Q721" s="16" t="str">
        <f aca="false">IF(OR(O721="",P721=""),"",O721/P721)</f>
        <v/>
      </c>
      <c r="R721" s="16" t="str">
        <f aca="false">IF(Q721="","",Q721*0.0980665)</f>
        <v/>
      </c>
      <c r="S721" s="16" t="str">
        <f aca="false">IF(Q721="","",IFERROR(Q721/(1/(1/INDEX(CONFIG!$I$5:$I$14,MATCH(D721,CONFIG!$D$5:$D$14,0)))),""))</f>
        <v/>
      </c>
      <c r="T721" s="13"/>
      <c r="U721" s="13"/>
      <c r="V721" s="13"/>
      <c r="W721" s="13"/>
      <c r="X721" s="22" t="str">
        <f aca="false">IF(Q721="","",Q721^2)</f>
        <v/>
      </c>
      <c r="Y721" s="22" t="str">
        <f aca="false">IF(AND(C721&lt;&gt;"",C721=CERTIFICADO!$E$4,OR(CERTIFICADO!$E$5="",B721=CERTIFICADO!$E$5)),MAX($Y$4:Y720)+1,"")</f>
        <v/>
      </c>
    </row>
    <row r="722" customFormat="false" ht="15" hidden="false" customHeight="false" outlineLevel="0" collapsed="false">
      <c r="A722" s="11" t="str">
        <f aca="false">IF(C722="","",ROW()-4)</f>
        <v/>
      </c>
      <c r="B722" s="12"/>
      <c r="C722" s="13"/>
      <c r="D722" s="23" t="str">
        <f aca="false">IF(C722="","",IFERROR(INDEX(LOTES!$D$5:$D$1004,MATCH(C722,LOTES!$F$5:$F$1004,0)),"¿Lote?"))</f>
        <v/>
      </c>
      <c r="E722" s="11" t="str">
        <f aca="false">IF(C722="","",IFERROR(INDEX(LOTES!$C$5:$C$1004,MATCH(C722,LOTES!$F$5:$F$1004,0)),""))</f>
        <v/>
      </c>
      <c r="F722" s="24" t="str">
        <f aca="false">IF(C722="","",IFERROR(INDEX(LOTES!$B$5:$B$1004,MATCH(C722,LOTES!$F$5:$F$1004,0)),""))</f>
        <v/>
      </c>
      <c r="G722" s="15" t="str">
        <f aca="false">IF(OR(B722="",F722=""),"",B722-F722)</f>
        <v/>
      </c>
      <c r="H722" s="13"/>
      <c r="I722" s="13"/>
      <c r="J722" s="13"/>
      <c r="K722" s="25"/>
      <c r="L722" s="25"/>
      <c r="M722" s="25"/>
      <c r="N722" s="25"/>
      <c r="O722" s="26"/>
      <c r="P722" s="16" t="str">
        <f aca="false">IF(O722="","",IFERROR(1/(1/(IF(K722="",INDEX(CONFIG!$F$5:$F$14,MATCH(D722,CONFIG!$D$5:$D$14,0)),K722)*IF(M722="",INDEX(CONFIG!$H$5:$H$14,MATCH(D722,CONFIG!$D$5:$D$14,0)),M722))),""))</f>
        <v/>
      </c>
      <c r="Q722" s="16" t="str">
        <f aca="false">IF(OR(O722="",P722=""),"",O722/P722)</f>
        <v/>
      </c>
      <c r="R722" s="16" t="str">
        <f aca="false">IF(Q722="","",Q722*0.0980665)</f>
        <v/>
      </c>
      <c r="S722" s="16" t="str">
        <f aca="false">IF(Q722="","",IFERROR(Q722/(1/(1/INDEX(CONFIG!$I$5:$I$14,MATCH(D722,CONFIG!$D$5:$D$14,0)))),""))</f>
        <v/>
      </c>
      <c r="T722" s="13"/>
      <c r="U722" s="13"/>
      <c r="V722" s="13"/>
      <c r="W722" s="13"/>
      <c r="X722" s="22" t="str">
        <f aca="false">IF(Q722="","",Q722^2)</f>
        <v/>
      </c>
      <c r="Y722" s="22" t="str">
        <f aca="false">IF(AND(C722&lt;&gt;"",C722=CERTIFICADO!$E$4,OR(CERTIFICADO!$E$5="",B722=CERTIFICADO!$E$5)),MAX($Y$4:Y721)+1,"")</f>
        <v/>
      </c>
    </row>
    <row r="723" customFormat="false" ht="15" hidden="false" customHeight="false" outlineLevel="0" collapsed="false">
      <c r="A723" s="11" t="str">
        <f aca="false">IF(C723="","",ROW()-4)</f>
        <v/>
      </c>
      <c r="B723" s="12"/>
      <c r="C723" s="13"/>
      <c r="D723" s="23" t="str">
        <f aca="false">IF(C723="","",IFERROR(INDEX(LOTES!$D$5:$D$1004,MATCH(C723,LOTES!$F$5:$F$1004,0)),"¿Lote?"))</f>
        <v/>
      </c>
      <c r="E723" s="11" t="str">
        <f aca="false">IF(C723="","",IFERROR(INDEX(LOTES!$C$5:$C$1004,MATCH(C723,LOTES!$F$5:$F$1004,0)),""))</f>
        <v/>
      </c>
      <c r="F723" s="24" t="str">
        <f aca="false">IF(C723="","",IFERROR(INDEX(LOTES!$B$5:$B$1004,MATCH(C723,LOTES!$F$5:$F$1004,0)),""))</f>
        <v/>
      </c>
      <c r="G723" s="15" t="str">
        <f aca="false">IF(OR(B723="",F723=""),"",B723-F723)</f>
        <v/>
      </c>
      <c r="H723" s="13"/>
      <c r="I723" s="13"/>
      <c r="J723" s="13"/>
      <c r="K723" s="25"/>
      <c r="L723" s="25"/>
      <c r="M723" s="25"/>
      <c r="N723" s="25"/>
      <c r="O723" s="26"/>
      <c r="P723" s="16" t="str">
        <f aca="false">IF(O723="","",IFERROR(1/(1/(IF(K723="",INDEX(CONFIG!$F$5:$F$14,MATCH(D723,CONFIG!$D$5:$D$14,0)),K723)*IF(M723="",INDEX(CONFIG!$H$5:$H$14,MATCH(D723,CONFIG!$D$5:$D$14,0)),M723))),""))</f>
        <v/>
      </c>
      <c r="Q723" s="16" t="str">
        <f aca="false">IF(OR(O723="",P723=""),"",O723/P723)</f>
        <v/>
      </c>
      <c r="R723" s="16" t="str">
        <f aca="false">IF(Q723="","",Q723*0.0980665)</f>
        <v/>
      </c>
      <c r="S723" s="16" t="str">
        <f aca="false">IF(Q723="","",IFERROR(Q723/(1/(1/INDEX(CONFIG!$I$5:$I$14,MATCH(D723,CONFIG!$D$5:$D$14,0)))),""))</f>
        <v/>
      </c>
      <c r="T723" s="13"/>
      <c r="U723" s="13"/>
      <c r="V723" s="13"/>
      <c r="W723" s="13"/>
      <c r="X723" s="22" t="str">
        <f aca="false">IF(Q723="","",Q723^2)</f>
        <v/>
      </c>
      <c r="Y723" s="22" t="str">
        <f aca="false">IF(AND(C723&lt;&gt;"",C723=CERTIFICADO!$E$4,OR(CERTIFICADO!$E$5="",B723=CERTIFICADO!$E$5)),MAX($Y$4:Y722)+1,"")</f>
        <v/>
      </c>
    </row>
    <row r="724" customFormat="false" ht="15" hidden="false" customHeight="false" outlineLevel="0" collapsed="false">
      <c r="A724" s="11" t="str">
        <f aca="false">IF(C724="","",ROW()-4)</f>
        <v/>
      </c>
      <c r="B724" s="12"/>
      <c r="C724" s="13"/>
      <c r="D724" s="23" t="str">
        <f aca="false">IF(C724="","",IFERROR(INDEX(LOTES!$D$5:$D$1004,MATCH(C724,LOTES!$F$5:$F$1004,0)),"¿Lote?"))</f>
        <v/>
      </c>
      <c r="E724" s="11" t="str">
        <f aca="false">IF(C724="","",IFERROR(INDEX(LOTES!$C$5:$C$1004,MATCH(C724,LOTES!$F$5:$F$1004,0)),""))</f>
        <v/>
      </c>
      <c r="F724" s="24" t="str">
        <f aca="false">IF(C724="","",IFERROR(INDEX(LOTES!$B$5:$B$1004,MATCH(C724,LOTES!$F$5:$F$1004,0)),""))</f>
        <v/>
      </c>
      <c r="G724" s="15" t="str">
        <f aca="false">IF(OR(B724="",F724=""),"",B724-F724)</f>
        <v/>
      </c>
      <c r="H724" s="13"/>
      <c r="I724" s="13"/>
      <c r="J724" s="13"/>
      <c r="K724" s="25"/>
      <c r="L724" s="25"/>
      <c r="M724" s="25"/>
      <c r="N724" s="25"/>
      <c r="O724" s="26"/>
      <c r="P724" s="16" t="str">
        <f aca="false">IF(O724="","",IFERROR(1/(1/(IF(K724="",INDEX(CONFIG!$F$5:$F$14,MATCH(D724,CONFIG!$D$5:$D$14,0)),K724)*IF(M724="",INDEX(CONFIG!$H$5:$H$14,MATCH(D724,CONFIG!$D$5:$D$14,0)),M724))),""))</f>
        <v/>
      </c>
      <c r="Q724" s="16" t="str">
        <f aca="false">IF(OR(O724="",P724=""),"",O724/P724)</f>
        <v/>
      </c>
      <c r="R724" s="16" t="str">
        <f aca="false">IF(Q724="","",Q724*0.0980665)</f>
        <v/>
      </c>
      <c r="S724" s="16" t="str">
        <f aca="false">IF(Q724="","",IFERROR(Q724/(1/(1/INDEX(CONFIG!$I$5:$I$14,MATCH(D724,CONFIG!$D$5:$D$14,0)))),""))</f>
        <v/>
      </c>
      <c r="T724" s="13"/>
      <c r="U724" s="13"/>
      <c r="V724" s="13"/>
      <c r="W724" s="13"/>
      <c r="X724" s="22" t="str">
        <f aca="false">IF(Q724="","",Q724^2)</f>
        <v/>
      </c>
      <c r="Y724" s="22" t="str">
        <f aca="false">IF(AND(C724&lt;&gt;"",C724=CERTIFICADO!$E$4,OR(CERTIFICADO!$E$5="",B724=CERTIFICADO!$E$5)),MAX($Y$4:Y723)+1,"")</f>
        <v/>
      </c>
    </row>
    <row r="725" customFormat="false" ht="15" hidden="false" customHeight="false" outlineLevel="0" collapsed="false">
      <c r="A725" s="11" t="str">
        <f aca="false">IF(C725="","",ROW()-4)</f>
        <v/>
      </c>
      <c r="B725" s="12"/>
      <c r="C725" s="13"/>
      <c r="D725" s="23" t="str">
        <f aca="false">IF(C725="","",IFERROR(INDEX(LOTES!$D$5:$D$1004,MATCH(C725,LOTES!$F$5:$F$1004,0)),"¿Lote?"))</f>
        <v/>
      </c>
      <c r="E725" s="11" t="str">
        <f aca="false">IF(C725="","",IFERROR(INDEX(LOTES!$C$5:$C$1004,MATCH(C725,LOTES!$F$5:$F$1004,0)),""))</f>
        <v/>
      </c>
      <c r="F725" s="24" t="str">
        <f aca="false">IF(C725="","",IFERROR(INDEX(LOTES!$B$5:$B$1004,MATCH(C725,LOTES!$F$5:$F$1004,0)),""))</f>
        <v/>
      </c>
      <c r="G725" s="15" t="str">
        <f aca="false">IF(OR(B725="",F725=""),"",B725-F725)</f>
        <v/>
      </c>
      <c r="H725" s="13"/>
      <c r="I725" s="13"/>
      <c r="J725" s="13"/>
      <c r="K725" s="25"/>
      <c r="L725" s="25"/>
      <c r="M725" s="25"/>
      <c r="N725" s="25"/>
      <c r="O725" s="26"/>
      <c r="P725" s="16" t="str">
        <f aca="false">IF(O725="","",IFERROR(1/(1/(IF(K725="",INDEX(CONFIG!$F$5:$F$14,MATCH(D725,CONFIG!$D$5:$D$14,0)),K725)*IF(M725="",INDEX(CONFIG!$H$5:$H$14,MATCH(D725,CONFIG!$D$5:$D$14,0)),M725))),""))</f>
        <v/>
      </c>
      <c r="Q725" s="16" t="str">
        <f aca="false">IF(OR(O725="",P725=""),"",O725/P725)</f>
        <v/>
      </c>
      <c r="R725" s="16" t="str">
        <f aca="false">IF(Q725="","",Q725*0.0980665)</f>
        <v/>
      </c>
      <c r="S725" s="16" t="str">
        <f aca="false">IF(Q725="","",IFERROR(Q725/(1/(1/INDEX(CONFIG!$I$5:$I$14,MATCH(D725,CONFIG!$D$5:$D$14,0)))),""))</f>
        <v/>
      </c>
      <c r="T725" s="13"/>
      <c r="U725" s="13"/>
      <c r="V725" s="13"/>
      <c r="W725" s="13"/>
      <c r="X725" s="22" t="str">
        <f aca="false">IF(Q725="","",Q725^2)</f>
        <v/>
      </c>
      <c r="Y725" s="22" t="str">
        <f aca="false">IF(AND(C725&lt;&gt;"",C725=CERTIFICADO!$E$4,OR(CERTIFICADO!$E$5="",B725=CERTIFICADO!$E$5)),MAX($Y$4:Y724)+1,"")</f>
        <v/>
      </c>
    </row>
    <row r="726" customFormat="false" ht="15" hidden="false" customHeight="false" outlineLevel="0" collapsed="false">
      <c r="A726" s="11" t="str">
        <f aca="false">IF(C726="","",ROW()-4)</f>
        <v/>
      </c>
      <c r="B726" s="12"/>
      <c r="C726" s="13"/>
      <c r="D726" s="23" t="str">
        <f aca="false">IF(C726="","",IFERROR(INDEX(LOTES!$D$5:$D$1004,MATCH(C726,LOTES!$F$5:$F$1004,0)),"¿Lote?"))</f>
        <v/>
      </c>
      <c r="E726" s="11" t="str">
        <f aca="false">IF(C726="","",IFERROR(INDEX(LOTES!$C$5:$C$1004,MATCH(C726,LOTES!$F$5:$F$1004,0)),""))</f>
        <v/>
      </c>
      <c r="F726" s="24" t="str">
        <f aca="false">IF(C726="","",IFERROR(INDEX(LOTES!$B$5:$B$1004,MATCH(C726,LOTES!$F$5:$F$1004,0)),""))</f>
        <v/>
      </c>
      <c r="G726" s="15" t="str">
        <f aca="false">IF(OR(B726="",F726=""),"",B726-F726)</f>
        <v/>
      </c>
      <c r="H726" s="13"/>
      <c r="I726" s="13"/>
      <c r="J726" s="13"/>
      <c r="K726" s="25"/>
      <c r="L726" s="25"/>
      <c r="M726" s="25"/>
      <c r="N726" s="25"/>
      <c r="O726" s="26"/>
      <c r="P726" s="16" t="str">
        <f aca="false">IF(O726="","",IFERROR(1/(1/(IF(K726="",INDEX(CONFIG!$F$5:$F$14,MATCH(D726,CONFIG!$D$5:$D$14,0)),K726)*IF(M726="",INDEX(CONFIG!$H$5:$H$14,MATCH(D726,CONFIG!$D$5:$D$14,0)),M726))),""))</f>
        <v/>
      </c>
      <c r="Q726" s="16" t="str">
        <f aca="false">IF(OR(O726="",P726=""),"",O726/P726)</f>
        <v/>
      </c>
      <c r="R726" s="16" t="str">
        <f aca="false">IF(Q726="","",Q726*0.0980665)</f>
        <v/>
      </c>
      <c r="S726" s="16" t="str">
        <f aca="false">IF(Q726="","",IFERROR(Q726/(1/(1/INDEX(CONFIG!$I$5:$I$14,MATCH(D726,CONFIG!$D$5:$D$14,0)))),""))</f>
        <v/>
      </c>
      <c r="T726" s="13"/>
      <c r="U726" s="13"/>
      <c r="V726" s="13"/>
      <c r="W726" s="13"/>
      <c r="X726" s="22" t="str">
        <f aca="false">IF(Q726="","",Q726^2)</f>
        <v/>
      </c>
      <c r="Y726" s="22" t="str">
        <f aca="false">IF(AND(C726&lt;&gt;"",C726=CERTIFICADO!$E$4,OR(CERTIFICADO!$E$5="",B726=CERTIFICADO!$E$5)),MAX($Y$4:Y725)+1,"")</f>
        <v/>
      </c>
    </row>
    <row r="727" customFormat="false" ht="15" hidden="false" customHeight="false" outlineLevel="0" collapsed="false">
      <c r="A727" s="11" t="str">
        <f aca="false">IF(C727="","",ROW()-4)</f>
        <v/>
      </c>
      <c r="B727" s="12"/>
      <c r="C727" s="13"/>
      <c r="D727" s="23" t="str">
        <f aca="false">IF(C727="","",IFERROR(INDEX(LOTES!$D$5:$D$1004,MATCH(C727,LOTES!$F$5:$F$1004,0)),"¿Lote?"))</f>
        <v/>
      </c>
      <c r="E727" s="11" t="str">
        <f aca="false">IF(C727="","",IFERROR(INDEX(LOTES!$C$5:$C$1004,MATCH(C727,LOTES!$F$5:$F$1004,0)),""))</f>
        <v/>
      </c>
      <c r="F727" s="24" t="str">
        <f aca="false">IF(C727="","",IFERROR(INDEX(LOTES!$B$5:$B$1004,MATCH(C727,LOTES!$F$5:$F$1004,0)),""))</f>
        <v/>
      </c>
      <c r="G727" s="15" t="str">
        <f aca="false">IF(OR(B727="",F727=""),"",B727-F727)</f>
        <v/>
      </c>
      <c r="H727" s="13"/>
      <c r="I727" s="13"/>
      <c r="J727" s="13"/>
      <c r="K727" s="25"/>
      <c r="L727" s="25"/>
      <c r="M727" s="25"/>
      <c r="N727" s="25"/>
      <c r="O727" s="26"/>
      <c r="P727" s="16" t="str">
        <f aca="false">IF(O727="","",IFERROR(1/(1/(IF(K727="",INDEX(CONFIG!$F$5:$F$14,MATCH(D727,CONFIG!$D$5:$D$14,0)),K727)*IF(M727="",INDEX(CONFIG!$H$5:$H$14,MATCH(D727,CONFIG!$D$5:$D$14,0)),M727))),""))</f>
        <v/>
      </c>
      <c r="Q727" s="16" t="str">
        <f aca="false">IF(OR(O727="",P727=""),"",O727/P727)</f>
        <v/>
      </c>
      <c r="R727" s="16" t="str">
        <f aca="false">IF(Q727="","",Q727*0.0980665)</f>
        <v/>
      </c>
      <c r="S727" s="16" t="str">
        <f aca="false">IF(Q727="","",IFERROR(Q727/(1/(1/INDEX(CONFIG!$I$5:$I$14,MATCH(D727,CONFIG!$D$5:$D$14,0)))),""))</f>
        <v/>
      </c>
      <c r="T727" s="13"/>
      <c r="U727" s="13"/>
      <c r="V727" s="13"/>
      <c r="W727" s="13"/>
      <c r="X727" s="22" t="str">
        <f aca="false">IF(Q727="","",Q727^2)</f>
        <v/>
      </c>
      <c r="Y727" s="22" t="str">
        <f aca="false">IF(AND(C727&lt;&gt;"",C727=CERTIFICADO!$E$4,OR(CERTIFICADO!$E$5="",B727=CERTIFICADO!$E$5)),MAX($Y$4:Y726)+1,"")</f>
        <v/>
      </c>
    </row>
    <row r="728" customFormat="false" ht="15" hidden="false" customHeight="false" outlineLevel="0" collapsed="false">
      <c r="A728" s="11" t="str">
        <f aca="false">IF(C728="","",ROW()-4)</f>
        <v/>
      </c>
      <c r="B728" s="12"/>
      <c r="C728" s="13"/>
      <c r="D728" s="23" t="str">
        <f aca="false">IF(C728="","",IFERROR(INDEX(LOTES!$D$5:$D$1004,MATCH(C728,LOTES!$F$5:$F$1004,0)),"¿Lote?"))</f>
        <v/>
      </c>
      <c r="E728" s="11" t="str">
        <f aca="false">IF(C728="","",IFERROR(INDEX(LOTES!$C$5:$C$1004,MATCH(C728,LOTES!$F$5:$F$1004,0)),""))</f>
        <v/>
      </c>
      <c r="F728" s="24" t="str">
        <f aca="false">IF(C728="","",IFERROR(INDEX(LOTES!$B$5:$B$1004,MATCH(C728,LOTES!$F$5:$F$1004,0)),""))</f>
        <v/>
      </c>
      <c r="G728" s="15" t="str">
        <f aca="false">IF(OR(B728="",F728=""),"",B728-F728)</f>
        <v/>
      </c>
      <c r="H728" s="13"/>
      <c r="I728" s="13"/>
      <c r="J728" s="13"/>
      <c r="K728" s="25"/>
      <c r="L728" s="25"/>
      <c r="M728" s="25"/>
      <c r="N728" s="25"/>
      <c r="O728" s="26"/>
      <c r="P728" s="16" t="str">
        <f aca="false">IF(O728="","",IFERROR(1/(1/(IF(K728="",INDEX(CONFIG!$F$5:$F$14,MATCH(D728,CONFIG!$D$5:$D$14,0)),K728)*IF(M728="",INDEX(CONFIG!$H$5:$H$14,MATCH(D728,CONFIG!$D$5:$D$14,0)),M728))),""))</f>
        <v/>
      </c>
      <c r="Q728" s="16" t="str">
        <f aca="false">IF(OR(O728="",P728=""),"",O728/P728)</f>
        <v/>
      </c>
      <c r="R728" s="16" t="str">
        <f aca="false">IF(Q728="","",Q728*0.0980665)</f>
        <v/>
      </c>
      <c r="S728" s="16" t="str">
        <f aca="false">IF(Q728="","",IFERROR(Q728/(1/(1/INDEX(CONFIG!$I$5:$I$14,MATCH(D728,CONFIG!$D$5:$D$14,0)))),""))</f>
        <v/>
      </c>
      <c r="T728" s="13"/>
      <c r="U728" s="13"/>
      <c r="V728" s="13"/>
      <c r="W728" s="13"/>
      <c r="X728" s="22" t="str">
        <f aca="false">IF(Q728="","",Q728^2)</f>
        <v/>
      </c>
      <c r="Y728" s="22" t="str">
        <f aca="false">IF(AND(C728&lt;&gt;"",C728=CERTIFICADO!$E$4,OR(CERTIFICADO!$E$5="",B728=CERTIFICADO!$E$5)),MAX($Y$4:Y727)+1,"")</f>
        <v/>
      </c>
    </row>
    <row r="729" customFormat="false" ht="15" hidden="false" customHeight="false" outlineLevel="0" collapsed="false">
      <c r="A729" s="11" t="str">
        <f aca="false">IF(C729="","",ROW()-4)</f>
        <v/>
      </c>
      <c r="B729" s="12"/>
      <c r="C729" s="13"/>
      <c r="D729" s="23" t="str">
        <f aca="false">IF(C729="","",IFERROR(INDEX(LOTES!$D$5:$D$1004,MATCH(C729,LOTES!$F$5:$F$1004,0)),"¿Lote?"))</f>
        <v/>
      </c>
      <c r="E729" s="11" t="str">
        <f aca="false">IF(C729="","",IFERROR(INDEX(LOTES!$C$5:$C$1004,MATCH(C729,LOTES!$F$5:$F$1004,0)),""))</f>
        <v/>
      </c>
      <c r="F729" s="24" t="str">
        <f aca="false">IF(C729="","",IFERROR(INDEX(LOTES!$B$5:$B$1004,MATCH(C729,LOTES!$F$5:$F$1004,0)),""))</f>
        <v/>
      </c>
      <c r="G729" s="15" t="str">
        <f aca="false">IF(OR(B729="",F729=""),"",B729-F729)</f>
        <v/>
      </c>
      <c r="H729" s="13"/>
      <c r="I729" s="13"/>
      <c r="J729" s="13"/>
      <c r="K729" s="25"/>
      <c r="L729" s="25"/>
      <c r="M729" s="25"/>
      <c r="N729" s="25"/>
      <c r="O729" s="26"/>
      <c r="P729" s="16" t="str">
        <f aca="false">IF(O729="","",IFERROR(1/(1/(IF(K729="",INDEX(CONFIG!$F$5:$F$14,MATCH(D729,CONFIG!$D$5:$D$14,0)),K729)*IF(M729="",INDEX(CONFIG!$H$5:$H$14,MATCH(D729,CONFIG!$D$5:$D$14,0)),M729))),""))</f>
        <v/>
      </c>
      <c r="Q729" s="16" t="str">
        <f aca="false">IF(OR(O729="",P729=""),"",O729/P729)</f>
        <v/>
      </c>
      <c r="R729" s="16" t="str">
        <f aca="false">IF(Q729="","",Q729*0.0980665)</f>
        <v/>
      </c>
      <c r="S729" s="16" t="str">
        <f aca="false">IF(Q729="","",IFERROR(Q729/(1/(1/INDEX(CONFIG!$I$5:$I$14,MATCH(D729,CONFIG!$D$5:$D$14,0)))),""))</f>
        <v/>
      </c>
      <c r="T729" s="13"/>
      <c r="U729" s="13"/>
      <c r="V729" s="13"/>
      <c r="W729" s="13"/>
      <c r="X729" s="22" t="str">
        <f aca="false">IF(Q729="","",Q729^2)</f>
        <v/>
      </c>
      <c r="Y729" s="22" t="str">
        <f aca="false">IF(AND(C729&lt;&gt;"",C729=CERTIFICADO!$E$4,OR(CERTIFICADO!$E$5="",B729=CERTIFICADO!$E$5)),MAX($Y$4:Y728)+1,"")</f>
        <v/>
      </c>
    </row>
    <row r="730" customFormat="false" ht="15" hidden="false" customHeight="false" outlineLevel="0" collapsed="false">
      <c r="A730" s="11" t="str">
        <f aca="false">IF(C730="","",ROW()-4)</f>
        <v/>
      </c>
      <c r="B730" s="12"/>
      <c r="C730" s="13"/>
      <c r="D730" s="23" t="str">
        <f aca="false">IF(C730="","",IFERROR(INDEX(LOTES!$D$5:$D$1004,MATCH(C730,LOTES!$F$5:$F$1004,0)),"¿Lote?"))</f>
        <v/>
      </c>
      <c r="E730" s="11" t="str">
        <f aca="false">IF(C730="","",IFERROR(INDEX(LOTES!$C$5:$C$1004,MATCH(C730,LOTES!$F$5:$F$1004,0)),""))</f>
        <v/>
      </c>
      <c r="F730" s="24" t="str">
        <f aca="false">IF(C730="","",IFERROR(INDEX(LOTES!$B$5:$B$1004,MATCH(C730,LOTES!$F$5:$F$1004,0)),""))</f>
        <v/>
      </c>
      <c r="G730" s="15" t="str">
        <f aca="false">IF(OR(B730="",F730=""),"",B730-F730)</f>
        <v/>
      </c>
      <c r="H730" s="13"/>
      <c r="I730" s="13"/>
      <c r="J730" s="13"/>
      <c r="K730" s="25"/>
      <c r="L730" s="25"/>
      <c r="M730" s="25"/>
      <c r="N730" s="25"/>
      <c r="O730" s="26"/>
      <c r="P730" s="16" t="str">
        <f aca="false">IF(O730="","",IFERROR(1/(1/(IF(K730="",INDEX(CONFIG!$F$5:$F$14,MATCH(D730,CONFIG!$D$5:$D$14,0)),K730)*IF(M730="",INDEX(CONFIG!$H$5:$H$14,MATCH(D730,CONFIG!$D$5:$D$14,0)),M730))),""))</f>
        <v/>
      </c>
      <c r="Q730" s="16" t="str">
        <f aca="false">IF(OR(O730="",P730=""),"",O730/P730)</f>
        <v/>
      </c>
      <c r="R730" s="16" t="str">
        <f aca="false">IF(Q730="","",Q730*0.0980665)</f>
        <v/>
      </c>
      <c r="S730" s="16" t="str">
        <f aca="false">IF(Q730="","",IFERROR(Q730/(1/(1/INDEX(CONFIG!$I$5:$I$14,MATCH(D730,CONFIG!$D$5:$D$14,0)))),""))</f>
        <v/>
      </c>
      <c r="T730" s="13"/>
      <c r="U730" s="13"/>
      <c r="V730" s="13"/>
      <c r="W730" s="13"/>
      <c r="X730" s="22" t="str">
        <f aca="false">IF(Q730="","",Q730^2)</f>
        <v/>
      </c>
      <c r="Y730" s="22" t="str">
        <f aca="false">IF(AND(C730&lt;&gt;"",C730=CERTIFICADO!$E$4,OR(CERTIFICADO!$E$5="",B730=CERTIFICADO!$E$5)),MAX($Y$4:Y729)+1,"")</f>
        <v/>
      </c>
    </row>
    <row r="731" customFormat="false" ht="15" hidden="false" customHeight="false" outlineLevel="0" collapsed="false">
      <c r="A731" s="11" t="str">
        <f aca="false">IF(C731="","",ROW()-4)</f>
        <v/>
      </c>
      <c r="B731" s="12"/>
      <c r="C731" s="13"/>
      <c r="D731" s="23" t="str">
        <f aca="false">IF(C731="","",IFERROR(INDEX(LOTES!$D$5:$D$1004,MATCH(C731,LOTES!$F$5:$F$1004,0)),"¿Lote?"))</f>
        <v/>
      </c>
      <c r="E731" s="11" t="str">
        <f aca="false">IF(C731="","",IFERROR(INDEX(LOTES!$C$5:$C$1004,MATCH(C731,LOTES!$F$5:$F$1004,0)),""))</f>
        <v/>
      </c>
      <c r="F731" s="24" t="str">
        <f aca="false">IF(C731="","",IFERROR(INDEX(LOTES!$B$5:$B$1004,MATCH(C731,LOTES!$F$5:$F$1004,0)),""))</f>
        <v/>
      </c>
      <c r="G731" s="15" t="str">
        <f aca="false">IF(OR(B731="",F731=""),"",B731-F731)</f>
        <v/>
      </c>
      <c r="H731" s="13"/>
      <c r="I731" s="13"/>
      <c r="J731" s="13"/>
      <c r="K731" s="25"/>
      <c r="L731" s="25"/>
      <c r="M731" s="25"/>
      <c r="N731" s="25"/>
      <c r="O731" s="26"/>
      <c r="P731" s="16" t="str">
        <f aca="false">IF(O731="","",IFERROR(1/(1/(IF(K731="",INDEX(CONFIG!$F$5:$F$14,MATCH(D731,CONFIG!$D$5:$D$14,0)),K731)*IF(M731="",INDEX(CONFIG!$H$5:$H$14,MATCH(D731,CONFIG!$D$5:$D$14,0)),M731))),""))</f>
        <v/>
      </c>
      <c r="Q731" s="16" t="str">
        <f aca="false">IF(OR(O731="",P731=""),"",O731/P731)</f>
        <v/>
      </c>
      <c r="R731" s="16" t="str">
        <f aca="false">IF(Q731="","",Q731*0.0980665)</f>
        <v/>
      </c>
      <c r="S731" s="16" t="str">
        <f aca="false">IF(Q731="","",IFERROR(Q731/(1/(1/INDEX(CONFIG!$I$5:$I$14,MATCH(D731,CONFIG!$D$5:$D$14,0)))),""))</f>
        <v/>
      </c>
      <c r="T731" s="13"/>
      <c r="U731" s="13"/>
      <c r="V731" s="13"/>
      <c r="W731" s="13"/>
      <c r="X731" s="22" t="str">
        <f aca="false">IF(Q731="","",Q731^2)</f>
        <v/>
      </c>
      <c r="Y731" s="22" t="str">
        <f aca="false">IF(AND(C731&lt;&gt;"",C731=CERTIFICADO!$E$4,OR(CERTIFICADO!$E$5="",B731=CERTIFICADO!$E$5)),MAX($Y$4:Y730)+1,"")</f>
        <v/>
      </c>
    </row>
    <row r="732" customFormat="false" ht="15" hidden="false" customHeight="false" outlineLevel="0" collapsed="false">
      <c r="A732" s="11" t="str">
        <f aca="false">IF(C732="","",ROW()-4)</f>
        <v/>
      </c>
      <c r="B732" s="12"/>
      <c r="C732" s="13"/>
      <c r="D732" s="23" t="str">
        <f aca="false">IF(C732="","",IFERROR(INDEX(LOTES!$D$5:$D$1004,MATCH(C732,LOTES!$F$5:$F$1004,0)),"¿Lote?"))</f>
        <v/>
      </c>
      <c r="E732" s="11" t="str">
        <f aca="false">IF(C732="","",IFERROR(INDEX(LOTES!$C$5:$C$1004,MATCH(C732,LOTES!$F$5:$F$1004,0)),""))</f>
        <v/>
      </c>
      <c r="F732" s="24" t="str">
        <f aca="false">IF(C732="","",IFERROR(INDEX(LOTES!$B$5:$B$1004,MATCH(C732,LOTES!$F$5:$F$1004,0)),""))</f>
        <v/>
      </c>
      <c r="G732" s="15" t="str">
        <f aca="false">IF(OR(B732="",F732=""),"",B732-F732)</f>
        <v/>
      </c>
      <c r="H732" s="13"/>
      <c r="I732" s="13"/>
      <c r="J732" s="13"/>
      <c r="K732" s="25"/>
      <c r="L732" s="25"/>
      <c r="M732" s="25"/>
      <c r="N732" s="25"/>
      <c r="O732" s="26"/>
      <c r="P732" s="16" t="str">
        <f aca="false">IF(O732="","",IFERROR(1/(1/(IF(K732="",INDEX(CONFIG!$F$5:$F$14,MATCH(D732,CONFIG!$D$5:$D$14,0)),K732)*IF(M732="",INDEX(CONFIG!$H$5:$H$14,MATCH(D732,CONFIG!$D$5:$D$14,0)),M732))),""))</f>
        <v/>
      </c>
      <c r="Q732" s="16" t="str">
        <f aca="false">IF(OR(O732="",P732=""),"",O732/P732)</f>
        <v/>
      </c>
      <c r="R732" s="16" t="str">
        <f aca="false">IF(Q732="","",Q732*0.0980665)</f>
        <v/>
      </c>
      <c r="S732" s="16" t="str">
        <f aca="false">IF(Q732="","",IFERROR(Q732/(1/(1/INDEX(CONFIG!$I$5:$I$14,MATCH(D732,CONFIG!$D$5:$D$14,0)))),""))</f>
        <v/>
      </c>
      <c r="T732" s="13"/>
      <c r="U732" s="13"/>
      <c r="V732" s="13"/>
      <c r="W732" s="13"/>
      <c r="X732" s="22" t="str">
        <f aca="false">IF(Q732="","",Q732^2)</f>
        <v/>
      </c>
      <c r="Y732" s="22" t="str">
        <f aca="false">IF(AND(C732&lt;&gt;"",C732=CERTIFICADO!$E$4,OR(CERTIFICADO!$E$5="",B732=CERTIFICADO!$E$5)),MAX($Y$4:Y731)+1,"")</f>
        <v/>
      </c>
    </row>
    <row r="733" customFormat="false" ht="15" hidden="false" customHeight="false" outlineLevel="0" collapsed="false">
      <c r="A733" s="11" t="str">
        <f aca="false">IF(C733="","",ROW()-4)</f>
        <v/>
      </c>
      <c r="B733" s="12"/>
      <c r="C733" s="13"/>
      <c r="D733" s="23" t="str">
        <f aca="false">IF(C733="","",IFERROR(INDEX(LOTES!$D$5:$D$1004,MATCH(C733,LOTES!$F$5:$F$1004,0)),"¿Lote?"))</f>
        <v/>
      </c>
      <c r="E733" s="11" t="str">
        <f aca="false">IF(C733="","",IFERROR(INDEX(LOTES!$C$5:$C$1004,MATCH(C733,LOTES!$F$5:$F$1004,0)),""))</f>
        <v/>
      </c>
      <c r="F733" s="24" t="str">
        <f aca="false">IF(C733="","",IFERROR(INDEX(LOTES!$B$5:$B$1004,MATCH(C733,LOTES!$F$5:$F$1004,0)),""))</f>
        <v/>
      </c>
      <c r="G733" s="15" t="str">
        <f aca="false">IF(OR(B733="",F733=""),"",B733-F733)</f>
        <v/>
      </c>
      <c r="H733" s="13"/>
      <c r="I733" s="13"/>
      <c r="J733" s="13"/>
      <c r="K733" s="25"/>
      <c r="L733" s="25"/>
      <c r="M733" s="25"/>
      <c r="N733" s="25"/>
      <c r="O733" s="26"/>
      <c r="P733" s="16" t="str">
        <f aca="false">IF(O733="","",IFERROR(1/(1/(IF(K733="",INDEX(CONFIG!$F$5:$F$14,MATCH(D733,CONFIG!$D$5:$D$14,0)),K733)*IF(M733="",INDEX(CONFIG!$H$5:$H$14,MATCH(D733,CONFIG!$D$5:$D$14,0)),M733))),""))</f>
        <v/>
      </c>
      <c r="Q733" s="16" t="str">
        <f aca="false">IF(OR(O733="",P733=""),"",O733/P733)</f>
        <v/>
      </c>
      <c r="R733" s="16" t="str">
        <f aca="false">IF(Q733="","",Q733*0.0980665)</f>
        <v/>
      </c>
      <c r="S733" s="16" t="str">
        <f aca="false">IF(Q733="","",IFERROR(Q733/(1/(1/INDEX(CONFIG!$I$5:$I$14,MATCH(D733,CONFIG!$D$5:$D$14,0)))),""))</f>
        <v/>
      </c>
      <c r="T733" s="13"/>
      <c r="U733" s="13"/>
      <c r="V733" s="13"/>
      <c r="W733" s="13"/>
      <c r="X733" s="22" t="str">
        <f aca="false">IF(Q733="","",Q733^2)</f>
        <v/>
      </c>
      <c r="Y733" s="22" t="str">
        <f aca="false">IF(AND(C733&lt;&gt;"",C733=CERTIFICADO!$E$4,OR(CERTIFICADO!$E$5="",B733=CERTIFICADO!$E$5)),MAX($Y$4:Y732)+1,"")</f>
        <v/>
      </c>
    </row>
    <row r="734" customFormat="false" ht="15" hidden="false" customHeight="false" outlineLevel="0" collapsed="false">
      <c r="A734" s="11" t="str">
        <f aca="false">IF(C734="","",ROW()-4)</f>
        <v/>
      </c>
      <c r="B734" s="12"/>
      <c r="C734" s="13"/>
      <c r="D734" s="23" t="str">
        <f aca="false">IF(C734="","",IFERROR(INDEX(LOTES!$D$5:$D$1004,MATCH(C734,LOTES!$F$5:$F$1004,0)),"¿Lote?"))</f>
        <v/>
      </c>
      <c r="E734" s="11" t="str">
        <f aca="false">IF(C734="","",IFERROR(INDEX(LOTES!$C$5:$C$1004,MATCH(C734,LOTES!$F$5:$F$1004,0)),""))</f>
        <v/>
      </c>
      <c r="F734" s="24" t="str">
        <f aca="false">IF(C734="","",IFERROR(INDEX(LOTES!$B$5:$B$1004,MATCH(C734,LOTES!$F$5:$F$1004,0)),""))</f>
        <v/>
      </c>
      <c r="G734" s="15" t="str">
        <f aca="false">IF(OR(B734="",F734=""),"",B734-F734)</f>
        <v/>
      </c>
      <c r="H734" s="13"/>
      <c r="I734" s="13"/>
      <c r="J734" s="13"/>
      <c r="K734" s="25"/>
      <c r="L734" s="25"/>
      <c r="M734" s="25"/>
      <c r="N734" s="25"/>
      <c r="O734" s="26"/>
      <c r="P734" s="16" t="str">
        <f aca="false">IF(O734="","",IFERROR(1/(1/(IF(K734="",INDEX(CONFIG!$F$5:$F$14,MATCH(D734,CONFIG!$D$5:$D$14,0)),K734)*IF(M734="",INDEX(CONFIG!$H$5:$H$14,MATCH(D734,CONFIG!$D$5:$D$14,0)),M734))),""))</f>
        <v/>
      </c>
      <c r="Q734" s="16" t="str">
        <f aca="false">IF(OR(O734="",P734=""),"",O734/P734)</f>
        <v/>
      </c>
      <c r="R734" s="16" t="str">
        <f aca="false">IF(Q734="","",Q734*0.0980665)</f>
        <v/>
      </c>
      <c r="S734" s="16" t="str">
        <f aca="false">IF(Q734="","",IFERROR(Q734/(1/(1/INDEX(CONFIG!$I$5:$I$14,MATCH(D734,CONFIG!$D$5:$D$14,0)))),""))</f>
        <v/>
      </c>
      <c r="T734" s="13"/>
      <c r="U734" s="13"/>
      <c r="V734" s="13"/>
      <c r="W734" s="13"/>
      <c r="X734" s="22" t="str">
        <f aca="false">IF(Q734="","",Q734^2)</f>
        <v/>
      </c>
      <c r="Y734" s="22" t="str">
        <f aca="false">IF(AND(C734&lt;&gt;"",C734=CERTIFICADO!$E$4,OR(CERTIFICADO!$E$5="",B734=CERTIFICADO!$E$5)),MAX($Y$4:Y733)+1,"")</f>
        <v/>
      </c>
    </row>
    <row r="735" customFormat="false" ht="15" hidden="false" customHeight="false" outlineLevel="0" collapsed="false">
      <c r="A735" s="11" t="str">
        <f aca="false">IF(C735="","",ROW()-4)</f>
        <v/>
      </c>
      <c r="B735" s="12"/>
      <c r="C735" s="13"/>
      <c r="D735" s="23" t="str">
        <f aca="false">IF(C735="","",IFERROR(INDEX(LOTES!$D$5:$D$1004,MATCH(C735,LOTES!$F$5:$F$1004,0)),"¿Lote?"))</f>
        <v/>
      </c>
      <c r="E735" s="11" t="str">
        <f aca="false">IF(C735="","",IFERROR(INDEX(LOTES!$C$5:$C$1004,MATCH(C735,LOTES!$F$5:$F$1004,0)),""))</f>
        <v/>
      </c>
      <c r="F735" s="24" t="str">
        <f aca="false">IF(C735="","",IFERROR(INDEX(LOTES!$B$5:$B$1004,MATCH(C735,LOTES!$F$5:$F$1004,0)),""))</f>
        <v/>
      </c>
      <c r="G735" s="15" t="str">
        <f aca="false">IF(OR(B735="",F735=""),"",B735-F735)</f>
        <v/>
      </c>
      <c r="H735" s="13"/>
      <c r="I735" s="13"/>
      <c r="J735" s="13"/>
      <c r="K735" s="25"/>
      <c r="L735" s="25"/>
      <c r="M735" s="25"/>
      <c r="N735" s="25"/>
      <c r="O735" s="26"/>
      <c r="P735" s="16" t="str">
        <f aca="false">IF(O735="","",IFERROR(1/(1/(IF(K735="",INDEX(CONFIG!$F$5:$F$14,MATCH(D735,CONFIG!$D$5:$D$14,0)),K735)*IF(M735="",INDEX(CONFIG!$H$5:$H$14,MATCH(D735,CONFIG!$D$5:$D$14,0)),M735))),""))</f>
        <v/>
      </c>
      <c r="Q735" s="16" t="str">
        <f aca="false">IF(OR(O735="",P735=""),"",O735/P735)</f>
        <v/>
      </c>
      <c r="R735" s="16" t="str">
        <f aca="false">IF(Q735="","",Q735*0.0980665)</f>
        <v/>
      </c>
      <c r="S735" s="16" t="str">
        <f aca="false">IF(Q735="","",IFERROR(Q735/(1/(1/INDEX(CONFIG!$I$5:$I$14,MATCH(D735,CONFIG!$D$5:$D$14,0)))),""))</f>
        <v/>
      </c>
      <c r="T735" s="13"/>
      <c r="U735" s="13"/>
      <c r="V735" s="13"/>
      <c r="W735" s="13"/>
      <c r="X735" s="22" t="str">
        <f aca="false">IF(Q735="","",Q735^2)</f>
        <v/>
      </c>
      <c r="Y735" s="22" t="str">
        <f aca="false">IF(AND(C735&lt;&gt;"",C735=CERTIFICADO!$E$4,OR(CERTIFICADO!$E$5="",B735=CERTIFICADO!$E$5)),MAX($Y$4:Y734)+1,"")</f>
        <v/>
      </c>
    </row>
    <row r="736" customFormat="false" ht="15" hidden="false" customHeight="false" outlineLevel="0" collapsed="false">
      <c r="A736" s="11" t="str">
        <f aca="false">IF(C736="","",ROW()-4)</f>
        <v/>
      </c>
      <c r="B736" s="12"/>
      <c r="C736" s="13"/>
      <c r="D736" s="23" t="str">
        <f aca="false">IF(C736="","",IFERROR(INDEX(LOTES!$D$5:$D$1004,MATCH(C736,LOTES!$F$5:$F$1004,0)),"¿Lote?"))</f>
        <v/>
      </c>
      <c r="E736" s="11" t="str">
        <f aca="false">IF(C736="","",IFERROR(INDEX(LOTES!$C$5:$C$1004,MATCH(C736,LOTES!$F$5:$F$1004,0)),""))</f>
        <v/>
      </c>
      <c r="F736" s="24" t="str">
        <f aca="false">IF(C736="","",IFERROR(INDEX(LOTES!$B$5:$B$1004,MATCH(C736,LOTES!$F$5:$F$1004,0)),""))</f>
        <v/>
      </c>
      <c r="G736" s="15" t="str">
        <f aca="false">IF(OR(B736="",F736=""),"",B736-F736)</f>
        <v/>
      </c>
      <c r="H736" s="13"/>
      <c r="I736" s="13"/>
      <c r="J736" s="13"/>
      <c r="K736" s="25"/>
      <c r="L736" s="25"/>
      <c r="M736" s="25"/>
      <c r="N736" s="25"/>
      <c r="O736" s="26"/>
      <c r="P736" s="16" t="str">
        <f aca="false">IF(O736="","",IFERROR(1/(1/(IF(K736="",INDEX(CONFIG!$F$5:$F$14,MATCH(D736,CONFIG!$D$5:$D$14,0)),K736)*IF(M736="",INDEX(CONFIG!$H$5:$H$14,MATCH(D736,CONFIG!$D$5:$D$14,0)),M736))),""))</f>
        <v/>
      </c>
      <c r="Q736" s="16" t="str">
        <f aca="false">IF(OR(O736="",P736=""),"",O736/P736)</f>
        <v/>
      </c>
      <c r="R736" s="16" t="str">
        <f aca="false">IF(Q736="","",Q736*0.0980665)</f>
        <v/>
      </c>
      <c r="S736" s="16" t="str">
        <f aca="false">IF(Q736="","",IFERROR(Q736/(1/(1/INDEX(CONFIG!$I$5:$I$14,MATCH(D736,CONFIG!$D$5:$D$14,0)))),""))</f>
        <v/>
      </c>
      <c r="T736" s="13"/>
      <c r="U736" s="13"/>
      <c r="V736" s="13"/>
      <c r="W736" s="13"/>
      <c r="X736" s="22" t="str">
        <f aca="false">IF(Q736="","",Q736^2)</f>
        <v/>
      </c>
      <c r="Y736" s="22" t="str">
        <f aca="false">IF(AND(C736&lt;&gt;"",C736=CERTIFICADO!$E$4,OR(CERTIFICADO!$E$5="",B736=CERTIFICADO!$E$5)),MAX($Y$4:Y735)+1,"")</f>
        <v/>
      </c>
    </row>
    <row r="737" customFormat="false" ht="15" hidden="false" customHeight="false" outlineLevel="0" collapsed="false">
      <c r="A737" s="11" t="str">
        <f aca="false">IF(C737="","",ROW()-4)</f>
        <v/>
      </c>
      <c r="B737" s="12"/>
      <c r="C737" s="13"/>
      <c r="D737" s="23" t="str">
        <f aca="false">IF(C737="","",IFERROR(INDEX(LOTES!$D$5:$D$1004,MATCH(C737,LOTES!$F$5:$F$1004,0)),"¿Lote?"))</f>
        <v/>
      </c>
      <c r="E737" s="11" t="str">
        <f aca="false">IF(C737="","",IFERROR(INDEX(LOTES!$C$5:$C$1004,MATCH(C737,LOTES!$F$5:$F$1004,0)),""))</f>
        <v/>
      </c>
      <c r="F737" s="24" t="str">
        <f aca="false">IF(C737="","",IFERROR(INDEX(LOTES!$B$5:$B$1004,MATCH(C737,LOTES!$F$5:$F$1004,0)),""))</f>
        <v/>
      </c>
      <c r="G737" s="15" t="str">
        <f aca="false">IF(OR(B737="",F737=""),"",B737-F737)</f>
        <v/>
      </c>
      <c r="H737" s="13"/>
      <c r="I737" s="13"/>
      <c r="J737" s="13"/>
      <c r="K737" s="25"/>
      <c r="L737" s="25"/>
      <c r="M737" s="25"/>
      <c r="N737" s="25"/>
      <c r="O737" s="26"/>
      <c r="P737" s="16" t="str">
        <f aca="false">IF(O737="","",IFERROR(1/(1/(IF(K737="",INDEX(CONFIG!$F$5:$F$14,MATCH(D737,CONFIG!$D$5:$D$14,0)),K737)*IF(M737="",INDEX(CONFIG!$H$5:$H$14,MATCH(D737,CONFIG!$D$5:$D$14,0)),M737))),""))</f>
        <v/>
      </c>
      <c r="Q737" s="16" t="str">
        <f aca="false">IF(OR(O737="",P737=""),"",O737/P737)</f>
        <v/>
      </c>
      <c r="R737" s="16" t="str">
        <f aca="false">IF(Q737="","",Q737*0.0980665)</f>
        <v/>
      </c>
      <c r="S737" s="16" t="str">
        <f aca="false">IF(Q737="","",IFERROR(Q737/(1/(1/INDEX(CONFIG!$I$5:$I$14,MATCH(D737,CONFIG!$D$5:$D$14,0)))),""))</f>
        <v/>
      </c>
      <c r="T737" s="13"/>
      <c r="U737" s="13"/>
      <c r="V737" s="13"/>
      <c r="W737" s="13"/>
      <c r="X737" s="22" t="str">
        <f aca="false">IF(Q737="","",Q737^2)</f>
        <v/>
      </c>
      <c r="Y737" s="22" t="str">
        <f aca="false">IF(AND(C737&lt;&gt;"",C737=CERTIFICADO!$E$4,OR(CERTIFICADO!$E$5="",B737=CERTIFICADO!$E$5)),MAX($Y$4:Y736)+1,"")</f>
        <v/>
      </c>
    </row>
    <row r="738" customFormat="false" ht="15" hidden="false" customHeight="false" outlineLevel="0" collapsed="false">
      <c r="A738" s="11" t="str">
        <f aca="false">IF(C738="","",ROW()-4)</f>
        <v/>
      </c>
      <c r="B738" s="12"/>
      <c r="C738" s="13"/>
      <c r="D738" s="23" t="str">
        <f aca="false">IF(C738="","",IFERROR(INDEX(LOTES!$D$5:$D$1004,MATCH(C738,LOTES!$F$5:$F$1004,0)),"¿Lote?"))</f>
        <v/>
      </c>
      <c r="E738" s="11" t="str">
        <f aca="false">IF(C738="","",IFERROR(INDEX(LOTES!$C$5:$C$1004,MATCH(C738,LOTES!$F$5:$F$1004,0)),""))</f>
        <v/>
      </c>
      <c r="F738" s="24" t="str">
        <f aca="false">IF(C738="","",IFERROR(INDEX(LOTES!$B$5:$B$1004,MATCH(C738,LOTES!$F$5:$F$1004,0)),""))</f>
        <v/>
      </c>
      <c r="G738" s="15" t="str">
        <f aca="false">IF(OR(B738="",F738=""),"",B738-F738)</f>
        <v/>
      </c>
      <c r="H738" s="13"/>
      <c r="I738" s="13"/>
      <c r="J738" s="13"/>
      <c r="K738" s="25"/>
      <c r="L738" s="25"/>
      <c r="M738" s="25"/>
      <c r="N738" s="25"/>
      <c r="O738" s="26"/>
      <c r="P738" s="16" t="str">
        <f aca="false">IF(O738="","",IFERROR(1/(1/(IF(K738="",INDEX(CONFIG!$F$5:$F$14,MATCH(D738,CONFIG!$D$5:$D$14,0)),K738)*IF(M738="",INDEX(CONFIG!$H$5:$H$14,MATCH(D738,CONFIG!$D$5:$D$14,0)),M738))),""))</f>
        <v/>
      </c>
      <c r="Q738" s="16" t="str">
        <f aca="false">IF(OR(O738="",P738=""),"",O738/P738)</f>
        <v/>
      </c>
      <c r="R738" s="16" t="str">
        <f aca="false">IF(Q738="","",Q738*0.0980665)</f>
        <v/>
      </c>
      <c r="S738" s="16" t="str">
        <f aca="false">IF(Q738="","",IFERROR(Q738/(1/(1/INDEX(CONFIG!$I$5:$I$14,MATCH(D738,CONFIG!$D$5:$D$14,0)))),""))</f>
        <v/>
      </c>
      <c r="T738" s="13"/>
      <c r="U738" s="13"/>
      <c r="V738" s="13"/>
      <c r="W738" s="13"/>
      <c r="X738" s="22" t="str">
        <f aca="false">IF(Q738="","",Q738^2)</f>
        <v/>
      </c>
      <c r="Y738" s="22" t="str">
        <f aca="false">IF(AND(C738&lt;&gt;"",C738=CERTIFICADO!$E$4,OR(CERTIFICADO!$E$5="",B738=CERTIFICADO!$E$5)),MAX($Y$4:Y737)+1,"")</f>
        <v/>
      </c>
    </row>
    <row r="739" customFormat="false" ht="15" hidden="false" customHeight="false" outlineLevel="0" collapsed="false">
      <c r="A739" s="11" t="str">
        <f aca="false">IF(C739="","",ROW()-4)</f>
        <v/>
      </c>
      <c r="B739" s="12"/>
      <c r="C739" s="13"/>
      <c r="D739" s="23" t="str">
        <f aca="false">IF(C739="","",IFERROR(INDEX(LOTES!$D$5:$D$1004,MATCH(C739,LOTES!$F$5:$F$1004,0)),"¿Lote?"))</f>
        <v/>
      </c>
      <c r="E739" s="11" t="str">
        <f aca="false">IF(C739="","",IFERROR(INDEX(LOTES!$C$5:$C$1004,MATCH(C739,LOTES!$F$5:$F$1004,0)),""))</f>
        <v/>
      </c>
      <c r="F739" s="24" t="str">
        <f aca="false">IF(C739="","",IFERROR(INDEX(LOTES!$B$5:$B$1004,MATCH(C739,LOTES!$F$5:$F$1004,0)),""))</f>
        <v/>
      </c>
      <c r="G739" s="15" t="str">
        <f aca="false">IF(OR(B739="",F739=""),"",B739-F739)</f>
        <v/>
      </c>
      <c r="H739" s="13"/>
      <c r="I739" s="13"/>
      <c r="J739" s="13"/>
      <c r="K739" s="25"/>
      <c r="L739" s="25"/>
      <c r="M739" s="25"/>
      <c r="N739" s="25"/>
      <c r="O739" s="26"/>
      <c r="P739" s="16" t="str">
        <f aca="false">IF(O739="","",IFERROR(1/(1/(IF(K739="",INDEX(CONFIG!$F$5:$F$14,MATCH(D739,CONFIG!$D$5:$D$14,0)),K739)*IF(M739="",INDEX(CONFIG!$H$5:$H$14,MATCH(D739,CONFIG!$D$5:$D$14,0)),M739))),""))</f>
        <v/>
      </c>
      <c r="Q739" s="16" t="str">
        <f aca="false">IF(OR(O739="",P739=""),"",O739/P739)</f>
        <v/>
      </c>
      <c r="R739" s="16" t="str">
        <f aca="false">IF(Q739="","",Q739*0.0980665)</f>
        <v/>
      </c>
      <c r="S739" s="16" t="str">
        <f aca="false">IF(Q739="","",IFERROR(Q739/(1/(1/INDEX(CONFIG!$I$5:$I$14,MATCH(D739,CONFIG!$D$5:$D$14,0)))),""))</f>
        <v/>
      </c>
      <c r="T739" s="13"/>
      <c r="U739" s="13"/>
      <c r="V739" s="13"/>
      <c r="W739" s="13"/>
      <c r="X739" s="22" t="str">
        <f aca="false">IF(Q739="","",Q739^2)</f>
        <v/>
      </c>
      <c r="Y739" s="22" t="str">
        <f aca="false">IF(AND(C739&lt;&gt;"",C739=CERTIFICADO!$E$4,OR(CERTIFICADO!$E$5="",B739=CERTIFICADO!$E$5)),MAX($Y$4:Y738)+1,"")</f>
        <v/>
      </c>
    </row>
    <row r="740" customFormat="false" ht="15" hidden="false" customHeight="false" outlineLevel="0" collapsed="false">
      <c r="A740" s="11" t="str">
        <f aca="false">IF(C740="","",ROW()-4)</f>
        <v/>
      </c>
      <c r="B740" s="12"/>
      <c r="C740" s="13"/>
      <c r="D740" s="23" t="str">
        <f aca="false">IF(C740="","",IFERROR(INDEX(LOTES!$D$5:$D$1004,MATCH(C740,LOTES!$F$5:$F$1004,0)),"¿Lote?"))</f>
        <v/>
      </c>
      <c r="E740" s="11" t="str">
        <f aca="false">IF(C740="","",IFERROR(INDEX(LOTES!$C$5:$C$1004,MATCH(C740,LOTES!$F$5:$F$1004,0)),""))</f>
        <v/>
      </c>
      <c r="F740" s="24" t="str">
        <f aca="false">IF(C740="","",IFERROR(INDEX(LOTES!$B$5:$B$1004,MATCH(C740,LOTES!$F$5:$F$1004,0)),""))</f>
        <v/>
      </c>
      <c r="G740" s="15" t="str">
        <f aca="false">IF(OR(B740="",F740=""),"",B740-F740)</f>
        <v/>
      </c>
      <c r="H740" s="13"/>
      <c r="I740" s="13"/>
      <c r="J740" s="13"/>
      <c r="K740" s="25"/>
      <c r="L740" s="25"/>
      <c r="M740" s="25"/>
      <c r="N740" s="25"/>
      <c r="O740" s="26"/>
      <c r="P740" s="16" t="str">
        <f aca="false">IF(O740="","",IFERROR(1/(1/(IF(K740="",INDEX(CONFIG!$F$5:$F$14,MATCH(D740,CONFIG!$D$5:$D$14,0)),K740)*IF(M740="",INDEX(CONFIG!$H$5:$H$14,MATCH(D740,CONFIG!$D$5:$D$14,0)),M740))),""))</f>
        <v/>
      </c>
      <c r="Q740" s="16" t="str">
        <f aca="false">IF(OR(O740="",P740=""),"",O740/P740)</f>
        <v/>
      </c>
      <c r="R740" s="16" t="str">
        <f aca="false">IF(Q740="","",Q740*0.0980665)</f>
        <v/>
      </c>
      <c r="S740" s="16" t="str">
        <f aca="false">IF(Q740="","",IFERROR(Q740/(1/(1/INDEX(CONFIG!$I$5:$I$14,MATCH(D740,CONFIG!$D$5:$D$14,0)))),""))</f>
        <v/>
      </c>
      <c r="T740" s="13"/>
      <c r="U740" s="13"/>
      <c r="V740" s="13"/>
      <c r="W740" s="13"/>
      <c r="X740" s="22" t="str">
        <f aca="false">IF(Q740="","",Q740^2)</f>
        <v/>
      </c>
      <c r="Y740" s="22" t="str">
        <f aca="false">IF(AND(C740&lt;&gt;"",C740=CERTIFICADO!$E$4,OR(CERTIFICADO!$E$5="",B740=CERTIFICADO!$E$5)),MAX($Y$4:Y739)+1,"")</f>
        <v/>
      </c>
    </row>
    <row r="741" customFormat="false" ht="15" hidden="false" customHeight="false" outlineLevel="0" collapsed="false">
      <c r="A741" s="11" t="str">
        <f aca="false">IF(C741="","",ROW()-4)</f>
        <v/>
      </c>
      <c r="B741" s="12"/>
      <c r="C741" s="13"/>
      <c r="D741" s="23" t="str">
        <f aca="false">IF(C741="","",IFERROR(INDEX(LOTES!$D$5:$D$1004,MATCH(C741,LOTES!$F$5:$F$1004,0)),"¿Lote?"))</f>
        <v/>
      </c>
      <c r="E741" s="11" t="str">
        <f aca="false">IF(C741="","",IFERROR(INDEX(LOTES!$C$5:$C$1004,MATCH(C741,LOTES!$F$5:$F$1004,0)),""))</f>
        <v/>
      </c>
      <c r="F741" s="24" t="str">
        <f aca="false">IF(C741="","",IFERROR(INDEX(LOTES!$B$5:$B$1004,MATCH(C741,LOTES!$F$5:$F$1004,0)),""))</f>
        <v/>
      </c>
      <c r="G741" s="15" t="str">
        <f aca="false">IF(OR(B741="",F741=""),"",B741-F741)</f>
        <v/>
      </c>
      <c r="H741" s="13"/>
      <c r="I741" s="13"/>
      <c r="J741" s="13"/>
      <c r="K741" s="25"/>
      <c r="L741" s="25"/>
      <c r="M741" s="25"/>
      <c r="N741" s="25"/>
      <c r="O741" s="26"/>
      <c r="P741" s="16" t="str">
        <f aca="false">IF(O741="","",IFERROR(1/(1/(IF(K741="",INDEX(CONFIG!$F$5:$F$14,MATCH(D741,CONFIG!$D$5:$D$14,0)),K741)*IF(M741="",INDEX(CONFIG!$H$5:$H$14,MATCH(D741,CONFIG!$D$5:$D$14,0)),M741))),""))</f>
        <v/>
      </c>
      <c r="Q741" s="16" t="str">
        <f aca="false">IF(OR(O741="",P741=""),"",O741/P741)</f>
        <v/>
      </c>
      <c r="R741" s="16" t="str">
        <f aca="false">IF(Q741="","",Q741*0.0980665)</f>
        <v/>
      </c>
      <c r="S741" s="16" t="str">
        <f aca="false">IF(Q741="","",IFERROR(Q741/(1/(1/INDEX(CONFIG!$I$5:$I$14,MATCH(D741,CONFIG!$D$5:$D$14,0)))),""))</f>
        <v/>
      </c>
      <c r="T741" s="13"/>
      <c r="U741" s="13"/>
      <c r="V741" s="13"/>
      <c r="W741" s="13"/>
      <c r="X741" s="22" t="str">
        <f aca="false">IF(Q741="","",Q741^2)</f>
        <v/>
      </c>
      <c r="Y741" s="22" t="str">
        <f aca="false">IF(AND(C741&lt;&gt;"",C741=CERTIFICADO!$E$4,OR(CERTIFICADO!$E$5="",B741=CERTIFICADO!$E$5)),MAX($Y$4:Y740)+1,"")</f>
        <v/>
      </c>
    </row>
    <row r="742" customFormat="false" ht="15" hidden="false" customHeight="false" outlineLevel="0" collapsed="false">
      <c r="A742" s="11" t="str">
        <f aca="false">IF(C742="","",ROW()-4)</f>
        <v/>
      </c>
      <c r="B742" s="12"/>
      <c r="C742" s="13"/>
      <c r="D742" s="23" t="str">
        <f aca="false">IF(C742="","",IFERROR(INDEX(LOTES!$D$5:$D$1004,MATCH(C742,LOTES!$F$5:$F$1004,0)),"¿Lote?"))</f>
        <v/>
      </c>
      <c r="E742" s="11" t="str">
        <f aca="false">IF(C742="","",IFERROR(INDEX(LOTES!$C$5:$C$1004,MATCH(C742,LOTES!$F$5:$F$1004,0)),""))</f>
        <v/>
      </c>
      <c r="F742" s="24" t="str">
        <f aca="false">IF(C742="","",IFERROR(INDEX(LOTES!$B$5:$B$1004,MATCH(C742,LOTES!$F$5:$F$1004,0)),""))</f>
        <v/>
      </c>
      <c r="G742" s="15" t="str">
        <f aca="false">IF(OR(B742="",F742=""),"",B742-F742)</f>
        <v/>
      </c>
      <c r="H742" s="13"/>
      <c r="I742" s="13"/>
      <c r="J742" s="13"/>
      <c r="K742" s="25"/>
      <c r="L742" s="25"/>
      <c r="M742" s="25"/>
      <c r="N742" s="25"/>
      <c r="O742" s="26"/>
      <c r="P742" s="16" t="str">
        <f aca="false">IF(O742="","",IFERROR(1/(1/(IF(K742="",INDEX(CONFIG!$F$5:$F$14,MATCH(D742,CONFIG!$D$5:$D$14,0)),K742)*IF(M742="",INDEX(CONFIG!$H$5:$H$14,MATCH(D742,CONFIG!$D$5:$D$14,0)),M742))),""))</f>
        <v/>
      </c>
      <c r="Q742" s="16" t="str">
        <f aca="false">IF(OR(O742="",P742=""),"",O742/P742)</f>
        <v/>
      </c>
      <c r="R742" s="16" t="str">
        <f aca="false">IF(Q742="","",Q742*0.0980665)</f>
        <v/>
      </c>
      <c r="S742" s="16" t="str">
        <f aca="false">IF(Q742="","",IFERROR(Q742/(1/(1/INDEX(CONFIG!$I$5:$I$14,MATCH(D742,CONFIG!$D$5:$D$14,0)))),""))</f>
        <v/>
      </c>
      <c r="T742" s="13"/>
      <c r="U742" s="13"/>
      <c r="V742" s="13"/>
      <c r="W742" s="13"/>
      <c r="X742" s="22" t="str">
        <f aca="false">IF(Q742="","",Q742^2)</f>
        <v/>
      </c>
      <c r="Y742" s="22" t="str">
        <f aca="false">IF(AND(C742&lt;&gt;"",C742=CERTIFICADO!$E$4,OR(CERTIFICADO!$E$5="",B742=CERTIFICADO!$E$5)),MAX($Y$4:Y741)+1,"")</f>
        <v/>
      </c>
    </row>
    <row r="743" customFormat="false" ht="15" hidden="false" customHeight="false" outlineLevel="0" collapsed="false">
      <c r="A743" s="11" t="str">
        <f aca="false">IF(C743="","",ROW()-4)</f>
        <v/>
      </c>
      <c r="B743" s="12"/>
      <c r="C743" s="13"/>
      <c r="D743" s="23" t="str">
        <f aca="false">IF(C743="","",IFERROR(INDEX(LOTES!$D$5:$D$1004,MATCH(C743,LOTES!$F$5:$F$1004,0)),"¿Lote?"))</f>
        <v/>
      </c>
      <c r="E743" s="11" t="str">
        <f aca="false">IF(C743="","",IFERROR(INDEX(LOTES!$C$5:$C$1004,MATCH(C743,LOTES!$F$5:$F$1004,0)),""))</f>
        <v/>
      </c>
      <c r="F743" s="24" t="str">
        <f aca="false">IF(C743="","",IFERROR(INDEX(LOTES!$B$5:$B$1004,MATCH(C743,LOTES!$F$5:$F$1004,0)),""))</f>
        <v/>
      </c>
      <c r="G743" s="15" t="str">
        <f aca="false">IF(OR(B743="",F743=""),"",B743-F743)</f>
        <v/>
      </c>
      <c r="H743" s="13"/>
      <c r="I743" s="13"/>
      <c r="J743" s="13"/>
      <c r="K743" s="25"/>
      <c r="L743" s="25"/>
      <c r="M743" s="25"/>
      <c r="N743" s="25"/>
      <c r="O743" s="26"/>
      <c r="P743" s="16" t="str">
        <f aca="false">IF(O743="","",IFERROR(1/(1/(IF(K743="",INDEX(CONFIG!$F$5:$F$14,MATCH(D743,CONFIG!$D$5:$D$14,0)),K743)*IF(M743="",INDEX(CONFIG!$H$5:$H$14,MATCH(D743,CONFIG!$D$5:$D$14,0)),M743))),""))</f>
        <v/>
      </c>
      <c r="Q743" s="16" t="str">
        <f aca="false">IF(OR(O743="",P743=""),"",O743/P743)</f>
        <v/>
      </c>
      <c r="R743" s="16" t="str">
        <f aca="false">IF(Q743="","",Q743*0.0980665)</f>
        <v/>
      </c>
      <c r="S743" s="16" t="str">
        <f aca="false">IF(Q743="","",IFERROR(Q743/(1/(1/INDEX(CONFIG!$I$5:$I$14,MATCH(D743,CONFIG!$D$5:$D$14,0)))),""))</f>
        <v/>
      </c>
      <c r="T743" s="13"/>
      <c r="U743" s="13"/>
      <c r="V743" s="13"/>
      <c r="W743" s="13"/>
      <c r="X743" s="22" t="str">
        <f aca="false">IF(Q743="","",Q743^2)</f>
        <v/>
      </c>
      <c r="Y743" s="22" t="str">
        <f aca="false">IF(AND(C743&lt;&gt;"",C743=CERTIFICADO!$E$4,OR(CERTIFICADO!$E$5="",B743=CERTIFICADO!$E$5)),MAX($Y$4:Y742)+1,"")</f>
        <v/>
      </c>
    </row>
    <row r="744" customFormat="false" ht="15" hidden="false" customHeight="false" outlineLevel="0" collapsed="false">
      <c r="A744" s="11" t="str">
        <f aca="false">IF(C744="","",ROW()-4)</f>
        <v/>
      </c>
      <c r="B744" s="12"/>
      <c r="C744" s="13"/>
      <c r="D744" s="23" t="str">
        <f aca="false">IF(C744="","",IFERROR(INDEX(LOTES!$D$5:$D$1004,MATCH(C744,LOTES!$F$5:$F$1004,0)),"¿Lote?"))</f>
        <v/>
      </c>
      <c r="E744" s="11" t="str">
        <f aca="false">IF(C744="","",IFERROR(INDEX(LOTES!$C$5:$C$1004,MATCH(C744,LOTES!$F$5:$F$1004,0)),""))</f>
        <v/>
      </c>
      <c r="F744" s="24" t="str">
        <f aca="false">IF(C744="","",IFERROR(INDEX(LOTES!$B$5:$B$1004,MATCH(C744,LOTES!$F$5:$F$1004,0)),""))</f>
        <v/>
      </c>
      <c r="G744" s="15" t="str">
        <f aca="false">IF(OR(B744="",F744=""),"",B744-F744)</f>
        <v/>
      </c>
      <c r="H744" s="13"/>
      <c r="I744" s="13"/>
      <c r="J744" s="13"/>
      <c r="K744" s="25"/>
      <c r="L744" s="25"/>
      <c r="M744" s="25"/>
      <c r="N744" s="25"/>
      <c r="O744" s="26"/>
      <c r="P744" s="16" t="str">
        <f aca="false">IF(O744="","",IFERROR(1/(1/(IF(K744="",INDEX(CONFIG!$F$5:$F$14,MATCH(D744,CONFIG!$D$5:$D$14,0)),K744)*IF(M744="",INDEX(CONFIG!$H$5:$H$14,MATCH(D744,CONFIG!$D$5:$D$14,0)),M744))),""))</f>
        <v/>
      </c>
      <c r="Q744" s="16" t="str">
        <f aca="false">IF(OR(O744="",P744=""),"",O744/P744)</f>
        <v/>
      </c>
      <c r="R744" s="16" t="str">
        <f aca="false">IF(Q744="","",Q744*0.0980665)</f>
        <v/>
      </c>
      <c r="S744" s="16" t="str">
        <f aca="false">IF(Q744="","",IFERROR(Q744/(1/(1/INDEX(CONFIG!$I$5:$I$14,MATCH(D744,CONFIG!$D$5:$D$14,0)))),""))</f>
        <v/>
      </c>
      <c r="T744" s="13"/>
      <c r="U744" s="13"/>
      <c r="V744" s="13"/>
      <c r="W744" s="13"/>
      <c r="X744" s="22" t="str">
        <f aca="false">IF(Q744="","",Q744^2)</f>
        <v/>
      </c>
      <c r="Y744" s="22" t="str">
        <f aca="false">IF(AND(C744&lt;&gt;"",C744=CERTIFICADO!$E$4,OR(CERTIFICADO!$E$5="",B744=CERTIFICADO!$E$5)),MAX($Y$4:Y743)+1,"")</f>
        <v/>
      </c>
    </row>
    <row r="745" customFormat="false" ht="15" hidden="false" customHeight="false" outlineLevel="0" collapsed="false">
      <c r="A745" s="11" t="str">
        <f aca="false">IF(C745="","",ROW()-4)</f>
        <v/>
      </c>
      <c r="B745" s="12"/>
      <c r="C745" s="13"/>
      <c r="D745" s="23" t="str">
        <f aca="false">IF(C745="","",IFERROR(INDEX(LOTES!$D$5:$D$1004,MATCH(C745,LOTES!$F$5:$F$1004,0)),"¿Lote?"))</f>
        <v/>
      </c>
      <c r="E745" s="11" t="str">
        <f aca="false">IF(C745="","",IFERROR(INDEX(LOTES!$C$5:$C$1004,MATCH(C745,LOTES!$F$5:$F$1004,0)),""))</f>
        <v/>
      </c>
      <c r="F745" s="24" t="str">
        <f aca="false">IF(C745="","",IFERROR(INDEX(LOTES!$B$5:$B$1004,MATCH(C745,LOTES!$F$5:$F$1004,0)),""))</f>
        <v/>
      </c>
      <c r="G745" s="15" t="str">
        <f aca="false">IF(OR(B745="",F745=""),"",B745-F745)</f>
        <v/>
      </c>
      <c r="H745" s="13"/>
      <c r="I745" s="13"/>
      <c r="J745" s="13"/>
      <c r="K745" s="25"/>
      <c r="L745" s="25"/>
      <c r="M745" s="25"/>
      <c r="N745" s="25"/>
      <c r="O745" s="26"/>
      <c r="P745" s="16" t="str">
        <f aca="false">IF(O745="","",IFERROR(1/(1/(IF(K745="",INDEX(CONFIG!$F$5:$F$14,MATCH(D745,CONFIG!$D$5:$D$14,0)),K745)*IF(M745="",INDEX(CONFIG!$H$5:$H$14,MATCH(D745,CONFIG!$D$5:$D$14,0)),M745))),""))</f>
        <v/>
      </c>
      <c r="Q745" s="16" t="str">
        <f aca="false">IF(OR(O745="",P745=""),"",O745/P745)</f>
        <v/>
      </c>
      <c r="R745" s="16" t="str">
        <f aca="false">IF(Q745="","",Q745*0.0980665)</f>
        <v/>
      </c>
      <c r="S745" s="16" t="str">
        <f aca="false">IF(Q745="","",IFERROR(Q745/(1/(1/INDEX(CONFIG!$I$5:$I$14,MATCH(D745,CONFIG!$D$5:$D$14,0)))),""))</f>
        <v/>
      </c>
      <c r="T745" s="13"/>
      <c r="U745" s="13"/>
      <c r="V745" s="13"/>
      <c r="W745" s="13"/>
      <c r="X745" s="22" t="str">
        <f aca="false">IF(Q745="","",Q745^2)</f>
        <v/>
      </c>
      <c r="Y745" s="22" t="str">
        <f aca="false">IF(AND(C745&lt;&gt;"",C745=CERTIFICADO!$E$4,OR(CERTIFICADO!$E$5="",B745=CERTIFICADO!$E$5)),MAX($Y$4:Y744)+1,"")</f>
        <v/>
      </c>
    </row>
    <row r="746" customFormat="false" ht="15" hidden="false" customHeight="false" outlineLevel="0" collapsed="false">
      <c r="A746" s="11" t="str">
        <f aca="false">IF(C746="","",ROW()-4)</f>
        <v/>
      </c>
      <c r="B746" s="12"/>
      <c r="C746" s="13"/>
      <c r="D746" s="23" t="str">
        <f aca="false">IF(C746="","",IFERROR(INDEX(LOTES!$D$5:$D$1004,MATCH(C746,LOTES!$F$5:$F$1004,0)),"¿Lote?"))</f>
        <v/>
      </c>
      <c r="E746" s="11" t="str">
        <f aca="false">IF(C746="","",IFERROR(INDEX(LOTES!$C$5:$C$1004,MATCH(C746,LOTES!$F$5:$F$1004,0)),""))</f>
        <v/>
      </c>
      <c r="F746" s="24" t="str">
        <f aca="false">IF(C746="","",IFERROR(INDEX(LOTES!$B$5:$B$1004,MATCH(C746,LOTES!$F$5:$F$1004,0)),""))</f>
        <v/>
      </c>
      <c r="G746" s="15" t="str">
        <f aca="false">IF(OR(B746="",F746=""),"",B746-F746)</f>
        <v/>
      </c>
      <c r="H746" s="13"/>
      <c r="I746" s="13"/>
      <c r="J746" s="13"/>
      <c r="K746" s="25"/>
      <c r="L746" s="25"/>
      <c r="M746" s="25"/>
      <c r="N746" s="25"/>
      <c r="O746" s="26"/>
      <c r="P746" s="16" t="str">
        <f aca="false">IF(O746="","",IFERROR(1/(1/(IF(K746="",INDEX(CONFIG!$F$5:$F$14,MATCH(D746,CONFIG!$D$5:$D$14,0)),K746)*IF(M746="",INDEX(CONFIG!$H$5:$H$14,MATCH(D746,CONFIG!$D$5:$D$14,0)),M746))),""))</f>
        <v/>
      </c>
      <c r="Q746" s="16" t="str">
        <f aca="false">IF(OR(O746="",P746=""),"",O746/P746)</f>
        <v/>
      </c>
      <c r="R746" s="16" t="str">
        <f aca="false">IF(Q746="","",Q746*0.0980665)</f>
        <v/>
      </c>
      <c r="S746" s="16" t="str">
        <f aca="false">IF(Q746="","",IFERROR(Q746/(1/(1/INDEX(CONFIG!$I$5:$I$14,MATCH(D746,CONFIG!$D$5:$D$14,0)))),""))</f>
        <v/>
      </c>
      <c r="T746" s="13"/>
      <c r="U746" s="13"/>
      <c r="V746" s="13"/>
      <c r="W746" s="13"/>
      <c r="X746" s="22" t="str">
        <f aca="false">IF(Q746="","",Q746^2)</f>
        <v/>
      </c>
      <c r="Y746" s="22" t="str">
        <f aca="false">IF(AND(C746&lt;&gt;"",C746=CERTIFICADO!$E$4,OR(CERTIFICADO!$E$5="",B746=CERTIFICADO!$E$5)),MAX($Y$4:Y745)+1,"")</f>
        <v/>
      </c>
    </row>
    <row r="747" customFormat="false" ht="15" hidden="false" customHeight="false" outlineLevel="0" collapsed="false">
      <c r="A747" s="11" t="str">
        <f aca="false">IF(C747="","",ROW()-4)</f>
        <v/>
      </c>
      <c r="B747" s="12"/>
      <c r="C747" s="13"/>
      <c r="D747" s="23" t="str">
        <f aca="false">IF(C747="","",IFERROR(INDEX(LOTES!$D$5:$D$1004,MATCH(C747,LOTES!$F$5:$F$1004,0)),"¿Lote?"))</f>
        <v/>
      </c>
      <c r="E747" s="11" t="str">
        <f aca="false">IF(C747="","",IFERROR(INDEX(LOTES!$C$5:$C$1004,MATCH(C747,LOTES!$F$5:$F$1004,0)),""))</f>
        <v/>
      </c>
      <c r="F747" s="24" t="str">
        <f aca="false">IF(C747="","",IFERROR(INDEX(LOTES!$B$5:$B$1004,MATCH(C747,LOTES!$F$5:$F$1004,0)),""))</f>
        <v/>
      </c>
      <c r="G747" s="15" t="str">
        <f aca="false">IF(OR(B747="",F747=""),"",B747-F747)</f>
        <v/>
      </c>
      <c r="H747" s="13"/>
      <c r="I747" s="13"/>
      <c r="J747" s="13"/>
      <c r="K747" s="25"/>
      <c r="L747" s="25"/>
      <c r="M747" s="25"/>
      <c r="N747" s="25"/>
      <c r="O747" s="26"/>
      <c r="P747" s="16" t="str">
        <f aca="false">IF(O747="","",IFERROR(1/(1/(IF(K747="",INDEX(CONFIG!$F$5:$F$14,MATCH(D747,CONFIG!$D$5:$D$14,0)),K747)*IF(M747="",INDEX(CONFIG!$H$5:$H$14,MATCH(D747,CONFIG!$D$5:$D$14,0)),M747))),""))</f>
        <v/>
      </c>
      <c r="Q747" s="16" t="str">
        <f aca="false">IF(OR(O747="",P747=""),"",O747/P747)</f>
        <v/>
      </c>
      <c r="R747" s="16" t="str">
        <f aca="false">IF(Q747="","",Q747*0.0980665)</f>
        <v/>
      </c>
      <c r="S747" s="16" t="str">
        <f aca="false">IF(Q747="","",IFERROR(Q747/(1/(1/INDEX(CONFIG!$I$5:$I$14,MATCH(D747,CONFIG!$D$5:$D$14,0)))),""))</f>
        <v/>
      </c>
      <c r="T747" s="13"/>
      <c r="U747" s="13"/>
      <c r="V747" s="13"/>
      <c r="W747" s="13"/>
      <c r="X747" s="22" t="str">
        <f aca="false">IF(Q747="","",Q747^2)</f>
        <v/>
      </c>
      <c r="Y747" s="22" t="str">
        <f aca="false">IF(AND(C747&lt;&gt;"",C747=CERTIFICADO!$E$4,OR(CERTIFICADO!$E$5="",B747=CERTIFICADO!$E$5)),MAX($Y$4:Y746)+1,"")</f>
        <v/>
      </c>
    </row>
    <row r="748" customFormat="false" ht="15" hidden="false" customHeight="false" outlineLevel="0" collapsed="false">
      <c r="A748" s="11" t="str">
        <f aca="false">IF(C748="","",ROW()-4)</f>
        <v/>
      </c>
      <c r="B748" s="12"/>
      <c r="C748" s="13"/>
      <c r="D748" s="23" t="str">
        <f aca="false">IF(C748="","",IFERROR(INDEX(LOTES!$D$5:$D$1004,MATCH(C748,LOTES!$F$5:$F$1004,0)),"¿Lote?"))</f>
        <v/>
      </c>
      <c r="E748" s="11" t="str">
        <f aca="false">IF(C748="","",IFERROR(INDEX(LOTES!$C$5:$C$1004,MATCH(C748,LOTES!$F$5:$F$1004,0)),""))</f>
        <v/>
      </c>
      <c r="F748" s="24" t="str">
        <f aca="false">IF(C748="","",IFERROR(INDEX(LOTES!$B$5:$B$1004,MATCH(C748,LOTES!$F$5:$F$1004,0)),""))</f>
        <v/>
      </c>
      <c r="G748" s="15" t="str">
        <f aca="false">IF(OR(B748="",F748=""),"",B748-F748)</f>
        <v/>
      </c>
      <c r="H748" s="13"/>
      <c r="I748" s="13"/>
      <c r="J748" s="13"/>
      <c r="K748" s="25"/>
      <c r="L748" s="25"/>
      <c r="M748" s="25"/>
      <c r="N748" s="25"/>
      <c r="O748" s="26"/>
      <c r="P748" s="16" t="str">
        <f aca="false">IF(O748="","",IFERROR(1/(1/(IF(K748="",INDEX(CONFIG!$F$5:$F$14,MATCH(D748,CONFIG!$D$5:$D$14,0)),K748)*IF(M748="",INDEX(CONFIG!$H$5:$H$14,MATCH(D748,CONFIG!$D$5:$D$14,0)),M748))),""))</f>
        <v/>
      </c>
      <c r="Q748" s="16" t="str">
        <f aca="false">IF(OR(O748="",P748=""),"",O748/P748)</f>
        <v/>
      </c>
      <c r="R748" s="16" t="str">
        <f aca="false">IF(Q748="","",Q748*0.0980665)</f>
        <v/>
      </c>
      <c r="S748" s="16" t="str">
        <f aca="false">IF(Q748="","",IFERROR(Q748/(1/(1/INDEX(CONFIG!$I$5:$I$14,MATCH(D748,CONFIG!$D$5:$D$14,0)))),""))</f>
        <v/>
      </c>
      <c r="T748" s="13"/>
      <c r="U748" s="13"/>
      <c r="V748" s="13"/>
      <c r="W748" s="13"/>
      <c r="X748" s="22" t="str">
        <f aca="false">IF(Q748="","",Q748^2)</f>
        <v/>
      </c>
      <c r="Y748" s="22" t="str">
        <f aca="false">IF(AND(C748&lt;&gt;"",C748=CERTIFICADO!$E$4,OR(CERTIFICADO!$E$5="",B748=CERTIFICADO!$E$5)),MAX($Y$4:Y747)+1,"")</f>
        <v/>
      </c>
    </row>
    <row r="749" customFormat="false" ht="15" hidden="false" customHeight="false" outlineLevel="0" collapsed="false">
      <c r="A749" s="11" t="str">
        <f aca="false">IF(C749="","",ROW()-4)</f>
        <v/>
      </c>
      <c r="B749" s="12"/>
      <c r="C749" s="13"/>
      <c r="D749" s="23" t="str">
        <f aca="false">IF(C749="","",IFERROR(INDEX(LOTES!$D$5:$D$1004,MATCH(C749,LOTES!$F$5:$F$1004,0)),"¿Lote?"))</f>
        <v/>
      </c>
      <c r="E749" s="11" t="str">
        <f aca="false">IF(C749="","",IFERROR(INDEX(LOTES!$C$5:$C$1004,MATCH(C749,LOTES!$F$5:$F$1004,0)),""))</f>
        <v/>
      </c>
      <c r="F749" s="24" t="str">
        <f aca="false">IF(C749="","",IFERROR(INDEX(LOTES!$B$5:$B$1004,MATCH(C749,LOTES!$F$5:$F$1004,0)),""))</f>
        <v/>
      </c>
      <c r="G749" s="15" t="str">
        <f aca="false">IF(OR(B749="",F749=""),"",B749-F749)</f>
        <v/>
      </c>
      <c r="H749" s="13"/>
      <c r="I749" s="13"/>
      <c r="J749" s="13"/>
      <c r="K749" s="25"/>
      <c r="L749" s="25"/>
      <c r="M749" s="25"/>
      <c r="N749" s="25"/>
      <c r="O749" s="26"/>
      <c r="P749" s="16" t="str">
        <f aca="false">IF(O749="","",IFERROR(1/(1/(IF(K749="",INDEX(CONFIG!$F$5:$F$14,MATCH(D749,CONFIG!$D$5:$D$14,0)),K749)*IF(M749="",INDEX(CONFIG!$H$5:$H$14,MATCH(D749,CONFIG!$D$5:$D$14,0)),M749))),""))</f>
        <v/>
      </c>
      <c r="Q749" s="16" t="str">
        <f aca="false">IF(OR(O749="",P749=""),"",O749/P749)</f>
        <v/>
      </c>
      <c r="R749" s="16" t="str">
        <f aca="false">IF(Q749="","",Q749*0.0980665)</f>
        <v/>
      </c>
      <c r="S749" s="16" t="str">
        <f aca="false">IF(Q749="","",IFERROR(Q749/(1/(1/INDEX(CONFIG!$I$5:$I$14,MATCH(D749,CONFIG!$D$5:$D$14,0)))),""))</f>
        <v/>
      </c>
      <c r="T749" s="13"/>
      <c r="U749" s="13"/>
      <c r="V749" s="13"/>
      <c r="W749" s="13"/>
      <c r="X749" s="22" t="str">
        <f aca="false">IF(Q749="","",Q749^2)</f>
        <v/>
      </c>
      <c r="Y749" s="22" t="str">
        <f aca="false">IF(AND(C749&lt;&gt;"",C749=CERTIFICADO!$E$4,OR(CERTIFICADO!$E$5="",B749=CERTIFICADO!$E$5)),MAX($Y$4:Y748)+1,"")</f>
        <v/>
      </c>
    </row>
    <row r="750" customFormat="false" ht="15" hidden="false" customHeight="false" outlineLevel="0" collapsed="false">
      <c r="A750" s="11" t="str">
        <f aca="false">IF(C750="","",ROW()-4)</f>
        <v/>
      </c>
      <c r="B750" s="12"/>
      <c r="C750" s="13"/>
      <c r="D750" s="23" t="str">
        <f aca="false">IF(C750="","",IFERROR(INDEX(LOTES!$D$5:$D$1004,MATCH(C750,LOTES!$F$5:$F$1004,0)),"¿Lote?"))</f>
        <v/>
      </c>
      <c r="E750" s="11" t="str">
        <f aca="false">IF(C750="","",IFERROR(INDEX(LOTES!$C$5:$C$1004,MATCH(C750,LOTES!$F$5:$F$1004,0)),""))</f>
        <v/>
      </c>
      <c r="F750" s="24" t="str">
        <f aca="false">IF(C750="","",IFERROR(INDEX(LOTES!$B$5:$B$1004,MATCH(C750,LOTES!$F$5:$F$1004,0)),""))</f>
        <v/>
      </c>
      <c r="G750" s="15" t="str">
        <f aca="false">IF(OR(B750="",F750=""),"",B750-F750)</f>
        <v/>
      </c>
      <c r="H750" s="13"/>
      <c r="I750" s="13"/>
      <c r="J750" s="13"/>
      <c r="K750" s="25"/>
      <c r="L750" s="25"/>
      <c r="M750" s="25"/>
      <c r="N750" s="25"/>
      <c r="O750" s="26"/>
      <c r="P750" s="16" t="str">
        <f aca="false">IF(O750="","",IFERROR(1/(1/(IF(K750="",INDEX(CONFIG!$F$5:$F$14,MATCH(D750,CONFIG!$D$5:$D$14,0)),K750)*IF(M750="",INDEX(CONFIG!$H$5:$H$14,MATCH(D750,CONFIG!$D$5:$D$14,0)),M750))),""))</f>
        <v/>
      </c>
      <c r="Q750" s="16" t="str">
        <f aca="false">IF(OR(O750="",P750=""),"",O750/P750)</f>
        <v/>
      </c>
      <c r="R750" s="16" t="str">
        <f aca="false">IF(Q750="","",Q750*0.0980665)</f>
        <v/>
      </c>
      <c r="S750" s="16" t="str">
        <f aca="false">IF(Q750="","",IFERROR(Q750/(1/(1/INDEX(CONFIG!$I$5:$I$14,MATCH(D750,CONFIG!$D$5:$D$14,0)))),""))</f>
        <v/>
      </c>
      <c r="T750" s="13"/>
      <c r="U750" s="13"/>
      <c r="V750" s="13"/>
      <c r="W750" s="13"/>
      <c r="X750" s="22" t="str">
        <f aca="false">IF(Q750="","",Q750^2)</f>
        <v/>
      </c>
      <c r="Y750" s="22" t="str">
        <f aca="false">IF(AND(C750&lt;&gt;"",C750=CERTIFICADO!$E$4,OR(CERTIFICADO!$E$5="",B750=CERTIFICADO!$E$5)),MAX($Y$4:Y749)+1,"")</f>
        <v/>
      </c>
    </row>
    <row r="751" customFormat="false" ht="15" hidden="false" customHeight="false" outlineLevel="0" collapsed="false">
      <c r="A751" s="11" t="str">
        <f aca="false">IF(C751="","",ROW()-4)</f>
        <v/>
      </c>
      <c r="B751" s="12"/>
      <c r="C751" s="13"/>
      <c r="D751" s="23" t="str">
        <f aca="false">IF(C751="","",IFERROR(INDEX(LOTES!$D$5:$D$1004,MATCH(C751,LOTES!$F$5:$F$1004,0)),"¿Lote?"))</f>
        <v/>
      </c>
      <c r="E751" s="11" t="str">
        <f aca="false">IF(C751="","",IFERROR(INDEX(LOTES!$C$5:$C$1004,MATCH(C751,LOTES!$F$5:$F$1004,0)),""))</f>
        <v/>
      </c>
      <c r="F751" s="24" t="str">
        <f aca="false">IF(C751="","",IFERROR(INDEX(LOTES!$B$5:$B$1004,MATCH(C751,LOTES!$F$5:$F$1004,0)),""))</f>
        <v/>
      </c>
      <c r="G751" s="15" t="str">
        <f aca="false">IF(OR(B751="",F751=""),"",B751-F751)</f>
        <v/>
      </c>
      <c r="H751" s="13"/>
      <c r="I751" s="13"/>
      <c r="J751" s="13"/>
      <c r="K751" s="25"/>
      <c r="L751" s="25"/>
      <c r="M751" s="25"/>
      <c r="N751" s="25"/>
      <c r="O751" s="26"/>
      <c r="P751" s="16" t="str">
        <f aca="false">IF(O751="","",IFERROR(1/(1/(IF(K751="",INDEX(CONFIG!$F$5:$F$14,MATCH(D751,CONFIG!$D$5:$D$14,0)),K751)*IF(M751="",INDEX(CONFIG!$H$5:$H$14,MATCH(D751,CONFIG!$D$5:$D$14,0)),M751))),""))</f>
        <v/>
      </c>
      <c r="Q751" s="16" t="str">
        <f aca="false">IF(OR(O751="",P751=""),"",O751/P751)</f>
        <v/>
      </c>
      <c r="R751" s="16" t="str">
        <f aca="false">IF(Q751="","",Q751*0.0980665)</f>
        <v/>
      </c>
      <c r="S751" s="16" t="str">
        <f aca="false">IF(Q751="","",IFERROR(Q751/(1/(1/INDEX(CONFIG!$I$5:$I$14,MATCH(D751,CONFIG!$D$5:$D$14,0)))),""))</f>
        <v/>
      </c>
      <c r="T751" s="13"/>
      <c r="U751" s="13"/>
      <c r="V751" s="13"/>
      <c r="W751" s="13"/>
      <c r="X751" s="22" t="str">
        <f aca="false">IF(Q751="","",Q751^2)</f>
        <v/>
      </c>
      <c r="Y751" s="22" t="str">
        <f aca="false">IF(AND(C751&lt;&gt;"",C751=CERTIFICADO!$E$4,OR(CERTIFICADO!$E$5="",B751=CERTIFICADO!$E$5)),MAX($Y$4:Y750)+1,"")</f>
        <v/>
      </c>
    </row>
    <row r="752" customFormat="false" ht="15" hidden="false" customHeight="false" outlineLevel="0" collapsed="false">
      <c r="A752" s="11" t="str">
        <f aca="false">IF(C752="","",ROW()-4)</f>
        <v/>
      </c>
      <c r="B752" s="12"/>
      <c r="C752" s="13"/>
      <c r="D752" s="23" t="str">
        <f aca="false">IF(C752="","",IFERROR(INDEX(LOTES!$D$5:$D$1004,MATCH(C752,LOTES!$F$5:$F$1004,0)),"¿Lote?"))</f>
        <v/>
      </c>
      <c r="E752" s="11" t="str">
        <f aca="false">IF(C752="","",IFERROR(INDEX(LOTES!$C$5:$C$1004,MATCH(C752,LOTES!$F$5:$F$1004,0)),""))</f>
        <v/>
      </c>
      <c r="F752" s="24" t="str">
        <f aca="false">IF(C752="","",IFERROR(INDEX(LOTES!$B$5:$B$1004,MATCH(C752,LOTES!$F$5:$F$1004,0)),""))</f>
        <v/>
      </c>
      <c r="G752" s="15" t="str">
        <f aca="false">IF(OR(B752="",F752=""),"",B752-F752)</f>
        <v/>
      </c>
      <c r="H752" s="13"/>
      <c r="I752" s="13"/>
      <c r="J752" s="13"/>
      <c r="K752" s="25"/>
      <c r="L752" s="25"/>
      <c r="M752" s="25"/>
      <c r="N752" s="25"/>
      <c r="O752" s="26"/>
      <c r="P752" s="16" t="str">
        <f aca="false">IF(O752="","",IFERROR(1/(1/(IF(K752="",INDEX(CONFIG!$F$5:$F$14,MATCH(D752,CONFIG!$D$5:$D$14,0)),K752)*IF(M752="",INDEX(CONFIG!$H$5:$H$14,MATCH(D752,CONFIG!$D$5:$D$14,0)),M752))),""))</f>
        <v/>
      </c>
      <c r="Q752" s="16" t="str">
        <f aca="false">IF(OR(O752="",P752=""),"",O752/P752)</f>
        <v/>
      </c>
      <c r="R752" s="16" t="str">
        <f aca="false">IF(Q752="","",Q752*0.0980665)</f>
        <v/>
      </c>
      <c r="S752" s="16" t="str">
        <f aca="false">IF(Q752="","",IFERROR(Q752/(1/(1/INDEX(CONFIG!$I$5:$I$14,MATCH(D752,CONFIG!$D$5:$D$14,0)))),""))</f>
        <v/>
      </c>
      <c r="T752" s="13"/>
      <c r="U752" s="13"/>
      <c r="V752" s="13"/>
      <c r="W752" s="13"/>
      <c r="X752" s="22" t="str">
        <f aca="false">IF(Q752="","",Q752^2)</f>
        <v/>
      </c>
      <c r="Y752" s="22" t="str">
        <f aca="false">IF(AND(C752&lt;&gt;"",C752=CERTIFICADO!$E$4,OR(CERTIFICADO!$E$5="",B752=CERTIFICADO!$E$5)),MAX($Y$4:Y751)+1,"")</f>
        <v/>
      </c>
    </row>
    <row r="753" customFormat="false" ht="15" hidden="false" customHeight="false" outlineLevel="0" collapsed="false">
      <c r="A753" s="11" t="str">
        <f aca="false">IF(C753="","",ROW()-4)</f>
        <v/>
      </c>
      <c r="B753" s="12"/>
      <c r="C753" s="13"/>
      <c r="D753" s="23" t="str">
        <f aca="false">IF(C753="","",IFERROR(INDEX(LOTES!$D$5:$D$1004,MATCH(C753,LOTES!$F$5:$F$1004,0)),"¿Lote?"))</f>
        <v/>
      </c>
      <c r="E753" s="11" t="str">
        <f aca="false">IF(C753="","",IFERROR(INDEX(LOTES!$C$5:$C$1004,MATCH(C753,LOTES!$F$5:$F$1004,0)),""))</f>
        <v/>
      </c>
      <c r="F753" s="24" t="str">
        <f aca="false">IF(C753="","",IFERROR(INDEX(LOTES!$B$5:$B$1004,MATCH(C753,LOTES!$F$5:$F$1004,0)),""))</f>
        <v/>
      </c>
      <c r="G753" s="15" t="str">
        <f aca="false">IF(OR(B753="",F753=""),"",B753-F753)</f>
        <v/>
      </c>
      <c r="H753" s="13"/>
      <c r="I753" s="13"/>
      <c r="J753" s="13"/>
      <c r="K753" s="25"/>
      <c r="L753" s="25"/>
      <c r="M753" s="25"/>
      <c r="N753" s="25"/>
      <c r="O753" s="26"/>
      <c r="P753" s="16" t="str">
        <f aca="false">IF(O753="","",IFERROR(1/(1/(IF(K753="",INDEX(CONFIG!$F$5:$F$14,MATCH(D753,CONFIG!$D$5:$D$14,0)),K753)*IF(M753="",INDEX(CONFIG!$H$5:$H$14,MATCH(D753,CONFIG!$D$5:$D$14,0)),M753))),""))</f>
        <v/>
      </c>
      <c r="Q753" s="16" t="str">
        <f aca="false">IF(OR(O753="",P753=""),"",O753/P753)</f>
        <v/>
      </c>
      <c r="R753" s="16" t="str">
        <f aca="false">IF(Q753="","",Q753*0.0980665)</f>
        <v/>
      </c>
      <c r="S753" s="16" t="str">
        <f aca="false">IF(Q753="","",IFERROR(Q753/(1/(1/INDEX(CONFIG!$I$5:$I$14,MATCH(D753,CONFIG!$D$5:$D$14,0)))),""))</f>
        <v/>
      </c>
      <c r="T753" s="13"/>
      <c r="U753" s="13"/>
      <c r="V753" s="13"/>
      <c r="W753" s="13"/>
      <c r="X753" s="22" t="str">
        <f aca="false">IF(Q753="","",Q753^2)</f>
        <v/>
      </c>
      <c r="Y753" s="22" t="str">
        <f aca="false">IF(AND(C753&lt;&gt;"",C753=CERTIFICADO!$E$4,OR(CERTIFICADO!$E$5="",B753=CERTIFICADO!$E$5)),MAX($Y$4:Y752)+1,"")</f>
        <v/>
      </c>
    </row>
    <row r="754" customFormat="false" ht="15" hidden="false" customHeight="false" outlineLevel="0" collapsed="false">
      <c r="A754" s="11" t="str">
        <f aca="false">IF(C754="","",ROW()-4)</f>
        <v/>
      </c>
      <c r="B754" s="12"/>
      <c r="C754" s="13"/>
      <c r="D754" s="23" t="str">
        <f aca="false">IF(C754="","",IFERROR(INDEX(LOTES!$D$5:$D$1004,MATCH(C754,LOTES!$F$5:$F$1004,0)),"¿Lote?"))</f>
        <v/>
      </c>
      <c r="E754" s="11" t="str">
        <f aca="false">IF(C754="","",IFERROR(INDEX(LOTES!$C$5:$C$1004,MATCH(C754,LOTES!$F$5:$F$1004,0)),""))</f>
        <v/>
      </c>
      <c r="F754" s="24" t="str">
        <f aca="false">IF(C754="","",IFERROR(INDEX(LOTES!$B$5:$B$1004,MATCH(C754,LOTES!$F$5:$F$1004,0)),""))</f>
        <v/>
      </c>
      <c r="G754" s="15" t="str">
        <f aca="false">IF(OR(B754="",F754=""),"",B754-F754)</f>
        <v/>
      </c>
      <c r="H754" s="13"/>
      <c r="I754" s="13"/>
      <c r="J754" s="13"/>
      <c r="K754" s="25"/>
      <c r="L754" s="25"/>
      <c r="M754" s="25"/>
      <c r="N754" s="25"/>
      <c r="O754" s="26"/>
      <c r="P754" s="16" t="str">
        <f aca="false">IF(O754="","",IFERROR(1/(1/(IF(K754="",INDEX(CONFIG!$F$5:$F$14,MATCH(D754,CONFIG!$D$5:$D$14,0)),K754)*IF(M754="",INDEX(CONFIG!$H$5:$H$14,MATCH(D754,CONFIG!$D$5:$D$14,0)),M754))),""))</f>
        <v/>
      </c>
      <c r="Q754" s="16" t="str">
        <f aca="false">IF(OR(O754="",P754=""),"",O754/P754)</f>
        <v/>
      </c>
      <c r="R754" s="16" t="str">
        <f aca="false">IF(Q754="","",Q754*0.0980665)</f>
        <v/>
      </c>
      <c r="S754" s="16" t="str">
        <f aca="false">IF(Q754="","",IFERROR(Q754/(1/(1/INDEX(CONFIG!$I$5:$I$14,MATCH(D754,CONFIG!$D$5:$D$14,0)))),""))</f>
        <v/>
      </c>
      <c r="T754" s="13"/>
      <c r="U754" s="13"/>
      <c r="V754" s="13"/>
      <c r="W754" s="13"/>
      <c r="X754" s="22" t="str">
        <f aca="false">IF(Q754="","",Q754^2)</f>
        <v/>
      </c>
      <c r="Y754" s="22" t="str">
        <f aca="false">IF(AND(C754&lt;&gt;"",C754=CERTIFICADO!$E$4,OR(CERTIFICADO!$E$5="",B754=CERTIFICADO!$E$5)),MAX($Y$4:Y753)+1,"")</f>
        <v/>
      </c>
    </row>
    <row r="755" customFormat="false" ht="15" hidden="false" customHeight="false" outlineLevel="0" collapsed="false">
      <c r="A755" s="11" t="str">
        <f aca="false">IF(C755="","",ROW()-4)</f>
        <v/>
      </c>
      <c r="B755" s="12"/>
      <c r="C755" s="13"/>
      <c r="D755" s="23" t="str">
        <f aca="false">IF(C755="","",IFERROR(INDEX(LOTES!$D$5:$D$1004,MATCH(C755,LOTES!$F$5:$F$1004,0)),"¿Lote?"))</f>
        <v/>
      </c>
      <c r="E755" s="11" t="str">
        <f aca="false">IF(C755="","",IFERROR(INDEX(LOTES!$C$5:$C$1004,MATCH(C755,LOTES!$F$5:$F$1004,0)),""))</f>
        <v/>
      </c>
      <c r="F755" s="24" t="str">
        <f aca="false">IF(C755="","",IFERROR(INDEX(LOTES!$B$5:$B$1004,MATCH(C755,LOTES!$F$5:$F$1004,0)),""))</f>
        <v/>
      </c>
      <c r="G755" s="15" t="str">
        <f aca="false">IF(OR(B755="",F755=""),"",B755-F755)</f>
        <v/>
      </c>
      <c r="H755" s="13"/>
      <c r="I755" s="13"/>
      <c r="J755" s="13"/>
      <c r="K755" s="25"/>
      <c r="L755" s="25"/>
      <c r="M755" s="25"/>
      <c r="N755" s="25"/>
      <c r="O755" s="26"/>
      <c r="P755" s="16" t="str">
        <f aca="false">IF(O755="","",IFERROR(1/(1/(IF(K755="",INDEX(CONFIG!$F$5:$F$14,MATCH(D755,CONFIG!$D$5:$D$14,0)),K755)*IF(M755="",INDEX(CONFIG!$H$5:$H$14,MATCH(D755,CONFIG!$D$5:$D$14,0)),M755))),""))</f>
        <v/>
      </c>
      <c r="Q755" s="16" t="str">
        <f aca="false">IF(OR(O755="",P755=""),"",O755/P755)</f>
        <v/>
      </c>
      <c r="R755" s="16" t="str">
        <f aca="false">IF(Q755="","",Q755*0.0980665)</f>
        <v/>
      </c>
      <c r="S755" s="16" t="str">
        <f aca="false">IF(Q755="","",IFERROR(Q755/(1/(1/INDEX(CONFIG!$I$5:$I$14,MATCH(D755,CONFIG!$D$5:$D$14,0)))),""))</f>
        <v/>
      </c>
      <c r="T755" s="13"/>
      <c r="U755" s="13"/>
      <c r="V755" s="13"/>
      <c r="W755" s="13"/>
      <c r="X755" s="22" t="str">
        <f aca="false">IF(Q755="","",Q755^2)</f>
        <v/>
      </c>
      <c r="Y755" s="22" t="str">
        <f aca="false">IF(AND(C755&lt;&gt;"",C755=CERTIFICADO!$E$4,OR(CERTIFICADO!$E$5="",B755=CERTIFICADO!$E$5)),MAX($Y$4:Y754)+1,"")</f>
        <v/>
      </c>
    </row>
    <row r="756" customFormat="false" ht="15" hidden="false" customHeight="false" outlineLevel="0" collapsed="false">
      <c r="A756" s="11" t="str">
        <f aca="false">IF(C756="","",ROW()-4)</f>
        <v/>
      </c>
      <c r="B756" s="12"/>
      <c r="C756" s="13"/>
      <c r="D756" s="23" t="str">
        <f aca="false">IF(C756="","",IFERROR(INDEX(LOTES!$D$5:$D$1004,MATCH(C756,LOTES!$F$5:$F$1004,0)),"¿Lote?"))</f>
        <v/>
      </c>
      <c r="E756" s="11" t="str">
        <f aca="false">IF(C756="","",IFERROR(INDEX(LOTES!$C$5:$C$1004,MATCH(C756,LOTES!$F$5:$F$1004,0)),""))</f>
        <v/>
      </c>
      <c r="F756" s="24" t="str">
        <f aca="false">IF(C756="","",IFERROR(INDEX(LOTES!$B$5:$B$1004,MATCH(C756,LOTES!$F$5:$F$1004,0)),""))</f>
        <v/>
      </c>
      <c r="G756" s="15" t="str">
        <f aca="false">IF(OR(B756="",F756=""),"",B756-F756)</f>
        <v/>
      </c>
      <c r="H756" s="13"/>
      <c r="I756" s="13"/>
      <c r="J756" s="13"/>
      <c r="K756" s="25"/>
      <c r="L756" s="25"/>
      <c r="M756" s="25"/>
      <c r="N756" s="25"/>
      <c r="O756" s="26"/>
      <c r="P756" s="16" t="str">
        <f aca="false">IF(O756="","",IFERROR(1/(1/(IF(K756="",INDEX(CONFIG!$F$5:$F$14,MATCH(D756,CONFIG!$D$5:$D$14,0)),K756)*IF(M756="",INDEX(CONFIG!$H$5:$H$14,MATCH(D756,CONFIG!$D$5:$D$14,0)),M756))),""))</f>
        <v/>
      </c>
      <c r="Q756" s="16" t="str">
        <f aca="false">IF(OR(O756="",P756=""),"",O756/P756)</f>
        <v/>
      </c>
      <c r="R756" s="16" t="str">
        <f aca="false">IF(Q756="","",Q756*0.0980665)</f>
        <v/>
      </c>
      <c r="S756" s="16" t="str">
        <f aca="false">IF(Q756="","",IFERROR(Q756/(1/(1/INDEX(CONFIG!$I$5:$I$14,MATCH(D756,CONFIG!$D$5:$D$14,0)))),""))</f>
        <v/>
      </c>
      <c r="T756" s="13"/>
      <c r="U756" s="13"/>
      <c r="V756" s="13"/>
      <c r="W756" s="13"/>
      <c r="X756" s="22" t="str">
        <f aca="false">IF(Q756="","",Q756^2)</f>
        <v/>
      </c>
      <c r="Y756" s="22" t="str">
        <f aca="false">IF(AND(C756&lt;&gt;"",C756=CERTIFICADO!$E$4,OR(CERTIFICADO!$E$5="",B756=CERTIFICADO!$E$5)),MAX($Y$4:Y755)+1,"")</f>
        <v/>
      </c>
    </row>
    <row r="757" customFormat="false" ht="15" hidden="false" customHeight="false" outlineLevel="0" collapsed="false">
      <c r="A757" s="11" t="str">
        <f aca="false">IF(C757="","",ROW()-4)</f>
        <v/>
      </c>
      <c r="B757" s="12"/>
      <c r="C757" s="13"/>
      <c r="D757" s="23" t="str">
        <f aca="false">IF(C757="","",IFERROR(INDEX(LOTES!$D$5:$D$1004,MATCH(C757,LOTES!$F$5:$F$1004,0)),"¿Lote?"))</f>
        <v/>
      </c>
      <c r="E757" s="11" t="str">
        <f aca="false">IF(C757="","",IFERROR(INDEX(LOTES!$C$5:$C$1004,MATCH(C757,LOTES!$F$5:$F$1004,0)),""))</f>
        <v/>
      </c>
      <c r="F757" s="24" t="str">
        <f aca="false">IF(C757="","",IFERROR(INDEX(LOTES!$B$5:$B$1004,MATCH(C757,LOTES!$F$5:$F$1004,0)),""))</f>
        <v/>
      </c>
      <c r="G757" s="15" t="str">
        <f aca="false">IF(OR(B757="",F757=""),"",B757-F757)</f>
        <v/>
      </c>
      <c r="H757" s="13"/>
      <c r="I757" s="13"/>
      <c r="J757" s="13"/>
      <c r="K757" s="25"/>
      <c r="L757" s="25"/>
      <c r="M757" s="25"/>
      <c r="N757" s="25"/>
      <c r="O757" s="26"/>
      <c r="P757" s="16" t="str">
        <f aca="false">IF(O757="","",IFERROR(1/(1/(IF(K757="",INDEX(CONFIG!$F$5:$F$14,MATCH(D757,CONFIG!$D$5:$D$14,0)),K757)*IF(M757="",INDEX(CONFIG!$H$5:$H$14,MATCH(D757,CONFIG!$D$5:$D$14,0)),M757))),""))</f>
        <v/>
      </c>
      <c r="Q757" s="16" t="str">
        <f aca="false">IF(OR(O757="",P757=""),"",O757/P757)</f>
        <v/>
      </c>
      <c r="R757" s="16" t="str">
        <f aca="false">IF(Q757="","",Q757*0.0980665)</f>
        <v/>
      </c>
      <c r="S757" s="16" t="str">
        <f aca="false">IF(Q757="","",IFERROR(Q757/(1/(1/INDEX(CONFIG!$I$5:$I$14,MATCH(D757,CONFIG!$D$5:$D$14,0)))),""))</f>
        <v/>
      </c>
      <c r="T757" s="13"/>
      <c r="U757" s="13"/>
      <c r="V757" s="13"/>
      <c r="W757" s="13"/>
      <c r="X757" s="22" t="str">
        <f aca="false">IF(Q757="","",Q757^2)</f>
        <v/>
      </c>
      <c r="Y757" s="22" t="str">
        <f aca="false">IF(AND(C757&lt;&gt;"",C757=CERTIFICADO!$E$4,OR(CERTIFICADO!$E$5="",B757=CERTIFICADO!$E$5)),MAX($Y$4:Y756)+1,"")</f>
        <v/>
      </c>
    </row>
    <row r="758" customFormat="false" ht="15" hidden="false" customHeight="false" outlineLevel="0" collapsed="false">
      <c r="A758" s="11" t="str">
        <f aca="false">IF(C758="","",ROW()-4)</f>
        <v/>
      </c>
      <c r="B758" s="12"/>
      <c r="C758" s="13"/>
      <c r="D758" s="23" t="str">
        <f aca="false">IF(C758="","",IFERROR(INDEX(LOTES!$D$5:$D$1004,MATCH(C758,LOTES!$F$5:$F$1004,0)),"¿Lote?"))</f>
        <v/>
      </c>
      <c r="E758" s="11" t="str">
        <f aca="false">IF(C758="","",IFERROR(INDEX(LOTES!$C$5:$C$1004,MATCH(C758,LOTES!$F$5:$F$1004,0)),""))</f>
        <v/>
      </c>
      <c r="F758" s="24" t="str">
        <f aca="false">IF(C758="","",IFERROR(INDEX(LOTES!$B$5:$B$1004,MATCH(C758,LOTES!$F$5:$F$1004,0)),""))</f>
        <v/>
      </c>
      <c r="G758" s="15" t="str">
        <f aca="false">IF(OR(B758="",F758=""),"",B758-F758)</f>
        <v/>
      </c>
      <c r="H758" s="13"/>
      <c r="I758" s="13"/>
      <c r="J758" s="13"/>
      <c r="K758" s="25"/>
      <c r="L758" s="25"/>
      <c r="M758" s="25"/>
      <c r="N758" s="25"/>
      <c r="O758" s="26"/>
      <c r="P758" s="16" t="str">
        <f aca="false">IF(O758="","",IFERROR(1/(1/(IF(K758="",INDEX(CONFIG!$F$5:$F$14,MATCH(D758,CONFIG!$D$5:$D$14,0)),K758)*IF(M758="",INDEX(CONFIG!$H$5:$H$14,MATCH(D758,CONFIG!$D$5:$D$14,0)),M758))),""))</f>
        <v/>
      </c>
      <c r="Q758" s="16" t="str">
        <f aca="false">IF(OR(O758="",P758=""),"",O758/P758)</f>
        <v/>
      </c>
      <c r="R758" s="16" t="str">
        <f aca="false">IF(Q758="","",Q758*0.0980665)</f>
        <v/>
      </c>
      <c r="S758" s="16" t="str">
        <f aca="false">IF(Q758="","",IFERROR(Q758/(1/(1/INDEX(CONFIG!$I$5:$I$14,MATCH(D758,CONFIG!$D$5:$D$14,0)))),""))</f>
        <v/>
      </c>
      <c r="T758" s="13"/>
      <c r="U758" s="13"/>
      <c r="V758" s="13"/>
      <c r="W758" s="13"/>
      <c r="X758" s="22" t="str">
        <f aca="false">IF(Q758="","",Q758^2)</f>
        <v/>
      </c>
      <c r="Y758" s="22" t="str">
        <f aca="false">IF(AND(C758&lt;&gt;"",C758=CERTIFICADO!$E$4,OR(CERTIFICADO!$E$5="",B758=CERTIFICADO!$E$5)),MAX($Y$4:Y757)+1,"")</f>
        <v/>
      </c>
    </row>
    <row r="759" customFormat="false" ht="15" hidden="false" customHeight="false" outlineLevel="0" collapsed="false">
      <c r="A759" s="11" t="str">
        <f aca="false">IF(C759="","",ROW()-4)</f>
        <v/>
      </c>
      <c r="B759" s="12"/>
      <c r="C759" s="13"/>
      <c r="D759" s="23" t="str">
        <f aca="false">IF(C759="","",IFERROR(INDEX(LOTES!$D$5:$D$1004,MATCH(C759,LOTES!$F$5:$F$1004,0)),"¿Lote?"))</f>
        <v/>
      </c>
      <c r="E759" s="11" t="str">
        <f aca="false">IF(C759="","",IFERROR(INDEX(LOTES!$C$5:$C$1004,MATCH(C759,LOTES!$F$5:$F$1004,0)),""))</f>
        <v/>
      </c>
      <c r="F759" s="24" t="str">
        <f aca="false">IF(C759="","",IFERROR(INDEX(LOTES!$B$5:$B$1004,MATCH(C759,LOTES!$F$5:$F$1004,0)),""))</f>
        <v/>
      </c>
      <c r="G759" s="15" t="str">
        <f aca="false">IF(OR(B759="",F759=""),"",B759-F759)</f>
        <v/>
      </c>
      <c r="H759" s="13"/>
      <c r="I759" s="13"/>
      <c r="J759" s="13"/>
      <c r="K759" s="25"/>
      <c r="L759" s="25"/>
      <c r="M759" s="25"/>
      <c r="N759" s="25"/>
      <c r="O759" s="26"/>
      <c r="P759" s="16" t="str">
        <f aca="false">IF(O759="","",IFERROR(1/(1/(IF(K759="",INDEX(CONFIG!$F$5:$F$14,MATCH(D759,CONFIG!$D$5:$D$14,0)),K759)*IF(M759="",INDEX(CONFIG!$H$5:$H$14,MATCH(D759,CONFIG!$D$5:$D$14,0)),M759))),""))</f>
        <v/>
      </c>
      <c r="Q759" s="16" t="str">
        <f aca="false">IF(OR(O759="",P759=""),"",O759/P759)</f>
        <v/>
      </c>
      <c r="R759" s="16" t="str">
        <f aca="false">IF(Q759="","",Q759*0.0980665)</f>
        <v/>
      </c>
      <c r="S759" s="16" t="str">
        <f aca="false">IF(Q759="","",IFERROR(Q759/(1/(1/INDEX(CONFIG!$I$5:$I$14,MATCH(D759,CONFIG!$D$5:$D$14,0)))),""))</f>
        <v/>
      </c>
      <c r="T759" s="13"/>
      <c r="U759" s="13"/>
      <c r="V759" s="13"/>
      <c r="W759" s="13"/>
      <c r="X759" s="22" t="str">
        <f aca="false">IF(Q759="","",Q759^2)</f>
        <v/>
      </c>
      <c r="Y759" s="22" t="str">
        <f aca="false">IF(AND(C759&lt;&gt;"",C759=CERTIFICADO!$E$4,OR(CERTIFICADO!$E$5="",B759=CERTIFICADO!$E$5)),MAX($Y$4:Y758)+1,"")</f>
        <v/>
      </c>
    </row>
    <row r="760" customFormat="false" ht="15" hidden="false" customHeight="false" outlineLevel="0" collapsed="false">
      <c r="A760" s="11" t="str">
        <f aca="false">IF(C760="","",ROW()-4)</f>
        <v/>
      </c>
      <c r="B760" s="12"/>
      <c r="C760" s="13"/>
      <c r="D760" s="23" t="str">
        <f aca="false">IF(C760="","",IFERROR(INDEX(LOTES!$D$5:$D$1004,MATCH(C760,LOTES!$F$5:$F$1004,0)),"¿Lote?"))</f>
        <v/>
      </c>
      <c r="E760" s="11" t="str">
        <f aca="false">IF(C760="","",IFERROR(INDEX(LOTES!$C$5:$C$1004,MATCH(C760,LOTES!$F$5:$F$1004,0)),""))</f>
        <v/>
      </c>
      <c r="F760" s="24" t="str">
        <f aca="false">IF(C760="","",IFERROR(INDEX(LOTES!$B$5:$B$1004,MATCH(C760,LOTES!$F$5:$F$1004,0)),""))</f>
        <v/>
      </c>
      <c r="G760" s="15" t="str">
        <f aca="false">IF(OR(B760="",F760=""),"",B760-F760)</f>
        <v/>
      </c>
      <c r="H760" s="13"/>
      <c r="I760" s="13"/>
      <c r="J760" s="13"/>
      <c r="K760" s="25"/>
      <c r="L760" s="25"/>
      <c r="M760" s="25"/>
      <c r="N760" s="25"/>
      <c r="O760" s="26"/>
      <c r="P760" s="16" t="str">
        <f aca="false">IF(O760="","",IFERROR(1/(1/(IF(K760="",INDEX(CONFIG!$F$5:$F$14,MATCH(D760,CONFIG!$D$5:$D$14,0)),K760)*IF(M760="",INDEX(CONFIG!$H$5:$H$14,MATCH(D760,CONFIG!$D$5:$D$14,0)),M760))),""))</f>
        <v/>
      </c>
      <c r="Q760" s="16" t="str">
        <f aca="false">IF(OR(O760="",P760=""),"",O760/P760)</f>
        <v/>
      </c>
      <c r="R760" s="16" t="str">
        <f aca="false">IF(Q760="","",Q760*0.0980665)</f>
        <v/>
      </c>
      <c r="S760" s="16" t="str">
        <f aca="false">IF(Q760="","",IFERROR(Q760/(1/(1/INDEX(CONFIG!$I$5:$I$14,MATCH(D760,CONFIG!$D$5:$D$14,0)))),""))</f>
        <v/>
      </c>
      <c r="T760" s="13"/>
      <c r="U760" s="13"/>
      <c r="V760" s="13"/>
      <c r="W760" s="13"/>
      <c r="X760" s="22" t="str">
        <f aca="false">IF(Q760="","",Q760^2)</f>
        <v/>
      </c>
      <c r="Y760" s="22" t="str">
        <f aca="false">IF(AND(C760&lt;&gt;"",C760=CERTIFICADO!$E$4,OR(CERTIFICADO!$E$5="",B760=CERTIFICADO!$E$5)),MAX($Y$4:Y759)+1,"")</f>
        <v/>
      </c>
    </row>
    <row r="761" customFormat="false" ht="15" hidden="false" customHeight="false" outlineLevel="0" collapsed="false">
      <c r="A761" s="11" t="str">
        <f aca="false">IF(C761="","",ROW()-4)</f>
        <v/>
      </c>
      <c r="B761" s="12"/>
      <c r="C761" s="13"/>
      <c r="D761" s="23" t="str">
        <f aca="false">IF(C761="","",IFERROR(INDEX(LOTES!$D$5:$D$1004,MATCH(C761,LOTES!$F$5:$F$1004,0)),"¿Lote?"))</f>
        <v/>
      </c>
      <c r="E761" s="11" t="str">
        <f aca="false">IF(C761="","",IFERROR(INDEX(LOTES!$C$5:$C$1004,MATCH(C761,LOTES!$F$5:$F$1004,0)),""))</f>
        <v/>
      </c>
      <c r="F761" s="24" t="str">
        <f aca="false">IF(C761="","",IFERROR(INDEX(LOTES!$B$5:$B$1004,MATCH(C761,LOTES!$F$5:$F$1004,0)),""))</f>
        <v/>
      </c>
      <c r="G761" s="15" t="str">
        <f aca="false">IF(OR(B761="",F761=""),"",B761-F761)</f>
        <v/>
      </c>
      <c r="H761" s="13"/>
      <c r="I761" s="13"/>
      <c r="J761" s="13"/>
      <c r="K761" s="25"/>
      <c r="L761" s="25"/>
      <c r="M761" s="25"/>
      <c r="N761" s="25"/>
      <c r="O761" s="26"/>
      <c r="P761" s="16" t="str">
        <f aca="false">IF(O761="","",IFERROR(1/(1/(IF(K761="",INDEX(CONFIG!$F$5:$F$14,MATCH(D761,CONFIG!$D$5:$D$14,0)),K761)*IF(M761="",INDEX(CONFIG!$H$5:$H$14,MATCH(D761,CONFIG!$D$5:$D$14,0)),M761))),""))</f>
        <v/>
      </c>
      <c r="Q761" s="16" t="str">
        <f aca="false">IF(OR(O761="",P761=""),"",O761/P761)</f>
        <v/>
      </c>
      <c r="R761" s="16" t="str">
        <f aca="false">IF(Q761="","",Q761*0.0980665)</f>
        <v/>
      </c>
      <c r="S761" s="16" t="str">
        <f aca="false">IF(Q761="","",IFERROR(Q761/(1/(1/INDEX(CONFIG!$I$5:$I$14,MATCH(D761,CONFIG!$D$5:$D$14,0)))),""))</f>
        <v/>
      </c>
      <c r="T761" s="13"/>
      <c r="U761" s="13"/>
      <c r="V761" s="13"/>
      <c r="W761" s="13"/>
      <c r="X761" s="22" t="str">
        <f aca="false">IF(Q761="","",Q761^2)</f>
        <v/>
      </c>
      <c r="Y761" s="22" t="str">
        <f aca="false">IF(AND(C761&lt;&gt;"",C761=CERTIFICADO!$E$4,OR(CERTIFICADO!$E$5="",B761=CERTIFICADO!$E$5)),MAX($Y$4:Y760)+1,"")</f>
        <v/>
      </c>
    </row>
    <row r="762" customFormat="false" ht="15" hidden="false" customHeight="false" outlineLevel="0" collapsed="false">
      <c r="A762" s="11" t="str">
        <f aca="false">IF(C762="","",ROW()-4)</f>
        <v/>
      </c>
      <c r="B762" s="12"/>
      <c r="C762" s="13"/>
      <c r="D762" s="23" t="str">
        <f aca="false">IF(C762="","",IFERROR(INDEX(LOTES!$D$5:$D$1004,MATCH(C762,LOTES!$F$5:$F$1004,0)),"¿Lote?"))</f>
        <v/>
      </c>
      <c r="E762" s="11" t="str">
        <f aca="false">IF(C762="","",IFERROR(INDEX(LOTES!$C$5:$C$1004,MATCH(C762,LOTES!$F$5:$F$1004,0)),""))</f>
        <v/>
      </c>
      <c r="F762" s="24" t="str">
        <f aca="false">IF(C762="","",IFERROR(INDEX(LOTES!$B$5:$B$1004,MATCH(C762,LOTES!$F$5:$F$1004,0)),""))</f>
        <v/>
      </c>
      <c r="G762" s="15" t="str">
        <f aca="false">IF(OR(B762="",F762=""),"",B762-F762)</f>
        <v/>
      </c>
      <c r="H762" s="13"/>
      <c r="I762" s="13"/>
      <c r="J762" s="13"/>
      <c r="K762" s="25"/>
      <c r="L762" s="25"/>
      <c r="M762" s="25"/>
      <c r="N762" s="25"/>
      <c r="O762" s="26"/>
      <c r="P762" s="16" t="str">
        <f aca="false">IF(O762="","",IFERROR(1/(1/(IF(K762="",INDEX(CONFIG!$F$5:$F$14,MATCH(D762,CONFIG!$D$5:$D$14,0)),K762)*IF(M762="",INDEX(CONFIG!$H$5:$H$14,MATCH(D762,CONFIG!$D$5:$D$14,0)),M762))),""))</f>
        <v/>
      </c>
      <c r="Q762" s="16" t="str">
        <f aca="false">IF(OR(O762="",P762=""),"",O762/P762)</f>
        <v/>
      </c>
      <c r="R762" s="16" t="str">
        <f aca="false">IF(Q762="","",Q762*0.0980665)</f>
        <v/>
      </c>
      <c r="S762" s="16" t="str">
        <f aca="false">IF(Q762="","",IFERROR(Q762/(1/(1/INDEX(CONFIG!$I$5:$I$14,MATCH(D762,CONFIG!$D$5:$D$14,0)))),""))</f>
        <v/>
      </c>
      <c r="T762" s="13"/>
      <c r="U762" s="13"/>
      <c r="V762" s="13"/>
      <c r="W762" s="13"/>
      <c r="X762" s="22" t="str">
        <f aca="false">IF(Q762="","",Q762^2)</f>
        <v/>
      </c>
      <c r="Y762" s="22" t="str">
        <f aca="false">IF(AND(C762&lt;&gt;"",C762=CERTIFICADO!$E$4,OR(CERTIFICADO!$E$5="",B762=CERTIFICADO!$E$5)),MAX($Y$4:Y761)+1,"")</f>
        <v/>
      </c>
    </row>
    <row r="763" customFormat="false" ht="15" hidden="false" customHeight="false" outlineLevel="0" collapsed="false">
      <c r="A763" s="11" t="str">
        <f aca="false">IF(C763="","",ROW()-4)</f>
        <v/>
      </c>
      <c r="B763" s="12"/>
      <c r="C763" s="13"/>
      <c r="D763" s="23" t="str">
        <f aca="false">IF(C763="","",IFERROR(INDEX(LOTES!$D$5:$D$1004,MATCH(C763,LOTES!$F$5:$F$1004,0)),"¿Lote?"))</f>
        <v/>
      </c>
      <c r="E763" s="11" t="str">
        <f aca="false">IF(C763="","",IFERROR(INDEX(LOTES!$C$5:$C$1004,MATCH(C763,LOTES!$F$5:$F$1004,0)),""))</f>
        <v/>
      </c>
      <c r="F763" s="24" t="str">
        <f aca="false">IF(C763="","",IFERROR(INDEX(LOTES!$B$5:$B$1004,MATCH(C763,LOTES!$F$5:$F$1004,0)),""))</f>
        <v/>
      </c>
      <c r="G763" s="15" t="str">
        <f aca="false">IF(OR(B763="",F763=""),"",B763-F763)</f>
        <v/>
      </c>
      <c r="H763" s="13"/>
      <c r="I763" s="13"/>
      <c r="J763" s="13"/>
      <c r="K763" s="25"/>
      <c r="L763" s="25"/>
      <c r="M763" s="25"/>
      <c r="N763" s="25"/>
      <c r="O763" s="26"/>
      <c r="P763" s="16" t="str">
        <f aca="false">IF(O763="","",IFERROR(1/(1/(IF(K763="",INDEX(CONFIG!$F$5:$F$14,MATCH(D763,CONFIG!$D$5:$D$14,0)),K763)*IF(M763="",INDEX(CONFIG!$H$5:$H$14,MATCH(D763,CONFIG!$D$5:$D$14,0)),M763))),""))</f>
        <v/>
      </c>
      <c r="Q763" s="16" t="str">
        <f aca="false">IF(OR(O763="",P763=""),"",O763/P763)</f>
        <v/>
      </c>
      <c r="R763" s="16" t="str">
        <f aca="false">IF(Q763="","",Q763*0.0980665)</f>
        <v/>
      </c>
      <c r="S763" s="16" t="str">
        <f aca="false">IF(Q763="","",IFERROR(Q763/(1/(1/INDEX(CONFIG!$I$5:$I$14,MATCH(D763,CONFIG!$D$5:$D$14,0)))),""))</f>
        <v/>
      </c>
      <c r="T763" s="13"/>
      <c r="U763" s="13"/>
      <c r="V763" s="13"/>
      <c r="W763" s="13"/>
      <c r="X763" s="22" t="str">
        <f aca="false">IF(Q763="","",Q763^2)</f>
        <v/>
      </c>
      <c r="Y763" s="22" t="str">
        <f aca="false">IF(AND(C763&lt;&gt;"",C763=CERTIFICADO!$E$4,OR(CERTIFICADO!$E$5="",B763=CERTIFICADO!$E$5)),MAX($Y$4:Y762)+1,"")</f>
        <v/>
      </c>
    </row>
    <row r="764" customFormat="false" ht="15" hidden="false" customHeight="false" outlineLevel="0" collapsed="false">
      <c r="A764" s="11" t="str">
        <f aca="false">IF(C764="","",ROW()-4)</f>
        <v/>
      </c>
      <c r="B764" s="12"/>
      <c r="C764" s="13"/>
      <c r="D764" s="23" t="str">
        <f aca="false">IF(C764="","",IFERROR(INDEX(LOTES!$D$5:$D$1004,MATCH(C764,LOTES!$F$5:$F$1004,0)),"¿Lote?"))</f>
        <v/>
      </c>
      <c r="E764" s="11" t="str">
        <f aca="false">IF(C764="","",IFERROR(INDEX(LOTES!$C$5:$C$1004,MATCH(C764,LOTES!$F$5:$F$1004,0)),""))</f>
        <v/>
      </c>
      <c r="F764" s="24" t="str">
        <f aca="false">IF(C764="","",IFERROR(INDEX(LOTES!$B$5:$B$1004,MATCH(C764,LOTES!$F$5:$F$1004,0)),""))</f>
        <v/>
      </c>
      <c r="G764" s="15" t="str">
        <f aca="false">IF(OR(B764="",F764=""),"",B764-F764)</f>
        <v/>
      </c>
      <c r="H764" s="13"/>
      <c r="I764" s="13"/>
      <c r="J764" s="13"/>
      <c r="K764" s="25"/>
      <c r="L764" s="25"/>
      <c r="M764" s="25"/>
      <c r="N764" s="25"/>
      <c r="O764" s="26"/>
      <c r="P764" s="16" t="str">
        <f aca="false">IF(O764="","",IFERROR(1/(1/(IF(K764="",INDEX(CONFIG!$F$5:$F$14,MATCH(D764,CONFIG!$D$5:$D$14,0)),K764)*IF(M764="",INDEX(CONFIG!$H$5:$H$14,MATCH(D764,CONFIG!$D$5:$D$14,0)),M764))),""))</f>
        <v/>
      </c>
      <c r="Q764" s="16" t="str">
        <f aca="false">IF(OR(O764="",P764=""),"",O764/P764)</f>
        <v/>
      </c>
      <c r="R764" s="16" t="str">
        <f aca="false">IF(Q764="","",Q764*0.0980665)</f>
        <v/>
      </c>
      <c r="S764" s="16" t="str">
        <f aca="false">IF(Q764="","",IFERROR(Q764/(1/(1/INDEX(CONFIG!$I$5:$I$14,MATCH(D764,CONFIG!$D$5:$D$14,0)))),""))</f>
        <v/>
      </c>
      <c r="T764" s="13"/>
      <c r="U764" s="13"/>
      <c r="V764" s="13"/>
      <c r="W764" s="13"/>
      <c r="X764" s="22" t="str">
        <f aca="false">IF(Q764="","",Q764^2)</f>
        <v/>
      </c>
      <c r="Y764" s="22" t="str">
        <f aca="false">IF(AND(C764&lt;&gt;"",C764=CERTIFICADO!$E$4,OR(CERTIFICADO!$E$5="",B764=CERTIFICADO!$E$5)),MAX($Y$4:Y763)+1,"")</f>
        <v/>
      </c>
    </row>
    <row r="765" customFormat="false" ht="15" hidden="false" customHeight="false" outlineLevel="0" collapsed="false">
      <c r="A765" s="11" t="str">
        <f aca="false">IF(C765="","",ROW()-4)</f>
        <v/>
      </c>
      <c r="B765" s="12"/>
      <c r="C765" s="13"/>
      <c r="D765" s="23" t="str">
        <f aca="false">IF(C765="","",IFERROR(INDEX(LOTES!$D$5:$D$1004,MATCH(C765,LOTES!$F$5:$F$1004,0)),"¿Lote?"))</f>
        <v/>
      </c>
      <c r="E765" s="11" t="str">
        <f aca="false">IF(C765="","",IFERROR(INDEX(LOTES!$C$5:$C$1004,MATCH(C765,LOTES!$F$5:$F$1004,0)),""))</f>
        <v/>
      </c>
      <c r="F765" s="24" t="str">
        <f aca="false">IF(C765="","",IFERROR(INDEX(LOTES!$B$5:$B$1004,MATCH(C765,LOTES!$F$5:$F$1004,0)),""))</f>
        <v/>
      </c>
      <c r="G765" s="15" t="str">
        <f aca="false">IF(OR(B765="",F765=""),"",B765-F765)</f>
        <v/>
      </c>
      <c r="H765" s="13"/>
      <c r="I765" s="13"/>
      <c r="J765" s="13"/>
      <c r="K765" s="25"/>
      <c r="L765" s="25"/>
      <c r="M765" s="25"/>
      <c r="N765" s="25"/>
      <c r="O765" s="26"/>
      <c r="P765" s="16" t="str">
        <f aca="false">IF(O765="","",IFERROR(1/(1/(IF(K765="",INDEX(CONFIG!$F$5:$F$14,MATCH(D765,CONFIG!$D$5:$D$14,0)),K765)*IF(M765="",INDEX(CONFIG!$H$5:$H$14,MATCH(D765,CONFIG!$D$5:$D$14,0)),M765))),""))</f>
        <v/>
      </c>
      <c r="Q765" s="16" t="str">
        <f aca="false">IF(OR(O765="",P765=""),"",O765/P765)</f>
        <v/>
      </c>
      <c r="R765" s="16" t="str">
        <f aca="false">IF(Q765="","",Q765*0.0980665)</f>
        <v/>
      </c>
      <c r="S765" s="16" t="str">
        <f aca="false">IF(Q765="","",IFERROR(Q765/(1/(1/INDEX(CONFIG!$I$5:$I$14,MATCH(D765,CONFIG!$D$5:$D$14,0)))),""))</f>
        <v/>
      </c>
      <c r="T765" s="13"/>
      <c r="U765" s="13"/>
      <c r="V765" s="13"/>
      <c r="W765" s="13"/>
      <c r="X765" s="22" t="str">
        <f aca="false">IF(Q765="","",Q765^2)</f>
        <v/>
      </c>
      <c r="Y765" s="22" t="str">
        <f aca="false">IF(AND(C765&lt;&gt;"",C765=CERTIFICADO!$E$4,OR(CERTIFICADO!$E$5="",B765=CERTIFICADO!$E$5)),MAX($Y$4:Y764)+1,"")</f>
        <v/>
      </c>
    </row>
    <row r="766" customFormat="false" ht="15" hidden="false" customHeight="false" outlineLevel="0" collapsed="false">
      <c r="A766" s="11" t="str">
        <f aca="false">IF(C766="","",ROW()-4)</f>
        <v/>
      </c>
      <c r="B766" s="12"/>
      <c r="C766" s="13"/>
      <c r="D766" s="23" t="str">
        <f aca="false">IF(C766="","",IFERROR(INDEX(LOTES!$D$5:$D$1004,MATCH(C766,LOTES!$F$5:$F$1004,0)),"¿Lote?"))</f>
        <v/>
      </c>
      <c r="E766" s="11" t="str">
        <f aca="false">IF(C766="","",IFERROR(INDEX(LOTES!$C$5:$C$1004,MATCH(C766,LOTES!$F$5:$F$1004,0)),""))</f>
        <v/>
      </c>
      <c r="F766" s="24" t="str">
        <f aca="false">IF(C766="","",IFERROR(INDEX(LOTES!$B$5:$B$1004,MATCH(C766,LOTES!$F$5:$F$1004,0)),""))</f>
        <v/>
      </c>
      <c r="G766" s="15" t="str">
        <f aca="false">IF(OR(B766="",F766=""),"",B766-F766)</f>
        <v/>
      </c>
      <c r="H766" s="13"/>
      <c r="I766" s="13"/>
      <c r="J766" s="13"/>
      <c r="K766" s="25"/>
      <c r="L766" s="25"/>
      <c r="M766" s="25"/>
      <c r="N766" s="25"/>
      <c r="O766" s="26"/>
      <c r="P766" s="16" t="str">
        <f aca="false">IF(O766="","",IFERROR(1/(1/(IF(K766="",INDEX(CONFIG!$F$5:$F$14,MATCH(D766,CONFIG!$D$5:$D$14,0)),K766)*IF(M766="",INDEX(CONFIG!$H$5:$H$14,MATCH(D766,CONFIG!$D$5:$D$14,0)),M766))),""))</f>
        <v/>
      </c>
      <c r="Q766" s="16" t="str">
        <f aca="false">IF(OR(O766="",P766=""),"",O766/P766)</f>
        <v/>
      </c>
      <c r="R766" s="16" t="str">
        <f aca="false">IF(Q766="","",Q766*0.0980665)</f>
        <v/>
      </c>
      <c r="S766" s="16" t="str">
        <f aca="false">IF(Q766="","",IFERROR(Q766/(1/(1/INDEX(CONFIG!$I$5:$I$14,MATCH(D766,CONFIG!$D$5:$D$14,0)))),""))</f>
        <v/>
      </c>
      <c r="T766" s="13"/>
      <c r="U766" s="13"/>
      <c r="V766" s="13"/>
      <c r="W766" s="13"/>
      <c r="X766" s="22" t="str">
        <f aca="false">IF(Q766="","",Q766^2)</f>
        <v/>
      </c>
      <c r="Y766" s="22" t="str">
        <f aca="false">IF(AND(C766&lt;&gt;"",C766=CERTIFICADO!$E$4,OR(CERTIFICADO!$E$5="",B766=CERTIFICADO!$E$5)),MAX($Y$4:Y765)+1,"")</f>
        <v/>
      </c>
    </row>
    <row r="767" customFormat="false" ht="15" hidden="false" customHeight="false" outlineLevel="0" collapsed="false">
      <c r="A767" s="11" t="str">
        <f aca="false">IF(C767="","",ROW()-4)</f>
        <v/>
      </c>
      <c r="B767" s="12"/>
      <c r="C767" s="13"/>
      <c r="D767" s="23" t="str">
        <f aca="false">IF(C767="","",IFERROR(INDEX(LOTES!$D$5:$D$1004,MATCH(C767,LOTES!$F$5:$F$1004,0)),"¿Lote?"))</f>
        <v/>
      </c>
      <c r="E767" s="11" t="str">
        <f aca="false">IF(C767="","",IFERROR(INDEX(LOTES!$C$5:$C$1004,MATCH(C767,LOTES!$F$5:$F$1004,0)),""))</f>
        <v/>
      </c>
      <c r="F767" s="24" t="str">
        <f aca="false">IF(C767="","",IFERROR(INDEX(LOTES!$B$5:$B$1004,MATCH(C767,LOTES!$F$5:$F$1004,0)),""))</f>
        <v/>
      </c>
      <c r="G767" s="15" t="str">
        <f aca="false">IF(OR(B767="",F767=""),"",B767-F767)</f>
        <v/>
      </c>
      <c r="H767" s="13"/>
      <c r="I767" s="13"/>
      <c r="J767" s="13"/>
      <c r="K767" s="25"/>
      <c r="L767" s="25"/>
      <c r="M767" s="25"/>
      <c r="N767" s="25"/>
      <c r="O767" s="26"/>
      <c r="P767" s="16" t="str">
        <f aca="false">IF(O767="","",IFERROR(1/(1/(IF(K767="",INDEX(CONFIG!$F$5:$F$14,MATCH(D767,CONFIG!$D$5:$D$14,0)),K767)*IF(M767="",INDEX(CONFIG!$H$5:$H$14,MATCH(D767,CONFIG!$D$5:$D$14,0)),M767))),""))</f>
        <v/>
      </c>
      <c r="Q767" s="16" t="str">
        <f aca="false">IF(OR(O767="",P767=""),"",O767/P767)</f>
        <v/>
      </c>
      <c r="R767" s="16" t="str">
        <f aca="false">IF(Q767="","",Q767*0.0980665)</f>
        <v/>
      </c>
      <c r="S767" s="16" t="str">
        <f aca="false">IF(Q767="","",IFERROR(Q767/(1/(1/INDEX(CONFIG!$I$5:$I$14,MATCH(D767,CONFIG!$D$5:$D$14,0)))),""))</f>
        <v/>
      </c>
      <c r="T767" s="13"/>
      <c r="U767" s="13"/>
      <c r="V767" s="13"/>
      <c r="W767" s="13"/>
      <c r="X767" s="22" t="str">
        <f aca="false">IF(Q767="","",Q767^2)</f>
        <v/>
      </c>
      <c r="Y767" s="22" t="str">
        <f aca="false">IF(AND(C767&lt;&gt;"",C767=CERTIFICADO!$E$4,OR(CERTIFICADO!$E$5="",B767=CERTIFICADO!$E$5)),MAX($Y$4:Y766)+1,"")</f>
        <v/>
      </c>
    </row>
    <row r="768" customFormat="false" ht="15" hidden="false" customHeight="false" outlineLevel="0" collapsed="false">
      <c r="A768" s="11" t="str">
        <f aca="false">IF(C768="","",ROW()-4)</f>
        <v/>
      </c>
      <c r="B768" s="12"/>
      <c r="C768" s="13"/>
      <c r="D768" s="23" t="str">
        <f aca="false">IF(C768="","",IFERROR(INDEX(LOTES!$D$5:$D$1004,MATCH(C768,LOTES!$F$5:$F$1004,0)),"¿Lote?"))</f>
        <v/>
      </c>
      <c r="E768" s="11" t="str">
        <f aca="false">IF(C768="","",IFERROR(INDEX(LOTES!$C$5:$C$1004,MATCH(C768,LOTES!$F$5:$F$1004,0)),""))</f>
        <v/>
      </c>
      <c r="F768" s="24" t="str">
        <f aca="false">IF(C768="","",IFERROR(INDEX(LOTES!$B$5:$B$1004,MATCH(C768,LOTES!$F$5:$F$1004,0)),""))</f>
        <v/>
      </c>
      <c r="G768" s="15" t="str">
        <f aca="false">IF(OR(B768="",F768=""),"",B768-F768)</f>
        <v/>
      </c>
      <c r="H768" s="13"/>
      <c r="I768" s="13"/>
      <c r="J768" s="13"/>
      <c r="K768" s="25"/>
      <c r="L768" s="25"/>
      <c r="M768" s="25"/>
      <c r="N768" s="25"/>
      <c r="O768" s="26"/>
      <c r="P768" s="16" t="str">
        <f aca="false">IF(O768="","",IFERROR(1/(1/(IF(K768="",INDEX(CONFIG!$F$5:$F$14,MATCH(D768,CONFIG!$D$5:$D$14,0)),K768)*IF(M768="",INDEX(CONFIG!$H$5:$H$14,MATCH(D768,CONFIG!$D$5:$D$14,0)),M768))),""))</f>
        <v/>
      </c>
      <c r="Q768" s="16" t="str">
        <f aca="false">IF(OR(O768="",P768=""),"",O768/P768)</f>
        <v/>
      </c>
      <c r="R768" s="16" t="str">
        <f aca="false">IF(Q768="","",Q768*0.0980665)</f>
        <v/>
      </c>
      <c r="S768" s="16" t="str">
        <f aca="false">IF(Q768="","",IFERROR(Q768/(1/(1/INDEX(CONFIG!$I$5:$I$14,MATCH(D768,CONFIG!$D$5:$D$14,0)))),""))</f>
        <v/>
      </c>
      <c r="T768" s="13"/>
      <c r="U768" s="13"/>
      <c r="V768" s="13"/>
      <c r="W768" s="13"/>
      <c r="X768" s="22" t="str">
        <f aca="false">IF(Q768="","",Q768^2)</f>
        <v/>
      </c>
      <c r="Y768" s="22" t="str">
        <f aca="false">IF(AND(C768&lt;&gt;"",C768=CERTIFICADO!$E$4,OR(CERTIFICADO!$E$5="",B768=CERTIFICADO!$E$5)),MAX($Y$4:Y767)+1,"")</f>
        <v/>
      </c>
    </row>
    <row r="769" customFormat="false" ht="15" hidden="false" customHeight="false" outlineLevel="0" collapsed="false">
      <c r="A769" s="11" t="str">
        <f aca="false">IF(C769="","",ROW()-4)</f>
        <v/>
      </c>
      <c r="B769" s="12"/>
      <c r="C769" s="13"/>
      <c r="D769" s="23" t="str">
        <f aca="false">IF(C769="","",IFERROR(INDEX(LOTES!$D$5:$D$1004,MATCH(C769,LOTES!$F$5:$F$1004,0)),"¿Lote?"))</f>
        <v/>
      </c>
      <c r="E769" s="11" t="str">
        <f aca="false">IF(C769="","",IFERROR(INDEX(LOTES!$C$5:$C$1004,MATCH(C769,LOTES!$F$5:$F$1004,0)),""))</f>
        <v/>
      </c>
      <c r="F769" s="24" t="str">
        <f aca="false">IF(C769="","",IFERROR(INDEX(LOTES!$B$5:$B$1004,MATCH(C769,LOTES!$F$5:$F$1004,0)),""))</f>
        <v/>
      </c>
      <c r="G769" s="15" t="str">
        <f aca="false">IF(OR(B769="",F769=""),"",B769-F769)</f>
        <v/>
      </c>
      <c r="H769" s="13"/>
      <c r="I769" s="13"/>
      <c r="J769" s="13"/>
      <c r="K769" s="25"/>
      <c r="L769" s="25"/>
      <c r="M769" s="25"/>
      <c r="N769" s="25"/>
      <c r="O769" s="26"/>
      <c r="P769" s="16" t="str">
        <f aca="false">IF(O769="","",IFERROR(1/(1/(IF(K769="",INDEX(CONFIG!$F$5:$F$14,MATCH(D769,CONFIG!$D$5:$D$14,0)),K769)*IF(M769="",INDEX(CONFIG!$H$5:$H$14,MATCH(D769,CONFIG!$D$5:$D$14,0)),M769))),""))</f>
        <v/>
      </c>
      <c r="Q769" s="16" t="str">
        <f aca="false">IF(OR(O769="",P769=""),"",O769/P769)</f>
        <v/>
      </c>
      <c r="R769" s="16" t="str">
        <f aca="false">IF(Q769="","",Q769*0.0980665)</f>
        <v/>
      </c>
      <c r="S769" s="16" t="str">
        <f aca="false">IF(Q769="","",IFERROR(Q769/(1/(1/INDEX(CONFIG!$I$5:$I$14,MATCH(D769,CONFIG!$D$5:$D$14,0)))),""))</f>
        <v/>
      </c>
      <c r="T769" s="13"/>
      <c r="U769" s="13"/>
      <c r="V769" s="13"/>
      <c r="W769" s="13"/>
      <c r="X769" s="22" t="str">
        <f aca="false">IF(Q769="","",Q769^2)</f>
        <v/>
      </c>
      <c r="Y769" s="22" t="str">
        <f aca="false">IF(AND(C769&lt;&gt;"",C769=CERTIFICADO!$E$4,OR(CERTIFICADO!$E$5="",B769=CERTIFICADO!$E$5)),MAX($Y$4:Y768)+1,"")</f>
        <v/>
      </c>
    </row>
    <row r="770" customFormat="false" ht="15" hidden="false" customHeight="false" outlineLevel="0" collapsed="false">
      <c r="A770" s="11" t="str">
        <f aca="false">IF(C770="","",ROW()-4)</f>
        <v/>
      </c>
      <c r="B770" s="12"/>
      <c r="C770" s="13"/>
      <c r="D770" s="23" t="str">
        <f aca="false">IF(C770="","",IFERROR(INDEX(LOTES!$D$5:$D$1004,MATCH(C770,LOTES!$F$5:$F$1004,0)),"¿Lote?"))</f>
        <v/>
      </c>
      <c r="E770" s="11" t="str">
        <f aca="false">IF(C770="","",IFERROR(INDEX(LOTES!$C$5:$C$1004,MATCH(C770,LOTES!$F$5:$F$1004,0)),""))</f>
        <v/>
      </c>
      <c r="F770" s="24" t="str">
        <f aca="false">IF(C770="","",IFERROR(INDEX(LOTES!$B$5:$B$1004,MATCH(C770,LOTES!$F$5:$F$1004,0)),""))</f>
        <v/>
      </c>
      <c r="G770" s="15" t="str">
        <f aca="false">IF(OR(B770="",F770=""),"",B770-F770)</f>
        <v/>
      </c>
      <c r="H770" s="13"/>
      <c r="I770" s="13"/>
      <c r="J770" s="13"/>
      <c r="K770" s="25"/>
      <c r="L770" s="25"/>
      <c r="M770" s="25"/>
      <c r="N770" s="25"/>
      <c r="O770" s="26"/>
      <c r="P770" s="16" t="str">
        <f aca="false">IF(O770="","",IFERROR(1/(1/(IF(K770="",INDEX(CONFIG!$F$5:$F$14,MATCH(D770,CONFIG!$D$5:$D$14,0)),K770)*IF(M770="",INDEX(CONFIG!$H$5:$H$14,MATCH(D770,CONFIG!$D$5:$D$14,0)),M770))),""))</f>
        <v/>
      </c>
      <c r="Q770" s="16" t="str">
        <f aca="false">IF(OR(O770="",P770=""),"",O770/P770)</f>
        <v/>
      </c>
      <c r="R770" s="16" t="str">
        <f aca="false">IF(Q770="","",Q770*0.0980665)</f>
        <v/>
      </c>
      <c r="S770" s="16" t="str">
        <f aca="false">IF(Q770="","",IFERROR(Q770/(1/(1/INDEX(CONFIG!$I$5:$I$14,MATCH(D770,CONFIG!$D$5:$D$14,0)))),""))</f>
        <v/>
      </c>
      <c r="T770" s="13"/>
      <c r="U770" s="13"/>
      <c r="V770" s="13"/>
      <c r="W770" s="13"/>
      <c r="X770" s="22" t="str">
        <f aca="false">IF(Q770="","",Q770^2)</f>
        <v/>
      </c>
      <c r="Y770" s="22" t="str">
        <f aca="false">IF(AND(C770&lt;&gt;"",C770=CERTIFICADO!$E$4,OR(CERTIFICADO!$E$5="",B770=CERTIFICADO!$E$5)),MAX($Y$4:Y769)+1,"")</f>
        <v/>
      </c>
    </row>
    <row r="771" customFormat="false" ht="15" hidden="false" customHeight="false" outlineLevel="0" collapsed="false">
      <c r="A771" s="11" t="str">
        <f aca="false">IF(C771="","",ROW()-4)</f>
        <v/>
      </c>
      <c r="B771" s="12"/>
      <c r="C771" s="13"/>
      <c r="D771" s="23" t="str">
        <f aca="false">IF(C771="","",IFERROR(INDEX(LOTES!$D$5:$D$1004,MATCH(C771,LOTES!$F$5:$F$1004,0)),"¿Lote?"))</f>
        <v/>
      </c>
      <c r="E771" s="11" t="str">
        <f aca="false">IF(C771="","",IFERROR(INDEX(LOTES!$C$5:$C$1004,MATCH(C771,LOTES!$F$5:$F$1004,0)),""))</f>
        <v/>
      </c>
      <c r="F771" s="24" t="str">
        <f aca="false">IF(C771="","",IFERROR(INDEX(LOTES!$B$5:$B$1004,MATCH(C771,LOTES!$F$5:$F$1004,0)),""))</f>
        <v/>
      </c>
      <c r="G771" s="15" t="str">
        <f aca="false">IF(OR(B771="",F771=""),"",B771-F771)</f>
        <v/>
      </c>
      <c r="H771" s="13"/>
      <c r="I771" s="13"/>
      <c r="J771" s="13"/>
      <c r="K771" s="25"/>
      <c r="L771" s="25"/>
      <c r="M771" s="25"/>
      <c r="N771" s="25"/>
      <c r="O771" s="26"/>
      <c r="P771" s="16" t="str">
        <f aca="false">IF(O771="","",IFERROR(1/(1/(IF(K771="",INDEX(CONFIG!$F$5:$F$14,MATCH(D771,CONFIG!$D$5:$D$14,0)),K771)*IF(M771="",INDEX(CONFIG!$H$5:$H$14,MATCH(D771,CONFIG!$D$5:$D$14,0)),M771))),""))</f>
        <v/>
      </c>
      <c r="Q771" s="16" t="str">
        <f aca="false">IF(OR(O771="",P771=""),"",O771/P771)</f>
        <v/>
      </c>
      <c r="R771" s="16" t="str">
        <f aca="false">IF(Q771="","",Q771*0.0980665)</f>
        <v/>
      </c>
      <c r="S771" s="16" t="str">
        <f aca="false">IF(Q771="","",IFERROR(Q771/(1/(1/INDEX(CONFIG!$I$5:$I$14,MATCH(D771,CONFIG!$D$5:$D$14,0)))),""))</f>
        <v/>
      </c>
      <c r="T771" s="13"/>
      <c r="U771" s="13"/>
      <c r="V771" s="13"/>
      <c r="W771" s="13"/>
      <c r="X771" s="22" t="str">
        <f aca="false">IF(Q771="","",Q771^2)</f>
        <v/>
      </c>
      <c r="Y771" s="22" t="str">
        <f aca="false">IF(AND(C771&lt;&gt;"",C771=CERTIFICADO!$E$4,OR(CERTIFICADO!$E$5="",B771=CERTIFICADO!$E$5)),MAX($Y$4:Y770)+1,"")</f>
        <v/>
      </c>
    </row>
    <row r="772" customFormat="false" ht="15" hidden="false" customHeight="false" outlineLevel="0" collapsed="false">
      <c r="A772" s="11" t="str">
        <f aca="false">IF(C772="","",ROW()-4)</f>
        <v/>
      </c>
      <c r="B772" s="12"/>
      <c r="C772" s="13"/>
      <c r="D772" s="23" t="str">
        <f aca="false">IF(C772="","",IFERROR(INDEX(LOTES!$D$5:$D$1004,MATCH(C772,LOTES!$F$5:$F$1004,0)),"¿Lote?"))</f>
        <v/>
      </c>
      <c r="E772" s="11" t="str">
        <f aca="false">IF(C772="","",IFERROR(INDEX(LOTES!$C$5:$C$1004,MATCH(C772,LOTES!$F$5:$F$1004,0)),""))</f>
        <v/>
      </c>
      <c r="F772" s="24" t="str">
        <f aca="false">IF(C772="","",IFERROR(INDEX(LOTES!$B$5:$B$1004,MATCH(C772,LOTES!$F$5:$F$1004,0)),""))</f>
        <v/>
      </c>
      <c r="G772" s="15" t="str">
        <f aca="false">IF(OR(B772="",F772=""),"",B772-F772)</f>
        <v/>
      </c>
      <c r="H772" s="13"/>
      <c r="I772" s="13"/>
      <c r="J772" s="13"/>
      <c r="K772" s="25"/>
      <c r="L772" s="25"/>
      <c r="M772" s="25"/>
      <c r="N772" s="25"/>
      <c r="O772" s="26"/>
      <c r="P772" s="16" t="str">
        <f aca="false">IF(O772="","",IFERROR(1/(1/(IF(K772="",INDEX(CONFIG!$F$5:$F$14,MATCH(D772,CONFIG!$D$5:$D$14,0)),K772)*IF(M772="",INDEX(CONFIG!$H$5:$H$14,MATCH(D772,CONFIG!$D$5:$D$14,0)),M772))),""))</f>
        <v/>
      </c>
      <c r="Q772" s="16" t="str">
        <f aca="false">IF(OR(O772="",P772=""),"",O772/P772)</f>
        <v/>
      </c>
      <c r="R772" s="16" t="str">
        <f aca="false">IF(Q772="","",Q772*0.0980665)</f>
        <v/>
      </c>
      <c r="S772" s="16" t="str">
        <f aca="false">IF(Q772="","",IFERROR(Q772/(1/(1/INDEX(CONFIG!$I$5:$I$14,MATCH(D772,CONFIG!$D$5:$D$14,0)))),""))</f>
        <v/>
      </c>
      <c r="T772" s="13"/>
      <c r="U772" s="13"/>
      <c r="V772" s="13"/>
      <c r="W772" s="13"/>
      <c r="X772" s="22" t="str">
        <f aca="false">IF(Q772="","",Q772^2)</f>
        <v/>
      </c>
      <c r="Y772" s="22" t="str">
        <f aca="false">IF(AND(C772&lt;&gt;"",C772=CERTIFICADO!$E$4,OR(CERTIFICADO!$E$5="",B772=CERTIFICADO!$E$5)),MAX($Y$4:Y771)+1,"")</f>
        <v/>
      </c>
    </row>
    <row r="773" customFormat="false" ht="15" hidden="false" customHeight="false" outlineLevel="0" collapsed="false">
      <c r="A773" s="11" t="str">
        <f aca="false">IF(C773="","",ROW()-4)</f>
        <v/>
      </c>
      <c r="B773" s="12"/>
      <c r="C773" s="13"/>
      <c r="D773" s="23" t="str">
        <f aca="false">IF(C773="","",IFERROR(INDEX(LOTES!$D$5:$D$1004,MATCH(C773,LOTES!$F$5:$F$1004,0)),"¿Lote?"))</f>
        <v/>
      </c>
      <c r="E773" s="11" t="str">
        <f aca="false">IF(C773="","",IFERROR(INDEX(LOTES!$C$5:$C$1004,MATCH(C773,LOTES!$F$5:$F$1004,0)),""))</f>
        <v/>
      </c>
      <c r="F773" s="24" t="str">
        <f aca="false">IF(C773="","",IFERROR(INDEX(LOTES!$B$5:$B$1004,MATCH(C773,LOTES!$F$5:$F$1004,0)),""))</f>
        <v/>
      </c>
      <c r="G773" s="15" t="str">
        <f aca="false">IF(OR(B773="",F773=""),"",B773-F773)</f>
        <v/>
      </c>
      <c r="H773" s="13"/>
      <c r="I773" s="13"/>
      <c r="J773" s="13"/>
      <c r="K773" s="25"/>
      <c r="L773" s="25"/>
      <c r="M773" s="25"/>
      <c r="N773" s="25"/>
      <c r="O773" s="26"/>
      <c r="P773" s="16" t="str">
        <f aca="false">IF(O773="","",IFERROR(1/(1/(IF(K773="",INDEX(CONFIG!$F$5:$F$14,MATCH(D773,CONFIG!$D$5:$D$14,0)),K773)*IF(M773="",INDEX(CONFIG!$H$5:$H$14,MATCH(D773,CONFIG!$D$5:$D$14,0)),M773))),""))</f>
        <v/>
      </c>
      <c r="Q773" s="16" t="str">
        <f aca="false">IF(OR(O773="",P773=""),"",O773/P773)</f>
        <v/>
      </c>
      <c r="R773" s="16" t="str">
        <f aca="false">IF(Q773="","",Q773*0.0980665)</f>
        <v/>
      </c>
      <c r="S773" s="16" t="str">
        <f aca="false">IF(Q773="","",IFERROR(Q773/(1/(1/INDEX(CONFIG!$I$5:$I$14,MATCH(D773,CONFIG!$D$5:$D$14,0)))),""))</f>
        <v/>
      </c>
      <c r="T773" s="13"/>
      <c r="U773" s="13"/>
      <c r="V773" s="13"/>
      <c r="W773" s="13"/>
      <c r="X773" s="22" t="str">
        <f aca="false">IF(Q773="","",Q773^2)</f>
        <v/>
      </c>
      <c r="Y773" s="22" t="str">
        <f aca="false">IF(AND(C773&lt;&gt;"",C773=CERTIFICADO!$E$4,OR(CERTIFICADO!$E$5="",B773=CERTIFICADO!$E$5)),MAX($Y$4:Y772)+1,"")</f>
        <v/>
      </c>
    </row>
    <row r="774" customFormat="false" ht="15" hidden="false" customHeight="false" outlineLevel="0" collapsed="false">
      <c r="A774" s="11" t="str">
        <f aca="false">IF(C774="","",ROW()-4)</f>
        <v/>
      </c>
      <c r="B774" s="12"/>
      <c r="C774" s="13"/>
      <c r="D774" s="23" t="str">
        <f aca="false">IF(C774="","",IFERROR(INDEX(LOTES!$D$5:$D$1004,MATCH(C774,LOTES!$F$5:$F$1004,0)),"¿Lote?"))</f>
        <v/>
      </c>
      <c r="E774" s="11" t="str">
        <f aca="false">IF(C774="","",IFERROR(INDEX(LOTES!$C$5:$C$1004,MATCH(C774,LOTES!$F$5:$F$1004,0)),""))</f>
        <v/>
      </c>
      <c r="F774" s="24" t="str">
        <f aca="false">IF(C774="","",IFERROR(INDEX(LOTES!$B$5:$B$1004,MATCH(C774,LOTES!$F$5:$F$1004,0)),""))</f>
        <v/>
      </c>
      <c r="G774" s="15" t="str">
        <f aca="false">IF(OR(B774="",F774=""),"",B774-F774)</f>
        <v/>
      </c>
      <c r="H774" s="13"/>
      <c r="I774" s="13"/>
      <c r="J774" s="13"/>
      <c r="K774" s="25"/>
      <c r="L774" s="25"/>
      <c r="M774" s="25"/>
      <c r="N774" s="25"/>
      <c r="O774" s="26"/>
      <c r="P774" s="16" t="str">
        <f aca="false">IF(O774="","",IFERROR(1/(1/(IF(K774="",INDEX(CONFIG!$F$5:$F$14,MATCH(D774,CONFIG!$D$5:$D$14,0)),K774)*IF(M774="",INDEX(CONFIG!$H$5:$H$14,MATCH(D774,CONFIG!$D$5:$D$14,0)),M774))),""))</f>
        <v/>
      </c>
      <c r="Q774" s="16" t="str">
        <f aca="false">IF(OR(O774="",P774=""),"",O774/P774)</f>
        <v/>
      </c>
      <c r="R774" s="16" t="str">
        <f aca="false">IF(Q774="","",Q774*0.0980665)</f>
        <v/>
      </c>
      <c r="S774" s="16" t="str">
        <f aca="false">IF(Q774="","",IFERROR(Q774/(1/(1/INDEX(CONFIG!$I$5:$I$14,MATCH(D774,CONFIG!$D$5:$D$14,0)))),""))</f>
        <v/>
      </c>
      <c r="T774" s="13"/>
      <c r="U774" s="13"/>
      <c r="V774" s="13"/>
      <c r="W774" s="13"/>
      <c r="X774" s="22" t="str">
        <f aca="false">IF(Q774="","",Q774^2)</f>
        <v/>
      </c>
      <c r="Y774" s="22" t="str">
        <f aca="false">IF(AND(C774&lt;&gt;"",C774=CERTIFICADO!$E$4,OR(CERTIFICADO!$E$5="",B774=CERTIFICADO!$E$5)),MAX($Y$4:Y773)+1,"")</f>
        <v/>
      </c>
    </row>
    <row r="775" customFormat="false" ht="15" hidden="false" customHeight="false" outlineLevel="0" collapsed="false">
      <c r="A775" s="11" t="str">
        <f aca="false">IF(C775="","",ROW()-4)</f>
        <v/>
      </c>
      <c r="B775" s="12"/>
      <c r="C775" s="13"/>
      <c r="D775" s="23" t="str">
        <f aca="false">IF(C775="","",IFERROR(INDEX(LOTES!$D$5:$D$1004,MATCH(C775,LOTES!$F$5:$F$1004,0)),"¿Lote?"))</f>
        <v/>
      </c>
      <c r="E775" s="11" t="str">
        <f aca="false">IF(C775="","",IFERROR(INDEX(LOTES!$C$5:$C$1004,MATCH(C775,LOTES!$F$5:$F$1004,0)),""))</f>
        <v/>
      </c>
      <c r="F775" s="24" t="str">
        <f aca="false">IF(C775="","",IFERROR(INDEX(LOTES!$B$5:$B$1004,MATCH(C775,LOTES!$F$5:$F$1004,0)),""))</f>
        <v/>
      </c>
      <c r="G775" s="15" t="str">
        <f aca="false">IF(OR(B775="",F775=""),"",B775-F775)</f>
        <v/>
      </c>
      <c r="H775" s="13"/>
      <c r="I775" s="13"/>
      <c r="J775" s="13"/>
      <c r="K775" s="25"/>
      <c r="L775" s="25"/>
      <c r="M775" s="25"/>
      <c r="N775" s="25"/>
      <c r="O775" s="26"/>
      <c r="P775" s="16" t="str">
        <f aca="false">IF(O775="","",IFERROR(1/(1/(IF(K775="",INDEX(CONFIG!$F$5:$F$14,MATCH(D775,CONFIG!$D$5:$D$14,0)),K775)*IF(M775="",INDEX(CONFIG!$H$5:$H$14,MATCH(D775,CONFIG!$D$5:$D$14,0)),M775))),""))</f>
        <v/>
      </c>
      <c r="Q775" s="16" t="str">
        <f aca="false">IF(OR(O775="",P775=""),"",O775/P775)</f>
        <v/>
      </c>
      <c r="R775" s="16" t="str">
        <f aca="false">IF(Q775="","",Q775*0.0980665)</f>
        <v/>
      </c>
      <c r="S775" s="16" t="str">
        <f aca="false">IF(Q775="","",IFERROR(Q775/(1/(1/INDEX(CONFIG!$I$5:$I$14,MATCH(D775,CONFIG!$D$5:$D$14,0)))),""))</f>
        <v/>
      </c>
      <c r="T775" s="13"/>
      <c r="U775" s="13"/>
      <c r="V775" s="13"/>
      <c r="W775" s="13"/>
      <c r="X775" s="22" t="str">
        <f aca="false">IF(Q775="","",Q775^2)</f>
        <v/>
      </c>
      <c r="Y775" s="22" t="str">
        <f aca="false">IF(AND(C775&lt;&gt;"",C775=CERTIFICADO!$E$4,OR(CERTIFICADO!$E$5="",B775=CERTIFICADO!$E$5)),MAX($Y$4:Y774)+1,"")</f>
        <v/>
      </c>
    </row>
    <row r="776" customFormat="false" ht="15" hidden="false" customHeight="false" outlineLevel="0" collapsed="false">
      <c r="A776" s="11" t="str">
        <f aca="false">IF(C776="","",ROW()-4)</f>
        <v/>
      </c>
      <c r="B776" s="12"/>
      <c r="C776" s="13"/>
      <c r="D776" s="23" t="str">
        <f aca="false">IF(C776="","",IFERROR(INDEX(LOTES!$D$5:$D$1004,MATCH(C776,LOTES!$F$5:$F$1004,0)),"¿Lote?"))</f>
        <v/>
      </c>
      <c r="E776" s="11" t="str">
        <f aca="false">IF(C776="","",IFERROR(INDEX(LOTES!$C$5:$C$1004,MATCH(C776,LOTES!$F$5:$F$1004,0)),""))</f>
        <v/>
      </c>
      <c r="F776" s="24" t="str">
        <f aca="false">IF(C776="","",IFERROR(INDEX(LOTES!$B$5:$B$1004,MATCH(C776,LOTES!$F$5:$F$1004,0)),""))</f>
        <v/>
      </c>
      <c r="G776" s="15" t="str">
        <f aca="false">IF(OR(B776="",F776=""),"",B776-F776)</f>
        <v/>
      </c>
      <c r="H776" s="13"/>
      <c r="I776" s="13"/>
      <c r="J776" s="13"/>
      <c r="K776" s="25"/>
      <c r="L776" s="25"/>
      <c r="M776" s="25"/>
      <c r="N776" s="25"/>
      <c r="O776" s="26"/>
      <c r="P776" s="16" t="str">
        <f aca="false">IF(O776="","",IFERROR(1/(1/(IF(K776="",INDEX(CONFIG!$F$5:$F$14,MATCH(D776,CONFIG!$D$5:$D$14,0)),K776)*IF(M776="",INDEX(CONFIG!$H$5:$H$14,MATCH(D776,CONFIG!$D$5:$D$14,0)),M776))),""))</f>
        <v/>
      </c>
      <c r="Q776" s="16" t="str">
        <f aca="false">IF(OR(O776="",P776=""),"",O776/P776)</f>
        <v/>
      </c>
      <c r="R776" s="16" t="str">
        <f aca="false">IF(Q776="","",Q776*0.0980665)</f>
        <v/>
      </c>
      <c r="S776" s="16" t="str">
        <f aca="false">IF(Q776="","",IFERROR(Q776/(1/(1/INDEX(CONFIG!$I$5:$I$14,MATCH(D776,CONFIG!$D$5:$D$14,0)))),""))</f>
        <v/>
      </c>
      <c r="T776" s="13"/>
      <c r="U776" s="13"/>
      <c r="V776" s="13"/>
      <c r="W776" s="13"/>
      <c r="X776" s="22" t="str">
        <f aca="false">IF(Q776="","",Q776^2)</f>
        <v/>
      </c>
      <c r="Y776" s="22" t="str">
        <f aca="false">IF(AND(C776&lt;&gt;"",C776=CERTIFICADO!$E$4,OR(CERTIFICADO!$E$5="",B776=CERTIFICADO!$E$5)),MAX($Y$4:Y775)+1,"")</f>
        <v/>
      </c>
    </row>
    <row r="777" customFormat="false" ht="15" hidden="false" customHeight="false" outlineLevel="0" collapsed="false">
      <c r="A777" s="11" t="str">
        <f aca="false">IF(C777="","",ROW()-4)</f>
        <v/>
      </c>
      <c r="B777" s="12"/>
      <c r="C777" s="13"/>
      <c r="D777" s="23" t="str">
        <f aca="false">IF(C777="","",IFERROR(INDEX(LOTES!$D$5:$D$1004,MATCH(C777,LOTES!$F$5:$F$1004,0)),"¿Lote?"))</f>
        <v/>
      </c>
      <c r="E777" s="11" t="str">
        <f aca="false">IF(C777="","",IFERROR(INDEX(LOTES!$C$5:$C$1004,MATCH(C777,LOTES!$F$5:$F$1004,0)),""))</f>
        <v/>
      </c>
      <c r="F777" s="24" t="str">
        <f aca="false">IF(C777="","",IFERROR(INDEX(LOTES!$B$5:$B$1004,MATCH(C777,LOTES!$F$5:$F$1004,0)),""))</f>
        <v/>
      </c>
      <c r="G777" s="15" t="str">
        <f aca="false">IF(OR(B777="",F777=""),"",B777-F777)</f>
        <v/>
      </c>
      <c r="H777" s="13"/>
      <c r="I777" s="13"/>
      <c r="J777" s="13"/>
      <c r="K777" s="25"/>
      <c r="L777" s="25"/>
      <c r="M777" s="25"/>
      <c r="N777" s="25"/>
      <c r="O777" s="26"/>
      <c r="P777" s="16" t="str">
        <f aca="false">IF(O777="","",IFERROR(1/(1/(IF(K777="",INDEX(CONFIG!$F$5:$F$14,MATCH(D777,CONFIG!$D$5:$D$14,0)),K777)*IF(M777="",INDEX(CONFIG!$H$5:$H$14,MATCH(D777,CONFIG!$D$5:$D$14,0)),M777))),""))</f>
        <v/>
      </c>
      <c r="Q777" s="16" t="str">
        <f aca="false">IF(OR(O777="",P777=""),"",O777/P777)</f>
        <v/>
      </c>
      <c r="R777" s="16" t="str">
        <f aca="false">IF(Q777="","",Q777*0.0980665)</f>
        <v/>
      </c>
      <c r="S777" s="16" t="str">
        <f aca="false">IF(Q777="","",IFERROR(Q777/(1/(1/INDEX(CONFIG!$I$5:$I$14,MATCH(D777,CONFIG!$D$5:$D$14,0)))),""))</f>
        <v/>
      </c>
      <c r="T777" s="13"/>
      <c r="U777" s="13"/>
      <c r="V777" s="13"/>
      <c r="W777" s="13"/>
      <c r="X777" s="22" t="str">
        <f aca="false">IF(Q777="","",Q777^2)</f>
        <v/>
      </c>
      <c r="Y777" s="22" t="str">
        <f aca="false">IF(AND(C777&lt;&gt;"",C777=CERTIFICADO!$E$4,OR(CERTIFICADO!$E$5="",B777=CERTIFICADO!$E$5)),MAX($Y$4:Y776)+1,"")</f>
        <v/>
      </c>
    </row>
    <row r="778" customFormat="false" ht="15" hidden="false" customHeight="false" outlineLevel="0" collapsed="false">
      <c r="A778" s="11" t="str">
        <f aca="false">IF(C778="","",ROW()-4)</f>
        <v/>
      </c>
      <c r="B778" s="12"/>
      <c r="C778" s="13"/>
      <c r="D778" s="23" t="str">
        <f aca="false">IF(C778="","",IFERROR(INDEX(LOTES!$D$5:$D$1004,MATCH(C778,LOTES!$F$5:$F$1004,0)),"¿Lote?"))</f>
        <v/>
      </c>
      <c r="E778" s="11" t="str">
        <f aca="false">IF(C778="","",IFERROR(INDEX(LOTES!$C$5:$C$1004,MATCH(C778,LOTES!$F$5:$F$1004,0)),""))</f>
        <v/>
      </c>
      <c r="F778" s="24" t="str">
        <f aca="false">IF(C778="","",IFERROR(INDEX(LOTES!$B$5:$B$1004,MATCH(C778,LOTES!$F$5:$F$1004,0)),""))</f>
        <v/>
      </c>
      <c r="G778" s="15" t="str">
        <f aca="false">IF(OR(B778="",F778=""),"",B778-F778)</f>
        <v/>
      </c>
      <c r="H778" s="13"/>
      <c r="I778" s="13"/>
      <c r="J778" s="13"/>
      <c r="K778" s="25"/>
      <c r="L778" s="25"/>
      <c r="M778" s="25"/>
      <c r="N778" s="25"/>
      <c r="O778" s="26"/>
      <c r="P778" s="16" t="str">
        <f aca="false">IF(O778="","",IFERROR(1/(1/(IF(K778="",INDEX(CONFIG!$F$5:$F$14,MATCH(D778,CONFIG!$D$5:$D$14,0)),K778)*IF(M778="",INDEX(CONFIG!$H$5:$H$14,MATCH(D778,CONFIG!$D$5:$D$14,0)),M778))),""))</f>
        <v/>
      </c>
      <c r="Q778" s="16" t="str">
        <f aca="false">IF(OR(O778="",P778=""),"",O778/P778)</f>
        <v/>
      </c>
      <c r="R778" s="16" t="str">
        <f aca="false">IF(Q778="","",Q778*0.0980665)</f>
        <v/>
      </c>
      <c r="S778" s="16" t="str">
        <f aca="false">IF(Q778="","",IFERROR(Q778/(1/(1/INDEX(CONFIG!$I$5:$I$14,MATCH(D778,CONFIG!$D$5:$D$14,0)))),""))</f>
        <v/>
      </c>
      <c r="T778" s="13"/>
      <c r="U778" s="13"/>
      <c r="V778" s="13"/>
      <c r="W778" s="13"/>
      <c r="X778" s="22" t="str">
        <f aca="false">IF(Q778="","",Q778^2)</f>
        <v/>
      </c>
      <c r="Y778" s="22" t="str">
        <f aca="false">IF(AND(C778&lt;&gt;"",C778=CERTIFICADO!$E$4,OR(CERTIFICADO!$E$5="",B778=CERTIFICADO!$E$5)),MAX($Y$4:Y777)+1,"")</f>
        <v/>
      </c>
    </row>
    <row r="779" customFormat="false" ht="15" hidden="false" customHeight="false" outlineLevel="0" collapsed="false">
      <c r="A779" s="11" t="str">
        <f aca="false">IF(C779="","",ROW()-4)</f>
        <v/>
      </c>
      <c r="B779" s="12"/>
      <c r="C779" s="13"/>
      <c r="D779" s="23" t="str">
        <f aca="false">IF(C779="","",IFERROR(INDEX(LOTES!$D$5:$D$1004,MATCH(C779,LOTES!$F$5:$F$1004,0)),"¿Lote?"))</f>
        <v/>
      </c>
      <c r="E779" s="11" t="str">
        <f aca="false">IF(C779="","",IFERROR(INDEX(LOTES!$C$5:$C$1004,MATCH(C779,LOTES!$F$5:$F$1004,0)),""))</f>
        <v/>
      </c>
      <c r="F779" s="24" t="str">
        <f aca="false">IF(C779="","",IFERROR(INDEX(LOTES!$B$5:$B$1004,MATCH(C779,LOTES!$F$5:$F$1004,0)),""))</f>
        <v/>
      </c>
      <c r="G779" s="15" t="str">
        <f aca="false">IF(OR(B779="",F779=""),"",B779-F779)</f>
        <v/>
      </c>
      <c r="H779" s="13"/>
      <c r="I779" s="13"/>
      <c r="J779" s="13"/>
      <c r="K779" s="25"/>
      <c r="L779" s="25"/>
      <c r="M779" s="25"/>
      <c r="N779" s="25"/>
      <c r="O779" s="26"/>
      <c r="P779" s="16" t="str">
        <f aca="false">IF(O779="","",IFERROR(1/(1/(IF(K779="",INDEX(CONFIG!$F$5:$F$14,MATCH(D779,CONFIG!$D$5:$D$14,0)),K779)*IF(M779="",INDEX(CONFIG!$H$5:$H$14,MATCH(D779,CONFIG!$D$5:$D$14,0)),M779))),""))</f>
        <v/>
      </c>
      <c r="Q779" s="16" t="str">
        <f aca="false">IF(OR(O779="",P779=""),"",O779/P779)</f>
        <v/>
      </c>
      <c r="R779" s="16" t="str">
        <f aca="false">IF(Q779="","",Q779*0.0980665)</f>
        <v/>
      </c>
      <c r="S779" s="16" t="str">
        <f aca="false">IF(Q779="","",IFERROR(Q779/(1/(1/INDEX(CONFIG!$I$5:$I$14,MATCH(D779,CONFIG!$D$5:$D$14,0)))),""))</f>
        <v/>
      </c>
      <c r="T779" s="13"/>
      <c r="U779" s="13"/>
      <c r="V779" s="13"/>
      <c r="W779" s="13"/>
      <c r="X779" s="22" t="str">
        <f aca="false">IF(Q779="","",Q779^2)</f>
        <v/>
      </c>
      <c r="Y779" s="22" t="str">
        <f aca="false">IF(AND(C779&lt;&gt;"",C779=CERTIFICADO!$E$4,OR(CERTIFICADO!$E$5="",B779=CERTIFICADO!$E$5)),MAX($Y$4:Y778)+1,"")</f>
        <v/>
      </c>
    </row>
    <row r="780" customFormat="false" ht="15" hidden="false" customHeight="false" outlineLevel="0" collapsed="false">
      <c r="A780" s="11" t="str">
        <f aca="false">IF(C780="","",ROW()-4)</f>
        <v/>
      </c>
      <c r="B780" s="12"/>
      <c r="C780" s="13"/>
      <c r="D780" s="23" t="str">
        <f aca="false">IF(C780="","",IFERROR(INDEX(LOTES!$D$5:$D$1004,MATCH(C780,LOTES!$F$5:$F$1004,0)),"¿Lote?"))</f>
        <v/>
      </c>
      <c r="E780" s="11" t="str">
        <f aca="false">IF(C780="","",IFERROR(INDEX(LOTES!$C$5:$C$1004,MATCH(C780,LOTES!$F$5:$F$1004,0)),""))</f>
        <v/>
      </c>
      <c r="F780" s="24" t="str">
        <f aca="false">IF(C780="","",IFERROR(INDEX(LOTES!$B$5:$B$1004,MATCH(C780,LOTES!$F$5:$F$1004,0)),""))</f>
        <v/>
      </c>
      <c r="G780" s="15" t="str">
        <f aca="false">IF(OR(B780="",F780=""),"",B780-F780)</f>
        <v/>
      </c>
      <c r="H780" s="13"/>
      <c r="I780" s="13"/>
      <c r="J780" s="13"/>
      <c r="K780" s="25"/>
      <c r="L780" s="25"/>
      <c r="M780" s="25"/>
      <c r="N780" s="25"/>
      <c r="O780" s="26"/>
      <c r="P780" s="16" t="str">
        <f aca="false">IF(O780="","",IFERROR(1/(1/(IF(K780="",INDEX(CONFIG!$F$5:$F$14,MATCH(D780,CONFIG!$D$5:$D$14,0)),K780)*IF(M780="",INDEX(CONFIG!$H$5:$H$14,MATCH(D780,CONFIG!$D$5:$D$14,0)),M780))),""))</f>
        <v/>
      </c>
      <c r="Q780" s="16" t="str">
        <f aca="false">IF(OR(O780="",P780=""),"",O780/P780)</f>
        <v/>
      </c>
      <c r="R780" s="16" t="str">
        <f aca="false">IF(Q780="","",Q780*0.0980665)</f>
        <v/>
      </c>
      <c r="S780" s="16" t="str">
        <f aca="false">IF(Q780="","",IFERROR(Q780/(1/(1/INDEX(CONFIG!$I$5:$I$14,MATCH(D780,CONFIG!$D$5:$D$14,0)))),""))</f>
        <v/>
      </c>
      <c r="T780" s="13"/>
      <c r="U780" s="13"/>
      <c r="V780" s="13"/>
      <c r="W780" s="13"/>
      <c r="X780" s="22" t="str">
        <f aca="false">IF(Q780="","",Q780^2)</f>
        <v/>
      </c>
      <c r="Y780" s="22" t="str">
        <f aca="false">IF(AND(C780&lt;&gt;"",C780=CERTIFICADO!$E$4,OR(CERTIFICADO!$E$5="",B780=CERTIFICADO!$E$5)),MAX($Y$4:Y779)+1,"")</f>
        <v/>
      </c>
    </row>
    <row r="781" customFormat="false" ht="15" hidden="false" customHeight="false" outlineLevel="0" collapsed="false">
      <c r="A781" s="11" t="str">
        <f aca="false">IF(C781="","",ROW()-4)</f>
        <v/>
      </c>
      <c r="B781" s="12"/>
      <c r="C781" s="13"/>
      <c r="D781" s="23" t="str">
        <f aca="false">IF(C781="","",IFERROR(INDEX(LOTES!$D$5:$D$1004,MATCH(C781,LOTES!$F$5:$F$1004,0)),"¿Lote?"))</f>
        <v/>
      </c>
      <c r="E781" s="11" t="str">
        <f aca="false">IF(C781="","",IFERROR(INDEX(LOTES!$C$5:$C$1004,MATCH(C781,LOTES!$F$5:$F$1004,0)),""))</f>
        <v/>
      </c>
      <c r="F781" s="24" t="str">
        <f aca="false">IF(C781="","",IFERROR(INDEX(LOTES!$B$5:$B$1004,MATCH(C781,LOTES!$F$5:$F$1004,0)),""))</f>
        <v/>
      </c>
      <c r="G781" s="15" t="str">
        <f aca="false">IF(OR(B781="",F781=""),"",B781-F781)</f>
        <v/>
      </c>
      <c r="H781" s="13"/>
      <c r="I781" s="13"/>
      <c r="J781" s="13"/>
      <c r="K781" s="25"/>
      <c r="L781" s="25"/>
      <c r="M781" s="25"/>
      <c r="N781" s="25"/>
      <c r="O781" s="26"/>
      <c r="P781" s="16" t="str">
        <f aca="false">IF(O781="","",IFERROR(1/(1/(IF(K781="",INDEX(CONFIG!$F$5:$F$14,MATCH(D781,CONFIG!$D$5:$D$14,0)),K781)*IF(M781="",INDEX(CONFIG!$H$5:$H$14,MATCH(D781,CONFIG!$D$5:$D$14,0)),M781))),""))</f>
        <v/>
      </c>
      <c r="Q781" s="16" t="str">
        <f aca="false">IF(OR(O781="",P781=""),"",O781/P781)</f>
        <v/>
      </c>
      <c r="R781" s="16" t="str">
        <f aca="false">IF(Q781="","",Q781*0.0980665)</f>
        <v/>
      </c>
      <c r="S781" s="16" t="str">
        <f aca="false">IF(Q781="","",IFERROR(Q781/(1/(1/INDEX(CONFIG!$I$5:$I$14,MATCH(D781,CONFIG!$D$5:$D$14,0)))),""))</f>
        <v/>
      </c>
      <c r="T781" s="13"/>
      <c r="U781" s="13"/>
      <c r="V781" s="13"/>
      <c r="W781" s="13"/>
      <c r="X781" s="22" t="str">
        <f aca="false">IF(Q781="","",Q781^2)</f>
        <v/>
      </c>
      <c r="Y781" s="22" t="str">
        <f aca="false">IF(AND(C781&lt;&gt;"",C781=CERTIFICADO!$E$4,OR(CERTIFICADO!$E$5="",B781=CERTIFICADO!$E$5)),MAX($Y$4:Y780)+1,"")</f>
        <v/>
      </c>
    </row>
    <row r="782" customFormat="false" ht="15" hidden="false" customHeight="false" outlineLevel="0" collapsed="false">
      <c r="A782" s="11" t="str">
        <f aca="false">IF(C782="","",ROW()-4)</f>
        <v/>
      </c>
      <c r="B782" s="12"/>
      <c r="C782" s="13"/>
      <c r="D782" s="23" t="str">
        <f aca="false">IF(C782="","",IFERROR(INDEX(LOTES!$D$5:$D$1004,MATCH(C782,LOTES!$F$5:$F$1004,0)),"¿Lote?"))</f>
        <v/>
      </c>
      <c r="E782" s="11" t="str">
        <f aca="false">IF(C782="","",IFERROR(INDEX(LOTES!$C$5:$C$1004,MATCH(C782,LOTES!$F$5:$F$1004,0)),""))</f>
        <v/>
      </c>
      <c r="F782" s="24" t="str">
        <f aca="false">IF(C782="","",IFERROR(INDEX(LOTES!$B$5:$B$1004,MATCH(C782,LOTES!$F$5:$F$1004,0)),""))</f>
        <v/>
      </c>
      <c r="G782" s="15" t="str">
        <f aca="false">IF(OR(B782="",F782=""),"",B782-F782)</f>
        <v/>
      </c>
      <c r="H782" s="13"/>
      <c r="I782" s="13"/>
      <c r="J782" s="13"/>
      <c r="K782" s="25"/>
      <c r="L782" s="25"/>
      <c r="M782" s="25"/>
      <c r="N782" s="25"/>
      <c r="O782" s="26"/>
      <c r="P782" s="16" t="str">
        <f aca="false">IF(O782="","",IFERROR(1/(1/(IF(K782="",INDEX(CONFIG!$F$5:$F$14,MATCH(D782,CONFIG!$D$5:$D$14,0)),K782)*IF(M782="",INDEX(CONFIG!$H$5:$H$14,MATCH(D782,CONFIG!$D$5:$D$14,0)),M782))),""))</f>
        <v/>
      </c>
      <c r="Q782" s="16" t="str">
        <f aca="false">IF(OR(O782="",P782=""),"",O782/P782)</f>
        <v/>
      </c>
      <c r="R782" s="16" t="str">
        <f aca="false">IF(Q782="","",Q782*0.0980665)</f>
        <v/>
      </c>
      <c r="S782" s="16" t="str">
        <f aca="false">IF(Q782="","",IFERROR(Q782/(1/(1/INDEX(CONFIG!$I$5:$I$14,MATCH(D782,CONFIG!$D$5:$D$14,0)))),""))</f>
        <v/>
      </c>
      <c r="T782" s="13"/>
      <c r="U782" s="13"/>
      <c r="V782" s="13"/>
      <c r="W782" s="13"/>
      <c r="X782" s="22" t="str">
        <f aca="false">IF(Q782="","",Q782^2)</f>
        <v/>
      </c>
      <c r="Y782" s="22" t="str">
        <f aca="false">IF(AND(C782&lt;&gt;"",C782=CERTIFICADO!$E$4,OR(CERTIFICADO!$E$5="",B782=CERTIFICADO!$E$5)),MAX($Y$4:Y781)+1,"")</f>
        <v/>
      </c>
    </row>
    <row r="783" customFormat="false" ht="15" hidden="false" customHeight="false" outlineLevel="0" collapsed="false">
      <c r="A783" s="11" t="str">
        <f aca="false">IF(C783="","",ROW()-4)</f>
        <v/>
      </c>
      <c r="B783" s="12"/>
      <c r="C783" s="13"/>
      <c r="D783" s="23" t="str">
        <f aca="false">IF(C783="","",IFERROR(INDEX(LOTES!$D$5:$D$1004,MATCH(C783,LOTES!$F$5:$F$1004,0)),"¿Lote?"))</f>
        <v/>
      </c>
      <c r="E783" s="11" t="str">
        <f aca="false">IF(C783="","",IFERROR(INDEX(LOTES!$C$5:$C$1004,MATCH(C783,LOTES!$F$5:$F$1004,0)),""))</f>
        <v/>
      </c>
      <c r="F783" s="24" t="str">
        <f aca="false">IF(C783="","",IFERROR(INDEX(LOTES!$B$5:$B$1004,MATCH(C783,LOTES!$F$5:$F$1004,0)),""))</f>
        <v/>
      </c>
      <c r="G783" s="15" t="str">
        <f aca="false">IF(OR(B783="",F783=""),"",B783-F783)</f>
        <v/>
      </c>
      <c r="H783" s="13"/>
      <c r="I783" s="13"/>
      <c r="J783" s="13"/>
      <c r="K783" s="25"/>
      <c r="L783" s="25"/>
      <c r="M783" s="25"/>
      <c r="N783" s="25"/>
      <c r="O783" s="26"/>
      <c r="P783" s="16" t="str">
        <f aca="false">IF(O783="","",IFERROR(1/(1/(IF(K783="",INDEX(CONFIG!$F$5:$F$14,MATCH(D783,CONFIG!$D$5:$D$14,0)),K783)*IF(M783="",INDEX(CONFIG!$H$5:$H$14,MATCH(D783,CONFIG!$D$5:$D$14,0)),M783))),""))</f>
        <v/>
      </c>
      <c r="Q783" s="16" t="str">
        <f aca="false">IF(OR(O783="",P783=""),"",O783/P783)</f>
        <v/>
      </c>
      <c r="R783" s="16" t="str">
        <f aca="false">IF(Q783="","",Q783*0.0980665)</f>
        <v/>
      </c>
      <c r="S783" s="16" t="str">
        <f aca="false">IF(Q783="","",IFERROR(Q783/(1/(1/INDEX(CONFIG!$I$5:$I$14,MATCH(D783,CONFIG!$D$5:$D$14,0)))),""))</f>
        <v/>
      </c>
      <c r="T783" s="13"/>
      <c r="U783" s="13"/>
      <c r="V783" s="13"/>
      <c r="W783" s="13"/>
      <c r="X783" s="22" t="str">
        <f aca="false">IF(Q783="","",Q783^2)</f>
        <v/>
      </c>
      <c r="Y783" s="22" t="str">
        <f aca="false">IF(AND(C783&lt;&gt;"",C783=CERTIFICADO!$E$4,OR(CERTIFICADO!$E$5="",B783=CERTIFICADO!$E$5)),MAX($Y$4:Y782)+1,"")</f>
        <v/>
      </c>
    </row>
    <row r="784" customFormat="false" ht="15" hidden="false" customHeight="false" outlineLevel="0" collapsed="false">
      <c r="A784" s="11" t="str">
        <f aca="false">IF(C784="","",ROW()-4)</f>
        <v/>
      </c>
      <c r="B784" s="12"/>
      <c r="C784" s="13"/>
      <c r="D784" s="23" t="str">
        <f aca="false">IF(C784="","",IFERROR(INDEX(LOTES!$D$5:$D$1004,MATCH(C784,LOTES!$F$5:$F$1004,0)),"¿Lote?"))</f>
        <v/>
      </c>
      <c r="E784" s="11" t="str">
        <f aca="false">IF(C784="","",IFERROR(INDEX(LOTES!$C$5:$C$1004,MATCH(C784,LOTES!$F$5:$F$1004,0)),""))</f>
        <v/>
      </c>
      <c r="F784" s="24" t="str">
        <f aca="false">IF(C784="","",IFERROR(INDEX(LOTES!$B$5:$B$1004,MATCH(C784,LOTES!$F$5:$F$1004,0)),""))</f>
        <v/>
      </c>
      <c r="G784" s="15" t="str">
        <f aca="false">IF(OR(B784="",F784=""),"",B784-F784)</f>
        <v/>
      </c>
      <c r="H784" s="13"/>
      <c r="I784" s="13"/>
      <c r="J784" s="13"/>
      <c r="K784" s="25"/>
      <c r="L784" s="25"/>
      <c r="M784" s="25"/>
      <c r="N784" s="25"/>
      <c r="O784" s="26"/>
      <c r="P784" s="16" t="str">
        <f aca="false">IF(O784="","",IFERROR(1/(1/(IF(K784="",INDEX(CONFIG!$F$5:$F$14,MATCH(D784,CONFIG!$D$5:$D$14,0)),K784)*IF(M784="",INDEX(CONFIG!$H$5:$H$14,MATCH(D784,CONFIG!$D$5:$D$14,0)),M784))),""))</f>
        <v/>
      </c>
      <c r="Q784" s="16" t="str">
        <f aca="false">IF(OR(O784="",P784=""),"",O784/P784)</f>
        <v/>
      </c>
      <c r="R784" s="16" t="str">
        <f aca="false">IF(Q784="","",Q784*0.0980665)</f>
        <v/>
      </c>
      <c r="S784" s="16" t="str">
        <f aca="false">IF(Q784="","",IFERROR(Q784/(1/(1/INDEX(CONFIG!$I$5:$I$14,MATCH(D784,CONFIG!$D$5:$D$14,0)))),""))</f>
        <v/>
      </c>
      <c r="T784" s="13"/>
      <c r="U784" s="13"/>
      <c r="V784" s="13"/>
      <c r="W784" s="13"/>
      <c r="X784" s="22" t="str">
        <f aca="false">IF(Q784="","",Q784^2)</f>
        <v/>
      </c>
      <c r="Y784" s="22" t="str">
        <f aca="false">IF(AND(C784&lt;&gt;"",C784=CERTIFICADO!$E$4,OR(CERTIFICADO!$E$5="",B784=CERTIFICADO!$E$5)),MAX($Y$4:Y783)+1,"")</f>
        <v/>
      </c>
    </row>
    <row r="785" customFormat="false" ht="15" hidden="false" customHeight="false" outlineLevel="0" collapsed="false">
      <c r="A785" s="11" t="str">
        <f aca="false">IF(C785="","",ROW()-4)</f>
        <v/>
      </c>
      <c r="B785" s="12"/>
      <c r="C785" s="13"/>
      <c r="D785" s="23" t="str">
        <f aca="false">IF(C785="","",IFERROR(INDEX(LOTES!$D$5:$D$1004,MATCH(C785,LOTES!$F$5:$F$1004,0)),"¿Lote?"))</f>
        <v/>
      </c>
      <c r="E785" s="11" t="str">
        <f aca="false">IF(C785="","",IFERROR(INDEX(LOTES!$C$5:$C$1004,MATCH(C785,LOTES!$F$5:$F$1004,0)),""))</f>
        <v/>
      </c>
      <c r="F785" s="24" t="str">
        <f aca="false">IF(C785="","",IFERROR(INDEX(LOTES!$B$5:$B$1004,MATCH(C785,LOTES!$F$5:$F$1004,0)),""))</f>
        <v/>
      </c>
      <c r="G785" s="15" t="str">
        <f aca="false">IF(OR(B785="",F785=""),"",B785-F785)</f>
        <v/>
      </c>
      <c r="H785" s="13"/>
      <c r="I785" s="13"/>
      <c r="J785" s="13"/>
      <c r="K785" s="25"/>
      <c r="L785" s="25"/>
      <c r="M785" s="25"/>
      <c r="N785" s="25"/>
      <c r="O785" s="26"/>
      <c r="P785" s="16" t="str">
        <f aca="false">IF(O785="","",IFERROR(1/(1/(IF(K785="",INDEX(CONFIG!$F$5:$F$14,MATCH(D785,CONFIG!$D$5:$D$14,0)),K785)*IF(M785="",INDEX(CONFIG!$H$5:$H$14,MATCH(D785,CONFIG!$D$5:$D$14,0)),M785))),""))</f>
        <v/>
      </c>
      <c r="Q785" s="16" t="str">
        <f aca="false">IF(OR(O785="",P785=""),"",O785/P785)</f>
        <v/>
      </c>
      <c r="R785" s="16" t="str">
        <f aca="false">IF(Q785="","",Q785*0.0980665)</f>
        <v/>
      </c>
      <c r="S785" s="16" t="str">
        <f aca="false">IF(Q785="","",IFERROR(Q785/(1/(1/INDEX(CONFIG!$I$5:$I$14,MATCH(D785,CONFIG!$D$5:$D$14,0)))),""))</f>
        <v/>
      </c>
      <c r="T785" s="13"/>
      <c r="U785" s="13"/>
      <c r="V785" s="13"/>
      <c r="W785" s="13"/>
      <c r="X785" s="22" t="str">
        <f aca="false">IF(Q785="","",Q785^2)</f>
        <v/>
      </c>
      <c r="Y785" s="22" t="str">
        <f aca="false">IF(AND(C785&lt;&gt;"",C785=CERTIFICADO!$E$4,OR(CERTIFICADO!$E$5="",B785=CERTIFICADO!$E$5)),MAX($Y$4:Y784)+1,"")</f>
        <v/>
      </c>
    </row>
    <row r="786" customFormat="false" ht="15" hidden="false" customHeight="false" outlineLevel="0" collapsed="false">
      <c r="A786" s="11" t="str">
        <f aca="false">IF(C786="","",ROW()-4)</f>
        <v/>
      </c>
      <c r="B786" s="12"/>
      <c r="C786" s="13"/>
      <c r="D786" s="23" t="str">
        <f aca="false">IF(C786="","",IFERROR(INDEX(LOTES!$D$5:$D$1004,MATCH(C786,LOTES!$F$5:$F$1004,0)),"¿Lote?"))</f>
        <v/>
      </c>
      <c r="E786" s="11" t="str">
        <f aca="false">IF(C786="","",IFERROR(INDEX(LOTES!$C$5:$C$1004,MATCH(C786,LOTES!$F$5:$F$1004,0)),""))</f>
        <v/>
      </c>
      <c r="F786" s="24" t="str">
        <f aca="false">IF(C786="","",IFERROR(INDEX(LOTES!$B$5:$B$1004,MATCH(C786,LOTES!$F$5:$F$1004,0)),""))</f>
        <v/>
      </c>
      <c r="G786" s="15" t="str">
        <f aca="false">IF(OR(B786="",F786=""),"",B786-F786)</f>
        <v/>
      </c>
      <c r="H786" s="13"/>
      <c r="I786" s="13"/>
      <c r="J786" s="13"/>
      <c r="K786" s="25"/>
      <c r="L786" s="25"/>
      <c r="M786" s="25"/>
      <c r="N786" s="25"/>
      <c r="O786" s="26"/>
      <c r="P786" s="16" t="str">
        <f aca="false">IF(O786="","",IFERROR(1/(1/(IF(K786="",INDEX(CONFIG!$F$5:$F$14,MATCH(D786,CONFIG!$D$5:$D$14,0)),K786)*IF(M786="",INDEX(CONFIG!$H$5:$H$14,MATCH(D786,CONFIG!$D$5:$D$14,0)),M786))),""))</f>
        <v/>
      </c>
      <c r="Q786" s="16" t="str">
        <f aca="false">IF(OR(O786="",P786=""),"",O786/P786)</f>
        <v/>
      </c>
      <c r="R786" s="16" t="str">
        <f aca="false">IF(Q786="","",Q786*0.0980665)</f>
        <v/>
      </c>
      <c r="S786" s="16" t="str">
        <f aca="false">IF(Q786="","",IFERROR(Q786/(1/(1/INDEX(CONFIG!$I$5:$I$14,MATCH(D786,CONFIG!$D$5:$D$14,0)))),""))</f>
        <v/>
      </c>
      <c r="T786" s="13"/>
      <c r="U786" s="13"/>
      <c r="V786" s="13"/>
      <c r="W786" s="13"/>
      <c r="X786" s="22" t="str">
        <f aca="false">IF(Q786="","",Q786^2)</f>
        <v/>
      </c>
      <c r="Y786" s="22" t="str">
        <f aca="false">IF(AND(C786&lt;&gt;"",C786=CERTIFICADO!$E$4,OR(CERTIFICADO!$E$5="",B786=CERTIFICADO!$E$5)),MAX($Y$4:Y785)+1,"")</f>
        <v/>
      </c>
    </row>
    <row r="787" customFormat="false" ht="15" hidden="false" customHeight="false" outlineLevel="0" collapsed="false">
      <c r="A787" s="11" t="str">
        <f aca="false">IF(C787="","",ROW()-4)</f>
        <v/>
      </c>
      <c r="B787" s="12"/>
      <c r="C787" s="13"/>
      <c r="D787" s="23" t="str">
        <f aca="false">IF(C787="","",IFERROR(INDEX(LOTES!$D$5:$D$1004,MATCH(C787,LOTES!$F$5:$F$1004,0)),"¿Lote?"))</f>
        <v/>
      </c>
      <c r="E787" s="11" t="str">
        <f aca="false">IF(C787="","",IFERROR(INDEX(LOTES!$C$5:$C$1004,MATCH(C787,LOTES!$F$5:$F$1004,0)),""))</f>
        <v/>
      </c>
      <c r="F787" s="24" t="str">
        <f aca="false">IF(C787="","",IFERROR(INDEX(LOTES!$B$5:$B$1004,MATCH(C787,LOTES!$F$5:$F$1004,0)),""))</f>
        <v/>
      </c>
      <c r="G787" s="15" t="str">
        <f aca="false">IF(OR(B787="",F787=""),"",B787-F787)</f>
        <v/>
      </c>
      <c r="H787" s="13"/>
      <c r="I787" s="13"/>
      <c r="J787" s="13"/>
      <c r="K787" s="25"/>
      <c r="L787" s="25"/>
      <c r="M787" s="25"/>
      <c r="N787" s="25"/>
      <c r="O787" s="26"/>
      <c r="P787" s="16" t="str">
        <f aca="false">IF(O787="","",IFERROR(1/(1/(IF(K787="",INDEX(CONFIG!$F$5:$F$14,MATCH(D787,CONFIG!$D$5:$D$14,0)),K787)*IF(M787="",INDEX(CONFIG!$H$5:$H$14,MATCH(D787,CONFIG!$D$5:$D$14,0)),M787))),""))</f>
        <v/>
      </c>
      <c r="Q787" s="16" t="str">
        <f aca="false">IF(OR(O787="",P787=""),"",O787/P787)</f>
        <v/>
      </c>
      <c r="R787" s="16" t="str">
        <f aca="false">IF(Q787="","",Q787*0.0980665)</f>
        <v/>
      </c>
      <c r="S787" s="16" t="str">
        <f aca="false">IF(Q787="","",IFERROR(Q787/(1/(1/INDEX(CONFIG!$I$5:$I$14,MATCH(D787,CONFIG!$D$5:$D$14,0)))),""))</f>
        <v/>
      </c>
      <c r="T787" s="13"/>
      <c r="U787" s="13"/>
      <c r="V787" s="13"/>
      <c r="W787" s="13"/>
      <c r="X787" s="22" t="str">
        <f aca="false">IF(Q787="","",Q787^2)</f>
        <v/>
      </c>
      <c r="Y787" s="22" t="str">
        <f aca="false">IF(AND(C787&lt;&gt;"",C787=CERTIFICADO!$E$4,OR(CERTIFICADO!$E$5="",B787=CERTIFICADO!$E$5)),MAX($Y$4:Y786)+1,"")</f>
        <v/>
      </c>
    </row>
    <row r="788" customFormat="false" ht="15" hidden="false" customHeight="false" outlineLevel="0" collapsed="false">
      <c r="A788" s="11" t="str">
        <f aca="false">IF(C788="","",ROW()-4)</f>
        <v/>
      </c>
      <c r="B788" s="12"/>
      <c r="C788" s="13"/>
      <c r="D788" s="23" t="str">
        <f aca="false">IF(C788="","",IFERROR(INDEX(LOTES!$D$5:$D$1004,MATCH(C788,LOTES!$F$5:$F$1004,0)),"¿Lote?"))</f>
        <v/>
      </c>
      <c r="E788" s="11" t="str">
        <f aca="false">IF(C788="","",IFERROR(INDEX(LOTES!$C$5:$C$1004,MATCH(C788,LOTES!$F$5:$F$1004,0)),""))</f>
        <v/>
      </c>
      <c r="F788" s="24" t="str">
        <f aca="false">IF(C788="","",IFERROR(INDEX(LOTES!$B$5:$B$1004,MATCH(C788,LOTES!$F$5:$F$1004,0)),""))</f>
        <v/>
      </c>
      <c r="G788" s="15" t="str">
        <f aca="false">IF(OR(B788="",F788=""),"",B788-F788)</f>
        <v/>
      </c>
      <c r="H788" s="13"/>
      <c r="I788" s="13"/>
      <c r="J788" s="13"/>
      <c r="K788" s="25"/>
      <c r="L788" s="25"/>
      <c r="M788" s="25"/>
      <c r="N788" s="25"/>
      <c r="O788" s="26"/>
      <c r="P788" s="16" t="str">
        <f aca="false">IF(O788="","",IFERROR(1/(1/(IF(K788="",INDEX(CONFIG!$F$5:$F$14,MATCH(D788,CONFIG!$D$5:$D$14,0)),K788)*IF(M788="",INDEX(CONFIG!$H$5:$H$14,MATCH(D788,CONFIG!$D$5:$D$14,0)),M788))),""))</f>
        <v/>
      </c>
      <c r="Q788" s="16" t="str">
        <f aca="false">IF(OR(O788="",P788=""),"",O788/P788)</f>
        <v/>
      </c>
      <c r="R788" s="16" t="str">
        <f aca="false">IF(Q788="","",Q788*0.0980665)</f>
        <v/>
      </c>
      <c r="S788" s="16" t="str">
        <f aca="false">IF(Q788="","",IFERROR(Q788/(1/(1/INDEX(CONFIG!$I$5:$I$14,MATCH(D788,CONFIG!$D$5:$D$14,0)))),""))</f>
        <v/>
      </c>
      <c r="T788" s="13"/>
      <c r="U788" s="13"/>
      <c r="V788" s="13"/>
      <c r="W788" s="13"/>
      <c r="X788" s="22" t="str">
        <f aca="false">IF(Q788="","",Q788^2)</f>
        <v/>
      </c>
      <c r="Y788" s="22" t="str">
        <f aca="false">IF(AND(C788&lt;&gt;"",C788=CERTIFICADO!$E$4,OR(CERTIFICADO!$E$5="",B788=CERTIFICADO!$E$5)),MAX($Y$4:Y787)+1,"")</f>
        <v/>
      </c>
    </row>
    <row r="789" customFormat="false" ht="15" hidden="false" customHeight="false" outlineLevel="0" collapsed="false">
      <c r="A789" s="11" t="str">
        <f aca="false">IF(C789="","",ROW()-4)</f>
        <v/>
      </c>
      <c r="B789" s="12"/>
      <c r="C789" s="13"/>
      <c r="D789" s="23" t="str">
        <f aca="false">IF(C789="","",IFERROR(INDEX(LOTES!$D$5:$D$1004,MATCH(C789,LOTES!$F$5:$F$1004,0)),"¿Lote?"))</f>
        <v/>
      </c>
      <c r="E789" s="11" t="str">
        <f aca="false">IF(C789="","",IFERROR(INDEX(LOTES!$C$5:$C$1004,MATCH(C789,LOTES!$F$5:$F$1004,0)),""))</f>
        <v/>
      </c>
      <c r="F789" s="24" t="str">
        <f aca="false">IF(C789="","",IFERROR(INDEX(LOTES!$B$5:$B$1004,MATCH(C789,LOTES!$F$5:$F$1004,0)),""))</f>
        <v/>
      </c>
      <c r="G789" s="15" t="str">
        <f aca="false">IF(OR(B789="",F789=""),"",B789-F789)</f>
        <v/>
      </c>
      <c r="H789" s="13"/>
      <c r="I789" s="13"/>
      <c r="J789" s="13"/>
      <c r="K789" s="25"/>
      <c r="L789" s="25"/>
      <c r="M789" s="25"/>
      <c r="N789" s="25"/>
      <c r="O789" s="26"/>
      <c r="P789" s="16" t="str">
        <f aca="false">IF(O789="","",IFERROR(1/(1/(IF(K789="",INDEX(CONFIG!$F$5:$F$14,MATCH(D789,CONFIG!$D$5:$D$14,0)),K789)*IF(M789="",INDEX(CONFIG!$H$5:$H$14,MATCH(D789,CONFIG!$D$5:$D$14,0)),M789))),""))</f>
        <v/>
      </c>
      <c r="Q789" s="16" t="str">
        <f aca="false">IF(OR(O789="",P789=""),"",O789/P789)</f>
        <v/>
      </c>
      <c r="R789" s="16" t="str">
        <f aca="false">IF(Q789="","",Q789*0.0980665)</f>
        <v/>
      </c>
      <c r="S789" s="16" t="str">
        <f aca="false">IF(Q789="","",IFERROR(Q789/(1/(1/INDEX(CONFIG!$I$5:$I$14,MATCH(D789,CONFIG!$D$5:$D$14,0)))),""))</f>
        <v/>
      </c>
      <c r="T789" s="13"/>
      <c r="U789" s="13"/>
      <c r="V789" s="13"/>
      <c r="W789" s="13"/>
      <c r="X789" s="22" t="str">
        <f aca="false">IF(Q789="","",Q789^2)</f>
        <v/>
      </c>
      <c r="Y789" s="22" t="str">
        <f aca="false">IF(AND(C789&lt;&gt;"",C789=CERTIFICADO!$E$4,OR(CERTIFICADO!$E$5="",B789=CERTIFICADO!$E$5)),MAX($Y$4:Y788)+1,"")</f>
        <v/>
      </c>
    </row>
    <row r="790" customFormat="false" ht="15" hidden="false" customHeight="false" outlineLevel="0" collapsed="false">
      <c r="A790" s="11" t="str">
        <f aca="false">IF(C790="","",ROW()-4)</f>
        <v/>
      </c>
      <c r="B790" s="12"/>
      <c r="C790" s="13"/>
      <c r="D790" s="23" t="str">
        <f aca="false">IF(C790="","",IFERROR(INDEX(LOTES!$D$5:$D$1004,MATCH(C790,LOTES!$F$5:$F$1004,0)),"¿Lote?"))</f>
        <v/>
      </c>
      <c r="E790" s="11" t="str">
        <f aca="false">IF(C790="","",IFERROR(INDEX(LOTES!$C$5:$C$1004,MATCH(C790,LOTES!$F$5:$F$1004,0)),""))</f>
        <v/>
      </c>
      <c r="F790" s="24" t="str">
        <f aca="false">IF(C790="","",IFERROR(INDEX(LOTES!$B$5:$B$1004,MATCH(C790,LOTES!$F$5:$F$1004,0)),""))</f>
        <v/>
      </c>
      <c r="G790" s="15" t="str">
        <f aca="false">IF(OR(B790="",F790=""),"",B790-F790)</f>
        <v/>
      </c>
      <c r="H790" s="13"/>
      <c r="I790" s="13"/>
      <c r="J790" s="13"/>
      <c r="K790" s="25"/>
      <c r="L790" s="25"/>
      <c r="M790" s="25"/>
      <c r="N790" s="25"/>
      <c r="O790" s="26"/>
      <c r="P790" s="16" t="str">
        <f aca="false">IF(O790="","",IFERROR(1/(1/(IF(K790="",INDEX(CONFIG!$F$5:$F$14,MATCH(D790,CONFIG!$D$5:$D$14,0)),K790)*IF(M790="",INDEX(CONFIG!$H$5:$H$14,MATCH(D790,CONFIG!$D$5:$D$14,0)),M790))),""))</f>
        <v/>
      </c>
      <c r="Q790" s="16" t="str">
        <f aca="false">IF(OR(O790="",P790=""),"",O790/P790)</f>
        <v/>
      </c>
      <c r="R790" s="16" t="str">
        <f aca="false">IF(Q790="","",Q790*0.0980665)</f>
        <v/>
      </c>
      <c r="S790" s="16" t="str">
        <f aca="false">IF(Q790="","",IFERROR(Q790/(1/(1/INDEX(CONFIG!$I$5:$I$14,MATCH(D790,CONFIG!$D$5:$D$14,0)))),""))</f>
        <v/>
      </c>
      <c r="T790" s="13"/>
      <c r="U790" s="13"/>
      <c r="V790" s="13"/>
      <c r="W790" s="13"/>
      <c r="X790" s="22" t="str">
        <f aca="false">IF(Q790="","",Q790^2)</f>
        <v/>
      </c>
      <c r="Y790" s="22" t="str">
        <f aca="false">IF(AND(C790&lt;&gt;"",C790=CERTIFICADO!$E$4,OR(CERTIFICADO!$E$5="",B790=CERTIFICADO!$E$5)),MAX($Y$4:Y789)+1,"")</f>
        <v/>
      </c>
    </row>
    <row r="791" customFormat="false" ht="15" hidden="false" customHeight="false" outlineLevel="0" collapsed="false">
      <c r="A791" s="11" t="str">
        <f aca="false">IF(C791="","",ROW()-4)</f>
        <v/>
      </c>
      <c r="B791" s="12"/>
      <c r="C791" s="13"/>
      <c r="D791" s="23" t="str">
        <f aca="false">IF(C791="","",IFERROR(INDEX(LOTES!$D$5:$D$1004,MATCH(C791,LOTES!$F$5:$F$1004,0)),"¿Lote?"))</f>
        <v/>
      </c>
      <c r="E791" s="11" t="str">
        <f aca="false">IF(C791="","",IFERROR(INDEX(LOTES!$C$5:$C$1004,MATCH(C791,LOTES!$F$5:$F$1004,0)),""))</f>
        <v/>
      </c>
      <c r="F791" s="24" t="str">
        <f aca="false">IF(C791="","",IFERROR(INDEX(LOTES!$B$5:$B$1004,MATCH(C791,LOTES!$F$5:$F$1004,0)),""))</f>
        <v/>
      </c>
      <c r="G791" s="15" t="str">
        <f aca="false">IF(OR(B791="",F791=""),"",B791-F791)</f>
        <v/>
      </c>
      <c r="H791" s="13"/>
      <c r="I791" s="13"/>
      <c r="J791" s="13"/>
      <c r="K791" s="25"/>
      <c r="L791" s="25"/>
      <c r="M791" s="25"/>
      <c r="N791" s="25"/>
      <c r="O791" s="26"/>
      <c r="P791" s="16" t="str">
        <f aca="false">IF(O791="","",IFERROR(1/(1/(IF(K791="",INDEX(CONFIG!$F$5:$F$14,MATCH(D791,CONFIG!$D$5:$D$14,0)),K791)*IF(M791="",INDEX(CONFIG!$H$5:$H$14,MATCH(D791,CONFIG!$D$5:$D$14,0)),M791))),""))</f>
        <v/>
      </c>
      <c r="Q791" s="16" t="str">
        <f aca="false">IF(OR(O791="",P791=""),"",O791/P791)</f>
        <v/>
      </c>
      <c r="R791" s="16" t="str">
        <f aca="false">IF(Q791="","",Q791*0.0980665)</f>
        <v/>
      </c>
      <c r="S791" s="16" t="str">
        <f aca="false">IF(Q791="","",IFERROR(Q791/(1/(1/INDEX(CONFIG!$I$5:$I$14,MATCH(D791,CONFIG!$D$5:$D$14,0)))),""))</f>
        <v/>
      </c>
      <c r="T791" s="13"/>
      <c r="U791" s="13"/>
      <c r="V791" s="13"/>
      <c r="W791" s="13"/>
      <c r="X791" s="22" t="str">
        <f aca="false">IF(Q791="","",Q791^2)</f>
        <v/>
      </c>
      <c r="Y791" s="22" t="str">
        <f aca="false">IF(AND(C791&lt;&gt;"",C791=CERTIFICADO!$E$4,OR(CERTIFICADO!$E$5="",B791=CERTIFICADO!$E$5)),MAX($Y$4:Y790)+1,"")</f>
        <v/>
      </c>
    </row>
    <row r="792" customFormat="false" ht="15" hidden="false" customHeight="false" outlineLevel="0" collapsed="false">
      <c r="A792" s="11" t="str">
        <f aca="false">IF(C792="","",ROW()-4)</f>
        <v/>
      </c>
      <c r="B792" s="12"/>
      <c r="C792" s="13"/>
      <c r="D792" s="23" t="str">
        <f aca="false">IF(C792="","",IFERROR(INDEX(LOTES!$D$5:$D$1004,MATCH(C792,LOTES!$F$5:$F$1004,0)),"¿Lote?"))</f>
        <v/>
      </c>
      <c r="E792" s="11" t="str">
        <f aca="false">IF(C792="","",IFERROR(INDEX(LOTES!$C$5:$C$1004,MATCH(C792,LOTES!$F$5:$F$1004,0)),""))</f>
        <v/>
      </c>
      <c r="F792" s="24" t="str">
        <f aca="false">IF(C792="","",IFERROR(INDEX(LOTES!$B$5:$B$1004,MATCH(C792,LOTES!$F$5:$F$1004,0)),""))</f>
        <v/>
      </c>
      <c r="G792" s="15" t="str">
        <f aca="false">IF(OR(B792="",F792=""),"",B792-F792)</f>
        <v/>
      </c>
      <c r="H792" s="13"/>
      <c r="I792" s="13"/>
      <c r="J792" s="13"/>
      <c r="K792" s="25"/>
      <c r="L792" s="25"/>
      <c r="M792" s="25"/>
      <c r="N792" s="25"/>
      <c r="O792" s="26"/>
      <c r="P792" s="16" t="str">
        <f aca="false">IF(O792="","",IFERROR(1/(1/(IF(K792="",INDEX(CONFIG!$F$5:$F$14,MATCH(D792,CONFIG!$D$5:$D$14,0)),K792)*IF(M792="",INDEX(CONFIG!$H$5:$H$14,MATCH(D792,CONFIG!$D$5:$D$14,0)),M792))),""))</f>
        <v/>
      </c>
      <c r="Q792" s="16" t="str">
        <f aca="false">IF(OR(O792="",P792=""),"",O792/P792)</f>
        <v/>
      </c>
      <c r="R792" s="16" t="str">
        <f aca="false">IF(Q792="","",Q792*0.0980665)</f>
        <v/>
      </c>
      <c r="S792" s="16" t="str">
        <f aca="false">IF(Q792="","",IFERROR(Q792/(1/(1/INDEX(CONFIG!$I$5:$I$14,MATCH(D792,CONFIG!$D$5:$D$14,0)))),""))</f>
        <v/>
      </c>
      <c r="T792" s="13"/>
      <c r="U792" s="13"/>
      <c r="V792" s="13"/>
      <c r="W792" s="13"/>
      <c r="X792" s="22" t="str">
        <f aca="false">IF(Q792="","",Q792^2)</f>
        <v/>
      </c>
      <c r="Y792" s="22" t="str">
        <f aca="false">IF(AND(C792&lt;&gt;"",C792=CERTIFICADO!$E$4,OR(CERTIFICADO!$E$5="",B792=CERTIFICADO!$E$5)),MAX($Y$4:Y791)+1,"")</f>
        <v/>
      </c>
    </row>
    <row r="793" customFormat="false" ht="15" hidden="false" customHeight="false" outlineLevel="0" collapsed="false">
      <c r="A793" s="11" t="str">
        <f aca="false">IF(C793="","",ROW()-4)</f>
        <v/>
      </c>
      <c r="B793" s="12"/>
      <c r="C793" s="13"/>
      <c r="D793" s="23" t="str">
        <f aca="false">IF(C793="","",IFERROR(INDEX(LOTES!$D$5:$D$1004,MATCH(C793,LOTES!$F$5:$F$1004,0)),"¿Lote?"))</f>
        <v/>
      </c>
      <c r="E793" s="11" t="str">
        <f aca="false">IF(C793="","",IFERROR(INDEX(LOTES!$C$5:$C$1004,MATCH(C793,LOTES!$F$5:$F$1004,0)),""))</f>
        <v/>
      </c>
      <c r="F793" s="24" t="str">
        <f aca="false">IF(C793="","",IFERROR(INDEX(LOTES!$B$5:$B$1004,MATCH(C793,LOTES!$F$5:$F$1004,0)),""))</f>
        <v/>
      </c>
      <c r="G793" s="15" t="str">
        <f aca="false">IF(OR(B793="",F793=""),"",B793-F793)</f>
        <v/>
      </c>
      <c r="H793" s="13"/>
      <c r="I793" s="13"/>
      <c r="J793" s="13"/>
      <c r="K793" s="25"/>
      <c r="L793" s="25"/>
      <c r="M793" s="25"/>
      <c r="N793" s="25"/>
      <c r="O793" s="26"/>
      <c r="P793" s="16" t="str">
        <f aca="false">IF(O793="","",IFERROR(1/(1/(IF(K793="",INDEX(CONFIG!$F$5:$F$14,MATCH(D793,CONFIG!$D$5:$D$14,0)),K793)*IF(M793="",INDEX(CONFIG!$H$5:$H$14,MATCH(D793,CONFIG!$D$5:$D$14,0)),M793))),""))</f>
        <v/>
      </c>
      <c r="Q793" s="16" t="str">
        <f aca="false">IF(OR(O793="",P793=""),"",O793/P793)</f>
        <v/>
      </c>
      <c r="R793" s="16" t="str">
        <f aca="false">IF(Q793="","",Q793*0.0980665)</f>
        <v/>
      </c>
      <c r="S793" s="16" t="str">
        <f aca="false">IF(Q793="","",IFERROR(Q793/(1/(1/INDEX(CONFIG!$I$5:$I$14,MATCH(D793,CONFIG!$D$5:$D$14,0)))),""))</f>
        <v/>
      </c>
      <c r="T793" s="13"/>
      <c r="U793" s="13"/>
      <c r="V793" s="13"/>
      <c r="W793" s="13"/>
      <c r="X793" s="22" t="str">
        <f aca="false">IF(Q793="","",Q793^2)</f>
        <v/>
      </c>
      <c r="Y793" s="22" t="str">
        <f aca="false">IF(AND(C793&lt;&gt;"",C793=CERTIFICADO!$E$4,OR(CERTIFICADO!$E$5="",B793=CERTIFICADO!$E$5)),MAX($Y$4:Y792)+1,"")</f>
        <v/>
      </c>
    </row>
    <row r="794" customFormat="false" ht="15" hidden="false" customHeight="false" outlineLevel="0" collapsed="false">
      <c r="A794" s="11" t="str">
        <f aca="false">IF(C794="","",ROW()-4)</f>
        <v/>
      </c>
      <c r="B794" s="12"/>
      <c r="C794" s="13"/>
      <c r="D794" s="23" t="str">
        <f aca="false">IF(C794="","",IFERROR(INDEX(LOTES!$D$5:$D$1004,MATCH(C794,LOTES!$F$5:$F$1004,0)),"¿Lote?"))</f>
        <v/>
      </c>
      <c r="E794" s="11" t="str">
        <f aca="false">IF(C794="","",IFERROR(INDEX(LOTES!$C$5:$C$1004,MATCH(C794,LOTES!$F$5:$F$1004,0)),""))</f>
        <v/>
      </c>
      <c r="F794" s="24" t="str">
        <f aca="false">IF(C794="","",IFERROR(INDEX(LOTES!$B$5:$B$1004,MATCH(C794,LOTES!$F$5:$F$1004,0)),""))</f>
        <v/>
      </c>
      <c r="G794" s="15" t="str">
        <f aca="false">IF(OR(B794="",F794=""),"",B794-F794)</f>
        <v/>
      </c>
      <c r="H794" s="13"/>
      <c r="I794" s="13"/>
      <c r="J794" s="13"/>
      <c r="K794" s="25"/>
      <c r="L794" s="25"/>
      <c r="M794" s="25"/>
      <c r="N794" s="25"/>
      <c r="O794" s="26"/>
      <c r="P794" s="16" t="str">
        <f aca="false">IF(O794="","",IFERROR(1/(1/(IF(K794="",INDEX(CONFIG!$F$5:$F$14,MATCH(D794,CONFIG!$D$5:$D$14,0)),K794)*IF(M794="",INDEX(CONFIG!$H$5:$H$14,MATCH(D794,CONFIG!$D$5:$D$14,0)),M794))),""))</f>
        <v/>
      </c>
      <c r="Q794" s="16" t="str">
        <f aca="false">IF(OR(O794="",P794=""),"",O794/P794)</f>
        <v/>
      </c>
      <c r="R794" s="16" t="str">
        <f aca="false">IF(Q794="","",Q794*0.0980665)</f>
        <v/>
      </c>
      <c r="S794" s="16" t="str">
        <f aca="false">IF(Q794="","",IFERROR(Q794/(1/(1/INDEX(CONFIG!$I$5:$I$14,MATCH(D794,CONFIG!$D$5:$D$14,0)))),""))</f>
        <v/>
      </c>
      <c r="T794" s="13"/>
      <c r="U794" s="13"/>
      <c r="V794" s="13"/>
      <c r="W794" s="13"/>
      <c r="X794" s="22" t="str">
        <f aca="false">IF(Q794="","",Q794^2)</f>
        <v/>
      </c>
      <c r="Y794" s="22" t="str">
        <f aca="false">IF(AND(C794&lt;&gt;"",C794=CERTIFICADO!$E$4,OR(CERTIFICADO!$E$5="",B794=CERTIFICADO!$E$5)),MAX($Y$4:Y793)+1,"")</f>
        <v/>
      </c>
    </row>
    <row r="795" customFormat="false" ht="15" hidden="false" customHeight="false" outlineLevel="0" collapsed="false">
      <c r="A795" s="11" t="str">
        <f aca="false">IF(C795="","",ROW()-4)</f>
        <v/>
      </c>
      <c r="B795" s="12"/>
      <c r="C795" s="13"/>
      <c r="D795" s="23" t="str">
        <f aca="false">IF(C795="","",IFERROR(INDEX(LOTES!$D$5:$D$1004,MATCH(C795,LOTES!$F$5:$F$1004,0)),"¿Lote?"))</f>
        <v/>
      </c>
      <c r="E795" s="11" t="str">
        <f aca="false">IF(C795="","",IFERROR(INDEX(LOTES!$C$5:$C$1004,MATCH(C795,LOTES!$F$5:$F$1004,0)),""))</f>
        <v/>
      </c>
      <c r="F795" s="24" t="str">
        <f aca="false">IF(C795="","",IFERROR(INDEX(LOTES!$B$5:$B$1004,MATCH(C795,LOTES!$F$5:$F$1004,0)),""))</f>
        <v/>
      </c>
      <c r="G795" s="15" t="str">
        <f aca="false">IF(OR(B795="",F795=""),"",B795-F795)</f>
        <v/>
      </c>
      <c r="H795" s="13"/>
      <c r="I795" s="13"/>
      <c r="J795" s="13"/>
      <c r="K795" s="25"/>
      <c r="L795" s="25"/>
      <c r="M795" s="25"/>
      <c r="N795" s="25"/>
      <c r="O795" s="26"/>
      <c r="P795" s="16" t="str">
        <f aca="false">IF(O795="","",IFERROR(1/(1/(IF(K795="",INDEX(CONFIG!$F$5:$F$14,MATCH(D795,CONFIG!$D$5:$D$14,0)),K795)*IF(M795="",INDEX(CONFIG!$H$5:$H$14,MATCH(D795,CONFIG!$D$5:$D$14,0)),M795))),""))</f>
        <v/>
      </c>
      <c r="Q795" s="16" t="str">
        <f aca="false">IF(OR(O795="",P795=""),"",O795/P795)</f>
        <v/>
      </c>
      <c r="R795" s="16" t="str">
        <f aca="false">IF(Q795="","",Q795*0.0980665)</f>
        <v/>
      </c>
      <c r="S795" s="16" t="str">
        <f aca="false">IF(Q795="","",IFERROR(Q795/(1/(1/INDEX(CONFIG!$I$5:$I$14,MATCH(D795,CONFIG!$D$5:$D$14,0)))),""))</f>
        <v/>
      </c>
      <c r="T795" s="13"/>
      <c r="U795" s="13"/>
      <c r="V795" s="13"/>
      <c r="W795" s="13"/>
      <c r="X795" s="22" t="str">
        <f aca="false">IF(Q795="","",Q795^2)</f>
        <v/>
      </c>
      <c r="Y795" s="22" t="str">
        <f aca="false">IF(AND(C795&lt;&gt;"",C795=CERTIFICADO!$E$4,OR(CERTIFICADO!$E$5="",B795=CERTIFICADO!$E$5)),MAX($Y$4:Y794)+1,"")</f>
        <v/>
      </c>
    </row>
    <row r="796" customFormat="false" ht="15" hidden="false" customHeight="false" outlineLevel="0" collapsed="false">
      <c r="A796" s="11" t="str">
        <f aca="false">IF(C796="","",ROW()-4)</f>
        <v/>
      </c>
      <c r="B796" s="12"/>
      <c r="C796" s="13"/>
      <c r="D796" s="23" t="str">
        <f aca="false">IF(C796="","",IFERROR(INDEX(LOTES!$D$5:$D$1004,MATCH(C796,LOTES!$F$5:$F$1004,0)),"¿Lote?"))</f>
        <v/>
      </c>
      <c r="E796" s="11" t="str">
        <f aca="false">IF(C796="","",IFERROR(INDEX(LOTES!$C$5:$C$1004,MATCH(C796,LOTES!$F$5:$F$1004,0)),""))</f>
        <v/>
      </c>
      <c r="F796" s="24" t="str">
        <f aca="false">IF(C796="","",IFERROR(INDEX(LOTES!$B$5:$B$1004,MATCH(C796,LOTES!$F$5:$F$1004,0)),""))</f>
        <v/>
      </c>
      <c r="G796" s="15" t="str">
        <f aca="false">IF(OR(B796="",F796=""),"",B796-F796)</f>
        <v/>
      </c>
      <c r="H796" s="13"/>
      <c r="I796" s="13"/>
      <c r="J796" s="13"/>
      <c r="K796" s="25"/>
      <c r="L796" s="25"/>
      <c r="M796" s="25"/>
      <c r="N796" s="25"/>
      <c r="O796" s="26"/>
      <c r="P796" s="16" t="str">
        <f aca="false">IF(O796="","",IFERROR(1/(1/(IF(K796="",INDEX(CONFIG!$F$5:$F$14,MATCH(D796,CONFIG!$D$5:$D$14,0)),K796)*IF(M796="",INDEX(CONFIG!$H$5:$H$14,MATCH(D796,CONFIG!$D$5:$D$14,0)),M796))),""))</f>
        <v/>
      </c>
      <c r="Q796" s="16" t="str">
        <f aca="false">IF(OR(O796="",P796=""),"",O796/P796)</f>
        <v/>
      </c>
      <c r="R796" s="16" t="str">
        <f aca="false">IF(Q796="","",Q796*0.0980665)</f>
        <v/>
      </c>
      <c r="S796" s="16" t="str">
        <f aca="false">IF(Q796="","",IFERROR(Q796/(1/(1/INDEX(CONFIG!$I$5:$I$14,MATCH(D796,CONFIG!$D$5:$D$14,0)))),""))</f>
        <v/>
      </c>
      <c r="T796" s="13"/>
      <c r="U796" s="13"/>
      <c r="V796" s="13"/>
      <c r="W796" s="13"/>
      <c r="X796" s="22" t="str">
        <f aca="false">IF(Q796="","",Q796^2)</f>
        <v/>
      </c>
      <c r="Y796" s="22" t="str">
        <f aca="false">IF(AND(C796&lt;&gt;"",C796=CERTIFICADO!$E$4,OR(CERTIFICADO!$E$5="",B796=CERTIFICADO!$E$5)),MAX($Y$4:Y795)+1,"")</f>
        <v/>
      </c>
    </row>
    <row r="797" customFormat="false" ht="15" hidden="false" customHeight="false" outlineLevel="0" collapsed="false">
      <c r="A797" s="11" t="str">
        <f aca="false">IF(C797="","",ROW()-4)</f>
        <v/>
      </c>
      <c r="B797" s="12"/>
      <c r="C797" s="13"/>
      <c r="D797" s="23" t="str">
        <f aca="false">IF(C797="","",IFERROR(INDEX(LOTES!$D$5:$D$1004,MATCH(C797,LOTES!$F$5:$F$1004,0)),"¿Lote?"))</f>
        <v/>
      </c>
      <c r="E797" s="11" t="str">
        <f aca="false">IF(C797="","",IFERROR(INDEX(LOTES!$C$5:$C$1004,MATCH(C797,LOTES!$F$5:$F$1004,0)),""))</f>
        <v/>
      </c>
      <c r="F797" s="24" t="str">
        <f aca="false">IF(C797="","",IFERROR(INDEX(LOTES!$B$5:$B$1004,MATCH(C797,LOTES!$F$5:$F$1004,0)),""))</f>
        <v/>
      </c>
      <c r="G797" s="15" t="str">
        <f aca="false">IF(OR(B797="",F797=""),"",B797-F797)</f>
        <v/>
      </c>
      <c r="H797" s="13"/>
      <c r="I797" s="13"/>
      <c r="J797" s="13"/>
      <c r="K797" s="25"/>
      <c r="L797" s="25"/>
      <c r="M797" s="25"/>
      <c r="N797" s="25"/>
      <c r="O797" s="26"/>
      <c r="P797" s="16" t="str">
        <f aca="false">IF(O797="","",IFERROR(1/(1/(IF(K797="",INDEX(CONFIG!$F$5:$F$14,MATCH(D797,CONFIG!$D$5:$D$14,0)),K797)*IF(M797="",INDEX(CONFIG!$H$5:$H$14,MATCH(D797,CONFIG!$D$5:$D$14,0)),M797))),""))</f>
        <v/>
      </c>
      <c r="Q797" s="16" t="str">
        <f aca="false">IF(OR(O797="",P797=""),"",O797/P797)</f>
        <v/>
      </c>
      <c r="R797" s="16" t="str">
        <f aca="false">IF(Q797="","",Q797*0.0980665)</f>
        <v/>
      </c>
      <c r="S797" s="16" t="str">
        <f aca="false">IF(Q797="","",IFERROR(Q797/(1/(1/INDEX(CONFIG!$I$5:$I$14,MATCH(D797,CONFIG!$D$5:$D$14,0)))),""))</f>
        <v/>
      </c>
      <c r="T797" s="13"/>
      <c r="U797" s="13"/>
      <c r="V797" s="13"/>
      <c r="W797" s="13"/>
      <c r="X797" s="22" t="str">
        <f aca="false">IF(Q797="","",Q797^2)</f>
        <v/>
      </c>
      <c r="Y797" s="22" t="str">
        <f aca="false">IF(AND(C797&lt;&gt;"",C797=CERTIFICADO!$E$4,OR(CERTIFICADO!$E$5="",B797=CERTIFICADO!$E$5)),MAX($Y$4:Y796)+1,"")</f>
        <v/>
      </c>
    </row>
    <row r="798" customFormat="false" ht="15" hidden="false" customHeight="false" outlineLevel="0" collapsed="false">
      <c r="A798" s="11" t="str">
        <f aca="false">IF(C798="","",ROW()-4)</f>
        <v/>
      </c>
      <c r="B798" s="12"/>
      <c r="C798" s="13"/>
      <c r="D798" s="23" t="str">
        <f aca="false">IF(C798="","",IFERROR(INDEX(LOTES!$D$5:$D$1004,MATCH(C798,LOTES!$F$5:$F$1004,0)),"¿Lote?"))</f>
        <v/>
      </c>
      <c r="E798" s="11" t="str">
        <f aca="false">IF(C798="","",IFERROR(INDEX(LOTES!$C$5:$C$1004,MATCH(C798,LOTES!$F$5:$F$1004,0)),""))</f>
        <v/>
      </c>
      <c r="F798" s="24" t="str">
        <f aca="false">IF(C798="","",IFERROR(INDEX(LOTES!$B$5:$B$1004,MATCH(C798,LOTES!$F$5:$F$1004,0)),""))</f>
        <v/>
      </c>
      <c r="G798" s="15" t="str">
        <f aca="false">IF(OR(B798="",F798=""),"",B798-F798)</f>
        <v/>
      </c>
      <c r="H798" s="13"/>
      <c r="I798" s="13"/>
      <c r="J798" s="13"/>
      <c r="K798" s="25"/>
      <c r="L798" s="25"/>
      <c r="M798" s="25"/>
      <c r="N798" s="25"/>
      <c r="O798" s="26"/>
      <c r="P798" s="16" t="str">
        <f aca="false">IF(O798="","",IFERROR(1/(1/(IF(K798="",INDEX(CONFIG!$F$5:$F$14,MATCH(D798,CONFIG!$D$5:$D$14,0)),K798)*IF(M798="",INDEX(CONFIG!$H$5:$H$14,MATCH(D798,CONFIG!$D$5:$D$14,0)),M798))),""))</f>
        <v/>
      </c>
      <c r="Q798" s="16" t="str">
        <f aca="false">IF(OR(O798="",P798=""),"",O798/P798)</f>
        <v/>
      </c>
      <c r="R798" s="16" t="str">
        <f aca="false">IF(Q798="","",Q798*0.0980665)</f>
        <v/>
      </c>
      <c r="S798" s="16" t="str">
        <f aca="false">IF(Q798="","",IFERROR(Q798/(1/(1/INDEX(CONFIG!$I$5:$I$14,MATCH(D798,CONFIG!$D$5:$D$14,0)))),""))</f>
        <v/>
      </c>
      <c r="T798" s="13"/>
      <c r="U798" s="13"/>
      <c r="V798" s="13"/>
      <c r="W798" s="13"/>
      <c r="X798" s="22" t="str">
        <f aca="false">IF(Q798="","",Q798^2)</f>
        <v/>
      </c>
      <c r="Y798" s="22" t="str">
        <f aca="false">IF(AND(C798&lt;&gt;"",C798=CERTIFICADO!$E$4,OR(CERTIFICADO!$E$5="",B798=CERTIFICADO!$E$5)),MAX($Y$4:Y797)+1,"")</f>
        <v/>
      </c>
    </row>
    <row r="799" customFormat="false" ht="15" hidden="false" customHeight="false" outlineLevel="0" collapsed="false">
      <c r="A799" s="11" t="str">
        <f aca="false">IF(C799="","",ROW()-4)</f>
        <v/>
      </c>
      <c r="B799" s="12"/>
      <c r="C799" s="13"/>
      <c r="D799" s="23" t="str">
        <f aca="false">IF(C799="","",IFERROR(INDEX(LOTES!$D$5:$D$1004,MATCH(C799,LOTES!$F$5:$F$1004,0)),"¿Lote?"))</f>
        <v/>
      </c>
      <c r="E799" s="11" t="str">
        <f aca="false">IF(C799="","",IFERROR(INDEX(LOTES!$C$5:$C$1004,MATCH(C799,LOTES!$F$5:$F$1004,0)),""))</f>
        <v/>
      </c>
      <c r="F799" s="24" t="str">
        <f aca="false">IF(C799="","",IFERROR(INDEX(LOTES!$B$5:$B$1004,MATCH(C799,LOTES!$F$5:$F$1004,0)),""))</f>
        <v/>
      </c>
      <c r="G799" s="15" t="str">
        <f aca="false">IF(OR(B799="",F799=""),"",B799-F799)</f>
        <v/>
      </c>
      <c r="H799" s="13"/>
      <c r="I799" s="13"/>
      <c r="J799" s="13"/>
      <c r="K799" s="25"/>
      <c r="L799" s="25"/>
      <c r="M799" s="25"/>
      <c r="N799" s="25"/>
      <c r="O799" s="26"/>
      <c r="P799" s="16" t="str">
        <f aca="false">IF(O799="","",IFERROR(1/(1/(IF(K799="",INDEX(CONFIG!$F$5:$F$14,MATCH(D799,CONFIG!$D$5:$D$14,0)),K799)*IF(M799="",INDEX(CONFIG!$H$5:$H$14,MATCH(D799,CONFIG!$D$5:$D$14,0)),M799))),""))</f>
        <v/>
      </c>
      <c r="Q799" s="16" t="str">
        <f aca="false">IF(OR(O799="",P799=""),"",O799/P799)</f>
        <v/>
      </c>
      <c r="R799" s="16" t="str">
        <f aca="false">IF(Q799="","",Q799*0.0980665)</f>
        <v/>
      </c>
      <c r="S799" s="16" t="str">
        <f aca="false">IF(Q799="","",IFERROR(Q799/(1/(1/INDEX(CONFIG!$I$5:$I$14,MATCH(D799,CONFIG!$D$5:$D$14,0)))),""))</f>
        <v/>
      </c>
      <c r="T799" s="13"/>
      <c r="U799" s="13"/>
      <c r="V799" s="13"/>
      <c r="W799" s="13"/>
      <c r="X799" s="22" t="str">
        <f aca="false">IF(Q799="","",Q799^2)</f>
        <v/>
      </c>
      <c r="Y799" s="22" t="str">
        <f aca="false">IF(AND(C799&lt;&gt;"",C799=CERTIFICADO!$E$4,OR(CERTIFICADO!$E$5="",B799=CERTIFICADO!$E$5)),MAX($Y$4:Y798)+1,"")</f>
        <v/>
      </c>
    </row>
    <row r="800" customFormat="false" ht="15" hidden="false" customHeight="false" outlineLevel="0" collapsed="false">
      <c r="A800" s="11" t="str">
        <f aca="false">IF(C800="","",ROW()-4)</f>
        <v/>
      </c>
      <c r="B800" s="12"/>
      <c r="C800" s="13"/>
      <c r="D800" s="23" t="str">
        <f aca="false">IF(C800="","",IFERROR(INDEX(LOTES!$D$5:$D$1004,MATCH(C800,LOTES!$F$5:$F$1004,0)),"¿Lote?"))</f>
        <v/>
      </c>
      <c r="E800" s="11" t="str">
        <f aca="false">IF(C800="","",IFERROR(INDEX(LOTES!$C$5:$C$1004,MATCH(C800,LOTES!$F$5:$F$1004,0)),""))</f>
        <v/>
      </c>
      <c r="F800" s="24" t="str">
        <f aca="false">IF(C800="","",IFERROR(INDEX(LOTES!$B$5:$B$1004,MATCH(C800,LOTES!$F$5:$F$1004,0)),""))</f>
        <v/>
      </c>
      <c r="G800" s="15" t="str">
        <f aca="false">IF(OR(B800="",F800=""),"",B800-F800)</f>
        <v/>
      </c>
      <c r="H800" s="13"/>
      <c r="I800" s="13"/>
      <c r="J800" s="13"/>
      <c r="K800" s="25"/>
      <c r="L800" s="25"/>
      <c r="M800" s="25"/>
      <c r="N800" s="25"/>
      <c r="O800" s="26"/>
      <c r="P800" s="16" t="str">
        <f aca="false">IF(O800="","",IFERROR(1/(1/(IF(K800="",INDEX(CONFIG!$F$5:$F$14,MATCH(D800,CONFIG!$D$5:$D$14,0)),K800)*IF(M800="",INDEX(CONFIG!$H$5:$H$14,MATCH(D800,CONFIG!$D$5:$D$14,0)),M800))),""))</f>
        <v/>
      </c>
      <c r="Q800" s="16" t="str">
        <f aca="false">IF(OR(O800="",P800=""),"",O800/P800)</f>
        <v/>
      </c>
      <c r="R800" s="16" t="str">
        <f aca="false">IF(Q800="","",Q800*0.0980665)</f>
        <v/>
      </c>
      <c r="S800" s="16" t="str">
        <f aca="false">IF(Q800="","",IFERROR(Q800/(1/(1/INDEX(CONFIG!$I$5:$I$14,MATCH(D800,CONFIG!$D$5:$D$14,0)))),""))</f>
        <v/>
      </c>
      <c r="T800" s="13"/>
      <c r="U800" s="13"/>
      <c r="V800" s="13"/>
      <c r="W800" s="13"/>
      <c r="X800" s="22" t="str">
        <f aca="false">IF(Q800="","",Q800^2)</f>
        <v/>
      </c>
      <c r="Y800" s="22" t="str">
        <f aca="false">IF(AND(C800&lt;&gt;"",C800=CERTIFICADO!$E$4,OR(CERTIFICADO!$E$5="",B800=CERTIFICADO!$E$5)),MAX($Y$4:Y799)+1,"")</f>
        <v/>
      </c>
    </row>
    <row r="801" customFormat="false" ht="15" hidden="false" customHeight="false" outlineLevel="0" collapsed="false">
      <c r="A801" s="11" t="str">
        <f aca="false">IF(C801="","",ROW()-4)</f>
        <v/>
      </c>
      <c r="B801" s="12"/>
      <c r="C801" s="13"/>
      <c r="D801" s="23" t="str">
        <f aca="false">IF(C801="","",IFERROR(INDEX(LOTES!$D$5:$D$1004,MATCH(C801,LOTES!$F$5:$F$1004,0)),"¿Lote?"))</f>
        <v/>
      </c>
      <c r="E801" s="11" t="str">
        <f aca="false">IF(C801="","",IFERROR(INDEX(LOTES!$C$5:$C$1004,MATCH(C801,LOTES!$F$5:$F$1004,0)),""))</f>
        <v/>
      </c>
      <c r="F801" s="24" t="str">
        <f aca="false">IF(C801="","",IFERROR(INDEX(LOTES!$B$5:$B$1004,MATCH(C801,LOTES!$F$5:$F$1004,0)),""))</f>
        <v/>
      </c>
      <c r="G801" s="15" t="str">
        <f aca="false">IF(OR(B801="",F801=""),"",B801-F801)</f>
        <v/>
      </c>
      <c r="H801" s="13"/>
      <c r="I801" s="13"/>
      <c r="J801" s="13"/>
      <c r="K801" s="25"/>
      <c r="L801" s="25"/>
      <c r="M801" s="25"/>
      <c r="N801" s="25"/>
      <c r="O801" s="26"/>
      <c r="P801" s="16" t="str">
        <f aca="false">IF(O801="","",IFERROR(1/(1/(IF(K801="",INDEX(CONFIG!$F$5:$F$14,MATCH(D801,CONFIG!$D$5:$D$14,0)),K801)*IF(M801="",INDEX(CONFIG!$H$5:$H$14,MATCH(D801,CONFIG!$D$5:$D$14,0)),M801))),""))</f>
        <v/>
      </c>
      <c r="Q801" s="16" t="str">
        <f aca="false">IF(OR(O801="",P801=""),"",O801/P801)</f>
        <v/>
      </c>
      <c r="R801" s="16" t="str">
        <f aca="false">IF(Q801="","",Q801*0.0980665)</f>
        <v/>
      </c>
      <c r="S801" s="16" t="str">
        <f aca="false">IF(Q801="","",IFERROR(Q801/(1/(1/INDEX(CONFIG!$I$5:$I$14,MATCH(D801,CONFIG!$D$5:$D$14,0)))),""))</f>
        <v/>
      </c>
      <c r="T801" s="13"/>
      <c r="U801" s="13"/>
      <c r="V801" s="13"/>
      <c r="W801" s="13"/>
      <c r="X801" s="22" t="str">
        <f aca="false">IF(Q801="","",Q801^2)</f>
        <v/>
      </c>
      <c r="Y801" s="22" t="str">
        <f aca="false">IF(AND(C801&lt;&gt;"",C801=CERTIFICADO!$E$4,OR(CERTIFICADO!$E$5="",B801=CERTIFICADO!$E$5)),MAX($Y$4:Y800)+1,"")</f>
        <v/>
      </c>
    </row>
    <row r="802" customFormat="false" ht="15" hidden="false" customHeight="false" outlineLevel="0" collapsed="false">
      <c r="A802" s="11" t="str">
        <f aca="false">IF(C802="","",ROW()-4)</f>
        <v/>
      </c>
      <c r="B802" s="12"/>
      <c r="C802" s="13"/>
      <c r="D802" s="23" t="str">
        <f aca="false">IF(C802="","",IFERROR(INDEX(LOTES!$D$5:$D$1004,MATCH(C802,LOTES!$F$5:$F$1004,0)),"¿Lote?"))</f>
        <v/>
      </c>
      <c r="E802" s="11" t="str">
        <f aca="false">IF(C802="","",IFERROR(INDEX(LOTES!$C$5:$C$1004,MATCH(C802,LOTES!$F$5:$F$1004,0)),""))</f>
        <v/>
      </c>
      <c r="F802" s="24" t="str">
        <f aca="false">IF(C802="","",IFERROR(INDEX(LOTES!$B$5:$B$1004,MATCH(C802,LOTES!$F$5:$F$1004,0)),""))</f>
        <v/>
      </c>
      <c r="G802" s="15" t="str">
        <f aca="false">IF(OR(B802="",F802=""),"",B802-F802)</f>
        <v/>
      </c>
      <c r="H802" s="13"/>
      <c r="I802" s="13"/>
      <c r="J802" s="13"/>
      <c r="K802" s="25"/>
      <c r="L802" s="25"/>
      <c r="M802" s="25"/>
      <c r="N802" s="25"/>
      <c r="O802" s="26"/>
      <c r="P802" s="16" t="str">
        <f aca="false">IF(O802="","",IFERROR(1/(1/(IF(K802="",INDEX(CONFIG!$F$5:$F$14,MATCH(D802,CONFIG!$D$5:$D$14,0)),K802)*IF(M802="",INDEX(CONFIG!$H$5:$H$14,MATCH(D802,CONFIG!$D$5:$D$14,0)),M802))),""))</f>
        <v/>
      </c>
      <c r="Q802" s="16" t="str">
        <f aca="false">IF(OR(O802="",P802=""),"",O802/P802)</f>
        <v/>
      </c>
      <c r="R802" s="16" t="str">
        <f aca="false">IF(Q802="","",Q802*0.0980665)</f>
        <v/>
      </c>
      <c r="S802" s="16" t="str">
        <f aca="false">IF(Q802="","",IFERROR(Q802/(1/(1/INDEX(CONFIG!$I$5:$I$14,MATCH(D802,CONFIG!$D$5:$D$14,0)))),""))</f>
        <v/>
      </c>
      <c r="T802" s="13"/>
      <c r="U802" s="13"/>
      <c r="V802" s="13"/>
      <c r="W802" s="13"/>
      <c r="X802" s="22" t="str">
        <f aca="false">IF(Q802="","",Q802^2)</f>
        <v/>
      </c>
      <c r="Y802" s="22" t="str">
        <f aca="false">IF(AND(C802&lt;&gt;"",C802=CERTIFICADO!$E$4,OR(CERTIFICADO!$E$5="",B802=CERTIFICADO!$E$5)),MAX($Y$4:Y801)+1,"")</f>
        <v/>
      </c>
    </row>
    <row r="803" customFormat="false" ht="15" hidden="false" customHeight="false" outlineLevel="0" collapsed="false">
      <c r="A803" s="11" t="str">
        <f aca="false">IF(C803="","",ROW()-4)</f>
        <v/>
      </c>
      <c r="B803" s="12"/>
      <c r="C803" s="13"/>
      <c r="D803" s="23" t="str">
        <f aca="false">IF(C803="","",IFERROR(INDEX(LOTES!$D$5:$D$1004,MATCH(C803,LOTES!$F$5:$F$1004,0)),"¿Lote?"))</f>
        <v/>
      </c>
      <c r="E803" s="11" t="str">
        <f aca="false">IF(C803="","",IFERROR(INDEX(LOTES!$C$5:$C$1004,MATCH(C803,LOTES!$F$5:$F$1004,0)),""))</f>
        <v/>
      </c>
      <c r="F803" s="24" t="str">
        <f aca="false">IF(C803="","",IFERROR(INDEX(LOTES!$B$5:$B$1004,MATCH(C803,LOTES!$F$5:$F$1004,0)),""))</f>
        <v/>
      </c>
      <c r="G803" s="15" t="str">
        <f aca="false">IF(OR(B803="",F803=""),"",B803-F803)</f>
        <v/>
      </c>
      <c r="H803" s="13"/>
      <c r="I803" s="13"/>
      <c r="J803" s="13"/>
      <c r="K803" s="25"/>
      <c r="L803" s="25"/>
      <c r="M803" s="25"/>
      <c r="N803" s="25"/>
      <c r="O803" s="26"/>
      <c r="P803" s="16" t="str">
        <f aca="false">IF(O803="","",IFERROR(1/(1/(IF(K803="",INDEX(CONFIG!$F$5:$F$14,MATCH(D803,CONFIG!$D$5:$D$14,0)),K803)*IF(M803="",INDEX(CONFIG!$H$5:$H$14,MATCH(D803,CONFIG!$D$5:$D$14,0)),M803))),""))</f>
        <v/>
      </c>
      <c r="Q803" s="16" t="str">
        <f aca="false">IF(OR(O803="",P803=""),"",O803/P803)</f>
        <v/>
      </c>
      <c r="R803" s="16" t="str">
        <f aca="false">IF(Q803="","",Q803*0.0980665)</f>
        <v/>
      </c>
      <c r="S803" s="16" t="str">
        <f aca="false">IF(Q803="","",IFERROR(Q803/(1/(1/INDEX(CONFIG!$I$5:$I$14,MATCH(D803,CONFIG!$D$5:$D$14,0)))),""))</f>
        <v/>
      </c>
      <c r="T803" s="13"/>
      <c r="U803" s="13"/>
      <c r="V803" s="13"/>
      <c r="W803" s="13"/>
      <c r="X803" s="22" t="str">
        <f aca="false">IF(Q803="","",Q803^2)</f>
        <v/>
      </c>
      <c r="Y803" s="22" t="str">
        <f aca="false">IF(AND(C803&lt;&gt;"",C803=CERTIFICADO!$E$4,OR(CERTIFICADO!$E$5="",B803=CERTIFICADO!$E$5)),MAX($Y$4:Y802)+1,"")</f>
        <v/>
      </c>
    </row>
    <row r="804" customFormat="false" ht="15" hidden="false" customHeight="false" outlineLevel="0" collapsed="false">
      <c r="A804" s="11" t="str">
        <f aca="false">IF(C804="","",ROW()-4)</f>
        <v/>
      </c>
      <c r="B804" s="12"/>
      <c r="C804" s="13"/>
      <c r="D804" s="23" t="str">
        <f aca="false">IF(C804="","",IFERROR(INDEX(LOTES!$D$5:$D$1004,MATCH(C804,LOTES!$F$5:$F$1004,0)),"¿Lote?"))</f>
        <v/>
      </c>
      <c r="E804" s="11" t="str">
        <f aca="false">IF(C804="","",IFERROR(INDEX(LOTES!$C$5:$C$1004,MATCH(C804,LOTES!$F$5:$F$1004,0)),""))</f>
        <v/>
      </c>
      <c r="F804" s="24" t="str">
        <f aca="false">IF(C804="","",IFERROR(INDEX(LOTES!$B$5:$B$1004,MATCH(C804,LOTES!$F$5:$F$1004,0)),""))</f>
        <v/>
      </c>
      <c r="G804" s="15" t="str">
        <f aca="false">IF(OR(B804="",F804=""),"",B804-F804)</f>
        <v/>
      </c>
      <c r="H804" s="13"/>
      <c r="I804" s="13"/>
      <c r="J804" s="13"/>
      <c r="K804" s="25"/>
      <c r="L804" s="25"/>
      <c r="M804" s="25"/>
      <c r="N804" s="25"/>
      <c r="O804" s="26"/>
      <c r="P804" s="16" t="str">
        <f aca="false">IF(O804="","",IFERROR(1/(1/(IF(K804="",INDEX(CONFIG!$F$5:$F$14,MATCH(D804,CONFIG!$D$5:$D$14,0)),K804)*IF(M804="",INDEX(CONFIG!$H$5:$H$14,MATCH(D804,CONFIG!$D$5:$D$14,0)),M804))),""))</f>
        <v/>
      </c>
      <c r="Q804" s="16" t="str">
        <f aca="false">IF(OR(O804="",P804=""),"",O804/P804)</f>
        <v/>
      </c>
      <c r="R804" s="16" t="str">
        <f aca="false">IF(Q804="","",Q804*0.0980665)</f>
        <v/>
      </c>
      <c r="S804" s="16" t="str">
        <f aca="false">IF(Q804="","",IFERROR(Q804/(1/(1/INDEX(CONFIG!$I$5:$I$14,MATCH(D804,CONFIG!$D$5:$D$14,0)))),""))</f>
        <v/>
      </c>
      <c r="T804" s="13"/>
      <c r="U804" s="13"/>
      <c r="V804" s="13"/>
      <c r="W804" s="13"/>
      <c r="X804" s="22" t="str">
        <f aca="false">IF(Q804="","",Q804^2)</f>
        <v/>
      </c>
      <c r="Y804" s="22" t="str">
        <f aca="false">IF(AND(C804&lt;&gt;"",C804=CERTIFICADO!$E$4,OR(CERTIFICADO!$E$5="",B804=CERTIFICADO!$E$5)),MAX($Y$4:Y803)+1,"")</f>
        <v/>
      </c>
    </row>
    <row r="805" customFormat="false" ht="15" hidden="false" customHeight="false" outlineLevel="0" collapsed="false">
      <c r="A805" s="11" t="str">
        <f aca="false">IF(C805="","",ROW()-4)</f>
        <v/>
      </c>
      <c r="B805" s="12"/>
      <c r="C805" s="13"/>
      <c r="D805" s="23" t="str">
        <f aca="false">IF(C805="","",IFERROR(INDEX(LOTES!$D$5:$D$1004,MATCH(C805,LOTES!$F$5:$F$1004,0)),"¿Lote?"))</f>
        <v/>
      </c>
      <c r="E805" s="11" t="str">
        <f aca="false">IF(C805="","",IFERROR(INDEX(LOTES!$C$5:$C$1004,MATCH(C805,LOTES!$F$5:$F$1004,0)),""))</f>
        <v/>
      </c>
      <c r="F805" s="24" t="str">
        <f aca="false">IF(C805="","",IFERROR(INDEX(LOTES!$B$5:$B$1004,MATCH(C805,LOTES!$F$5:$F$1004,0)),""))</f>
        <v/>
      </c>
      <c r="G805" s="15" t="str">
        <f aca="false">IF(OR(B805="",F805=""),"",B805-F805)</f>
        <v/>
      </c>
      <c r="H805" s="13"/>
      <c r="I805" s="13"/>
      <c r="J805" s="13"/>
      <c r="K805" s="25"/>
      <c r="L805" s="25"/>
      <c r="M805" s="25"/>
      <c r="N805" s="25"/>
      <c r="O805" s="26"/>
      <c r="P805" s="16" t="str">
        <f aca="false">IF(O805="","",IFERROR(1/(1/(IF(K805="",INDEX(CONFIG!$F$5:$F$14,MATCH(D805,CONFIG!$D$5:$D$14,0)),K805)*IF(M805="",INDEX(CONFIG!$H$5:$H$14,MATCH(D805,CONFIG!$D$5:$D$14,0)),M805))),""))</f>
        <v/>
      </c>
      <c r="Q805" s="16" t="str">
        <f aca="false">IF(OR(O805="",P805=""),"",O805/P805)</f>
        <v/>
      </c>
      <c r="R805" s="16" t="str">
        <f aca="false">IF(Q805="","",Q805*0.0980665)</f>
        <v/>
      </c>
      <c r="S805" s="16" t="str">
        <f aca="false">IF(Q805="","",IFERROR(Q805/(1/(1/INDEX(CONFIG!$I$5:$I$14,MATCH(D805,CONFIG!$D$5:$D$14,0)))),""))</f>
        <v/>
      </c>
      <c r="T805" s="13"/>
      <c r="U805" s="13"/>
      <c r="V805" s="13"/>
      <c r="W805" s="13"/>
      <c r="X805" s="22" t="str">
        <f aca="false">IF(Q805="","",Q805^2)</f>
        <v/>
      </c>
      <c r="Y805" s="22" t="str">
        <f aca="false">IF(AND(C805&lt;&gt;"",C805=CERTIFICADO!$E$4,OR(CERTIFICADO!$E$5="",B805=CERTIFICADO!$E$5)),MAX($Y$4:Y804)+1,"")</f>
        <v/>
      </c>
    </row>
    <row r="806" customFormat="false" ht="15" hidden="false" customHeight="false" outlineLevel="0" collapsed="false">
      <c r="A806" s="11" t="str">
        <f aca="false">IF(C806="","",ROW()-4)</f>
        <v/>
      </c>
      <c r="B806" s="12"/>
      <c r="C806" s="13"/>
      <c r="D806" s="23" t="str">
        <f aca="false">IF(C806="","",IFERROR(INDEX(LOTES!$D$5:$D$1004,MATCH(C806,LOTES!$F$5:$F$1004,0)),"¿Lote?"))</f>
        <v/>
      </c>
      <c r="E806" s="11" t="str">
        <f aca="false">IF(C806="","",IFERROR(INDEX(LOTES!$C$5:$C$1004,MATCH(C806,LOTES!$F$5:$F$1004,0)),""))</f>
        <v/>
      </c>
      <c r="F806" s="24" t="str">
        <f aca="false">IF(C806="","",IFERROR(INDEX(LOTES!$B$5:$B$1004,MATCH(C806,LOTES!$F$5:$F$1004,0)),""))</f>
        <v/>
      </c>
      <c r="G806" s="15" t="str">
        <f aca="false">IF(OR(B806="",F806=""),"",B806-F806)</f>
        <v/>
      </c>
      <c r="H806" s="13"/>
      <c r="I806" s="13"/>
      <c r="J806" s="13"/>
      <c r="K806" s="25"/>
      <c r="L806" s="25"/>
      <c r="M806" s="25"/>
      <c r="N806" s="25"/>
      <c r="O806" s="26"/>
      <c r="P806" s="16" t="str">
        <f aca="false">IF(O806="","",IFERROR(1/(1/(IF(K806="",INDEX(CONFIG!$F$5:$F$14,MATCH(D806,CONFIG!$D$5:$D$14,0)),K806)*IF(M806="",INDEX(CONFIG!$H$5:$H$14,MATCH(D806,CONFIG!$D$5:$D$14,0)),M806))),""))</f>
        <v/>
      </c>
      <c r="Q806" s="16" t="str">
        <f aca="false">IF(OR(O806="",P806=""),"",O806/P806)</f>
        <v/>
      </c>
      <c r="R806" s="16" t="str">
        <f aca="false">IF(Q806="","",Q806*0.0980665)</f>
        <v/>
      </c>
      <c r="S806" s="16" t="str">
        <f aca="false">IF(Q806="","",IFERROR(Q806/(1/(1/INDEX(CONFIG!$I$5:$I$14,MATCH(D806,CONFIG!$D$5:$D$14,0)))),""))</f>
        <v/>
      </c>
      <c r="T806" s="13"/>
      <c r="U806" s="13"/>
      <c r="V806" s="13"/>
      <c r="W806" s="13"/>
      <c r="X806" s="22" t="str">
        <f aca="false">IF(Q806="","",Q806^2)</f>
        <v/>
      </c>
      <c r="Y806" s="22" t="str">
        <f aca="false">IF(AND(C806&lt;&gt;"",C806=CERTIFICADO!$E$4,OR(CERTIFICADO!$E$5="",B806=CERTIFICADO!$E$5)),MAX($Y$4:Y805)+1,"")</f>
        <v/>
      </c>
    </row>
    <row r="807" customFormat="false" ht="15" hidden="false" customHeight="false" outlineLevel="0" collapsed="false">
      <c r="A807" s="11" t="str">
        <f aca="false">IF(C807="","",ROW()-4)</f>
        <v/>
      </c>
      <c r="B807" s="12"/>
      <c r="C807" s="13"/>
      <c r="D807" s="23" t="str">
        <f aca="false">IF(C807="","",IFERROR(INDEX(LOTES!$D$5:$D$1004,MATCH(C807,LOTES!$F$5:$F$1004,0)),"¿Lote?"))</f>
        <v/>
      </c>
      <c r="E807" s="11" t="str">
        <f aca="false">IF(C807="","",IFERROR(INDEX(LOTES!$C$5:$C$1004,MATCH(C807,LOTES!$F$5:$F$1004,0)),""))</f>
        <v/>
      </c>
      <c r="F807" s="24" t="str">
        <f aca="false">IF(C807="","",IFERROR(INDEX(LOTES!$B$5:$B$1004,MATCH(C807,LOTES!$F$5:$F$1004,0)),""))</f>
        <v/>
      </c>
      <c r="G807" s="15" t="str">
        <f aca="false">IF(OR(B807="",F807=""),"",B807-F807)</f>
        <v/>
      </c>
      <c r="H807" s="13"/>
      <c r="I807" s="13"/>
      <c r="J807" s="13"/>
      <c r="K807" s="25"/>
      <c r="L807" s="25"/>
      <c r="M807" s="25"/>
      <c r="N807" s="25"/>
      <c r="O807" s="26"/>
      <c r="P807" s="16" t="str">
        <f aca="false">IF(O807="","",IFERROR(1/(1/(IF(K807="",INDEX(CONFIG!$F$5:$F$14,MATCH(D807,CONFIG!$D$5:$D$14,0)),K807)*IF(M807="",INDEX(CONFIG!$H$5:$H$14,MATCH(D807,CONFIG!$D$5:$D$14,0)),M807))),""))</f>
        <v/>
      </c>
      <c r="Q807" s="16" t="str">
        <f aca="false">IF(OR(O807="",P807=""),"",O807/P807)</f>
        <v/>
      </c>
      <c r="R807" s="16" t="str">
        <f aca="false">IF(Q807="","",Q807*0.0980665)</f>
        <v/>
      </c>
      <c r="S807" s="16" t="str">
        <f aca="false">IF(Q807="","",IFERROR(Q807/(1/(1/INDEX(CONFIG!$I$5:$I$14,MATCH(D807,CONFIG!$D$5:$D$14,0)))),""))</f>
        <v/>
      </c>
      <c r="T807" s="13"/>
      <c r="U807" s="13"/>
      <c r="V807" s="13"/>
      <c r="W807" s="13"/>
      <c r="X807" s="22" t="str">
        <f aca="false">IF(Q807="","",Q807^2)</f>
        <v/>
      </c>
      <c r="Y807" s="22" t="str">
        <f aca="false">IF(AND(C807&lt;&gt;"",C807=CERTIFICADO!$E$4,OR(CERTIFICADO!$E$5="",B807=CERTIFICADO!$E$5)),MAX($Y$4:Y806)+1,"")</f>
        <v/>
      </c>
    </row>
    <row r="808" customFormat="false" ht="15" hidden="false" customHeight="false" outlineLevel="0" collapsed="false">
      <c r="A808" s="11" t="str">
        <f aca="false">IF(C808="","",ROW()-4)</f>
        <v/>
      </c>
      <c r="B808" s="12"/>
      <c r="C808" s="13"/>
      <c r="D808" s="23" t="str">
        <f aca="false">IF(C808="","",IFERROR(INDEX(LOTES!$D$5:$D$1004,MATCH(C808,LOTES!$F$5:$F$1004,0)),"¿Lote?"))</f>
        <v/>
      </c>
      <c r="E808" s="11" t="str">
        <f aca="false">IF(C808="","",IFERROR(INDEX(LOTES!$C$5:$C$1004,MATCH(C808,LOTES!$F$5:$F$1004,0)),""))</f>
        <v/>
      </c>
      <c r="F808" s="24" t="str">
        <f aca="false">IF(C808="","",IFERROR(INDEX(LOTES!$B$5:$B$1004,MATCH(C808,LOTES!$F$5:$F$1004,0)),""))</f>
        <v/>
      </c>
      <c r="G808" s="15" t="str">
        <f aca="false">IF(OR(B808="",F808=""),"",B808-F808)</f>
        <v/>
      </c>
      <c r="H808" s="13"/>
      <c r="I808" s="13"/>
      <c r="J808" s="13"/>
      <c r="K808" s="25"/>
      <c r="L808" s="25"/>
      <c r="M808" s="25"/>
      <c r="N808" s="25"/>
      <c r="O808" s="26"/>
      <c r="P808" s="16" t="str">
        <f aca="false">IF(O808="","",IFERROR(1/(1/(IF(K808="",INDEX(CONFIG!$F$5:$F$14,MATCH(D808,CONFIG!$D$5:$D$14,0)),K808)*IF(M808="",INDEX(CONFIG!$H$5:$H$14,MATCH(D808,CONFIG!$D$5:$D$14,0)),M808))),""))</f>
        <v/>
      </c>
      <c r="Q808" s="16" t="str">
        <f aca="false">IF(OR(O808="",P808=""),"",O808/P808)</f>
        <v/>
      </c>
      <c r="R808" s="16" t="str">
        <f aca="false">IF(Q808="","",Q808*0.0980665)</f>
        <v/>
      </c>
      <c r="S808" s="16" t="str">
        <f aca="false">IF(Q808="","",IFERROR(Q808/(1/(1/INDEX(CONFIG!$I$5:$I$14,MATCH(D808,CONFIG!$D$5:$D$14,0)))),""))</f>
        <v/>
      </c>
      <c r="T808" s="13"/>
      <c r="U808" s="13"/>
      <c r="V808" s="13"/>
      <c r="W808" s="13"/>
      <c r="X808" s="22" t="str">
        <f aca="false">IF(Q808="","",Q808^2)</f>
        <v/>
      </c>
      <c r="Y808" s="22" t="str">
        <f aca="false">IF(AND(C808&lt;&gt;"",C808=CERTIFICADO!$E$4,OR(CERTIFICADO!$E$5="",B808=CERTIFICADO!$E$5)),MAX($Y$4:Y807)+1,"")</f>
        <v/>
      </c>
    </row>
    <row r="809" customFormat="false" ht="15" hidden="false" customHeight="false" outlineLevel="0" collapsed="false">
      <c r="A809" s="11" t="str">
        <f aca="false">IF(C809="","",ROW()-4)</f>
        <v/>
      </c>
      <c r="B809" s="12"/>
      <c r="C809" s="13"/>
      <c r="D809" s="23" t="str">
        <f aca="false">IF(C809="","",IFERROR(INDEX(LOTES!$D$5:$D$1004,MATCH(C809,LOTES!$F$5:$F$1004,0)),"¿Lote?"))</f>
        <v/>
      </c>
      <c r="E809" s="11" t="str">
        <f aca="false">IF(C809="","",IFERROR(INDEX(LOTES!$C$5:$C$1004,MATCH(C809,LOTES!$F$5:$F$1004,0)),""))</f>
        <v/>
      </c>
      <c r="F809" s="24" t="str">
        <f aca="false">IF(C809="","",IFERROR(INDEX(LOTES!$B$5:$B$1004,MATCH(C809,LOTES!$F$5:$F$1004,0)),""))</f>
        <v/>
      </c>
      <c r="G809" s="15" t="str">
        <f aca="false">IF(OR(B809="",F809=""),"",B809-F809)</f>
        <v/>
      </c>
      <c r="H809" s="13"/>
      <c r="I809" s="13"/>
      <c r="J809" s="13"/>
      <c r="K809" s="25"/>
      <c r="L809" s="25"/>
      <c r="M809" s="25"/>
      <c r="N809" s="25"/>
      <c r="O809" s="26"/>
      <c r="P809" s="16" t="str">
        <f aca="false">IF(O809="","",IFERROR(1/(1/(IF(K809="",INDEX(CONFIG!$F$5:$F$14,MATCH(D809,CONFIG!$D$5:$D$14,0)),K809)*IF(M809="",INDEX(CONFIG!$H$5:$H$14,MATCH(D809,CONFIG!$D$5:$D$14,0)),M809))),""))</f>
        <v/>
      </c>
      <c r="Q809" s="16" t="str">
        <f aca="false">IF(OR(O809="",P809=""),"",O809/P809)</f>
        <v/>
      </c>
      <c r="R809" s="16" t="str">
        <f aca="false">IF(Q809="","",Q809*0.0980665)</f>
        <v/>
      </c>
      <c r="S809" s="16" t="str">
        <f aca="false">IF(Q809="","",IFERROR(Q809/(1/(1/INDEX(CONFIG!$I$5:$I$14,MATCH(D809,CONFIG!$D$5:$D$14,0)))),""))</f>
        <v/>
      </c>
      <c r="T809" s="13"/>
      <c r="U809" s="13"/>
      <c r="V809" s="13"/>
      <c r="W809" s="13"/>
      <c r="X809" s="22" t="str">
        <f aca="false">IF(Q809="","",Q809^2)</f>
        <v/>
      </c>
      <c r="Y809" s="22" t="str">
        <f aca="false">IF(AND(C809&lt;&gt;"",C809=CERTIFICADO!$E$4,OR(CERTIFICADO!$E$5="",B809=CERTIFICADO!$E$5)),MAX($Y$4:Y808)+1,"")</f>
        <v/>
      </c>
    </row>
    <row r="810" customFormat="false" ht="15" hidden="false" customHeight="false" outlineLevel="0" collapsed="false">
      <c r="A810" s="11" t="str">
        <f aca="false">IF(C810="","",ROW()-4)</f>
        <v/>
      </c>
      <c r="B810" s="12"/>
      <c r="C810" s="13"/>
      <c r="D810" s="23" t="str">
        <f aca="false">IF(C810="","",IFERROR(INDEX(LOTES!$D$5:$D$1004,MATCH(C810,LOTES!$F$5:$F$1004,0)),"¿Lote?"))</f>
        <v/>
      </c>
      <c r="E810" s="11" t="str">
        <f aca="false">IF(C810="","",IFERROR(INDEX(LOTES!$C$5:$C$1004,MATCH(C810,LOTES!$F$5:$F$1004,0)),""))</f>
        <v/>
      </c>
      <c r="F810" s="24" t="str">
        <f aca="false">IF(C810="","",IFERROR(INDEX(LOTES!$B$5:$B$1004,MATCH(C810,LOTES!$F$5:$F$1004,0)),""))</f>
        <v/>
      </c>
      <c r="G810" s="15" t="str">
        <f aca="false">IF(OR(B810="",F810=""),"",B810-F810)</f>
        <v/>
      </c>
      <c r="H810" s="13"/>
      <c r="I810" s="13"/>
      <c r="J810" s="13"/>
      <c r="K810" s="25"/>
      <c r="L810" s="25"/>
      <c r="M810" s="25"/>
      <c r="N810" s="25"/>
      <c r="O810" s="26"/>
      <c r="P810" s="16" t="str">
        <f aca="false">IF(O810="","",IFERROR(1/(1/(IF(K810="",INDEX(CONFIG!$F$5:$F$14,MATCH(D810,CONFIG!$D$5:$D$14,0)),K810)*IF(M810="",INDEX(CONFIG!$H$5:$H$14,MATCH(D810,CONFIG!$D$5:$D$14,0)),M810))),""))</f>
        <v/>
      </c>
      <c r="Q810" s="16" t="str">
        <f aca="false">IF(OR(O810="",P810=""),"",O810/P810)</f>
        <v/>
      </c>
      <c r="R810" s="16" t="str">
        <f aca="false">IF(Q810="","",Q810*0.0980665)</f>
        <v/>
      </c>
      <c r="S810" s="16" t="str">
        <f aca="false">IF(Q810="","",IFERROR(Q810/(1/(1/INDEX(CONFIG!$I$5:$I$14,MATCH(D810,CONFIG!$D$5:$D$14,0)))),""))</f>
        <v/>
      </c>
      <c r="T810" s="13"/>
      <c r="U810" s="13"/>
      <c r="V810" s="13"/>
      <c r="W810" s="13"/>
      <c r="X810" s="22" t="str">
        <f aca="false">IF(Q810="","",Q810^2)</f>
        <v/>
      </c>
      <c r="Y810" s="22" t="str">
        <f aca="false">IF(AND(C810&lt;&gt;"",C810=CERTIFICADO!$E$4,OR(CERTIFICADO!$E$5="",B810=CERTIFICADO!$E$5)),MAX($Y$4:Y809)+1,"")</f>
        <v/>
      </c>
    </row>
    <row r="811" customFormat="false" ht="15" hidden="false" customHeight="false" outlineLevel="0" collapsed="false">
      <c r="A811" s="11" t="str">
        <f aca="false">IF(C811="","",ROW()-4)</f>
        <v/>
      </c>
      <c r="B811" s="12"/>
      <c r="C811" s="13"/>
      <c r="D811" s="23" t="str">
        <f aca="false">IF(C811="","",IFERROR(INDEX(LOTES!$D$5:$D$1004,MATCH(C811,LOTES!$F$5:$F$1004,0)),"¿Lote?"))</f>
        <v/>
      </c>
      <c r="E811" s="11" t="str">
        <f aca="false">IF(C811="","",IFERROR(INDEX(LOTES!$C$5:$C$1004,MATCH(C811,LOTES!$F$5:$F$1004,0)),""))</f>
        <v/>
      </c>
      <c r="F811" s="24" t="str">
        <f aca="false">IF(C811="","",IFERROR(INDEX(LOTES!$B$5:$B$1004,MATCH(C811,LOTES!$F$5:$F$1004,0)),""))</f>
        <v/>
      </c>
      <c r="G811" s="15" t="str">
        <f aca="false">IF(OR(B811="",F811=""),"",B811-F811)</f>
        <v/>
      </c>
      <c r="H811" s="13"/>
      <c r="I811" s="13"/>
      <c r="J811" s="13"/>
      <c r="K811" s="25"/>
      <c r="L811" s="25"/>
      <c r="M811" s="25"/>
      <c r="N811" s="25"/>
      <c r="O811" s="26"/>
      <c r="P811" s="16" t="str">
        <f aca="false">IF(O811="","",IFERROR(1/(1/(IF(K811="",INDEX(CONFIG!$F$5:$F$14,MATCH(D811,CONFIG!$D$5:$D$14,0)),K811)*IF(M811="",INDEX(CONFIG!$H$5:$H$14,MATCH(D811,CONFIG!$D$5:$D$14,0)),M811))),""))</f>
        <v/>
      </c>
      <c r="Q811" s="16" t="str">
        <f aca="false">IF(OR(O811="",P811=""),"",O811/P811)</f>
        <v/>
      </c>
      <c r="R811" s="16" t="str">
        <f aca="false">IF(Q811="","",Q811*0.0980665)</f>
        <v/>
      </c>
      <c r="S811" s="16" t="str">
        <f aca="false">IF(Q811="","",IFERROR(Q811/(1/(1/INDEX(CONFIG!$I$5:$I$14,MATCH(D811,CONFIG!$D$5:$D$14,0)))),""))</f>
        <v/>
      </c>
      <c r="T811" s="13"/>
      <c r="U811" s="13"/>
      <c r="V811" s="13"/>
      <c r="W811" s="13"/>
      <c r="X811" s="22" t="str">
        <f aca="false">IF(Q811="","",Q811^2)</f>
        <v/>
      </c>
      <c r="Y811" s="22" t="str">
        <f aca="false">IF(AND(C811&lt;&gt;"",C811=CERTIFICADO!$E$4,OR(CERTIFICADO!$E$5="",B811=CERTIFICADO!$E$5)),MAX($Y$4:Y810)+1,"")</f>
        <v/>
      </c>
    </row>
    <row r="812" customFormat="false" ht="15" hidden="false" customHeight="false" outlineLevel="0" collapsed="false">
      <c r="A812" s="11" t="str">
        <f aca="false">IF(C812="","",ROW()-4)</f>
        <v/>
      </c>
      <c r="B812" s="12"/>
      <c r="C812" s="13"/>
      <c r="D812" s="23" t="str">
        <f aca="false">IF(C812="","",IFERROR(INDEX(LOTES!$D$5:$D$1004,MATCH(C812,LOTES!$F$5:$F$1004,0)),"¿Lote?"))</f>
        <v/>
      </c>
      <c r="E812" s="11" t="str">
        <f aca="false">IF(C812="","",IFERROR(INDEX(LOTES!$C$5:$C$1004,MATCH(C812,LOTES!$F$5:$F$1004,0)),""))</f>
        <v/>
      </c>
      <c r="F812" s="24" t="str">
        <f aca="false">IF(C812="","",IFERROR(INDEX(LOTES!$B$5:$B$1004,MATCH(C812,LOTES!$F$5:$F$1004,0)),""))</f>
        <v/>
      </c>
      <c r="G812" s="15" t="str">
        <f aca="false">IF(OR(B812="",F812=""),"",B812-F812)</f>
        <v/>
      </c>
      <c r="H812" s="13"/>
      <c r="I812" s="13"/>
      <c r="J812" s="13"/>
      <c r="K812" s="25"/>
      <c r="L812" s="25"/>
      <c r="M812" s="25"/>
      <c r="N812" s="25"/>
      <c r="O812" s="26"/>
      <c r="P812" s="16" t="str">
        <f aca="false">IF(O812="","",IFERROR(1/(1/(IF(K812="",INDEX(CONFIG!$F$5:$F$14,MATCH(D812,CONFIG!$D$5:$D$14,0)),K812)*IF(M812="",INDEX(CONFIG!$H$5:$H$14,MATCH(D812,CONFIG!$D$5:$D$14,0)),M812))),""))</f>
        <v/>
      </c>
      <c r="Q812" s="16" t="str">
        <f aca="false">IF(OR(O812="",P812=""),"",O812/P812)</f>
        <v/>
      </c>
      <c r="R812" s="16" t="str">
        <f aca="false">IF(Q812="","",Q812*0.0980665)</f>
        <v/>
      </c>
      <c r="S812" s="16" t="str">
        <f aca="false">IF(Q812="","",IFERROR(Q812/(1/(1/INDEX(CONFIG!$I$5:$I$14,MATCH(D812,CONFIG!$D$5:$D$14,0)))),""))</f>
        <v/>
      </c>
      <c r="T812" s="13"/>
      <c r="U812" s="13"/>
      <c r="V812" s="13"/>
      <c r="W812" s="13"/>
      <c r="X812" s="22" t="str">
        <f aca="false">IF(Q812="","",Q812^2)</f>
        <v/>
      </c>
      <c r="Y812" s="22" t="str">
        <f aca="false">IF(AND(C812&lt;&gt;"",C812=CERTIFICADO!$E$4,OR(CERTIFICADO!$E$5="",B812=CERTIFICADO!$E$5)),MAX($Y$4:Y811)+1,"")</f>
        <v/>
      </c>
    </row>
    <row r="813" customFormat="false" ht="15" hidden="false" customHeight="false" outlineLevel="0" collapsed="false">
      <c r="A813" s="11" t="str">
        <f aca="false">IF(C813="","",ROW()-4)</f>
        <v/>
      </c>
      <c r="B813" s="12"/>
      <c r="C813" s="13"/>
      <c r="D813" s="23" t="str">
        <f aca="false">IF(C813="","",IFERROR(INDEX(LOTES!$D$5:$D$1004,MATCH(C813,LOTES!$F$5:$F$1004,0)),"¿Lote?"))</f>
        <v/>
      </c>
      <c r="E813" s="11" t="str">
        <f aca="false">IF(C813="","",IFERROR(INDEX(LOTES!$C$5:$C$1004,MATCH(C813,LOTES!$F$5:$F$1004,0)),""))</f>
        <v/>
      </c>
      <c r="F813" s="24" t="str">
        <f aca="false">IF(C813="","",IFERROR(INDEX(LOTES!$B$5:$B$1004,MATCH(C813,LOTES!$F$5:$F$1004,0)),""))</f>
        <v/>
      </c>
      <c r="G813" s="15" t="str">
        <f aca="false">IF(OR(B813="",F813=""),"",B813-F813)</f>
        <v/>
      </c>
      <c r="H813" s="13"/>
      <c r="I813" s="13"/>
      <c r="J813" s="13"/>
      <c r="K813" s="25"/>
      <c r="L813" s="25"/>
      <c r="M813" s="25"/>
      <c r="N813" s="25"/>
      <c r="O813" s="26"/>
      <c r="P813" s="16" t="str">
        <f aca="false">IF(O813="","",IFERROR(1/(1/(IF(K813="",INDEX(CONFIG!$F$5:$F$14,MATCH(D813,CONFIG!$D$5:$D$14,0)),K813)*IF(M813="",INDEX(CONFIG!$H$5:$H$14,MATCH(D813,CONFIG!$D$5:$D$14,0)),M813))),""))</f>
        <v/>
      </c>
      <c r="Q813" s="16" t="str">
        <f aca="false">IF(OR(O813="",P813=""),"",O813/P813)</f>
        <v/>
      </c>
      <c r="R813" s="16" t="str">
        <f aca="false">IF(Q813="","",Q813*0.0980665)</f>
        <v/>
      </c>
      <c r="S813" s="16" t="str">
        <f aca="false">IF(Q813="","",IFERROR(Q813/(1/(1/INDEX(CONFIG!$I$5:$I$14,MATCH(D813,CONFIG!$D$5:$D$14,0)))),""))</f>
        <v/>
      </c>
      <c r="T813" s="13"/>
      <c r="U813" s="13"/>
      <c r="V813" s="13"/>
      <c r="W813" s="13"/>
      <c r="X813" s="22" t="str">
        <f aca="false">IF(Q813="","",Q813^2)</f>
        <v/>
      </c>
      <c r="Y813" s="22" t="str">
        <f aca="false">IF(AND(C813&lt;&gt;"",C813=CERTIFICADO!$E$4,OR(CERTIFICADO!$E$5="",B813=CERTIFICADO!$E$5)),MAX($Y$4:Y812)+1,"")</f>
        <v/>
      </c>
    </row>
    <row r="814" customFormat="false" ht="15" hidden="false" customHeight="false" outlineLevel="0" collapsed="false">
      <c r="A814" s="11" t="str">
        <f aca="false">IF(C814="","",ROW()-4)</f>
        <v/>
      </c>
      <c r="B814" s="12"/>
      <c r="C814" s="13"/>
      <c r="D814" s="23" t="str">
        <f aca="false">IF(C814="","",IFERROR(INDEX(LOTES!$D$5:$D$1004,MATCH(C814,LOTES!$F$5:$F$1004,0)),"¿Lote?"))</f>
        <v/>
      </c>
      <c r="E814" s="11" t="str">
        <f aca="false">IF(C814="","",IFERROR(INDEX(LOTES!$C$5:$C$1004,MATCH(C814,LOTES!$F$5:$F$1004,0)),""))</f>
        <v/>
      </c>
      <c r="F814" s="24" t="str">
        <f aca="false">IF(C814="","",IFERROR(INDEX(LOTES!$B$5:$B$1004,MATCH(C814,LOTES!$F$5:$F$1004,0)),""))</f>
        <v/>
      </c>
      <c r="G814" s="15" t="str">
        <f aca="false">IF(OR(B814="",F814=""),"",B814-F814)</f>
        <v/>
      </c>
      <c r="H814" s="13"/>
      <c r="I814" s="13"/>
      <c r="J814" s="13"/>
      <c r="K814" s="25"/>
      <c r="L814" s="25"/>
      <c r="M814" s="25"/>
      <c r="N814" s="25"/>
      <c r="O814" s="26"/>
      <c r="P814" s="16" t="str">
        <f aca="false">IF(O814="","",IFERROR(1/(1/(IF(K814="",INDEX(CONFIG!$F$5:$F$14,MATCH(D814,CONFIG!$D$5:$D$14,0)),K814)*IF(M814="",INDEX(CONFIG!$H$5:$H$14,MATCH(D814,CONFIG!$D$5:$D$14,0)),M814))),""))</f>
        <v/>
      </c>
      <c r="Q814" s="16" t="str">
        <f aca="false">IF(OR(O814="",P814=""),"",O814/P814)</f>
        <v/>
      </c>
      <c r="R814" s="16" t="str">
        <f aca="false">IF(Q814="","",Q814*0.0980665)</f>
        <v/>
      </c>
      <c r="S814" s="16" t="str">
        <f aca="false">IF(Q814="","",IFERROR(Q814/(1/(1/INDEX(CONFIG!$I$5:$I$14,MATCH(D814,CONFIG!$D$5:$D$14,0)))),""))</f>
        <v/>
      </c>
      <c r="T814" s="13"/>
      <c r="U814" s="13"/>
      <c r="V814" s="13"/>
      <c r="W814" s="13"/>
      <c r="X814" s="22" t="str">
        <f aca="false">IF(Q814="","",Q814^2)</f>
        <v/>
      </c>
      <c r="Y814" s="22" t="str">
        <f aca="false">IF(AND(C814&lt;&gt;"",C814=CERTIFICADO!$E$4,OR(CERTIFICADO!$E$5="",B814=CERTIFICADO!$E$5)),MAX($Y$4:Y813)+1,"")</f>
        <v/>
      </c>
    </row>
    <row r="815" customFormat="false" ht="15" hidden="false" customHeight="false" outlineLevel="0" collapsed="false">
      <c r="A815" s="11" t="str">
        <f aca="false">IF(C815="","",ROW()-4)</f>
        <v/>
      </c>
      <c r="B815" s="12"/>
      <c r="C815" s="13"/>
      <c r="D815" s="23" t="str">
        <f aca="false">IF(C815="","",IFERROR(INDEX(LOTES!$D$5:$D$1004,MATCH(C815,LOTES!$F$5:$F$1004,0)),"¿Lote?"))</f>
        <v/>
      </c>
      <c r="E815" s="11" t="str">
        <f aca="false">IF(C815="","",IFERROR(INDEX(LOTES!$C$5:$C$1004,MATCH(C815,LOTES!$F$5:$F$1004,0)),""))</f>
        <v/>
      </c>
      <c r="F815" s="24" t="str">
        <f aca="false">IF(C815="","",IFERROR(INDEX(LOTES!$B$5:$B$1004,MATCH(C815,LOTES!$F$5:$F$1004,0)),""))</f>
        <v/>
      </c>
      <c r="G815" s="15" t="str">
        <f aca="false">IF(OR(B815="",F815=""),"",B815-F815)</f>
        <v/>
      </c>
      <c r="H815" s="13"/>
      <c r="I815" s="13"/>
      <c r="J815" s="13"/>
      <c r="K815" s="25"/>
      <c r="L815" s="25"/>
      <c r="M815" s="25"/>
      <c r="N815" s="25"/>
      <c r="O815" s="26"/>
      <c r="P815" s="16" t="str">
        <f aca="false">IF(O815="","",IFERROR(1/(1/(IF(K815="",INDEX(CONFIG!$F$5:$F$14,MATCH(D815,CONFIG!$D$5:$D$14,0)),K815)*IF(M815="",INDEX(CONFIG!$H$5:$H$14,MATCH(D815,CONFIG!$D$5:$D$14,0)),M815))),""))</f>
        <v/>
      </c>
      <c r="Q815" s="16" t="str">
        <f aca="false">IF(OR(O815="",P815=""),"",O815/P815)</f>
        <v/>
      </c>
      <c r="R815" s="16" t="str">
        <f aca="false">IF(Q815="","",Q815*0.0980665)</f>
        <v/>
      </c>
      <c r="S815" s="16" t="str">
        <f aca="false">IF(Q815="","",IFERROR(Q815/(1/(1/INDEX(CONFIG!$I$5:$I$14,MATCH(D815,CONFIG!$D$5:$D$14,0)))),""))</f>
        <v/>
      </c>
      <c r="T815" s="13"/>
      <c r="U815" s="13"/>
      <c r="V815" s="13"/>
      <c r="W815" s="13"/>
      <c r="X815" s="22" t="str">
        <f aca="false">IF(Q815="","",Q815^2)</f>
        <v/>
      </c>
      <c r="Y815" s="22" t="str">
        <f aca="false">IF(AND(C815&lt;&gt;"",C815=CERTIFICADO!$E$4,OR(CERTIFICADO!$E$5="",B815=CERTIFICADO!$E$5)),MAX($Y$4:Y814)+1,"")</f>
        <v/>
      </c>
    </row>
    <row r="816" customFormat="false" ht="15" hidden="false" customHeight="false" outlineLevel="0" collapsed="false">
      <c r="A816" s="11" t="str">
        <f aca="false">IF(C816="","",ROW()-4)</f>
        <v/>
      </c>
      <c r="B816" s="12"/>
      <c r="C816" s="13"/>
      <c r="D816" s="23" t="str">
        <f aca="false">IF(C816="","",IFERROR(INDEX(LOTES!$D$5:$D$1004,MATCH(C816,LOTES!$F$5:$F$1004,0)),"¿Lote?"))</f>
        <v/>
      </c>
      <c r="E816" s="11" t="str">
        <f aca="false">IF(C816="","",IFERROR(INDEX(LOTES!$C$5:$C$1004,MATCH(C816,LOTES!$F$5:$F$1004,0)),""))</f>
        <v/>
      </c>
      <c r="F816" s="24" t="str">
        <f aca="false">IF(C816="","",IFERROR(INDEX(LOTES!$B$5:$B$1004,MATCH(C816,LOTES!$F$5:$F$1004,0)),""))</f>
        <v/>
      </c>
      <c r="G816" s="15" t="str">
        <f aca="false">IF(OR(B816="",F816=""),"",B816-F816)</f>
        <v/>
      </c>
      <c r="H816" s="13"/>
      <c r="I816" s="13"/>
      <c r="J816" s="13"/>
      <c r="K816" s="25"/>
      <c r="L816" s="25"/>
      <c r="M816" s="25"/>
      <c r="N816" s="25"/>
      <c r="O816" s="26"/>
      <c r="P816" s="16" t="str">
        <f aca="false">IF(O816="","",IFERROR(1/(1/(IF(K816="",INDEX(CONFIG!$F$5:$F$14,MATCH(D816,CONFIG!$D$5:$D$14,0)),K816)*IF(M816="",INDEX(CONFIG!$H$5:$H$14,MATCH(D816,CONFIG!$D$5:$D$14,0)),M816))),""))</f>
        <v/>
      </c>
      <c r="Q816" s="16" t="str">
        <f aca="false">IF(OR(O816="",P816=""),"",O816/P816)</f>
        <v/>
      </c>
      <c r="R816" s="16" t="str">
        <f aca="false">IF(Q816="","",Q816*0.0980665)</f>
        <v/>
      </c>
      <c r="S816" s="16" t="str">
        <f aca="false">IF(Q816="","",IFERROR(Q816/(1/(1/INDEX(CONFIG!$I$5:$I$14,MATCH(D816,CONFIG!$D$5:$D$14,0)))),""))</f>
        <v/>
      </c>
      <c r="T816" s="13"/>
      <c r="U816" s="13"/>
      <c r="V816" s="13"/>
      <c r="W816" s="13"/>
      <c r="X816" s="22" t="str">
        <f aca="false">IF(Q816="","",Q816^2)</f>
        <v/>
      </c>
      <c r="Y816" s="22" t="str">
        <f aca="false">IF(AND(C816&lt;&gt;"",C816=CERTIFICADO!$E$4,OR(CERTIFICADO!$E$5="",B816=CERTIFICADO!$E$5)),MAX($Y$4:Y815)+1,"")</f>
        <v/>
      </c>
    </row>
    <row r="817" customFormat="false" ht="15" hidden="false" customHeight="false" outlineLevel="0" collapsed="false">
      <c r="A817" s="11" t="str">
        <f aca="false">IF(C817="","",ROW()-4)</f>
        <v/>
      </c>
      <c r="B817" s="12"/>
      <c r="C817" s="13"/>
      <c r="D817" s="23" t="str">
        <f aca="false">IF(C817="","",IFERROR(INDEX(LOTES!$D$5:$D$1004,MATCH(C817,LOTES!$F$5:$F$1004,0)),"¿Lote?"))</f>
        <v/>
      </c>
      <c r="E817" s="11" t="str">
        <f aca="false">IF(C817="","",IFERROR(INDEX(LOTES!$C$5:$C$1004,MATCH(C817,LOTES!$F$5:$F$1004,0)),""))</f>
        <v/>
      </c>
      <c r="F817" s="24" t="str">
        <f aca="false">IF(C817="","",IFERROR(INDEX(LOTES!$B$5:$B$1004,MATCH(C817,LOTES!$F$5:$F$1004,0)),""))</f>
        <v/>
      </c>
      <c r="G817" s="15" t="str">
        <f aca="false">IF(OR(B817="",F817=""),"",B817-F817)</f>
        <v/>
      </c>
      <c r="H817" s="13"/>
      <c r="I817" s="13"/>
      <c r="J817" s="13"/>
      <c r="K817" s="25"/>
      <c r="L817" s="25"/>
      <c r="M817" s="25"/>
      <c r="N817" s="25"/>
      <c r="O817" s="26"/>
      <c r="P817" s="16" t="str">
        <f aca="false">IF(O817="","",IFERROR(1/(1/(IF(K817="",INDEX(CONFIG!$F$5:$F$14,MATCH(D817,CONFIG!$D$5:$D$14,0)),K817)*IF(M817="",INDEX(CONFIG!$H$5:$H$14,MATCH(D817,CONFIG!$D$5:$D$14,0)),M817))),""))</f>
        <v/>
      </c>
      <c r="Q817" s="16" t="str">
        <f aca="false">IF(OR(O817="",P817=""),"",O817/P817)</f>
        <v/>
      </c>
      <c r="R817" s="16" t="str">
        <f aca="false">IF(Q817="","",Q817*0.0980665)</f>
        <v/>
      </c>
      <c r="S817" s="16" t="str">
        <f aca="false">IF(Q817="","",IFERROR(Q817/(1/(1/INDEX(CONFIG!$I$5:$I$14,MATCH(D817,CONFIG!$D$5:$D$14,0)))),""))</f>
        <v/>
      </c>
      <c r="T817" s="13"/>
      <c r="U817" s="13"/>
      <c r="V817" s="13"/>
      <c r="W817" s="13"/>
      <c r="X817" s="22" t="str">
        <f aca="false">IF(Q817="","",Q817^2)</f>
        <v/>
      </c>
      <c r="Y817" s="22" t="str">
        <f aca="false">IF(AND(C817&lt;&gt;"",C817=CERTIFICADO!$E$4,OR(CERTIFICADO!$E$5="",B817=CERTIFICADO!$E$5)),MAX($Y$4:Y816)+1,"")</f>
        <v/>
      </c>
    </row>
    <row r="818" customFormat="false" ht="15" hidden="false" customHeight="false" outlineLevel="0" collapsed="false">
      <c r="A818" s="11" t="str">
        <f aca="false">IF(C818="","",ROW()-4)</f>
        <v/>
      </c>
      <c r="B818" s="12"/>
      <c r="C818" s="13"/>
      <c r="D818" s="23" t="str">
        <f aca="false">IF(C818="","",IFERROR(INDEX(LOTES!$D$5:$D$1004,MATCH(C818,LOTES!$F$5:$F$1004,0)),"¿Lote?"))</f>
        <v/>
      </c>
      <c r="E818" s="11" t="str">
        <f aca="false">IF(C818="","",IFERROR(INDEX(LOTES!$C$5:$C$1004,MATCH(C818,LOTES!$F$5:$F$1004,0)),""))</f>
        <v/>
      </c>
      <c r="F818" s="24" t="str">
        <f aca="false">IF(C818="","",IFERROR(INDEX(LOTES!$B$5:$B$1004,MATCH(C818,LOTES!$F$5:$F$1004,0)),""))</f>
        <v/>
      </c>
      <c r="G818" s="15" t="str">
        <f aca="false">IF(OR(B818="",F818=""),"",B818-F818)</f>
        <v/>
      </c>
      <c r="H818" s="13"/>
      <c r="I818" s="13"/>
      <c r="J818" s="13"/>
      <c r="K818" s="25"/>
      <c r="L818" s="25"/>
      <c r="M818" s="25"/>
      <c r="N818" s="25"/>
      <c r="O818" s="26"/>
      <c r="P818" s="16" t="str">
        <f aca="false">IF(O818="","",IFERROR(1/(1/(IF(K818="",INDEX(CONFIG!$F$5:$F$14,MATCH(D818,CONFIG!$D$5:$D$14,0)),K818)*IF(M818="",INDEX(CONFIG!$H$5:$H$14,MATCH(D818,CONFIG!$D$5:$D$14,0)),M818))),""))</f>
        <v/>
      </c>
      <c r="Q818" s="16" t="str">
        <f aca="false">IF(OR(O818="",P818=""),"",O818/P818)</f>
        <v/>
      </c>
      <c r="R818" s="16" t="str">
        <f aca="false">IF(Q818="","",Q818*0.0980665)</f>
        <v/>
      </c>
      <c r="S818" s="16" t="str">
        <f aca="false">IF(Q818="","",IFERROR(Q818/(1/(1/INDEX(CONFIG!$I$5:$I$14,MATCH(D818,CONFIG!$D$5:$D$14,0)))),""))</f>
        <v/>
      </c>
      <c r="T818" s="13"/>
      <c r="U818" s="13"/>
      <c r="V818" s="13"/>
      <c r="W818" s="13"/>
      <c r="X818" s="22" t="str">
        <f aca="false">IF(Q818="","",Q818^2)</f>
        <v/>
      </c>
      <c r="Y818" s="22" t="str">
        <f aca="false">IF(AND(C818&lt;&gt;"",C818=CERTIFICADO!$E$4,OR(CERTIFICADO!$E$5="",B818=CERTIFICADO!$E$5)),MAX($Y$4:Y817)+1,"")</f>
        <v/>
      </c>
    </row>
    <row r="819" customFormat="false" ht="15" hidden="false" customHeight="false" outlineLevel="0" collapsed="false">
      <c r="A819" s="11" t="str">
        <f aca="false">IF(C819="","",ROW()-4)</f>
        <v/>
      </c>
      <c r="B819" s="12"/>
      <c r="C819" s="13"/>
      <c r="D819" s="23" t="str">
        <f aca="false">IF(C819="","",IFERROR(INDEX(LOTES!$D$5:$D$1004,MATCH(C819,LOTES!$F$5:$F$1004,0)),"¿Lote?"))</f>
        <v/>
      </c>
      <c r="E819" s="11" t="str">
        <f aca="false">IF(C819="","",IFERROR(INDEX(LOTES!$C$5:$C$1004,MATCH(C819,LOTES!$F$5:$F$1004,0)),""))</f>
        <v/>
      </c>
      <c r="F819" s="24" t="str">
        <f aca="false">IF(C819="","",IFERROR(INDEX(LOTES!$B$5:$B$1004,MATCH(C819,LOTES!$F$5:$F$1004,0)),""))</f>
        <v/>
      </c>
      <c r="G819" s="15" t="str">
        <f aca="false">IF(OR(B819="",F819=""),"",B819-F819)</f>
        <v/>
      </c>
      <c r="H819" s="13"/>
      <c r="I819" s="13"/>
      <c r="J819" s="13"/>
      <c r="K819" s="25"/>
      <c r="L819" s="25"/>
      <c r="M819" s="25"/>
      <c r="N819" s="25"/>
      <c r="O819" s="26"/>
      <c r="P819" s="16" t="str">
        <f aca="false">IF(O819="","",IFERROR(1/(1/(IF(K819="",INDEX(CONFIG!$F$5:$F$14,MATCH(D819,CONFIG!$D$5:$D$14,0)),K819)*IF(M819="",INDEX(CONFIG!$H$5:$H$14,MATCH(D819,CONFIG!$D$5:$D$14,0)),M819))),""))</f>
        <v/>
      </c>
      <c r="Q819" s="16" t="str">
        <f aca="false">IF(OR(O819="",P819=""),"",O819/P819)</f>
        <v/>
      </c>
      <c r="R819" s="16" t="str">
        <f aca="false">IF(Q819="","",Q819*0.0980665)</f>
        <v/>
      </c>
      <c r="S819" s="16" t="str">
        <f aca="false">IF(Q819="","",IFERROR(Q819/(1/(1/INDEX(CONFIG!$I$5:$I$14,MATCH(D819,CONFIG!$D$5:$D$14,0)))),""))</f>
        <v/>
      </c>
      <c r="T819" s="13"/>
      <c r="U819" s="13"/>
      <c r="V819" s="13"/>
      <c r="W819" s="13"/>
      <c r="X819" s="22" t="str">
        <f aca="false">IF(Q819="","",Q819^2)</f>
        <v/>
      </c>
      <c r="Y819" s="22" t="str">
        <f aca="false">IF(AND(C819&lt;&gt;"",C819=CERTIFICADO!$E$4,OR(CERTIFICADO!$E$5="",B819=CERTIFICADO!$E$5)),MAX($Y$4:Y818)+1,"")</f>
        <v/>
      </c>
    </row>
    <row r="820" customFormat="false" ht="15" hidden="false" customHeight="false" outlineLevel="0" collapsed="false">
      <c r="A820" s="11" t="str">
        <f aca="false">IF(C820="","",ROW()-4)</f>
        <v/>
      </c>
      <c r="B820" s="12"/>
      <c r="C820" s="13"/>
      <c r="D820" s="23" t="str">
        <f aca="false">IF(C820="","",IFERROR(INDEX(LOTES!$D$5:$D$1004,MATCH(C820,LOTES!$F$5:$F$1004,0)),"¿Lote?"))</f>
        <v/>
      </c>
      <c r="E820" s="11" t="str">
        <f aca="false">IF(C820="","",IFERROR(INDEX(LOTES!$C$5:$C$1004,MATCH(C820,LOTES!$F$5:$F$1004,0)),""))</f>
        <v/>
      </c>
      <c r="F820" s="24" t="str">
        <f aca="false">IF(C820="","",IFERROR(INDEX(LOTES!$B$5:$B$1004,MATCH(C820,LOTES!$F$5:$F$1004,0)),""))</f>
        <v/>
      </c>
      <c r="G820" s="15" t="str">
        <f aca="false">IF(OR(B820="",F820=""),"",B820-F820)</f>
        <v/>
      </c>
      <c r="H820" s="13"/>
      <c r="I820" s="13"/>
      <c r="J820" s="13"/>
      <c r="K820" s="25"/>
      <c r="L820" s="25"/>
      <c r="M820" s="25"/>
      <c r="N820" s="25"/>
      <c r="O820" s="26"/>
      <c r="P820" s="16" t="str">
        <f aca="false">IF(O820="","",IFERROR(1/(1/(IF(K820="",INDEX(CONFIG!$F$5:$F$14,MATCH(D820,CONFIG!$D$5:$D$14,0)),K820)*IF(M820="",INDEX(CONFIG!$H$5:$H$14,MATCH(D820,CONFIG!$D$5:$D$14,0)),M820))),""))</f>
        <v/>
      </c>
      <c r="Q820" s="16" t="str">
        <f aca="false">IF(OR(O820="",P820=""),"",O820/P820)</f>
        <v/>
      </c>
      <c r="R820" s="16" t="str">
        <f aca="false">IF(Q820="","",Q820*0.0980665)</f>
        <v/>
      </c>
      <c r="S820" s="16" t="str">
        <f aca="false">IF(Q820="","",IFERROR(Q820/(1/(1/INDEX(CONFIG!$I$5:$I$14,MATCH(D820,CONFIG!$D$5:$D$14,0)))),""))</f>
        <v/>
      </c>
      <c r="T820" s="13"/>
      <c r="U820" s="13"/>
      <c r="V820" s="13"/>
      <c r="W820" s="13"/>
      <c r="X820" s="22" t="str">
        <f aca="false">IF(Q820="","",Q820^2)</f>
        <v/>
      </c>
      <c r="Y820" s="22" t="str">
        <f aca="false">IF(AND(C820&lt;&gt;"",C820=CERTIFICADO!$E$4,OR(CERTIFICADO!$E$5="",B820=CERTIFICADO!$E$5)),MAX($Y$4:Y819)+1,"")</f>
        <v/>
      </c>
    </row>
    <row r="821" customFormat="false" ht="15" hidden="false" customHeight="false" outlineLevel="0" collapsed="false">
      <c r="A821" s="11" t="str">
        <f aca="false">IF(C821="","",ROW()-4)</f>
        <v/>
      </c>
      <c r="B821" s="12"/>
      <c r="C821" s="13"/>
      <c r="D821" s="23" t="str">
        <f aca="false">IF(C821="","",IFERROR(INDEX(LOTES!$D$5:$D$1004,MATCH(C821,LOTES!$F$5:$F$1004,0)),"¿Lote?"))</f>
        <v/>
      </c>
      <c r="E821" s="11" t="str">
        <f aca="false">IF(C821="","",IFERROR(INDEX(LOTES!$C$5:$C$1004,MATCH(C821,LOTES!$F$5:$F$1004,0)),""))</f>
        <v/>
      </c>
      <c r="F821" s="24" t="str">
        <f aca="false">IF(C821="","",IFERROR(INDEX(LOTES!$B$5:$B$1004,MATCH(C821,LOTES!$F$5:$F$1004,0)),""))</f>
        <v/>
      </c>
      <c r="G821" s="15" t="str">
        <f aca="false">IF(OR(B821="",F821=""),"",B821-F821)</f>
        <v/>
      </c>
      <c r="H821" s="13"/>
      <c r="I821" s="13"/>
      <c r="J821" s="13"/>
      <c r="K821" s="25"/>
      <c r="L821" s="25"/>
      <c r="M821" s="25"/>
      <c r="N821" s="25"/>
      <c r="O821" s="26"/>
      <c r="P821" s="16" t="str">
        <f aca="false">IF(O821="","",IFERROR(1/(1/(IF(K821="",INDEX(CONFIG!$F$5:$F$14,MATCH(D821,CONFIG!$D$5:$D$14,0)),K821)*IF(M821="",INDEX(CONFIG!$H$5:$H$14,MATCH(D821,CONFIG!$D$5:$D$14,0)),M821))),""))</f>
        <v/>
      </c>
      <c r="Q821" s="16" t="str">
        <f aca="false">IF(OR(O821="",P821=""),"",O821/P821)</f>
        <v/>
      </c>
      <c r="R821" s="16" t="str">
        <f aca="false">IF(Q821="","",Q821*0.0980665)</f>
        <v/>
      </c>
      <c r="S821" s="16" t="str">
        <f aca="false">IF(Q821="","",IFERROR(Q821/(1/(1/INDEX(CONFIG!$I$5:$I$14,MATCH(D821,CONFIG!$D$5:$D$14,0)))),""))</f>
        <v/>
      </c>
      <c r="T821" s="13"/>
      <c r="U821" s="13"/>
      <c r="V821" s="13"/>
      <c r="W821" s="13"/>
      <c r="X821" s="22" t="str">
        <f aca="false">IF(Q821="","",Q821^2)</f>
        <v/>
      </c>
      <c r="Y821" s="22" t="str">
        <f aca="false">IF(AND(C821&lt;&gt;"",C821=CERTIFICADO!$E$4,OR(CERTIFICADO!$E$5="",B821=CERTIFICADO!$E$5)),MAX($Y$4:Y820)+1,"")</f>
        <v/>
      </c>
    </row>
    <row r="822" customFormat="false" ht="15" hidden="false" customHeight="false" outlineLevel="0" collapsed="false">
      <c r="A822" s="11" t="str">
        <f aca="false">IF(C822="","",ROW()-4)</f>
        <v/>
      </c>
      <c r="B822" s="12"/>
      <c r="C822" s="13"/>
      <c r="D822" s="23" t="str">
        <f aca="false">IF(C822="","",IFERROR(INDEX(LOTES!$D$5:$D$1004,MATCH(C822,LOTES!$F$5:$F$1004,0)),"¿Lote?"))</f>
        <v/>
      </c>
      <c r="E822" s="11" t="str">
        <f aca="false">IF(C822="","",IFERROR(INDEX(LOTES!$C$5:$C$1004,MATCH(C822,LOTES!$F$5:$F$1004,0)),""))</f>
        <v/>
      </c>
      <c r="F822" s="24" t="str">
        <f aca="false">IF(C822="","",IFERROR(INDEX(LOTES!$B$5:$B$1004,MATCH(C822,LOTES!$F$5:$F$1004,0)),""))</f>
        <v/>
      </c>
      <c r="G822" s="15" t="str">
        <f aca="false">IF(OR(B822="",F822=""),"",B822-F822)</f>
        <v/>
      </c>
      <c r="H822" s="13"/>
      <c r="I822" s="13"/>
      <c r="J822" s="13"/>
      <c r="K822" s="25"/>
      <c r="L822" s="25"/>
      <c r="M822" s="25"/>
      <c r="N822" s="25"/>
      <c r="O822" s="26"/>
      <c r="P822" s="16" t="str">
        <f aca="false">IF(O822="","",IFERROR(1/(1/(IF(K822="",INDEX(CONFIG!$F$5:$F$14,MATCH(D822,CONFIG!$D$5:$D$14,0)),K822)*IF(M822="",INDEX(CONFIG!$H$5:$H$14,MATCH(D822,CONFIG!$D$5:$D$14,0)),M822))),""))</f>
        <v/>
      </c>
      <c r="Q822" s="16" t="str">
        <f aca="false">IF(OR(O822="",P822=""),"",O822/P822)</f>
        <v/>
      </c>
      <c r="R822" s="16" t="str">
        <f aca="false">IF(Q822="","",Q822*0.0980665)</f>
        <v/>
      </c>
      <c r="S822" s="16" t="str">
        <f aca="false">IF(Q822="","",IFERROR(Q822/(1/(1/INDEX(CONFIG!$I$5:$I$14,MATCH(D822,CONFIG!$D$5:$D$14,0)))),""))</f>
        <v/>
      </c>
      <c r="T822" s="13"/>
      <c r="U822" s="13"/>
      <c r="V822" s="13"/>
      <c r="W822" s="13"/>
      <c r="X822" s="22" t="str">
        <f aca="false">IF(Q822="","",Q822^2)</f>
        <v/>
      </c>
      <c r="Y822" s="22" t="str">
        <f aca="false">IF(AND(C822&lt;&gt;"",C822=CERTIFICADO!$E$4,OR(CERTIFICADO!$E$5="",B822=CERTIFICADO!$E$5)),MAX($Y$4:Y821)+1,"")</f>
        <v/>
      </c>
    </row>
    <row r="823" customFormat="false" ht="15" hidden="false" customHeight="false" outlineLevel="0" collapsed="false">
      <c r="A823" s="11" t="str">
        <f aca="false">IF(C823="","",ROW()-4)</f>
        <v/>
      </c>
      <c r="B823" s="12"/>
      <c r="C823" s="13"/>
      <c r="D823" s="23" t="str">
        <f aca="false">IF(C823="","",IFERROR(INDEX(LOTES!$D$5:$D$1004,MATCH(C823,LOTES!$F$5:$F$1004,0)),"¿Lote?"))</f>
        <v/>
      </c>
      <c r="E823" s="11" t="str">
        <f aca="false">IF(C823="","",IFERROR(INDEX(LOTES!$C$5:$C$1004,MATCH(C823,LOTES!$F$5:$F$1004,0)),""))</f>
        <v/>
      </c>
      <c r="F823" s="24" t="str">
        <f aca="false">IF(C823="","",IFERROR(INDEX(LOTES!$B$5:$B$1004,MATCH(C823,LOTES!$F$5:$F$1004,0)),""))</f>
        <v/>
      </c>
      <c r="G823" s="15" t="str">
        <f aca="false">IF(OR(B823="",F823=""),"",B823-F823)</f>
        <v/>
      </c>
      <c r="H823" s="13"/>
      <c r="I823" s="13"/>
      <c r="J823" s="13"/>
      <c r="K823" s="25"/>
      <c r="L823" s="25"/>
      <c r="M823" s="25"/>
      <c r="N823" s="25"/>
      <c r="O823" s="26"/>
      <c r="P823" s="16" t="str">
        <f aca="false">IF(O823="","",IFERROR(1/(1/(IF(K823="",INDEX(CONFIG!$F$5:$F$14,MATCH(D823,CONFIG!$D$5:$D$14,0)),K823)*IF(M823="",INDEX(CONFIG!$H$5:$H$14,MATCH(D823,CONFIG!$D$5:$D$14,0)),M823))),""))</f>
        <v/>
      </c>
      <c r="Q823" s="16" t="str">
        <f aca="false">IF(OR(O823="",P823=""),"",O823/P823)</f>
        <v/>
      </c>
      <c r="R823" s="16" t="str">
        <f aca="false">IF(Q823="","",Q823*0.0980665)</f>
        <v/>
      </c>
      <c r="S823" s="16" t="str">
        <f aca="false">IF(Q823="","",IFERROR(Q823/(1/(1/INDEX(CONFIG!$I$5:$I$14,MATCH(D823,CONFIG!$D$5:$D$14,0)))),""))</f>
        <v/>
      </c>
      <c r="T823" s="13"/>
      <c r="U823" s="13"/>
      <c r="V823" s="13"/>
      <c r="W823" s="13"/>
      <c r="X823" s="22" t="str">
        <f aca="false">IF(Q823="","",Q823^2)</f>
        <v/>
      </c>
      <c r="Y823" s="22" t="str">
        <f aca="false">IF(AND(C823&lt;&gt;"",C823=CERTIFICADO!$E$4,OR(CERTIFICADO!$E$5="",B823=CERTIFICADO!$E$5)),MAX($Y$4:Y822)+1,"")</f>
        <v/>
      </c>
    </row>
    <row r="824" customFormat="false" ht="15" hidden="false" customHeight="false" outlineLevel="0" collapsed="false">
      <c r="A824" s="11" t="str">
        <f aca="false">IF(C824="","",ROW()-4)</f>
        <v/>
      </c>
      <c r="B824" s="12"/>
      <c r="C824" s="13"/>
      <c r="D824" s="23" t="str">
        <f aca="false">IF(C824="","",IFERROR(INDEX(LOTES!$D$5:$D$1004,MATCH(C824,LOTES!$F$5:$F$1004,0)),"¿Lote?"))</f>
        <v/>
      </c>
      <c r="E824" s="11" t="str">
        <f aca="false">IF(C824="","",IFERROR(INDEX(LOTES!$C$5:$C$1004,MATCH(C824,LOTES!$F$5:$F$1004,0)),""))</f>
        <v/>
      </c>
      <c r="F824" s="24" t="str">
        <f aca="false">IF(C824="","",IFERROR(INDEX(LOTES!$B$5:$B$1004,MATCH(C824,LOTES!$F$5:$F$1004,0)),""))</f>
        <v/>
      </c>
      <c r="G824" s="15" t="str">
        <f aca="false">IF(OR(B824="",F824=""),"",B824-F824)</f>
        <v/>
      </c>
      <c r="H824" s="13"/>
      <c r="I824" s="13"/>
      <c r="J824" s="13"/>
      <c r="K824" s="25"/>
      <c r="L824" s="25"/>
      <c r="M824" s="25"/>
      <c r="N824" s="25"/>
      <c r="O824" s="26"/>
      <c r="P824" s="16" t="str">
        <f aca="false">IF(O824="","",IFERROR(1/(1/(IF(K824="",INDEX(CONFIG!$F$5:$F$14,MATCH(D824,CONFIG!$D$5:$D$14,0)),K824)*IF(M824="",INDEX(CONFIG!$H$5:$H$14,MATCH(D824,CONFIG!$D$5:$D$14,0)),M824))),""))</f>
        <v/>
      </c>
      <c r="Q824" s="16" t="str">
        <f aca="false">IF(OR(O824="",P824=""),"",O824/P824)</f>
        <v/>
      </c>
      <c r="R824" s="16" t="str">
        <f aca="false">IF(Q824="","",Q824*0.0980665)</f>
        <v/>
      </c>
      <c r="S824" s="16" t="str">
        <f aca="false">IF(Q824="","",IFERROR(Q824/(1/(1/INDEX(CONFIG!$I$5:$I$14,MATCH(D824,CONFIG!$D$5:$D$14,0)))),""))</f>
        <v/>
      </c>
      <c r="T824" s="13"/>
      <c r="U824" s="13"/>
      <c r="V824" s="13"/>
      <c r="W824" s="13"/>
      <c r="X824" s="22" t="str">
        <f aca="false">IF(Q824="","",Q824^2)</f>
        <v/>
      </c>
      <c r="Y824" s="22" t="str">
        <f aca="false">IF(AND(C824&lt;&gt;"",C824=CERTIFICADO!$E$4,OR(CERTIFICADO!$E$5="",B824=CERTIFICADO!$E$5)),MAX($Y$4:Y823)+1,"")</f>
        <v/>
      </c>
    </row>
    <row r="825" customFormat="false" ht="15" hidden="false" customHeight="false" outlineLevel="0" collapsed="false">
      <c r="A825" s="11" t="str">
        <f aca="false">IF(C825="","",ROW()-4)</f>
        <v/>
      </c>
      <c r="B825" s="12"/>
      <c r="C825" s="13"/>
      <c r="D825" s="23" t="str">
        <f aca="false">IF(C825="","",IFERROR(INDEX(LOTES!$D$5:$D$1004,MATCH(C825,LOTES!$F$5:$F$1004,0)),"¿Lote?"))</f>
        <v/>
      </c>
      <c r="E825" s="11" t="str">
        <f aca="false">IF(C825="","",IFERROR(INDEX(LOTES!$C$5:$C$1004,MATCH(C825,LOTES!$F$5:$F$1004,0)),""))</f>
        <v/>
      </c>
      <c r="F825" s="24" t="str">
        <f aca="false">IF(C825="","",IFERROR(INDEX(LOTES!$B$5:$B$1004,MATCH(C825,LOTES!$F$5:$F$1004,0)),""))</f>
        <v/>
      </c>
      <c r="G825" s="15" t="str">
        <f aca="false">IF(OR(B825="",F825=""),"",B825-F825)</f>
        <v/>
      </c>
      <c r="H825" s="13"/>
      <c r="I825" s="13"/>
      <c r="J825" s="13"/>
      <c r="K825" s="25"/>
      <c r="L825" s="25"/>
      <c r="M825" s="25"/>
      <c r="N825" s="25"/>
      <c r="O825" s="26"/>
      <c r="P825" s="16" t="str">
        <f aca="false">IF(O825="","",IFERROR(1/(1/(IF(K825="",INDEX(CONFIG!$F$5:$F$14,MATCH(D825,CONFIG!$D$5:$D$14,0)),K825)*IF(M825="",INDEX(CONFIG!$H$5:$H$14,MATCH(D825,CONFIG!$D$5:$D$14,0)),M825))),""))</f>
        <v/>
      </c>
      <c r="Q825" s="16" t="str">
        <f aca="false">IF(OR(O825="",P825=""),"",O825/P825)</f>
        <v/>
      </c>
      <c r="R825" s="16" t="str">
        <f aca="false">IF(Q825="","",Q825*0.0980665)</f>
        <v/>
      </c>
      <c r="S825" s="16" t="str">
        <f aca="false">IF(Q825="","",IFERROR(Q825/(1/(1/INDEX(CONFIG!$I$5:$I$14,MATCH(D825,CONFIG!$D$5:$D$14,0)))),""))</f>
        <v/>
      </c>
      <c r="T825" s="13"/>
      <c r="U825" s="13"/>
      <c r="V825" s="13"/>
      <c r="W825" s="13"/>
      <c r="X825" s="22" t="str">
        <f aca="false">IF(Q825="","",Q825^2)</f>
        <v/>
      </c>
      <c r="Y825" s="22" t="str">
        <f aca="false">IF(AND(C825&lt;&gt;"",C825=CERTIFICADO!$E$4,OR(CERTIFICADO!$E$5="",B825=CERTIFICADO!$E$5)),MAX($Y$4:Y824)+1,"")</f>
        <v/>
      </c>
    </row>
    <row r="826" customFormat="false" ht="15" hidden="false" customHeight="false" outlineLevel="0" collapsed="false">
      <c r="A826" s="11" t="str">
        <f aca="false">IF(C826="","",ROW()-4)</f>
        <v/>
      </c>
      <c r="B826" s="12"/>
      <c r="C826" s="13"/>
      <c r="D826" s="23" t="str">
        <f aca="false">IF(C826="","",IFERROR(INDEX(LOTES!$D$5:$D$1004,MATCH(C826,LOTES!$F$5:$F$1004,0)),"¿Lote?"))</f>
        <v/>
      </c>
      <c r="E826" s="11" t="str">
        <f aca="false">IF(C826="","",IFERROR(INDEX(LOTES!$C$5:$C$1004,MATCH(C826,LOTES!$F$5:$F$1004,0)),""))</f>
        <v/>
      </c>
      <c r="F826" s="24" t="str">
        <f aca="false">IF(C826="","",IFERROR(INDEX(LOTES!$B$5:$B$1004,MATCH(C826,LOTES!$F$5:$F$1004,0)),""))</f>
        <v/>
      </c>
      <c r="G826" s="15" t="str">
        <f aca="false">IF(OR(B826="",F826=""),"",B826-F826)</f>
        <v/>
      </c>
      <c r="H826" s="13"/>
      <c r="I826" s="13"/>
      <c r="J826" s="13"/>
      <c r="K826" s="25"/>
      <c r="L826" s="25"/>
      <c r="M826" s="25"/>
      <c r="N826" s="25"/>
      <c r="O826" s="26"/>
      <c r="P826" s="16" t="str">
        <f aca="false">IF(O826="","",IFERROR(1/(1/(IF(K826="",INDEX(CONFIG!$F$5:$F$14,MATCH(D826,CONFIG!$D$5:$D$14,0)),K826)*IF(M826="",INDEX(CONFIG!$H$5:$H$14,MATCH(D826,CONFIG!$D$5:$D$14,0)),M826))),""))</f>
        <v/>
      </c>
      <c r="Q826" s="16" t="str">
        <f aca="false">IF(OR(O826="",P826=""),"",O826/P826)</f>
        <v/>
      </c>
      <c r="R826" s="16" t="str">
        <f aca="false">IF(Q826="","",Q826*0.0980665)</f>
        <v/>
      </c>
      <c r="S826" s="16" t="str">
        <f aca="false">IF(Q826="","",IFERROR(Q826/(1/(1/INDEX(CONFIG!$I$5:$I$14,MATCH(D826,CONFIG!$D$5:$D$14,0)))),""))</f>
        <v/>
      </c>
      <c r="T826" s="13"/>
      <c r="U826" s="13"/>
      <c r="V826" s="13"/>
      <c r="W826" s="13"/>
      <c r="X826" s="22" t="str">
        <f aca="false">IF(Q826="","",Q826^2)</f>
        <v/>
      </c>
      <c r="Y826" s="22" t="str">
        <f aca="false">IF(AND(C826&lt;&gt;"",C826=CERTIFICADO!$E$4,OR(CERTIFICADO!$E$5="",B826=CERTIFICADO!$E$5)),MAX($Y$4:Y825)+1,"")</f>
        <v/>
      </c>
    </row>
    <row r="827" customFormat="false" ht="15" hidden="false" customHeight="false" outlineLevel="0" collapsed="false">
      <c r="A827" s="11" t="str">
        <f aca="false">IF(C827="","",ROW()-4)</f>
        <v/>
      </c>
      <c r="B827" s="12"/>
      <c r="C827" s="13"/>
      <c r="D827" s="23" t="str">
        <f aca="false">IF(C827="","",IFERROR(INDEX(LOTES!$D$5:$D$1004,MATCH(C827,LOTES!$F$5:$F$1004,0)),"¿Lote?"))</f>
        <v/>
      </c>
      <c r="E827" s="11" t="str">
        <f aca="false">IF(C827="","",IFERROR(INDEX(LOTES!$C$5:$C$1004,MATCH(C827,LOTES!$F$5:$F$1004,0)),""))</f>
        <v/>
      </c>
      <c r="F827" s="24" t="str">
        <f aca="false">IF(C827="","",IFERROR(INDEX(LOTES!$B$5:$B$1004,MATCH(C827,LOTES!$F$5:$F$1004,0)),""))</f>
        <v/>
      </c>
      <c r="G827" s="15" t="str">
        <f aca="false">IF(OR(B827="",F827=""),"",B827-F827)</f>
        <v/>
      </c>
      <c r="H827" s="13"/>
      <c r="I827" s="13"/>
      <c r="J827" s="13"/>
      <c r="K827" s="25"/>
      <c r="L827" s="25"/>
      <c r="M827" s="25"/>
      <c r="N827" s="25"/>
      <c r="O827" s="26"/>
      <c r="P827" s="16" t="str">
        <f aca="false">IF(O827="","",IFERROR(1/(1/(IF(K827="",INDEX(CONFIG!$F$5:$F$14,MATCH(D827,CONFIG!$D$5:$D$14,0)),K827)*IF(M827="",INDEX(CONFIG!$H$5:$H$14,MATCH(D827,CONFIG!$D$5:$D$14,0)),M827))),""))</f>
        <v/>
      </c>
      <c r="Q827" s="16" t="str">
        <f aca="false">IF(OR(O827="",P827=""),"",O827/P827)</f>
        <v/>
      </c>
      <c r="R827" s="16" t="str">
        <f aca="false">IF(Q827="","",Q827*0.0980665)</f>
        <v/>
      </c>
      <c r="S827" s="16" t="str">
        <f aca="false">IF(Q827="","",IFERROR(Q827/(1/(1/INDEX(CONFIG!$I$5:$I$14,MATCH(D827,CONFIG!$D$5:$D$14,0)))),""))</f>
        <v/>
      </c>
      <c r="T827" s="13"/>
      <c r="U827" s="13"/>
      <c r="V827" s="13"/>
      <c r="W827" s="13"/>
      <c r="X827" s="22" t="str">
        <f aca="false">IF(Q827="","",Q827^2)</f>
        <v/>
      </c>
      <c r="Y827" s="22" t="str">
        <f aca="false">IF(AND(C827&lt;&gt;"",C827=CERTIFICADO!$E$4,OR(CERTIFICADO!$E$5="",B827=CERTIFICADO!$E$5)),MAX($Y$4:Y826)+1,"")</f>
        <v/>
      </c>
    </row>
    <row r="828" customFormat="false" ht="15" hidden="false" customHeight="false" outlineLevel="0" collapsed="false">
      <c r="A828" s="11" t="str">
        <f aca="false">IF(C828="","",ROW()-4)</f>
        <v/>
      </c>
      <c r="B828" s="12"/>
      <c r="C828" s="13"/>
      <c r="D828" s="23" t="str">
        <f aca="false">IF(C828="","",IFERROR(INDEX(LOTES!$D$5:$D$1004,MATCH(C828,LOTES!$F$5:$F$1004,0)),"¿Lote?"))</f>
        <v/>
      </c>
      <c r="E828" s="11" t="str">
        <f aca="false">IF(C828="","",IFERROR(INDEX(LOTES!$C$5:$C$1004,MATCH(C828,LOTES!$F$5:$F$1004,0)),""))</f>
        <v/>
      </c>
      <c r="F828" s="24" t="str">
        <f aca="false">IF(C828="","",IFERROR(INDEX(LOTES!$B$5:$B$1004,MATCH(C828,LOTES!$F$5:$F$1004,0)),""))</f>
        <v/>
      </c>
      <c r="G828" s="15" t="str">
        <f aca="false">IF(OR(B828="",F828=""),"",B828-F828)</f>
        <v/>
      </c>
      <c r="H828" s="13"/>
      <c r="I828" s="13"/>
      <c r="J828" s="13"/>
      <c r="K828" s="25"/>
      <c r="L828" s="25"/>
      <c r="M828" s="25"/>
      <c r="N828" s="25"/>
      <c r="O828" s="26"/>
      <c r="P828" s="16" t="str">
        <f aca="false">IF(O828="","",IFERROR(1/(1/(IF(K828="",INDEX(CONFIG!$F$5:$F$14,MATCH(D828,CONFIG!$D$5:$D$14,0)),K828)*IF(M828="",INDEX(CONFIG!$H$5:$H$14,MATCH(D828,CONFIG!$D$5:$D$14,0)),M828))),""))</f>
        <v/>
      </c>
      <c r="Q828" s="16" t="str">
        <f aca="false">IF(OR(O828="",P828=""),"",O828/P828)</f>
        <v/>
      </c>
      <c r="R828" s="16" t="str">
        <f aca="false">IF(Q828="","",Q828*0.0980665)</f>
        <v/>
      </c>
      <c r="S828" s="16" t="str">
        <f aca="false">IF(Q828="","",IFERROR(Q828/(1/(1/INDEX(CONFIG!$I$5:$I$14,MATCH(D828,CONFIG!$D$5:$D$14,0)))),""))</f>
        <v/>
      </c>
      <c r="T828" s="13"/>
      <c r="U828" s="13"/>
      <c r="V828" s="13"/>
      <c r="W828" s="13"/>
      <c r="X828" s="22" t="str">
        <f aca="false">IF(Q828="","",Q828^2)</f>
        <v/>
      </c>
      <c r="Y828" s="22" t="str">
        <f aca="false">IF(AND(C828&lt;&gt;"",C828=CERTIFICADO!$E$4,OR(CERTIFICADO!$E$5="",B828=CERTIFICADO!$E$5)),MAX($Y$4:Y827)+1,"")</f>
        <v/>
      </c>
    </row>
    <row r="829" customFormat="false" ht="15" hidden="false" customHeight="false" outlineLevel="0" collapsed="false">
      <c r="A829" s="11" t="str">
        <f aca="false">IF(C829="","",ROW()-4)</f>
        <v/>
      </c>
      <c r="B829" s="12"/>
      <c r="C829" s="13"/>
      <c r="D829" s="23" t="str">
        <f aca="false">IF(C829="","",IFERROR(INDEX(LOTES!$D$5:$D$1004,MATCH(C829,LOTES!$F$5:$F$1004,0)),"¿Lote?"))</f>
        <v/>
      </c>
      <c r="E829" s="11" t="str">
        <f aca="false">IF(C829="","",IFERROR(INDEX(LOTES!$C$5:$C$1004,MATCH(C829,LOTES!$F$5:$F$1004,0)),""))</f>
        <v/>
      </c>
      <c r="F829" s="24" t="str">
        <f aca="false">IF(C829="","",IFERROR(INDEX(LOTES!$B$5:$B$1004,MATCH(C829,LOTES!$F$5:$F$1004,0)),""))</f>
        <v/>
      </c>
      <c r="G829" s="15" t="str">
        <f aca="false">IF(OR(B829="",F829=""),"",B829-F829)</f>
        <v/>
      </c>
      <c r="H829" s="13"/>
      <c r="I829" s="13"/>
      <c r="J829" s="13"/>
      <c r="K829" s="25"/>
      <c r="L829" s="25"/>
      <c r="M829" s="25"/>
      <c r="N829" s="25"/>
      <c r="O829" s="26"/>
      <c r="P829" s="16" t="str">
        <f aca="false">IF(O829="","",IFERROR(1/(1/(IF(K829="",INDEX(CONFIG!$F$5:$F$14,MATCH(D829,CONFIG!$D$5:$D$14,0)),K829)*IF(M829="",INDEX(CONFIG!$H$5:$H$14,MATCH(D829,CONFIG!$D$5:$D$14,0)),M829))),""))</f>
        <v/>
      </c>
      <c r="Q829" s="16" t="str">
        <f aca="false">IF(OR(O829="",P829=""),"",O829/P829)</f>
        <v/>
      </c>
      <c r="R829" s="16" t="str">
        <f aca="false">IF(Q829="","",Q829*0.0980665)</f>
        <v/>
      </c>
      <c r="S829" s="16" t="str">
        <f aca="false">IF(Q829="","",IFERROR(Q829/(1/(1/INDEX(CONFIG!$I$5:$I$14,MATCH(D829,CONFIG!$D$5:$D$14,0)))),""))</f>
        <v/>
      </c>
      <c r="T829" s="13"/>
      <c r="U829" s="13"/>
      <c r="V829" s="13"/>
      <c r="W829" s="13"/>
      <c r="X829" s="22" t="str">
        <f aca="false">IF(Q829="","",Q829^2)</f>
        <v/>
      </c>
      <c r="Y829" s="22" t="str">
        <f aca="false">IF(AND(C829&lt;&gt;"",C829=CERTIFICADO!$E$4,OR(CERTIFICADO!$E$5="",B829=CERTIFICADO!$E$5)),MAX($Y$4:Y828)+1,"")</f>
        <v/>
      </c>
    </row>
    <row r="830" customFormat="false" ht="15" hidden="false" customHeight="false" outlineLevel="0" collapsed="false">
      <c r="A830" s="11" t="str">
        <f aca="false">IF(C830="","",ROW()-4)</f>
        <v/>
      </c>
      <c r="B830" s="12"/>
      <c r="C830" s="13"/>
      <c r="D830" s="23" t="str">
        <f aca="false">IF(C830="","",IFERROR(INDEX(LOTES!$D$5:$D$1004,MATCH(C830,LOTES!$F$5:$F$1004,0)),"¿Lote?"))</f>
        <v/>
      </c>
      <c r="E830" s="11" t="str">
        <f aca="false">IF(C830="","",IFERROR(INDEX(LOTES!$C$5:$C$1004,MATCH(C830,LOTES!$F$5:$F$1004,0)),""))</f>
        <v/>
      </c>
      <c r="F830" s="24" t="str">
        <f aca="false">IF(C830="","",IFERROR(INDEX(LOTES!$B$5:$B$1004,MATCH(C830,LOTES!$F$5:$F$1004,0)),""))</f>
        <v/>
      </c>
      <c r="G830" s="15" t="str">
        <f aca="false">IF(OR(B830="",F830=""),"",B830-F830)</f>
        <v/>
      </c>
      <c r="H830" s="13"/>
      <c r="I830" s="13"/>
      <c r="J830" s="13"/>
      <c r="K830" s="25"/>
      <c r="L830" s="25"/>
      <c r="M830" s="25"/>
      <c r="N830" s="25"/>
      <c r="O830" s="26"/>
      <c r="P830" s="16" t="str">
        <f aca="false">IF(O830="","",IFERROR(1/(1/(IF(K830="",INDEX(CONFIG!$F$5:$F$14,MATCH(D830,CONFIG!$D$5:$D$14,0)),K830)*IF(M830="",INDEX(CONFIG!$H$5:$H$14,MATCH(D830,CONFIG!$D$5:$D$14,0)),M830))),""))</f>
        <v/>
      </c>
      <c r="Q830" s="16" t="str">
        <f aca="false">IF(OR(O830="",P830=""),"",O830/P830)</f>
        <v/>
      </c>
      <c r="R830" s="16" t="str">
        <f aca="false">IF(Q830="","",Q830*0.0980665)</f>
        <v/>
      </c>
      <c r="S830" s="16" t="str">
        <f aca="false">IF(Q830="","",IFERROR(Q830/(1/(1/INDEX(CONFIG!$I$5:$I$14,MATCH(D830,CONFIG!$D$5:$D$14,0)))),""))</f>
        <v/>
      </c>
      <c r="T830" s="13"/>
      <c r="U830" s="13"/>
      <c r="V830" s="13"/>
      <c r="W830" s="13"/>
      <c r="X830" s="22" t="str">
        <f aca="false">IF(Q830="","",Q830^2)</f>
        <v/>
      </c>
      <c r="Y830" s="22" t="str">
        <f aca="false">IF(AND(C830&lt;&gt;"",C830=CERTIFICADO!$E$4,OR(CERTIFICADO!$E$5="",B830=CERTIFICADO!$E$5)),MAX($Y$4:Y829)+1,"")</f>
        <v/>
      </c>
    </row>
    <row r="831" customFormat="false" ht="15" hidden="false" customHeight="false" outlineLevel="0" collapsed="false">
      <c r="A831" s="11" t="str">
        <f aca="false">IF(C831="","",ROW()-4)</f>
        <v/>
      </c>
      <c r="B831" s="12"/>
      <c r="C831" s="13"/>
      <c r="D831" s="23" t="str">
        <f aca="false">IF(C831="","",IFERROR(INDEX(LOTES!$D$5:$D$1004,MATCH(C831,LOTES!$F$5:$F$1004,0)),"¿Lote?"))</f>
        <v/>
      </c>
      <c r="E831" s="11" t="str">
        <f aca="false">IF(C831="","",IFERROR(INDEX(LOTES!$C$5:$C$1004,MATCH(C831,LOTES!$F$5:$F$1004,0)),""))</f>
        <v/>
      </c>
      <c r="F831" s="24" t="str">
        <f aca="false">IF(C831="","",IFERROR(INDEX(LOTES!$B$5:$B$1004,MATCH(C831,LOTES!$F$5:$F$1004,0)),""))</f>
        <v/>
      </c>
      <c r="G831" s="15" t="str">
        <f aca="false">IF(OR(B831="",F831=""),"",B831-F831)</f>
        <v/>
      </c>
      <c r="H831" s="13"/>
      <c r="I831" s="13"/>
      <c r="J831" s="13"/>
      <c r="K831" s="25"/>
      <c r="L831" s="25"/>
      <c r="M831" s="25"/>
      <c r="N831" s="25"/>
      <c r="O831" s="26"/>
      <c r="P831" s="16" t="str">
        <f aca="false">IF(O831="","",IFERROR(1/(1/(IF(K831="",INDEX(CONFIG!$F$5:$F$14,MATCH(D831,CONFIG!$D$5:$D$14,0)),K831)*IF(M831="",INDEX(CONFIG!$H$5:$H$14,MATCH(D831,CONFIG!$D$5:$D$14,0)),M831))),""))</f>
        <v/>
      </c>
      <c r="Q831" s="16" t="str">
        <f aca="false">IF(OR(O831="",P831=""),"",O831/P831)</f>
        <v/>
      </c>
      <c r="R831" s="16" t="str">
        <f aca="false">IF(Q831="","",Q831*0.0980665)</f>
        <v/>
      </c>
      <c r="S831" s="16" t="str">
        <f aca="false">IF(Q831="","",IFERROR(Q831/(1/(1/INDEX(CONFIG!$I$5:$I$14,MATCH(D831,CONFIG!$D$5:$D$14,0)))),""))</f>
        <v/>
      </c>
      <c r="T831" s="13"/>
      <c r="U831" s="13"/>
      <c r="V831" s="13"/>
      <c r="W831" s="13"/>
      <c r="X831" s="22" t="str">
        <f aca="false">IF(Q831="","",Q831^2)</f>
        <v/>
      </c>
      <c r="Y831" s="22" t="str">
        <f aca="false">IF(AND(C831&lt;&gt;"",C831=CERTIFICADO!$E$4,OR(CERTIFICADO!$E$5="",B831=CERTIFICADO!$E$5)),MAX($Y$4:Y830)+1,"")</f>
        <v/>
      </c>
    </row>
    <row r="832" customFormat="false" ht="15" hidden="false" customHeight="false" outlineLevel="0" collapsed="false">
      <c r="A832" s="11" t="str">
        <f aca="false">IF(C832="","",ROW()-4)</f>
        <v/>
      </c>
      <c r="B832" s="12"/>
      <c r="C832" s="13"/>
      <c r="D832" s="23" t="str">
        <f aca="false">IF(C832="","",IFERROR(INDEX(LOTES!$D$5:$D$1004,MATCH(C832,LOTES!$F$5:$F$1004,0)),"¿Lote?"))</f>
        <v/>
      </c>
      <c r="E832" s="11" t="str">
        <f aca="false">IF(C832="","",IFERROR(INDEX(LOTES!$C$5:$C$1004,MATCH(C832,LOTES!$F$5:$F$1004,0)),""))</f>
        <v/>
      </c>
      <c r="F832" s="24" t="str">
        <f aca="false">IF(C832="","",IFERROR(INDEX(LOTES!$B$5:$B$1004,MATCH(C832,LOTES!$F$5:$F$1004,0)),""))</f>
        <v/>
      </c>
      <c r="G832" s="15" t="str">
        <f aca="false">IF(OR(B832="",F832=""),"",B832-F832)</f>
        <v/>
      </c>
      <c r="H832" s="13"/>
      <c r="I832" s="13"/>
      <c r="J832" s="13"/>
      <c r="K832" s="25"/>
      <c r="L832" s="25"/>
      <c r="M832" s="25"/>
      <c r="N832" s="25"/>
      <c r="O832" s="26"/>
      <c r="P832" s="16" t="str">
        <f aca="false">IF(O832="","",IFERROR(1/(1/(IF(K832="",INDEX(CONFIG!$F$5:$F$14,MATCH(D832,CONFIG!$D$5:$D$14,0)),K832)*IF(M832="",INDEX(CONFIG!$H$5:$H$14,MATCH(D832,CONFIG!$D$5:$D$14,0)),M832))),""))</f>
        <v/>
      </c>
      <c r="Q832" s="16" t="str">
        <f aca="false">IF(OR(O832="",P832=""),"",O832/P832)</f>
        <v/>
      </c>
      <c r="R832" s="16" t="str">
        <f aca="false">IF(Q832="","",Q832*0.0980665)</f>
        <v/>
      </c>
      <c r="S832" s="16" t="str">
        <f aca="false">IF(Q832="","",IFERROR(Q832/(1/(1/INDEX(CONFIG!$I$5:$I$14,MATCH(D832,CONFIG!$D$5:$D$14,0)))),""))</f>
        <v/>
      </c>
      <c r="T832" s="13"/>
      <c r="U832" s="13"/>
      <c r="V832" s="13"/>
      <c r="W832" s="13"/>
      <c r="X832" s="22" t="str">
        <f aca="false">IF(Q832="","",Q832^2)</f>
        <v/>
      </c>
      <c r="Y832" s="22" t="str">
        <f aca="false">IF(AND(C832&lt;&gt;"",C832=CERTIFICADO!$E$4,OR(CERTIFICADO!$E$5="",B832=CERTIFICADO!$E$5)),MAX($Y$4:Y831)+1,"")</f>
        <v/>
      </c>
    </row>
    <row r="833" customFormat="false" ht="15" hidden="false" customHeight="false" outlineLevel="0" collapsed="false">
      <c r="A833" s="11" t="str">
        <f aca="false">IF(C833="","",ROW()-4)</f>
        <v/>
      </c>
      <c r="B833" s="12"/>
      <c r="C833" s="13"/>
      <c r="D833" s="23" t="str">
        <f aca="false">IF(C833="","",IFERROR(INDEX(LOTES!$D$5:$D$1004,MATCH(C833,LOTES!$F$5:$F$1004,0)),"¿Lote?"))</f>
        <v/>
      </c>
      <c r="E833" s="11" t="str">
        <f aca="false">IF(C833="","",IFERROR(INDEX(LOTES!$C$5:$C$1004,MATCH(C833,LOTES!$F$5:$F$1004,0)),""))</f>
        <v/>
      </c>
      <c r="F833" s="24" t="str">
        <f aca="false">IF(C833="","",IFERROR(INDEX(LOTES!$B$5:$B$1004,MATCH(C833,LOTES!$F$5:$F$1004,0)),""))</f>
        <v/>
      </c>
      <c r="G833" s="15" t="str">
        <f aca="false">IF(OR(B833="",F833=""),"",B833-F833)</f>
        <v/>
      </c>
      <c r="H833" s="13"/>
      <c r="I833" s="13"/>
      <c r="J833" s="13"/>
      <c r="K833" s="25"/>
      <c r="L833" s="25"/>
      <c r="M833" s="25"/>
      <c r="N833" s="25"/>
      <c r="O833" s="26"/>
      <c r="P833" s="16" t="str">
        <f aca="false">IF(O833="","",IFERROR(1/(1/(IF(K833="",INDEX(CONFIG!$F$5:$F$14,MATCH(D833,CONFIG!$D$5:$D$14,0)),K833)*IF(M833="",INDEX(CONFIG!$H$5:$H$14,MATCH(D833,CONFIG!$D$5:$D$14,0)),M833))),""))</f>
        <v/>
      </c>
      <c r="Q833" s="16" t="str">
        <f aca="false">IF(OR(O833="",P833=""),"",O833/P833)</f>
        <v/>
      </c>
      <c r="R833" s="16" t="str">
        <f aca="false">IF(Q833="","",Q833*0.0980665)</f>
        <v/>
      </c>
      <c r="S833" s="16" t="str">
        <f aca="false">IF(Q833="","",IFERROR(Q833/(1/(1/INDEX(CONFIG!$I$5:$I$14,MATCH(D833,CONFIG!$D$5:$D$14,0)))),""))</f>
        <v/>
      </c>
      <c r="T833" s="13"/>
      <c r="U833" s="13"/>
      <c r="V833" s="13"/>
      <c r="W833" s="13"/>
      <c r="X833" s="22" t="str">
        <f aca="false">IF(Q833="","",Q833^2)</f>
        <v/>
      </c>
      <c r="Y833" s="22" t="str">
        <f aca="false">IF(AND(C833&lt;&gt;"",C833=CERTIFICADO!$E$4,OR(CERTIFICADO!$E$5="",B833=CERTIFICADO!$E$5)),MAX($Y$4:Y832)+1,"")</f>
        <v/>
      </c>
    </row>
    <row r="834" customFormat="false" ht="15" hidden="false" customHeight="false" outlineLevel="0" collapsed="false">
      <c r="A834" s="11" t="str">
        <f aca="false">IF(C834="","",ROW()-4)</f>
        <v/>
      </c>
      <c r="B834" s="12"/>
      <c r="C834" s="13"/>
      <c r="D834" s="23" t="str">
        <f aca="false">IF(C834="","",IFERROR(INDEX(LOTES!$D$5:$D$1004,MATCH(C834,LOTES!$F$5:$F$1004,0)),"¿Lote?"))</f>
        <v/>
      </c>
      <c r="E834" s="11" t="str">
        <f aca="false">IF(C834="","",IFERROR(INDEX(LOTES!$C$5:$C$1004,MATCH(C834,LOTES!$F$5:$F$1004,0)),""))</f>
        <v/>
      </c>
      <c r="F834" s="24" t="str">
        <f aca="false">IF(C834="","",IFERROR(INDEX(LOTES!$B$5:$B$1004,MATCH(C834,LOTES!$F$5:$F$1004,0)),""))</f>
        <v/>
      </c>
      <c r="G834" s="15" t="str">
        <f aca="false">IF(OR(B834="",F834=""),"",B834-F834)</f>
        <v/>
      </c>
      <c r="H834" s="13"/>
      <c r="I834" s="13"/>
      <c r="J834" s="13"/>
      <c r="K834" s="25"/>
      <c r="L834" s="25"/>
      <c r="M834" s="25"/>
      <c r="N834" s="25"/>
      <c r="O834" s="26"/>
      <c r="P834" s="16" t="str">
        <f aca="false">IF(O834="","",IFERROR(1/(1/(IF(K834="",INDEX(CONFIG!$F$5:$F$14,MATCH(D834,CONFIG!$D$5:$D$14,0)),K834)*IF(M834="",INDEX(CONFIG!$H$5:$H$14,MATCH(D834,CONFIG!$D$5:$D$14,0)),M834))),""))</f>
        <v/>
      </c>
      <c r="Q834" s="16" t="str">
        <f aca="false">IF(OR(O834="",P834=""),"",O834/P834)</f>
        <v/>
      </c>
      <c r="R834" s="16" t="str">
        <f aca="false">IF(Q834="","",Q834*0.0980665)</f>
        <v/>
      </c>
      <c r="S834" s="16" t="str">
        <f aca="false">IF(Q834="","",IFERROR(Q834/(1/(1/INDEX(CONFIG!$I$5:$I$14,MATCH(D834,CONFIG!$D$5:$D$14,0)))),""))</f>
        <v/>
      </c>
      <c r="T834" s="13"/>
      <c r="U834" s="13"/>
      <c r="V834" s="13"/>
      <c r="W834" s="13"/>
      <c r="X834" s="22" t="str">
        <f aca="false">IF(Q834="","",Q834^2)</f>
        <v/>
      </c>
      <c r="Y834" s="22" t="str">
        <f aca="false">IF(AND(C834&lt;&gt;"",C834=CERTIFICADO!$E$4,OR(CERTIFICADO!$E$5="",B834=CERTIFICADO!$E$5)),MAX($Y$4:Y833)+1,"")</f>
        <v/>
      </c>
    </row>
    <row r="835" customFormat="false" ht="15" hidden="false" customHeight="false" outlineLevel="0" collapsed="false">
      <c r="A835" s="11" t="str">
        <f aca="false">IF(C835="","",ROW()-4)</f>
        <v/>
      </c>
      <c r="B835" s="12"/>
      <c r="C835" s="13"/>
      <c r="D835" s="23" t="str">
        <f aca="false">IF(C835="","",IFERROR(INDEX(LOTES!$D$5:$D$1004,MATCH(C835,LOTES!$F$5:$F$1004,0)),"¿Lote?"))</f>
        <v/>
      </c>
      <c r="E835" s="11" t="str">
        <f aca="false">IF(C835="","",IFERROR(INDEX(LOTES!$C$5:$C$1004,MATCH(C835,LOTES!$F$5:$F$1004,0)),""))</f>
        <v/>
      </c>
      <c r="F835" s="24" t="str">
        <f aca="false">IF(C835="","",IFERROR(INDEX(LOTES!$B$5:$B$1004,MATCH(C835,LOTES!$F$5:$F$1004,0)),""))</f>
        <v/>
      </c>
      <c r="G835" s="15" t="str">
        <f aca="false">IF(OR(B835="",F835=""),"",B835-F835)</f>
        <v/>
      </c>
      <c r="H835" s="13"/>
      <c r="I835" s="13"/>
      <c r="J835" s="13"/>
      <c r="K835" s="25"/>
      <c r="L835" s="25"/>
      <c r="M835" s="25"/>
      <c r="N835" s="25"/>
      <c r="O835" s="26"/>
      <c r="P835" s="16" t="str">
        <f aca="false">IF(O835="","",IFERROR(1/(1/(IF(K835="",INDEX(CONFIG!$F$5:$F$14,MATCH(D835,CONFIG!$D$5:$D$14,0)),K835)*IF(M835="",INDEX(CONFIG!$H$5:$H$14,MATCH(D835,CONFIG!$D$5:$D$14,0)),M835))),""))</f>
        <v/>
      </c>
      <c r="Q835" s="16" t="str">
        <f aca="false">IF(OR(O835="",P835=""),"",O835/P835)</f>
        <v/>
      </c>
      <c r="R835" s="16" t="str">
        <f aca="false">IF(Q835="","",Q835*0.0980665)</f>
        <v/>
      </c>
      <c r="S835" s="16" t="str">
        <f aca="false">IF(Q835="","",IFERROR(Q835/(1/(1/INDEX(CONFIG!$I$5:$I$14,MATCH(D835,CONFIG!$D$5:$D$14,0)))),""))</f>
        <v/>
      </c>
      <c r="T835" s="13"/>
      <c r="U835" s="13"/>
      <c r="V835" s="13"/>
      <c r="W835" s="13"/>
      <c r="X835" s="22" t="str">
        <f aca="false">IF(Q835="","",Q835^2)</f>
        <v/>
      </c>
      <c r="Y835" s="22" t="str">
        <f aca="false">IF(AND(C835&lt;&gt;"",C835=CERTIFICADO!$E$4,OR(CERTIFICADO!$E$5="",B835=CERTIFICADO!$E$5)),MAX($Y$4:Y834)+1,"")</f>
        <v/>
      </c>
    </row>
    <row r="836" customFormat="false" ht="15" hidden="false" customHeight="false" outlineLevel="0" collapsed="false">
      <c r="A836" s="11" t="str">
        <f aca="false">IF(C836="","",ROW()-4)</f>
        <v/>
      </c>
      <c r="B836" s="12"/>
      <c r="C836" s="13"/>
      <c r="D836" s="23" t="str">
        <f aca="false">IF(C836="","",IFERROR(INDEX(LOTES!$D$5:$D$1004,MATCH(C836,LOTES!$F$5:$F$1004,0)),"¿Lote?"))</f>
        <v/>
      </c>
      <c r="E836" s="11" t="str">
        <f aca="false">IF(C836="","",IFERROR(INDEX(LOTES!$C$5:$C$1004,MATCH(C836,LOTES!$F$5:$F$1004,0)),""))</f>
        <v/>
      </c>
      <c r="F836" s="24" t="str">
        <f aca="false">IF(C836="","",IFERROR(INDEX(LOTES!$B$5:$B$1004,MATCH(C836,LOTES!$F$5:$F$1004,0)),""))</f>
        <v/>
      </c>
      <c r="G836" s="15" t="str">
        <f aca="false">IF(OR(B836="",F836=""),"",B836-F836)</f>
        <v/>
      </c>
      <c r="H836" s="13"/>
      <c r="I836" s="13"/>
      <c r="J836" s="13"/>
      <c r="K836" s="25"/>
      <c r="L836" s="25"/>
      <c r="M836" s="25"/>
      <c r="N836" s="25"/>
      <c r="O836" s="26"/>
      <c r="P836" s="16" t="str">
        <f aca="false">IF(O836="","",IFERROR(1/(1/(IF(K836="",INDEX(CONFIG!$F$5:$F$14,MATCH(D836,CONFIG!$D$5:$D$14,0)),K836)*IF(M836="",INDEX(CONFIG!$H$5:$H$14,MATCH(D836,CONFIG!$D$5:$D$14,0)),M836))),""))</f>
        <v/>
      </c>
      <c r="Q836" s="16" t="str">
        <f aca="false">IF(OR(O836="",P836=""),"",O836/P836)</f>
        <v/>
      </c>
      <c r="R836" s="16" t="str">
        <f aca="false">IF(Q836="","",Q836*0.0980665)</f>
        <v/>
      </c>
      <c r="S836" s="16" t="str">
        <f aca="false">IF(Q836="","",IFERROR(Q836/(1/(1/INDEX(CONFIG!$I$5:$I$14,MATCH(D836,CONFIG!$D$5:$D$14,0)))),""))</f>
        <v/>
      </c>
      <c r="T836" s="13"/>
      <c r="U836" s="13"/>
      <c r="V836" s="13"/>
      <c r="W836" s="13"/>
      <c r="X836" s="22" t="str">
        <f aca="false">IF(Q836="","",Q836^2)</f>
        <v/>
      </c>
      <c r="Y836" s="22" t="str">
        <f aca="false">IF(AND(C836&lt;&gt;"",C836=CERTIFICADO!$E$4,OR(CERTIFICADO!$E$5="",B836=CERTIFICADO!$E$5)),MAX($Y$4:Y835)+1,"")</f>
        <v/>
      </c>
    </row>
    <row r="837" customFormat="false" ht="15" hidden="false" customHeight="false" outlineLevel="0" collapsed="false">
      <c r="A837" s="11" t="str">
        <f aca="false">IF(C837="","",ROW()-4)</f>
        <v/>
      </c>
      <c r="B837" s="12"/>
      <c r="C837" s="13"/>
      <c r="D837" s="23" t="str">
        <f aca="false">IF(C837="","",IFERROR(INDEX(LOTES!$D$5:$D$1004,MATCH(C837,LOTES!$F$5:$F$1004,0)),"¿Lote?"))</f>
        <v/>
      </c>
      <c r="E837" s="11" t="str">
        <f aca="false">IF(C837="","",IFERROR(INDEX(LOTES!$C$5:$C$1004,MATCH(C837,LOTES!$F$5:$F$1004,0)),""))</f>
        <v/>
      </c>
      <c r="F837" s="24" t="str">
        <f aca="false">IF(C837="","",IFERROR(INDEX(LOTES!$B$5:$B$1004,MATCH(C837,LOTES!$F$5:$F$1004,0)),""))</f>
        <v/>
      </c>
      <c r="G837" s="15" t="str">
        <f aca="false">IF(OR(B837="",F837=""),"",B837-F837)</f>
        <v/>
      </c>
      <c r="H837" s="13"/>
      <c r="I837" s="13"/>
      <c r="J837" s="13"/>
      <c r="K837" s="25"/>
      <c r="L837" s="25"/>
      <c r="M837" s="25"/>
      <c r="N837" s="25"/>
      <c r="O837" s="26"/>
      <c r="P837" s="16" t="str">
        <f aca="false">IF(O837="","",IFERROR(1/(1/(IF(K837="",INDEX(CONFIG!$F$5:$F$14,MATCH(D837,CONFIG!$D$5:$D$14,0)),K837)*IF(M837="",INDEX(CONFIG!$H$5:$H$14,MATCH(D837,CONFIG!$D$5:$D$14,0)),M837))),""))</f>
        <v/>
      </c>
      <c r="Q837" s="16" t="str">
        <f aca="false">IF(OR(O837="",P837=""),"",O837/P837)</f>
        <v/>
      </c>
      <c r="R837" s="16" t="str">
        <f aca="false">IF(Q837="","",Q837*0.0980665)</f>
        <v/>
      </c>
      <c r="S837" s="16" t="str">
        <f aca="false">IF(Q837="","",IFERROR(Q837/(1/(1/INDEX(CONFIG!$I$5:$I$14,MATCH(D837,CONFIG!$D$5:$D$14,0)))),""))</f>
        <v/>
      </c>
      <c r="T837" s="13"/>
      <c r="U837" s="13"/>
      <c r="V837" s="13"/>
      <c r="W837" s="13"/>
      <c r="X837" s="22" t="str">
        <f aca="false">IF(Q837="","",Q837^2)</f>
        <v/>
      </c>
      <c r="Y837" s="22" t="str">
        <f aca="false">IF(AND(C837&lt;&gt;"",C837=CERTIFICADO!$E$4,OR(CERTIFICADO!$E$5="",B837=CERTIFICADO!$E$5)),MAX($Y$4:Y836)+1,"")</f>
        <v/>
      </c>
    </row>
    <row r="838" customFormat="false" ht="15" hidden="false" customHeight="false" outlineLevel="0" collapsed="false">
      <c r="A838" s="11" t="str">
        <f aca="false">IF(C838="","",ROW()-4)</f>
        <v/>
      </c>
      <c r="B838" s="12"/>
      <c r="C838" s="13"/>
      <c r="D838" s="23" t="str">
        <f aca="false">IF(C838="","",IFERROR(INDEX(LOTES!$D$5:$D$1004,MATCH(C838,LOTES!$F$5:$F$1004,0)),"¿Lote?"))</f>
        <v/>
      </c>
      <c r="E838" s="11" t="str">
        <f aca="false">IF(C838="","",IFERROR(INDEX(LOTES!$C$5:$C$1004,MATCH(C838,LOTES!$F$5:$F$1004,0)),""))</f>
        <v/>
      </c>
      <c r="F838" s="24" t="str">
        <f aca="false">IF(C838="","",IFERROR(INDEX(LOTES!$B$5:$B$1004,MATCH(C838,LOTES!$F$5:$F$1004,0)),""))</f>
        <v/>
      </c>
      <c r="G838" s="15" t="str">
        <f aca="false">IF(OR(B838="",F838=""),"",B838-F838)</f>
        <v/>
      </c>
      <c r="H838" s="13"/>
      <c r="I838" s="13"/>
      <c r="J838" s="13"/>
      <c r="K838" s="25"/>
      <c r="L838" s="25"/>
      <c r="M838" s="25"/>
      <c r="N838" s="25"/>
      <c r="O838" s="26"/>
      <c r="P838" s="16" t="str">
        <f aca="false">IF(O838="","",IFERROR(1/(1/(IF(K838="",INDEX(CONFIG!$F$5:$F$14,MATCH(D838,CONFIG!$D$5:$D$14,0)),K838)*IF(M838="",INDEX(CONFIG!$H$5:$H$14,MATCH(D838,CONFIG!$D$5:$D$14,0)),M838))),""))</f>
        <v/>
      </c>
      <c r="Q838" s="16" t="str">
        <f aca="false">IF(OR(O838="",P838=""),"",O838/P838)</f>
        <v/>
      </c>
      <c r="R838" s="16" t="str">
        <f aca="false">IF(Q838="","",Q838*0.0980665)</f>
        <v/>
      </c>
      <c r="S838" s="16" t="str">
        <f aca="false">IF(Q838="","",IFERROR(Q838/(1/(1/INDEX(CONFIG!$I$5:$I$14,MATCH(D838,CONFIG!$D$5:$D$14,0)))),""))</f>
        <v/>
      </c>
      <c r="T838" s="13"/>
      <c r="U838" s="13"/>
      <c r="V838" s="13"/>
      <c r="W838" s="13"/>
      <c r="X838" s="22" t="str">
        <f aca="false">IF(Q838="","",Q838^2)</f>
        <v/>
      </c>
      <c r="Y838" s="22" t="str">
        <f aca="false">IF(AND(C838&lt;&gt;"",C838=CERTIFICADO!$E$4,OR(CERTIFICADO!$E$5="",B838=CERTIFICADO!$E$5)),MAX($Y$4:Y837)+1,"")</f>
        <v/>
      </c>
    </row>
    <row r="839" customFormat="false" ht="15" hidden="false" customHeight="false" outlineLevel="0" collapsed="false">
      <c r="A839" s="11" t="str">
        <f aca="false">IF(C839="","",ROW()-4)</f>
        <v/>
      </c>
      <c r="B839" s="12"/>
      <c r="C839" s="13"/>
      <c r="D839" s="23" t="str">
        <f aca="false">IF(C839="","",IFERROR(INDEX(LOTES!$D$5:$D$1004,MATCH(C839,LOTES!$F$5:$F$1004,0)),"¿Lote?"))</f>
        <v/>
      </c>
      <c r="E839" s="11" t="str">
        <f aca="false">IF(C839="","",IFERROR(INDEX(LOTES!$C$5:$C$1004,MATCH(C839,LOTES!$F$5:$F$1004,0)),""))</f>
        <v/>
      </c>
      <c r="F839" s="24" t="str">
        <f aca="false">IF(C839="","",IFERROR(INDEX(LOTES!$B$5:$B$1004,MATCH(C839,LOTES!$F$5:$F$1004,0)),""))</f>
        <v/>
      </c>
      <c r="G839" s="15" t="str">
        <f aca="false">IF(OR(B839="",F839=""),"",B839-F839)</f>
        <v/>
      </c>
      <c r="H839" s="13"/>
      <c r="I839" s="13"/>
      <c r="J839" s="13"/>
      <c r="K839" s="25"/>
      <c r="L839" s="25"/>
      <c r="M839" s="25"/>
      <c r="N839" s="25"/>
      <c r="O839" s="26"/>
      <c r="P839" s="16" t="str">
        <f aca="false">IF(O839="","",IFERROR(1/(1/(IF(K839="",INDEX(CONFIG!$F$5:$F$14,MATCH(D839,CONFIG!$D$5:$D$14,0)),K839)*IF(M839="",INDEX(CONFIG!$H$5:$H$14,MATCH(D839,CONFIG!$D$5:$D$14,0)),M839))),""))</f>
        <v/>
      </c>
      <c r="Q839" s="16" t="str">
        <f aca="false">IF(OR(O839="",P839=""),"",O839/P839)</f>
        <v/>
      </c>
      <c r="R839" s="16" t="str">
        <f aca="false">IF(Q839="","",Q839*0.0980665)</f>
        <v/>
      </c>
      <c r="S839" s="16" t="str">
        <f aca="false">IF(Q839="","",IFERROR(Q839/(1/(1/INDEX(CONFIG!$I$5:$I$14,MATCH(D839,CONFIG!$D$5:$D$14,0)))),""))</f>
        <v/>
      </c>
      <c r="T839" s="13"/>
      <c r="U839" s="13"/>
      <c r="V839" s="13"/>
      <c r="W839" s="13"/>
      <c r="X839" s="22" t="str">
        <f aca="false">IF(Q839="","",Q839^2)</f>
        <v/>
      </c>
      <c r="Y839" s="22" t="str">
        <f aca="false">IF(AND(C839&lt;&gt;"",C839=CERTIFICADO!$E$4,OR(CERTIFICADO!$E$5="",B839=CERTIFICADO!$E$5)),MAX($Y$4:Y838)+1,"")</f>
        <v/>
      </c>
    </row>
    <row r="840" customFormat="false" ht="15" hidden="false" customHeight="false" outlineLevel="0" collapsed="false">
      <c r="A840" s="11" t="str">
        <f aca="false">IF(C840="","",ROW()-4)</f>
        <v/>
      </c>
      <c r="B840" s="12"/>
      <c r="C840" s="13"/>
      <c r="D840" s="23" t="str">
        <f aca="false">IF(C840="","",IFERROR(INDEX(LOTES!$D$5:$D$1004,MATCH(C840,LOTES!$F$5:$F$1004,0)),"¿Lote?"))</f>
        <v/>
      </c>
      <c r="E840" s="11" t="str">
        <f aca="false">IF(C840="","",IFERROR(INDEX(LOTES!$C$5:$C$1004,MATCH(C840,LOTES!$F$5:$F$1004,0)),""))</f>
        <v/>
      </c>
      <c r="F840" s="24" t="str">
        <f aca="false">IF(C840="","",IFERROR(INDEX(LOTES!$B$5:$B$1004,MATCH(C840,LOTES!$F$5:$F$1004,0)),""))</f>
        <v/>
      </c>
      <c r="G840" s="15" t="str">
        <f aca="false">IF(OR(B840="",F840=""),"",B840-F840)</f>
        <v/>
      </c>
      <c r="H840" s="13"/>
      <c r="I840" s="13"/>
      <c r="J840" s="13"/>
      <c r="K840" s="25"/>
      <c r="L840" s="25"/>
      <c r="M840" s="25"/>
      <c r="N840" s="25"/>
      <c r="O840" s="26"/>
      <c r="P840" s="16" t="str">
        <f aca="false">IF(O840="","",IFERROR(1/(1/(IF(K840="",INDEX(CONFIG!$F$5:$F$14,MATCH(D840,CONFIG!$D$5:$D$14,0)),K840)*IF(M840="",INDEX(CONFIG!$H$5:$H$14,MATCH(D840,CONFIG!$D$5:$D$14,0)),M840))),""))</f>
        <v/>
      </c>
      <c r="Q840" s="16" t="str">
        <f aca="false">IF(OR(O840="",P840=""),"",O840/P840)</f>
        <v/>
      </c>
      <c r="R840" s="16" t="str">
        <f aca="false">IF(Q840="","",Q840*0.0980665)</f>
        <v/>
      </c>
      <c r="S840" s="16" t="str">
        <f aca="false">IF(Q840="","",IFERROR(Q840/(1/(1/INDEX(CONFIG!$I$5:$I$14,MATCH(D840,CONFIG!$D$5:$D$14,0)))),""))</f>
        <v/>
      </c>
      <c r="T840" s="13"/>
      <c r="U840" s="13"/>
      <c r="V840" s="13"/>
      <c r="W840" s="13"/>
      <c r="X840" s="22" t="str">
        <f aca="false">IF(Q840="","",Q840^2)</f>
        <v/>
      </c>
      <c r="Y840" s="22" t="str">
        <f aca="false">IF(AND(C840&lt;&gt;"",C840=CERTIFICADO!$E$4,OR(CERTIFICADO!$E$5="",B840=CERTIFICADO!$E$5)),MAX($Y$4:Y839)+1,"")</f>
        <v/>
      </c>
    </row>
    <row r="841" customFormat="false" ht="15" hidden="false" customHeight="false" outlineLevel="0" collapsed="false">
      <c r="A841" s="11" t="str">
        <f aca="false">IF(C841="","",ROW()-4)</f>
        <v/>
      </c>
      <c r="B841" s="12"/>
      <c r="C841" s="13"/>
      <c r="D841" s="23" t="str">
        <f aca="false">IF(C841="","",IFERROR(INDEX(LOTES!$D$5:$D$1004,MATCH(C841,LOTES!$F$5:$F$1004,0)),"¿Lote?"))</f>
        <v/>
      </c>
      <c r="E841" s="11" t="str">
        <f aca="false">IF(C841="","",IFERROR(INDEX(LOTES!$C$5:$C$1004,MATCH(C841,LOTES!$F$5:$F$1004,0)),""))</f>
        <v/>
      </c>
      <c r="F841" s="24" t="str">
        <f aca="false">IF(C841="","",IFERROR(INDEX(LOTES!$B$5:$B$1004,MATCH(C841,LOTES!$F$5:$F$1004,0)),""))</f>
        <v/>
      </c>
      <c r="G841" s="15" t="str">
        <f aca="false">IF(OR(B841="",F841=""),"",B841-F841)</f>
        <v/>
      </c>
      <c r="H841" s="13"/>
      <c r="I841" s="13"/>
      <c r="J841" s="13"/>
      <c r="K841" s="25"/>
      <c r="L841" s="25"/>
      <c r="M841" s="25"/>
      <c r="N841" s="25"/>
      <c r="O841" s="26"/>
      <c r="P841" s="16" t="str">
        <f aca="false">IF(O841="","",IFERROR(1/(1/(IF(K841="",INDEX(CONFIG!$F$5:$F$14,MATCH(D841,CONFIG!$D$5:$D$14,0)),K841)*IF(M841="",INDEX(CONFIG!$H$5:$H$14,MATCH(D841,CONFIG!$D$5:$D$14,0)),M841))),""))</f>
        <v/>
      </c>
      <c r="Q841" s="16" t="str">
        <f aca="false">IF(OR(O841="",P841=""),"",O841/P841)</f>
        <v/>
      </c>
      <c r="R841" s="16" t="str">
        <f aca="false">IF(Q841="","",Q841*0.0980665)</f>
        <v/>
      </c>
      <c r="S841" s="16" t="str">
        <f aca="false">IF(Q841="","",IFERROR(Q841/(1/(1/INDEX(CONFIG!$I$5:$I$14,MATCH(D841,CONFIG!$D$5:$D$14,0)))),""))</f>
        <v/>
      </c>
      <c r="T841" s="13"/>
      <c r="U841" s="13"/>
      <c r="V841" s="13"/>
      <c r="W841" s="13"/>
      <c r="X841" s="22" t="str">
        <f aca="false">IF(Q841="","",Q841^2)</f>
        <v/>
      </c>
      <c r="Y841" s="22" t="str">
        <f aca="false">IF(AND(C841&lt;&gt;"",C841=CERTIFICADO!$E$4,OR(CERTIFICADO!$E$5="",B841=CERTIFICADO!$E$5)),MAX($Y$4:Y840)+1,"")</f>
        <v/>
      </c>
    </row>
    <row r="842" customFormat="false" ht="15" hidden="false" customHeight="false" outlineLevel="0" collapsed="false">
      <c r="A842" s="11" t="str">
        <f aca="false">IF(C842="","",ROW()-4)</f>
        <v/>
      </c>
      <c r="B842" s="12"/>
      <c r="C842" s="13"/>
      <c r="D842" s="23" t="str">
        <f aca="false">IF(C842="","",IFERROR(INDEX(LOTES!$D$5:$D$1004,MATCH(C842,LOTES!$F$5:$F$1004,0)),"¿Lote?"))</f>
        <v/>
      </c>
      <c r="E842" s="11" t="str">
        <f aca="false">IF(C842="","",IFERROR(INDEX(LOTES!$C$5:$C$1004,MATCH(C842,LOTES!$F$5:$F$1004,0)),""))</f>
        <v/>
      </c>
      <c r="F842" s="24" t="str">
        <f aca="false">IF(C842="","",IFERROR(INDEX(LOTES!$B$5:$B$1004,MATCH(C842,LOTES!$F$5:$F$1004,0)),""))</f>
        <v/>
      </c>
      <c r="G842" s="15" t="str">
        <f aca="false">IF(OR(B842="",F842=""),"",B842-F842)</f>
        <v/>
      </c>
      <c r="H842" s="13"/>
      <c r="I842" s="13"/>
      <c r="J842" s="13"/>
      <c r="K842" s="25"/>
      <c r="L842" s="25"/>
      <c r="M842" s="25"/>
      <c r="N842" s="25"/>
      <c r="O842" s="26"/>
      <c r="P842" s="16" t="str">
        <f aca="false">IF(O842="","",IFERROR(1/(1/(IF(K842="",INDEX(CONFIG!$F$5:$F$14,MATCH(D842,CONFIG!$D$5:$D$14,0)),K842)*IF(M842="",INDEX(CONFIG!$H$5:$H$14,MATCH(D842,CONFIG!$D$5:$D$14,0)),M842))),""))</f>
        <v/>
      </c>
      <c r="Q842" s="16" t="str">
        <f aca="false">IF(OR(O842="",P842=""),"",O842/P842)</f>
        <v/>
      </c>
      <c r="R842" s="16" t="str">
        <f aca="false">IF(Q842="","",Q842*0.0980665)</f>
        <v/>
      </c>
      <c r="S842" s="16" t="str">
        <f aca="false">IF(Q842="","",IFERROR(Q842/(1/(1/INDEX(CONFIG!$I$5:$I$14,MATCH(D842,CONFIG!$D$5:$D$14,0)))),""))</f>
        <v/>
      </c>
      <c r="T842" s="13"/>
      <c r="U842" s="13"/>
      <c r="V842" s="13"/>
      <c r="W842" s="13"/>
      <c r="X842" s="22" t="str">
        <f aca="false">IF(Q842="","",Q842^2)</f>
        <v/>
      </c>
      <c r="Y842" s="22" t="str">
        <f aca="false">IF(AND(C842&lt;&gt;"",C842=CERTIFICADO!$E$4,OR(CERTIFICADO!$E$5="",B842=CERTIFICADO!$E$5)),MAX($Y$4:Y841)+1,"")</f>
        <v/>
      </c>
    </row>
    <row r="843" customFormat="false" ht="15" hidden="false" customHeight="false" outlineLevel="0" collapsed="false">
      <c r="A843" s="11" t="str">
        <f aca="false">IF(C843="","",ROW()-4)</f>
        <v/>
      </c>
      <c r="B843" s="12"/>
      <c r="C843" s="13"/>
      <c r="D843" s="23" t="str">
        <f aca="false">IF(C843="","",IFERROR(INDEX(LOTES!$D$5:$D$1004,MATCH(C843,LOTES!$F$5:$F$1004,0)),"¿Lote?"))</f>
        <v/>
      </c>
      <c r="E843" s="11" t="str">
        <f aca="false">IF(C843="","",IFERROR(INDEX(LOTES!$C$5:$C$1004,MATCH(C843,LOTES!$F$5:$F$1004,0)),""))</f>
        <v/>
      </c>
      <c r="F843" s="24" t="str">
        <f aca="false">IF(C843="","",IFERROR(INDEX(LOTES!$B$5:$B$1004,MATCH(C843,LOTES!$F$5:$F$1004,0)),""))</f>
        <v/>
      </c>
      <c r="G843" s="15" t="str">
        <f aca="false">IF(OR(B843="",F843=""),"",B843-F843)</f>
        <v/>
      </c>
      <c r="H843" s="13"/>
      <c r="I843" s="13"/>
      <c r="J843" s="13"/>
      <c r="K843" s="25"/>
      <c r="L843" s="25"/>
      <c r="M843" s="25"/>
      <c r="N843" s="25"/>
      <c r="O843" s="26"/>
      <c r="P843" s="16" t="str">
        <f aca="false">IF(O843="","",IFERROR(1/(1/(IF(K843="",INDEX(CONFIG!$F$5:$F$14,MATCH(D843,CONFIG!$D$5:$D$14,0)),K843)*IF(M843="",INDEX(CONFIG!$H$5:$H$14,MATCH(D843,CONFIG!$D$5:$D$14,0)),M843))),""))</f>
        <v/>
      </c>
      <c r="Q843" s="16" t="str">
        <f aca="false">IF(OR(O843="",P843=""),"",O843/P843)</f>
        <v/>
      </c>
      <c r="R843" s="16" t="str">
        <f aca="false">IF(Q843="","",Q843*0.0980665)</f>
        <v/>
      </c>
      <c r="S843" s="16" t="str">
        <f aca="false">IF(Q843="","",IFERROR(Q843/(1/(1/INDEX(CONFIG!$I$5:$I$14,MATCH(D843,CONFIG!$D$5:$D$14,0)))),""))</f>
        <v/>
      </c>
      <c r="T843" s="13"/>
      <c r="U843" s="13"/>
      <c r="V843" s="13"/>
      <c r="W843" s="13"/>
      <c r="X843" s="22" t="str">
        <f aca="false">IF(Q843="","",Q843^2)</f>
        <v/>
      </c>
      <c r="Y843" s="22" t="str">
        <f aca="false">IF(AND(C843&lt;&gt;"",C843=CERTIFICADO!$E$4,OR(CERTIFICADO!$E$5="",B843=CERTIFICADO!$E$5)),MAX($Y$4:Y842)+1,"")</f>
        <v/>
      </c>
    </row>
    <row r="844" customFormat="false" ht="15" hidden="false" customHeight="false" outlineLevel="0" collapsed="false">
      <c r="A844" s="11" t="str">
        <f aca="false">IF(C844="","",ROW()-4)</f>
        <v/>
      </c>
      <c r="B844" s="12"/>
      <c r="C844" s="13"/>
      <c r="D844" s="23" t="str">
        <f aca="false">IF(C844="","",IFERROR(INDEX(LOTES!$D$5:$D$1004,MATCH(C844,LOTES!$F$5:$F$1004,0)),"¿Lote?"))</f>
        <v/>
      </c>
      <c r="E844" s="11" t="str">
        <f aca="false">IF(C844="","",IFERROR(INDEX(LOTES!$C$5:$C$1004,MATCH(C844,LOTES!$F$5:$F$1004,0)),""))</f>
        <v/>
      </c>
      <c r="F844" s="24" t="str">
        <f aca="false">IF(C844="","",IFERROR(INDEX(LOTES!$B$5:$B$1004,MATCH(C844,LOTES!$F$5:$F$1004,0)),""))</f>
        <v/>
      </c>
      <c r="G844" s="15" t="str">
        <f aca="false">IF(OR(B844="",F844=""),"",B844-F844)</f>
        <v/>
      </c>
      <c r="H844" s="13"/>
      <c r="I844" s="13"/>
      <c r="J844" s="13"/>
      <c r="K844" s="25"/>
      <c r="L844" s="25"/>
      <c r="M844" s="25"/>
      <c r="N844" s="25"/>
      <c r="O844" s="26"/>
      <c r="P844" s="16" t="str">
        <f aca="false">IF(O844="","",IFERROR(1/(1/(IF(K844="",INDEX(CONFIG!$F$5:$F$14,MATCH(D844,CONFIG!$D$5:$D$14,0)),K844)*IF(M844="",INDEX(CONFIG!$H$5:$H$14,MATCH(D844,CONFIG!$D$5:$D$14,0)),M844))),""))</f>
        <v/>
      </c>
      <c r="Q844" s="16" t="str">
        <f aca="false">IF(OR(O844="",P844=""),"",O844/P844)</f>
        <v/>
      </c>
      <c r="R844" s="16" t="str">
        <f aca="false">IF(Q844="","",Q844*0.0980665)</f>
        <v/>
      </c>
      <c r="S844" s="16" t="str">
        <f aca="false">IF(Q844="","",IFERROR(Q844/(1/(1/INDEX(CONFIG!$I$5:$I$14,MATCH(D844,CONFIG!$D$5:$D$14,0)))),""))</f>
        <v/>
      </c>
      <c r="T844" s="13"/>
      <c r="U844" s="13"/>
      <c r="V844" s="13"/>
      <c r="W844" s="13"/>
      <c r="X844" s="22" t="str">
        <f aca="false">IF(Q844="","",Q844^2)</f>
        <v/>
      </c>
      <c r="Y844" s="22" t="str">
        <f aca="false">IF(AND(C844&lt;&gt;"",C844=CERTIFICADO!$E$4,OR(CERTIFICADO!$E$5="",B844=CERTIFICADO!$E$5)),MAX($Y$4:Y843)+1,"")</f>
        <v/>
      </c>
    </row>
    <row r="845" customFormat="false" ht="15" hidden="false" customHeight="false" outlineLevel="0" collapsed="false">
      <c r="A845" s="11" t="str">
        <f aca="false">IF(C845="","",ROW()-4)</f>
        <v/>
      </c>
      <c r="B845" s="12"/>
      <c r="C845" s="13"/>
      <c r="D845" s="23" t="str">
        <f aca="false">IF(C845="","",IFERROR(INDEX(LOTES!$D$5:$D$1004,MATCH(C845,LOTES!$F$5:$F$1004,0)),"¿Lote?"))</f>
        <v/>
      </c>
      <c r="E845" s="11" t="str">
        <f aca="false">IF(C845="","",IFERROR(INDEX(LOTES!$C$5:$C$1004,MATCH(C845,LOTES!$F$5:$F$1004,0)),""))</f>
        <v/>
      </c>
      <c r="F845" s="24" t="str">
        <f aca="false">IF(C845="","",IFERROR(INDEX(LOTES!$B$5:$B$1004,MATCH(C845,LOTES!$F$5:$F$1004,0)),""))</f>
        <v/>
      </c>
      <c r="G845" s="15" t="str">
        <f aca="false">IF(OR(B845="",F845=""),"",B845-F845)</f>
        <v/>
      </c>
      <c r="H845" s="13"/>
      <c r="I845" s="13"/>
      <c r="J845" s="13"/>
      <c r="K845" s="25"/>
      <c r="L845" s="25"/>
      <c r="M845" s="25"/>
      <c r="N845" s="25"/>
      <c r="O845" s="26"/>
      <c r="P845" s="16" t="str">
        <f aca="false">IF(O845="","",IFERROR(1/(1/(IF(K845="",INDEX(CONFIG!$F$5:$F$14,MATCH(D845,CONFIG!$D$5:$D$14,0)),K845)*IF(M845="",INDEX(CONFIG!$H$5:$H$14,MATCH(D845,CONFIG!$D$5:$D$14,0)),M845))),""))</f>
        <v/>
      </c>
      <c r="Q845" s="16" t="str">
        <f aca="false">IF(OR(O845="",P845=""),"",O845/P845)</f>
        <v/>
      </c>
      <c r="R845" s="16" t="str">
        <f aca="false">IF(Q845="","",Q845*0.0980665)</f>
        <v/>
      </c>
      <c r="S845" s="16" t="str">
        <f aca="false">IF(Q845="","",IFERROR(Q845/(1/(1/INDEX(CONFIG!$I$5:$I$14,MATCH(D845,CONFIG!$D$5:$D$14,0)))),""))</f>
        <v/>
      </c>
      <c r="T845" s="13"/>
      <c r="U845" s="13"/>
      <c r="V845" s="13"/>
      <c r="W845" s="13"/>
      <c r="X845" s="22" t="str">
        <f aca="false">IF(Q845="","",Q845^2)</f>
        <v/>
      </c>
      <c r="Y845" s="22" t="str">
        <f aca="false">IF(AND(C845&lt;&gt;"",C845=CERTIFICADO!$E$4,OR(CERTIFICADO!$E$5="",B845=CERTIFICADO!$E$5)),MAX($Y$4:Y844)+1,"")</f>
        <v/>
      </c>
    </row>
    <row r="846" customFormat="false" ht="15" hidden="false" customHeight="false" outlineLevel="0" collapsed="false">
      <c r="A846" s="11" t="str">
        <f aca="false">IF(C846="","",ROW()-4)</f>
        <v/>
      </c>
      <c r="B846" s="12"/>
      <c r="C846" s="13"/>
      <c r="D846" s="23" t="str">
        <f aca="false">IF(C846="","",IFERROR(INDEX(LOTES!$D$5:$D$1004,MATCH(C846,LOTES!$F$5:$F$1004,0)),"¿Lote?"))</f>
        <v/>
      </c>
      <c r="E846" s="11" t="str">
        <f aca="false">IF(C846="","",IFERROR(INDEX(LOTES!$C$5:$C$1004,MATCH(C846,LOTES!$F$5:$F$1004,0)),""))</f>
        <v/>
      </c>
      <c r="F846" s="24" t="str">
        <f aca="false">IF(C846="","",IFERROR(INDEX(LOTES!$B$5:$B$1004,MATCH(C846,LOTES!$F$5:$F$1004,0)),""))</f>
        <v/>
      </c>
      <c r="G846" s="15" t="str">
        <f aca="false">IF(OR(B846="",F846=""),"",B846-F846)</f>
        <v/>
      </c>
      <c r="H846" s="13"/>
      <c r="I846" s="13"/>
      <c r="J846" s="13"/>
      <c r="K846" s="25"/>
      <c r="L846" s="25"/>
      <c r="M846" s="25"/>
      <c r="N846" s="25"/>
      <c r="O846" s="26"/>
      <c r="P846" s="16" t="str">
        <f aca="false">IF(O846="","",IFERROR(1/(1/(IF(K846="",INDEX(CONFIG!$F$5:$F$14,MATCH(D846,CONFIG!$D$5:$D$14,0)),K846)*IF(M846="",INDEX(CONFIG!$H$5:$H$14,MATCH(D846,CONFIG!$D$5:$D$14,0)),M846))),""))</f>
        <v/>
      </c>
      <c r="Q846" s="16" t="str">
        <f aca="false">IF(OR(O846="",P846=""),"",O846/P846)</f>
        <v/>
      </c>
      <c r="R846" s="16" t="str">
        <f aca="false">IF(Q846="","",Q846*0.0980665)</f>
        <v/>
      </c>
      <c r="S846" s="16" t="str">
        <f aca="false">IF(Q846="","",IFERROR(Q846/(1/(1/INDEX(CONFIG!$I$5:$I$14,MATCH(D846,CONFIG!$D$5:$D$14,0)))),""))</f>
        <v/>
      </c>
      <c r="T846" s="13"/>
      <c r="U846" s="13"/>
      <c r="V846" s="13"/>
      <c r="W846" s="13"/>
      <c r="X846" s="22" t="str">
        <f aca="false">IF(Q846="","",Q846^2)</f>
        <v/>
      </c>
      <c r="Y846" s="22" t="str">
        <f aca="false">IF(AND(C846&lt;&gt;"",C846=CERTIFICADO!$E$4,OR(CERTIFICADO!$E$5="",B846=CERTIFICADO!$E$5)),MAX($Y$4:Y845)+1,"")</f>
        <v/>
      </c>
    </row>
    <row r="847" customFormat="false" ht="15" hidden="false" customHeight="false" outlineLevel="0" collapsed="false">
      <c r="A847" s="11" t="str">
        <f aca="false">IF(C847="","",ROW()-4)</f>
        <v/>
      </c>
      <c r="B847" s="12"/>
      <c r="C847" s="13"/>
      <c r="D847" s="23" t="str">
        <f aca="false">IF(C847="","",IFERROR(INDEX(LOTES!$D$5:$D$1004,MATCH(C847,LOTES!$F$5:$F$1004,0)),"¿Lote?"))</f>
        <v/>
      </c>
      <c r="E847" s="11" t="str">
        <f aca="false">IF(C847="","",IFERROR(INDEX(LOTES!$C$5:$C$1004,MATCH(C847,LOTES!$F$5:$F$1004,0)),""))</f>
        <v/>
      </c>
      <c r="F847" s="24" t="str">
        <f aca="false">IF(C847="","",IFERROR(INDEX(LOTES!$B$5:$B$1004,MATCH(C847,LOTES!$F$5:$F$1004,0)),""))</f>
        <v/>
      </c>
      <c r="G847" s="15" t="str">
        <f aca="false">IF(OR(B847="",F847=""),"",B847-F847)</f>
        <v/>
      </c>
      <c r="H847" s="13"/>
      <c r="I847" s="13"/>
      <c r="J847" s="13"/>
      <c r="K847" s="25"/>
      <c r="L847" s="25"/>
      <c r="M847" s="25"/>
      <c r="N847" s="25"/>
      <c r="O847" s="26"/>
      <c r="P847" s="16" t="str">
        <f aca="false">IF(O847="","",IFERROR(1/(1/(IF(K847="",INDEX(CONFIG!$F$5:$F$14,MATCH(D847,CONFIG!$D$5:$D$14,0)),K847)*IF(M847="",INDEX(CONFIG!$H$5:$H$14,MATCH(D847,CONFIG!$D$5:$D$14,0)),M847))),""))</f>
        <v/>
      </c>
      <c r="Q847" s="16" t="str">
        <f aca="false">IF(OR(O847="",P847=""),"",O847/P847)</f>
        <v/>
      </c>
      <c r="R847" s="16" t="str">
        <f aca="false">IF(Q847="","",Q847*0.0980665)</f>
        <v/>
      </c>
      <c r="S847" s="16" t="str">
        <f aca="false">IF(Q847="","",IFERROR(Q847/(1/(1/INDEX(CONFIG!$I$5:$I$14,MATCH(D847,CONFIG!$D$5:$D$14,0)))),""))</f>
        <v/>
      </c>
      <c r="T847" s="13"/>
      <c r="U847" s="13"/>
      <c r="V847" s="13"/>
      <c r="W847" s="13"/>
      <c r="X847" s="22" t="str">
        <f aca="false">IF(Q847="","",Q847^2)</f>
        <v/>
      </c>
      <c r="Y847" s="22" t="str">
        <f aca="false">IF(AND(C847&lt;&gt;"",C847=CERTIFICADO!$E$4,OR(CERTIFICADO!$E$5="",B847=CERTIFICADO!$E$5)),MAX($Y$4:Y846)+1,"")</f>
        <v/>
      </c>
    </row>
    <row r="848" customFormat="false" ht="15" hidden="false" customHeight="false" outlineLevel="0" collapsed="false">
      <c r="A848" s="11" t="str">
        <f aca="false">IF(C848="","",ROW()-4)</f>
        <v/>
      </c>
      <c r="B848" s="12"/>
      <c r="C848" s="13"/>
      <c r="D848" s="23" t="str">
        <f aca="false">IF(C848="","",IFERROR(INDEX(LOTES!$D$5:$D$1004,MATCH(C848,LOTES!$F$5:$F$1004,0)),"¿Lote?"))</f>
        <v/>
      </c>
      <c r="E848" s="11" t="str">
        <f aca="false">IF(C848="","",IFERROR(INDEX(LOTES!$C$5:$C$1004,MATCH(C848,LOTES!$F$5:$F$1004,0)),""))</f>
        <v/>
      </c>
      <c r="F848" s="24" t="str">
        <f aca="false">IF(C848="","",IFERROR(INDEX(LOTES!$B$5:$B$1004,MATCH(C848,LOTES!$F$5:$F$1004,0)),""))</f>
        <v/>
      </c>
      <c r="G848" s="15" t="str">
        <f aca="false">IF(OR(B848="",F848=""),"",B848-F848)</f>
        <v/>
      </c>
      <c r="H848" s="13"/>
      <c r="I848" s="13"/>
      <c r="J848" s="13"/>
      <c r="K848" s="25"/>
      <c r="L848" s="25"/>
      <c r="M848" s="25"/>
      <c r="N848" s="25"/>
      <c r="O848" s="26"/>
      <c r="P848" s="16" t="str">
        <f aca="false">IF(O848="","",IFERROR(1/(1/(IF(K848="",INDEX(CONFIG!$F$5:$F$14,MATCH(D848,CONFIG!$D$5:$D$14,0)),K848)*IF(M848="",INDEX(CONFIG!$H$5:$H$14,MATCH(D848,CONFIG!$D$5:$D$14,0)),M848))),""))</f>
        <v/>
      </c>
      <c r="Q848" s="16" t="str">
        <f aca="false">IF(OR(O848="",P848=""),"",O848/P848)</f>
        <v/>
      </c>
      <c r="R848" s="16" t="str">
        <f aca="false">IF(Q848="","",Q848*0.0980665)</f>
        <v/>
      </c>
      <c r="S848" s="16" t="str">
        <f aca="false">IF(Q848="","",IFERROR(Q848/(1/(1/INDEX(CONFIG!$I$5:$I$14,MATCH(D848,CONFIG!$D$5:$D$14,0)))),""))</f>
        <v/>
      </c>
      <c r="T848" s="13"/>
      <c r="U848" s="13"/>
      <c r="V848" s="13"/>
      <c r="W848" s="13"/>
      <c r="X848" s="22" t="str">
        <f aca="false">IF(Q848="","",Q848^2)</f>
        <v/>
      </c>
      <c r="Y848" s="22" t="str">
        <f aca="false">IF(AND(C848&lt;&gt;"",C848=CERTIFICADO!$E$4,OR(CERTIFICADO!$E$5="",B848=CERTIFICADO!$E$5)),MAX($Y$4:Y847)+1,"")</f>
        <v/>
      </c>
    </row>
    <row r="849" customFormat="false" ht="15" hidden="false" customHeight="false" outlineLevel="0" collapsed="false">
      <c r="A849" s="11" t="str">
        <f aca="false">IF(C849="","",ROW()-4)</f>
        <v/>
      </c>
      <c r="B849" s="12"/>
      <c r="C849" s="13"/>
      <c r="D849" s="23" t="str">
        <f aca="false">IF(C849="","",IFERROR(INDEX(LOTES!$D$5:$D$1004,MATCH(C849,LOTES!$F$5:$F$1004,0)),"¿Lote?"))</f>
        <v/>
      </c>
      <c r="E849" s="11" t="str">
        <f aca="false">IF(C849="","",IFERROR(INDEX(LOTES!$C$5:$C$1004,MATCH(C849,LOTES!$F$5:$F$1004,0)),""))</f>
        <v/>
      </c>
      <c r="F849" s="24" t="str">
        <f aca="false">IF(C849="","",IFERROR(INDEX(LOTES!$B$5:$B$1004,MATCH(C849,LOTES!$F$5:$F$1004,0)),""))</f>
        <v/>
      </c>
      <c r="G849" s="15" t="str">
        <f aca="false">IF(OR(B849="",F849=""),"",B849-F849)</f>
        <v/>
      </c>
      <c r="H849" s="13"/>
      <c r="I849" s="13"/>
      <c r="J849" s="13"/>
      <c r="K849" s="25"/>
      <c r="L849" s="25"/>
      <c r="M849" s="25"/>
      <c r="N849" s="25"/>
      <c r="O849" s="26"/>
      <c r="P849" s="16" t="str">
        <f aca="false">IF(O849="","",IFERROR(1/(1/(IF(K849="",INDEX(CONFIG!$F$5:$F$14,MATCH(D849,CONFIG!$D$5:$D$14,0)),K849)*IF(M849="",INDEX(CONFIG!$H$5:$H$14,MATCH(D849,CONFIG!$D$5:$D$14,0)),M849))),""))</f>
        <v/>
      </c>
      <c r="Q849" s="16" t="str">
        <f aca="false">IF(OR(O849="",P849=""),"",O849/P849)</f>
        <v/>
      </c>
      <c r="R849" s="16" t="str">
        <f aca="false">IF(Q849="","",Q849*0.0980665)</f>
        <v/>
      </c>
      <c r="S849" s="16" t="str">
        <f aca="false">IF(Q849="","",IFERROR(Q849/(1/(1/INDEX(CONFIG!$I$5:$I$14,MATCH(D849,CONFIG!$D$5:$D$14,0)))),""))</f>
        <v/>
      </c>
      <c r="T849" s="13"/>
      <c r="U849" s="13"/>
      <c r="V849" s="13"/>
      <c r="W849" s="13"/>
      <c r="X849" s="22" t="str">
        <f aca="false">IF(Q849="","",Q849^2)</f>
        <v/>
      </c>
      <c r="Y849" s="22" t="str">
        <f aca="false">IF(AND(C849&lt;&gt;"",C849=CERTIFICADO!$E$4,OR(CERTIFICADO!$E$5="",B849=CERTIFICADO!$E$5)),MAX($Y$4:Y848)+1,"")</f>
        <v/>
      </c>
    </row>
    <row r="850" customFormat="false" ht="15" hidden="false" customHeight="false" outlineLevel="0" collapsed="false">
      <c r="A850" s="11" t="str">
        <f aca="false">IF(C850="","",ROW()-4)</f>
        <v/>
      </c>
      <c r="B850" s="12"/>
      <c r="C850" s="13"/>
      <c r="D850" s="23" t="str">
        <f aca="false">IF(C850="","",IFERROR(INDEX(LOTES!$D$5:$D$1004,MATCH(C850,LOTES!$F$5:$F$1004,0)),"¿Lote?"))</f>
        <v/>
      </c>
      <c r="E850" s="11" t="str">
        <f aca="false">IF(C850="","",IFERROR(INDEX(LOTES!$C$5:$C$1004,MATCH(C850,LOTES!$F$5:$F$1004,0)),""))</f>
        <v/>
      </c>
      <c r="F850" s="24" t="str">
        <f aca="false">IF(C850="","",IFERROR(INDEX(LOTES!$B$5:$B$1004,MATCH(C850,LOTES!$F$5:$F$1004,0)),""))</f>
        <v/>
      </c>
      <c r="G850" s="15" t="str">
        <f aca="false">IF(OR(B850="",F850=""),"",B850-F850)</f>
        <v/>
      </c>
      <c r="H850" s="13"/>
      <c r="I850" s="13"/>
      <c r="J850" s="13"/>
      <c r="K850" s="25"/>
      <c r="L850" s="25"/>
      <c r="M850" s="25"/>
      <c r="N850" s="25"/>
      <c r="O850" s="26"/>
      <c r="P850" s="16" t="str">
        <f aca="false">IF(O850="","",IFERROR(1/(1/(IF(K850="",INDEX(CONFIG!$F$5:$F$14,MATCH(D850,CONFIG!$D$5:$D$14,0)),K850)*IF(M850="",INDEX(CONFIG!$H$5:$H$14,MATCH(D850,CONFIG!$D$5:$D$14,0)),M850))),""))</f>
        <v/>
      </c>
      <c r="Q850" s="16" t="str">
        <f aca="false">IF(OR(O850="",P850=""),"",O850/P850)</f>
        <v/>
      </c>
      <c r="R850" s="16" t="str">
        <f aca="false">IF(Q850="","",Q850*0.0980665)</f>
        <v/>
      </c>
      <c r="S850" s="16" t="str">
        <f aca="false">IF(Q850="","",IFERROR(Q850/(1/(1/INDEX(CONFIG!$I$5:$I$14,MATCH(D850,CONFIG!$D$5:$D$14,0)))),""))</f>
        <v/>
      </c>
      <c r="T850" s="13"/>
      <c r="U850" s="13"/>
      <c r="V850" s="13"/>
      <c r="W850" s="13"/>
      <c r="X850" s="22" t="str">
        <f aca="false">IF(Q850="","",Q850^2)</f>
        <v/>
      </c>
      <c r="Y850" s="22" t="str">
        <f aca="false">IF(AND(C850&lt;&gt;"",C850=CERTIFICADO!$E$4,OR(CERTIFICADO!$E$5="",B850=CERTIFICADO!$E$5)),MAX($Y$4:Y849)+1,"")</f>
        <v/>
      </c>
    </row>
    <row r="851" customFormat="false" ht="15" hidden="false" customHeight="false" outlineLevel="0" collapsed="false">
      <c r="A851" s="11" t="str">
        <f aca="false">IF(C851="","",ROW()-4)</f>
        <v/>
      </c>
      <c r="B851" s="12"/>
      <c r="C851" s="13"/>
      <c r="D851" s="23" t="str">
        <f aca="false">IF(C851="","",IFERROR(INDEX(LOTES!$D$5:$D$1004,MATCH(C851,LOTES!$F$5:$F$1004,0)),"¿Lote?"))</f>
        <v/>
      </c>
      <c r="E851" s="11" t="str">
        <f aca="false">IF(C851="","",IFERROR(INDEX(LOTES!$C$5:$C$1004,MATCH(C851,LOTES!$F$5:$F$1004,0)),""))</f>
        <v/>
      </c>
      <c r="F851" s="24" t="str">
        <f aca="false">IF(C851="","",IFERROR(INDEX(LOTES!$B$5:$B$1004,MATCH(C851,LOTES!$F$5:$F$1004,0)),""))</f>
        <v/>
      </c>
      <c r="G851" s="15" t="str">
        <f aca="false">IF(OR(B851="",F851=""),"",B851-F851)</f>
        <v/>
      </c>
      <c r="H851" s="13"/>
      <c r="I851" s="13"/>
      <c r="J851" s="13"/>
      <c r="K851" s="25"/>
      <c r="L851" s="25"/>
      <c r="M851" s="25"/>
      <c r="N851" s="25"/>
      <c r="O851" s="26"/>
      <c r="P851" s="16" t="str">
        <f aca="false">IF(O851="","",IFERROR(1/(1/(IF(K851="",INDEX(CONFIG!$F$5:$F$14,MATCH(D851,CONFIG!$D$5:$D$14,0)),K851)*IF(M851="",INDEX(CONFIG!$H$5:$H$14,MATCH(D851,CONFIG!$D$5:$D$14,0)),M851))),""))</f>
        <v/>
      </c>
      <c r="Q851" s="16" t="str">
        <f aca="false">IF(OR(O851="",P851=""),"",O851/P851)</f>
        <v/>
      </c>
      <c r="R851" s="16" t="str">
        <f aca="false">IF(Q851="","",Q851*0.0980665)</f>
        <v/>
      </c>
      <c r="S851" s="16" t="str">
        <f aca="false">IF(Q851="","",IFERROR(Q851/(1/(1/INDEX(CONFIG!$I$5:$I$14,MATCH(D851,CONFIG!$D$5:$D$14,0)))),""))</f>
        <v/>
      </c>
      <c r="T851" s="13"/>
      <c r="U851" s="13"/>
      <c r="V851" s="13"/>
      <c r="W851" s="13"/>
      <c r="X851" s="22" t="str">
        <f aca="false">IF(Q851="","",Q851^2)</f>
        <v/>
      </c>
      <c r="Y851" s="22" t="str">
        <f aca="false">IF(AND(C851&lt;&gt;"",C851=CERTIFICADO!$E$4,OR(CERTIFICADO!$E$5="",B851=CERTIFICADO!$E$5)),MAX($Y$4:Y850)+1,"")</f>
        <v/>
      </c>
    </row>
    <row r="852" customFormat="false" ht="15" hidden="false" customHeight="false" outlineLevel="0" collapsed="false">
      <c r="A852" s="11" t="str">
        <f aca="false">IF(C852="","",ROW()-4)</f>
        <v/>
      </c>
      <c r="B852" s="12"/>
      <c r="C852" s="13"/>
      <c r="D852" s="23" t="str">
        <f aca="false">IF(C852="","",IFERROR(INDEX(LOTES!$D$5:$D$1004,MATCH(C852,LOTES!$F$5:$F$1004,0)),"¿Lote?"))</f>
        <v/>
      </c>
      <c r="E852" s="11" t="str">
        <f aca="false">IF(C852="","",IFERROR(INDEX(LOTES!$C$5:$C$1004,MATCH(C852,LOTES!$F$5:$F$1004,0)),""))</f>
        <v/>
      </c>
      <c r="F852" s="24" t="str">
        <f aca="false">IF(C852="","",IFERROR(INDEX(LOTES!$B$5:$B$1004,MATCH(C852,LOTES!$F$5:$F$1004,0)),""))</f>
        <v/>
      </c>
      <c r="G852" s="15" t="str">
        <f aca="false">IF(OR(B852="",F852=""),"",B852-F852)</f>
        <v/>
      </c>
      <c r="H852" s="13"/>
      <c r="I852" s="13"/>
      <c r="J852" s="13"/>
      <c r="K852" s="25"/>
      <c r="L852" s="25"/>
      <c r="M852" s="25"/>
      <c r="N852" s="25"/>
      <c r="O852" s="26"/>
      <c r="P852" s="16" t="str">
        <f aca="false">IF(O852="","",IFERROR(1/(1/(IF(K852="",INDEX(CONFIG!$F$5:$F$14,MATCH(D852,CONFIG!$D$5:$D$14,0)),K852)*IF(M852="",INDEX(CONFIG!$H$5:$H$14,MATCH(D852,CONFIG!$D$5:$D$14,0)),M852))),""))</f>
        <v/>
      </c>
      <c r="Q852" s="16" t="str">
        <f aca="false">IF(OR(O852="",P852=""),"",O852/P852)</f>
        <v/>
      </c>
      <c r="R852" s="16" t="str">
        <f aca="false">IF(Q852="","",Q852*0.0980665)</f>
        <v/>
      </c>
      <c r="S852" s="16" t="str">
        <f aca="false">IF(Q852="","",IFERROR(Q852/(1/(1/INDEX(CONFIG!$I$5:$I$14,MATCH(D852,CONFIG!$D$5:$D$14,0)))),""))</f>
        <v/>
      </c>
      <c r="T852" s="13"/>
      <c r="U852" s="13"/>
      <c r="V852" s="13"/>
      <c r="W852" s="13"/>
      <c r="X852" s="22" t="str">
        <f aca="false">IF(Q852="","",Q852^2)</f>
        <v/>
      </c>
      <c r="Y852" s="22" t="str">
        <f aca="false">IF(AND(C852&lt;&gt;"",C852=CERTIFICADO!$E$4,OR(CERTIFICADO!$E$5="",B852=CERTIFICADO!$E$5)),MAX($Y$4:Y851)+1,"")</f>
        <v/>
      </c>
    </row>
    <row r="853" customFormat="false" ht="15" hidden="false" customHeight="false" outlineLevel="0" collapsed="false">
      <c r="A853" s="11" t="str">
        <f aca="false">IF(C853="","",ROW()-4)</f>
        <v/>
      </c>
      <c r="B853" s="12"/>
      <c r="C853" s="13"/>
      <c r="D853" s="23" t="str">
        <f aca="false">IF(C853="","",IFERROR(INDEX(LOTES!$D$5:$D$1004,MATCH(C853,LOTES!$F$5:$F$1004,0)),"¿Lote?"))</f>
        <v/>
      </c>
      <c r="E853" s="11" t="str">
        <f aca="false">IF(C853="","",IFERROR(INDEX(LOTES!$C$5:$C$1004,MATCH(C853,LOTES!$F$5:$F$1004,0)),""))</f>
        <v/>
      </c>
      <c r="F853" s="24" t="str">
        <f aca="false">IF(C853="","",IFERROR(INDEX(LOTES!$B$5:$B$1004,MATCH(C853,LOTES!$F$5:$F$1004,0)),""))</f>
        <v/>
      </c>
      <c r="G853" s="15" t="str">
        <f aca="false">IF(OR(B853="",F853=""),"",B853-F853)</f>
        <v/>
      </c>
      <c r="H853" s="13"/>
      <c r="I853" s="13"/>
      <c r="J853" s="13"/>
      <c r="K853" s="25"/>
      <c r="L853" s="25"/>
      <c r="M853" s="25"/>
      <c r="N853" s="25"/>
      <c r="O853" s="26"/>
      <c r="P853" s="16" t="str">
        <f aca="false">IF(O853="","",IFERROR(1/(1/(IF(K853="",INDEX(CONFIG!$F$5:$F$14,MATCH(D853,CONFIG!$D$5:$D$14,0)),K853)*IF(M853="",INDEX(CONFIG!$H$5:$H$14,MATCH(D853,CONFIG!$D$5:$D$14,0)),M853))),""))</f>
        <v/>
      </c>
      <c r="Q853" s="16" t="str">
        <f aca="false">IF(OR(O853="",P853=""),"",O853/P853)</f>
        <v/>
      </c>
      <c r="R853" s="16" t="str">
        <f aca="false">IF(Q853="","",Q853*0.0980665)</f>
        <v/>
      </c>
      <c r="S853" s="16" t="str">
        <f aca="false">IF(Q853="","",IFERROR(Q853/(1/(1/INDEX(CONFIG!$I$5:$I$14,MATCH(D853,CONFIG!$D$5:$D$14,0)))),""))</f>
        <v/>
      </c>
      <c r="T853" s="13"/>
      <c r="U853" s="13"/>
      <c r="V853" s="13"/>
      <c r="W853" s="13"/>
      <c r="X853" s="22" t="str">
        <f aca="false">IF(Q853="","",Q853^2)</f>
        <v/>
      </c>
      <c r="Y853" s="22" t="str">
        <f aca="false">IF(AND(C853&lt;&gt;"",C853=CERTIFICADO!$E$4,OR(CERTIFICADO!$E$5="",B853=CERTIFICADO!$E$5)),MAX($Y$4:Y852)+1,"")</f>
        <v/>
      </c>
    </row>
    <row r="854" customFormat="false" ht="15" hidden="false" customHeight="false" outlineLevel="0" collapsed="false">
      <c r="A854" s="11" t="str">
        <f aca="false">IF(C854="","",ROW()-4)</f>
        <v/>
      </c>
      <c r="B854" s="12"/>
      <c r="C854" s="13"/>
      <c r="D854" s="23" t="str">
        <f aca="false">IF(C854="","",IFERROR(INDEX(LOTES!$D$5:$D$1004,MATCH(C854,LOTES!$F$5:$F$1004,0)),"¿Lote?"))</f>
        <v/>
      </c>
      <c r="E854" s="11" t="str">
        <f aca="false">IF(C854="","",IFERROR(INDEX(LOTES!$C$5:$C$1004,MATCH(C854,LOTES!$F$5:$F$1004,0)),""))</f>
        <v/>
      </c>
      <c r="F854" s="24" t="str">
        <f aca="false">IF(C854="","",IFERROR(INDEX(LOTES!$B$5:$B$1004,MATCH(C854,LOTES!$F$5:$F$1004,0)),""))</f>
        <v/>
      </c>
      <c r="G854" s="15" t="str">
        <f aca="false">IF(OR(B854="",F854=""),"",B854-F854)</f>
        <v/>
      </c>
      <c r="H854" s="13"/>
      <c r="I854" s="13"/>
      <c r="J854" s="13"/>
      <c r="K854" s="25"/>
      <c r="L854" s="25"/>
      <c r="M854" s="25"/>
      <c r="N854" s="25"/>
      <c r="O854" s="26"/>
      <c r="P854" s="16" t="str">
        <f aca="false">IF(O854="","",IFERROR(1/(1/(IF(K854="",INDEX(CONFIG!$F$5:$F$14,MATCH(D854,CONFIG!$D$5:$D$14,0)),K854)*IF(M854="",INDEX(CONFIG!$H$5:$H$14,MATCH(D854,CONFIG!$D$5:$D$14,0)),M854))),""))</f>
        <v/>
      </c>
      <c r="Q854" s="16" t="str">
        <f aca="false">IF(OR(O854="",P854=""),"",O854/P854)</f>
        <v/>
      </c>
      <c r="R854" s="16" t="str">
        <f aca="false">IF(Q854="","",Q854*0.0980665)</f>
        <v/>
      </c>
      <c r="S854" s="16" t="str">
        <f aca="false">IF(Q854="","",IFERROR(Q854/(1/(1/INDEX(CONFIG!$I$5:$I$14,MATCH(D854,CONFIG!$D$5:$D$14,0)))),""))</f>
        <v/>
      </c>
      <c r="T854" s="13"/>
      <c r="U854" s="13"/>
      <c r="V854" s="13"/>
      <c r="W854" s="13"/>
      <c r="X854" s="22" t="str">
        <f aca="false">IF(Q854="","",Q854^2)</f>
        <v/>
      </c>
      <c r="Y854" s="22" t="str">
        <f aca="false">IF(AND(C854&lt;&gt;"",C854=CERTIFICADO!$E$4,OR(CERTIFICADO!$E$5="",B854=CERTIFICADO!$E$5)),MAX($Y$4:Y853)+1,"")</f>
        <v/>
      </c>
    </row>
    <row r="855" customFormat="false" ht="15" hidden="false" customHeight="false" outlineLevel="0" collapsed="false">
      <c r="A855" s="11" t="str">
        <f aca="false">IF(C855="","",ROW()-4)</f>
        <v/>
      </c>
      <c r="B855" s="12"/>
      <c r="C855" s="13"/>
      <c r="D855" s="23" t="str">
        <f aca="false">IF(C855="","",IFERROR(INDEX(LOTES!$D$5:$D$1004,MATCH(C855,LOTES!$F$5:$F$1004,0)),"¿Lote?"))</f>
        <v/>
      </c>
      <c r="E855" s="11" t="str">
        <f aca="false">IF(C855="","",IFERROR(INDEX(LOTES!$C$5:$C$1004,MATCH(C855,LOTES!$F$5:$F$1004,0)),""))</f>
        <v/>
      </c>
      <c r="F855" s="24" t="str">
        <f aca="false">IF(C855="","",IFERROR(INDEX(LOTES!$B$5:$B$1004,MATCH(C855,LOTES!$F$5:$F$1004,0)),""))</f>
        <v/>
      </c>
      <c r="G855" s="15" t="str">
        <f aca="false">IF(OR(B855="",F855=""),"",B855-F855)</f>
        <v/>
      </c>
      <c r="H855" s="13"/>
      <c r="I855" s="13"/>
      <c r="J855" s="13"/>
      <c r="K855" s="25"/>
      <c r="L855" s="25"/>
      <c r="M855" s="25"/>
      <c r="N855" s="25"/>
      <c r="O855" s="26"/>
      <c r="P855" s="16" t="str">
        <f aca="false">IF(O855="","",IFERROR(1/(1/(IF(K855="",INDEX(CONFIG!$F$5:$F$14,MATCH(D855,CONFIG!$D$5:$D$14,0)),K855)*IF(M855="",INDEX(CONFIG!$H$5:$H$14,MATCH(D855,CONFIG!$D$5:$D$14,0)),M855))),""))</f>
        <v/>
      </c>
      <c r="Q855" s="16" t="str">
        <f aca="false">IF(OR(O855="",P855=""),"",O855/P855)</f>
        <v/>
      </c>
      <c r="R855" s="16" t="str">
        <f aca="false">IF(Q855="","",Q855*0.0980665)</f>
        <v/>
      </c>
      <c r="S855" s="16" t="str">
        <f aca="false">IF(Q855="","",IFERROR(Q855/(1/(1/INDEX(CONFIG!$I$5:$I$14,MATCH(D855,CONFIG!$D$5:$D$14,0)))),""))</f>
        <v/>
      </c>
      <c r="T855" s="13"/>
      <c r="U855" s="13"/>
      <c r="V855" s="13"/>
      <c r="W855" s="13"/>
      <c r="X855" s="22" t="str">
        <f aca="false">IF(Q855="","",Q855^2)</f>
        <v/>
      </c>
      <c r="Y855" s="22" t="str">
        <f aca="false">IF(AND(C855&lt;&gt;"",C855=CERTIFICADO!$E$4,OR(CERTIFICADO!$E$5="",B855=CERTIFICADO!$E$5)),MAX($Y$4:Y854)+1,"")</f>
        <v/>
      </c>
    </row>
    <row r="856" customFormat="false" ht="15" hidden="false" customHeight="false" outlineLevel="0" collapsed="false">
      <c r="A856" s="11" t="str">
        <f aca="false">IF(C856="","",ROW()-4)</f>
        <v/>
      </c>
      <c r="B856" s="12"/>
      <c r="C856" s="13"/>
      <c r="D856" s="23" t="str">
        <f aca="false">IF(C856="","",IFERROR(INDEX(LOTES!$D$5:$D$1004,MATCH(C856,LOTES!$F$5:$F$1004,0)),"¿Lote?"))</f>
        <v/>
      </c>
      <c r="E856" s="11" t="str">
        <f aca="false">IF(C856="","",IFERROR(INDEX(LOTES!$C$5:$C$1004,MATCH(C856,LOTES!$F$5:$F$1004,0)),""))</f>
        <v/>
      </c>
      <c r="F856" s="24" t="str">
        <f aca="false">IF(C856="","",IFERROR(INDEX(LOTES!$B$5:$B$1004,MATCH(C856,LOTES!$F$5:$F$1004,0)),""))</f>
        <v/>
      </c>
      <c r="G856" s="15" t="str">
        <f aca="false">IF(OR(B856="",F856=""),"",B856-F856)</f>
        <v/>
      </c>
      <c r="H856" s="13"/>
      <c r="I856" s="13"/>
      <c r="J856" s="13"/>
      <c r="K856" s="25"/>
      <c r="L856" s="25"/>
      <c r="M856" s="25"/>
      <c r="N856" s="25"/>
      <c r="O856" s="26"/>
      <c r="P856" s="16" t="str">
        <f aca="false">IF(O856="","",IFERROR(1/(1/(IF(K856="",INDEX(CONFIG!$F$5:$F$14,MATCH(D856,CONFIG!$D$5:$D$14,0)),K856)*IF(M856="",INDEX(CONFIG!$H$5:$H$14,MATCH(D856,CONFIG!$D$5:$D$14,0)),M856))),""))</f>
        <v/>
      </c>
      <c r="Q856" s="16" t="str">
        <f aca="false">IF(OR(O856="",P856=""),"",O856/P856)</f>
        <v/>
      </c>
      <c r="R856" s="16" t="str">
        <f aca="false">IF(Q856="","",Q856*0.0980665)</f>
        <v/>
      </c>
      <c r="S856" s="16" t="str">
        <f aca="false">IF(Q856="","",IFERROR(Q856/(1/(1/INDEX(CONFIG!$I$5:$I$14,MATCH(D856,CONFIG!$D$5:$D$14,0)))),""))</f>
        <v/>
      </c>
      <c r="T856" s="13"/>
      <c r="U856" s="13"/>
      <c r="V856" s="13"/>
      <c r="W856" s="13"/>
      <c r="X856" s="22" t="str">
        <f aca="false">IF(Q856="","",Q856^2)</f>
        <v/>
      </c>
      <c r="Y856" s="22" t="str">
        <f aca="false">IF(AND(C856&lt;&gt;"",C856=CERTIFICADO!$E$4,OR(CERTIFICADO!$E$5="",B856=CERTIFICADO!$E$5)),MAX($Y$4:Y855)+1,"")</f>
        <v/>
      </c>
    </row>
    <row r="857" customFormat="false" ht="15" hidden="false" customHeight="false" outlineLevel="0" collapsed="false">
      <c r="A857" s="11" t="str">
        <f aca="false">IF(C857="","",ROW()-4)</f>
        <v/>
      </c>
      <c r="B857" s="12"/>
      <c r="C857" s="13"/>
      <c r="D857" s="23" t="str">
        <f aca="false">IF(C857="","",IFERROR(INDEX(LOTES!$D$5:$D$1004,MATCH(C857,LOTES!$F$5:$F$1004,0)),"¿Lote?"))</f>
        <v/>
      </c>
      <c r="E857" s="11" t="str">
        <f aca="false">IF(C857="","",IFERROR(INDEX(LOTES!$C$5:$C$1004,MATCH(C857,LOTES!$F$5:$F$1004,0)),""))</f>
        <v/>
      </c>
      <c r="F857" s="24" t="str">
        <f aca="false">IF(C857="","",IFERROR(INDEX(LOTES!$B$5:$B$1004,MATCH(C857,LOTES!$F$5:$F$1004,0)),""))</f>
        <v/>
      </c>
      <c r="G857" s="15" t="str">
        <f aca="false">IF(OR(B857="",F857=""),"",B857-F857)</f>
        <v/>
      </c>
      <c r="H857" s="13"/>
      <c r="I857" s="13"/>
      <c r="J857" s="13"/>
      <c r="K857" s="25"/>
      <c r="L857" s="25"/>
      <c r="M857" s="25"/>
      <c r="N857" s="25"/>
      <c r="O857" s="26"/>
      <c r="P857" s="16" t="str">
        <f aca="false">IF(O857="","",IFERROR(1/(1/(IF(K857="",INDEX(CONFIG!$F$5:$F$14,MATCH(D857,CONFIG!$D$5:$D$14,0)),K857)*IF(M857="",INDEX(CONFIG!$H$5:$H$14,MATCH(D857,CONFIG!$D$5:$D$14,0)),M857))),""))</f>
        <v/>
      </c>
      <c r="Q857" s="16" t="str">
        <f aca="false">IF(OR(O857="",P857=""),"",O857/P857)</f>
        <v/>
      </c>
      <c r="R857" s="16" t="str">
        <f aca="false">IF(Q857="","",Q857*0.0980665)</f>
        <v/>
      </c>
      <c r="S857" s="16" t="str">
        <f aca="false">IF(Q857="","",IFERROR(Q857/(1/(1/INDEX(CONFIG!$I$5:$I$14,MATCH(D857,CONFIG!$D$5:$D$14,0)))),""))</f>
        <v/>
      </c>
      <c r="T857" s="13"/>
      <c r="U857" s="13"/>
      <c r="V857" s="13"/>
      <c r="W857" s="13"/>
      <c r="X857" s="22" t="str">
        <f aca="false">IF(Q857="","",Q857^2)</f>
        <v/>
      </c>
      <c r="Y857" s="22" t="str">
        <f aca="false">IF(AND(C857&lt;&gt;"",C857=CERTIFICADO!$E$4,OR(CERTIFICADO!$E$5="",B857=CERTIFICADO!$E$5)),MAX($Y$4:Y856)+1,"")</f>
        <v/>
      </c>
    </row>
    <row r="858" customFormat="false" ht="15" hidden="false" customHeight="false" outlineLevel="0" collapsed="false">
      <c r="A858" s="11" t="str">
        <f aca="false">IF(C858="","",ROW()-4)</f>
        <v/>
      </c>
      <c r="B858" s="12"/>
      <c r="C858" s="13"/>
      <c r="D858" s="23" t="str">
        <f aca="false">IF(C858="","",IFERROR(INDEX(LOTES!$D$5:$D$1004,MATCH(C858,LOTES!$F$5:$F$1004,0)),"¿Lote?"))</f>
        <v/>
      </c>
      <c r="E858" s="11" t="str">
        <f aca="false">IF(C858="","",IFERROR(INDEX(LOTES!$C$5:$C$1004,MATCH(C858,LOTES!$F$5:$F$1004,0)),""))</f>
        <v/>
      </c>
      <c r="F858" s="24" t="str">
        <f aca="false">IF(C858="","",IFERROR(INDEX(LOTES!$B$5:$B$1004,MATCH(C858,LOTES!$F$5:$F$1004,0)),""))</f>
        <v/>
      </c>
      <c r="G858" s="15" t="str">
        <f aca="false">IF(OR(B858="",F858=""),"",B858-F858)</f>
        <v/>
      </c>
      <c r="H858" s="13"/>
      <c r="I858" s="13"/>
      <c r="J858" s="13"/>
      <c r="K858" s="25"/>
      <c r="L858" s="25"/>
      <c r="M858" s="25"/>
      <c r="N858" s="25"/>
      <c r="O858" s="26"/>
      <c r="P858" s="16" t="str">
        <f aca="false">IF(O858="","",IFERROR(1/(1/(IF(K858="",INDEX(CONFIG!$F$5:$F$14,MATCH(D858,CONFIG!$D$5:$D$14,0)),K858)*IF(M858="",INDEX(CONFIG!$H$5:$H$14,MATCH(D858,CONFIG!$D$5:$D$14,0)),M858))),""))</f>
        <v/>
      </c>
      <c r="Q858" s="16" t="str">
        <f aca="false">IF(OR(O858="",P858=""),"",O858/P858)</f>
        <v/>
      </c>
      <c r="R858" s="16" t="str">
        <f aca="false">IF(Q858="","",Q858*0.0980665)</f>
        <v/>
      </c>
      <c r="S858" s="16" t="str">
        <f aca="false">IF(Q858="","",IFERROR(Q858/(1/(1/INDEX(CONFIG!$I$5:$I$14,MATCH(D858,CONFIG!$D$5:$D$14,0)))),""))</f>
        <v/>
      </c>
      <c r="T858" s="13"/>
      <c r="U858" s="13"/>
      <c r="V858" s="13"/>
      <c r="W858" s="13"/>
      <c r="X858" s="22" t="str">
        <f aca="false">IF(Q858="","",Q858^2)</f>
        <v/>
      </c>
      <c r="Y858" s="22" t="str">
        <f aca="false">IF(AND(C858&lt;&gt;"",C858=CERTIFICADO!$E$4,OR(CERTIFICADO!$E$5="",B858=CERTIFICADO!$E$5)),MAX($Y$4:Y857)+1,"")</f>
        <v/>
      </c>
    </row>
    <row r="859" customFormat="false" ht="15" hidden="false" customHeight="false" outlineLevel="0" collapsed="false">
      <c r="A859" s="11" t="str">
        <f aca="false">IF(C859="","",ROW()-4)</f>
        <v/>
      </c>
      <c r="B859" s="12"/>
      <c r="C859" s="13"/>
      <c r="D859" s="23" t="str">
        <f aca="false">IF(C859="","",IFERROR(INDEX(LOTES!$D$5:$D$1004,MATCH(C859,LOTES!$F$5:$F$1004,0)),"¿Lote?"))</f>
        <v/>
      </c>
      <c r="E859" s="11" t="str">
        <f aca="false">IF(C859="","",IFERROR(INDEX(LOTES!$C$5:$C$1004,MATCH(C859,LOTES!$F$5:$F$1004,0)),""))</f>
        <v/>
      </c>
      <c r="F859" s="24" t="str">
        <f aca="false">IF(C859="","",IFERROR(INDEX(LOTES!$B$5:$B$1004,MATCH(C859,LOTES!$F$5:$F$1004,0)),""))</f>
        <v/>
      </c>
      <c r="G859" s="15" t="str">
        <f aca="false">IF(OR(B859="",F859=""),"",B859-F859)</f>
        <v/>
      </c>
      <c r="H859" s="13"/>
      <c r="I859" s="13"/>
      <c r="J859" s="13"/>
      <c r="K859" s="25"/>
      <c r="L859" s="25"/>
      <c r="M859" s="25"/>
      <c r="N859" s="25"/>
      <c r="O859" s="26"/>
      <c r="P859" s="16" t="str">
        <f aca="false">IF(O859="","",IFERROR(1/(1/(IF(K859="",INDEX(CONFIG!$F$5:$F$14,MATCH(D859,CONFIG!$D$5:$D$14,0)),K859)*IF(M859="",INDEX(CONFIG!$H$5:$H$14,MATCH(D859,CONFIG!$D$5:$D$14,0)),M859))),""))</f>
        <v/>
      </c>
      <c r="Q859" s="16" t="str">
        <f aca="false">IF(OR(O859="",P859=""),"",O859/P859)</f>
        <v/>
      </c>
      <c r="R859" s="16" t="str">
        <f aca="false">IF(Q859="","",Q859*0.0980665)</f>
        <v/>
      </c>
      <c r="S859" s="16" t="str">
        <f aca="false">IF(Q859="","",IFERROR(Q859/(1/(1/INDEX(CONFIG!$I$5:$I$14,MATCH(D859,CONFIG!$D$5:$D$14,0)))),""))</f>
        <v/>
      </c>
      <c r="T859" s="13"/>
      <c r="U859" s="13"/>
      <c r="V859" s="13"/>
      <c r="W859" s="13"/>
      <c r="X859" s="22" t="str">
        <f aca="false">IF(Q859="","",Q859^2)</f>
        <v/>
      </c>
      <c r="Y859" s="22" t="str">
        <f aca="false">IF(AND(C859&lt;&gt;"",C859=CERTIFICADO!$E$4,OR(CERTIFICADO!$E$5="",B859=CERTIFICADO!$E$5)),MAX($Y$4:Y858)+1,"")</f>
        <v/>
      </c>
    </row>
    <row r="860" customFormat="false" ht="15" hidden="false" customHeight="false" outlineLevel="0" collapsed="false">
      <c r="A860" s="11" t="str">
        <f aca="false">IF(C860="","",ROW()-4)</f>
        <v/>
      </c>
      <c r="B860" s="12"/>
      <c r="C860" s="13"/>
      <c r="D860" s="23" t="str">
        <f aca="false">IF(C860="","",IFERROR(INDEX(LOTES!$D$5:$D$1004,MATCH(C860,LOTES!$F$5:$F$1004,0)),"¿Lote?"))</f>
        <v/>
      </c>
      <c r="E860" s="11" t="str">
        <f aca="false">IF(C860="","",IFERROR(INDEX(LOTES!$C$5:$C$1004,MATCH(C860,LOTES!$F$5:$F$1004,0)),""))</f>
        <v/>
      </c>
      <c r="F860" s="24" t="str">
        <f aca="false">IF(C860="","",IFERROR(INDEX(LOTES!$B$5:$B$1004,MATCH(C860,LOTES!$F$5:$F$1004,0)),""))</f>
        <v/>
      </c>
      <c r="G860" s="15" t="str">
        <f aca="false">IF(OR(B860="",F860=""),"",B860-F860)</f>
        <v/>
      </c>
      <c r="H860" s="13"/>
      <c r="I860" s="13"/>
      <c r="J860" s="13"/>
      <c r="K860" s="25"/>
      <c r="L860" s="25"/>
      <c r="M860" s="25"/>
      <c r="N860" s="25"/>
      <c r="O860" s="26"/>
      <c r="P860" s="16" t="str">
        <f aca="false">IF(O860="","",IFERROR(1/(1/(IF(K860="",INDEX(CONFIG!$F$5:$F$14,MATCH(D860,CONFIG!$D$5:$D$14,0)),K860)*IF(M860="",INDEX(CONFIG!$H$5:$H$14,MATCH(D860,CONFIG!$D$5:$D$14,0)),M860))),""))</f>
        <v/>
      </c>
      <c r="Q860" s="16" t="str">
        <f aca="false">IF(OR(O860="",P860=""),"",O860/P860)</f>
        <v/>
      </c>
      <c r="R860" s="16" t="str">
        <f aca="false">IF(Q860="","",Q860*0.0980665)</f>
        <v/>
      </c>
      <c r="S860" s="16" t="str">
        <f aca="false">IF(Q860="","",IFERROR(Q860/(1/(1/INDEX(CONFIG!$I$5:$I$14,MATCH(D860,CONFIG!$D$5:$D$14,0)))),""))</f>
        <v/>
      </c>
      <c r="T860" s="13"/>
      <c r="U860" s="13"/>
      <c r="V860" s="13"/>
      <c r="W860" s="13"/>
      <c r="X860" s="22" t="str">
        <f aca="false">IF(Q860="","",Q860^2)</f>
        <v/>
      </c>
      <c r="Y860" s="22" t="str">
        <f aca="false">IF(AND(C860&lt;&gt;"",C860=CERTIFICADO!$E$4,OR(CERTIFICADO!$E$5="",B860=CERTIFICADO!$E$5)),MAX($Y$4:Y859)+1,"")</f>
        <v/>
      </c>
    </row>
    <row r="861" customFormat="false" ht="15" hidden="false" customHeight="false" outlineLevel="0" collapsed="false">
      <c r="A861" s="11" t="str">
        <f aca="false">IF(C861="","",ROW()-4)</f>
        <v/>
      </c>
      <c r="B861" s="12"/>
      <c r="C861" s="13"/>
      <c r="D861" s="23" t="str">
        <f aca="false">IF(C861="","",IFERROR(INDEX(LOTES!$D$5:$D$1004,MATCH(C861,LOTES!$F$5:$F$1004,0)),"¿Lote?"))</f>
        <v/>
      </c>
      <c r="E861" s="11" t="str">
        <f aca="false">IF(C861="","",IFERROR(INDEX(LOTES!$C$5:$C$1004,MATCH(C861,LOTES!$F$5:$F$1004,0)),""))</f>
        <v/>
      </c>
      <c r="F861" s="24" t="str">
        <f aca="false">IF(C861="","",IFERROR(INDEX(LOTES!$B$5:$B$1004,MATCH(C861,LOTES!$F$5:$F$1004,0)),""))</f>
        <v/>
      </c>
      <c r="G861" s="15" t="str">
        <f aca="false">IF(OR(B861="",F861=""),"",B861-F861)</f>
        <v/>
      </c>
      <c r="H861" s="13"/>
      <c r="I861" s="13"/>
      <c r="J861" s="13"/>
      <c r="K861" s="25"/>
      <c r="L861" s="25"/>
      <c r="M861" s="25"/>
      <c r="N861" s="25"/>
      <c r="O861" s="26"/>
      <c r="P861" s="16" t="str">
        <f aca="false">IF(O861="","",IFERROR(1/(1/(IF(K861="",INDEX(CONFIG!$F$5:$F$14,MATCH(D861,CONFIG!$D$5:$D$14,0)),K861)*IF(M861="",INDEX(CONFIG!$H$5:$H$14,MATCH(D861,CONFIG!$D$5:$D$14,0)),M861))),""))</f>
        <v/>
      </c>
      <c r="Q861" s="16" t="str">
        <f aca="false">IF(OR(O861="",P861=""),"",O861/P861)</f>
        <v/>
      </c>
      <c r="R861" s="16" t="str">
        <f aca="false">IF(Q861="","",Q861*0.0980665)</f>
        <v/>
      </c>
      <c r="S861" s="16" t="str">
        <f aca="false">IF(Q861="","",IFERROR(Q861/(1/(1/INDEX(CONFIG!$I$5:$I$14,MATCH(D861,CONFIG!$D$5:$D$14,0)))),""))</f>
        <v/>
      </c>
      <c r="T861" s="13"/>
      <c r="U861" s="13"/>
      <c r="V861" s="13"/>
      <c r="W861" s="13"/>
      <c r="X861" s="22" t="str">
        <f aca="false">IF(Q861="","",Q861^2)</f>
        <v/>
      </c>
      <c r="Y861" s="22" t="str">
        <f aca="false">IF(AND(C861&lt;&gt;"",C861=CERTIFICADO!$E$4,OR(CERTIFICADO!$E$5="",B861=CERTIFICADO!$E$5)),MAX($Y$4:Y860)+1,"")</f>
        <v/>
      </c>
    </row>
    <row r="862" customFormat="false" ht="15" hidden="false" customHeight="false" outlineLevel="0" collapsed="false">
      <c r="A862" s="11" t="str">
        <f aca="false">IF(C862="","",ROW()-4)</f>
        <v/>
      </c>
      <c r="B862" s="12"/>
      <c r="C862" s="13"/>
      <c r="D862" s="23" t="str">
        <f aca="false">IF(C862="","",IFERROR(INDEX(LOTES!$D$5:$D$1004,MATCH(C862,LOTES!$F$5:$F$1004,0)),"¿Lote?"))</f>
        <v/>
      </c>
      <c r="E862" s="11" t="str">
        <f aca="false">IF(C862="","",IFERROR(INDEX(LOTES!$C$5:$C$1004,MATCH(C862,LOTES!$F$5:$F$1004,0)),""))</f>
        <v/>
      </c>
      <c r="F862" s="24" t="str">
        <f aca="false">IF(C862="","",IFERROR(INDEX(LOTES!$B$5:$B$1004,MATCH(C862,LOTES!$F$5:$F$1004,0)),""))</f>
        <v/>
      </c>
      <c r="G862" s="15" t="str">
        <f aca="false">IF(OR(B862="",F862=""),"",B862-F862)</f>
        <v/>
      </c>
      <c r="H862" s="13"/>
      <c r="I862" s="13"/>
      <c r="J862" s="13"/>
      <c r="K862" s="25"/>
      <c r="L862" s="25"/>
      <c r="M862" s="25"/>
      <c r="N862" s="25"/>
      <c r="O862" s="26"/>
      <c r="P862" s="16" t="str">
        <f aca="false">IF(O862="","",IFERROR(1/(1/(IF(K862="",INDEX(CONFIG!$F$5:$F$14,MATCH(D862,CONFIG!$D$5:$D$14,0)),K862)*IF(M862="",INDEX(CONFIG!$H$5:$H$14,MATCH(D862,CONFIG!$D$5:$D$14,0)),M862))),""))</f>
        <v/>
      </c>
      <c r="Q862" s="16" t="str">
        <f aca="false">IF(OR(O862="",P862=""),"",O862/P862)</f>
        <v/>
      </c>
      <c r="R862" s="16" t="str">
        <f aca="false">IF(Q862="","",Q862*0.0980665)</f>
        <v/>
      </c>
      <c r="S862" s="16" t="str">
        <f aca="false">IF(Q862="","",IFERROR(Q862/(1/(1/INDEX(CONFIG!$I$5:$I$14,MATCH(D862,CONFIG!$D$5:$D$14,0)))),""))</f>
        <v/>
      </c>
      <c r="T862" s="13"/>
      <c r="U862" s="13"/>
      <c r="V862" s="13"/>
      <c r="W862" s="13"/>
      <c r="X862" s="22" t="str">
        <f aca="false">IF(Q862="","",Q862^2)</f>
        <v/>
      </c>
      <c r="Y862" s="22" t="str">
        <f aca="false">IF(AND(C862&lt;&gt;"",C862=CERTIFICADO!$E$4,OR(CERTIFICADO!$E$5="",B862=CERTIFICADO!$E$5)),MAX($Y$4:Y861)+1,"")</f>
        <v/>
      </c>
    </row>
    <row r="863" customFormat="false" ht="15" hidden="false" customHeight="false" outlineLevel="0" collapsed="false">
      <c r="A863" s="11" t="str">
        <f aca="false">IF(C863="","",ROW()-4)</f>
        <v/>
      </c>
      <c r="B863" s="12"/>
      <c r="C863" s="13"/>
      <c r="D863" s="23" t="str">
        <f aca="false">IF(C863="","",IFERROR(INDEX(LOTES!$D$5:$D$1004,MATCH(C863,LOTES!$F$5:$F$1004,0)),"¿Lote?"))</f>
        <v/>
      </c>
      <c r="E863" s="11" t="str">
        <f aca="false">IF(C863="","",IFERROR(INDEX(LOTES!$C$5:$C$1004,MATCH(C863,LOTES!$F$5:$F$1004,0)),""))</f>
        <v/>
      </c>
      <c r="F863" s="24" t="str">
        <f aca="false">IF(C863="","",IFERROR(INDEX(LOTES!$B$5:$B$1004,MATCH(C863,LOTES!$F$5:$F$1004,0)),""))</f>
        <v/>
      </c>
      <c r="G863" s="15" t="str">
        <f aca="false">IF(OR(B863="",F863=""),"",B863-F863)</f>
        <v/>
      </c>
      <c r="H863" s="13"/>
      <c r="I863" s="13"/>
      <c r="J863" s="13"/>
      <c r="K863" s="25"/>
      <c r="L863" s="25"/>
      <c r="M863" s="25"/>
      <c r="N863" s="25"/>
      <c r="O863" s="26"/>
      <c r="P863" s="16" t="str">
        <f aca="false">IF(O863="","",IFERROR(1/(1/(IF(K863="",INDEX(CONFIG!$F$5:$F$14,MATCH(D863,CONFIG!$D$5:$D$14,0)),K863)*IF(M863="",INDEX(CONFIG!$H$5:$H$14,MATCH(D863,CONFIG!$D$5:$D$14,0)),M863))),""))</f>
        <v/>
      </c>
      <c r="Q863" s="16" t="str">
        <f aca="false">IF(OR(O863="",P863=""),"",O863/P863)</f>
        <v/>
      </c>
      <c r="R863" s="16" t="str">
        <f aca="false">IF(Q863="","",Q863*0.0980665)</f>
        <v/>
      </c>
      <c r="S863" s="16" t="str">
        <f aca="false">IF(Q863="","",IFERROR(Q863/(1/(1/INDEX(CONFIG!$I$5:$I$14,MATCH(D863,CONFIG!$D$5:$D$14,0)))),""))</f>
        <v/>
      </c>
      <c r="T863" s="13"/>
      <c r="U863" s="13"/>
      <c r="V863" s="13"/>
      <c r="W863" s="13"/>
      <c r="X863" s="22" t="str">
        <f aca="false">IF(Q863="","",Q863^2)</f>
        <v/>
      </c>
      <c r="Y863" s="22" t="str">
        <f aca="false">IF(AND(C863&lt;&gt;"",C863=CERTIFICADO!$E$4,OR(CERTIFICADO!$E$5="",B863=CERTIFICADO!$E$5)),MAX($Y$4:Y862)+1,"")</f>
        <v/>
      </c>
    </row>
    <row r="864" customFormat="false" ht="15" hidden="false" customHeight="false" outlineLevel="0" collapsed="false">
      <c r="A864" s="11" t="str">
        <f aca="false">IF(C864="","",ROW()-4)</f>
        <v/>
      </c>
      <c r="B864" s="12"/>
      <c r="C864" s="13"/>
      <c r="D864" s="23" t="str">
        <f aca="false">IF(C864="","",IFERROR(INDEX(LOTES!$D$5:$D$1004,MATCH(C864,LOTES!$F$5:$F$1004,0)),"¿Lote?"))</f>
        <v/>
      </c>
      <c r="E864" s="11" t="str">
        <f aca="false">IF(C864="","",IFERROR(INDEX(LOTES!$C$5:$C$1004,MATCH(C864,LOTES!$F$5:$F$1004,0)),""))</f>
        <v/>
      </c>
      <c r="F864" s="24" t="str">
        <f aca="false">IF(C864="","",IFERROR(INDEX(LOTES!$B$5:$B$1004,MATCH(C864,LOTES!$F$5:$F$1004,0)),""))</f>
        <v/>
      </c>
      <c r="G864" s="15" t="str">
        <f aca="false">IF(OR(B864="",F864=""),"",B864-F864)</f>
        <v/>
      </c>
      <c r="H864" s="13"/>
      <c r="I864" s="13"/>
      <c r="J864" s="13"/>
      <c r="K864" s="25"/>
      <c r="L864" s="25"/>
      <c r="M864" s="25"/>
      <c r="N864" s="25"/>
      <c r="O864" s="26"/>
      <c r="P864" s="16" t="str">
        <f aca="false">IF(O864="","",IFERROR(1/(1/(IF(K864="",INDEX(CONFIG!$F$5:$F$14,MATCH(D864,CONFIG!$D$5:$D$14,0)),K864)*IF(M864="",INDEX(CONFIG!$H$5:$H$14,MATCH(D864,CONFIG!$D$5:$D$14,0)),M864))),""))</f>
        <v/>
      </c>
      <c r="Q864" s="16" t="str">
        <f aca="false">IF(OR(O864="",P864=""),"",O864/P864)</f>
        <v/>
      </c>
      <c r="R864" s="16" t="str">
        <f aca="false">IF(Q864="","",Q864*0.0980665)</f>
        <v/>
      </c>
      <c r="S864" s="16" t="str">
        <f aca="false">IF(Q864="","",IFERROR(Q864/(1/(1/INDEX(CONFIG!$I$5:$I$14,MATCH(D864,CONFIG!$D$5:$D$14,0)))),""))</f>
        <v/>
      </c>
      <c r="T864" s="13"/>
      <c r="U864" s="13"/>
      <c r="V864" s="13"/>
      <c r="W864" s="13"/>
      <c r="X864" s="22" t="str">
        <f aca="false">IF(Q864="","",Q864^2)</f>
        <v/>
      </c>
      <c r="Y864" s="22" t="str">
        <f aca="false">IF(AND(C864&lt;&gt;"",C864=CERTIFICADO!$E$4,OR(CERTIFICADO!$E$5="",B864=CERTIFICADO!$E$5)),MAX($Y$4:Y863)+1,"")</f>
        <v/>
      </c>
    </row>
    <row r="865" customFormat="false" ht="15" hidden="false" customHeight="false" outlineLevel="0" collapsed="false">
      <c r="A865" s="11" t="str">
        <f aca="false">IF(C865="","",ROW()-4)</f>
        <v/>
      </c>
      <c r="B865" s="12"/>
      <c r="C865" s="13"/>
      <c r="D865" s="23" t="str">
        <f aca="false">IF(C865="","",IFERROR(INDEX(LOTES!$D$5:$D$1004,MATCH(C865,LOTES!$F$5:$F$1004,0)),"¿Lote?"))</f>
        <v/>
      </c>
      <c r="E865" s="11" t="str">
        <f aca="false">IF(C865="","",IFERROR(INDEX(LOTES!$C$5:$C$1004,MATCH(C865,LOTES!$F$5:$F$1004,0)),""))</f>
        <v/>
      </c>
      <c r="F865" s="24" t="str">
        <f aca="false">IF(C865="","",IFERROR(INDEX(LOTES!$B$5:$B$1004,MATCH(C865,LOTES!$F$5:$F$1004,0)),""))</f>
        <v/>
      </c>
      <c r="G865" s="15" t="str">
        <f aca="false">IF(OR(B865="",F865=""),"",B865-F865)</f>
        <v/>
      </c>
      <c r="H865" s="13"/>
      <c r="I865" s="13"/>
      <c r="J865" s="13"/>
      <c r="K865" s="25"/>
      <c r="L865" s="25"/>
      <c r="M865" s="25"/>
      <c r="N865" s="25"/>
      <c r="O865" s="26"/>
      <c r="P865" s="16" t="str">
        <f aca="false">IF(O865="","",IFERROR(1/(1/(IF(K865="",INDEX(CONFIG!$F$5:$F$14,MATCH(D865,CONFIG!$D$5:$D$14,0)),K865)*IF(M865="",INDEX(CONFIG!$H$5:$H$14,MATCH(D865,CONFIG!$D$5:$D$14,0)),M865))),""))</f>
        <v/>
      </c>
      <c r="Q865" s="16" t="str">
        <f aca="false">IF(OR(O865="",P865=""),"",O865/P865)</f>
        <v/>
      </c>
      <c r="R865" s="16" t="str">
        <f aca="false">IF(Q865="","",Q865*0.0980665)</f>
        <v/>
      </c>
      <c r="S865" s="16" t="str">
        <f aca="false">IF(Q865="","",IFERROR(Q865/(1/(1/INDEX(CONFIG!$I$5:$I$14,MATCH(D865,CONFIG!$D$5:$D$14,0)))),""))</f>
        <v/>
      </c>
      <c r="T865" s="13"/>
      <c r="U865" s="13"/>
      <c r="V865" s="13"/>
      <c r="W865" s="13"/>
      <c r="X865" s="22" t="str">
        <f aca="false">IF(Q865="","",Q865^2)</f>
        <v/>
      </c>
      <c r="Y865" s="22" t="str">
        <f aca="false">IF(AND(C865&lt;&gt;"",C865=CERTIFICADO!$E$4,OR(CERTIFICADO!$E$5="",B865=CERTIFICADO!$E$5)),MAX($Y$4:Y864)+1,"")</f>
        <v/>
      </c>
    </row>
    <row r="866" customFormat="false" ht="15" hidden="false" customHeight="false" outlineLevel="0" collapsed="false">
      <c r="A866" s="11" t="str">
        <f aca="false">IF(C866="","",ROW()-4)</f>
        <v/>
      </c>
      <c r="B866" s="12"/>
      <c r="C866" s="13"/>
      <c r="D866" s="23" t="str">
        <f aca="false">IF(C866="","",IFERROR(INDEX(LOTES!$D$5:$D$1004,MATCH(C866,LOTES!$F$5:$F$1004,0)),"¿Lote?"))</f>
        <v/>
      </c>
      <c r="E866" s="11" t="str">
        <f aca="false">IF(C866="","",IFERROR(INDEX(LOTES!$C$5:$C$1004,MATCH(C866,LOTES!$F$5:$F$1004,0)),""))</f>
        <v/>
      </c>
      <c r="F866" s="24" t="str">
        <f aca="false">IF(C866="","",IFERROR(INDEX(LOTES!$B$5:$B$1004,MATCH(C866,LOTES!$F$5:$F$1004,0)),""))</f>
        <v/>
      </c>
      <c r="G866" s="15" t="str">
        <f aca="false">IF(OR(B866="",F866=""),"",B866-F866)</f>
        <v/>
      </c>
      <c r="H866" s="13"/>
      <c r="I866" s="13"/>
      <c r="J866" s="13"/>
      <c r="K866" s="25"/>
      <c r="L866" s="25"/>
      <c r="M866" s="25"/>
      <c r="N866" s="25"/>
      <c r="O866" s="26"/>
      <c r="P866" s="16" t="str">
        <f aca="false">IF(O866="","",IFERROR(1/(1/(IF(K866="",INDEX(CONFIG!$F$5:$F$14,MATCH(D866,CONFIG!$D$5:$D$14,0)),K866)*IF(M866="",INDEX(CONFIG!$H$5:$H$14,MATCH(D866,CONFIG!$D$5:$D$14,0)),M866))),""))</f>
        <v/>
      </c>
      <c r="Q866" s="16" t="str">
        <f aca="false">IF(OR(O866="",P866=""),"",O866/P866)</f>
        <v/>
      </c>
      <c r="R866" s="16" t="str">
        <f aca="false">IF(Q866="","",Q866*0.0980665)</f>
        <v/>
      </c>
      <c r="S866" s="16" t="str">
        <f aca="false">IF(Q866="","",IFERROR(Q866/(1/(1/INDEX(CONFIG!$I$5:$I$14,MATCH(D866,CONFIG!$D$5:$D$14,0)))),""))</f>
        <v/>
      </c>
      <c r="T866" s="13"/>
      <c r="U866" s="13"/>
      <c r="V866" s="13"/>
      <c r="W866" s="13"/>
      <c r="X866" s="22" t="str">
        <f aca="false">IF(Q866="","",Q866^2)</f>
        <v/>
      </c>
      <c r="Y866" s="22" t="str">
        <f aca="false">IF(AND(C866&lt;&gt;"",C866=CERTIFICADO!$E$4,OR(CERTIFICADO!$E$5="",B866=CERTIFICADO!$E$5)),MAX($Y$4:Y865)+1,"")</f>
        <v/>
      </c>
    </row>
    <row r="867" customFormat="false" ht="15" hidden="false" customHeight="false" outlineLevel="0" collapsed="false">
      <c r="A867" s="11" t="str">
        <f aca="false">IF(C867="","",ROW()-4)</f>
        <v/>
      </c>
      <c r="B867" s="12"/>
      <c r="C867" s="13"/>
      <c r="D867" s="23" t="str">
        <f aca="false">IF(C867="","",IFERROR(INDEX(LOTES!$D$5:$D$1004,MATCH(C867,LOTES!$F$5:$F$1004,0)),"¿Lote?"))</f>
        <v/>
      </c>
      <c r="E867" s="11" t="str">
        <f aca="false">IF(C867="","",IFERROR(INDEX(LOTES!$C$5:$C$1004,MATCH(C867,LOTES!$F$5:$F$1004,0)),""))</f>
        <v/>
      </c>
      <c r="F867" s="24" t="str">
        <f aca="false">IF(C867="","",IFERROR(INDEX(LOTES!$B$5:$B$1004,MATCH(C867,LOTES!$F$5:$F$1004,0)),""))</f>
        <v/>
      </c>
      <c r="G867" s="15" t="str">
        <f aca="false">IF(OR(B867="",F867=""),"",B867-F867)</f>
        <v/>
      </c>
      <c r="H867" s="13"/>
      <c r="I867" s="13"/>
      <c r="J867" s="13"/>
      <c r="K867" s="25"/>
      <c r="L867" s="25"/>
      <c r="M867" s="25"/>
      <c r="N867" s="25"/>
      <c r="O867" s="26"/>
      <c r="P867" s="16" t="str">
        <f aca="false">IF(O867="","",IFERROR(1/(1/(IF(K867="",INDEX(CONFIG!$F$5:$F$14,MATCH(D867,CONFIG!$D$5:$D$14,0)),K867)*IF(M867="",INDEX(CONFIG!$H$5:$H$14,MATCH(D867,CONFIG!$D$5:$D$14,0)),M867))),""))</f>
        <v/>
      </c>
      <c r="Q867" s="16" t="str">
        <f aca="false">IF(OR(O867="",P867=""),"",O867/P867)</f>
        <v/>
      </c>
      <c r="R867" s="16" t="str">
        <f aca="false">IF(Q867="","",Q867*0.0980665)</f>
        <v/>
      </c>
      <c r="S867" s="16" t="str">
        <f aca="false">IF(Q867="","",IFERROR(Q867/(1/(1/INDEX(CONFIG!$I$5:$I$14,MATCH(D867,CONFIG!$D$5:$D$14,0)))),""))</f>
        <v/>
      </c>
      <c r="T867" s="13"/>
      <c r="U867" s="13"/>
      <c r="V867" s="13"/>
      <c r="W867" s="13"/>
      <c r="X867" s="22" t="str">
        <f aca="false">IF(Q867="","",Q867^2)</f>
        <v/>
      </c>
      <c r="Y867" s="22" t="str">
        <f aca="false">IF(AND(C867&lt;&gt;"",C867=CERTIFICADO!$E$4,OR(CERTIFICADO!$E$5="",B867=CERTIFICADO!$E$5)),MAX($Y$4:Y866)+1,"")</f>
        <v/>
      </c>
    </row>
    <row r="868" customFormat="false" ht="15" hidden="false" customHeight="false" outlineLevel="0" collapsed="false">
      <c r="A868" s="11" t="str">
        <f aca="false">IF(C868="","",ROW()-4)</f>
        <v/>
      </c>
      <c r="B868" s="12"/>
      <c r="C868" s="13"/>
      <c r="D868" s="23" t="str">
        <f aca="false">IF(C868="","",IFERROR(INDEX(LOTES!$D$5:$D$1004,MATCH(C868,LOTES!$F$5:$F$1004,0)),"¿Lote?"))</f>
        <v/>
      </c>
      <c r="E868" s="11" t="str">
        <f aca="false">IF(C868="","",IFERROR(INDEX(LOTES!$C$5:$C$1004,MATCH(C868,LOTES!$F$5:$F$1004,0)),""))</f>
        <v/>
      </c>
      <c r="F868" s="24" t="str">
        <f aca="false">IF(C868="","",IFERROR(INDEX(LOTES!$B$5:$B$1004,MATCH(C868,LOTES!$F$5:$F$1004,0)),""))</f>
        <v/>
      </c>
      <c r="G868" s="15" t="str">
        <f aca="false">IF(OR(B868="",F868=""),"",B868-F868)</f>
        <v/>
      </c>
      <c r="H868" s="13"/>
      <c r="I868" s="13"/>
      <c r="J868" s="13"/>
      <c r="K868" s="25"/>
      <c r="L868" s="25"/>
      <c r="M868" s="25"/>
      <c r="N868" s="25"/>
      <c r="O868" s="26"/>
      <c r="P868" s="16" t="str">
        <f aca="false">IF(O868="","",IFERROR(1/(1/(IF(K868="",INDEX(CONFIG!$F$5:$F$14,MATCH(D868,CONFIG!$D$5:$D$14,0)),K868)*IF(M868="",INDEX(CONFIG!$H$5:$H$14,MATCH(D868,CONFIG!$D$5:$D$14,0)),M868))),""))</f>
        <v/>
      </c>
      <c r="Q868" s="16" t="str">
        <f aca="false">IF(OR(O868="",P868=""),"",O868/P868)</f>
        <v/>
      </c>
      <c r="R868" s="16" t="str">
        <f aca="false">IF(Q868="","",Q868*0.0980665)</f>
        <v/>
      </c>
      <c r="S868" s="16" t="str">
        <f aca="false">IF(Q868="","",IFERROR(Q868/(1/(1/INDEX(CONFIG!$I$5:$I$14,MATCH(D868,CONFIG!$D$5:$D$14,0)))),""))</f>
        <v/>
      </c>
      <c r="T868" s="13"/>
      <c r="U868" s="13"/>
      <c r="V868" s="13"/>
      <c r="W868" s="13"/>
      <c r="X868" s="22" t="str">
        <f aca="false">IF(Q868="","",Q868^2)</f>
        <v/>
      </c>
      <c r="Y868" s="22" t="str">
        <f aca="false">IF(AND(C868&lt;&gt;"",C868=CERTIFICADO!$E$4,OR(CERTIFICADO!$E$5="",B868=CERTIFICADO!$E$5)),MAX($Y$4:Y867)+1,"")</f>
        <v/>
      </c>
    </row>
    <row r="869" customFormat="false" ht="15" hidden="false" customHeight="false" outlineLevel="0" collapsed="false">
      <c r="A869" s="11" t="str">
        <f aca="false">IF(C869="","",ROW()-4)</f>
        <v/>
      </c>
      <c r="B869" s="12"/>
      <c r="C869" s="13"/>
      <c r="D869" s="23" t="str">
        <f aca="false">IF(C869="","",IFERROR(INDEX(LOTES!$D$5:$D$1004,MATCH(C869,LOTES!$F$5:$F$1004,0)),"¿Lote?"))</f>
        <v/>
      </c>
      <c r="E869" s="11" t="str">
        <f aca="false">IF(C869="","",IFERROR(INDEX(LOTES!$C$5:$C$1004,MATCH(C869,LOTES!$F$5:$F$1004,0)),""))</f>
        <v/>
      </c>
      <c r="F869" s="24" t="str">
        <f aca="false">IF(C869="","",IFERROR(INDEX(LOTES!$B$5:$B$1004,MATCH(C869,LOTES!$F$5:$F$1004,0)),""))</f>
        <v/>
      </c>
      <c r="G869" s="15" t="str">
        <f aca="false">IF(OR(B869="",F869=""),"",B869-F869)</f>
        <v/>
      </c>
      <c r="H869" s="13"/>
      <c r="I869" s="13"/>
      <c r="J869" s="13"/>
      <c r="K869" s="25"/>
      <c r="L869" s="25"/>
      <c r="M869" s="25"/>
      <c r="N869" s="25"/>
      <c r="O869" s="26"/>
      <c r="P869" s="16" t="str">
        <f aca="false">IF(O869="","",IFERROR(1/(1/(IF(K869="",INDEX(CONFIG!$F$5:$F$14,MATCH(D869,CONFIG!$D$5:$D$14,0)),K869)*IF(M869="",INDEX(CONFIG!$H$5:$H$14,MATCH(D869,CONFIG!$D$5:$D$14,0)),M869))),""))</f>
        <v/>
      </c>
      <c r="Q869" s="16" t="str">
        <f aca="false">IF(OR(O869="",P869=""),"",O869/P869)</f>
        <v/>
      </c>
      <c r="R869" s="16" t="str">
        <f aca="false">IF(Q869="","",Q869*0.0980665)</f>
        <v/>
      </c>
      <c r="S869" s="16" t="str">
        <f aca="false">IF(Q869="","",IFERROR(Q869/(1/(1/INDEX(CONFIG!$I$5:$I$14,MATCH(D869,CONFIG!$D$5:$D$14,0)))),""))</f>
        <v/>
      </c>
      <c r="T869" s="13"/>
      <c r="U869" s="13"/>
      <c r="V869" s="13"/>
      <c r="W869" s="13"/>
      <c r="X869" s="22" t="str">
        <f aca="false">IF(Q869="","",Q869^2)</f>
        <v/>
      </c>
      <c r="Y869" s="22" t="str">
        <f aca="false">IF(AND(C869&lt;&gt;"",C869=CERTIFICADO!$E$4,OR(CERTIFICADO!$E$5="",B869=CERTIFICADO!$E$5)),MAX($Y$4:Y868)+1,"")</f>
        <v/>
      </c>
    </row>
    <row r="870" customFormat="false" ht="15" hidden="false" customHeight="false" outlineLevel="0" collapsed="false">
      <c r="A870" s="11" t="str">
        <f aca="false">IF(C870="","",ROW()-4)</f>
        <v/>
      </c>
      <c r="B870" s="12"/>
      <c r="C870" s="13"/>
      <c r="D870" s="23" t="str">
        <f aca="false">IF(C870="","",IFERROR(INDEX(LOTES!$D$5:$D$1004,MATCH(C870,LOTES!$F$5:$F$1004,0)),"¿Lote?"))</f>
        <v/>
      </c>
      <c r="E870" s="11" t="str">
        <f aca="false">IF(C870="","",IFERROR(INDEX(LOTES!$C$5:$C$1004,MATCH(C870,LOTES!$F$5:$F$1004,0)),""))</f>
        <v/>
      </c>
      <c r="F870" s="24" t="str">
        <f aca="false">IF(C870="","",IFERROR(INDEX(LOTES!$B$5:$B$1004,MATCH(C870,LOTES!$F$5:$F$1004,0)),""))</f>
        <v/>
      </c>
      <c r="G870" s="15" t="str">
        <f aca="false">IF(OR(B870="",F870=""),"",B870-F870)</f>
        <v/>
      </c>
      <c r="H870" s="13"/>
      <c r="I870" s="13"/>
      <c r="J870" s="13"/>
      <c r="K870" s="25"/>
      <c r="L870" s="25"/>
      <c r="M870" s="25"/>
      <c r="N870" s="25"/>
      <c r="O870" s="26"/>
      <c r="P870" s="16" t="str">
        <f aca="false">IF(O870="","",IFERROR(1/(1/(IF(K870="",INDEX(CONFIG!$F$5:$F$14,MATCH(D870,CONFIG!$D$5:$D$14,0)),K870)*IF(M870="",INDEX(CONFIG!$H$5:$H$14,MATCH(D870,CONFIG!$D$5:$D$14,0)),M870))),""))</f>
        <v/>
      </c>
      <c r="Q870" s="16" t="str">
        <f aca="false">IF(OR(O870="",P870=""),"",O870/P870)</f>
        <v/>
      </c>
      <c r="R870" s="16" t="str">
        <f aca="false">IF(Q870="","",Q870*0.0980665)</f>
        <v/>
      </c>
      <c r="S870" s="16" t="str">
        <f aca="false">IF(Q870="","",IFERROR(Q870/(1/(1/INDEX(CONFIG!$I$5:$I$14,MATCH(D870,CONFIG!$D$5:$D$14,0)))),""))</f>
        <v/>
      </c>
      <c r="T870" s="13"/>
      <c r="U870" s="13"/>
      <c r="V870" s="13"/>
      <c r="W870" s="13"/>
      <c r="X870" s="22" t="str">
        <f aca="false">IF(Q870="","",Q870^2)</f>
        <v/>
      </c>
      <c r="Y870" s="22" t="str">
        <f aca="false">IF(AND(C870&lt;&gt;"",C870=CERTIFICADO!$E$4,OR(CERTIFICADO!$E$5="",B870=CERTIFICADO!$E$5)),MAX($Y$4:Y869)+1,"")</f>
        <v/>
      </c>
    </row>
    <row r="871" customFormat="false" ht="15" hidden="false" customHeight="false" outlineLevel="0" collapsed="false">
      <c r="A871" s="11" t="str">
        <f aca="false">IF(C871="","",ROW()-4)</f>
        <v/>
      </c>
      <c r="B871" s="12"/>
      <c r="C871" s="13"/>
      <c r="D871" s="23" t="str">
        <f aca="false">IF(C871="","",IFERROR(INDEX(LOTES!$D$5:$D$1004,MATCH(C871,LOTES!$F$5:$F$1004,0)),"¿Lote?"))</f>
        <v/>
      </c>
      <c r="E871" s="11" t="str">
        <f aca="false">IF(C871="","",IFERROR(INDEX(LOTES!$C$5:$C$1004,MATCH(C871,LOTES!$F$5:$F$1004,0)),""))</f>
        <v/>
      </c>
      <c r="F871" s="24" t="str">
        <f aca="false">IF(C871="","",IFERROR(INDEX(LOTES!$B$5:$B$1004,MATCH(C871,LOTES!$F$5:$F$1004,0)),""))</f>
        <v/>
      </c>
      <c r="G871" s="15" t="str">
        <f aca="false">IF(OR(B871="",F871=""),"",B871-F871)</f>
        <v/>
      </c>
      <c r="H871" s="13"/>
      <c r="I871" s="13"/>
      <c r="J871" s="13"/>
      <c r="K871" s="25"/>
      <c r="L871" s="25"/>
      <c r="M871" s="25"/>
      <c r="N871" s="25"/>
      <c r="O871" s="26"/>
      <c r="P871" s="16" t="str">
        <f aca="false">IF(O871="","",IFERROR(1/(1/(IF(K871="",INDEX(CONFIG!$F$5:$F$14,MATCH(D871,CONFIG!$D$5:$D$14,0)),K871)*IF(M871="",INDEX(CONFIG!$H$5:$H$14,MATCH(D871,CONFIG!$D$5:$D$14,0)),M871))),""))</f>
        <v/>
      </c>
      <c r="Q871" s="16" t="str">
        <f aca="false">IF(OR(O871="",P871=""),"",O871/P871)</f>
        <v/>
      </c>
      <c r="R871" s="16" t="str">
        <f aca="false">IF(Q871="","",Q871*0.0980665)</f>
        <v/>
      </c>
      <c r="S871" s="16" t="str">
        <f aca="false">IF(Q871="","",IFERROR(Q871/(1/(1/INDEX(CONFIG!$I$5:$I$14,MATCH(D871,CONFIG!$D$5:$D$14,0)))),""))</f>
        <v/>
      </c>
      <c r="T871" s="13"/>
      <c r="U871" s="13"/>
      <c r="V871" s="13"/>
      <c r="W871" s="13"/>
      <c r="X871" s="22" t="str">
        <f aca="false">IF(Q871="","",Q871^2)</f>
        <v/>
      </c>
      <c r="Y871" s="22" t="str">
        <f aca="false">IF(AND(C871&lt;&gt;"",C871=CERTIFICADO!$E$4,OR(CERTIFICADO!$E$5="",B871=CERTIFICADO!$E$5)),MAX($Y$4:Y870)+1,"")</f>
        <v/>
      </c>
    </row>
    <row r="872" customFormat="false" ht="15" hidden="false" customHeight="false" outlineLevel="0" collapsed="false">
      <c r="A872" s="11" t="str">
        <f aca="false">IF(C872="","",ROW()-4)</f>
        <v/>
      </c>
      <c r="B872" s="12"/>
      <c r="C872" s="13"/>
      <c r="D872" s="23" t="str">
        <f aca="false">IF(C872="","",IFERROR(INDEX(LOTES!$D$5:$D$1004,MATCH(C872,LOTES!$F$5:$F$1004,0)),"¿Lote?"))</f>
        <v/>
      </c>
      <c r="E872" s="11" t="str">
        <f aca="false">IF(C872="","",IFERROR(INDEX(LOTES!$C$5:$C$1004,MATCH(C872,LOTES!$F$5:$F$1004,0)),""))</f>
        <v/>
      </c>
      <c r="F872" s="24" t="str">
        <f aca="false">IF(C872="","",IFERROR(INDEX(LOTES!$B$5:$B$1004,MATCH(C872,LOTES!$F$5:$F$1004,0)),""))</f>
        <v/>
      </c>
      <c r="G872" s="15" t="str">
        <f aca="false">IF(OR(B872="",F872=""),"",B872-F872)</f>
        <v/>
      </c>
      <c r="H872" s="13"/>
      <c r="I872" s="13"/>
      <c r="J872" s="13"/>
      <c r="K872" s="25"/>
      <c r="L872" s="25"/>
      <c r="M872" s="25"/>
      <c r="N872" s="25"/>
      <c r="O872" s="26"/>
      <c r="P872" s="16" t="str">
        <f aca="false">IF(O872="","",IFERROR(1/(1/(IF(K872="",INDEX(CONFIG!$F$5:$F$14,MATCH(D872,CONFIG!$D$5:$D$14,0)),K872)*IF(M872="",INDEX(CONFIG!$H$5:$H$14,MATCH(D872,CONFIG!$D$5:$D$14,0)),M872))),""))</f>
        <v/>
      </c>
      <c r="Q872" s="16" t="str">
        <f aca="false">IF(OR(O872="",P872=""),"",O872/P872)</f>
        <v/>
      </c>
      <c r="R872" s="16" t="str">
        <f aca="false">IF(Q872="","",Q872*0.0980665)</f>
        <v/>
      </c>
      <c r="S872" s="16" t="str">
        <f aca="false">IF(Q872="","",IFERROR(Q872/(1/(1/INDEX(CONFIG!$I$5:$I$14,MATCH(D872,CONFIG!$D$5:$D$14,0)))),""))</f>
        <v/>
      </c>
      <c r="T872" s="13"/>
      <c r="U872" s="13"/>
      <c r="V872" s="13"/>
      <c r="W872" s="13"/>
      <c r="X872" s="22" t="str">
        <f aca="false">IF(Q872="","",Q872^2)</f>
        <v/>
      </c>
      <c r="Y872" s="22" t="str">
        <f aca="false">IF(AND(C872&lt;&gt;"",C872=CERTIFICADO!$E$4,OR(CERTIFICADO!$E$5="",B872=CERTIFICADO!$E$5)),MAX($Y$4:Y871)+1,"")</f>
        <v/>
      </c>
    </row>
    <row r="873" customFormat="false" ht="15" hidden="false" customHeight="false" outlineLevel="0" collapsed="false">
      <c r="A873" s="11" t="str">
        <f aca="false">IF(C873="","",ROW()-4)</f>
        <v/>
      </c>
      <c r="B873" s="12"/>
      <c r="C873" s="13"/>
      <c r="D873" s="23" t="str">
        <f aca="false">IF(C873="","",IFERROR(INDEX(LOTES!$D$5:$D$1004,MATCH(C873,LOTES!$F$5:$F$1004,0)),"¿Lote?"))</f>
        <v/>
      </c>
      <c r="E873" s="11" t="str">
        <f aca="false">IF(C873="","",IFERROR(INDEX(LOTES!$C$5:$C$1004,MATCH(C873,LOTES!$F$5:$F$1004,0)),""))</f>
        <v/>
      </c>
      <c r="F873" s="24" t="str">
        <f aca="false">IF(C873="","",IFERROR(INDEX(LOTES!$B$5:$B$1004,MATCH(C873,LOTES!$F$5:$F$1004,0)),""))</f>
        <v/>
      </c>
      <c r="G873" s="15" t="str">
        <f aca="false">IF(OR(B873="",F873=""),"",B873-F873)</f>
        <v/>
      </c>
      <c r="H873" s="13"/>
      <c r="I873" s="13"/>
      <c r="J873" s="13"/>
      <c r="K873" s="25"/>
      <c r="L873" s="25"/>
      <c r="M873" s="25"/>
      <c r="N873" s="25"/>
      <c r="O873" s="26"/>
      <c r="P873" s="16" t="str">
        <f aca="false">IF(O873="","",IFERROR(1/(1/(IF(K873="",INDEX(CONFIG!$F$5:$F$14,MATCH(D873,CONFIG!$D$5:$D$14,0)),K873)*IF(M873="",INDEX(CONFIG!$H$5:$H$14,MATCH(D873,CONFIG!$D$5:$D$14,0)),M873))),""))</f>
        <v/>
      </c>
      <c r="Q873" s="16" t="str">
        <f aca="false">IF(OR(O873="",P873=""),"",O873/P873)</f>
        <v/>
      </c>
      <c r="R873" s="16" t="str">
        <f aca="false">IF(Q873="","",Q873*0.0980665)</f>
        <v/>
      </c>
      <c r="S873" s="16" t="str">
        <f aca="false">IF(Q873="","",IFERROR(Q873/(1/(1/INDEX(CONFIG!$I$5:$I$14,MATCH(D873,CONFIG!$D$5:$D$14,0)))),""))</f>
        <v/>
      </c>
      <c r="T873" s="13"/>
      <c r="U873" s="13"/>
      <c r="V873" s="13"/>
      <c r="W873" s="13"/>
      <c r="X873" s="22" t="str">
        <f aca="false">IF(Q873="","",Q873^2)</f>
        <v/>
      </c>
      <c r="Y873" s="22" t="str">
        <f aca="false">IF(AND(C873&lt;&gt;"",C873=CERTIFICADO!$E$4,OR(CERTIFICADO!$E$5="",B873=CERTIFICADO!$E$5)),MAX($Y$4:Y872)+1,"")</f>
        <v/>
      </c>
    </row>
    <row r="874" customFormat="false" ht="15" hidden="false" customHeight="false" outlineLevel="0" collapsed="false">
      <c r="A874" s="11" t="str">
        <f aca="false">IF(C874="","",ROW()-4)</f>
        <v/>
      </c>
      <c r="B874" s="12"/>
      <c r="C874" s="13"/>
      <c r="D874" s="23" t="str">
        <f aca="false">IF(C874="","",IFERROR(INDEX(LOTES!$D$5:$D$1004,MATCH(C874,LOTES!$F$5:$F$1004,0)),"¿Lote?"))</f>
        <v/>
      </c>
      <c r="E874" s="11" t="str">
        <f aca="false">IF(C874="","",IFERROR(INDEX(LOTES!$C$5:$C$1004,MATCH(C874,LOTES!$F$5:$F$1004,0)),""))</f>
        <v/>
      </c>
      <c r="F874" s="24" t="str">
        <f aca="false">IF(C874="","",IFERROR(INDEX(LOTES!$B$5:$B$1004,MATCH(C874,LOTES!$F$5:$F$1004,0)),""))</f>
        <v/>
      </c>
      <c r="G874" s="15" t="str">
        <f aca="false">IF(OR(B874="",F874=""),"",B874-F874)</f>
        <v/>
      </c>
      <c r="H874" s="13"/>
      <c r="I874" s="13"/>
      <c r="J874" s="13"/>
      <c r="K874" s="25"/>
      <c r="L874" s="25"/>
      <c r="M874" s="25"/>
      <c r="N874" s="25"/>
      <c r="O874" s="26"/>
      <c r="P874" s="16" t="str">
        <f aca="false">IF(O874="","",IFERROR(1/(1/(IF(K874="",INDEX(CONFIG!$F$5:$F$14,MATCH(D874,CONFIG!$D$5:$D$14,0)),K874)*IF(M874="",INDEX(CONFIG!$H$5:$H$14,MATCH(D874,CONFIG!$D$5:$D$14,0)),M874))),""))</f>
        <v/>
      </c>
      <c r="Q874" s="16" t="str">
        <f aca="false">IF(OR(O874="",P874=""),"",O874/P874)</f>
        <v/>
      </c>
      <c r="R874" s="16" t="str">
        <f aca="false">IF(Q874="","",Q874*0.0980665)</f>
        <v/>
      </c>
      <c r="S874" s="16" t="str">
        <f aca="false">IF(Q874="","",IFERROR(Q874/(1/(1/INDEX(CONFIG!$I$5:$I$14,MATCH(D874,CONFIG!$D$5:$D$14,0)))),""))</f>
        <v/>
      </c>
      <c r="T874" s="13"/>
      <c r="U874" s="13"/>
      <c r="V874" s="13"/>
      <c r="W874" s="13"/>
      <c r="X874" s="22" t="str">
        <f aca="false">IF(Q874="","",Q874^2)</f>
        <v/>
      </c>
      <c r="Y874" s="22" t="str">
        <f aca="false">IF(AND(C874&lt;&gt;"",C874=CERTIFICADO!$E$4,OR(CERTIFICADO!$E$5="",B874=CERTIFICADO!$E$5)),MAX($Y$4:Y873)+1,"")</f>
        <v/>
      </c>
    </row>
    <row r="875" customFormat="false" ht="15" hidden="false" customHeight="false" outlineLevel="0" collapsed="false">
      <c r="A875" s="11" t="str">
        <f aca="false">IF(C875="","",ROW()-4)</f>
        <v/>
      </c>
      <c r="B875" s="12"/>
      <c r="C875" s="13"/>
      <c r="D875" s="23" t="str">
        <f aca="false">IF(C875="","",IFERROR(INDEX(LOTES!$D$5:$D$1004,MATCH(C875,LOTES!$F$5:$F$1004,0)),"¿Lote?"))</f>
        <v/>
      </c>
      <c r="E875" s="11" t="str">
        <f aca="false">IF(C875="","",IFERROR(INDEX(LOTES!$C$5:$C$1004,MATCH(C875,LOTES!$F$5:$F$1004,0)),""))</f>
        <v/>
      </c>
      <c r="F875" s="24" t="str">
        <f aca="false">IF(C875="","",IFERROR(INDEX(LOTES!$B$5:$B$1004,MATCH(C875,LOTES!$F$5:$F$1004,0)),""))</f>
        <v/>
      </c>
      <c r="G875" s="15" t="str">
        <f aca="false">IF(OR(B875="",F875=""),"",B875-F875)</f>
        <v/>
      </c>
      <c r="H875" s="13"/>
      <c r="I875" s="13"/>
      <c r="J875" s="13"/>
      <c r="K875" s="25"/>
      <c r="L875" s="25"/>
      <c r="M875" s="25"/>
      <c r="N875" s="25"/>
      <c r="O875" s="26"/>
      <c r="P875" s="16" t="str">
        <f aca="false">IF(O875="","",IFERROR(1/(1/(IF(K875="",INDEX(CONFIG!$F$5:$F$14,MATCH(D875,CONFIG!$D$5:$D$14,0)),K875)*IF(M875="",INDEX(CONFIG!$H$5:$H$14,MATCH(D875,CONFIG!$D$5:$D$14,0)),M875))),""))</f>
        <v/>
      </c>
      <c r="Q875" s="16" t="str">
        <f aca="false">IF(OR(O875="",P875=""),"",O875/P875)</f>
        <v/>
      </c>
      <c r="R875" s="16" t="str">
        <f aca="false">IF(Q875="","",Q875*0.0980665)</f>
        <v/>
      </c>
      <c r="S875" s="16" t="str">
        <f aca="false">IF(Q875="","",IFERROR(Q875/(1/(1/INDEX(CONFIG!$I$5:$I$14,MATCH(D875,CONFIG!$D$5:$D$14,0)))),""))</f>
        <v/>
      </c>
      <c r="T875" s="13"/>
      <c r="U875" s="13"/>
      <c r="V875" s="13"/>
      <c r="W875" s="13"/>
      <c r="X875" s="22" t="str">
        <f aca="false">IF(Q875="","",Q875^2)</f>
        <v/>
      </c>
      <c r="Y875" s="22" t="str">
        <f aca="false">IF(AND(C875&lt;&gt;"",C875=CERTIFICADO!$E$4,OR(CERTIFICADO!$E$5="",B875=CERTIFICADO!$E$5)),MAX($Y$4:Y874)+1,"")</f>
        <v/>
      </c>
    </row>
    <row r="876" customFormat="false" ht="15" hidden="false" customHeight="false" outlineLevel="0" collapsed="false">
      <c r="A876" s="11" t="str">
        <f aca="false">IF(C876="","",ROW()-4)</f>
        <v/>
      </c>
      <c r="B876" s="12"/>
      <c r="C876" s="13"/>
      <c r="D876" s="23" t="str">
        <f aca="false">IF(C876="","",IFERROR(INDEX(LOTES!$D$5:$D$1004,MATCH(C876,LOTES!$F$5:$F$1004,0)),"¿Lote?"))</f>
        <v/>
      </c>
      <c r="E876" s="11" t="str">
        <f aca="false">IF(C876="","",IFERROR(INDEX(LOTES!$C$5:$C$1004,MATCH(C876,LOTES!$F$5:$F$1004,0)),""))</f>
        <v/>
      </c>
      <c r="F876" s="24" t="str">
        <f aca="false">IF(C876="","",IFERROR(INDEX(LOTES!$B$5:$B$1004,MATCH(C876,LOTES!$F$5:$F$1004,0)),""))</f>
        <v/>
      </c>
      <c r="G876" s="15" t="str">
        <f aca="false">IF(OR(B876="",F876=""),"",B876-F876)</f>
        <v/>
      </c>
      <c r="H876" s="13"/>
      <c r="I876" s="13"/>
      <c r="J876" s="13"/>
      <c r="K876" s="25"/>
      <c r="L876" s="25"/>
      <c r="M876" s="25"/>
      <c r="N876" s="25"/>
      <c r="O876" s="26"/>
      <c r="P876" s="16" t="str">
        <f aca="false">IF(O876="","",IFERROR(1/(1/(IF(K876="",INDEX(CONFIG!$F$5:$F$14,MATCH(D876,CONFIG!$D$5:$D$14,0)),K876)*IF(M876="",INDEX(CONFIG!$H$5:$H$14,MATCH(D876,CONFIG!$D$5:$D$14,0)),M876))),""))</f>
        <v/>
      </c>
      <c r="Q876" s="16" t="str">
        <f aca="false">IF(OR(O876="",P876=""),"",O876/P876)</f>
        <v/>
      </c>
      <c r="R876" s="16" t="str">
        <f aca="false">IF(Q876="","",Q876*0.0980665)</f>
        <v/>
      </c>
      <c r="S876" s="16" t="str">
        <f aca="false">IF(Q876="","",IFERROR(Q876/(1/(1/INDEX(CONFIG!$I$5:$I$14,MATCH(D876,CONFIG!$D$5:$D$14,0)))),""))</f>
        <v/>
      </c>
      <c r="T876" s="13"/>
      <c r="U876" s="13"/>
      <c r="V876" s="13"/>
      <c r="W876" s="13"/>
      <c r="X876" s="22" t="str">
        <f aca="false">IF(Q876="","",Q876^2)</f>
        <v/>
      </c>
      <c r="Y876" s="22" t="str">
        <f aca="false">IF(AND(C876&lt;&gt;"",C876=CERTIFICADO!$E$4,OR(CERTIFICADO!$E$5="",B876=CERTIFICADO!$E$5)),MAX($Y$4:Y875)+1,"")</f>
        <v/>
      </c>
    </row>
    <row r="877" customFormat="false" ht="15" hidden="false" customHeight="false" outlineLevel="0" collapsed="false">
      <c r="A877" s="11" t="str">
        <f aca="false">IF(C877="","",ROW()-4)</f>
        <v/>
      </c>
      <c r="B877" s="12"/>
      <c r="C877" s="13"/>
      <c r="D877" s="23" t="str">
        <f aca="false">IF(C877="","",IFERROR(INDEX(LOTES!$D$5:$D$1004,MATCH(C877,LOTES!$F$5:$F$1004,0)),"¿Lote?"))</f>
        <v/>
      </c>
      <c r="E877" s="11" t="str">
        <f aca="false">IF(C877="","",IFERROR(INDEX(LOTES!$C$5:$C$1004,MATCH(C877,LOTES!$F$5:$F$1004,0)),""))</f>
        <v/>
      </c>
      <c r="F877" s="24" t="str">
        <f aca="false">IF(C877="","",IFERROR(INDEX(LOTES!$B$5:$B$1004,MATCH(C877,LOTES!$F$5:$F$1004,0)),""))</f>
        <v/>
      </c>
      <c r="G877" s="15" t="str">
        <f aca="false">IF(OR(B877="",F877=""),"",B877-F877)</f>
        <v/>
      </c>
      <c r="H877" s="13"/>
      <c r="I877" s="13"/>
      <c r="J877" s="13"/>
      <c r="K877" s="25"/>
      <c r="L877" s="25"/>
      <c r="M877" s="25"/>
      <c r="N877" s="25"/>
      <c r="O877" s="26"/>
      <c r="P877" s="16" t="str">
        <f aca="false">IF(O877="","",IFERROR(1/(1/(IF(K877="",INDEX(CONFIG!$F$5:$F$14,MATCH(D877,CONFIG!$D$5:$D$14,0)),K877)*IF(M877="",INDEX(CONFIG!$H$5:$H$14,MATCH(D877,CONFIG!$D$5:$D$14,0)),M877))),""))</f>
        <v/>
      </c>
      <c r="Q877" s="16" t="str">
        <f aca="false">IF(OR(O877="",P877=""),"",O877/P877)</f>
        <v/>
      </c>
      <c r="R877" s="16" t="str">
        <f aca="false">IF(Q877="","",Q877*0.0980665)</f>
        <v/>
      </c>
      <c r="S877" s="16" t="str">
        <f aca="false">IF(Q877="","",IFERROR(Q877/(1/(1/INDEX(CONFIG!$I$5:$I$14,MATCH(D877,CONFIG!$D$5:$D$14,0)))),""))</f>
        <v/>
      </c>
      <c r="T877" s="13"/>
      <c r="U877" s="13"/>
      <c r="V877" s="13"/>
      <c r="W877" s="13"/>
      <c r="X877" s="22" t="str">
        <f aca="false">IF(Q877="","",Q877^2)</f>
        <v/>
      </c>
      <c r="Y877" s="22" t="str">
        <f aca="false">IF(AND(C877&lt;&gt;"",C877=CERTIFICADO!$E$4,OR(CERTIFICADO!$E$5="",B877=CERTIFICADO!$E$5)),MAX($Y$4:Y876)+1,"")</f>
        <v/>
      </c>
    </row>
    <row r="878" customFormat="false" ht="15" hidden="false" customHeight="false" outlineLevel="0" collapsed="false">
      <c r="A878" s="11" t="str">
        <f aca="false">IF(C878="","",ROW()-4)</f>
        <v/>
      </c>
      <c r="B878" s="12"/>
      <c r="C878" s="13"/>
      <c r="D878" s="23" t="str">
        <f aca="false">IF(C878="","",IFERROR(INDEX(LOTES!$D$5:$D$1004,MATCH(C878,LOTES!$F$5:$F$1004,0)),"¿Lote?"))</f>
        <v/>
      </c>
      <c r="E878" s="11" t="str">
        <f aca="false">IF(C878="","",IFERROR(INDEX(LOTES!$C$5:$C$1004,MATCH(C878,LOTES!$F$5:$F$1004,0)),""))</f>
        <v/>
      </c>
      <c r="F878" s="24" t="str">
        <f aca="false">IF(C878="","",IFERROR(INDEX(LOTES!$B$5:$B$1004,MATCH(C878,LOTES!$F$5:$F$1004,0)),""))</f>
        <v/>
      </c>
      <c r="G878" s="15" t="str">
        <f aca="false">IF(OR(B878="",F878=""),"",B878-F878)</f>
        <v/>
      </c>
      <c r="H878" s="13"/>
      <c r="I878" s="13"/>
      <c r="J878" s="13"/>
      <c r="K878" s="25"/>
      <c r="L878" s="25"/>
      <c r="M878" s="25"/>
      <c r="N878" s="25"/>
      <c r="O878" s="26"/>
      <c r="P878" s="16" t="str">
        <f aca="false">IF(O878="","",IFERROR(1/(1/(IF(K878="",INDEX(CONFIG!$F$5:$F$14,MATCH(D878,CONFIG!$D$5:$D$14,0)),K878)*IF(M878="",INDEX(CONFIG!$H$5:$H$14,MATCH(D878,CONFIG!$D$5:$D$14,0)),M878))),""))</f>
        <v/>
      </c>
      <c r="Q878" s="16" t="str">
        <f aca="false">IF(OR(O878="",P878=""),"",O878/P878)</f>
        <v/>
      </c>
      <c r="R878" s="16" t="str">
        <f aca="false">IF(Q878="","",Q878*0.0980665)</f>
        <v/>
      </c>
      <c r="S878" s="16" t="str">
        <f aca="false">IF(Q878="","",IFERROR(Q878/(1/(1/INDEX(CONFIG!$I$5:$I$14,MATCH(D878,CONFIG!$D$5:$D$14,0)))),""))</f>
        <v/>
      </c>
      <c r="T878" s="13"/>
      <c r="U878" s="13"/>
      <c r="V878" s="13"/>
      <c r="W878" s="13"/>
      <c r="X878" s="22" t="str">
        <f aca="false">IF(Q878="","",Q878^2)</f>
        <v/>
      </c>
      <c r="Y878" s="22" t="str">
        <f aca="false">IF(AND(C878&lt;&gt;"",C878=CERTIFICADO!$E$4,OR(CERTIFICADO!$E$5="",B878=CERTIFICADO!$E$5)),MAX($Y$4:Y877)+1,"")</f>
        <v/>
      </c>
    </row>
    <row r="879" customFormat="false" ht="15" hidden="false" customHeight="false" outlineLevel="0" collapsed="false">
      <c r="A879" s="11" t="str">
        <f aca="false">IF(C879="","",ROW()-4)</f>
        <v/>
      </c>
      <c r="B879" s="12"/>
      <c r="C879" s="13"/>
      <c r="D879" s="23" t="str">
        <f aca="false">IF(C879="","",IFERROR(INDEX(LOTES!$D$5:$D$1004,MATCH(C879,LOTES!$F$5:$F$1004,0)),"¿Lote?"))</f>
        <v/>
      </c>
      <c r="E879" s="11" t="str">
        <f aca="false">IF(C879="","",IFERROR(INDEX(LOTES!$C$5:$C$1004,MATCH(C879,LOTES!$F$5:$F$1004,0)),""))</f>
        <v/>
      </c>
      <c r="F879" s="24" t="str">
        <f aca="false">IF(C879="","",IFERROR(INDEX(LOTES!$B$5:$B$1004,MATCH(C879,LOTES!$F$5:$F$1004,0)),""))</f>
        <v/>
      </c>
      <c r="G879" s="15" t="str">
        <f aca="false">IF(OR(B879="",F879=""),"",B879-F879)</f>
        <v/>
      </c>
      <c r="H879" s="13"/>
      <c r="I879" s="13"/>
      <c r="J879" s="13"/>
      <c r="K879" s="25"/>
      <c r="L879" s="25"/>
      <c r="M879" s="25"/>
      <c r="N879" s="25"/>
      <c r="O879" s="26"/>
      <c r="P879" s="16" t="str">
        <f aca="false">IF(O879="","",IFERROR(1/(1/(IF(K879="",INDEX(CONFIG!$F$5:$F$14,MATCH(D879,CONFIG!$D$5:$D$14,0)),K879)*IF(M879="",INDEX(CONFIG!$H$5:$H$14,MATCH(D879,CONFIG!$D$5:$D$14,0)),M879))),""))</f>
        <v/>
      </c>
      <c r="Q879" s="16" t="str">
        <f aca="false">IF(OR(O879="",P879=""),"",O879/P879)</f>
        <v/>
      </c>
      <c r="R879" s="16" t="str">
        <f aca="false">IF(Q879="","",Q879*0.0980665)</f>
        <v/>
      </c>
      <c r="S879" s="16" t="str">
        <f aca="false">IF(Q879="","",IFERROR(Q879/(1/(1/INDEX(CONFIG!$I$5:$I$14,MATCH(D879,CONFIG!$D$5:$D$14,0)))),""))</f>
        <v/>
      </c>
      <c r="T879" s="13"/>
      <c r="U879" s="13"/>
      <c r="V879" s="13"/>
      <c r="W879" s="13"/>
      <c r="X879" s="22" t="str">
        <f aca="false">IF(Q879="","",Q879^2)</f>
        <v/>
      </c>
      <c r="Y879" s="22" t="str">
        <f aca="false">IF(AND(C879&lt;&gt;"",C879=CERTIFICADO!$E$4,OR(CERTIFICADO!$E$5="",B879=CERTIFICADO!$E$5)),MAX($Y$4:Y878)+1,"")</f>
        <v/>
      </c>
    </row>
    <row r="880" customFormat="false" ht="15" hidden="false" customHeight="false" outlineLevel="0" collapsed="false">
      <c r="A880" s="11" t="str">
        <f aca="false">IF(C880="","",ROW()-4)</f>
        <v/>
      </c>
      <c r="B880" s="12"/>
      <c r="C880" s="13"/>
      <c r="D880" s="23" t="str">
        <f aca="false">IF(C880="","",IFERROR(INDEX(LOTES!$D$5:$D$1004,MATCH(C880,LOTES!$F$5:$F$1004,0)),"¿Lote?"))</f>
        <v/>
      </c>
      <c r="E880" s="11" t="str">
        <f aca="false">IF(C880="","",IFERROR(INDEX(LOTES!$C$5:$C$1004,MATCH(C880,LOTES!$F$5:$F$1004,0)),""))</f>
        <v/>
      </c>
      <c r="F880" s="24" t="str">
        <f aca="false">IF(C880="","",IFERROR(INDEX(LOTES!$B$5:$B$1004,MATCH(C880,LOTES!$F$5:$F$1004,0)),""))</f>
        <v/>
      </c>
      <c r="G880" s="15" t="str">
        <f aca="false">IF(OR(B880="",F880=""),"",B880-F880)</f>
        <v/>
      </c>
      <c r="H880" s="13"/>
      <c r="I880" s="13"/>
      <c r="J880" s="13"/>
      <c r="K880" s="25"/>
      <c r="L880" s="25"/>
      <c r="M880" s="25"/>
      <c r="N880" s="25"/>
      <c r="O880" s="26"/>
      <c r="P880" s="16" t="str">
        <f aca="false">IF(O880="","",IFERROR(1/(1/(IF(K880="",INDEX(CONFIG!$F$5:$F$14,MATCH(D880,CONFIG!$D$5:$D$14,0)),K880)*IF(M880="",INDEX(CONFIG!$H$5:$H$14,MATCH(D880,CONFIG!$D$5:$D$14,0)),M880))),""))</f>
        <v/>
      </c>
      <c r="Q880" s="16" t="str">
        <f aca="false">IF(OR(O880="",P880=""),"",O880/P880)</f>
        <v/>
      </c>
      <c r="R880" s="16" t="str">
        <f aca="false">IF(Q880="","",Q880*0.0980665)</f>
        <v/>
      </c>
      <c r="S880" s="16" t="str">
        <f aca="false">IF(Q880="","",IFERROR(Q880/(1/(1/INDEX(CONFIG!$I$5:$I$14,MATCH(D880,CONFIG!$D$5:$D$14,0)))),""))</f>
        <v/>
      </c>
      <c r="T880" s="13"/>
      <c r="U880" s="13"/>
      <c r="V880" s="13"/>
      <c r="W880" s="13"/>
      <c r="X880" s="22" t="str">
        <f aca="false">IF(Q880="","",Q880^2)</f>
        <v/>
      </c>
      <c r="Y880" s="22" t="str">
        <f aca="false">IF(AND(C880&lt;&gt;"",C880=CERTIFICADO!$E$4,OR(CERTIFICADO!$E$5="",B880=CERTIFICADO!$E$5)),MAX($Y$4:Y879)+1,"")</f>
        <v/>
      </c>
    </row>
    <row r="881" customFormat="false" ht="15" hidden="false" customHeight="false" outlineLevel="0" collapsed="false">
      <c r="A881" s="11" t="str">
        <f aca="false">IF(C881="","",ROW()-4)</f>
        <v/>
      </c>
      <c r="B881" s="12"/>
      <c r="C881" s="13"/>
      <c r="D881" s="23" t="str">
        <f aca="false">IF(C881="","",IFERROR(INDEX(LOTES!$D$5:$D$1004,MATCH(C881,LOTES!$F$5:$F$1004,0)),"¿Lote?"))</f>
        <v/>
      </c>
      <c r="E881" s="11" t="str">
        <f aca="false">IF(C881="","",IFERROR(INDEX(LOTES!$C$5:$C$1004,MATCH(C881,LOTES!$F$5:$F$1004,0)),""))</f>
        <v/>
      </c>
      <c r="F881" s="24" t="str">
        <f aca="false">IF(C881="","",IFERROR(INDEX(LOTES!$B$5:$B$1004,MATCH(C881,LOTES!$F$5:$F$1004,0)),""))</f>
        <v/>
      </c>
      <c r="G881" s="15" t="str">
        <f aca="false">IF(OR(B881="",F881=""),"",B881-F881)</f>
        <v/>
      </c>
      <c r="H881" s="13"/>
      <c r="I881" s="13"/>
      <c r="J881" s="13"/>
      <c r="K881" s="25"/>
      <c r="L881" s="25"/>
      <c r="M881" s="25"/>
      <c r="N881" s="25"/>
      <c r="O881" s="26"/>
      <c r="P881" s="16" t="str">
        <f aca="false">IF(O881="","",IFERROR(1/(1/(IF(K881="",INDEX(CONFIG!$F$5:$F$14,MATCH(D881,CONFIG!$D$5:$D$14,0)),K881)*IF(M881="",INDEX(CONFIG!$H$5:$H$14,MATCH(D881,CONFIG!$D$5:$D$14,0)),M881))),""))</f>
        <v/>
      </c>
      <c r="Q881" s="16" t="str">
        <f aca="false">IF(OR(O881="",P881=""),"",O881/P881)</f>
        <v/>
      </c>
      <c r="R881" s="16" t="str">
        <f aca="false">IF(Q881="","",Q881*0.0980665)</f>
        <v/>
      </c>
      <c r="S881" s="16" t="str">
        <f aca="false">IF(Q881="","",IFERROR(Q881/(1/(1/INDEX(CONFIG!$I$5:$I$14,MATCH(D881,CONFIG!$D$5:$D$14,0)))),""))</f>
        <v/>
      </c>
      <c r="T881" s="13"/>
      <c r="U881" s="13"/>
      <c r="V881" s="13"/>
      <c r="W881" s="13"/>
      <c r="X881" s="22" t="str">
        <f aca="false">IF(Q881="","",Q881^2)</f>
        <v/>
      </c>
      <c r="Y881" s="22" t="str">
        <f aca="false">IF(AND(C881&lt;&gt;"",C881=CERTIFICADO!$E$4,OR(CERTIFICADO!$E$5="",B881=CERTIFICADO!$E$5)),MAX($Y$4:Y880)+1,"")</f>
        <v/>
      </c>
    </row>
    <row r="882" customFormat="false" ht="15" hidden="false" customHeight="false" outlineLevel="0" collapsed="false">
      <c r="A882" s="11" t="str">
        <f aca="false">IF(C882="","",ROW()-4)</f>
        <v/>
      </c>
      <c r="B882" s="12"/>
      <c r="C882" s="13"/>
      <c r="D882" s="23" t="str">
        <f aca="false">IF(C882="","",IFERROR(INDEX(LOTES!$D$5:$D$1004,MATCH(C882,LOTES!$F$5:$F$1004,0)),"¿Lote?"))</f>
        <v/>
      </c>
      <c r="E882" s="11" t="str">
        <f aca="false">IF(C882="","",IFERROR(INDEX(LOTES!$C$5:$C$1004,MATCH(C882,LOTES!$F$5:$F$1004,0)),""))</f>
        <v/>
      </c>
      <c r="F882" s="24" t="str">
        <f aca="false">IF(C882="","",IFERROR(INDEX(LOTES!$B$5:$B$1004,MATCH(C882,LOTES!$F$5:$F$1004,0)),""))</f>
        <v/>
      </c>
      <c r="G882" s="15" t="str">
        <f aca="false">IF(OR(B882="",F882=""),"",B882-F882)</f>
        <v/>
      </c>
      <c r="H882" s="13"/>
      <c r="I882" s="13"/>
      <c r="J882" s="13"/>
      <c r="K882" s="25"/>
      <c r="L882" s="25"/>
      <c r="M882" s="25"/>
      <c r="N882" s="25"/>
      <c r="O882" s="26"/>
      <c r="P882" s="16" t="str">
        <f aca="false">IF(O882="","",IFERROR(1/(1/(IF(K882="",INDEX(CONFIG!$F$5:$F$14,MATCH(D882,CONFIG!$D$5:$D$14,0)),K882)*IF(M882="",INDEX(CONFIG!$H$5:$H$14,MATCH(D882,CONFIG!$D$5:$D$14,0)),M882))),""))</f>
        <v/>
      </c>
      <c r="Q882" s="16" t="str">
        <f aca="false">IF(OR(O882="",P882=""),"",O882/P882)</f>
        <v/>
      </c>
      <c r="R882" s="16" t="str">
        <f aca="false">IF(Q882="","",Q882*0.0980665)</f>
        <v/>
      </c>
      <c r="S882" s="16" t="str">
        <f aca="false">IF(Q882="","",IFERROR(Q882/(1/(1/INDEX(CONFIG!$I$5:$I$14,MATCH(D882,CONFIG!$D$5:$D$14,0)))),""))</f>
        <v/>
      </c>
      <c r="T882" s="13"/>
      <c r="U882" s="13"/>
      <c r="V882" s="13"/>
      <c r="W882" s="13"/>
      <c r="X882" s="22" t="str">
        <f aca="false">IF(Q882="","",Q882^2)</f>
        <v/>
      </c>
      <c r="Y882" s="22" t="str">
        <f aca="false">IF(AND(C882&lt;&gt;"",C882=CERTIFICADO!$E$4,OR(CERTIFICADO!$E$5="",B882=CERTIFICADO!$E$5)),MAX($Y$4:Y881)+1,"")</f>
        <v/>
      </c>
    </row>
    <row r="883" customFormat="false" ht="15" hidden="false" customHeight="false" outlineLevel="0" collapsed="false">
      <c r="A883" s="11" t="str">
        <f aca="false">IF(C883="","",ROW()-4)</f>
        <v/>
      </c>
      <c r="B883" s="12"/>
      <c r="C883" s="13"/>
      <c r="D883" s="23" t="str">
        <f aca="false">IF(C883="","",IFERROR(INDEX(LOTES!$D$5:$D$1004,MATCH(C883,LOTES!$F$5:$F$1004,0)),"¿Lote?"))</f>
        <v/>
      </c>
      <c r="E883" s="11" t="str">
        <f aca="false">IF(C883="","",IFERROR(INDEX(LOTES!$C$5:$C$1004,MATCH(C883,LOTES!$F$5:$F$1004,0)),""))</f>
        <v/>
      </c>
      <c r="F883" s="24" t="str">
        <f aca="false">IF(C883="","",IFERROR(INDEX(LOTES!$B$5:$B$1004,MATCH(C883,LOTES!$F$5:$F$1004,0)),""))</f>
        <v/>
      </c>
      <c r="G883" s="15" t="str">
        <f aca="false">IF(OR(B883="",F883=""),"",B883-F883)</f>
        <v/>
      </c>
      <c r="H883" s="13"/>
      <c r="I883" s="13"/>
      <c r="J883" s="13"/>
      <c r="K883" s="25"/>
      <c r="L883" s="25"/>
      <c r="M883" s="25"/>
      <c r="N883" s="25"/>
      <c r="O883" s="26"/>
      <c r="P883" s="16" t="str">
        <f aca="false">IF(O883="","",IFERROR(1/(1/(IF(K883="",INDEX(CONFIG!$F$5:$F$14,MATCH(D883,CONFIG!$D$5:$D$14,0)),K883)*IF(M883="",INDEX(CONFIG!$H$5:$H$14,MATCH(D883,CONFIG!$D$5:$D$14,0)),M883))),""))</f>
        <v/>
      </c>
      <c r="Q883" s="16" t="str">
        <f aca="false">IF(OR(O883="",P883=""),"",O883/P883)</f>
        <v/>
      </c>
      <c r="R883" s="16" t="str">
        <f aca="false">IF(Q883="","",Q883*0.0980665)</f>
        <v/>
      </c>
      <c r="S883" s="16" t="str">
        <f aca="false">IF(Q883="","",IFERROR(Q883/(1/(1/INDEX(CONFIG!$I$5:$I$14,MATCH(D883,CONFIG!$D$5:$D$14,0)))),""))</f>
        <v/>
      </c>
      <c r="T883" s="13"/>
      <c r="U883" s="13"/>
      <c r="V883" s="13"/>
      <c r="W883" s="13"/>
      <c r="X883" s="22" t="str">
        <f aca="false">IF(Q883="","",Q883^2)</f>
        <v/>
      </c>
      <c r="Y883" s="22" t="str">
        <f aca="false">IF(AND(C883&lt;&gt;"",C883=CERTIFICADO!$E$4,OR(CERTIFICADO!$E$5="",B883=CERTIFICADO!$E$5)),MAX($Y$4:Y882)+1,"")</f>
        <v/>
      </c>
    </row>
    <row r="884" customFormat="false" ht="15" hidden="false" customHeight="false" outlineLevel="0" collapsed="false">
      <c r="A884" s="11" t="str">
        <f aca="false">IF(C884="","",ROW()-4)</f>
        <v/>
      </c>
      <c r="B884" s="12"/>
      <c r="C884" s="13"/>
      <c r="D884" s="23" t="str">
        <f aca="false">IF(C884="","",IFERROR(INDEX(LOTES!$D$5:$D$1004,MATCH(C884,LOTES!$F$5:$F$1004,0)),"¿Lote?"))</f>
        <v/>
      </c>
      <c r="E884" s="11" t="str">
        <f aca="false">IF(C884="","",IFERROR(INDEX(LOTES!$C$5:$C$1004,MATCH(C884,LOTES!$F$5:$F$1004,0)),""))</f>
        <v/>
      </c>
      <c r="F884" s="24" t="str">
        <f aca="false">IF(C884="","",IFERROR(INDEX(LOTES!$B$5:$B$1004,MATCH(C884,LOTES!$F$5:$F$1004,0)),""))</f>
        <v/>
      </c>
      <c r="G884" s="15" t="str">
        <f aca="false">IF(OR(B884="",F884=""),"",B884-F884)</f>
        <v/>
      </c>
      <c r="H884" s="13"/>
      <c r="I884" s="13"/>
      <c r="J884" s="13"/>
      <c r="K884" s="25"/>
      <c r="L884" s="25"/>
      <c r="M884" s="25"/>
      <c r="N884" s="25"/>
      <c r="O884" s="26"/>
      <c r="P884" s="16" t="str">
        <f aca="false">IF(O884="","",IFERROR(1/(1/(IF(K884="",INDEX(CONFIG!$F$5:$F$14,MATCH(D884,CONFIG!$D$5:$D$14,0)),K884)*IF(M884="",INDEX(CONFIG!$H$5:$H$14,MATCH(D884,CONFIG!$D$5:$D$14,0)),M884))),""))</f>
        <v/>
      </c>
      <c r="Q884" s="16" t="str">
        <f aca="false">IF(OR(O884="",P884=""),"",O884/P884)</f>
        <v/>
      </c>
      <c r="R884" s="16" t="str">
        <f aca="false">IF(Q884="","",Q884*0.0980665)</f>
        <v/>
      </c>
      <c r="S884" s="16" t="str">
        <f aca="false">IF(Q884="","",IFERROR(Q884/(1/(1/INDEX(CONFIG!$I$5:$I$14,MATCH(D884,CONFIG!$D$5:$D$14,0)))),""))</f>
        <v/>
      </c>
      <c r="T884" s="13"/>
      <c r="U884" s="13"/>
      <c r="V884" s="13"/>
      <c r="W884" s="13"/>
      <c r="X884" s="22" t="str">
        <f aca="false">IF(Q884="","",Q884^2)</f>
        <v/>
      </c>
      <c r="Y884" s="22" t="str">
        <f aca="false">IF(AND(C884&lt;&gt;"",C884=CERTIFICADO!$E$4,OR(CERTIFICADO!$E$5="",B884=CERTIFICADO!$E$5)),MAX($Y$4:Y883)+1,"")</f>
        <v/>
      </c>
    </row>
    <row r="885" customFormat="false" ht="15" hidden="false" customHeight="false" outlineLevel="0" collapsed="false">
      <c r="A885" s="11" t="str">
        <f aca="false">IF(C885="","",ROW()-4)</f>
        <v/>
      </c>
      <c r="B885" s="12"/>
      <c r="C885" s="13"/>
      <c r="D885" s="23" t="str">
        <f aca="false">IF(C885="","",IFERROR(INDEX(LOTES!$D$5:$D$1004,MATCH(C885,LOTES!$F$5:$F$1004,0)),"¿Lote?"))</f>
        <v/>
      </c>
      <c r="E885" s="11" t="str">
        <f aca="false">IF(C885="","",IFERROR(INDEX(LOTES!$C$5:$C$1004,MATCH(C885,LOTES!$F$5:$F$1004,0)),""))</f>
        <v/>
      </c>
      <c r="F885" s="24" t="str">
        <f aca="false">IF(C885="","",IFERROR(INDEX(LOTES!$B$5:$B$1004,MATCH(C885,LOTES!$F$5:$F$1004,0)),""))</f>
        <v/>
      </c>
      <c r="G885" s="15" t="str">
        <f aca="false">IF(OR(B885="",F885=""),"",B885-F885)</f>
        <v/>
      </c>
      <c r="H885" s="13"/>
      <c r="I885" s="13"/>
      <c r="J885" s="13"/>
      <c r="K885" s="25"/>
      <c r="L885" s="25"/>
      <c r="M885" s="25"/>
      <c r="N885" s="25"/>
      <c r="O885" s="26"/>
      <c r="P885" s="16" t="str">
        <f aca="false">IF(O885="","",IFERROR(1/(1/(IF(K885="",INDEX(CONFIG!$F$5:$F$14,MATCH(D885,CONFIG!$D$5:$D$14,0)),K885)*IF(M885="",INDEX(CONFIG!$H$5:$H$14,MATCH(D885,CONFIG!$D$5:$D$14,0)),M885))),""))</f>
        <v/>
      </c>
      <c r="Q885" s="16" t="str">
        <f aca="false">IF(OR(O885="",P885=""),"",O885/P885)</f>
        <v/>
      </c>
      <c r="R885" s="16" t="str">
        <f aca="false">IF(Q885="","",Q885*0.0980665)</f>
        <v/>
      </c>
      <c r="S885" s="16" t="str">
        <f aca="false">IF(Q885="","",IFERROR(Q885/(1/(1/INDEX(CONFIG!$I$5:$I$14,MATCH(D885,CONFIG!$D$5:$D$14,0)))),""))</f>
        <v/>
      </c>
      <c r="T885" s="13"/>
      <c r="U885" s="13"/>
      <c r="V885" s="13"/>
      <c r="W885" s="13"/>
      <c r="X885" s="22" t="str">
        <f aca="false">IF(Q885="","",Q885^2)</f>
        <v/>
      </c>
      <c r="Y885" s="22" t="str">
        <f aca="false">IF(AND(C885&lt;&gt;"",C885=CERTIFICADO!$E$4,OR(CERTIFICADO!$E$5="",B885=CERTIFICADO!$E$5)),MAX($Y$4:Y884)+1,"")</f>
        <v/>
      </c>
    </row>
    <row r="886" customFormat="false" ht="15" hidden="false" customHeight="false" outlineLevel="0" collapsed="false">
      <c r="A886" s="11" t="str">
        <f aca="false">IF(C886="","",ROW()-4)</f>
        <v/>
      </c>
      <c r="B886" s="12"/>
      <c r="C886" s="13"/>
      <c r="D886" s="23" t="str">
        <f aca="false">IF(C886="","",IFERROR(INDEX(LOTES!$D$5:$D$1004,MATCH(C886,LOTES!$F$5:$F$1004,0)),"¿Lote?"))</f>
        <v/>
      </c>
      <c r="E886" s="11" t="str">
        <f aca="false">IF(C886="","",IFERROR(INDEX(LOTES!$C$5:$C$1004,MATCH(C886,LOTES!$F$5:$F$1004,0)),""))</f>
        <v/>
      </c>
      <c r="F886" s="24" t="str">
        <f aca="false">IF(C886="","",IFERROR(INDEX(LOTES!$B$5:$B$1004,MATCH(C886,LOTES!$F$5:$F$1004,0)),""))</f>
        <v/>
      </c>
      <c r="G886" s="15" t="str">
        <f aca="false">IF(OR(B886="",F886=""),"",B886-F886)</f>
        <v/>
      </c>
      <c r="H886" s="13"/>
      <c r="I886" s="13"/>
      <c r="J886" s="13"/>
      <c r="K886" s="25"/>
      <c r="L886" s="25"/>
      <c r="M886" s="25"/>
      <c r="N886" s="25"/>
      <c r="O886" s="26"/>
      <c r="P886" s="16" t="str">
        <f aca="false">IF(O886="","",IFERROR(1/(1/(IF(K886="",INDEX(CONFIG!$F$5:$F$14,MATCH(D886,CONFIG!$D$5:$D$14,0)),K886)*IF(M886="",INDEX(CONFIG!$H$5:$H$14,MATCH(D886,CONFIG!$D$5:$D$14,0)),M886))),""))</f>
        <v/>
      </c>
      <c r="Q886" s="16" t="str">
        <f aca="false">IF(OR(O886="",P886=""),"",O886/P886)</f>
        <v/>
      </c>
      <c r="R886" s="16" t="str">
        <f aca="false">IF(Q886="","",Q886*0.0980665)</f>
        <v/>
      </c>
      <c r="S886" s="16" t="str">
        <f aca="false">IF(Q886="","",IFERROR(Q886/(1/(1/INDEX(CONFIG!$I$5:$I$14,MATCH(D886,CONFIG!$D$5:$D$14,0)))),""))</f>
        <v/>
      </c>
      <c r="T886" s="13"/>
      <c r="U886" s="13"/>
      <c r="V886" s="13"/>
      <c r="W886" s="13"/>
      <c r="X886" s="22" t="str">
        <f aca="false">IF(Q886="","",Q886^2)</f>
        <v/>
      </c>
      <c r="Y886" s="22" t="str">
        <f aca="false">IF(AND(C886&lt;&gt;"",C886=CERTIFICADO!$E$4,OR(CERTIFICADO!$E$5="",B886=CERTIFICADO!$E$5)),MAX($Y$4:Y885)+1,"")</f>
        <v/>
      </c>
    </row>
    <row r="887" customFormat="false" ht="15" hidden="false" customHeight="false" outlineLevel="0" collapsed="false">
      <c r="A887" s="11" t="str">
        <f aca="false">IF(C887="","",ROW()-4)</f>
        <v/>
      </c>
      <c r="B887" s="12"/>
      <c r="C887" s="13"/>
      <c r="D887" s="23" t="str">
        <f aca="false">IF(C887="","",IFERROR(INDEX(LOTES!$D$5:$D$1004,MATCH(C887,LOTES!$F$5:$F$1004,0)),"¿Lote?"))</f>
        <v/>
      </c>
      <c r="E887" s="11" t="str">
        <f aca="false">IF(C887="","",IFERROR(INDEX(LOTES!$C$5:$C$1004,MATCH(C887,LOTES!$F$5:$F$1004,0)),""))</f>
        <v/>
      </c>
      <c r="F887" s="24" t="str">
        <f aca="false">IF(C887="","",IFERROR(INDEX(LOTES!$B$5:$B$1004,MATCH(C887,LOTES!$F$5:$F$1004,0)),""))</f>
        <v/>
      </c>
      <c r="G887" s="15" t="str">
        <f aca="false">IF(OR(B887="",F887=""),"",B887-F887)</f>
        <v/>
      </c>
      <c r="H887" s="13"/>
      <c r="I887" s="13"/>
      <c r="J887" s="13"/>
      <c r="K887" s="25"/>
      <c r="L887" s="25"/>
      <c r="M887" s="25"/>
      <c r="N887" s="25"/>
      <c r="O887" s="26"/>
      <c r="P887" s="16" t="str">
        <f aca="false">IF(O887="","",IFERROR(1/(1/(IF(K887="",INDEX(CONFIG!$F$5:$F$14,MATCH(D887,CONFIG!$D$5:$D$14,0)),K887)*IF(M887="",INDEX(CONFIG!$H$5:$H$14,MATCH(D887,CONFIG!$D$5:$D$14,0)),M887))),""))</f>
        <v/>
      </c>
      <c r="Q887" s="16" t="str">
        <f aca="false">IF(OR(O887="",P887=""),"",O887/P887)</f>
        <v/>
      </c>
      <c r="R887" s="16" t="str">
        <f aca="false">IF(Q887="","",Q887*0.0980665)</f>
        <v/>
      </c>
      <c r="S887" s="16" t="str">
        <f aca="false">IF(Q887="","",IFERROR(Q887/(1/(1/INDEX(CONFIG!$I$5:$I$14,MATCH(D887,CONFIG!$D$5:$D$14,0)))),""))</f>
        <v/>
      </c>
      <c r="T887" s="13"/>
      <c r="U887" s="13"/>
      <c r="V887" s="13"/>
      <c r="W887" s="13"/>
      <c r="X887" s="22" t="str">
        <f aca="false">IF(Q887="","",Q887^2)</f>
        <v/>
      </c>
      <c r="Y887" s="22" t="str">
        <f aca="false">IF(AND(C887&lt;&gt;"",C887=CERTIFICADO!$E$4,OR(CERTIFICADO!$E$5="",B887=CERTIFICADO!$E$5)),MAX($Y$4:Y886)+1,"")</f>
        <v/>
      </c>
    </row>
    <row r="888" customFormat="false" ht="15" hidden="false" customHeight="false" outlineLevel="0" collapsed="false">
      <c r="A888" s="11" t="str">
        <f aca="false">IF(C888="","",ROW()-4)</f>
        <v/>
      </c>
      <c r="B888" s="12"/>
      <c r="C888" s="13"/>
      <c r="D888" s="23" t="str">
        <f aca="false">IF(C888="","",IFERROR(INDEX(LOTES!$D$5:$D$1004,MATCH(C888,LOTES!$F$5:$F$1004,0)),"¿Lote?"))</f>
        <v/>
      </c>
      <c r="E888" s="11" t="str">
        <f aca="false">IF(C888="","",IFERROR(INDEX(LOTES!$C$5:$C$1004,MATCH(C888,LOTES!$F$5:$F$1004,0)),""))</f>
        <v/>
      </c>
      <c r="F888" s="24" t="str">
        <f aca="false">IF(C888="","",IFERROR(INDEX(LOTES!$B$5:$B$1004,MATCH(C888,LOTES!$F$5:$F$1004,0)),""))</f>
        <v/>
      </c>
      <c r="G888" s="15" t="str">
        <f aca="false">IF(OR(B888="",F888=""),"",B888-F888)</f>
        <v/>
      </c>
      <c r="H888" s="13"/>
      <c r="I888" s="13"/>
      <c r="J888" s="13"/>
      <c r="K888" s="25"/>
      <c r="L888" s="25"/>
      <c r="M888" s="25"/>
      <c r="N888" s="25"/>
      <c r="O888" s="26"/>
      <c r="P888" s="16" t="str">
        <f aca="false">IF(O888="","",IFERROR(1/(1/(IF(K888="",INDEX(CONFIG!$F$5:$F$14,MATCH(D888,CONFIG!$D$5:$D$14,0)),K888)*IF(M888="",INDEX(CONFIG!$H$5:$H$14,MATCH(D888,CONFIG!$D$5:$D$14,0)),M888))),""))</f>
        <v/>
      </c>
      <c r="Q888" s="16" t="str">
        <f aca="false">IF(OR(O888="",P888=""),"",O888/P888)</f>
        <v/>
      </c>
      <c r="R888" s="16" t="str">
        <f aca="false">IF(Q888="","",Q888*0.0980665)</f>
        <v/>
      </c>
      <c r="S888" s="16" t="str">
        <f aca="false">IF(Q888="","",IFERROR(Q888/(1/(1/INDEX(CONFIG!$I$5:$I$14,MATCH(D888,CONFIG!$D$5:$D$14,0)))),""))</f>
        <v/>
      </c>
      <c r="T888" s="13"/>
      <c r="U888" s="13"/>
      <c r="V888" s="13"/>
      <c r="W888" s="13"/>
      <c r="X888" s="22" t="str">
        <f aca="false">IF(Q888="","",Q888^2)</f>
        <v/>
      </c>
      <c r="Y888" s="22" t="str">
        <f aca="false">IF(AND(C888&lt;&gt;"",C888=CERTIFICADO!$E$4,OR(CERTIFICADO!$E$5="",B888=CERTIFICADO!$E$5)),MAX($Y$4:Y887)+1,"")</f>
        <v/>
      </c>
    </row>
    <row r="889" customFormat="false" ht="15" hidden="false" customHeight="false" outlineLevel="0" collapsed="false">
      <c r="A889" s="11" t="str">
        <f aca="false">IF(C889="","",ROW()-4)</f>
        <v/>
      </c>
      <c r="B889" s="12"/>
      <c r="C889" s="13"/>
      <c r="D889" s="23" t="str">
        <f aca="false">IF(C889="","",IFERROR(INDEX(LOTES!$D$5:$D$1004,MATCH(C889,LOTES!$F$5:$F$1004,0)),"¿Lote?"))</f>
        <v/>
      </c>
      <c r="E889" s="11" t="str">
        <f aca="false">IF(C889="","",IFERROR(INDEX(LOTES!$C$5:$C$1004,MATCH(C889,LOTES!$F$5:$F$1004,0)),""))</f>
        <v/>
      </c>
      <c r="F889" s="24" t="str">
        <f aca="false">IF(C889="","",IFERROR(INDEX(LOTES!$B$5:$B$1004,MATCH(C889,LOTES!$F$5:$F$1004,0)),""))</f>
        <v/>
      </c>
      <c r="G889" s="15" t="str">
        <f aca="false">IF(OR(B889="",F889=""),"",B889-F889)</f>
        <v/>
      </c>
      <c r="H889" s="13"/>
      <c r="I889" s="13"/>
      <c r="J889" s="13"/>
      <c r="K889" s="25"/>
      <c r="L889" s="25"/>
      <c r="M889" s="25"/>
      <c r="N889" s="25"/>
      <c r="O889" s="26"/>
      <c r="P889" s="16" t="str">
        <f aca="false">IF(O889="","",IFERROR(1/(1/(IF(K889="",INDEX(CONFIG!$F$5:$F$14,MATCH(D889,CONFIG!$D$5:$D$14,0)),K889)*IF(M889="",INDEX(CONFIG!$H$5:$H$14,MATCH(D889,CONFIG!$D$5:$D$14,0)),M889))),""))</f>
        <v/>
      </c>
      <c r="Q889" s="16" t="str">
        <f aca="false">IF(OR(O889="",P889=""),"",O889/P889)</f>
        <v/>
      </c>
      <c r="R889" s="16" t="str">
        <f aca="false">IF(Q889="","",Q889*0.0980665)</f>
        <v/>
      </c>
      <c r="S889" s="16" t="str">
        <f aca="false">IF(Q889="","",IFERROR(Q889/(1/(1/INDEX(CONFIG!$I$5:$I$14,MATCH(D889,CONFIG!$D$5:$D$14,0)))),""))</f>
        <v/>
      </c>
      <c r="T889" s="13"/>
      <c r="U889" s="13"/>
      <c r="V889" s="13"/>
      <c r="W889" s="13"/>
      <c r="X889" s="22" t="str">
        <f aca="false">IF(Q889="","",Q889^2)</f>
        <v/>
      </c>
      <c r="Y889" s="22" t="str">
        <f aca="false">IF(AND(C889&lt;&gt;"",C889=CERTIFICADO!$E$4,OR(CERTIFICADO!$E$5="",B889=CERTIFICADO!$E$5)),MAX($Y$4:Y888)+1,"")</f>
        <v/>
      </c>
    </row>
    <row r="890" customFormat="false" ht="15" hidden="false" customHeight="false" outlineLevel="0" collapsed="false">
      <c r="A890" s="11" t="str">
        <f aca="false">IF(C890="","",ROW()-4)</f>
        <v/>
      </c>
      <c r="B890" s="12"/>
      <c r="C890" s="13"/>
      <c r="D890" s="23" t="str">
        <f aca="false">IF(C890="","",IFERROR(INDEX(LOTES!$D$5:$D$1004,MATCH(C890,LOTES!$F$5:$F$1004,0)),"¿Lote?"))</f>
        <v/>
      </c>
      <c r="E890" s="11" t="str">
        <f aca="false">IF(C890="","",IFERROR(INDEX(LOTES!$C$5:$C$1004,MATCH(C890,LOTES!$F$5:$F$1004,0)),""))</f>
        <v/>
      </c>
      <c r="F890" s="24" t="str">
        <f aca="false">IF(C890="","",IFERROR(INDEX(LOTES!$B$5:$B$1004,MATCH(C890,LOTES!$F$5:$F$1004,0)),""))</f>
        <v/>
      </c>
      <c r="G890" s="15" t="str">
        <f aca="false">IF(OR(B890="",F890=""),"",B890-F890)</f>
        <v/>
      </c>
      <c r="H890" s="13"/>
      <c r="I890" s="13"/>
      <c r="J890" s="13"/>
      <c r="K890" s="25"/>
      <c r="L890" s="25"/>
      <c r="M890" s="25"/>
      <c r="N890" s="25"/>
      <c r="O890" s="26"/>
      <c r="P890" s="16" t="str">
        <f aca="false">IF(O890="","",IFERROR(1/(1/(IF(K890="",INDEX(CONFIG!$F$5:$F$14,MATCH(D890,CONFIG!$D$5:$D$14,0)),K890)*IF(M890="",INDEX(CONFIG!$H$5:$H$14,MATCH(D890,CONFIG!$D$5:$D$14,0)),M890))),""))</f>
        <v/>
      </c>
      <c r="Q890" s="16" t="str">
        <f aca="false">IF(OR(O890="",P890=""),"",O890/P890)</f>
        <v/>
      </c>
      <c r="R890" s="16" t="str">
        <f aca="false">IF(Q890="","",Q890*0.0980665)</f>
        <v/>
      </c>
      <c r="S890" s="16" t="str">
        <f aca="false">IF(Q890="","",IFERROR(Q890/(1/(1/INDEX(CONFIG!$I$5:$I$14,MATCH(D890,CONFIG!$D$5:$D$14,0)))),""))</f>
        <v/>
      </c>
      <c r="T890" s="13"/>
      <c r="U890" s="13"/>
      <c r="V890" s="13"/>
      <c r="W890" s="13"/>
      <c r="X890" s="22" t="str">
        <f aca="false">IF(Q890="","",Q890^2)</f>
        <v/>
      </c>
      <c r="Y890" s="22" t="str">
        <f aca="false">IF(AND(C890&lt;&gt;"",C890=CERTIFICADO!$E$4,OR(CERTIFICADO!$E$5="",B890=CERTIFICADO!$E$5)),MAX($Y$4:Y889)+1,"")</f>
        <v/>
      </c>
    </row>
    <row r="891" customFormat="false" ht="15" hidden="false" customHeight="false" outlineLevel="0" collapsed="false">
      <c r="A891" s="11" t="str">
        <f aca="false">IF(C891="","",ROW()-4)</f>
        <v/>
      </c>
      <c r="B891" s="12"/>
      <c r="C891" s="13"/>
      <c r="D891" s="23" t="str">
        <f aca="false">IF(C891="","",IFERROR(INDEX(LOTES!$D$5:$D$1004,MATCH(C891,LOTES!$F$5:$F$1004,0)),"¿Lote?"))</f>
        <v/>
      </c>
      <c r="E891" s="11" t="str">
        <f aca="false">IF(C891="","",IFERROR(INDEX(LOTES!$C$5:$C$1004,MATCH(C891,LOTES!$F$5:$F$1004,0)),""))</f>
        <v/>
      </c>
      <c r="F891" s="24" t="str">
        <f aca="false">IF(C891="","",IFERROR(INDEX(LOTES!$B$5:$B$1004,MATCH(C891,LOTES!$F$5:$F$1004,0)),""))</f>
        <v/>
      </c>
      <c r="G891" s="15" t="str">
        <f aca="false">IF(OR(B891="",F891=""),"",B891-F891)</f>
        <v/>
      </c>
      <c r="H891" s="13"/>
      <c r="I891" s="13"/>
      <c r="J891" s="13"/>
      <c r="K891" s="25"/>
      <c r="L891" s="25"/>
      <c r="M891" s="25"/>
      <c r="N891" s="25"/>
      <c r="O891" s="26"/>
      <c r="P891" s="16" t="str">
        <f aca="false">IF(O891="","",IFERROR(1/(1/(IF(K891="",INDEX(CONFIG!$F$5:$F$14,MATCH(D891,CONFIG!$D$5:$D$14,0)),K891)*IF(M891="",INDEX(CONFIG!$H$5:$H$14,MATCH(D891,CONFIG!$D$5:$D$14,0)),M891))),""))</f>
        <v/>
      </c>
      <c r="Q891" s="16" t="str">
        <f aca="false">IF(OR(O891="",P891=""),"",O891/P891)</f>
        <v/>
      </c>
      <c r="R891" s="16" t="str">
        <f aca="false">IF(Q891="","",Q891*0.0980665)</f>
        <v/>
      </c>
      <c r="S891" s="16" t="str">
        <f aca="false">IF(Q891="","",IFERROR(Q891/(1/(1/INDEX(CONFIG!$I$5:$I$14,MATCH(D891,CONFIG!$D$5:$D$14,0)))),""))</f>
        <v/>
      </c>
      <c r="T891" s="13"/>
      <c r="U891" s="13"/>
      <c r="V891" s="13"/>
      <c r="W891" s="13"/>
      <c r="X891" s="22" t="str">
        <f aca="false">IF(Q891="","",Q891^2)</f>
        <v/>
      </c>
      <c r="Y891" s="22" t="str">
        <f aca="false">IF(AND(C891&lt;&gt;"",C891=CERTIFICADO!$E$4,OR(CERTIFICADO!$E$5="",B891=CERTIFICADO!$E$5)),MAX($Y$4:Y890)+1,"")</f>
        <v/>
      </c>
    </row>
    <row r="892" customFormat="false" ht="15" hidden="false" customHeight="false" outlineLevel="0" collapsed="false">
      <c r="A892" s="11" t="str">
        <f aca="false">IF(C892="","",ROW()-4)</f>
        <v/>
      </c>
      <c r="B892" s="12"/>
      <c r="C892" s="13"/>
      <c r="D892" s="23" t="str">
        <f aca="false">IF(C892="","",IFERROR(INDEX(LOTES!$D$5:$D$1004,MATCH(C892,LOTES!$F$5:$F$1004,0)),"¿Lote?"))</f>
        <v/>
      </c>
      <c r="E892" s="11" t="str">
        <f aca="false">IF(C892="","",IFERROR(INDEX(LOTES!$C$5:$C$1004,MATCH(C892,LOTES!$F$5:$F$1004,0)),""))</f>
        <v/>
      </c>
      <c r="F892" s="24" t="str">
        <f aca="false">IF(C892="","",IFERROR(INDEX(LOTES!$B$5:$B$1004,MATCH(C892,LOTES!$F$5:$F$1004,0)),""))</f>
        <v/>
      </c>
      <c r="G892" s="15" t="str">
        <f aca="false">IF(OR(B892="",F892=""),"",B892-F892)</f>
        <v/>
      </c>
      <c r="H892" s="13"/>
      <c r="I892" s="13"/>
      <c r="J892" s="13"/>
      <c r="K892" s="25"/>
      <c r="L892" s="25"/>
      <c r="M892" s="25"/>
      <c r="N892" s="25"/>
      <c r="O892" s="26"/>
      <c r="P892" s="16" t="str">
        <f aca="false">IF(O892="","",IFERROR(1/(1/(IF(K892="",INDEX(CONFIG!$F$5:$F$14,MATCH(D892,CONFIG!$D$5:$D$14,0)),K892)*IF(M892="",INDEX(CONFIG!$H$5:$H$14,MATCH(D892,CONFIG!$D$5:$D$14,0)),M892))),""))</f>
        <v/>
      </c>
      <c r="Q892" s="16" t="str">
        <f aca="false">IF(OR(O892="",P892=""),"",O892/P892)</f>
        <v/>
      </c>
      <c r="R892" s="16" t="str">
        <f aca="false">IF(Q892="","",Q892*0.0980665)</f>
        <v/>
      </c>
      <c r="S892" s="16" t="str">
        <f aca="false">IF(Q892="","",IFERROR(Q892/(1/(1/INDEX(CONFIG!$I$5:$I$14,MATCH(D892,CONFIG!$D$5:$D$14,0)))),""))</f>
        <v/>
      </c>
      <c r="T892" s="13"/>
      <c r="U892" s="13"/>
      <c r="V892" s="13"/>
      <c r="W892" s="13"/>
      <c r="X892" s="22" t="str">
        <f aca="false">IF(Q892="","",Q892^2)</f>
        <v/>
      </c>
      <c r="Y892" s="22" t="str">
        <f aca="false">IF(AND(C892&lt;&gt;"",C892=CERTIFICADO!$E$4,OR(CERTIFICADO!$E$5="",B892=CERTIFICADO!$E$5)),MAX($Y$4:Y891)+1,"")</f>
        <v/>
      </c>
    </row>
    <row r="893" customFormat="false" ht="15" hidden="false" customHeight="false" outlineLevel="0" collapsed="false">
      <c r="A893" s="11" t="str">
        <f aca="false">IF(C893="","",ROW()-4)</f>
        <v/>
      </c>
      <c r="B893" s="12"/>
      <c r="C893" s="13"/>
      <c r="D893" s="23" t="str">
        <f aca="false">IF(C893="","",IFERROR(INDEX(LOTES!$D$5:$D$1004,MATCH(C893,LOTES!$F$5:$F$1004,0)),"¿Lote?"))</f>
        <v/>
      </c>
      <c r="E893" s="11" t="str">
        <f aca="false">IF(C893="","",IFERROR(INDEX(LOTES!$C$5:$C$1004,MATCH(C893,LOTES!$F$5:$F$1004,0)),""))</f>
        <v/>
      </c>
      <c r="F893" s="24" t="str">
        <f aca="false">IF(C893="","",IFERROR(INDEX(LOTES!$B$5:$B$1004,MATCH(C893,LOTES!$F$5:$F$1004,0)),""))</f>
        <v/>
      </c>
      <c r="G893" s="15" t="str">
        <f aca="false">IF(OR(B893="",F893=""),"",B893-F893)</f>
        <v/>
      </c>
      <c r="H893" s="13"/>
      <c r="I893" s="13"/>
      <c r="J893" s="13"/>
      <c r="K893" s="25"/>
      <c r="L893" s="25"/>
      <c r="M893" s="25"/>
      <c r="N893" s="25"/>
      <c r="O893" s="26"/>
      <c r="P893" s="16" t="str">
        <f aca="false">IF(O893="","",IFERROR(1/(1/(IF(K893="",INDEX(CONFIG!$F$5:$F$14,MATCH(D893,CONFIG!$D$5:$D$14,0)),K893)*IF(M893="",INDEX(CONFIG!$H$5:$H$14,MATCH(D893,CONFIG!$D$5:$D$14,0)),M893))),""))</f>
        <v/>
      </c>
      <c r="Q893" s="16" t="str">
        <f aca="false">IF(OR(O893="",P893=""),"",O893/P893)</f>
        <v/>
      </c>
      <c r="R893" s="16" t="str">
        <f aca="false">IF(Q893="","",Q893*0.0980665)</f>
        <v/>
      </c>
      <c r="S893" s="16" t="str">
        <f aca="false">IF(Q893="","",IFERROR(Q893/(1/(1/INDEX(CONFIG!$I$5:$I$14,MATCH(D893,CONFIG!$D$5:$D$14,0)))),""))</f>
        <v/>
      </c>
      <c r="T893" s="13"/>
      <c r="U893" s="13"/>
      <c r="V893" s="13"/>
      <c r="W893" s="13"/>
      <c r="X893" s="22" t="str">
        <f aca="false">IF(Q893="","",Q893^2)</f>
        <v/>
      </c>
      <c r="Y893" s="22" t="str">
        <f aca="false">IF(AND(C893&lt;&gt;"",C893=CERTIFICADO!$E$4,OR(CERTIFICADO!$E$5="",B893=CERTIFICADO!$E$5)),MAX($Y$4:Y892)+1,"")</f>
        <v/>
      </c>
    </row>
    <row r="894" customFormat="false" ht="15" hidden="false" customHeight="false" outlineLevel="0" collapsed="false">
      <c r="A894" s="11" t="str">
        <f aca="false">IF(C894="","",ROW()-4)</f>
        <v/>
      </c>
      <c r="B894" s="12"/>
      <c r="C894" s="13"/>
      <c r="D894" s="23" t="str">
        <f aca="false">IF(C894="","",IFERROR(INDEX(LOTES!$D$5:$D$1004,MATCH(C894,LOTES!$F$5:$F$1004,0)),"¿Lote?"))</f>
        <v/>
      </c>
      <c r="E894" s="11" t="str">
        <f aca="false">IF(C894="","",IFERROR(INDEX(LOTES!$C$5:$C$1004,MATCH(C894,LOTES!$F$5:$F$1004,0)),""))</f>
        <v/>
      </c>
      <c r="F894" s="24" t="str">
        <f aca="false">IF(C894="","",IFERROR(INDEX(LOTES!$B$5:$B$1004,MATCH(C894,LOTES!$F$5:$F$1004,0)),""))</f>
        <v/>
      </c>
      <c r="G894" s="15" t="str">
        <f aca="false">IF(OR(B894="",F894=""),"",B894-F894)</f>
        <v/>
      </c>
      <c r="H894" s="13"/>
      <c r="I894" s="13"/>
      <c r="J894" s="13"/>
      <c r="K894" s="25"/>
      <c r="L894" s="25"/>
      <c r="M894" s="25"/>
      <c r="N894" s="25"/>
      <c r="O894" s="26"/>
      <c r="P894" s="16" t="str">
        <f aca="false">IF(O894="","",IFERROR(1/(1/(IF(K894="",INDEX(CONFIG!$F$5:$F$14,MATCH(D894,CONFIG!$D$5:$D$14,0)),K894)*IF(M894="",INDEX(CONFIG!$H$5:$H$14,MATCH(D894,CONFIG!$D$5:$D$14,0)),M894))),""))</f>
        <v/>
      </c>
      <c r="Q894" s="16" t="str">
        <f aca="false">IF(OR(O894="",P894=""),"",O894/P894)</f>
        <v/>
      </c>
      <c r="R894" s="16" t="str">
        <f aca="false">IF(Q894="","",Q894*0.0980665)</f>
        <v/>
      </c>
      <c r="S894" s="16" t="str">
        <f aca="false">IF(Q894="","",IFERROR(Q894/(1/(1/INDEX(CONFIG!$I$5:$I$14,MATCH(D894,CONFIG!$D$5:$D$14,0)))),""))</f>
        <v/>
      </c>
      <c r="T894" s="13"/>
      <c r="U894" s="13"/>
      <c r="V894" s="13"/>
      <c r="W894" s="13"/>
      <c r="X894" s="22" t="str">
        <f aca="false">IF(Q894="","",Q894^2)</f>
        <v/>
      </c>
      <c r="Y894" s="22" t="str">
        <f aca="false">IF(AND(C894&lt;&gt;"",C894=CERTIFICADO!$E$4,OR(CERTIFICADO!$E$5="",B894=CERTIFICADO!$E$5)),MAX($Y$4:Y893)+1,"")</f>
        <v/>
      </c>
    </row>
    <row r="895" customFormat="false" ht="15" hidden="false" customHeight="false" outlineLevel="0" collapsed="false">
      <c r="A895" s="11" t="str">
        <f aca="false">IF(C895="","",ROW()-4)</f>
        <v/>
      </c>
      <c r="B895" s="12"/>
      <c r="C895" s="13"/>
      <c r="D895" s="23" t="str">
        <f aca="false">IF(C895="","",IFERROR(INDEX(LOTES!$D$5:$D$1004,MATCH(C895,LOTES!$F$5:$F$1004,0)),"¿Lote?"))</f>
        <v/>
      </c>
      <c r="E895" s="11" t="str">
        <f aca="false">IF(C895="","",IFERROR(INDEX(LOTES!$C$5:$C$1004,MATCH(C895,LOTES!$F$5:$F$1004,0)),""))</f>
        <v/>
      </c>
      <c r="F895" s="24" t="str">
        <f aca="false">IF(C895="","",IFERROR(INDEX(LOTES!$B$5:$B$1004,MATCH(C895,LOTES!$F$5:$F$1004,0)),""))</f>
        <v/>
      </c>
      <c r="G895" s="15" t="str">
        <f aca="false">IF(OR(B895="",F895=""),"",B895-F895)</f>
        <v/>
      </c>
      <c r="H895" s="13"/>
      <c r="I895" s="13"/>
      <c r="J895" s="13"/>
      <c r="K895" s="25"/>
      <c r="L895" s="25"/>
      <c r="M895" s="25"/>
      <c r="N895" s="25"/>
      <c r="O895" s="26"/>
      <c r="P895" s="16" t="str">
        <f aca="false">IF(O895="","",IFERROR(1/(1/(IF(K895="",INDEX(CONFIG!$F$5:$F$14,MATCH(D895,CONFIG!$D$5:$D$14,0)),K895)*IF(M895="",INDEX(CONFIG!$H$5:$H$14,MATCH(D895,CONFIG!$D$5:$D$14,0)),M895))),""))</f>
        <v/>
      </c>
      <c r="Q895" s="16" t="str">
        <f aca="false">IF(OR(O895="",P895=""),"",O895/P895)</f>
        <v/>
      </c>
      <c r="R895" s="16" t="str">
        <f aca="false">IF(Q895="","",Q895*0.0980665)</f>
        <v/>
      </c>
      <c r="S895" s="16" t="str">
        <f aca="false">IF(Q895="","",IFERROR(Q895/(1/(1/INDEX(CONFIG!$I$5:$I$14,MATCH(D895,CONFIG!$D$5:$D$14,0)))),""))</f>
        <v/>
      </c>
      <c r="T895" s="13"/>
      <c r="U895" s="13"/>
      <c r="V895" s="13"/>
      <c r="W895" s="13"/>
      <c r="X895" s="22" t="str">
        <f aca="false">IF(Q895="","",Q895^2)</f>
        <v/>
      </c>
      <c r="Y895" s="22" t="str">
        <f aca="false">IF(AND(C895&lt;&gt;"",C895=CERTIFICADO!$E$4,OR(CERTIFICADO!$E$5="",B895=CERTIFICADO!$E$5)),MAX($Y$4:Y894)+1,"")</f>
        <v/>
      </c>
    </row>
    <row r="896" customFormat="false" ht="15" hidden="false" customHeight="false" outlineLevel="0" collapsed="false">
      <c r="A896" s="11" t="str">
        <f aca="false">IF(C896="","",ROW()-4)</f>
        <v/>
      </c>
      <c r="B896" s="12"/>
      <c r="C896" s="13"/>
      <c r="D896" s="23" t="str">
        <f aca="false">IF(C896="","",IFERROR(INDEX(LOTES!$D$5:$D$1004,MATCH(C896,LOTES!$F$5:$F$1004,0)),"¿Lote?"))</f>
        <v/>
      </c>
      <c r="E896" s="11" t="str">
        <f aca="false">IF(C896="","",IFERROR(INDEX(LOTES!$C$5:$C$1004,MATCH(C896,LOTES!$F$5:$F$1004,0)),""))</f>
        <v/>
      </c>
      <c r="F896" s="24" t="str">
        <f aca="false">IF(C896="","",IFERROR(INDEX(LOTES!$B$5:$B$1004,MATCH(C896,LOTES!$F$5:$F$1004,0)),""))</f>
        <v/>
      </c>
      <c r="G896" s="15" t="str">
        <f aca="false">IF(OR(B896="",F896=""),"",B896-F896)</f>
        <v/>
      </c>
      <c r="H896" s="13"/>
      <c r="I896" s="13"/>
      <c r="J896" s="13"/>
      <c r="K896" s="25"/>
      <c r="L896" s="25"/>
      <c r="M896" s="25"/>
      <c r="N896" s="25"/>
      <c r="O896" s="26"/>
      <c r="P896" s="16" t="str">
        <f aca="false">IF(O896="","",IFERROR(1/(1/(IF(K896="",INDEX(CONFIG!$F$5:$F$14,MATCH(D896,CONFIG!$D$5:$D$14,0)),K896)*IF(M896="",INDEX(CONFIG!$H$5:$H$14,MATCH(D896,CONFIG!$D$5:$D$14,0)),M896))),""))</f>
        <v/>
      </c>
      <c r="Q896" s="16" t="str">
        <f aca="false">IF(OR(O896="",P896=""),"",O896/P896)</f>
        <v/>
      </c>
      <c r="R896" s="16" t="str">
        <f aca="false">IF(Q896="","",Q896*0.0980665)</f>
        <v/>
      </c>
      <c r="S896" s="16" t="str">
        <f aca="false">IF(Q896="","",IFERROR(Q896/(1/(1/INDEX(CONFIG!$I$5:$I$14,MATCH(D896,CONFIG!$D$5:$D$14,0)))),""))</f>
        <v/>
      </c>
      <c r="T896" s="13"/>
      <c r="U896" s="13"/>
      <c r="V896" s="13"/>
      <c r="W896" s="13"/>
      <c r="X896" s="22" t="str">
        <f aca="false">IF(Q896="","",Q896^2)</f>
        <v/>
      </c>
      <c r="Y896" s="22" t="str">
        <f aca="false">IF(AND(C896&lt;&gt;"",C896=CERTIFICADO!$E$4,OR(CERTIFICADO!$E$5="",B896=CERTIFICADO!$E$5)),MAX($Y$4:Y895)+1,"")</f>
        <v/>
      </c>
    </row>
    <row r="897" customFormat="false" ht="15" hidden="false" customHeight="false" outlineLevel="0" collapsed="false">
      <c r="A897" s="11" t="str">
        <f aca="false">IF(C897="","",ROW()-4)</f>
        <v/>
      </c>
      <c r="B897" s="12"/>
      <c r="C897" s="13"/>
      <c r="D897" s="23" t="str">
        <f aca="false">IF(C897="","",IFERROR(INDEX(LOTES!$D$5:$D$1004,MATCH(C897,LOTES!$F$5:$F$1004,0)),"¿Lote?"))</f>
        <v/>
      </c>
      <c r="E897" s="11" t="str">
        <f aca="false">IF(C897="","",IFERROR(INDEX(LOTES!$C$5:$C$1004,MATCH(C897,LOTES!$F$5:$F$1004,0)),""))</f>
        <v/>
      </c>
      <c r="F897" s="24" t="str">
        <f aca="false">IF(C897="","",IFERROR(INDEX(LOTES!$B$5:$B$1004,MATCH(C897,LOTES!$F$5:$F$1004,0)),""))</f>
        <v/>
      </c>
      <c r="G897" s="15" t="str">
        <f aca="false">IF(OR(B897="",F897=""),"",B897-F897)</f>
        <v/>
      </c>
      <c r="H897" s="13"/>
      <c r="I897" s="13"/>
      <c r="J897" s="13"/>
      <c r="K897" s="25"/>
      <c r="L897" s="25"/>
      <c r="M897" s="25"/>
      <c r="N897" s="25"/>
      <c r="O897" s="26"/>
      <c r="P897" s="16" t="str">
        <f aca="false">IF(O897="","",IFERROR(1/(1/(IF(K897="",INDEX(CONFIG!$F$5:$F$14,MATCH(D897,CONFIG!$D$5:$D$14,0)),K897)*IF(M897="",INDEX(CONFIG!$H$5:$H$14,MATCH(D897,CONFIG!$D$5:$D$14,0)),M897))),""))</f>
        <v/>
      </c>
      <c r="Q897" s="16" t="str">
        <f aca="false">IF(OR(O897="",P897=""),"",O897/P897)</f>
        <v/>
      </c>
      <c r="R897" s="16" t="str">
        <f aca="false">IF(Q897="","",Q897*0.0980665)</f>
        <v/>
      </c>
      <c r="S897" s="16" t="str">
        <f aca="false">IF(Q897="","",IFERROR(Q897/(1/(1/INDEX(CONFIG!$I$5:$I$14,MATCH(D897,CONFIG!$D$5:$D$14,0)))),""))</f>
        <v/>
      </c>
      <c r="T897" s="13"/>
      <c r="U897" s="13"/>
      <c r="V897" s="13"/>
      <c r="W897" s="13"/>
      <c r="X897" s="22" t="str">
        <f aca="false">IF(Q897="","",Q897^2)</f>
        <v/>
      </c>
      <c r="Y897" s="22" t="str">
        <f aca="false">IF(AND(C897&lt;&gt;"",C897=CERTIFICADO!$E$4,OR(CERTIFICADO!$E$5="",B897=CERTIFICADO!$E$5)),MAX($Y$4:Y896)+1,"")</f>
        <v/>
      </c>
    </row>
    <row r="898" customFormat="false" ht="15" hidden="false" customHeight="false" outlineLevel="0" collapsed="false">
      <c r="A898" s="11" t="str">
        <f aca="false">IF(C898="","",ROW()-4)</f>
        <v/>
      </c>
      <c r="B898" s="12"/>
      <c r="C898" s="13"/>
      <c r="D898" s="23" t="str">
        <f aca="false">IF(C898="","",IFERROR(INDEX(LOTES!$D$5:$D$1004,MATCH(C898,LOTES!$F$5:$F$1004,0)),"¿Lote?"))</f>
        <v/>
      </c>
      <c r="E898" s="11" t="str">
        <f aca="false">IF(C898="","",IFERROR(INDEX(LOTES!$C$5:$C$1004,MATCH(C898,LOTES!$F$5:$F$1004,0)),""))</f>
        <v/>
      </c>
      <c r="F898" s="24" t="str">
        <f aca="false">IF(C898="","",IFERROR(INDEX(LOTES!$B$5:$B$1004,MATCH(C898,LOTES!$F$5:$F$1004,0)),""))</f>
        <v/>
      </c>
      <c r="G898" s="15" t="str">
        <f aca="false">IF(OR(B898="",F898=""),"",B898-F898)</f>
        <v/>
      </c>
      <c r="H898" s="13"/>
      <c r="I898" s="13"/>
      <c r="J898" s="13"/>
      <c r="K898" s="25"/>
      <c r="L898" s="25"/>
      <c r="M898" s="25"/>
      <c r="N898" s="25"/>
      <c r="O898" s="26"/>
      <c r="P898" s="16" t="str">
        <f aca="false">IF(O898="","",IFERROR(1/(1/(IF(K898="",INDEX(CONFIG!$F$5:$F$14,MATCH(D898,CONFIG!$D$5:$D$14,0)),K898)*IF(M898="",INDEX(CONFIG!$H$5:$H$14,MATCH(D898,CONFIG!$D$5:$D$14,0)),M898))),""))</f>
        <v/>
      </c>
      <c r="Q898" s="16" t="str">
        <f aca="false">IF(OR(O898="",P898=""),"",O898/P898)</f>
        <v/>
      </c>
      <c r="R898" s="16" t="str">
        <f aca="false">IF(Q898="","",Q898*0.0980665)</f>
        <v/>
      </c>
      <c r="S898" s="16" t="str">
        <f aca="false">IF(Q898="","",IFERROR(Q898/(1/(1/INDEX(CONFIG!$I$5:$I$14,MATCH(D898,CONFIG!$D$5:$D$14,0)))),""))</f>
        <v/>
      </c>
      <c r="T898" s="13"/>
      <c r="U898" s="13"/>
      <c r="V898" s="13"/>
      <c r="W898" s="13"/>
      <c r="X898" s="22" t="str">
        <f aca="false">IF(Q898="","",Q898^2)</f>
        <v/>
      </c>
      <c r="Y898" s="22" t="str">
        <f aca="false">IF(AND(C898&lt;&gt;"",C898=CERTIFICADO!$E$4,OR(CERTIFICADO!$E$5="",B898=CERTIFICADO!$E$5)),MAX($Y$4:Y897)+1,"")</f>
        <v/>
      </c>
    </row>
    <row r="899" customFormat="false" ht="15" hidden="false" customHeight="false" outlineLevel="0" collapsed="false">
      <c r="A899" s="11" t="str">
        <f aca="false">IF(C899="","",ROW()-4)</f>
        <v/>
      </c>
      <c r="B899" s="12"/>
      <c r="C899" s="13"/>
      <c r="D899" s="23" t="str">
        <f aca="false">IF(C899="","",IFERROR(INDEX(LOTES!$D$5:$D$1004,MATCH(C899,LOTES!$F$5:$F$1004,0)),"¿Lote?"))</f>
        <v/>
      </c>
      <c r="E899" s="11" t="str">
        <f aca="false">IF(C899="","",IFERROR(INDEX(LOTES!$C$5:$C$1004,MATCH(C899,LOTES!$F$5:$F$1004,0)),""))</f>
        <v/>
      </c>
      <c r="F899" s="24" t="str">
        <f aca="false">IF(C899="","",IFERROR(INDEX(LOTES!$B$5:$B$1004,MATCH(C899,LOTES!$F$5:$F$1004,0)),""))</f>
        <v/>
      </c>
      <c r="G899" s="15" t="str">
        <f aca="false">IF(OR(B899="",F899=""),"",B899-F899)</f>
        <v/>
      </c>
      <c r="H899" s="13"/>
      <c r="I899" s="13"/>
      <c r="J899" s="13"/>
      <c r="K899" s="25"/>
      <c r="L899" s="25"/>
      <c r="M899" s="25"/>
      <c r="N899" s="25"/>
      <c r="O899" s="26"/>
      <c r="P899" s="16" t="str">
        <f aca="false">IF(O899="","",IFERROR(1/(1/(IF(K899="",INDEX(CONFIG!$F$5:$F$14,MATCH(D899,CONFIG!$D$5:$D$14,0)),K899)*IF(M899="",INDEX(CONFIG!$H$5:$H$14,MATCH(D899,CONFIG!$D$5:$D$14,0)),M899))),""))</f>
        <v/>
      </c>
      <c r="Q899" s="16" t="str">
        <f aca="false">IF(OR(O899="",P899=""),"",O899/P899)</f>
        <v/>
      </c>
      <c r="R899" s="16" t="str">
        <f aca="false">IF(Q899="","",Q899*0.0980665)</f>
        <v/>
      </c>
      <c r="S899" s="16" t="str">
        <f aca="false">IF(Q899="","",IFERROR(Q899/(1/(1/INDEX(CONFIG!$I$5:$I$14,MATCH(D899,CONFIG!$D$5:$D$14,0)))),""))</f>
        <v/>
      </c>
      <c r="T899" s="13"/>
      <c r="U899" s="13"/>
      <c r="V899" s="13"/>
      <c r="W899" s="13"/>
      <c r="X899" s="22" t="str">
        <f aca="false">IF(Q899="","",Q899^2)</f>
        <v/>
      </c>
      <c r="Y899" s="22" t="str">
        <f aca="false">IF(AND(C899&lt;&gt;"",C899=CERTIFICADO!$E$4,OR(CERTIFICADO!$E$5="",B899=CERTIFICADO!$E$5)),MAX($Y$4:Y898)+1,"")</f>
        <v/>
      </c>
    </row>
    <row r="900" customFormat="false" ht="15" hidden="false" customHeight="false" outlineLevel="0" collapsed="false">
      <c r="A900" s="11" t="str">
        <f aca="false">IF(C900="","",ROW()-4)</f>
        <v/>
      </c>
      <c r="B900" s="12"/>
      <c r="C900" s="13"/>
      <c r="D900" s="23" t="str">
        <f aca="false">IF(C900="","",IFERROR(INDEX(LOTES!$D$5:$D$1004,MATCH(C900,LOTES!$F$5:$F$1004,0)),"¿Lote?"))</f>
        <v/>
      </c>
      <c r="E900" s="11" t="str">
        <f aca="false">IF(C900="","",IFERROR(INDEX(LOTES!$C$5:$C$1004,MATCH(C900,LOTES!$F$5:$F$1004,0)),""))</f>
        <v/>
      </c>
      <c r="F900" s="24" t="str">
        <f aca="false">IF(C900="","",IFERROR(INDEX(LOTES!$B$5:$B$1004,MATCH(C900,LOTES!$F$5:$F$1004,0)),""))</f>
        <v/>
      </c>
      <c r="G900" s="15" t="str">
        <f aca="false">IF(OR(B900="",F900=""),"",B900-F900)</f>
        <v/>
      </c>
      <c r="H900" s="13"/>
      <c r="I900" s="13"/>
      <c r="J900" s="13"/>
      <c r="K900" s="25"/>
      <c r="L900" s="25"/>
      <c r="M900" s="25"/>
      <c r="N900" s="25"/>
      <c r="O900" s="26"/>
      <c r="P900" s="16" t="str">
        <f aca="false">IF(O900="","",IFERROR(1/(1/(IF(K900="",INDEX(CONFIG!$F$5:$F$14,MATCH(D900,CONFIG!$D$5:$D$14,0)),K900)*IF(M900="",INDEX(CONFIG!$H$5:$H$14,MATCH(D900,CONFIG!$D$5:$D$14,0)),M900))),""))</f>
        <v/>
      </c>
      <c r="Q900" s="16" t="str">
        <f aca="false">IF(OR(O900="",P900=""),"",O900/P900)</f>
        <v/>
      </c>
      <c r="R900" s="16" t="str">
        <f aca="false">IF(Q900="","",Q900*0.0980665)</f>
        <v/>
      </c>
      <c r="S900" s="16" t="str">
        <f aca="false">IF(Q900="","",IFERROR(Q900/(1/(1/INDEX(CONFIG!$I$5:$I$14,MATCH(D900,CONFIG!$D$5:$D$14,0)))),""))</f>
        <v/>
      </c>
      <c r="T900" s="13"/>
      <c r="U900" s="13"/>
      <c r="V900" s="13"/>
      <c r="W900" s="13"/>
      <c r="X900" s="22" t="str">
        <f aca="false">IF(Q900="","",Q900^2)</f>
        <v/>
      </c>
      <c r="Y900" s="22" t="str">
        <f aca="false">IF(AND(C900&lt;&gt;"",C900=CERTIFICADO!$E$4,OR(CERTIFICADO!$E$5="",B900=CERTIFICADO!$E$5)),MAX($Y$4:Y899)+1,"")</f>
        <v/>
      </c>
    </row>
    <row r="901" customFormat="false" ht="15" hidden="false" customHeight="false" outlineLevel="0" collapsed="false">
      <c r="A901" s="11" t="str">
        <f aca="false">IF(C901="","",ROW()-4)</f>
        <v/>
      </c>
      <c r="B901" s="12"/>
      <c r="C901" s="13"/>
      <c r="D901" s="23" t="str">
        <f aca="false">IF(C901="","",IFERROR(INDEX(LOTES!$D$5:$D$1004,MATCH(C901,LOTES!$F$5:$F$1004,0)),"¿Lote?"))</f>
        <v/>
      </c>
      <c r="E901" s="11" t="str">
        <f aca="false">IF(C901="","",IFERROR(INDEX(LOTES!$C$5:$C$1004,MATCH(C901,LOTES!$F$5:$F$1004,0)),""))</f>
        <v/>
      </c>
      <c r="F901" s="24" t="str">
        <f aca="false">IF(C901="","",IFERROR(INDEX(LOTES!$B$5:$B$1004,MATCH(C901,LOTES!$F$5:$F$1004,0)),""))</f>
        <v/>
      </c>
      <c r="G901" s="15" t="str">
        <f aca="false">IF(OR(B901="",F901=""),"",B901-F901)</f>
        <v/>
      </c>
      <c r="H901" s="13"/>
      <c r="I901" s="13"/>
      <c r="J901" s="13"/>
      <c r="K901" s="25"/>
      <c r="L901" s="25"/>
      <c r="M901" s="25"/>
      <c r="N901" s="25"/>
      <c r="O901" s="26"/>
      <c r="P901" s="16" t="str">
        <f aca="false">IF(O901="","",IFERROR(1/(1/(IF(K901="",INDEX(CONFIG!$F$5:$F$14,MATCH(D901,CONFIG!$D$5:$D$14,0)),K901)*IF(M901="",INDEX(CONFIG!$H$5:$H$14,MATCH(D901,CONFIG!$D$5:$D$14,0)),M901))),""))</f>
        <v/>
      </c>
      <c r="Q901" s="16" t="str">
        <f aca="false">IF(OR(O901="",P901=""),"",O901/P901)</f>
        <v/>
      </c>
      <c r="R901" s="16" t="str">
        <f aca="false">IF(Q901="","",Q901*0.0980665)</f>
        <v/>
      </c>
      <c r="S901" s="16" t="str">
        <f aca="false">IF(Q901="","",IFERROR(Q901/(1/(1/INDEX(CONFIG!$I$5:$I$14,MATCH(D901,CONFIG!$D$5:$D$14,0)))),""))</f>
        <v/>
      </c>
      <c r="T901" s="13"/>
      <c r="U901" s="13"/>
      <c r="V901" s="13"/>
      <c r="W901" s="13"/>
      <c r="X901" s="22" t="str">
        <f aca="false">IF(Q901="","",Q901^2)</f>
        <v/>
      </c>
      <c r="Y901" s="22" t="str">
        <f aca="false">IF(AND(C901&lt;&gt;"",C901=CERTIFICADO!$E$4,OR(CERTIFICADO!$E$5="",B901=CERTIFICADO!$E$5)),MAX($Y$4:Y900)+1,"")</f>
        <v/>
      </c>
    </row>
    <row r="902" customFormat="false" ht="15" hidden="false" customHeight="false" outlineLevel="0" collapsed="false">
      <c r="A902" s="11" t="str">
        <f aca="false">IF(C902="","",ROW()-4)</f>
        <v/>
      </c>
      <c r="B902" s="12"/>
      <c r="C902" s="13"/>
      <c r="D902" s="23" t="str">
        <f aca="false">IF(C902="","",IFERROR(INDEX(LOTES!$D$5:$D$1004,MATCH(C902,LOTES!$F$5:$F$1004,0)),"¿Lote?"))</f>
        <v/>
      </c>
      <c r="E902" s="11" t="str">
        <f aca="false">IF(C902="","",IFERROR(INDEX(LOTES!$C$5:$C$1004,MATCH(C902,LOTES!$F$5:$F$1004,0)),""))</f>
        <v/>
      </c>
      <c r="F902" s="24" t="str">
        <f aca="false">IF(C902="","",IFERROR(INDEX(LOTES!$B$5:$B$1004,MATCH(C902,LOTES!$F$5:$F$1004,0)),""))</f>
        <v/>
      </c>
      <c r="G902" s="15" t="str">
        <f aca="false">IF(OR(B902="",F902=""),"",B902-F902)</f>
        <v/>
      </c>
      <c r="H902" s="13"/>
      <c r="I902" s="13"/>
      <c r="J902" s="13"/>
      <c r="K902" s="25"/>
      <c r="L902" s="25"/>
      <c r="M902" s="25"/>
      <c r="N902" s="25"/>
      <c r="O902" s="26"/>
      <c r="P902" s="16" t="str">
        <f aca="false">IF(O902="","",IFERROR(1/(1/(IF(K902="",INDEX(CONFIG!$F$5:$F$14,MATCH(D902,CONFIG!$D$5:$D$14,0)),K902)*IF(M902="",INDEX(CONFIG!$H$5:$H$14,MATCH(D902,CONFIG!$D$5:$D$14,0)),M902))),""))</f>
        <v/>
      </c>
      <c r="Q902" s="16" t="str">
        <f aca="false">IF(OR(O902="",P902=""),"",O902/P902)</f>
        <v/>
      </c>
      <c r="R902" s="16" t="str">
        <f aca="false">IF(Q902="","",Q902*0.0980665)</f>
        <v/>
      </c>
      <c r="S902" s="16" t="str">
        <f aca="false">IF(Q902="","",IFERROR(Q902/(1/(1/INDEX(CONFIG!$I$5:$I$14,MATCH(D902,CONFIG!$D$5:$D$14,0)))),""))</f>
        <v/>
      </c>
      <c r="T902" s="13"/>
      <c r="U902" s="13"/>
      <c r="V902" s="13"/>
      <c r="W902" s="13"/>
      <c r="X902" s="22" t="str">
        <f aca="false">IF(Q902="","",Q902^2)</f>
        <v/>
      </c>
      <c r="Y902" s="22" t="str">
        <f aca="false">IF(AND(C902&lt;&gt;"",C902=CERTIFICADO!$E$4,OR(CERTIFICADO!$E$5="",B902=CERTIFICADO!$E$5)),MAX($Y$4:Y901)+1,"")</f>
        <v/>
      </c>
    </row>
    <row r="903" customFormat="false" ht="15" hidden="false" customHeight="false" outlineLevel="0" collapsed="false">
      <c r="A903" s="11" t="str">
        <f aca="false">IF(C903="","",ROW()-4)</f>
        <v/>
      </c>
      <c r="B903" s="12"/>
      <c r="C903" s="13"/>
      <c r="D903" s="23" t="str">
        <f aca="false">IF(C903="","",IFERROR(INDEX(LOTES!$D$5:$D$1004,MATCH(C903,LOTES!$F$5:$F$1004,0)),"¿Lote?"))</f>
        <v/>
      </c>
      <c r="E903" s="11" t="str">
        <f aca="false">IF(C903="","",IFERROR(INDEX(LOTES!$C$5:$C$1004,MATCH(C903,LOTES!$F$5:$F$1004,0)),""))</f>
        <v/>
      </c>
      <c r="F903" s="24" t="str">
        <f aca="false">IF(C903="","",IFERROR(INDEX(LOTES!$B$5:$B$1004,MATCH(C903,LOTES!$F$5:$F$1004,0)),""))</f>
        <v/>
      </c>
      <c r="G903" s="15" t="str">
        <f aca="false">IF(OR(B903="",F903=""),"",B903-F903)</f>
        <v/>
      </c>
      <c r="H903" s="13"/>
      <c r="I903" s="13"/>
      <c r="J903" s="13"/>
      <c r="K903" s="25"/>
      <c r="L903" s="25"/>
      <c r="M903" s="25"/>
      <c r="N903" s="25"/>
      <c r="O903" s="26"/>
      <c r="P903" s="16" t="str">
        <f aca="false">IF(O903="","",IFERROR(1/(1/(IF(K903="",INDEX(CONFIG!$F$5:$F$14,MATCH(D903,CONFIG!$D$5:$D$14,0)),K903)*IF(M903="",INDEX(CONFIG!$H$5:$H$14,MATCH(D903,CONFIG!$D$5:$D$14,0)),M903))),""))</f>
        <v/>
      </c>
      <c r="Q903" s="16" t="str">
        <f aca="false">IF(OR(O903="",P903=""),"",O903/P903)</f>
        <v/>
      </c>
      <c r="R903" s="16" t="str">
        <f aca="false">IF(Q903="","",Q903*0.0980665)</f>
        <v/>
      </c>
      <c r="S903" s="16" t="str">
        <f aca="false">IF(Q903="","",IFERROR(Q903/(1/(1/INDEX(CONFIG!$I$5:$I$14,MATCH(D903,CONFIG!$D$5:$D$14,0)))),""))</f>
        <v/>
      </c>
      <c r="T903" s="13"/>
      <c r="U903" s="13"/>
      <c r="V903" s="13"/>
      <c r="W903" s="13"/>
      <c r="X903" s="22" t="str">
        <f aca="false">IF(Q903="","",Q903^2)</f>
        <v/>
      </c>
      <c r="Y903" s="22" t="str">
        <f aca="false">IF(AND(C903&lt;&gt;"",C903=CERTIFICADO!$E$4,OR(CERTIFICADO!$E$5="",B903=CERTIFICADO!$E$5)),MAX($Y$4:Y902)+1,"")</f>
        <v/>
      </c>
    </row>
    <row r="904" customFormat="false" ht="15" hidden="false" customHeight="false" outlineLevel="0" collapsed="false">
      <c r="A904" s="11" t="str">
        <f aca="false">IF(C904="","",ROW()-4)</f>
        <v/>
      </c>
      <c r="B904" s="12"/>
      <c r="C904" s="13"/>
      <c r="D904" s="23" t="str">
        <f aca="false">IF(C904="","",IFERROR(INDEX(LOTES!$D$5:$D$1004,MATCH(C904,LOTES!$F$5:$F$1004,0)),"¿Lote?"))</f>
        <v/>
      </c>
      <c r="E904" s="11" t="str">
        <f aca="false">IF(C904="","",IFERROR(INDEX(LOTES!$C$5:$C$1004,MATCH(C904,LOTES!$F$5:$F$1004,0)),""))</f>
        <v/>
      </c>
      <c r="F904" s="24" t="str">
        <f aca="false">IF(C904="","",IFERROR(INDEX(LOTES!$B$5:$B$1004,MATCH(C904,LOTES!$F$5:$F$1004,0)),""))</f>
        <v/>
      </c>
      <c r="G904" s="15" t="str">
        <f aca="false">IF(OR(B904="",F904=""),"",B904-F904)</f>
        <v/>
      </c>
      <c r="H904" s="13"/>
      <c r="I904" s="13"/>
      <c r="J904" s="13"/>
      <c r="K904" s="25"/>
      <c r="L904" s="25"/>
      <c r="M904" s="25"/>
      <c r="N904" s="25"/>
      <c r="O904" s="26"/>
      <c r="P904" s="16" t="str">
        <f aca="false">IF(O904="","",IFERROR(1/(1/(IF(K904="",INDEX(CONFIG!$F$5:$F$14,MATCH(D904,CONFIG!$D$5:$D$14,0)),K904)*IF(M904="",INDEX(CONFIG!$H$5:$H$14,MATCH(D904,CONFIG!$D$5:$D$14,0)),M904))),""))</f>
        <v/>
      </c>
      <c r="Q904" s="16" t="str">
        <f aca="false">IF(OR(O904="",P904=""),"",O904/P904)</f>
        <v/>
      </c>
      <c r="R904" s="16" t="str">
        <f aca="false">IF(Q904="","",Q904*0.0980665)</f>
        <v/>
      </c>
      <c r="S904" s="16" t="str">
        <f aca="false">IF(Q904="","",IFERROR(Q904/(1/(1/INDEX(CONFIG!$I$5:$I$14,MATCH(D904,CONFIG!$D$5:$D$14,0)))),""))</f>
        <v/>
      </c>
      <c r="T904" s="13"/>
      <c r="U904" s="13"/>
      <c r="V904" s="13"/>
      <c r="W904" s="13"/>
      <c r="X904" s="22" t="str">
        <f aca="false">IF(Q904="","",Q904^2)</f>
        <v/>
      </c>
      <c r="Y904" s="22" t="str">
        <f aca="false">IF(AND(C904&lt;&gt;"",C904=CERTIFICADO!$E$4,OR(CERTIFICADO!$E$5="",B904=CERTIFICADO!$E$5)),MAX($Y$4:Y903)+1,"")</f>
        <v/>
      </c>
    </row>
    <row r="905" customFormat="false" ht="15" hidden="false" customHeight="false" outlineLevel="0" collapsed="false">
      <c r="A905" s="11" t="str">
        <f aca="false">IF(C905="","",ROW()-4)</f>
        <v/>
      </c>
      <c r="B905" s="12"/>
      <c r="C905" s="13"/>
      <c r="D905" s="23" t="str">
        <f aca="false">IF(C905="","",IFERROR(INDEX(LOTES!$D$5:$D$1004,MATCH(C905,LOTES!$F$5:$F$1004,0)),"¿Lote?"))</f>
        <v/>
      </c>
      <c r="E905" s="11" t="str">
        <f aca="false">IF(C905="","",IFERROR(INDEX(LOTES!$C$5:$C$1004,MATCH(C905,LOTES!$F$5:$F$1004,0)),""))</f>
        <v/>
      </c>
      <c r="F905" s="24" t="str">
        <f aca="false">IF(C905="","",IFERROR(INDEX(LOTES!$B$5:$B$1004,MATCH(C905,LOTES!$F$5:$F$1004,0)),""))</f>
        <v/>
      </c>
      <c r="G905" s="15" t="str">
        <f aca="false">IF(OR(B905="",F905=""),"",B905-F905)</f>
        <v/>
      </c>
      <c r="H905" s="13"/>
      <c r="I905" s="13"/>
      <c r="J905" s="13"/>
      <c r="K905" s="25"/>
      <c r="L905" s="25"/>
      <c r="M905" s="25"/>
      <c r="N905" s="25"/>
      <c r="O905" s="26"/>
      <c r="P905" s="16" t="str">
        <f aca="false">IF(O905="","",IFERROR(1/(1/(IF(K905="",INDEX(CONFIG!$F$5:$F$14,MATCH(D905,CONFIG!$D$5:$D$14,0)),K905)*IF(M905="",INDEX(CONFIG!$H$5:$H$14,MATCH(D905,CONFIG!$D$5:$D$14,0)),M905))),""))</f>
        <v/>
      </c>
      <c r="Q905" s="16" t="str">
        <f aca="false">IF(OR(O905="",P905=""),"",O905/P905)</f>
        <v/>
      </c>
      <c r="R905" s="16" t="str">
        <f aca="false">IF(Q905="","",Q905*0.0980665)</f>
        <v/>
      </c>
      <c r="S905" s="16" t="str">
        <f aca="false">IF(Q905="","",IFERROR(Q905/(1/(1/INDEX(CONFIG!$I$5:$I$14,MATCH(D905,CONFIG!$D$5:$D$14,0)))),""))</f>
        <v/>
      </c>
      <c r="T905" s="13"/>
      <c r="U905" s="13"/>
      <c r="V905" s="13"/>
      <c r="W905" s="13"/>
      <c r="X905" s="22" t="str">
        <f aca="false">IF(Q905="","",Q905^2)</f>
        <v/>
      </c>
      <c r="Y905" s="22" t="str">
        <f aca="false">IF(AND(C905&lt;&gt;"",C905=CERTIFICADO!$E$4,OR(CERTIFICADO!$E$5="",B905=CERTIFICADO!$E$5)),MAX($Y$4:Y904)+1,"")</f>
        <v/>
      </c>
    </row>
    <row r="906" customFormat="false" ht="15" hidden="false" customHeight="false" outlineLevel="0" collapsed="false">
      <c r="A906" s="11" t="str">
        <f aca="false">IF(C906="","",ROW()-4)</f>
        <v/>
      </c>
      <c r="B906" s="12"/>
      <c r="C906" s="13"/>
      <c r="D906" s="23" t="str">
        <f aca="false">IF(C906="","",IFERROR(INDEX(LOTES!$D$5:$D$1004,MATCH(C906,LOTES!$F$5:$F$1004,0)),"¿Lote?"))</f>
        <v/>
      </c>
      <c r="E906" s="11" t="str">
        <f aca="false">IF(C906="","",IFERROR(INDEX(LOTES!$C$5:$C$1004,MATCH(C906,LOTES!$F$5:$F$1004,0)),""))</f>
        <v/>
      </c>
      <c r="F906" s="24" t="str">
        <f aca="false">IF(C906="","",IFERROR(INDEX(LOTES!$B$5:$B$1004,MATCH(C906,LOTES!$F$5:$F$1004,0)),""))</f>
        <v/>
      </c>
      <c r="G906" s="15" t="str">
        <f aca="false">IF(OR(B906="",F906=""),"",B906-F906)</f>
        <v/>
      </c>
      <c r="H906" s="13"/>
      <c r="I906" s="13"/>
      <c r="J906" s="13"/>
      <c r="K906" s="25"/>
      <c r="L906" s="25"/>
      <c r="M906" s="25"/>
      <c r="N906" s="25"/>
      <c r="O906" s="26"/>
      <c r="P906" s="16" t="str">
        <f aca="false">IF(O906="","",IFERROR(1/(1/(IF(K906="",INDEX(CONFIG!$F$5:$F$14,MATCH(D906,CONFIG!$D$5:$D$14,0)),K906)*IF(M906="",INDEX(CONFIG!$H$5:$H$14,MATCH(D906,CONFIG!$D$5:$D$14,0)),M906))),""))</f>
        <v/>
      </c>
      <c r="Q906" s="16" t="str">
        <f aca="false">IF(OR(O906="",P906=""),"",O906/P906)</f>
        <v/>
      </c>
      <c r="R906" s="16" t="str">
        <f aca="false">IF(Q906="","",Q906*0.0980665)</f>
        <v/>
      </c>
      <c r="S906" s="16" t="str">
        <f aca="false">IF(Q906="","",IFERROR(Q906/(1/(1/INDEX(CONFIG!$I$5:$I$14,MATCH(D906,CONFIG!$D$5:$D$14,0)))),""))</f>
        <v/>
      </c>
      <c r="T906" s="13"/>
      <c r="U906" s="13"/>
      <c r="V906" s="13"/>
      <c r="W906" s="13"/>
      <c r="X906" s="22" t="str">
        <f aca="false">IF(Q906="","",Q906^2)</f>
        <v/>
      </c>
      <c r="Y906" s="22" t="str">
        <f aca="false">IF(AND(C906&lt;&gt;"",C906=CERTIFICADO!$E$4,OR(CERTIFICADO!$E$5="",B906=CERTIFICADO!$E$5)),MAX($Y$4:Y905)+1,"")</f>
        <v/>
      </c>
    </row>
    <row r="907" customFormat="false" ht="15" hidden="false" customHeight="false" outlineLevel="0" collapsed="false">
      <c r="A907" s="11" t="str">
        <f aca="false">IF(C907="","",ROW()-4)</f>
        <v/>
      </c>
      <c r="B907" s="12"/>
      <c r="C907" s="13"/>
      <c r="D907" s="23" t="str">
        <f aca="false">IF(C907="","",IFERROR(INDEX(LOTES!$D$5:$D$1004,MATCH(C907,LOTES!$F$5:$F$1004,0)),"¿Lote?"))</f>
        <v/>
      </c>
      <c r="E907" s="11" t="str">
        <f aca="false">IF(C907="","",IFERROR(INDEX(LOTES!$C$5:$C$1004,MATCH(C907,LOTES!$F$5:$F$1004,0)),""))</f>
        <v/>
      </c>
      <c r="F907" s="24" t="str">
        <f aca="false">IF(C907="","",IFERROR(INDEX(LOTES!$B$5:$B$1004,MATCH(C907,LOTES!$F$5:$F$1004,0)),""))</f>
        <v/>
      </c>
      <c r="G907" s="15" t="str">
        <f aca="false">IF(OR(B907="",F907=""),"",B907-F907)</f>
        <v/>
      </c>
      <c r="H907" s="13"/>
      <c r="I907" s="13"/>
      <c r="J907" s="13"/>
      <c r="K907" s="25"/>
      <c r="L907" s="25"/>
      <c r="M907" s="25"/>
      <c r="N907" s="25"/>
      <c r="O907" s="26"/>
      <c r="P907" s="16" t="str">
        <f aca="false">IF(O907="","",IFERROR(1/(1/(IF(K907="",INDEX(CONFIG!$F$5:$F$14,MATCH(D907,CONFIG!$D$5:$D$14,0)),K907)*IF(M907="",INDEX(CONFIG!$H$5:$H$14,MATCH(D907,CONFIG!$D$5:$D$14,0)),M907))),""))</f>
        <v/>
      </c>
      <c r="Q907" s="16" t="str">
        <f aca="false">IF(OR(O907="",P907=""),"",O907/P907)</f>
        <v/>
      </c>
      <c r="R907" s="16" t="str">
        <f aca="false">IF(Q907="","",Q907*0.0980665)</f>
        <v/>
      </c>
      <c r="S907" s="16" t="str">
        <f aca="false">IF(Q907="","",IFERROR(Q907/(1/(1/INDEX(CONFIG!$I$5:$I$14,MATCH(D907,CONFIG!$D$5:$D$14,0)))),""))</f>
        <v/>
      </c>
      <c r="T907" s="13"/>
      <c r="U907" s="13"/>
      <c r="V907" s="13"/>
      <c r="W907" s="13"/>
      <c r="X907" s="22" t="str">
        <f aca="false">IF(Q907="","",Q907^2)</f>
        <v/>
      </c>
      <c r="Y907" s="22" t="str">
        <f aca="false">IF(AND(C907&lt;&gt;"",C907=CERTIFICADO!$E$4,OR(CERTIFICADO!$E$5="",B907=CERTIFICADO!$E$5)),MAX($Y$4:Y906)+1,"")</f>
        <v/>
      </c>
    </row>
    <row r="908" customFormat="false" ht="15" hidden="false" customHeight="false" outlineLevel="0" collapsed="false">
      <c r="A908" s="11" t="str">
        <f aca="false">IF(C908="","",ROW()-4)</f>
        <v/>
      </c>
      <c r="B908" s="12"/>
      <c r="C908" s="13"/>
      <c r="D908" s="23" t="str">
        <f aca="false">IF(C908="","",IFERROR(INDEX(LOTES!$D$5:$D$1004,MATCH(C908,LOTES!$F$5:$F$1004,0)),"¿Lote?"))</f>
        <v/>
      </c>
      <c r="E908" s="11" t="str">
        <f aca="false">IF(C908="","",IFERROR(INDEX(LOTES!$C$5:$C$1004,MATCH(C908,LOTES!$F$5:$F$1004,0)),""))</f>
        <v/>
      </c>
      <c r="F908" s="24" t="str">
        <f aca="false">IF(C908="","",IFERROR(INDEX(LOTES!$B$5:$B$1004,MATCH(C908,LOTES!$F$5:$F$1004,0)),""))</f>
        <v/>
      </c>
      <c r="G908" s="15" t="str">
        <f aca="false">IF(OR(B908="",F908=""),"",B908-F908)</f>
        <v/>
      </c>
      <c r="H908" s="13"/>
      <c r="I908" s="13"/>
      <c r="J908" s="13"/>
      <c r="K908" s="25"/>
      <c r="L908" s="25"/>
      <c r="M908" s="25"/>
      <c r="N908" s="25"/>
      <c r="O908" s="26"/>
      <c r="P908" s="16" t="str">
        <f aca="false">IF(O908="","",IFERROR(1/(1/(IF(K908="",INDEX(CONFIG!$F$5:$F$14,MATCH(D908,CONFIG!$D$5:$D$14,0)),K908)*IF(M908="",INDEX(CONFIG!$H$5:$H$14,MATCH(D908,CONFIG!$D$5:$D$14,0)),M908))),""))</f>
        <v/>
      </c>
      <c r="Q908" s="16" t="str">
        <f aca="false">IF(OR(O908="",P908=""),"",O908/P908)</f>
        <v/>
      </c>
      <c r="R908" s="16" t="str">
        <f aca="false">IF(Q908="","",Q908*0.0980665)</f>
        <v/>
      </c>
      <c r="S908" s="16" t="str">
        <f aca="false">IF(Q908="","",IFERROR(Q908/(1/(1/INDEX(CONFIG!$I$5:$I$14,MATCH(D908,CONFIG!$D$5:$D$14,0)))),""))</f>
        <v/>
      </c>
      <c r="T908" s="13"/>
      <c r="U908" s="13"/>
      <c r="V908" s="13"/>
      <c r="W908" s="13"/>
      <c r="X908" s="22" t="str">
        <f aca="false">IF(Q908="","",Q908^2)</f>
        <v/>
      </c>
      <c r="Y908" s="22" t="str">
        <f aca="false">IF(AND(C908&lt;&gt;"",C908=CERTIFICADO!$E$4,OR(CERTIFICADO!$E$5="",B908=CERTIFICADO!$E$5)),MAX($Y$4:Y907)+1,"")</f>
        <v/>
      </c>
    </row>
    <row r="909" customFormat="false" ht="15" hidden="false" customHeight="false" outlineLevel="0" collapsed="false">
      <c r="A909" s="11" t="str">
        <f aca="false">IF(C909="","",ROW()-4)</f>
        <v/>
      </c>
      <c r="B909" s="12"/>
      <c r="C909" s="13"/>
      <c r="D909" s="23" t="str">
        <f aca="false">IF(C909="","",IFERROR(INDEX(LOTES!$D$5:$D$1004,MATCH(C909,LOTES!$F$5:$F$1004,0)),"¿Lote?"))</f>
        <v/>
      </c>
      <c r="E909" s="11" t="str">
        <f aca="false">IF(C909="","",IFERROR(INDEX(LOTES!$C$5:$C$1004,MATCH(C909,LOTES!$F$5:$F$1004,0)),""))</f>
        <v/>
      </c>
      <c r="F909" s="24" t="str">
        <f aca="false">IF(C909="","",IFERROR(INDEX(LOTES!$B$5:$B$1004,MATCH(C909,LOTES!$F$5:$F$1004,0)),""))</f>
        <v/>
      </c>
      <c r="G909" s="15" t="str">
        <f aca="false">IF(OR(B909="",F909=""),"",B909-F909)</f>
        <v/>
      </c>
      <c r="H909" s="13"/>
      <c r="I909" s="13"/>
      <c r="J909" s="13"/>
      <c r="K909" s="25"/>
      <c r="L909" s="25"/>
      <c r="M909" s="25"/>
      <c r="N909" s="25"/>
      <c r="O909" s="26"/>
      <c r="P909" s="16" t="str">
        <f aca="false">IF(O909="","",IFERROR(1/(1/(IF(K909="",INDEX(CONFIG!$F$5:$F$14,MATCH(D909,CONFIG!$D$5:$D$14,0)),K909)*IF(M909="",INDEX(CONFIG!$H$5:$H$14,MATCH(D909,CONFIG!$D$5:$D$14,0)),M909))),""))</f>
        <v/>
      </c>
      <c r="Q909" s="16" t="str">
        <f aca="false">IF(OR(O909="",P909=""),"",O909/P909)</f>
        <v/>
      </c>
      <c r="R909" s="16" t="str">
        <f aca="false">IF(Q909="","",Q909*0.0980665)</f>
        <v/>
      </c>
      <c r="S909" s="16" t="str">
        <f aca="false">IF(Q909="","",IFERROR(Q909/(1/(1/INDEX(CONFIG!$I$5:$I$14,MATCH(D909,CONFIG!$D$5:$D$14,0)))),""))</f>
        <v/>
      </c>
      <c r="T909" s="13"/>
      <c r="U909" s="13"/>
      <c r="V909" s="13"/>
      <c r="W909" s="13"/>
      <c r="X909" s="22" t="str">
        <f aca="false">IF(Q909="","",Q909^2)</f>
        <v/>
      </c>
      <c r="Y909" s="22" t="str">
        <f aca="false">IF(AND(C909&lt;&gt;"",C909=CERTIFICADO!$E$4,OR(CERTIFICADO!$E$5="",B909=CERTIFICADO!$E$5)),MAX($Y$4:Y908)+1,"")</f>
        <v/>
      </c>
    </row>
    <row r="910" customFormat="false" ht="15" hidden="false" customHeight="false" outlineLevel="0" collapsed="false">
      <c r="A910" s="11" t="str">
        <f aca="false">IF(C910="","",ROW()-4)</f>
        <v/>
      </c>
      <c r="B910" s="12"/>
      <c r="C910" s="13"/>
      <c r="D910" s="23" t="str">
        <f aca="false">IF(C910="","",IFERROR(INDEX(LOTES!$D$5:$D$1004,MATCH(C910,LOTES!$F$5:$F$1004,0)),"¿Lote?"))</f>
        <v/>
      </c>
      <c r="E910" s="11" t="str">
        <f aca="false">IF(C910="","",IFERROR(INDEX(LOTES!$C$5:$C$1004,MATCH(C910,LOTES!$F$5:$F$1004,0)),""))</f>
        <v/>
      </c>
      <c r="F910" s="24" t="str">
        <f aca="false">IF(C910="","",IFERROR(INDEX(LOTES!$B$5:$B$1004,MATCH(C910,LOTES!$F$5:$F$1004,0)),""))</f>
        <v/>
      </c>
      <c r="G910" s="15" t="str">
        <f aca="false">IF(OR(B910="",F910=""),"",B910-F910)</f>
        <v/>
      </c>
      <c r="H910" s="13"/>
      <c r="I910" s="13"/>
      <c r="J910" s="13"/>
      <c r="K910" s="25"/>
      <c r="L910" s="25"/>
      <c r="M910" s="25"/>
      <c r="N910" s="25"/>
      <c r="O910" s="26"/>
      <c r="P910" s="16" t="str">
        <f aca="false">IF(O910="","",IFERROR(1/(1/(IF(K910="",INDEX(CONFIG!$F$5:$F$14,MATCH(D910,CONFIG!$D$5:$D$14,0)),K910)*IF(M910="",INDEX(CONFIG!$H$5:$H$14,MATCH(D910,CONFIG!$D$5:$D$14,0)),M910))),""))</f>
        <v/>
      </c>
      <c r="Q910" s="16" t="str">
        <f aca="false">IF(OR(O910="",P910=""),"",O910/P910)</f>
        <v/>
      </c>
      <c r="R910" s="16" t="str">
        <f aca="false">IF(Q910="","",Q910*0.0980665)</f>
        <v/>
      </c>
      <c r="S910" s="16" t="str">
        <f aca="false">IF(Q910="","",IFERROR(Q910/(1/(1/INDEX(CONFIG!$I$5:$I$14,MATCH(D910,CONFIG!$D$5:$D$14,0)))),""))</f>
        <v/>
      </c>
      <c r="T910" s="13"/>
      <c r="U910" s="13"/>
      <c r="V910" s="13"/>
      <c r="W910" s="13"/>
      <c r="X910" s="22" t="str">
        <f aca="false">IF(Q910="","",Q910^2)</f>
        <v/>
      </c>
      <c r="Y910" s="22" t="str">
        <f aca="false">IF(AND(C910&lt;&gt;"",C910=CERTIFICADO!$E$4,OR(CERTIFICADO!$E$5="",B910=CERTIFICADO!$E$5)),MAX($Y$4:Y909)+1,"")</f>
        <v/>
      </c>
    </row>
    <row r="911" customFormat="false" ht="15" hidden="false" customHeight="false" outlineLevel="0" collapsed="false">
      <c r="A911" s="11" t="str">
        <f aca="false">IF(C911="","",ROW()-4)</f>
        <v/>
      </c>
      <c r="B911" s="12"/>
      <c r="C911" s="13"/>
      <c r="D911" s="23" t="str">
        <f aca="false">IF(C911="","",IFERROR(INDEX(LOTES!$D$5:$D$1004,MATCH(C911,LOTES!$F$5:$F$1004,0)),"¿Lote?"))</f>
        <v/>
      </c>
      <c r="E911" s="11" t="str">
        <f aca="false">IF(C911="","",IFERROR(INDEX(LOTES!$C$5:$C$1004,MATCH(C911,LOTES!$F$5:$F$1004,0)),""))</f>
        <v/>
      </c>
      <c r="F911" s="24" t="str">
        <f aca="false">IF(C911="","",IFERROR(INDEX(LOTES!$B$5:$B$1004,MATCH(C911,LOTES!$F$5:$F$1004,0)),""))</f>
        <v/>
      </c>
      <c r="G911" s="15" t="str">
        <f aca="false">IF(OR(B911="",F911=""),"",B911-F911)</f>
        <v/>
      </c>
      <c r="H911" s="13"/>
      <c r="I911" s="13"/>
      <c r="J911" s="13"/>
      <c r="K911" s="25"/>
      <c r="L911" s="25"/>
      <c r="M911" s="25"/>
      <c r="N911" s="25"/>
      <c r="O911" s="26"/>
      <c r="P911" s="16" t="str">
        <f aca="false">IF(O911="","",IFERROR(1/(1/(IF(K911="",INDEX(CONFIG!$F$5:$F$14,MATCH(D911,CONFIG!$D$5:$D$14,0)),K911)*IF(M911="",INDEX(CONFIG!$H$5:$H$14,MATCH(D911,CONFIG!$D$5:$D$14,0)),M911))),""))</f>
        <v/>
      </c>
      <c r="Q911" s="16" t="str">
        <f aca="false">IF(OR(O911="",P911=""),"",O911/P911)</f>
        <v/>
      </c>
      <c r="R911" s="16" t="str">
        <f aca="false">IF(Q911="","",Q911*0.0980665)</f>
        <v/>
      </c>
      <c r="S911" s="16" t="str">
        <f aca="false">IF(Q911="","",IFERROR(Q911/(1/(1/INDEX(CONFIG!$I$5:$I$14,MATCH(D911,CONFIG!$D$5:$D$14,0)))),""))</f>
        <v/>
      </c>
      <c r="T911" s="13"/>
      <c r="U911" s="13"/>
      <c r="V911" s="13"/>
      <c r="W911" s="13"/>
      <c r="X911" s="22" t="str">
        <f aca="false">IF(Q911="","",Q911^2)</f>
        <v/>
      </c>
      <c r="Y911" s="22" t="str">
        <f aca="false">IF(AND(C911&lt;&gt;"",C911=CERTIFICADO!$E$4,OR(CERTIFICADO!$E$5="",B911=CERTIFICADO!$E$5)),MAX($Y$4:Y910)+1,"")</f>
        <v/>
      </c>
    </row>
    <row r="912" customFormat="false" ht="15" hidden="false" customHeight="false" outlineLevel="0" collapsed="false">
      <c r="A912" s="11" t="str">
        <f aca="false">IF(C912="","",ROW()-4)</f>
        <v/>
      </c>
      <c r="B912" s="12"/>
      <c r="C912" s="13"/>
      <c r="D912" s="23" t="str">
        <f aca="false">IF(C912="","",IFERROR(INDEX(LOTES!$D$5:$D$1004,MATCH(C912,LOTES!$F$5:$F$1004,0)),"¿Lote?"))</f>
        <v/>
      </c>
      <c r="E912" s="11" t="str">
        <f aca="false">IF(C912="","",IFERROR(INDEX(LOTES!$C$5:$C$1004,MATCH(C912,LOTES!$F$5:$F$1004,0)),""))</f>
        <v/>
      </c>
      <c r="F912" s="24" t="str">
        <f aca="false">IF(C912="","",IFERROR(INDEX(LOTES!$B$5:$B$1004,MATCH(C912,LOTES!$F$5:$F$1004,0)),""))</f>
        <v/>
      </c>
      <c r="G912" s="15" t="str">
        <f aca="false">IF(OR(B912="",F912=""),"",B912-F912)</f>
        <v/>
      </c>
      <c r="H912" s="13"/>
      <c r="I912" s="13"/>
      <c r="J912" s="13"/>
      <c r="K912" s="25"/>
      <c r="L912" s="25"/>
      <c r="M912" s="25"/>
      <c r="N912" s="25"/>
      <c r="O912" s="26"/>
      <c r="P912" s="16" t="str">
        <f aca="false">IF(O912="","",IFERROR(1/(1/(IF(K912="",INDEX(CONFIG!$F$5:$F$14,MATCH(D912,CONFIG!$D$5:$D$14,0)),K912)*IF(M912="",INDEX(CONFIG!$H$5:$H$14,MATCH(D912,CONFIG!$D$5:$D$14,0)),M912))),""))</f>
        <v/>
      </c>
      <c r="Q912" s="16" t="str">
        <f aca="false">IF(OR(O912="",P912=""),"",O912/P912)</f>
        <v/>
      </c>
      <c r="R912" s="16" t="str">
        <f aca="false">IF(Q912="","",Q912*0.0980665)</f>
        <v/>
      </c>
      <c r="S912" s="16" t="str">
        <f aca="false">IF(Q912="","",IFERROR(Q912/(1/(1/INDEX(CONFIG!$I$5:$I$14,MATCH(D912,CONFIG!$D$5:$D$14,0)))),""))</f>
        <v/>
      </c>
      <c r="T912" s="13"/>
      <c r="U912" s="13"/>
      <c r="V912" s="13"/>
      <c r="W912" s="13"/>
      <c r="X912" s="22" t="str">
        <f aca="false">IF(Q912="","",Q912^2)</f>
        <v/>
      </c>
      <c r="Y912" s="22" t="str">
        <f aca="false">IF(AND(C912&lt;&gt;"",C912=CERTIFICADO!$E$4,OR(CERTIFICADO!$E$5="",B912=CERTIFICADO!$E$5)),MAX($Y$4:Y911)+1,"")</f>
        <v/>
      </c>
    </row>
    <row r="913" customFormat="false" ht="15" hidden="false" customHeight="false" outlineLevel="0" collapsed="false">
      <c r="A913" s="11" t="str">
        <f aca="false">IF(C913="","",ROW()-4)</f>
        <v/>
      </c>
      <c r="B913" s="12"/>
      <c r="C913" s="13"/>
      <c r="D913" s="23" t="str">
        <f aca="false">IF(C913="","",IFERROR(INDEX(LOTES!$D$5:$D$1004,MATCH(C913,LOTES!$F$5:$F$1004,0)),"¿Lote?"))</f>
        <v/>
      </c>
      <c r="E913" s="11" t="str">
        <f aca="false">IF(C913="","",IFERROR(INDEX(LOTES!$C$5:$C$1004,MATCH(C913,LOTES!$F$5:$F$1004,0)),""))</f>
        <v/>
      </c>
      <c r="F913" s="24" t="str">
        <f aca="false">IF(C913="","",IFERROR(INDEX(LOTES!$B$5:$B$1004,MATCH(C913,LOTES!$F$5:$F$1004,0)),""))</f>
        <v/>
      </c>
      <c r="G913" s="15" t="str">
        <f aca="false">IF(OR(B913="",F913=""),"",B913-F913)</f>
        <v/>
      </c>
      <c r="H913" s="13"/>
      <c r="I913" s="13"/>
      <c r="J913" s="13"/>
      <c r="K913" s="25"/>
      <c r="L913" s="25"/>
      <c r="M913" s="25"/>
      <c r="N913" s="25"/>
      <c r="O913" s="26"/>
      <c r="P913" s="16" t="str">
        <f aca="false">IF(O913="","",IFERROR(1/(1/(IF(K913="",INDEX(CONFIG!$F$5:$F$14,MATCH(D913,CONFIG!$D$5:$D$14,0)),K913)*IF(M913="",INDEX(CONFIG!$H$5:$H$14,MATCH(D913,CONFIG!$D$5:$D$14,0)),M913))),""))</f>
        <v/>
      </c>
      <c r="Q913" s="16" t="str">
        <f aca="false">IF(OR(O913="",P913=""),"",O913/P913)</f>
        <v/>
      </c>
      <c r="R913" s="16" t="str">
        <f aca="false">IF(Q913="","",Q913*0.0980665)</f>
        <v/>
      </c>
      <c r="S913" s="16" t="str">
        <f aca="false">IF(Q913="","",IFERROR(Q913/(1/(1/INDEX(CONFIG!$I$5:$I$14,MATCH(D913,CONFIG!$D$5:$D$14,0)))),""))</f>
        <v/>
      </c>
      <c r="T913" s="13"/>
      <c r="U913" s="13"/>
      <c r="V913" s="13"/>
      <c r="W913" s="13"/>
      <c r="X913" s="22" t="str">
        <f aca="false">IF(Q913="","",Q913^2)</f>
        <v/>
      </c>
      <c r="Y913" s="22" t="str">
        <f aca="false">IF(AND(C913&lt;&gt;"",C913=CERTIFICADO!$E$4,OR(CERTIFICADO!$E$5="",B913=CERTIFICADO!$E$5)),MAX($Y$4:Y912)+1,"")</f>
        <v/>
      </c>
    </row>
    <row r="914" customFormat="false" ht="15" hidden="false" customHeight="false" outlineLevel="0" collapsed="false">
      <c r="A914" s="11" t="str">
        <f aca="false">IF(C914="","",ROW()-4)</f>
        <v/>
      </c>
      <c r="B914" s="12"/>
      <c r="C914" s="13"/>
      <c r="D914" s="23" t="str">
        <f aca="false">IF(C914="","",IFERROR(INDEX(LOTES!$D$5:$D$1004,MATCH(C914,LOTES!$F$5:$F$1004,0)),"¿Lote?"))</f>
        <v/>
      </c>
      <c r="E914" s="11" t="str">
        <f aca="false">IF(C914="","",IFERROR(INDEX(LOTES!$C$5:$C$1004,MATCH(C914,LOTES!$F$5:$F$1004,0)),""))</f>
        <v/>
      </c>
      <c r="F914" s="24" t="str">
        <f aca="false">IF(C914="","",IFERROR(INDEX(LOTES!$B$5:$B$1004,MATCH(C914,LOTES!$F$5:$F$1004,0)),""))</f>
        <v/>
      </c>
      <c r="G914" s="15" t="str">
        <f aca="false">IF(OR(B914="",F914=""),"",B914-F914)</f>
        <v/>
      </c>
      <c r="H914" s="13"/>
      <c r="I914" s="13"/>
      <c r="J914" s="13"/>
      <c r="K914" s="25"/>
      <c r="L914" s="25"/>
      <c r="M914" s="25"/>
      <c r="N914" s="25"/>
      <c r="O914" s="26"/>
      <c r="P914" s="16" t="str">
        <f aca="false">IF(O914="","",IFERROR(1/(1/(IF(K914="",INDEX(CONFIG!$F$5:$F$14,MATCH(D914,CONFIG!$D$5:$D$14,0)),K914)*IF(M914="",INDEX(CONFIG!$H$5:$H$14,MATCH(D914,CONFIG!$D$5:$D$14,0)),M914))),""))</f>
        <v/>
      </c>
      <c r="Q914" s="16" t="str">
        <f aca="false">IF(OR(O914="",P914=""),"",O914/P914)</f>
        <v/>
      </c>
      <c r="R914" s="16" t="str">
        <f aca="false">IF(Q914="","",Q914*0.0980665)</f>
        <v/>
      </c>
      <c r="S914" s="16" t="str">
        <f aca="false">IF(Q914="","",IFERROR(Q914/(1/(1/INDEX(CONFIG!$I$5:$I$14,MATCH(D914,CONFIG!$D$5:$D$14,0)))),""))</f>
        <v/>
      </c>
      <c r="T914" s="13"/>
      <c r="U914" s="13"/>
      <c r="V914" s="13"/>
      <c r="W914" s="13"/>
      <c r="X914" s="22" t="str">
        <f aca="false">IF(Q914="","",Q914^2)</f>
        <v/>
      </c>
      <c r="Y914" s="22" t="str">
        <f aca="false">IF(AND(C914&lt;&gt;"",C914=CERTIFICADO!$E$4,OR(CERTIFICADO!$E$5="",B914=CERTIFICADO!$E$5)),MAX($Y$4:Y913)+1,"")</f>
        <v/>
      </c>
    </row>
    <row r="915" customFormat="false" ht="15" hidden="false" customHeight="false" outlineLevel="0" collapsed="false">
      <c r="A915" s="11" t="str">
        <f aca="false">IF(C915="","",ROW()-4)</f>
        <v/>
      </c>
      <c r="B915" s="12"/>
      <c r="C915" s="13"/>
      <c r="D915" s="23" t="str">
        <f aca="false">IF(C915="","",IFERROR(INDEX(LOTES!$D$5:$D$1004,MATCH(C915,LOTES!$F$5:$F$1004,0)),"¿Lote?"))</f>
        <v/>
      </c>
      <c r="E915" s="11" t="str">
        <f aca="false">IF(C915="","",IFERROR(INDEX(LOTES!$C$5:$C$1004,MATCH(C915,LOTES!$F$5:$F$1004,0)),""))</f>
        <v/>
      </c>
      <c r="F915" s="24" t="str">
        <f aca="false">IF(C915="","",IFERROR(INDEX(LOTES!$B$5:$B$1004,MATCH(C915,LOTES!$F$5:$F$1004,0)),""))</f>
        <v/>
      </c>
      <c r="G915" s="15" t="str">
        <f aca="false">IF(OR(B915="",F915=""),"",B915-F915)</f>
        <v/>
      </c>
      <c r="H915" s="13"/>
      <c r="I915" s="13"/>
      <c r="J915" s="13"/>
      <c r="K915" s="25"/>
      <c r="L915" s="25"/>
      <c r="M915" s="25"/>
      <c r="N915" s="25"/>
      <c r="O915" s="26"/>
      <c r="P915" s="16" t="str">
        <f aca="false">IF(O915="","",IFERROR(1/(1/(IF(K915="",INDEX(CONFIG!$F$5:$F$14,MATCH(D915,CONFIG!$D$5:$D$14,0)),K915)*IF(M915="",INDEX(CONFIG!$H$5:$H$14,MATCH(D915,CONFIG!$D$5:$D$14,0)),M915))),""))</f>
        <v/>
      </c>
      <c r="Q915" s="16" t="str">
        <f aca="false">IF(OR(O915="",P915=""),"",O915/P915)</f>
        <v/>
      </c>
      <c r="R915" s="16" t="str">
        <f aca="false">IF(Q915="","",Q915*0.0980665)</f>
        <v/>
      </c>
      <c r="S915" s="16" t="str">
        <f aca="false">IF(Q915="","",IFERROR(Q915/(1/(1/INDEX(CONFIG!$I$5:$I$14,MATCH(D915,CONFIG!$D$5:$D$14,0)))),""))</f>
        <v/>
      </c>
      <c r="T915" s="13"/>
      <c r="U915" s="13"/>
      <c r="V915" s="13"/>
      <c r="W915" s="13"/>
      <c r="X915" s="22" t="str">
        <f aca="false">IF(Q915="","",Q915^2)</f>
        <v/>
      </c>
      <c r="Y915" s="22" t="str">
        <f aca="false">IF(AND(C915&lt;&gt;"",C915=CERTIFICADO!$E$4,OR(CERTIFICADO!$E$5="",B915=CERTIFICADO!$E$5)),MAX($Y$4:Y914)+1,"")</f>
        <v/>
      </c>
    </row>
    <row r="916" customFormat="false" ht="15" hidden="false" customHeight="false" outlineLevel="0" collapsed="false">
      <c r="A916" s="11" t="str">
        <f aca="false">IF(C916="","",ROW()-4)</f>
        <v/>
      </c>
      <c r="B916" s="12"/>
      <c r="C916" s="13"/>
      <c r="D916" s="23" t="str">
        <f aca="false">IF(C916="","",IFERROR(INDEX(LOTES!$D$5:$D$1004,MATCH(C916,LOTES!$F$5:$F$1004,0)),"¿Lote?"))</f>
        <v/>
      </c>
      <c r="E916" s="11" t="str">
        <f aca="false">IF(C916="","",IFERROR(INDEX(LOTES!$C$5:$C$1004,MATCH(C916,LOTES!$F$5:$F$1004,0)),""))</f>
        <v/>
      </c>
      <c r="F916" s="24" t="str">
        <f aca="false">IF(C916="","",IFERROR(INDEX(LOTES!$B$5:$B$1004,MATCH(C916,LOTES!$F$5:$F$1004,0)),""))</f>
        <v/>
      </c>
      <c r="G916" s="15" t="str">
        <f aca="false">IF(OR(B916="",F916=""),"",B916-F916)</f>
        <v/>
      </c>
      <c r="H916" s="13"/>
      <c r="I916" s="13"/>
      <c r="J916" s="13"/>
      <c r="K916" s="25"/>
      <c r="L916" s="25"/>
      <c r="M916" s="25"/>
      <c r="N916" s="25"/>
      <c r="O916" s="26"/>
      <c r="P916" s="16" t="str">
        <f aca="false">IF(O916="","",IFERROR(1/(1/(IF(K916="",INDEX(CONFIG!$F$5:$F$14,MATCH(D916,CONFIG!$D$5:$D$14,0)),K916)*IF(M916="",INDEX(CONFIG!$H$5:$H$14,MATCH(D916,CONFIG!$D$5:$D$14,0)),M916))),""))</f>
        <v/>
      </c>
      <c r="Q916" s="16" t="str">
        <f aca="false">IF(OR(O916="",P916=""),"",O916/P916)</f>
        <v/>
      </c>
      <c r="R916" s="16" t="str">
        <f aca="false">IF(Q916="","",Q916*0.0980665)</f>
        <v/>
      </c>
      <c r="S916" s="16" t="str">
        <f aca="false">IF(Q916="","",IFERROR(Q916/(1/(1/INDEX(CONFIG!$I$5:$I$14,MATCH(D916,CONFIG!$D$5:$D$14,0)))),""))</f>
        <v/>
      </c>
      <c r="T916" s="13"/>
      <c r="U916" s="13"/>
      <c r="V916" s="13"/>
      <c r="W916" s="13"/>
      <c r="X916" s="22" t="str">
        <f aca="false">IF(Q916="","",Q916^2)</f>
        <v/>
      </c>
      <c r="Y916" s="22" t="str">
        <f aca="false">IF(AND(C916&lt;&gt;"",C916=CERTIFICADO!$E$4,OR(CERTIFICADO!$E$5="",B916=CERTIFICADO!$E$5)),MAX($Y$4:Y915)+1,"")</f>
        <v/>
      </c>
    </row>
    <row r="917" customFormat="false" ht="15" hidden="false" customHeight="false" outlineLevel="0" collapsed="false">
      <c r="A917" s="11" t="str">
        <f aca="false">IF(C917="","",ROW()-4)</f>
        <v/>
      </c>
      <c r="B917" s="12"/>
      <c r="C917" s="13"/>
      <c r="D917" s="23" t="str">
        <f aca="false">IF(C917="","",IFERROR(INDEX(LOTES!$D$5:$D$1004,MATCH(C917,LOTES!$F$5:$F$1004,0)),"¿Lote?"))</f>
        <v/>
      </c>
      <c r="E917" s="11" t="str">
        <f aca="false">IF(C917="","",IFERROR(INDEX(LOTES!$C$5:$C$1004,MATCH(C917,LOTES!$F$5:$F$1004,0)),""))</f>
        <v/>
      </c>
      <c r="F917" s="24" t="str">
        <f aca="false">IF(C917="","",IFERROR(INDEX(LOTES!$B$5:$B$1004,MATCH(C917,LOTES!$F$5:$F$1004,0)),""))</f>
        <v/>
      </c>
      <c r="G917" s="15" t="str">
        <f aca="false">IF(OR(B917="",F917=""),"",B917-F917)</f>
        <v/>
      </c>
      <c r="H917" s="13"/>
      <c r="I917" s="13"/>
      <c r="J917" s="13"/>
      <c r="K917" s="25"/>
      <c r="L917" s="25"/>
      <c r="M917" s="25"/>
      <c r="N917" s="25"/>
      <c r="O917" s="26"/>
      <c r="P917" s="16" t="str">
        <f aca="false">IF(O917="","",IFERROR(1/(1/(IF(K917="",INDEX(CONFIG!$F$5:$F$14,MATCH(D917,CONFIG!$D$5:$D$14,0)),K917)*IF(M917="",INDEX(CONFIG!$H$5:$H$14,MATCH(D917,CONFIG!$D$5:$D$14,0)),M917))),""))</f>
        <v/>
      </c>
      <c r="Q917" s="16" t="str">
        <f aca="false">IF(OR(O917="",P917=""),"",O917/P917)</f>
        <v/>
      </c>
      <c r="R917" s="16" t="str">
        <f aca="false">IF(Q917="","",Q917*0.0980665)</f>
        <v/>
      </c>
      <c r="S917" s="16" t="str">
        <f aca="false">IF(Q917="","",IFERROR(Q917/(1/(1/INDEX(CONFIG!$I$5:$I$14,MATCH(D917,CONFIG!$D$5:$D$14,0)))),""))</f>
        <v/>
      </c>
      <c r="T917" s="13"/>
      <c r="U917" s="13"/>
      <c r="V917" s="13"/>
      <c r="W917" s="13"/>
      <c r="X917" s="22" t="str">
        <f aca="false">IF(Q917="","",Q917^2)</f>
        <v/>
      </c>
      <c r="Y917" s="22" t="str">
        <f aca="false">IF(AND(C917&lt;&gt;"",C917=CERTIFICADO!$E$4,OR(CERTIFICADO!$E$5="",B917=CERTIFICADO!$E$5)),MAX($Y$4:Y916)+1,"")</f>
        <v/>
      </c>
    </row>
    <row r="918" customFormat="false" ht="15" hidden="false" customHeight="false" outlineLevel="0" collapsed="false">
      <c r="A918" s="11" t="str">
        <f aca="false">IF(C918="","",ROW()-4)</f>
        <v/>
      </c>
      <c r="B918" s="12"/>
      <c r="C918" s="13"/>
      <c r="D918" s="23" t="str">
        <f aca="false">IF(C918="","",IFERROR(INDEX(LOTES!$D$5:$D$1004,MATCH(C918,LOTES!$F$5:$F$1004,0)),"¿Lote?"))</f>
        <v/>
      </c>
      <c r="E918" s="11" t="str">
        <f aca="false">IF(C918="","",IFERROR(INDEX(LOTES!$C$5:$C$1004,MATCH(C918,LOTES!$F$5:$F$1004,0)),""))</f>
        <v/>
      </c>
      <c r="F918" s="24" t="str">
        <f aca="false">IF(C918="","",IFERROR(INDEX(LOTES!$B$5:$B$1004,MATCH(C918,LOTES!$F$5:$F$1004,0)),""))</f>
        <v/>
      </c>
      <c r="G918" s="15" t="str">
        <f aca="false">IF(OR(B918="",F918=""),"",B918-F918)</f>
        <v/>
      </c>
      <c r="H918" s="13"/>
      <c r="I918" s="13"/>
      <c r="J918" s="13"/>
      <c r="K918" s="25"/>
      <c r="L918" s="25"/>
      <c r="M918" s="25"/>
      <c r="N918" s="25"/>
      <c r="O918" s="26"/>
      <c r="P918" s="16" t="str">
        <f aca="false">IF(O918="","",IFERROR(1/(1/(IF(K918="",INDEX(CONFIG!$F$5:$F$14,MATCH(D918,CONFIG!$D$5:$D$14,0)),K918)*IF(M918="",INDEX(CONFIG!$H$5:$H$14,MATCH(D918,CONFIG!$D$5:$D$14,0)),M918))),""))</f>
        <v/>
      </c>
      <c r="Q918" s="16" t="str">
        <f aca="false">IF(OR(O918="",P918=""),"",O918/P918)</f>
        <v/>
      </c>
      <c r="R918" s="16" t="str">
        <f aca="false">IF(Q918="","",Q918*0.0980665)</f>
        <v/>
      </c>
      <c r="S918" s="16" t="str">
        <f aca="false">IF(Q918="","",IFERROR(Q918/(1/(1/INDEX(CONFIG!$I$5:$I$14,MATCH(D918,CONFIG!$D$5:$D$14,0)))),""))</f>
        <v/>
      </c>
      <c r="T918" s="13"/>
      <c r="U918" s="13"/>
      <c r="V918" s="13"/>
      <c r="W918" s="13"/>
      <c r="X918" s="22" t="str">
        <f aca="false">IF(Q918="","",Q918^2)</f>
        <v/>
      </c>
      <c r="Y918" s="22" t="str">
        <f aca="false">IF(AND(C918&lt;&gt;"",C918=CERTIFICADO!$E$4,OR(CERTIFICADO!$E$5="",B918=CERTIFICADO!$E$5)),MAX($Y$4:Y917)+1,"")</f>
        <v/>
      </c>
    </row>
    <row r="919" customFormat="false" ht="15" hidden="false" customHeight="false" outlineLevel="0" collapsed="false">
      <c r="A919" s="11" t="str">
        <f aca="false">IF(C919="","",ROW()-4)</f>
        <v/>
      </c>
      <c r="B919" s="12"/>
      <c r="C919" s="13"/>
      <c r="D919" s="23" t="str">
        <f aca="false">IF(C919="","",IFERROR(INDEX(LOTES!$D$5:$D$1004,MATCH(C919,LOTES!$F$5:$F$1004,0)),"¿Lote?"))</f>
        <v/>
      </c>
      <c r="E919" s="11" t="str">
        <f aca="false">IF(C919="","",IFERROR(INDEX(LOTES!$C$5:$C$1004,MATCH(C919,LOTES!$F$5:$F$1004,0)),""))</f>
        <v/>
      </c>
      <c r="F919" s="24" t="str">
        <f aca="false">IF(C919="","",IFERROR(INDEX(LOTES!$B$5:$B$1004,MATCH(C919,LOTES!$F$5:$F$1004,0)),""))</f>
        <v/>
      </c>
      <c r="G919" s="15" t="str">
        <f aca="false">IF(OR(B919="",F919=""),"",B919-F919)</f>
        <v/>
      </c>
      <c r="H919" s="13"/>
      <c r="I919" s="13"/>
      <c r="J919" s="13"/>
      <c r="K919" s="25"/>
      <c r="L919" s="25"/>
      <c r="M919" s="25"/>
      <c r="N919" s="25"/>
      <c r="O919" s="26"/>
      <c r="P919" s="16" t="str">
        <f aca="false">IF(O919="","",IFERROR(1/(1/(IF(K919="",INDEX(CONFIG!$F$5:$F$14,MATCH(D919,CONFIG!$D$5:$D$14,0)),K919)*IF(M919="",INDEX(CONFIG!$H$5:$H$14,MATCH(D919,CONFIG!$D$5:$D$14,0)),M919))),""))</f>
        <v/>
      </c>
      <c r="Q919" s="16" t="str">
        <f aca="false">IF(OR(O919="",P919=""),"",O919/P919)</f>
        <v/>
      </c>
      <c r="R919" s="16" t="str">
        <f aca="false">IF(Q919="","",Q919*0.0980665)</f>
        <v/>
      </c>
      <c r="S919" s="16" t="str">
        <f aca="false">IF(Q919="","",IFERROR(Q919/(1/(1/INDEX(CONFIG!$I$5:$I$14,MATCH(D919,CONFIG!$D$5:$D$14,0)))),""))</f>
        <v/>
      </c>
      <c r="T919" s="13"/>
      <c r="U919" s="13"/>
      <c r="V919" s="13"/>
      <c r="W919" s="13"/>
      <c r="X919" s="22" t="str">
        <f aca="false">IF(Q919="","",Q919^2)</f>
        <v/>
      </c>
      <c r="Y919" s="22" t="str">
        <f aca="false">IF(AND(C919&lt;&gt;"",C919=CERTIFICADO!$E$4,OR(CERTIFICADO!$E$5="",B919=CERTIFICADO!$E$5)),MAX($Y$4:Y918)+1,"")</f>
        <v/>
      </c>
    </row>
    <row r="920" customFormat="false" ht="15" hidden="false" customHeight="false" outlineLevel="0" collapsed="false">
      <c r="A920" s="11" t="str">
        <f aca="false">IF(C920="","",ROW()-4)</f>
        <v/>
      </c>
      <c r="B920" s="12"/>
      <c r="C920" s="13"/>
      <c r="D920" s="23" t="str">
        <f aca="false">IF(C920="","",IFERROR(INDEX(LOTES!$D$5:$D$1004,MATCH(C920,LOTES!$F$5:$F$1004,0)),"¿Lote?"))</f>
        <v/>
      </c>
      <c r="E920" s="11" t="str">
        <f aca="false">IF(C920="","",IFERROR(INDEX(LOTES!$C$5:$C$1004,MATCH(C920,LOTES!$F$5:$F$1004,0)),""))</f>
        <v/>
      </c>
      <c r="F920" s="24" t="str">
        <f aca="false">IF(C920="","",IFERROR(INDEX(LOTES!$B$5:$B$1004,MATCH(C920,LOTES!$F$5:$F$1004,0)),""))</f>
        <v/>
      </c>
      <c r="G920" s="15" t="str">
        <f aca="false">IF(OR(B920="",F920=""),"",B920-F920)</f>
        <v/>
      </c>
      <c r="H920" s="13"/>
      <c r="I920" s="13"/>
      <c r="J920" s="13"/>
      <c r="K920" s="25"/>
      <c r="L920" s="25"/>
      <c r="M920" s="25"/>
      <c r="N920" s="25"/>
      <c r="O920" s="26"/>
      <c r="P920" s="16" t="str">
        <f aca="false">IF(O920="","",IFERROR(1/(1/(IF(K920="",INDEX(CONFIG!$F$5:$F$14,MATCH(D920,CONFIG!$D$5:$D$14,0)),K920)*IF(M920="",INDEX(CONFIG!$H$5:$H$14,MATCH(D920,CONFIG!$D$5:$D$14,0)),M920))),""))</f>
        <v/>
      </c>
      <c r="Q920" s="16" t="str">
        <f aca="false">IF(OR(O920="",P920=""),"",O920/P920)</f>
        <v/>
      </c>
      <c r="R920" s="16" t="str">
        <f aca="false">IF(Q920="","",Q920*0.0980665)</f>
        <v/>
      </c>
      <c r="S920" s="16" t="str">
        <f aca="false">IF(Q920="","",IFERROR(Q920/(1/(1/INDEX(CONFIG!$I$5:$I$14,MATCH(D920,CONFIG!$D$5:$D$14,0)))),""))</f>
        <v/>
      </c>
      <c r="T920" s="13"/>
      <c r="U920" s="13"/>
      <c r="V920" s="13"/>
      <c r="W920" s="13"/>
      <c r="X920" s="22" t="str">
        <f aca="false">IF(Q920="","",Q920^2)</f>
        <v/>
      </c>
      <c r="Y920" s="22" t="str">
        <f aca="false">IF(AND(C920&lt;&gt;"",C920=CERTIFICADO!$E$4,OR(CERTIFICADO!$E$5="",B920=CERTIFICADO!$E$5)),MAX($Y$4:Y919)+1,"")</f>
        <v/>
      </c>
    </row>
    <row r="921" customFormat="false" ht="15" hidden="false" customHeight="false" outlineLevel="0" collapsed="false">
      <c r="A921" s="11" t="str">
        <f aca="false">IF(C921="","",ROW()-4)</f>
        <v/>
      </c>
      <c r="B921" s="12"/>
      <c r="C921" s="13"/>
      <c r="D921" s="23" t="str">
        <f aca="false">IF(C921="","",IFERROR(INDEX(LOTES!$D$5:$D$1004,MATCH(C921,LOTES!$F$5:$F$1004,0)),"¿Lote?"))</f>
        <v/>
      </c>
      <c r="E921" s="11" t="str">
        <f aca="false">IF(C921="","",IFERROR(INDEX(LOTES!$C$5:$C$1004,MATCH(C921,LOTES!$F$5:$F$1004,0)),""))</f>
        <v/>
      </c>
      <c r="F921" s="24" t="str">
        <f aca="false">IF(C921="","",IFERROR(INDEX(LOTES!$B$5:$B$1004,MATCH(C921,LOTES!$F$5:$F$1004,0)),""))</f>
        <v/>
      </c>
      <c r="G921" s="15" t="str">
        <f aca="false">IF(OR(B921="",F921=""),"",B921-F921)</f>
        <v/>
      </c>
      <c r="H921" s="13"/>
      <c r="I921" s="13"/>
      <c r="J921" s="13"/>
      <c r="K921" s="25"/>
      <c r="L921" s="25"/>
      <c r="M921" s="25"/>
      <c r="N921" s="25"/>
      <c r="O921" s="26"/>
      <c r="P921" s="16" t="str">
        <f aca="false">IF(O921="","",IFERROR(1/(1/(IF(K921="",INDEX(CONFIG!$F$5:$F$14,MATCH(D921,CONFIG!$D$5:$D$14,0)),K921)*IF(M921="",INDEX(CONFIG!$H$5:$H$14,MATCH(D921,CONFIG!$D$5:$D$14,0)),M921))),""))</f>
        <v/>
      </c>
      <c r="Q921" s="16" t="str">
        <f aca="false">IF(OR(O921="",P921=""),"",O921/P921)</f>
        <v/>
      </c>
      <c r="R921" s="16" t="str">
        <f aca="false">IF(Q921="","",Q921*0.0980665)</f>
        <v/>
      </c>
      <c r="S921" s="16" t="str">
        <f aca="false">IF(Q921="","",IFERROR(Q921/(1/(1/INDEX(CONFIG!$I$5:$I$14,MATCH(D921,CONFIG!$D$5:$D$14,0)))),""))</f>
        <v/>
      </c>
      <c r="T921" s="13"/>
      <c r="U921" s="13"/>
      <c r="V921" s="13"/>
      <c r="W921" s="13"/>
      <c r="X921" s="22" t="str">
        <f aca="false">IF(Q921="","",Q921^2)</f>
        <v/>
      </c>
      <c r="Y921" s="22" t="str">
        <f aca="false">IF(AND(C921&lt;&gt;"",C921=CERTIFICADO!$E$4,OR(CERTIFICADO!$E$5="",B921=CERTIFICADO!$E$5)),MAX($Y$4:Y920)+1,"")</f>
        <v/>
      </c>
    </row>
    <row r="922" customFormat="false" ht="15" hidden="false" customHeight="false" outlineLevel="0" collapsed="false">
      <c r="A922" s="11" t="str">
        <f aca="false">IF(C922="","",ROW()-4)</f>
        <v/>
      </c>
      <c r="B922" s="12"/>
      <c r="C922" s="13"/>
      <c r="D922" s="23" t="str">
        <f aca="false">IF(C922="","",IFERROR(INDEX(LOTES!$D$5:$D$1004,MATCH(C922,LOTES!$F$5:$F$1004,0)),"¿Lote?"))</f>
        <v/>
      </c>
      <c r="E922" s="11" t="str">
        <f aca="false">IF(C922="","",IFERROR(INDEX(LOTES!$C$5:$C$1004,MATCH(C922,LOTES!$F$5:$F$1004,0)),""))</f>
        <v/>
      </c>
      <c r="F922" s="24" t="str">
        <f aca="false">IF(C922="","",IFERROR(INDEX(LOTES!$B$5:$B$1004,MATCH(C922,LOTES!$F$5:$F$1004,0)),""))</f>
        <v/>
      </c>
      <c r="G922" s="15" t="str">
        <f aca="false">IF(OR(B922="",F922=""),"",B922-F922)</f>
        <v/>
      </c>
      <c r="H922" s="13"/>
      <c r="I922" s="13"/>
      <c r="J922" s="13"/>
      <c r="K922" s="25"/>
      <c r="L922" s="25"/>
      <c r="M922" s="25"/>
      <c r="N922" s="25"/>
      <c r="O922" s="26"/>
      <c r="P922" s="16" t="str">
        <f aca="false">IF(O922="","",IFERROR(1/(1/(IF(K922="",INDEX(CONFIG!$F$5:$F$14,MATCH(D922,CONFIG!$D$5:$D$14,0)),K922)*IF(M922="",INDEX(CONFIG!$H$5:$H$14,MATCH(D922,CONFIG!$D$5:$D$14,0)),M922))),""))</f>
        <v/>
      </c>
      <c r="Q922" s="16" t="str">
        <f aca="false">IF(OR(O922="",P922=""),"",O922/P922)</f>
        <v/>
      </c>
      <c r="R922" s="16" t="str">
        <f aca="false">IF(Q922="","",Q922*0.0980665)</f>
        <v/>
      </c>
      <c r="S922" s="16" t="str">
        <f aca="false">IF(Q922="","",IFERROR(Q922/(1/(1/INDEX(CONFIG!$I$5:$I$14,MATCH(D922,CONFIG!$D$5:$D$14,0)))),""))</f>
        <v/>
      </c>
      <c r="T922" s="13"/>
      <c r="U922" s="13"/>
      <c r="V922" s="13"/>
      <c r="W922" s="13"/>
      <c r="X922" s="22" t="str">
        <f aca="false">IF(Q922="","",Q922^2)</f>
        <v/>
      </c>
      <c r="Y922" s="22" t="str">
        <f aca="false">IF(AND(C922&lt;&gt;"",C922=CERTIFICADO!$E$4,OR(CERTIFICADO!$E$5="",B922=CERTIFICADO!$E$5)),MAX($Y$4:Y921)+1,"")</f>
        <v/>
      </c>
    </row>
    <row r="923" customFormat="false" ht="15" hidden="false" customHeight="false" outlineLevel="0" collapsed="false">
      <c r="A923" s="11" t="str">
        <f aca="false">IF(C923="","",ROW()-4)</f>
        <v/>
      </c>
      <c r="B923" s="12"/>
      <c r="C923" s="13"/>
      <c r="D923" s="23" t="str">
        <f aca="false">IF(C923="","",IFERROR(INDEX(LOTES!$D$5:$D$1004,MATCH(C923,LOTES!$F$5:$F$1004,0)),"¿Lote?"))</f>
        <v/>
      </c>
      <c r="E923" s="11" t="str">
        <f aca="false">IF(C923="","",IFERROR(INDEX(LOTES!$C$5:$C$1004,MATCH(C923,LOTES!$F$5:$F$1004,0)),""))</f>
        <v/>
      </c>
      <c r="F923" s="24" t="str">
        <f aca="false">IF(C923="","",IFERROR(INDEX(LOTES!$B$5:$B$1004,MATCH(C923,LOTES!$F$5:$F$1004,0)),""))</f>
        <v/>
      </c>
      <c r="G923" s="15" t="str">
        <f aca="false">IF(OR(B923="",F923=""),"",B923-F923)</f>
        <v/>
      </c>
      <c r="H923" s="13"/>
      <c r="I923" s="13"/>
      <c r="J923" s="13"/>
      <c r="K923" s="25"/>
      <c r="L923" s="25"/>
      <c r="M923" s="25"/>
      <c r="N923" s="25"/>
      <c r="O923" s="26"/>
      <c r="P923" s="16" t="str">
        <f aca="false">IF(O923="","",IFERROR(1/(1/(IF(K923="",INDEX(CONFIG!$F$5:$F$14,MATCH(D923,CONFIG!$D$5:$D$14,0)),K923)*IF(M923="",INDEX(CONFIG!$H$5:$H$14,MATCH(D923,CONFIG!$D$5:$D$14,0)),M923))),""))</f>
        <v/>
      </c>
      <c r="Q923" s="16" t="str">
        <f aca="false">IF(OR(O923="",P923=""),"",O923/P923)</f>
        <v/>
      </c>
      <c r="R923" s="16" t="str">
        <f aca="false">IF(Q923="","",Q923*0.0980665)</f>
        <v/>
      </c>
      <c r="S923" s="16" t="str">
        <f aca="false">IF(Q923="","",IFERROR(Q923/(1/(1/INDEX(CONFIG!$I$5:$I$14,MATCH(D923,CONFIG!$D$5:$D$14,0)))),""))</f>
        <v/>
      </c>
      <c r="T923" s="13"/>
      <c r="U923" s="13"/>
      <c r="V923" s="13"/>
      <c r="W923" s="13"/>
      <c r="X923" s="22" t="str">
        <f aca="false">IF(Q923="","",Q923^2)</f>
        <v/>
      </c>
      <c r="Y923" s="22" t="str">
        <f aca="false">IF(AND(C923&lt;&gt;"",C923=CERTIFICADO!$E$4,OR(CERTIFICADO!$E$5="",B923=CERTIFICADO!$E$5)),MAX($Y$4:Y922)+1,"")</f>
        <v/>
      </c>
    </row>
    <row r="924" customFormat="false" ht="15" hidden="false" customHeight="false" outlineLevel="0" collapsed="false">
      <c r="A924" s="11" t="str">
        <f aca="false">IF(C924="","",ROW()-4)</f>
        <v/>
      </c>
      <c r="B924" s="12"/>
      <c r="C924" s="13"/>
      <c r="D924" s="23" t="str">
        <f aca="false">IF(C924="","",IFERROR(INDEX(LOTES!$D$5:$D$1004,MATCH(C924,LOTES!$F$5:$F$1004,0)),"¿Lote?"))</f>
        <v/>
      </c>
      <c r="E924" s="11" t="str">
        <f aca="false">IF(C924="","",IFERROR(INDEX(LOTES!$C$5:$C$1004,MATCH(C924,LOTES!$F$5:$F$1004,0)),""))</f>
        <v/>
      </c>
      <c r="F924" s="24" t="str">
        <f aca="false">IF(C924="","",IFERROR(INDEX(LOTES!$B$5:$B$1004,MATCH(C924,LOTES!$F$5:$F$1004,0)),""))</f>
        <v/>
      </c>
      <c r="G924" s="15" t="str">
        <f aca="false">IF(OR(B924="",F924=""),"",B924-F924)</f>
        <v/>
      </c>
      <c r="H924" s="13"/>
      <c r="I924" s="13"/>
      <c r="J924" s="13"/>
      <c r="K924" s="25"/>
      <c r="L924" s="25"/>
      <c r="M924" s="25"/>
      <c r="N924" s="25"/>
      <c r="O924" s="26"/>
      <c r="P924" s="16" t="str">
        <f aca="false">IF(O924="","",IFERROR(1/(1/(IF(K924="",INDEX(CONFIG!$F$5:$F$14,MATCH(D924,CONFIG!$D$5:$D$14,0)),K924)*IF(M924="",INDEX(CONFIG!$H$5:$H$14,MATCH(D924,CONFIG!$D$5:$D$14,0)),M924))),""))</f>
        <v/>
      </c>
      <c r="Q924" s="16" t="str">
        <f aca="false">IF(OR(O924="",P924=""),"",O924/P924)</f>
        <v/>
      </c>
      <c r="R924" s="16" t="str">
        <f aca="false">IF(Q924="","",Q924*0.0980665)</f>
        <v/>
      </c>
      <c r="S924" s="16" t="str">
        <f aca="false">IF(Q924="","",IFERROR(Q924/(1/(1/INDEX(CONFIG!$I$5:$I$14,MATCH(D924,CONFIG!$D$5:$D$14,0)))),""))</f>
        <v/>
      </c>
      <c r="T924" s="13"/>
      <c r="U924" s="13"/>
      <c r="V924" s="13"/>
      <c r="W924" s="13"/>
      <c r="X924" s="22" t="str">
        <f aca="false">IF(Q924="","",Q924^2)</f>
        <v/>
      </c>
      <c r="Y924" s="22" t="str">
        <f aca="false">IF(AND(C924&lt;&gt;"",C924=CERTIFICADO!$E$4,OR(CERTIFICADO!$E$5="",B924=CERTIFICADO!$E$5)),MAX($Y$4:Y923)+1,"")</f>
        <v/>
      </c>
    </row>
    <row r="925" customFormat="false" ht="15" hidden="false" customHeight="false" outlineLevel="0" collapsed="false">
      <c r="A925" s="11" t="str">
        <f aca="false">IF(C925="","",ROW()-4)</f>
        <v/>
      </c>
      <c r="B925" s="12"/>
      <c r="C925" s="13"/>
      <c r="D925" s="23" t="str">
        <f aca="false">IF(C925="","",IFERROR(INDEX(LOTES!$D$5:$D$1004,MATCH(C925,LOTES!$F$5:$F$1004,0)),"¿Lote?"))</f>
        <v/>
      </c>
      <c r="E925" s="11" t="str">
        <f aca="false">IF(C925="","",IFERROR(INDEX(LOTES!$C$5:$C$1004,MATCH(C925,LOTES!$F$5:$F$1004,0)),""))</f>
        <v/>
      </c>
      <c r="F925" s="24" t="str">
        <f aca="false">IF(C925="","",IFERROR(INDEX(LOTES!$B$5:$B$1004,MATCH(C925,LOTES!$F$5:$F$1004,0)),""))</f>
        <v/>
      </c>
      <c r="G925" s="15" t="str">
        <f aca="false">IF(OR(B925="",F925=""),"",B925-F925)</f>
        <v/>
      </c>
      <c r="H925" s="13"/>
      <c r="I925" s="13"/>
      <c r="J925" s="13"/>
      <c r="K925" s="25"/>
      <c r="L925" s="25"/>
      <c r="M925" s="25"/>
      <c r="N925" s="25"/>
      <c r="O925" s="26"/>
      <c r="P925" s="16" t="str">
        <f aca="false">IF(O925="","",IFERROR(1/(1/(IF(K925="",INDEX(CONFIG!$F$5:$F$14,MATCH(D925,CONFIG!$D$5:$D$14,0)),K925)*IF(M925="",INDEX(CONFIG!$H$5:$H$14,MATCH(D925,CONFIG!$D$5:$D$14,0)),M925))),""))</f>
        <v/>
      </c>
      <c r="Q925" s="16" t="str">
        <f aca="false">IF(OR(O925="",P925=""),"",O925/P925)</f>
        <v/>
      </c>
      <c r="R925" s="16" t="str">
        <f aca="false">IF(Q925="","",Q925*0.0980665)</f>
        <v/>
      </c>
      <c r="S925" s="16" t="str">
        <f aca="false">IF(Q925="","",IFERROR(Q925/(1/(1/INDEX(CONFIG!$I$5:$I$14,MATCH(D925,CONFIG!$D$5:$D$14,0)))),""))</f>
        <v/>
      </c>
      <c r="T925" s="13"/>
      <c r="U925" s="13"/>
      <c r="V925" s="13"/>
      <c r="W925" s="13"/>
      <c r="X925" s="22" t="str">
        <f aca="false">IF(Q925="","",Q925^2)</f>
        <v/>
      </c>
      <c r="Y925" s="22" t="str">
        <f aca="false">IF(AND(C925&lt;&gt;"",C925=CERTIFICADO!$E$4,OR(CERTIFICADO!$E$5="",B925=CERTIFICADO!$E$5)),MAX($Y$4:Y924)+1,"")</f>
        <v/>
      </c>
    </row>
    <row r="926" customFormat="false" ht="15" hidden="false" customHeight="false" outlineLevel="0" collapsed="false">
      <c r="A926" s="11" t="str">
        <f aca="false">IF(C926="","",ROW()-4)</f>
        <v/>
      </c>
      <c r="B926" s="12"/>
      <c r="C926" s="13"/>
      <c r="D926" s="23" t="str">
        <f aca="false">IF(C926="","",IFERROR(INDEX(LOTES!$D$5:$D$1004,MATCH(C926,LOTES!$F$5:$F$1004,0)),"¿Lote?"))</f>
        <v/>
      </c>
      <c r="E926" s="11" t="str">
        <f aca="false">IF(C926="","",IFERROR(INDEX(LOTES!$C$5:$C$1004,MATCH(C926,LOTES!$F$5:$F$1004,0)),""))</f>
        <v/>
      </c>
      <c r="F926" s="24" t="str">
        <f aca="false">IF(C926="","",IFERROR(INDEX(LOTES!$B$5:$B$1004,MATCH(C926,LOTES!$F$5:$F$1004,0)),""))</f>
        <v/>
      </c>
      <c r="G926" s="15" t="str">
        <f aca="false">IF(OR(B926="",F926=""),"",B926-F926)</f>
        <v/>
      </c>
      <c r="H926" s="13"/>
      <c r="I926" s="13"/>
      <c r="J926" s="13"/>
      <c r="K926" s="25"/>
      <c r="L926" s="25"/>
      <c r="M926" s="25"/>
      <c r="N926" s="25"/>
      <c r="O926" s="26"/>
      <c r="P926" s="16" t="str">
        <f aca="false">IF(O926="","",IFERROR(1/(1/(IF(K926="",INDEX(CONFIG!$F$5:$F$14,MATCH(D926,CONFIG!$D$5:$D$14,0)),K926)*IF(M926="",INDEX(CONFIG!$H$5:$H$14,MATCH(D926,CONFIG!$D$5:$D$14,0)),M926))),""))</f>
        <v/>
      </c>
      <c r="Q926" s="16" t="str">
        <f aca="false">IF(OR(O926="",P926=""),"",O926/P926)</f>
        <v/>
      </c>
      <c r="R926" s="16" t="str">
        <f aca="false">IF(Q926="","",Q926*0.0980665)</f>
        <v/>
      </c>
      <c r="S926" s="16" t="str">
        <f aca="false">IF(Q926="","",IFERROR(Q926/(1/(1/INDEX(CONFIG!$I$5:$I$14,MATCH(D926,CONFIG!$D$5:$D$14,0)))),""))</f>
        <v/>
      </c>
      <c r="T926" s="13"/>
      <c r="U926" s="13"/>
      <c r="V926" s="13"/>
      <c r="W926" s="13"/>
      <c r="X926" s="22" t="str">
        <f aca="false">IF(Q926="","",Q926^2)</f>
        <v/>
      </c>
      <c r="Y926" s="22" t="str">
        <f aca="false">IF(AND(C926&lt;&gt;"",C926=CERTIFICADO!$E$4,OR(CERTIFICADO!$E$5="",B926=CERTIFICADO!$E$5)),MAX($Y$4:Y925)+1,"")</f>
        <v/>
      </c>
    </row>
    <row r="927" customFormat="false" ht="15" hidden="false" customHeight="false" outlineLevel="0" collapsed="false">
      <c r="A927" s="11" t="str">
        <f aca="false">IF(C927="","",ROW()-4)</f>
        <v/>
      </c>
      <c r="B927" s="12"/>
      <c r="C927" s="13"/>
      <c r="D927" s="23" t="str">
        <f aca="false">IF(C927="","",IFERROR(INDEX(LOTES!$D$5:$D$1004,MATCH(C927,LOTES!$F$5:$F$1004,0)),"¿Lote?"))</f>
        <v/>
      </c>
      <c r="E927" s="11" t="str">
        <f aca="false">IF(C927="","",IFERROR(INDEX(LOTES!$C$5:$C$1004,MATCH(C927,LOTES!$F$5:$F$1004,0)),""))</f>
        <v/>
      </c>
      <c r="F927" s="24" t="str">
        <f aca="false">IF(C927="","",IFERROR(INDEX(LOTES!$B$5:$B$1004,MATCH(C927,LOTES!$F$5:$F$1004,0)),""))</f>
        <v/>
      </c>
      <c r="G927" s="15" t="str">
        <f aca="false">IF(OR(B927="",F927=""),"",B927-F927)</f>
        <v/>
      </c>
      <c r="H927" s="13"/>
      <c r="I927" s="13"/>
      <c r="J927" s="13"/>
      <c r="K927" s="25"/>
      <c r="L927" s="25"/>
      <c r="M927" s="25"/>
      <c r="N927" s="25"/>
      <c r="O927" s="26"/>
      <c r="P927" s="16" t="str">
        <f aca="false">IF(O927="","",IFERROR(1/(1/(IF(K927="",INDEX(CONFIG!$F$5:$F$14,MATCH(D927,CONFIG!$D$5:$D$14,0)),K927)*IF(M927="",INDEX(CONFIG!$H$5:$H$14,MATCH(D927,CONFIG!$D$5:$D$14,0)),M927))),""))</f>
        <v/>
      </c>
      <c r="Q927" s="16" t="str">
        <f aca="false">IF(OR(O927="",P927=""),"",O927/P927)</f>
        <v/>
      </c>
      <c r="R927" s="16" t="str">
        <f aca="false">IF(Q927="","",Q927*0.0980665)</f>
        <v/>
      </c>
      <c r="S927" s="16" t="str">
        <f aca="false">IF(Q927="","",IFERROR(Q927/(1/(1/INDEX(CONFIG!$I$5:$I$14,MATCH(D927,CONFIG!$D$5:$D$14,0)))),""))</f>
        <v/>
      </c>
      <c r="T927" s="13"/>
      <c r="U927" s="13"/>
      <c r="V927" s="13"/>
      <c r="W927" s="13"/>
      <c r="X927" s="22" t="str">
        <f aca="false">IF(Q927="","",Q927^2)</f>
        <v/>
      </c>
      <c r="Y927" s="22" t="str">
        <f aca="false">IF(AND(C927&lt;&gt;"",C927=CERTIFICADO!$E$4,OR(CERTIFICADO!$E$5="",B927=CERTIFICADO!$E$5)),MAX($Y$4:Y926)+1,"")</f>
        <v/>
      </c>
    </row>
    <row r="928" customFormat="false" ht="15" hidden="false" customHeight="false" outlineLevel="0" collapsed="false">
      <c r="A928" s="11" t="str">
        <f aca="false">IF(C928="","",ROW()-4)</f>
        <v/>
      </c>
      <c r="B928" s="12"/>
      <c r="C928" s="13"/>
      <c r="D928" s="23" t="str">
        <f aca="false">IF(C928="","",IFERROR(INDEX(LOTES!$D$5:$D$1004,MATCH(C928,LOTES!$F$5:$F$1004,0)),"¿Lote?"))</f>
        <v/>
      </c>
      <c r="E928" s="11" t="str">
        <f aca="false">IF(C928="","",IFERROR(INDEX(LOTES!$C$5:$C$1004,MATCH(C928,LOTES!$F$5:$F$1004,0)),""))</f>
        <v/>
      </c>
      <c r="F928" s="24" t="str">
        <f aca="false">IF(C928="","",IFERROR(INDEX(LOTES!$B$5:$B$1004,MATCH(C928,LOTES!$F$5:$F$1004,0)),""))</f>
        <v/>
      </c>
      <c r="G928" s="15" t="str">
        <f aca="false">IF(OR(B928="",F928=""),"",B928-F928)</f>
        <v/>
      </c>
      <c r="H928" s="13"/>
      <c r="I928" s="13"/>
      <c r="J928" s="13"/>
      <c r="K928" s="25"/>
      <c r="L928" s="25"/>
      <c r="M928" s="25"/>
      <c r="N928" s="25"/>
      <c r="O928" s="26"/>
      <c r="P928" s="16" t="str">
        <f aca="false">IF(O928="","",IFERROR(1/(1/(IF(K928="",INDEX(CONFIG!$F$5:$F$14,MATCH(D928,CONFIG!$D$5:$D$14,0)),K928)*IF(M928="",INDEX(CONFIG!$H$5:$H$14,MATCH(D928,CONFIG!$D$5:$D$14,0)),M928))),""))</f>
        <v/>
      </c>
      <c r="Q928" s="16" t="str">
        <f aca="false">IF(OR(O928="",P928=""),"",O928/P928)</f>
        <v/>
      </c>
      <c r="R928" s="16" t="str">
        <f aca="false">IF(Q928="","",Q928*0.0980665)</f>
        <v/>
      </c>
      <c r="S928" s="16" t="str">
        <f aca="false">IF(Q928="","",IFERROR(Q928/(1/(1/INDEX(CONFIG!$I$5:$I$14,MATCH(D928,CONFIG!$D$5:$D$14,0)))),""))</f>
        <v/>
      </c>
      <c r="T928" s="13"/>
      <c r="U928" s="13"/>
      <c r="V928" s="13"/>
      <c r="W928" s="13"/>
      <c r="X928" s="22" t="str">
        <f aca="false">IF(Q928="","",Q928^2)</f>
        <v/>
      </c>
      <c r="Y928" s="22" t="str">
        <f aca="false">IF(AND(C928&lt;&gt;"",C928=CERTIFICADO!$E$4,OR(CERTIFICADO!$E$5="",B928=CERTIFICADO!$E$5)),MAX($Y$4:Y927)+1,"")</f>
        <v/>
      </c>
    </row>
    <row r="929" customFormat="false" ht="15" hidden="false" customHeight="false" outlineLevel="0" collapsed="false">
      <c r="A929" s="11" t="str">
        <f aca="false">IF(C929="","",ROW()-4)</f>
        <v/>
      </c>
      <c r="B929" s="12"/>
      <c r="C929" s="13"/>
      <c r="D929" s="23" t="str">
        <f aca="false">IF(C929="","",IFERROR(INDEX(LOTES!$D$5:$D$1004,MATCH(C929,LOTES!$F$5:$F$1004,0)),"¿Lote?"))</f>
        <v/>
      </c>
      <c r="E929" s="11" t="str">
        <f aca="false">IF(C929="","",IFERROR(INDEX(LOTES!$C$5:$C$1004,MATCH(C929,LOTES!$F$5:$F$1004,0)),""))</f>
        <v/>
      </c>
      <c r="F929" s="24" t="str">
        <f aca="false">IF(C929="","",IFERROR(INDEX(LOTES!$B$5:$B$1004,MATCH(C929,LOTES!$F$5:$F$1004,0)),""))</f>
        <v/>
      </c>
      <c r="G929" s="15" t="str">
        <f aca="false">IF(OR(B929="",F929=""),"",B929-F929)</f>
        <v/>
      </c>
      <c r="H929" s="13"/>
      <c r="I929" s="13"/>
      <c r="J929" s="13"/>
      <c r="K929" s="25"/>
      <c r="L929" s="25"/>
      <c r="M929" s="25"/>
      <c r="N929" s="25"/>
      <c r="O929" s="26"/>
      <c r="P929" s="16" t="str">
        <f aca="false">IF(O929="","",IFERROR(1/(1/(IF(K929="",INDEX(CONFIG!$F$5:$F$14,MATCH(D929,CONFIG!$D$5:$D$14,0)),K929)*IF(M929="",INDEX(CONFIG!$H$5:$H$14,MATCH(D929,CONFIG!$D$5:$D$14,0)),M929))),""))</f>
        <v/>
      </c>
      <c r="Q929" s="16" t="str">
        <f aca="false">IF(OR(O929="",P929=""),"",O929/P929)</f>
        <v/>
      </c>
      <c r="R929" s="16" t="str">
        <f aca="false">IF(Q929="","",Q929*0.0980665)</f>
        <v/>
      </c>
      <c r="S929" s="16" t="str">
        <f aca="false">IF(Q929="","",IFERROR(Q929/(1/(1/INDEX(CONFIG!$I$5:$I$14,MATCH(D929,CONFIG!$D$5:$D$14,0)))),""))</f>
        <v/>
      </c>
      <c r="T929" s="13"/>
      <c r="U929" s="13"/>
      <c r="V929" s="13"/>
      <c r="W929" s="13"/>
      <c r="X929" s="22" t="str">
        <f aca="false">IF(Q929="","",Q929^2)</f>
        <v/>
      </c>
      <c r="Y929" s="22" t="str">
        <f aca="false">IF(AND(C929&lt;&gt;"",C929=CERTIFICADO!$E$4,OR(CERTIFICADO!$E$5="",B929=CERTIFICADO!$E$5)),MAX($Y$4:Y928)+1,"")</f>
        <v/>
      </c>
    </row>
    <row r="930" customFormat="false" ht="15" hidden="false" customHeight="false" outlineLevel="0" collapsed="false">
      <c r="A930" s="11" t="str">
        <f aca="false">IF(C930="","",ROW()-4)</f>
        <v/>
      </c>
      <c r="B930" s="12"/>
      <c r="C930" s="13"/>
      <c r="D930" s="23" t="str">
        <f aca="false">IF(C930="","",IFERROR(INDEX(LOTES!$D$5:$D$1004,MATCH(C930,LOTES!$F$5:$F$1004,0)),"¿Lote?"))</f>
        <v/>
      </c>
      <c r="E930" s="11" t="str">
        <f aca="false">IF(C930="","",IFERROR(INDEX(LOTES!$C$5:$C$1004,MATCH(C930,LOTES!$F$5:$F$1004,0)),""))</f>
        <v/>
      </c>
      <c r="F930" s="24" t="str">
        <f aca="false">IF(C930="","",IFERROR(INDEX(LOTES!$B$5:$B$1004,MATCH(C930,LOTES!$F$5:$F$1004,0)),""))</f>
        <v/>
      </c>
      <c r="G930" s="15" t="str">
        <f aca="false">IF(OR(B930="",F930=""),"",B930-F930)</f>
        <v/>
      </c>
      <c r="H930" s="13"/>
      <c r="I930" s="13"/>
      <c r="J930" s="13"/>
      <c r="K930" s="25"/>
      <c r="L930" s="25"/>
      <c r="M930" s="25"/>
      <c r="N930" s="25"/>
      <c r="O930" s="26"/>
      <c r="P930" s="16" t="str">
        <f aca="false">IF(O930="","",IFERROR(1/(1/(IF(K930="",INDEX(CONFIG!$F$5:$F$14,MATCH(D930,CONFIG!$D$5:$D$14,0)),K930)*IF(M930="",INDEX(CONFIG!$H$5:$H$14,MATCH(D930,CONFIG!$D$5:$D$14,0)),M930))),""))</f>
        <v/>
      </c>
      <c r="Q930" s="16" t="str">
        <f aca="false">IF(OR(O930="",P930=""),"",O930/P930)</f>
        <v/>
      </c>
      <c r="R930" s="16" t="str">
        <f aca="false">IF(Q930="","",Q930*0.0980665)</f>
        <v/>
      </c>
      <c r="S930" s="16" t="str">
        <f aca="false">IF(Q930="","",IFERROR(Q930/(1/(1/INDEX(CONFIG!$I$5:$I$14,MATCH(D930,CONFIG!$D$5:$D$14,0)))),""))</f>
        <v/>
      </c>
      <c r="T930" s="13"/>
      <c r="U930" s="13"/>
      <c r="V930" s="13"/>
      <c r="W930" s="13"/>
      <c r="X930" s="22" t="str">
        <f aca="false">IF(Q930="","",Q930^2)</f>
        <v/>
      </c>
      <c r="Y930" s="22" t="str">
        <f aca="false">IF(AND(C930&lt;&gt;"",C930=CERTIFICADO!$E$4,OR(CERTIFICADO!$E$5="",B930=CERTIFICADO!$E$5)),MAX($Y$4:Y929)+1,"")</f>
        <v/>
      </c>
    </row>
    <row r="931" customFormat="false" ht="15" hidden="false" customHeight="false" outlineLevel="0" collapsed="false">
      <c r="A931" s="11" t="str">
        <f aca="false">IF(C931="","",ROW()-4)</f>
        <v/>
      </c>
      <c r="B931" s="12"/>
      <c r="C931" s="13"/>
      <c r="D931" s="23" t="str">
        <f aca="false">IF(C931="","",IFERROR(INDEX(LOTES!$D$5:$D$1004,MATCH(C931,LOTES!$F$5:$F$1004,0)),"¿Lote?"))</f>
        <v/>
      </c>
      <c r="E931" s="11" t="str">
        <f aca="false">IF(C931="","",IFERROR(INDEX(LOTES!$C$5:$C$1004,MATCH(C931,LOTES!$F$5:$F$1004,0)),""))</f>
        <v/>
      </c>
      <c r="F931" s="24" t="str">
        <f aca="false">IF(C931="","",IFERROR(INDEX(LOTES!$B$5:$B$1004,MATCH(C931,LOTES!$F$5:$F$1004,0)),""))</f>
        <v/>
      </c>
      <c r="G931" s="15" t="str">
        <f aca="false">IF(OR(B931="",F931=""),"",B931-F931)</f>
        <v/>
      </c>
      <c r="H931" s="13"/>
      <c r="I931" s="13"/>
      <c r="J931" s="13"/>
      <c r="K931" s="25"/>
      <c r="L931" s="25"/>
      <c r="M931" s="25"/>
      <c r="N931" s="25"/>
      <c r="O931" s="26"/>
      <c r="P931" s="16" t="str">
        <f aca="false">IF(O931="","",IFERROR(1/(1/(IF(K931="",INDEX(CONFIG!$F$5:$F$14,MATCH(D931,CONFIG!$D$5:$D$14,0)),K931)*IF(M931="",INDEX(CONFIG!$H$5:$H$14,MATCH(D931,CONFIG!$D$5:$D$14,0)),M931))),""))</f>
        <v/>
      </c>
      <c r="Q931" s="16" t="str">
        <f aca="false">IF(OR(O931="",P931=""),"",O931/P931)</f>
        <v/>
      </c>
      <c r="R931" s="16" t="str">
        <f aca="false">IF(Q931="","",Q931*0.0980665)</f>
        <v/>
      </c>
      <c r="S931" s="16" t="str">
        <f aca="false">IF(Q931="","",IFERROR(Q931/(1/(1/INDEX(CONFIG!$I$5:$I$14,MATCH(D931,CONFIG!$D$5:$D$14,0)))),""))</f>
        <v/>
      </c>
      <c r="T931" s="13"/>
      <c r="U931" s="13"/>
      <c r="V931" s="13"/>
      <c r="W931" s="13"/>
      <c r="X931" s="22" t="str">
        <f aca="false">IF(Q931="","",Q931^2)</f>
        <v/>
      </c>
      <c r="Y931" s="22" t="str">
        <f aca="false">IF(AND(C931&lt;&gt;"",C931=CERTIFICADO!$E$4,OR(CERTIFICADO!$E$5="",B931=CERTIFICADO!$E$5)),MAX($Y$4:Y930)+1,"")</f>
        <v/>
      </c>
    </row>
    <row r="932" customFormat="false" ht="15" hidden="false" customHeight="false" outlineLevel="0" collapsed="false">
      <c r="A932" s="11" t="str">
        <f aca="false">IF(C932="","",ROW()-4)</f>
        <v/>
      </c>
      <c r="B932" s="12"/>
      <c r="C932" s="13"/>
      <c r="D932" s="23" t="str">
        <f aca="false">IF(C932="","",IFERROR(INDEX(LOTES!$D$5:$D$1004,MATCH(C932,LOTES!$F$5:$F$1004,0)),"¿Lote?"))</f>
        <v/>
      </c>
      <c r="E932" s="11" t="str">
        <f aca="false">IF(C932="","",IFERROR(INDEX(LOTES!$C$5:$C$1004,MATCH(C932,LOTES!$F$5:$F$1004,0)),""))</f>
        <v/>
      </c>
      <c r="F932" s="24" t="str">
        <f aca="false">IF(C932="","",IFERROR(INDEX(LOTES!$B$5:$B$1004,MATCH(C932,LOTES!$F$5:$F$1004,0)),""))</f>
        <v/>
      </c>
      <c r="G932" s="15" t="str">
        <f aca="false">IF(OR(B932="",F932=""),"",B932-F932)</f>
        <v/>
      </c>
      <c r="H932" s="13"/>
      <c r="I932" s="13"/>
      <c r="J932" s="13"/>
      <c r="K932" s="25"/>
      <c r="L932" s="25"/>
      <c r="M932" s="25"/>
      <c r="N932" s="25"/>
      <c r="O932" s="26"/>
      <c r="P932" s="16" t="str">
        <f aca="false">IF(O932="","",IFERROR(1/(1/(IF(K932="",INDEX(CONFIG!$F$5:$F$14,MATCH(D932,CONFIG!$D$5:$D$14,0)),K932)*IF(M932="",INDEX(CONFIG!$H$5:$H$14,MATCH(D932,CONFIG!$D$5:$D$14,0)),M932))),""))</f>
        <v/>
      </c>
      <c r="Q932" s="16" t="str">
        <f aca="false">IF(OR(O932="",P932=""),"",O932/P932)</f>
        <v/>
      </c>
      <c r="R932" s="16" t="str">
        <f aca="false">IF(Q932="","",Q932*0.0980665)</f>
        <v/>
      </c>
      <c r="S932" s="16" t="str">
        <f aca="false">IF(Q932="","",IFERROR(Q932/(1/(1/INDEX(CONFIG!$I$5:$I$14,MATCH(D932,CONFIG!$D$5:$D$14,0)))),""))</f>
        <v/>
      </c>
      <c r="T932" s="13"/>
      <c r="U932" s="13"/>
      <c r="V932" s="13"/>
      <c r="W932" s="13"/>
      <c r="X932" s="22" t="str">
        <f aca="false">IF(Q932="","",Q932^2)</f>
        <v/>
      </c>
      <c r="Y932" s="22" t="str">
        <f aca="false">IF(AND(C932&lt;&gt;"",C932=CERTIFICADO!$E$4,OR(CERTIFICADO!$E$5="",B932=CERTIFICADO!$E$5)),MAX($Y$4:Y931)+1,"")</f>
        <v/>
      </c>
    </row>
    <row r="933" customFormat="false" ht="15" hidden="false" customHeight="false" outlineLevel="0" collapsed="false">
      <c r="A933" s="11" t="str">
        <f aca="false">IF(C933="","",ROW()-4)</f>
        <v/>
      </c>
      <c r="B933" s="12"/>
      <c r="C933" s="13"/>
      <c r="D933" s="23" t="str">
        <f aca="false">IF(C933="","",IFERROR(INDEX(LOTES!$D$5:$D$1004,MATCH(C933,LOTES!$F$5:$F$1004,0)),"¿Lote?"))</f>
        <v/>
      </c>
      <c r="E933" s="11" t="str">
        <f aca="false">IF(C933="","",IFERROR(INDEX(LOTES!$C$5:$C$1004,MATCH(C933,LOTES!$F$5:$F$1004,0)),""))</f>
        <v/>
      </c>
      <c r="F933" s="24" t="str">
        <f aca="false">IF(C933="","",IFERROR(INDEX(LOTES!$B$5:$B$1004,MATCH(C933,LOTES!$F$5:$F$1004,0)),""))</f>
        <v/>
      </c>
      <c r="G933" s="15" t="str">
        <f aca="false">IF(OR(B933="",F933=""),"",B933-F933)</f>
        <v/>
      </c>
      <c r="H933" s="13"/>
      <c r="I933" s="13"/>
      <c r="J933" s="13"/>
      <c r="K933" s="25"/>
      <c r="L933" s="25"/>
      <c r="M933" s="25"/>
      <c r="N933" s="25"/>
      <c r="O933" s="26"/>
      <c r="P933" s="16" t="str">
        <f aca="false">IF(O933="","",IFERROR(1/(1/(IF(K933="",INDEX(CONFIG!$F$5:$F$14,MATCH(D933,CONFIG!$D$5:$D$14,0)),K933)*IF(M933="",INDEX(CONFIG!$H$5:$H$14,MATCH(D933,CONFIG!$D$5:$D$14,0)),M933))),""))</f>
        <v/>
      </c>
      <c r="Q933" s="16" t="str">
        <f aca="false">IF(OR(O933="",P933=""),"",O933/P933)</f>
        <v/>
      </c>
      <c r="R933" s="16" t="str">
        <f aca="false">IF(Q933="","",Q933*0.0980665)</f>
        <v/>
      </c>
      <c r="S933" s="16" t="str">
        <f aca="false">IF(Q933="","",IFERROR(Q933/(1/(1/INDEX(CONFIG!$I$5:$I$14,MATCH(D933,CONFIG!$D$5:$D$14,0)))),""))</f>
        <v/>
      </c>
      <c r="T933" s="13"/>
      <c r="U933" s="13"/>
      <c r="V933" s="13"/>
      <c r="W933" s="13"/>
      <c r="X933" s="22" t="str">
        <f aca="false">IF(Q933="","",Q933^2)</f>
        <v/>
      </c>
      <c r="Y933" s="22" t="str">
        <f aca="false">IF(AND(C933&lt;&gt;"",C933=CERTIFICADO!$E$4,OR(CERTIFICADO!$E$5="",B933=CERTIFICADO!$E$5)),MAX($Y$4:Y932)+1,"")</f>
        <v/>
      </c>
    </row>
    <row r="934" customFormat="false" ht="15" hidden="false" customHeight="false" outlineLevel="0" collapsed="false">
      <c r="A934" s="11" t="str">
        <f aca="false">IF(C934="","",ROW()-4)</f>
        <v/>
      </c>
      <c r="B934" s="12"/>
      <c r="C934" s="13"/>
      <c r="D934" s="23" t="str">
        <f aca="false">IF(C934="","",IFERROR(INDEX(LOTES!$D$5:$D$1004,MATCH(C934,LOTES!$F$5:$F$1004,0)),"¿Lote?"))</f>
        <v/>
      </c>
      <c r="E934" s="11" t="str">
        <f aca="false">IF(C934="","",IFERROR(INDEX(LOTES!$C$5:$C$1004,MATCH(C934,LOTES!$F$5:$F$1004,0)),""))</f>
        <v/>
      </c>
      <c r="F934" s="24" t="str">
        <f aca="false">IF(C934="","",IFERROR(INDEX(LOTES!$B$5:$B$1004,MATCH(C934,LOTES!$F$5:$F$1004,0)),""))</f>
        <v/>
      </c>
      <c r="G934" s="15" t="str">
        <f aca="false">IF(OR(B934="",F934=""),"",B934-F934)</f>
        <v/>
      </c>
      <c r="H934" s="13"/>
      <c r="I934" s="13"/>
      <c r="J934" s="13"/>
      <c r="K934" s="25"/>
      <c r="L934" s="25"/>
      <c r="M934" s="25"/>
      <c r="N934" s="25"/>
      <c r="O934" s="26"/>
      <c r="P934" s="16" t="str">
        <f aca="false">IF(O934="","",IFERROR(1/(1/(IF(K934="",INDEX(CONFIG!$F$5:$F$14,MATCH(D934,CONFIG!$D$5:$D$14,0)),K934)*IF(M934="",INDEX(CONFIG!$H$5:$H$14,MATCH(D934,CONFIG!$D$5:$D$14,0)),M934))),""))</f>
        <v/>
      </c>
      <c r="Q934" s="16" t="str">
        <f aca="false">IF(OR(O934="",P934=""),"",O934/P934)</f>
        <v/>
      </c>
      <c r="R934" s="16" t="str">
        <f aca="false">IF(Q934="","",Q934*0.0980665)</f>
        <v/>
      </c>
      <c r="S934" s="16" t="str">
        <f aca="false">IF(Q934="","",IFERROR(Q934/(1/(1/INDEX(CONFIG!$I$5:$I$14,MATCH(D934,CONFIG!$D$5:$D$14,0)))),""))</f>
        <v/>
      </c>
      <c r="T934" s="13"/>
      <c r="U934" s="13"/>
      <c r="V934" s="13"/>
      <c r="W934" s="13"/>
      <c r="X934" s="22" t="str">
        <f aca="false">IF(Q934="","",Q934^2)</f>
        <v/>
      </c>
      <c r="Y934" s="22" t="str">
        <f aca="false">IF(AND(C934&lt;&gt;"",C934=CERTIFICADO!$E$4,OR(CERTIFICADO!$E$5="",B934=CERTIFICADO!$E$5)),MAX($Y$4:Y933)+1,"")</f>
        <v/>
      </c>
    </row>
    <row r="935" customFormat="false" ht="15" hidden="false" customHeight="false" outlineLevel="0" collapsed="false">
      <c r="A935" s="11" t="str">
        <f aca="false">IF(C935="","",ROW()-4)</f>
        <v/>
      </c>
      <c r="B935" s="12"/>
      <c r="C935" s="13"/>
      <c r="D935" s="23" t="str">
        <f aca="false">IF(C935="","",IFERROR(INDEX(LOTES!$D$5:$D$1004,MATCH(C935,LOTES!$F$5:$F$1004,0)),"¿Lote?"))</f>
        <v/>
      </c>
      <c r="E935" s="11" t="str">
        <f aca="false">IF(C935="","",IFERROR(INDEX(LOTES!$C$5:$C$1004,MATCH(C935,LOTES!$F$5:$F$1004,0)),""))</f>
        <v/>
      </c>
      <c r="F935" s="24" t="str">
        <f aca="false">IF(C935="","",IFERROR(INDEX(LOTES!$B$5:$B$1004,MATCH(C935,LOTES!$F$5:$F$1004,0)),""))</f>
        <v/>
      </c>
      <c r="G935" s="15" t="str">
        <f aca="false">IF(OR(B935="",F935=""),"",B935-F935)</f>
        <v/>
      </c>
      <c r="H935" s="13"/>
      <c r="I935" s="13"/>
      <c r="J935" s="13"/>
      <c r="K935" s="25"/>
      <c r="L935" s="25"/>
      <c r="M935" s="25"/>
      <c r="N935" s="25"/>
      <c r="O935" s="26"/>
      <c r="P935" s="16" t="str">
        <f aca="false">IF(O935="","",IFERROR(1/(1/(IF(K935="",INDEX(CONFIG!$F$5:$F$14,MATCH(D935,CONFIG!$D$5:$D$14,0)),K935)*IF(M935="",INDEX(CONFIG!$H$5:$H$14,MATCH(D935,CONFIG!$D$5:$D$14,0)),M935))),""))</f>
        <v/>
      </c>
      <c r="Q935" s="16" t="str">
        <f aca="false">IF(OR(O935="",P935=""),"",O935/P935)</f>
        <v/>
      </c>
      <c r="R935" s="16" t="str">
        <f aca="false">IF(Q935="","",Q935*0.0980665)</f>
        <v/>
      </c>
      <c r="S935" s="16" t="str">
        <f aca="false">IF(Q935="","",IFERROR(Q935/(1/(1/INDEX(CONFIG!$I$5:$I$14,MATCH(D935,CONFIG!$D$5:$D$14,0)))),""))</f>
        <v/>
      </c>
      <c r="T935" s="13"/>
      <c r="U935" s="13"/>
      <c r="V935" s="13"/>
      <c r="W935" s="13"/>
      <c r="X935" s="22" t="str">
        <f aca="false">IF(Q935="","",Q935^2)</f>
        <v/>
      </c>
      <c r="Y935" s="22" t="str">
        <f aca="false">IF(AND(C935&lt;&gt;"",C935=CERTIFICADO!$E$4,OR(CERTIFICADO!$E$5="",B935=CERTIFICADO!$E$5)),MAX($Y$4:Y934)+1,"")</f>
        <v/>
      </c>
    </row>
    <row r="936" customFormat="false" ht="15" hidden="false" customHeight="false" outlineLevel="0" collapsed="false">
      <c r="A936" s="11" t="str">
        <f aca="false">IF(C936="","",ROW()-4)</f>
        <v/>
      </c>
      <c r="B936" s="12"/>
      <c r="C936" s="13"/>
      <c r="D936" s="23" t="str">
        <f aca="false">IF(C936="","",IFERROR(INDEX(LOTES!$D$5:$D$1004,MATCH(C936,LOTES!$F$5:$F$1004,0)),"¿Lote?"))</f>
        <v/>
      </c>
      <c r="E936" s="11" t="str">
        <f aca="false">IF(C936="","",IFERROR(INDEX(LOTES!$C$5:$C$1004,MATCH(C936,LOTES!$F$5:$F$1004,0)),""))</f>
        <v/>
      </c>
      <c r="F936" s="24" t="str">
        <f aca="false">IF(C936="","",IFERROR(INDEX(LOTES!$B$5:$B$1004,MATCH(C936,LOTES!$F$5:$F$1004,0)),""))</f>
        <v/>
      </c>
      <c r="G936" s="15" t="str">
        <f aca="false">IF(OR(B936="",F936=""),"",B936-F936)</f>
        <v/>
      </c>
      <c r="H936" s="13"/>
      <c r="I936" s="13"/>
      <c r="J936" s="13"/>
      <c r="K936" s="25"/>
      <c r="L936" s="25"/>
      <c r="M936" s="25"/>
      <c r="N936" s="25"/>
      <c r="O936" s="26"/>
      <c r="P936" s="16" t="str">
        <f aca="false">IF(O936="","",IFERROR(1/(1/(IF(K936="",INDEX(CONFIG!$F$5:$F$14,MATCH(D936,CONFIG!$D$5:$D$14,0)),K936)*IF(M936="",INDEX(CONFIG!$H$5:$H$14,MATCH(D936,CONFIG!$D$5:$D$14,0)),M936))),""))</f>
        <v/>
      </c>
      <c r="Q936" s="16" t="str">
        <f aca="false">IF(OR(O936="",P936=""),"",O936/P936)</f>
        <v/>
      </c>
      <c r="R936" s="16" t="str">
        <f aca="false">IF(Q936="","",Q936*0.0980665)</f>
        <v/>
      </c>
      <c r="S936" s="16" t="str">
        <f aca="false">IF(Q936="","",IFERROR(Q936/(1/(1/INDEX(CONFIG!$I$5:$I$14,MATCH(D936,CONFIG!$D$5:$D$14,0)))),""))</f>
        <v/>
      </c>
      <c r="T936" s="13"/>
      <c r="U936" s="13"/>
      <c r="V936" s="13"/>
      <c r="W936" s="13"/>
      <c r="X936" s="22" t="str">
        <f aca="false">IF(Q936="","",Q936^2)</f>
        <v/>
      </c>
      <c r="Y936" s="22" t="str">
        <f aca="false">IF(AND(C936&lt;&gt;"",C936=CERTIFICADO!$E$4,OR(CERTIFICADO!$E$5="",B936=CERTIFICADO!$E$5)),MAX($Y$4:Y935)+1,"")</f>
        <v/>
      </c>
    </row>
    <row r="937" customFormat="false" ht="15" hidden="false" customHeight="false" outlineLevel="0" collapsed="false">
      <c r="A937" s="11" t="str">
        <f aca="false">IF(C937="","",ROW()-4)</f>
        <v/>
      </c>
      <c r="B937" s="12"/>
      <c r="C937" s="13"/>
      <c r="D937" s="23" t="str">
        <f aca="false">IF(C937="","",IFERROR(INDEX(LOTES!$D$5:$D$1004,MATCH(C937,LOTES!$F$5:$F$1004,0)),"¿Lote?"))</f>
        <v/>
      </c>
      <c r="E937" s="11" t="str">
        <f aca="false">IF(C937="","",IFERROR(INDEX(LOTES!$C$5:$C$1004,MATCH(C937,LOTES!$F$5:$F$1004,0)),""))</f>
        <v/>
      </c>
      <c r="F937" s="24" t="str">
        <f aca="false">IF(C937="","",IFERROR(INDEX(LOTES!$B$5:$B$1004,MATCH(C937,LOTES!$F$5:$F$1004,0)),""))</f>
        <v/>
      </c>
      <c r="G937" s="15" t="str">
        <f aca="false">IF(OR(B937="",F937=""),"",B937-F937)</f>
        <v/>
      </c>
      <c r="H937" s="13"/>
      <c r="I937" s="13"/>
      <c r="J937" s="13"/>
      <c r="K937" s="25"/>
      <c r="L937" s="25"/>
      <c r="M937" s="25"/>
      <c r="N937" s="25"/>
      <c r="O937" s="26"/>
      <c r="P937" s="16" t="str">
        <f aca="false">IF(O937="","",IFERROR(1/(1/(IF(K937="",INDEX(CONFIG!$F$5:$F$14,MATCH(D937,CONFIG!$D$5:$D$14,0)),K937)*IF(M937="",INDEX(CONFIG!$H$5:$H$14,MATCH(D937,CONFIG!$D$5:$D$14,0)),M937))),""))</f>
        <v/>
      </c>
      <c r="Q937" s="16" t="str">
        <f aca="false">IF(OR(O937="",P937=""),"",O937/P937)</f>
        <v/>
      </c>
      <c r="R937" s="16" t="str">
        <f aca="false">IF(Q937="","",Q937*0.0980665)</f>
        <v/>
      </c>
      <c r="S937" s="16" t="str">
        <f aca="false">IF(Q937="","",IFERROR(Q937/(1/(1/INDEX(CONFIG!$I$5:$I$14,MATCH(D937,CONFIG!$D$5:$D$14,0)))),""))</f>
        <v/>
      </c>
      <c r="T937" s="13"/>
      <c r="U937" s="13"/>
      <c r="V937" s="13"/>
      <c r="W937" s="13"/>
      <c r="X937" s="22" t="str">
        <f aca="false">IF(Q937="","",Q937^2)</f>
        <v/>
      </c>
      <c r="Y937" s="22" t="str">
        <f aca="false">IF(AND(C937&lt;&gt;"",C937=CERTIFICADO!$E$4,OR(CERTIFICADO!$E$5="",B937=CERTIFICADO!$E$5)),MAX($Y$4:Y936)+1,"")</f>
        <v/>
      </c>
    </row>
    <row r="938" customFormat="false" ht="15" hidden="false" customHeight="false" outlineLevel="0" collapsed="false">
      <c r="A938" s="11" t="str">
        <f aca="false">IF(C938="","",ROW()-4)</f>
        <v/>
      </c>
      <c r="B938" s="12"/>
      <c r="C938" s="13"/>
      <c r="D938" s="23" t="str">
        <f aca="false">IF(C938="","",IFERROR(INDEX(LOTES!$D$5:$D$1004,MATCH(C938,LOTES!$F$5:$F$1004,0)),"¿Lote?"))</f>
        <v/>
      </c>
      <c r="E938" s="11" t="str">
        <f aca="false">IF(C938="","",IFERROR(INDEX(LOTES!$C$5:$C$1004,MATCH(C938,LOTES!$F$5:$F$1004,0)),""))</f>
        <v/>
      </c>
      <c r="F938" s="24" t="str">
        <f aca="false">IF(C938="","",IFERROR(INDEX(LOTES!$B$5:$B$1004,MATCH(C938,LOTES!$F$5:$F$1004,0)),""))</f>
        <v/>
      </c>
      <c r="G938" s="15" t="str">
        <f aca="false">IF(OR(B938="",F938=""),"",B938-F938)</f>
        <v/>
      </c>
      <c r="H938" s="13"/>
      <c r="I938" s="13"/>
      <c r="J938" s="13"/>
      <c r="K938" s="25"/>
      <c r="L938" s="25"/>
      <c r="M938" s="25"/>
      <c r="N938" s="25"/>
      <c r="O938" s="26"/>
      <c r="P938" s="16" t="str">
        <f aca="false">IF(O938="","",IFERROR(1/(1/(IF(K938="",INDEX(CONFIG!$F$5:$F$14,MATCH(D938,CONFIG!$D$5:$D$14,0)),K938)*IF(M938="",INDEX(CONFIG!$H$5:$H$14,MATCH(D938,CONFIG!$D$5:$D$14,0)),M938))),""))</f>
        <v/>
      </c>
      <c r="Q938" s="16" t="str">
        <f aca="false">IF(OR(O938="",P938=""),"",O938/P938)</f>
        <v/>
      </c>
      <c r="R938" s="16" t="str">
        <f aca="false">IF(Q938="","",Q938*0.0980665)</f>
        <v/>
      </c>
      <c r="S938" s="16" t="str">
        <f aca="false">IF(Q938="","",IFERROR(Q938/(1/(1/INDEX(CONFIG!$I$5:$I$14,MATCH(D938,CONFIG!$D$5:$D$14,0)))),""))</f>
        <v/>
      </c>
      <c r="T938" s="13"/>
      <c r="U938" s="13"/>
      <c r="V938" s="13"/>
      <c r="W938" s="13"/>
      <c r="X938" s="22" t="str">
        <f aca="false">IF(Q938="","",Q938^2)</f>
        <v/>
      </c>
      <c r="Y938" s="22" t="str">
        <f aca="false">IF(AND(C938&lt;&gt;"",C938=CERTIFICADO!$E$4,OR(CERTIFICADO!$E$5="",B938=CERTIFICADO!$E$5)),MAX($Y$4:Y937)+1,"")</f>
        <v/>
      </c>
    </row>
    <row r="939" customFormat="false" ht="15" hidden="false" customHeight="false" outlineLevel="0" collapsed="false">
      <c r="A939" s="11" t="str">
        <f aca="false">IF(C939="","",ROW()-4)</f>
        <v/>
      </c>
      <c r="B939" s="12"/>
      <c r="C939" s="13"/>
      <c r="D939" s="23" t="str">
        <f aca="false">IF(C939="","",IFERROR(INDEX(LOTES!$D$5:$D$1004,MATCH(C939,LOTES!$F$5:$F$1004,0)),"¿Lote?"))</f>
        <v/>
      </c>
      <c r="E939" s="11" t="str">
        <f aca="false">IF(C939="","",IFERROR(INDEX(LOTES!$C$5:$C$1004,MATCH(C939,LOTES!$F$5:$F$1004,0)),""))</f>
        <v/>
      </c>
      <c r="F939" s="24" t="str">
        <f aca="false">IF(C939="","",IFERROR(INDEX(LOTES!$B$5:$B$1004,MATCH(C939,LOTES!$F$5:$F$1004,0)),""))</f>
        <v/>
      </c>
      <c r="G939" s="15" t="str">
        <f aca="false">IF(OR(B939="",F939=""),"",B939-F939)</f>
        <v/>
      </c>
      <c r="H939" s="13"/>
      <c r="I939" s="13"/>
      <c r="J939" s="13"/>
      <c r="K939" s="25"/>
      <c r="L939" s="25"/>
      <c r="M939" s="25"/>
      <c r="N939" s="25"/>
      <c r="O939" s="26"/>
      <c r="P939" s="16" t="str">
        <f aca="false">IF(O939="","",IFERROR(1/(1/(IF(K939="",INDEX(CONFIG!$F$5:$F$14,MATCH(D939,CONFIG!$D$5:$D$14,0)),K939)*IF(M939="",INDEX(CONFIG!$H$5:$H$14,MATCH(D939,CONFIG!$D$5:$D$14,0)),M939))),""))</f>
        <v/>
      </c>
      <c r="Q939" s="16" t="str">
        <f aca="false">IF(OR(O939="",P939=""),"",O939/P939)</f>
        <v/>
      </c>
      <c r="R939" s="16" t="str">
        <f aca="false">IF(Q939="","",Q939*0.0980665)</f>
        <v/>
      </c>
      <c r="S939" s="16" t="str">
        <f aca="false">IF(Q939="","",IFERROR(Q939/(1/(1/INDEX(CONFIG!$I$5:$I$14,MATCH(D939,CONFIG!$D$5:$D$14,0)))),""))</f>
        <v/>
      </c>
      <c r="T939" s="13"/>
      <c r="U939" s="13"/>
      <c r="V939" s="13"/>
      <c r="W939" s="13"/>
      <c r="X939" s="22" t="str">
        <f aca="false">IF(Q939="","",Q939^2)</f>
        <v/>
      </c>
      <c r="Y939" s="22" t="str">
        <f aca="false">IF(AND(C939&lt;&gt;"",C939=CERTIFICADO!$E$4,OR(CERTIFICADO!$E$5="",B939=CERTIFICADO!$E$5)),MAX($Y$4:Y938)+1,"")</f>
        <v/>
      </c>
    </row>
    <row r="940" customFormat="false" ht="15" hidden="false" customHeight="false" outlineLevel="0" collapsed="false">
      <c r="A940" s="11" t="str">
        <f aca="false">IF(C940="","",ROW()-4)</f>
        <v/>
      </c>
      <c r="B940" s="12"/>
      <c r="C940" s="13"/>
      <c r="D940" s="23" t="str">
        <f aca="false">IF(C940="","",IFERROR(INDEX(LOTES!$D$5:$D$1004,MATCH(C940,LOTES!$F$5:$F$1004,0)),"¿Lote?"))</f>
        <v/>
      </c>
      <c r="E940" s="11" t="str">
        <f aca="false">IF(C940="","",IFERROR(INDEX(LOTES!$C$5:$C$1004,MATCH(C940,LOTES!$F$5:$F$1004,0)),""))</f>
        <v/>
      </c>
      <c r="F940" s="24" t="str">
        <f aca="false">IF(C940="","",IFERROR(INDEX(LOTES!$B$5:$B$1004,MATCH(C940,LOTES!$F$5:$F$1004,0)),""))</f>
        <v/>
      </c>
      <c r="G940" s="15" t="str">
        <f aca="false">IF(OR(B940="",F940=""),"",B940-F940)</f>
        <v/>
      </c>
      <c r="H940" s="13"/>
      <c r="I940" s="13"/>
      <c r="J940" s="13"/>
      <c r="K940" s="25"/>
      <c r="L940" s="25"/>
      <c r="M940" s="25"/>
      <c r="N940" s="25"/>
      <c r="O940" s="26"/>
      <c r="P940" s="16" t="str">
        <f aca="false">IF(O940="","",IFERROR(1/(1/(IF(K940="",INDEX(CONFIG!$F$5:$F$14,MATCH(D940,CONFIG!$D$5:$D$14,0)),K940)*IF(M940="",INDEX(CONFIG!$H$5:$H$14,MATCH(D940,CONFIG!$D$5:$D$14,0)),M940))),""))</f>
        <v/>
      </c>
      <c r="Q940" s="16" t="str">
        <f aca="false">IF(OR(O940="",P940=""),"",O940/P940)</f>
        <v/>
      </c>
      <c r="R940" s="16" t="str">
        <f aca="false">IF(Q940="","",Q940*0.0980665)</f>
        <v/>
      </c>
      <c r="S940" s="16" t="str">
        <f aca="false">IF(Q940="","",IFERROR(Q940/(1/(1/INDEX(CONFIG!$I$5:$I$14,MATCH(D940,CONFIG!$D$5:$D$14,0)))),""))</f>
        <v/>
      </c>
      <c r="T940" s="13"/>
      <c r="U940" s="13"/>
      <c r="V940" s="13"/>
      <c r="W940" s="13"/>
      <c r="X940" s="22" t="str">
        <f aca="false">IF(Q940="","",Q940^2)</f>
        <v/>
      </c>
      <c r="Y940" s="22" t="str">
        <f aca="false">IF(AND(C940&lt;&gt;"",C940=CERTIFICADO!$E$4,OR(CERTIFICADO!$E$5="",B940=CERTIFICADO!$E$5)),MAX($Y$4:Y939)+1,"")</f>
        <v/>
      </c>
    </row>
    <row r="941" customFormat="false" ht="15" hidden="false" customHeight="false" outlineLevel="0" collapsed="false">
      <c r="A941" s="11" t="str">
        <f aca="false">IF(C941="","",ROW()-4)</f>
        <v/>
      </c>
      <c r="B941" s="12"/>
      <c r="C941" s="13"/>
      <c r="D941" s="23" t="str">
        <f aca="false">IF(C941="","",IFERROR(INDEX(LOTES!$D$5:$D$1004,MATCH(C941,LOTES!$F$5:$F$1004,0)),"¿Lote?"))</f>
        <v/>
      </c>
      <c r="E941" s="11" t="str">
        <f aca="false">IF(C941="","",IFERROR(INDEX(LOTES!$C$5:$C$1004,MATCH(C941,LOTES!$F$5:$F$1004,0)),""))</f>
        <v/>
      </c>
      <c r="F941" s="24" t="str">
        <f aca="false">IF(C941="","",IFERROR(INDEX(LOTES!$B$5:$B$1004,MATCH(C941,LOTES!$F$5:$F$1004,0)),""))</f>
        <v/>
      </c>
      <c r="G941" s="15" t="str">
        <f aca="false">IF(OR(B941="",F941=""),"",B941-F941)</f>
        <v/>
      </c>
      <c r="H941" s="13"/>
      <c r="I941" s="13"/>
      <c r="J941" s="13"/>
      <c r="K941" s="25"/>
      <c r="L941" s="25"/>
      <c r="M941" s="25"/>
      <c r="N941" s="25"/>
      <c r="O941" s="26"/>
      <c r="P941" s="16" t="str">
        <f aca="false">IF(O941="","",IFERROR(1/(1/(IF(K941="",INDEX(CONFIG!$F$5:$F$14,MATCH(D941,CONFIG!$D$5:$D$14,0)),K941)*IF(M941="",INDEX(CONFIG!$H$5:$H$14,MATCH(D941,CONFIG!$D$5:$D$14,0)),M941))),""))</f>
        <v/>
      </c>
      <c r="Q941" s="16" t="str">
        <f aca="false">IF(OR(O941="",P941=""),"",O941/P941)</f>
        <v/>
      </c>
      <c r="R941" s="16" t="str">
        <f aca="false">IF(Q941="","",Q941*0.0980665)</f>
        <v/>
      </c>
      <c r="S941" s="16" t="str">
        <f aca="false">IF(Q941="","",IFERROR(Q941/(1/(1/INDEX(CONFIG!$I$5:$I$14,MATCH(D941,CONFIG!$D$5:$D$14,0)))),""))</f>
        <v/>
      </c>
      <c r="T941" s="13"/>
      <c r="U941" s="13"/>
      <c r="V941" s="13"/>
      <c r="W941" s="13"/>
      <c r="X941" s="22" t="str">
        <f aca="false">IF(Q941="","",Q941^2)</f>
        <v/>
      </c>
      <c r="Y941" s="22" t="str">
        <f aca="false">IF(AND(C941&lt;&gt;"",C941=CERTIFICADO!$E$4,OR(CERTIFICADO!$E$5="",B941=CERTIFICADO!$E$5)),MAX($Y$4:Y940)+1,"")</f>
        <v/>
      </c>
    </row>
    <row r="942" customFormat="false" ht="15" hidden="false" customHeight="false" outlineLevel="0" collapsed="false">
      <c r="A942" s="11" t="str">
        <f aca="false">IF(C942="","",ROW()-4)</f>
        <v/>
      </c>
      <c r="B942" s="12"/>
      <c r="C942" s="13"/>
      <c r="D942" s="23" t="str">
        <f aca="false">IF(C942="","",IFERROR(INDEX(LOTES!$D$5:$D$1004,MATCH(C942,LOTES!$F$5:$F$1004,0)),"¿Lote?"))</f>
        <v/>
      </c>
      <c r="E942" s="11" t="str">
        <f aca="false">IF(C942="","",IFERROR(INDEX(LOTES!$C$5:$C$1004,MATCH(C942,LOTES!$F$5:$F$1004,0)),""))</f>
        <v/>
      </c>
      <c r="F942" s="24" t="str">
        <f aca="false">IF(C942="","",IFERROR(INDEX(LOTES!$B$5:$B$1004,MATCH(C942,LOTES!$F$5:$F$1004,0)),""))</f>
        <v/>
      </c>
      <c r="G942" s="15" t="str">
        <f aca="false">IF(OR(B942="",F942=""),"",B942-F942)</f>
        <v/>
      </c>
      <c r="H942" s="13"/>
      <c r="I942" s="13"/>
      <c r="J942" s="13"/>
      <c r="K942" s="25"/>
      <c r="L942" s="25"/>
      <c r="M942" s="25"/>
      <c r="N942" s="25"/>
      <c r="O942" s="26"/>
      <c r="P942" s="16" t="str">
        <f aca="false">IF(O942="","",IFERROR(1/(1/(IF(K942="",INDEX(CONFIG!$F$5:$F$14,MATCH(D942,CONFIG!$D$5:$D$14,0)),K942)*IF(M942="",INDEX(CONFIG!$H$5:$H$14,MATCH(D942,CONFIG!$D$5:$D$14,0)),M942))),""))</f>
        <v/>
      </c>
      <c r="Q942" s="16" t="str">
        <f aca="false">IF(OR(O942="",P942=""),"",O942/P942)</f>
        <v/>
      </c>
      <c r="R942" s="16" t="str">
        <f aca="false">IF(Q942="","",Q942*0.0980665)</f>
        <v/>
      </c>
      <c r="S942" s="16" t="str">
        <f aca="false">IF(Q942="","",IFERROR(Q942/(1/(1/INDEX(CONFIG!$I$5:$I$14,MATCH(D942,CONFIG!$D$5:$D$14,0)))),""))</f>
        <v/>
      </c>
      <c r="T942" s="13"/>
      <c r="U942" s="13"/>
      <c r="V942" s="13"/>
      <c r="W942" s="13"/>
      <c r="X942" s="22" t="str">
        <f aca="false">IF(Q942="","",Q942^2)</f>
        <v/>
      </c>
      <c r="Y942" s="22" t="str">
        <f aca="false">IF(AND(C942&lt;&gt;"",C942=CERTIFICADO!$E$4,OR(CERTIFICADO!$E$5="",B942=CERTIFICADO!$E$5)),MAX($Y$4:Y941)+1,"")</f>
        <v/>
      </c>
    </row>
    <row r="943" customFormat="false" ht="15" hidden="false" customHeight="false" outlineLevel="0" collapsed="false">
      <c r="A943" s="11" t="str">
        <f aca="false">IF(C943="","",ROW()-4)</f>
        <v/>
      </c>
      <c r="B943" s="12"/>
      <c r="C943" s="13"/>
      <c r="D943" s="23" t="str">
        <f aca="false">IF(C943="","",IFERROR(INDEX(LOTES!$D$5:$D$1004,MATCH(C943,LOTES!$F$5:$F$1004,0)),"¿Lote?"))</f>
        <v/>
      </c>
      <c r="E943" s="11" t="str">
        <f aca="false">IF(C943="","",IFERROR(INDEX(LOTES!$C$5:$C$1004,MATCH(C943,LOTES!$F$5:$F$1004,0)),""))</f>
        <v/>
      </c>
      <c r="F943" s="24" t="str">
        <f aca="false">IF(C943="","",IFERROR(INDEX(LOTES!$B$5:$B$1004,MATCH(C943,LOTES!$F$5:$F$1004,0)),""))</f>
        <v/>
      </c>
      <c r="G943" s="15" t="str">
        <f aca="false">IF(OR(B943="",F943=""),"",B943-F943)</f>
        <v/>
      </c>
      <c r="H943" s="13"/>
      <c r="I943" s="13"/>
      <c r="J943" s="13"/>
      <c r="K943" s="25"/>
      <c r="L943" s="25"/>
      <c r="M943" s="25"/>
      <c r="N943" s="25"/>
      <c r="O943" s="26"/>
      <c r="P943" s="16" t="str">
        <f aca="false">IF(O943="","",IFERROR(1/(1/(IF(K943="",INDEX(CONFIG!$F$5:$F$14,MATCH(D943,CONFIG!$D$5:$D$14,0)),K943)*IF(M943="",INDEX(CONFIG!$H$5:$H$14,MATCH(D943,CONFIG!$D$5:$D$14,0)),M943))),""))</f>
        <v/>
      </c>
      <c r="Q943" s="16" t="str">
        <f aca="false">IF(OR(O943="",P943=""),"",O943/P943)</f>
        <v/>
      </c>
      <c r="R943" s="16" t="str">
        <f aca="false">IF(Q943="","",Q943*0.0980665)</f>
        <v/>
      </c>
      <c r="S943" s="16" t="str">
        <f aca="false">IF(Q943="","",IFERROR(Q943/(1/(1/INDEX(CONFIG!$I$5:$I$14,MATCH(D943,CONFIG!$D$5:$D$14,0)))),""))</f>
        <v/>
      </c>
      <c r="T943" s="13"/>
      <c r="U943" s="13"/>
      <c r="V943" s="13"/>
      <c r="W943" s="13"/>
      <c r="X943" s="22" t="str">
        <f aca="false">IF(Q943="","",Q943^2)</f>
        <v/>
      </c>
      <c r="Y943" s="22" t="str">
        <f aca="false">IF(AND(C943&lt;&gt;"",C943=CERTIFICADO!$E$4,OR(CERTIFICADO!$E$5="",B943=CERTIFICADO!$E$5)),MAX($Y$4:Y942)+1,"")</f>
        <v/>
      </c>
    </row>
    <row r="944" customFormat="false" ht="15" hidden="false" customHeight="false" outlineLevel="0" collapsed="false">
      <c r="A944" s="11" t="str">
        <f aca="false">IF(C944="","",ROW()-4)</f>
        <v/>
      </c>
      <c r="B944" s="12"/>
      <c r="C944" s="13"/>
      <c r="D944" s="23" t="str">
        <f aca="false">IF(C944="","",IFERROR(INDEX(LOTES!$D$5:$D$1004,MATCH(C944,LOTES!$F$5:$F$1004,0)),"¿Lote?"))</f>
        <v/>
      </c>
      <c r="E944" s="11" t="str">
        <f aca="false">IF(C944="","",IFERROR(INDEX(LOTES!$C$5:$C$1004,MATCH(C944,LOTES!$F$5:$F$1004,0)),""))</f>
        <v/>
      </c>
      <c r="F944" s="24" t="str">
        <f aca="false">IF(C944="","",IFERROR(INDEX(LOTES!$B$5:$B$1004,MATCH(C944,LOTES!$F$5:$F$1004,0)),""))</f>
        <v/>
      </c>
      <c r="G944" s="15" t="str">
        <f aca="false">IF(OR(B944="",F944=""),"",B944-F944)</f>
        <v/>
      </c>
      <c r="H944" s="13"/>
      <c r="I944" s="13"/>
      <c r="J944" s="13"/>
      <c r="K944" s="25"/>
      <c r="L944" s="25"/>
      <c r="M944" s="25"/>
      <c r="N944" s="25"/>
      <c r="O944" s="26"/>
      <c r="P944" s="16" t="str">
        <f aca="false">IF(O944="","",IFERROR(1/(1/(IF(K944="",INDEX(CONFIG!$F$5:$F$14,MATCH(D944,CONFIG!$D$5:$D$14,0)),K944)*IF(M944="",INDEX(CONFIG!$H$5:$H$14,MATCH(D944,CONFIG!$D$5:$D$14,0)),M944))),""))</f>
        <v/>
      </c>
      <c r="Q944" s="16" t="str">
        <f aca="false">IF(OR(O944="",P944=""),"",O944/P944)</f>
        <v/>
      </c>
      <c r="R944" s="16" t="str">
        <f aca="false">IF(Q944="","",Q944*0.0980665)</f>
        <v/>
      </c>
      <c r="S944" s="16" t="str">
        <f aca="false">IF(Q944="","",IFERROR(Q944/(1/(1/INDEX(CONFIG!$I$5:$I$14,MATCH(D944,CONFIG!$D$5:$D$14,0)))),""))</f>
        <v/>
      </c>
      <c r="T944" s="13"/>
      <c r="U944" s="13"/>
      <c r="V944" s="13"/>
      <c r="W944" s="13"/>
      <c r="X944" s="22" t="str">
        <f aca="false">IF(Q944="","",Q944^2)</f>
        <v/>
      </c>
      <c r="Y944" s="22" t="str">
        <f aca="false">IF(AND(C944&lt;&gt;"",C944=CERTIFICADO!$E$4,OR(CERTIFICADO!$E$5="",B944=CERTIFICADO!$E$5)),MAX($Y$4:Y943)+1,"")</f>
        <v/>
      </c>
    </row>
    <row r="945" customFormat="false" ht="15" hidden="false" customHeight="false" outlineLevel="0" collapsed="false">
      <c r="A945" s="11" t="str">
        <f aca="false">IF(C945="","",ROW()-4)</f>
        <v/>
      </c>
      <c r="B945" s="12"/>
      <c r="C945" s="13"/>
      <c r="D945" s="23" t="str">
        <f aca="false">IF(C945="","",IFERROR(INDEX(LOTES!$D$5:$D$1004,MATCH(C945,LOTES!$F$5:$F$1004,0)),"¿Lote?"))</f>
        <v/>
      </c>
      <c r="E945" s="11" t="str">
        <f aca="false">IF(C945="","",IFERROR(INDEX(LOTES!$C$5:$C$1004,MATCH(C945,LOTES!$F$5:$F$1004,0)),""))</f>
        <v/>
      </c>
      <c r="F945" s="24" t="str">
        <f aca="false">IF(C945="","",IFERROR(INDEX(LOTES!$B$5:$B$1004,MATCH(C945,LOTES!$F$5:$F$1004,0)),""))</f>
        <v/>
      </c>
      <c r="G945" s="15" t="str">
        <f aca="false">IF(OR(B945="",F945=""),"",B945-F945)</f>
        <v/>
      </c>
      <c r="H945" s="13"/>
      <c r="I945" s="13"/>
      <c r="J945" s="13"/>
      <c r="K945" s="25"/>
      <c r="L945" s="25"/>
      <c r="M945" s="25"/>
      <c r="N945" s="25"/>
      <c r="O945" s="26"/>
      <c r="P945" s="16" t="str">
        <f aca="false">IF(O945="","",IFERROR(1/(1/(IF(K945="",INDEX(CONFIG!$F$5:$F$14,MATCH(D945,CONFIG!$D$5:$D$14,0)),K945)*IF(M945="",INDEX(CONFIG!$H$5:$H$14,MATCH(D945,CONFIG!$D$5:$D$14,0)),M945))),""))</f>
        <v/>
      </c>
      <c r="Q945" s="16" t="str">
        <f aca="false">IF(OR(O945="",P945=""),"",O945/P945)</f>
        <v/>
      </c>
      <c r="R945" s="16" t="str">
        <f aca="false">IF(Q945="","",Q945*0.0980665)</f>
        <v/>
      </c>
      <c r="S945" s="16" t="str">
        <f aca="false">IF(Q945="","",IFERROR(Q945/(1/(1/INDEX(CONFIG!$I$5:$I$14,MATCH(D945,CONFIG!$D$5:$D$14,0)))),""))</f>
        <v/>
      </c>
      <c r="T945" s="13"/>
      <c r="U945" s="13"/>
      <c r="V945" s="13"/>
      <c r="W945" s="13"/>
      <c r="X945" s="22" t="str">
        <f aca="false">IF(Q945="","",Q945^2)</f>
        <v/>
      </c>
      <c r="Y945" s="22" t="str">
        <f aca="false">IF(AND(C945&lt;&gt;"",C945=CERTIFICADO!$E$4,OR(CERTIFICADO!$E$5="",B945=CERTIFICADO!$E$5)),MAX($Y$4:Y944)+1,"")</f>
        <v/>
      </c>
    </row>
    <row r="946" customFormat="false" ht="15" hidden="false" customHeight="false" outlineLevel="0" collapsed="false">
      <c r="A946" s="11" t="str">
        <f aca="false">IF(C946="","",ROW()-4)</f>
        <v/>
      </c>
      <c r="B946" s="12"/>
      <c r="C946" s="13"/>
      <c r="D946" s="23" t="str">
        <f aca="false">IF(C946="","",IFERROR(INDEX(LOTES!$D$5:$D$1004,MATCH(C946,LOTES!$F$5:$F$1004,0)),"¿Lote?"))</f>
        <v/>
      </c>
      <c r="E946" s="11" t="str">
        <f aca="false">IF(C946="","",IFERROR(INDEX(LOTES!$C$5:$C$1004,MATCH(C946,LOTES!$F$5:$F$1004,0)),""))</f>
        <v/>
      </c>
      <c r="F946" s="24" t="str">
        <f aca="false">IF(C946="","",IFERROR(INDEX(LOTES!$B$5:$B$1004,MATCH(C946,LOTES!$F$5:$F$1004,0)),""))</f>
        <v/>
      </c>
      <c r="G946" s="15" t="str">
        <f aca="false">IF(OR(B946="",F946=""),"",B946-F946)</f>
        <v/>
      </c>
      <c r="H946" s="13"/>
      <c r="I946" s="13"/>
      <c r="J946" s="13"/>
      <c r="K946" s="25"/>
      <c r="L946" s="25"/>
      <c r="M946" s="25"/>
      <c r="N946" s="25"/>
      <c r="O946" s="26"/>
      <c r="P946" s="16" t="str">
        <f aca="false">IF(O946="","",IFERROR(1/(1/(IF(K946="",INDEX(CONFIG!$F$5:$F$14,MATCH(D946,CONFIG!$D$5:$D$14,0)),K946)*IF(M946="",INDEX(CONFIG!$H$5:$H$14,MATCH(D946,CONFIG!$D$5:$D$14,0)),M946))),""))</f>
        <v/>
      </c>
      <c r="Q946" s="16" t="str">
        <f aca="false">IF(OR(O946="",P946=""),"",O946/P946)</f>
        <v/>
      </c>
      <c r="R946" s="16" t="str">
        <f aca="false">IF(Q946="","",Q946*0.0980665)</f>
        <v/>
      </c>
      <c r="S946" s="16" t="str">
        <f aca="false">IF(Q946="","",IFERROR(Q946/(1/(1/INDEX(CONFIG!$I$5:$I$14,MATCH(D946,CONFIG!$D$5:$D$14,0)))),""))</f>
        <v/>
      </c>
      <c r="T946" s="13"/>
      <c r="U946" s="13"/>
      <c r="V946" s="13"/>
      <c r="W946" s="13"/>
      <c r="X946" s="22" t="str">
        <f aca="false">IF(Q946="","",Q946^2)</f>
        <v/>
      </c>
      <c r="Y946" s="22" t="str">
        <f aca="false">IF(AND(C946&lt;&gt;"",C946=CERTIFICADO!$E$4,OR(CERTIFICADO!$E$5="",B946=CERTIFICADO!$E$5)),MAX($Y$4:Y945)+1,"")</f>
        <v/>
      </c>
    </row>
    <row r="947" customFormat="false" ht="15" hidden="false" customHeight="false" outlineLevel="0" collapsed="false">
      <c r="A947" s="11" t="str">
        <f aca="false">IF(C947="","",ROW()-4)</f>
        <v/>
      </c>
      <c r="B947" s="12"/>
      <c r="C947" s="13"/>
      <c r="D947" s="23" t="str">
        <f aca="false">IF(C947="","",IFERROR(INDEX(LOTES!$D$5:$D$1004,MATCH(C947,LOTES!$F$5:$F$1004,0)),"¿Lote?"))</f>
        <v/>
      </c>
      <c r="E947" s="11" t="str">
        <f aca="false">IF(C947="","",IFERROR(INDEX(LOTES!$C$5:$C$1004,MATCH(C947,LOTES!$F$5:$F$1004,0)),""))</f>
        <v/>
      </c>
      <c r="F947" s="24" t="str">
        <f aca="false">IF(C947="","",IFERROR(INDEX(LOTES!$B$5:$B$1004,MATCH(C947,LOTES!$F$5:$F$1004,0)),""))</f>
        <v/>
      </c>
      <c r="G947" s="15" t="str">
        <f aca="false">IF(OR(B947="",F947=""),"",B947-F947)</f>
        <v/>
      </c>
      <c r="H947" s="13"/>
      <c r="I947" s="13"/>
      <c r="J947" s="13"/>
      <c r="K947" s="25"/>
      <c r="L947" s="25"/>
      <c r="M947" s="25"/>
      <c r="N947" s="25"/>
      <c r="O947" s="26"/>
      <c r="P947" s="16" t="str">
        <f aca="false">IF(O947="","",IFERROR(1/(1/(IF(K947="",INDEX(CONFIG!$F$5:$F$14,MATCH(D947,CONFIG!$D$5:$D$14,0)),K947)*IF(M947="",INDEX(CONFIG!$H$5:$H$14,MATCH(D947,CONFIG!$D$5:$D$14,0)),M947))),""))</f>
        <v/>
      </c>
      <c r="Q947" s="16" t="str">
        <f aca="false">IF(OR(O947="",P947=""),"",O947/P947)</f>
        <v/>
      </c>
      <c r="R947" s="16" t="str">
        <f aca="false">IF(Q947="","",Q947*0.0980665)</f>
        <v/>
      </c>
      <c r="S947" s="16" t="str">
        <f aca="false">IF(Q947="","",IFERROR(Q947/(1/(1/INDEX(CONFIG!$I$5:$I$14,MATCH(D947,CONFIG!$D$5:$D$14,0)))),""))</f>
        <v/>
      </c>
      <c r="T947" s="13"/>
      <c r="U947" s="13"/>
      <c r="V947" s="13"/>
      <c r="W947" s="13"/>
      <c r="X947" s="22" t="str">
        <f aca="false">IF(Q947="","",Q947^2)</f>
        <v/>
      </c>
      <c r="Y947" s="22" t="str">
        <f aca="false">IF(AND(C947&lt;&gt;"",C947=CERTIFICADO!$E$4,OR(CERTIFICADO!$E$5="",B947=CERTIFICADO!$E$5)),MAX($Y$4:Y946)+1,"")</f>
        <v/>
      </c>
    </row>
    <row r="948" customFormat="false" ht="15" hidden="false" customHeight="false" outlineLevel="0" collapsed="false">
      <c r="A948" s="11" t="str">
        <f aca="false">IF(C948="","",ROW()-4)</f>
        <v/>
      </c>
      <c r="B948" s="12"/>
      <c r="C948" s="13"/>
      <c r="D948" s="23" t="str">
        <f aca="false">IF(C948="","",IFERROR(INDEX(LOTES!$D$5:$D$1004,MATCH(C948,LOTES!$F$5:$F$1004,0)),"¿Lote?"))</f>
        <v/>
      </c>
      <c r="E948" s="11" t="str">
        <f aca="false">IF(C948="","",IFERROR(INDEX(LOTES!$C$5:$C$1004,MATCH(C948,LOTES!$F$5:$F$1004,0)),""))</f>
        <v/>
      </c>
      <c r="F948" s="24" t="str">
        <f aca="false">IF(C948="","",IFERROR(INDEX(LOTES!$B$5:$B$1004,MATCH(C948,LOTES!$F$5:$F$1004,0)),""))</f>
        <v/>
      </c>
      <c r="G948" s="15" t="str">
        <f aca="false">IF(OR(B948="",F948=""),"",B948-F948)</f>
        <v/>
      </c>
      <c r="H948" s="13"/>
      <c r="I948" s="13"/>
      <c r="J948" s="13"/>
      <c r="K948" s="25"/>
      <c r="L948" s="25"/>
      <c r="M948" s="25"/>
      <c r="N948" s="25"/>
      <c r="O948" s="26"/>
      <c r="P948" s="16" t="str">
        <f aca="false">IF(O948="","",IFERROR(1/(1/(IF(K948="",INDEX(CONFIG!$F$5:$F$14,MATCH(D948,CONFIG!$D$5:$D$14,0)),K948)*IF(M948="",INDEX(CONFIG!$H$5:$H$14,MATCH(D948,CONFIG!$D$5:$D$14,0)),M948))),""))</f>
        <v/>
      </c>
      <c r="Q948" s="16" t="str">
        <f aca="false">IF(OR(O948="",P948=""),"",O948/P948)</f>
        <v/>
      </c>
      <c r="R948" s="16" t="str">
        <f aca="false">IF(Q948="","",Q948*0.0980665)</f>
        <v/>
      </c>
      <c r="S948" s="16" t="str">
        <f aca="false">IF(Q948="","",IFERROR(Q948/(1/(1/INDEX(CONFIG!$I$5:$I$14,MATCH(D948,CONFIG!$D$5:$D$14,0)))),""))</f>
        <v/>
      </c>
      <c r="T948" s="13"/>
      <c r="U948" s="13"/>
      <c r="V948" s="13"/>
      <c r="W948" s="13"/>
      <c r="X948" s="22" t="str">
        <f aca="false">IF(Q948="","",Q948^2)</f>
        <v/>
      </c>
      <c r="Y948" s="22" t="str">
        <f aca="false">IF(AND(C948&lt;&gt;"",C948=CERTIFICADO!$E$4,OR(CERTIFICADO!$E$5="",B948=CERTIFICADO!$E$5)),MAX($Y$4:Y947)+1,"")</f>
        <v/>
      </c>
    </row>
    <row r="949" customFormat="false" ht="15" hidden="false" customHeight="false" outlineLevel="0" collapsed="false">
      <c r="A949" s="11" t="str">
        <f aca="false">IF(C949="","",ROW()-4)</f>
        <v/>
      </c>
      <c r="B949" s="12"/>
      <c r="C949" s="13"/>
      <c r="D949" s="23" t="str">
        <f aca="false">IF(C949="","",IFERROR(INDEX(LOTES!$D$5:$D$1004,MATCH(C949,LOTES!$F$5:$F$1004,0)),"¿Lote?"))</f>
        <v/>
      </c>
      <c r="E949" s="11" t="str">
        <f aca="false">IF(C949="","",IFERROR(INDEX(LOTES!$C$5:$C$1004,MATCH(C949,LOTES!$F$5:$F$1004,0)),""))</f>
        <v/>
      </c>
      <c r="F949" s="24" t="str">
        <f aca="false">IF(C949="","",IFERROR(INDEX(LOTES!$B$5:$B$1004,MATCH(C949,LOTES!$F$5:$F$1004,0)),""))</f>
        <v/>
      </c>
      <c r="G949" s="15" t="str">
        <f aca="false">IF(OR(B949="",F949=""),"",B949-F949)</f>
        <v/>
      </c>
      <c r="H949" s="13"/>
      <c r="I949" s="13"/>
      <c r="J949" s="13"/>
      <c r="K949" s="25"/>
      <c r="L949" s="25"/>
      <c r="M949" s="25"/>
      <c r="N949" s="25"/>
      <c r="O949" s="26"/>
      <c r="P949" s="16" t="str">
        <f aca="false">IF(O949="","",IFERROR(1/(1/(IF(K949="",INDEX(CONFIG!$F$5:$F$14,MATCH(D949,CONFIG!$D$5:$D$14,0)),K949)*IF(M949="",INDEX(CONFIG!$H$5:$H$14,MATCH(D949,CONFIG!$D$5:$D$14,0)),M949))),""))</f>
        <v/>
      </c>
      <c r="Q949" s="16" t="str">
        <f aca="false">IF(OR(O949="",P949=""),"",O949/P949)</f>
        <v/>
      </c>
      <c r="R949" s="16" t="str">
        <f aca="false">IF(Q949="","",Q949*0.0980665)</f>
        <v/>
      </c>
      <c r="S949" s="16" t="str">
        <f aca="false">IF(Q949="","",IFERROR(Q949/(1/(1/INDEX(CONFIG!$I$5:$I$14,MATCH(D949,CONFIG!$D$5:$D$14,0)))),""))</f>
        <v/>
      </c>
      <c r="T949" s="13"/>
      <c r="U949" s="13"/>
      <c r="V949" s="13"/>
      <c r="W949" s="13"/>
      <c r="X949" s="22" t="str">
        <f aca="false">IF(Q949="","",Q949^2)</f>
        <v/>
      </c>
      <c r="Y949" s="22" t="str">
        <f aca="false">IF(AND(C949&lt;&gt;"",C949=CERTIFICADO!$E$4,OR(CERTIFICADO!$E$5="",B949=CERTIFICADO!$E$5)),MAX($Y$4:Y948)+1,"")</f>
        <v/>
      </c>
    </row>
    <row r="950" customFormat="false" ht="15" hidden="false" customHeight="false" outlineLevel="0" collapsed="false">
      <c r="A950" s="11" t="str">
        <f aca="false">IF(C950="","",ROW()-4)</f>
        <v/>
      </c>
      <c r="B950" s="12"/>
      <c r="C950" s="13"/>
      <c r="D950" s="23" t="str">
        <f aca="false">IF(C950="","",IFERROR(INDEX(LOTES!$D$5:$D$1004,MATCH(C950,LOTES!$F$5:$F$1004,0)),"¿Lote?"))</f>
        <v/>
      </c>
      <c r="E950" s="11" t="str">
        <f aca="false">IF(C950="","",IFERROR(INDEX(LOTES!$C$5:$C$1004,MATCH(C950,LOTES!$F$5:$F$1004,0)),""))</f>
        <v/>
      </c>
      <c r="F950" s="24" t="str">
        <f aca="false">IF(C950="","",IFERROR(INDEX(LOTES!$B$5:$B$1004,MATCH(C950,LOTES!$F$5:$F$1004,0)),""))</f>
        <v/>
      </c>
      <c r="G950" s="15" t="str">
        <f aca="false">IF(OR(B950="",F950=""),"",B950-F950)</f>
        <v/>
      </c>
      <c r="H950" s="13"/>
      <c r="I950" s="13"/>
      <c r="J950" s="13"/>
      <c r="K950" s="25"/>
      <c r="L950" s="25"/>
      <c r="M950" s="25"/>
      <c r="N950" s="25"/>
      <c r="O950" s="26"/>
      <c r="P950" s="16" t="str">
        <f aca="false">IF(O950="","",IFERROR(1/(1/(IF(K950="",INDEX(CONFIG!$F$5:$F$14,MATCH(D950,CONFIG!$D$5:$D$14,0)),K950)*IF(M950="",INDEX(CONFIG!$H$5:$H$14,MATCH(D950,CONFIG!$D$5:$D$14,0)),M950))),""))</f>
        <v/>
      </c>
      <c r="Q950" s="16" t="str">
        <f aca="false">IF(OR(O950="",P950=""),"",O950/P950)</f>
        <v/>
      </c>
      <c r="R950" s="16" t="str">
        <f aca="false">IF(Q950="","",Q950*0.0980665)</f>
        <v/>
      </c>
      <c r="S950" s="16" t="str">
        <f aca="false">IF(Q950="","",IFERROR(Q950/(1/(1/INDEX(CONFIG!$I$5:$I$14,MATCH(D950,CONFIG!$D$5:$D$14,0)))),""))</f>
        <v/>
      </c>
      <c r="T950" s="13"/>
      <c r="U950" s="13"/>
      <c r="V950" s="13"/>
      <c r="W950" s="13"/>
      <c r="X950" s="22" t="str">
        <f aca="false">IF(Q950="","",Q950^2)</f>
        <v/>
      </c>
      <c r="Y950" s="22" t="str">
        <f aca="false">IF(AND(C950&lt;&gt;"",C950=CERTIFICADO!$E$4,OR(CERTIFICADO!$E$5="",B950=CERTIFICADO!$E$5)),MAX($Y$4:Y949)+1,"")</f>
        <v/>
      </c>
    </row>
    <row r="951" customFormat="false" ht="15" hidden="false" customHeight="false" outlineLevel="0" collapsed="false">
      <c r="A951" s="11" t="str">
        <f aca="false">IF(C951="","",ROW()-4)</f>
        <v/>
      </c>
      <c r="B951" s="12"/>
      <c r="C951" s="13"/>
      <c r="D951" s="23" t="str">
        <f aca="false">IF(C951="","",IFERROR(INDEX(LOTES!$D$5:$D$1004,MATCH(C951,LOTES!$F$5:$F$1004,0)),"¿Lote?"))</f>
        <v/>
      </c>
      <c r="E951" s="11" t="str">
        <f aca="false">IF(C951="","",IFERROR(INDEX(LOTES!$C$5:$C$1004,MATCH(C951,LOTES!$F$5:$F$1004,0)),""))</f>
        <v/>
      </c>
      <c r="F951" s="24" t="str">
        <f aca="false">IF(C951="","",IFERROR(INDEX(LOTES!$B$5:$B$1004,MATCH(C951,LOTES!$F$5:$F$1004,0)),""))</f>
        <v/>
      </c>
      <c r="G951" s="15" t="str">
        <f aca="false">IF(OR(B951="",F951=""),"",B951-F951)</f>
        <v/>
      </c>
      <c r="H951" s="13"/>
      <c r="I951" s="13"/>
      <c r="J951" s="13"/>
      <c r="K951" s="25"/>
      <c r="L951" s="25"/>
      <c r="M951" s="25"/>
      <c r="N951" s="25"/>
      <c r="O951" s="26"/>
      <c r="P951" s="16" t="str">
        <f aca="false">IF(O951="","",IFERROR(1/(1/(IF(K951="",INDEX(CONFIG!$F$5:$F$14,MATCH(D951,CONFIG!$D$5:$D$14,0)),K951)*IF(M951="",INDEX(CONFIG!$H$5:$H$14,MATCH(D951,CONFIG!$D$5:$D$14,0)),M951))),""))</f>
        <v/>
      </c>
      <c r="Q951" s="16" t="str">
        <f aca="false">IF(OR(O951="",P951=""),"",O951/P951)</f>
        <v/>
      </c>
      <c r="R951" s="16" t="str">
        <f aca="false">IF(Q951="","",Q951*0.0980665)</f>
        <v/>
      </c>
      <c r="S951" s="16" t="str">
        <f aca="false">IF(Q951="","",IFERROR(Q951/(1/(1/INDEX(CONFIG!$I$5:$I$14,MATCH(D951,CONFIG!$D$5:$D$14,0)))),""))</f>
        <v/>
      </c>
      <c r="T951" s="13"/>
      <c r="U951" s="13"/>
      <c r="V951" s="13"/>
      <c r="W951" s="13"/>
      <c r="X951" s="22" t="str">
        <f aca="false">IF(Q951="","",Q951^2)</f>
        <v/>
      </c>
      <c r="Y951" s="22" t="str">
        <f aca="false">IF(AND(C951&lt;&gt;"",C951=CERTIFICADO!$E$4,OR(CERTIFICADO!$E$5="",B951=CERTIFICADO!$E$5)),MAX($Y$4:Y950)+1,"")</f>
        <v/>
      </c>
    </row>
    <row r="952" customFormat="false" ht="15" hidden="false" customHeight="false" outlineLevel="0" collapsed="false">
      <c r="A952" s="11" t="str">
        <f aca="false">IF(C952="","",ROW()-4)</f>
        <v/>
      </c>
      <c r="B952" s="12"/>
      <c r="C952" s="13"/>
      <c r="D952" s="23" t="str">
        <f aca="false">IF(C952="","",IFERROR(INDEX(LOTES!$D$5:$D$1004,MATCH(C952,LOTES!$F$5:$F$1004,0)),"¿Lote?"))</f>
        <v/>
      </c>
      <c r="E952" s="11" t="str">
        <f aca="false">IF(C952="","",IFERROR(INDEX(LOTES!$C$5:$C$1004,MATCH(C952,LOTES!$F$5:$F$1004,0)),""))</f>
        <v/>
      </c>
      <c r="F952" s="24" t="str">
        <f aca="false">IF(C952="","",IFERROR(INDEX(LOTES!$B$5:$B$1004,MATCH(C952,LOTES!$F$5:$F$1004,0)),""))</f>
        <v/>
      </c>
      <c r="G952" s="15" t="str">
        <f aca="false">IF(OR(B952="",F952=""),"",B952-F952)</f>
        <v/>
      </c>
      <c r="H952" s="13"/>
      <c r="I952" s="13"/>
      <c r="J952" s="13"/>
      <c r="K952" s="25"/>
      <c r="L952" s="25"/>
      <c r="M952" s="25"/>
      <c r="N952" s="25"/>
      <c r="O952" s="26"/>
      <c r="P952" s="16" t="str">
        <f aca="false">IF(O952="","",IFERROR(1/(1/(IF(K952="",INDEX(CONFIG!$F$5:$F$14,MATCH(D952,CONFIG!$D$5:$D$14,0)),K952)*IF(M952="",INDEX(CONFIG!$H$5:$H$14,MATCH(D952,CONFIG!$D$5:$D$14,0)),M952))),""))</f>
        <v/>
      </c>
      <c r="Q952" s="16" t="str">
        <f aca="false">IF(OR(O952="",P952=""),"",O952/P952)</f>
        <v/>
      </c>
      <c r="R952" s="16" t="str">
        <f aca="false">IF(Q952="","",Q952*0.0980665)</f>
        <v/>
      </c>
      <c r="S952" s="16" t="str">
        <f aca="false">IF(Q952="","",IFERROR(Q952/(1/(1/INDEX(CONFIG!$I$5:$I$14,MATCH(D952,CONFIG!$D$5:$D$14,0)))),""))</f>
        <v/>
      </c>
      <c r="T952" s="13"/>
      <c r="U952" s="13"/>
      <c r="V952" s="13"/>
      <c r="W952" s="13"/>
      <c r="X952" s="22" t="str">
        <f aca="false">IF(Q952="","",Q952^2)</f>
        <v/>
      </c>
      <c r="Y952" s="22" t="str">
        <f aca="false">IF(AND(C952&lt;&gt;"",C952=CERTIFICADO!$E$4,OR(CERTIFICADO!$E$5="",B952=CERTIFICADO!$E$5)),MAX($Y$4:Y951)+1,"")</f>
        <v/>
      </c>
    </row>
    <row r="953" customFormat="false" ht="15" hidden="false" customHeight="false" outlineLevel="0" collapsed="false">
      <c r="A953" s="11" t="str">
        <f aca="false">IF(C953="","",ROW()-4)</f>
        <v/>
      </c>
      <c r="B953" s="12"/>
      <c r="C953" s="13"/>
      <c r="D953" s="23" t="str">
        <f aca="false">IF(C953="","",IFERROR(INDEX(LOTES!$D$5:$D$1004,MATCH(C953,LOTES!$F$5:$F$1004,0)),"¿Lote?"))</f>
        <v/>
      </c>
      <c r="E953" s="11" t="str">
        <f aca="false">IF(C953="","",IFERROR(INDEX(LOTES!$C$5:$C$1004,MATCH(C953,LOTES!$F$5:$F$1004,0)),""))</f>
        <v/>
      </c>
      <c r="F953" s="24" t="str">
        <f aca="false">IF(C953="","",IFERROR(INDEX(LOTES!$B$5:$B$1004,MATCH(C953,LOTES!$F$5:$F$1004,0)),""))</f>
        <v/>
      </c>
      <c r="G953" s="15" t="str">
        <f aca="false">IF(OR(B953="",F953=""),"",B953-F953)</f>
        <v/>
      </c>
      <c r="H953" s="13"/>
      <c r="I953" s="13"/>
      <c r="J953" s="13"/>
      <c r="K953" s="25"/>
      <c r="L953" s="25"/>
      <c r="M953" s="25"/>
      <c r="N953" s="25"/>
      <c r="O953" s="26"/>
      <c r="P953" s="16" t="str">
        <f aca="false">IF(O953="","",IFERROR(1/(1/(IF(K953="",INDEX(CONFIG!$F$5:$F$14,MATCH(D953,CONFIG!$D$5:$D$14,0)),K953)*IF(M953="",INDEX(CONFIG!$H$5:$H$14,MATCH(D953,CONFIG!$D$5:$D$14,0)),M953))),""))</f>
        <v/>
      </c>
      <c r="Q953" s="16" t="str">
        <f aca="false">IF(OR(O953="",P953=""),"",O953/P953)</f>
        <v/>
      </c>
      <c r="R953" s="16" t="str">
        <f aca="false">IF(Q953="","",Q953*0.0980665)</f>
        <v/>
      </c>
      <c r="S953" s="16" t="str">
        <f aca="false">IF(Q953="","",IFERROR(Q953/(1/(1/INDEX(CONFIG!$I$5:$I$14,MATCH(D953,CONFIG!$D$5:$D$14,0)))),""))</f>
        <v/>
      </c>
      <c r="T953" s="13"/>
      <c r="U953" s="13"/>
      <c r="V953" s="13"/>
      <c r="W953" s="13"/>
      <c r="X953" s="22" t="str">
        <f aca="false">IF(Q953="","",Q953^2)</f>
        <v/>
      </c>
      <c r="Y953" s="22" t="str">
        <f aca="false">IF(AND(C953&lt;&gt;"",C953=CERTIFICADO!$E$4,OR(CERTIFICADO!$E$5="",B953=CERTIFICADO!$E$5)),MAX($Y$4:Y952)+1,"")</f>
        <v/>
      </c>
    </row>
    <row r="954" customFormat="false" ht="15" hidden="false" customHeight="false" outlineLevel="0" collapsed="false">
      <c r="A954" s="11" t="str">
        <f aca="false">IF(C954="","",ROW()-4)</f>
        <v/>
      </c>
      <c r="B954" s="12"/>
      <c r="C954" s="13"/>
      <c r="D954" s="23" t="str">
        <f aca="false">IF(C954="","",IFERROR(INDEX(LOTES!$D$5:$D$1004,MATCH(C954,LOTES!$F$5:$F$1004,0)),"¿Lote?"))</f>
        <v/>
      </c>
      <c r="E954" s="11" t="str">
        <f aca="false">IF(C954="","",IFERROR(INDEX(LOTES!$C$5:$C$1004,MATCH(C954,LOTES!$F$5:$F$1004,0)),""))</f>
        <v/>
      </c>
      <c r="F954" s="24" t="str">
        <f aca="false">IF(C954="","",IFERROR(INDEX(LOTES!$B$5:$B$1004,MATCH(C954,LOTES!$F$5:$F$1004,0)),""))</f>
        <v/>
      </c>
      <c r="G954" s="15" t="str">
        <f aca="false">IF(OR(B954="",F954=""),"",B954-F954)</f>
        <v/>
      </c>
      <c r="H954" s="13"/>
      <c r="I954" s="13"/>
      <c r="J954" s="13"/>
      <c r="K954" s="25"/>
      <c r="L954" s="25"/>
      <c r="M954" s="25"/>
      <c r="N954" s="25"/>
      <c r="O954" s="26"/>
      <c r="P954" s="16" t="str">
        <f aca="false">IF(O954="","",IFERROR(1/(1/(IF(K954="",INDEX(CONFIG!$F$5:$F$14,MATCH(D954,CONFIG!$D$5:$D$14,0)),K954)*IF(M954="",INDEX(CONFIG!$H$5:$H$14,MATCH(D954,CONFIG!$D$5:$D$14,0)),M954))),""))</f>
        <v/>
      </c>
      <c r="Q954" s="16" t="str">
        <f aca="false">IF(OR(O954="",P954=""),"",O954/P954)</f>
        <v/>
      </c>
      <c r="R954" s="16" t="str">
        <f aca="false">IF(Q954="","",Q954*0.0980665)</f>
        <v/>
      </c>
      <c r="S954" s="16" t="str">
        <f aca="false">IF(Q954="","",IFERROR(Q954/(1/(1/INDEX(CONFIG!$I$5:$I$14,MATCH(D954,CONFIG!$D$5:$D$14,0)))),""))</f>
        <v/>
      </c>
      <c r="T954" s="13"/>
      <c r="U954" s="13"/>
      <c r="V954" s="13"/>
      <c r="W954" s="13"/>
      <c r="X954" s="22" t="str">
        <f aca="false">IF(Q954="","",Q954^2)</f>
        <v/>
      </c>
      <c r="Y954" s="22" t="str">
        <f aca="false">IF(AND(C954&lt;&gt;"",C954=CERTIFICADO!$E$4,OR(CERTIFICADO!$E$5="",B954=CERTIFICADO!$E$5)),MAX($Y$4:Y953)+1,"")</f>
        <v/>
      </c>
    </row>
    <row r="955" customFormat="false" ht="15" hidden="false" customHeight="false" outlineLevel="0" collapsed="false">
      <c r="A955" s="11" t="str">
        <f aca="false">IF(C955="","",ROW()-4)</f>
        <v/>
      </c>
      <c r="B955" s="12"/>
      <c r="C955" s="13"/>
      <c r="D955" s="23" t="str">
        <f aca="false">IF(C955="","",IFERROR(INDEX(LOTES!$D$5:$D$1004,MATCH(C955,LOTES!$F$5:$F$1004,0)),"¿Lote?"))</f>
        <v/>
      </c>
      <c r="E955" s="11" t="str">
        <f aca="false">IF(C955="","",IFERROR(INDEX(LOTES!$C$5:$C$1004,MATCH(C955,LOTES!$F$5:$F$1004,0)),""))</f>
        <v/>
      </c>
      <c r="F955" s="24" t="str">
        <f aca="false">IF(C955="","",IFERROR(INDEX(LOTES!$B$5:$B$1004,MATCH(C955,LOTES!$F$5:$F$1004,0)),""))</f>
        <v/>
      </c>
      <c r="G955" s="15" t="str">
        <f aca="false">IF(OR(B955="",F955=""),"",B955-F955)</f>
        <v/>
      </c>
      <c r="H955" s="13"/>
      <c r="I955" s="13"/>
      <c r="J955" s="13"/>
      <c r="K955" s="25"/>
      <c r="L955" s="25"/>
      <c r="M955" s="25"/>
      <c r="N955" s="25"/>
      <c r="O955" s="26"/>
      <c r="P955" s="16" t="str">
        <f aca="false">IF(O955="","",IFERROR(1/(1/(IF(K955="",INDEX(CONFIG!$F$5:$F$14,MATCH(D955,CONFIG!$D$5:$D$14,0)),K955)*IF(M955="",INDEX(CONFIG!$H$5:$H$14,MATCH(D955,CONFIG!$D$5:$D$14,0)),M955))),""))</f>
        <v/>
      </c>
      <c r="Q955" s="16" t="str">
        <f aca="false">IF(OR(O955="",P955=""),"",O955/P955)</f>
        <v/>
      </c>
      <c r="R955" s="16" t="str">
        <f aca="false">IF(Q955="","",Q955*0.0980665)</f>
        <v/>
      </c>
      <c r="S955" s="16" t="str">
        <f aca="false">IF(Q955="","",IFERROR(Q955/(1/(1/INDEX(CONFIG!$I$5:$I$14,MATCH(D955,CONFIG!$D$5:$D$14,0)))),""))</f>
        <v/>
      </c>
      <c r="T955" s="13"/>
      <c r="U955" s="13"/>
      <c r="V955" s="13"/>
      <c r="W955" s="13"/>
      <c r="X955" s="22" t="str">
        <f aca="false">IF(Q955="","",Q955^2)</f>
        <v/>
      </c>
      <c r="Y955" s="22" t="str">
        <f aca="false">IF(AND(C955&lt;&gt;"",C955=CERTIFICADO!$E$4,OR(CERTIFICADO!$E$5="",B955=CERTIFICADO!$E$5)),MAX($Y$4:Y954)+1,"")</f>
        <v/>
      </c>
    </row>
    <row r="956" customFormat="false" ht="15" hidden="false" customHeight="false" outlineLevel="0" collapsed="false">
      <c r="A956" s="11" t="str">
        <f aca="false">IF(C956="","",ROW()-4)</f>
        <v/>
      </c>
      <c r="B956" s="12"/>
      <c r="C956" s="13"/>
      <c r="D956" s="23" t="str">
        <f aca="false">IF(C956="","",IFERROR(INDEX(LOTES!$D$5:$D$1004,MATCH(C956,LOTES!$F$5:$F$1004,0)),"¿Lote?"))</f>
        <v/>
      </c>
      <c r="E956" s="11" t="str">
        <f aca="false">IF(C956="","",IFERROR(INDEX(LOTES!$C$5:$C$1004,MATCH(C956,LOTES!$F$5:$F$1004,0)),""))</f>
        <v/>
      </c>
      <c r="F956" s="24" t="str">
        <f aca="false">IF(C956="","",IFERROR(INDEX(LOTES!$B$5:$B$1004,MATCH(C956,LOTES!$F$5:$F$1004,0)),""))</f>
        <v/>
      </c>
      <c r="G956" s="15" t="str">
        <f aca="false">IF(OR(B956="",F956=""),"",B956-F956)</f>
        <v/>
      </c>
      <c r="H956" s="13"/>
      <c r="I956" s="13"/>
      <c r="J956" s="13"/>
      <c r="K956" s="25"/>
      <c r="L956" s="25"/>
      <c r="M956" s="25"/>
      <c r="N956" s="25"/>
      <c r="O956" s="26"/>
      <c r="P956" s="16" t="str">
        <f aca="false">IF(O956="","",IFERROR(1/(1/(IF(K956="",INDEX(CONFIG!$F$5:$F$14,MATCH(D956,CONFIG!$D$5:$D$14,0)),K956)*IF(M956="",INDEX(CONFIG!$H$5:$H$14,MATCH(D956,CONFIG!$D$5:$D$14,0)),M956))),""))</f>
        <v/>
      </c>
      <c r="Q956" s="16" t="str">
        <f aca="false">IF(OR(O956="",P956=""),"",O956/P956)</f>
        <v/>
      </c>
      <c r="R956" s="16" t="str">
        <f aca="false">IF(Q956="","",Q956*0.0980665)</f>
        <v/>
      </c>
      <c r="S956" s="16" t="str">
        <f aca="false">IF(Q956="","",IFERROR(Q956/(1/(1/INDEX(CONFIG!$I$5:$I$14,MATCH(D956,CONFIG!$D$5:$D$14,0)))),""))</f>
        <v/>
      </c>
      <c r="T956" s="13"/>
      <c r="U956" s="13"/>
      <c r="V956" s="13"/>
      <c r="W956" s="13"/>
      <c r="X956" s="22" t="str">
        <f aca="false">IF(Q956="","",Q956^2)</f>
        <v/>
      </c>
      <c r="Y956" s="22" t="str">
        <f aca="false">IF(AND(C956&lt;&gt;"",C956=CERTIFICADO!$E$4,OR(CERTIFICADO!$E$5="",B956=CERTIFICADO!$E$5)),MAX($Y$4:Y955)+1,"")</f>
        <v/>
      </c>
    </row>
    <row r="957" customFormat="false" ht="15" hidden="false" customHeight="false" outlineLevel="0" collapsed="false">
      <c r="A957" s="11" t="str">
        <f aca="false">IF(C957="","",ROW()-4)</f>
        <v/>
      </c>
      <c r="B957" s="12"/>
      <c r="C957" s="13"/>
      <c r="D957" s="23" t="str">
        <f aca="false">IF(C957="","",IFERROR(INDEX(LOTES!$D$5:$D$1004,MATCH(C957,LOTES!$F$5:$F$1004,0)),"¿Lote?"))</f>
        <v/>
      </c>
      <c r="E957" s="11" t="str">
        <f aca="false">IF(C957="","",IFERROR(INDEX(LOTES!$C$5:$C$1004,MATCH(C957,LOTES!$F$5:$F$1004,0)),""))</f>
        <v/>
      </c>
      <c r="F957" s="24" t="str">
        <f aca="false">IF(C957="","",IFERROR(INDEX(LOTES!$B$5:$B$1004,MATCH(C957,LOTES!$F$5:$F$1004,0)),""))</f>
        <v/>
      </c>
      <c r="G957" s="15" t="str">
        <f aca="false">IF(OR(B957="",F957=""),"",B957-F957)</f>
        <v/>
      </c>
      <c r="H957" s="13"/>
      <c r="I957" s="13"/>
      <c r="J957" s="13"/>
      <c r="K957" s="25"/>
      <c r="L957" s="25"/>
      <c r="M957" s="25"/>
      <c r="N957" s="25"/>
      <c r="O957" s="26"/>
      <c r="P957" s="16" t="str">
        <f aca="false">IF(O957="","",IFERROR(1/(1/(IF(K957="",INDEX(CONFIG!$F$5:$F$14,MATCH(D957,CONFIG!$D$5:$D$14,0)),K957)*IF(M957="",INDEX(CONFIG!$H$5:$H$14,MATCH(D957,CONFIG!$D$5:$D$14,0)),M957))),""))</f>
        <v/>
      </c>
      <c r="Q957" s="16" t="str">
        <f aca="false">IF(OR(O957="",P957=""),"",O957/P957)</f>
        <v/>
      </c>
      <c r="R957" s="16" t="str">
        <f aca="false">IF(Q957="","",Q957*0.0980665)</f>
        <v/>
      </c>
      <c r="S957" s="16" t="str">
        <f aca="false">IF(Q957="","",IFERROR(Q957/(1/(1/INDEX(CONFIG!$I$5:$I$14,MATCH(D957,CONFIG!$D$5:$D$14,0)))),""))</f>
        <v/>
      </c>
      <c r="T957" s="13"/>
      <c r="U957" s="13"/>
      <c r="V957" s="13"/>
      <c r="W957" s="13"/>
      <c r="X957" s="22" t="str">
        <f aca="false">IF(Q957="","",Q957^2)</f>
        <v/>
      </c>
      <c r="Y957" s="22" t="str">
        <f aca="false">IF(AND(C957&lt;&gt;"",C957=CERTIFICADO!$E$4,OR(CERTIFICADO!$E$5="",B957=CERTIFICADO!$E$5)),MAX($Y$4:Y956)+1,"")</f>
        <v/>
      </c>
    </row>
    <row r="958" customFormat="false" ht="15" hidden="false" customHeight="false" outlineLevel="0" collapsed="false">
      <c r="A958" s="11" t="str">
        <f aca="false">IF(C958="","",ROW()-4)</f>
        <v/>
      </c>
      <c r="B958" s="12"/>
      <c r="C958" s="13"/>
      <c r="D958" s="23" t="str">
        <f aca="false">IF(C958="","",IFERROR(INDEX(LOTES!$D$5:$D$1004,MATCH(C958,LOTES!$F$5:$F$1004,0)),"¿Lote?"))</f>
        <v/>
      </c>
      <c r="E958" s="11" t="str">
        <f aca="false">IF(C958="","",IFERROR(INDEX(LOTES!$C$5:$C$1004,MATCH(C958,LOTES!$F$5:$F$1004,0)),""))</f>
        <v/>
      </c>
      <c r="F958" s="24" t="str">
        <f aca="false">IF(C958="","",IFERROR(INDEX(LOTES!$B$5:$B$1004,MATCH(C958,LOTES!$F$5:$F$1004,0)),""))</f>
        <v/>
      </c>
      <c r="G958" s="15" t="str">
        <f aca="false">IF(OR(B958="",F958=""),"",B958-F958)</f>
        <v/>
      </c>
      <c r="H958" s="13"/>
      <c r="I958" s="13"/>
      <c r="J958" s="13"/>
      <c r="K958" s="25"/>
      <c r="L958" s="25"/>
      <c r="M958" s="25"/>
      <c r="N958" s="25"/>
      <c r="O958" s="26"/>
      <c r="P958" s="16" t="str">
        <f aca="false">IF(O958="","",IFERROR(1/(1/(IF(K958="",INDEX(CONFIG!$F$5:$F$14,MATCH(D958,CONFIG!$D$5:$D$14,0)),K958)*IF(M958="",INDEX(CONFIG!$H$5:$H$14,MATCH(D958,CONFIG!$D$5:$D$14,0)),M958))),""))</f>
        <v/>
      </c>
      <c r="Q958" s="16" t="str">
        <f aca="false">IF(OR(O958="",P958=""),"",O958/P958)</f>
        <v/>
      </c>
      <c r="R958" s="16" t="str">
        <f aca="false">IF(Q958="","",Q958*0.0980665)</f>
        <v/>
      </c>
      <c r="S958" s="16" t="str">
        <f aca="false">IF(Q958="","",IFERROR(Q958/(1/(1/INDEX(CONFIG!$I$5:$I$14,MATCH(D958,CONFIG!$D$5:$D$14,0)))),""))</f>
        <v/>
      </c>
      <c r="T958" s="13"/>
      <c r="U958" s="13"/>
      <c r="V958" s="13"/>
      <c r="W958" s="13"/>
      <c r="X958" s="22" t="str">
        <f aca="false">IF(Q958="","",Q958^2)</f>
        <v/>
      </c>
      <c r="Y958" s="22" t="str">
        <f aca="false">IF(AND(C958&lt;&gt;"",C958=CERTIFICADO!$E$4,OR(CERTIFICADO!$E$5="",B958=CERTIFICADO!$E$5)),MAX($Y$4:Y957)+1,"")</f>
        <v/>
      </c>
    </row>
    <row r="959" customFormat="false" ht="15" hidden="false" customHeight="false" outlineLevel="0" collapsed="false">
      <c r="A959" s="11" t="str">
        <f aca="false">IF(C959="","",ROW()-4)</f>
        <v/>
      </c>
      <c r="B959" s="12"/>
      <c r="C959" s="13"/>
      <c r="D959" s="23" t="str">
        <f aca="false">IF(C959="","",IFERROR(INDEX(LOTES!$D$5:$D$1004,MATCH(C959,LOTES!$F$5:$F$1004,0)),"¿Lote?"))</f>
        <v/>
      </c>
      <c r="E959" s="11" t="str">
        <f aca="false">IF(C959="","",IFERROR(INDEX(LOTES!$C$5:$C$1004,MATCH(C959,LOTES!$F$5:$F$1004,0)),""))</f>
        <v/>
      </c>
      <c r="F959" s="24" t="str">
        <f aca="false">IF(C959="","",IFERROR(INDEX(LOTES!$B$5:$B$1004,MATCH(C959,LOTES!$F$5:$F$1004,0)),""))</f>
        <v/>
      </c>
      <c r="G959" s="15" t="str">
        <f aca="false">IF(OR(B959="",F959=""),"",B959-F959)</f>
        <v/>
      </c>
      <c r="H959" s="13"/>
      <c r="I959" s="13"/>
      <c r="J959" s="13"/>
      <c r="K959" s="25"/>
      <c r="L959" s="25"/>
      <c r="M959" s="25"/>
      <c r="N959" s="25"/>
      <c r="O959" s="26"/>
      <c r="P959" s="16" t="str">
        <f aca="false">IF(O959="","",IFERROR(1/(1/(IF(K959="",INDEX(CONFIG!$F$5:$F$14,MATCH(D959,CONFIG!$D$5:$D$14,0)),K959)*IF(M959="",INDEX(CONFIG!$H$5:$H$14,MATCH(D959,CONFIG!$D$5:$D$14,0)),M959))),""))</f>
        <v/>
      </c>
      <c r="Q959" s="16" t="str">
        <f aca="false">IF(OR(O959="",P959=""),"",O959/P959)</f>
        <v/>
      </c>
      <c r="R959" s="16" t="str">
        <f aca="false">IF(Q959="","",Q959*0.0980665)</f>
        <v/>
      </c>
      <c r="S959" s="16" t="str">
        <f aca="false">IF(Q959="","",IFERROR(Q959/(1/(1/INDEX(CONFIG!$I$5:$I$14,MATCH(D959,CONFIG!$D$5:$D$14,0)))),""))</f>
        <v/>
      </c>
      <c r="T959" s="13"/>
      <c r="U959" s="13"/>
      <c r="V959" s="13"/>
      <c r="W959" s="13"/>
      <c r="X959" s="22" t="str">
        <f aca="false">IF(Q959="","",Q959^2)</f>
        <v/>
      </c>
      <c r="Y959" s="22" t="str">
        <f aca="false">IF(AND(C959&lt;&gt;"",C959=CERTIFICADO!$E$4,OR(CERTIFICADO!$E$5="",B959=CERTIFICADO!$E$5)),MAX($Y$4:Y958)+1,"")</f>
        <v/>
      </c>
    </row>
    <row r="960" customFormat="false" ht="15" hidden="false" customHeight="false" outlineLevel="0" collapsed="false">
      <c r="A960" s="11" t="str">
        <f aca="false">IF(C960="","",ROW()-4)</f>
        <v/>
      </c>
      <c r="B960" s="12"/>
      <c r="C960" s="13"/>
      <c r="D960" s="23" t="str">
        <f aca="false">IF(C960="","",IFERROR(INDEX(LOTES!$D$5:$D$1004,MATCH(C960,LOTES!$F$5:$F$1004,0)),"¿Lote?"))</f>
        <v/>
      </c>
      <c r="E960" s="11" t="str">
        <f aca="false">IF(C960="","",IFERROR(INDEX(LOTES!$C$5:$C$1004,MATCH(C960,LOTES!$F$5:$F$1004,0)),""))</f>
        <v/>
      </c>
      <c r="F960" s="24" t="str">
        <f aca="false">IF(C960="","",IFERROR(INDEX(LOTES!$B$5:$B$1004,MATCH(C960,LOTES!$F$5:$F$1004,0)),""))</f>
        <v/>
      </c>
      <c r="G960" s="15" t="str">
        <f aca="false">IF(OR(B960="",F960=""),"",B960-F960)</f>
        <v/>
      </c>
      <c r="H960" s="13"/>
      <c r="I960" s="13"/>
      <c r="J960" s="13"/>
      <c r="K960" s="25"/>
      <c r="L960" s="25"/>
      <c r="M960" s="25"/>
      <c r="N960" s="25"/>
      <c r="O960" s="26"/>
      <c r="P960" s="16" t="str">
        <f aca="false">IF(O960="","",IFERROR(1/(1/(IF(K960="",INDEX(CONFIG!$F$5:$F$14,MATCH(D960,CONFIG!$D$5:$D$14,0)),K960)*IF(M960="",INDEX(CONFIG!$H$5:$H$14,MATCH(D960,CONFIG!$D$5:$D$14,0)),M960))),""))</f>
        <v/>
      </c>
      <c r="Q960" s="16" t="str">
        <f aca="false">IF(OR(O960="",P960=""),"",O960/P960)</f>
        <v/>
      </c>
      <c r="R960" s="16" t="str">
        <f aca="false">IF(Q960="","",Q960*0.0980665)</f>
        <v/>
      </c>
      <c r="S960" s="16" t="str">
        <f aca="false">IF(Q960="","",IFERROR(Q960/(1/(1/INDEX(CONFIG!$I$5:$I$14,MATCH(D960,CONFIG!$D$5:$D$14,0)))),""))</f>
        <v/>
      </c>
      <c r="T960" s="13"/>
      <c r="U960" s="13"/>
      <c r="V960" s="13"/>
      <c r="W960" s="13"/>
      <c r="X960" s="22" t="str">
        <f aca="false">IF(Q960="","",Q960^2)</f>
        <v/>
      </c>
      <c r="Y960" s="22" t="str">
        <f aca="false">IF(AND(C960&lt;&gt;"",C960=CERTIFICADO!$E$4,OR(CERTIFICADO!$E$5="",B960=CERTIFICADO!$E$5)),MAX($Y$4:Y959)+1,"")</f>
        <v/>
      </c>
    </row>
    <row r="961" customFormat="false" ht="15" hidden="false" customHeight="false" outlineLevel="0" collapsed="false">
      <c r="A961" s="11" t="str">
        <f aca="false">IF(C961="","",ROW()-4)</f>
        <v/>
      </c>
      <c r="B961" s="12"/>
      <c r="C961" s="13"/>
      <c r="D961" s="23" t="str">
        <f aca="false">IF(C961="","",IFERROR(INDEX(LOTES!$D$5:$D$1004,MATCH(C961,LOTES!$F$5:$F$1004,0)),"¿Lote?"))</f>
        <v/>
      </c>
      <c r="E961" s="11" t="str">
        <f aca="false">IF(C961="","",IFERROR(INDEX(LOTES!$C$5:$C$1004,MATCH(C961,LOTES!$F$5:$F$1004,0)),""))</f>
        <v/>
      </c>
      <c r="F961" s="24" t="str">
        <f aca="false">IF(C961="","",IFERROR(INDEX(LOTES!$B$5:$B$1004,MATCH(C961,LOTES!$F$5:$F$1004,0)),""))</f>
        <v/>
      </c>
      <c r="G961" s="15" t="str">
        <f aca="false">IF(OR(B961="",F961=""),"",B961-F961)</f>
        <v/>
      </c>
      <c r="H961" s="13"/>
      <c r="I961" s="13"/>
      <c r="J961" s="13"/>
      <c r="K961" s="25"/>
      <c r="L961" s="25"/>
      <c r="M961" s="25"/>
      <c r="N961" s="25"/>
      <c r="O961" s="26"/>
      <c r="P961" s="16" t="str">
        <f aca="false">IF(O961="","",IFERROR(1/(1/(IF(K961="",INDEX(CONFIG!$F$5:$F$14,MATCH(D961,CONFIG!$D$5:$D$14,0)),K961)*IF(M961="",INDEX(CONFIG!$H$5:$H$14,MATCH(D961,CONFIG!$D$5:$D$14,0)),M961))),""))</f>
        <v/>
      </c>
      <c r="Q961" s="16" t="str">
        <f aca="false">IF(OR(O961="",P961=""),"",O961/P961)</f>
        <v/>
      </c>
      <c r="R961" s="16" t="str">
        <f aca="false">IF(Q961="","",Q961*0.0980665)</f>
        <v/>
      </c>
      <c r="S961" s="16" t="str">
        <f aca="false">IF(Q961="","",IFERROR(Q961/(1/(1/INDEX(CONFIG!$I$5:$I$14,MATCH(D961,CONFIG!$D$5:$D$14,0)))),""))</f>
        <v/>
      </c>
      <c r="T961" s="13"/>
      <c r="U961" s="13"/>
      <c r="V961" s="13"/>
      <c r="W961" s="13"/>
      <c r="X961" s="22" t="str">
        <f aca="false">IF(Q961="","",Q961^2)</f>
        <v/>
      </c>
      <c r="Y961" s="22" t="str">
        <f aca="false">IF(AND(C961&lt;&gt;"",C961=CERTIFICADO!$E$4,OR(CERTIFICADO!$E$5="",B961=CERTIFICADO!$E$5)),MAX($Y$4:Y960)+1,"")</f>
        <v/>
      </c>
    </row>
    <row r="962" customFormat="false" ht="15" hidden="false" customHeight="false" outlineLevel="0" collapsed="false">
      <c r="A962" s="11" t="str">
        <f aca="false">IF(C962="","",ROW()-4)</f>
        <v/>
      </c>
      <c r="B962" s="12"/>
      <c r="C962" s="13"/>
      <c r="D962" s="23" t="str">
        <f aca="false">IF(C962="","",IFERROR(INDEX(LOTES!$D$5:$D$1004,MATCH(C962,LOTES!$F$5:$F$1004,0)),"¿Lote?"))</f>
        <v/>
      </c>
      <c r="E962" s="11" t="str">
        <f aca="false">IF(C962="","",IFERROR(INDEX(LOTES!$C$5:$C$1004,MATCH(C962,LOTES!$F$5:$F$1004,0)),""))</f>
        <v/>
      </c>
      <c r="F962" s="24" t="str">
        <f aca="false">IF(C962="","",IFERROR(INDEX(LOTES!$B$5:$B$1004,MATCH(C962,LOTES!$F$5:$F$1004,0)),""))</f>
        <v/>
      </c>
      <c r="G962" s="15" t="str">
        <f aca="false">IF(OR(B962="",F962=""),"",B962-F962)</f>
        <v/>
      </c>
      <c r="H962" s="13"/>
      <c r="I962" s="13"/>
      <c r="J962" s="13"/>
      <c r="K962" s="25"/>
      <c r="L962" s="25"/>
      <c r="M962" s="25"/>
      <c r="N962" s="25"/>
      <c r="O962" s="26"/>
      <c r="P962" s="16" t="str">
        <f aca="false">IF(O962="","",IFERROR(1/(1/(IF(K962="",INDEX(CONFIG!$F$5:$F$14,MATCH(D962,CONFIG!$D$5:$D$14,0)),K962)*IF(M962="",INDEX(CONFIG!$H$5:$H$14,MATCH(D962,CONFIG!$D$5:$D$14,0)),M962))),""))</f>
        <v/>
      </c>
      <c r="Q962" s="16" t="str">
        <f aca="false">IF(OR(O962="",P962=""),"",O962/P962)</f>
        <v/>
      </c>
      <c r="R962" s="16" t="str">
        <f aca="false">IF(Q962="","",Q962*0.0980665)</f>
        <v/>
      </c>
      <c r="S962" s="16" t="str">
        <f aca="false">IF(Q962="","",IFERROR(Q962/(1/(1/INDEX(CONFIG!$I$5:$I$14,MATCH(D962,CONFIG!$D$5:$D$14,0)))),""))</f>
        <v/>
      </c>
      <c r="T962" s="13"/>
      <c r="U962" s="13"/>
      <c r="V962" s="13"/>
      <c r="W962" s="13"/>
      <c r="X962" s="22" t="str">
        <f aca="false">IF(Q962="","",Q962^2)</f>
        <v/>
      </c>
      <c r="Y962" s="22" t="str">
        <f aca="false">IF(AND(C962&lt;&gt;"",C962=CERTIFICADO!$E$4,OR(CERTIFICADO!$E$5="",B962=CERTIFICADO!$E$5)),MAX($Y$4:Y961)+1,"")</f>
        <v/>
      </c>
    </row>
    <row r="963" customFormat="false" ht="15" hidden="false" customHeight="false" outlineLevel="0" collapsed="false">
      <c r="A963" s="11" t="str">
        <f aca="false">IF(C963="","",ROW()-4)</f>
        <v/>
      </c>
      <c r="B963" s="12"/>
      <c r="C963" s="13"/>
      <c r="D963" s="23" t="str">
        <f aca="false">IF(C963="","",IFERROR(INDEX(LOTES!$D$5:$D$1004,MATCH(C963,LOTES!$F$5:$F$1004,0)),"¿Lote?"))</f>
        <v/>
      </c>
      <c r="E963" s="11" t="str">
        <f aca="false">IF(C963="","",IFERROR(INDEX(LOTES!$C$5:$C$1004,MATCH(C963,LOTES!$F$5:$F$1004,0)),""))</f>
        <v/>
      </c>
      <c r="F963" s="24" t="str">
        <f aca="false">IF(C963="","",IFERROR(INDEX(LOTES!$B$5:$B$1004,MATCH(C963,LOTES!$F$5:$F$1004,0)),""))</f>
        <v/>
      </c>
      <c r="G963" s="15" t="str">
        <f aca="false">IF(OR(B963="",F963=""),"",B963-F963)</f>
        <v/>
      </c>
      <c r="H963" s="13"/>
      <c r="I963" s="13"/>
      <c r="J963" s="13"/>
      <c r="K963" s="25"/>
      <c r="L963" s="25"/>
      <c r="M963" s="25"/>
      <c r="N963" s="25"/>
      <c r="O963" s="26"/>
      <c r="P963" s="16" t="str">
        <f aca="false">IF(O963="","",IFERROR(1/(1/(IF(K963="",INDEX(CONFIG!$F$5:$F$14,MATCH(D963,CONFIG!$D$5:$D$14,0)),K963)*IF(M963="",INDEX(CONFIG!$H$5:$H$14,MATCH(D963,CONFIG!$D$5:$D$14,0)),M963))),""))</f>
        <v/>
      </c>
      <c r="Q963" s="16" t="str">
        <f aca="false">IF(OR(O963="",P963=""),"",O963/P963)</f>
        <v/>
      </c>
      <c r="R963" s="16" t="str">
        <f aca="false">IF(Q963="","",Q963*0.0980665)</f>
        <v/>
      </c>
      <c r="S963" s="16" t="str">
        <f aca="false">IF(Q963="","",IFERROR(Q963/(1/(1/INDEX(CONFIG!$I$5:$I$14,MATCH(D963,CONFIG!$D$5:$D$14,0)))),""))</f>
        <v/>
      </c>
      <c r="T963" s="13"/>
      <c r="U963" s="13"/>
      <c r="V963" s="13"/>
      <c r="W963" s="13"/>
      <c r="X963" s="22" t="str">
        <f aca="false">IF(Q963="","",Q963^2)</f>
        <v/>
      </c>
      <c r="Y963" s="22" t="str">
        <f aca="false">IF(AND(C963&lt;&gt;"",C963=CERTIFICADO!$E$4,OR(CERTIFICADO!$E$5="",B963=CERTIFICADO!$E$5)),MAX($Y$4:Y962)+1,"")</f>
        <v/>
      </c>
    </row>
    <row r="964" customFormat="false" ht="15" hidden="false" customHeight="false" outlineLevel="0" collapsed="false">
      <c r="A964" s="11" t="str">
        <f aca="false">IF(C964="","",ROW()-4)</f>
        <v/>
      </c>
      <c r="B964" s="12"/>
      <c r="C964" s="13"/>
      <c r="D964" s="23" t="str">
        <f aca="false">IF(C964="","",IFERROR(INDEX(LOTES!$D$5:$D$1004,MATCH(C964,LOTES!$F$5:$F$1004,0)),"¿Lote?"))</f>
        <v/>
      </c>
      <c r="E964" s="11" t="str">
        <f aca="false">IF(C964="","",IFERROR(INDEX(LOTES!$C$5:$C$1004,MATCH(C964,LOTES!$F$5:$F$1004,0)),""))</f>
        <v/>
      </c>
      <c r="F964" s="24" t="str">
        <f aca="false">IF(C964="","",IFERROR(INDEX(LOTES!$B$5:$B$1004,MATCH(C964,LOTES!$F$5:$F$1004,0)),""))</f>
        <v/>
      </c>
      <c r="G964" s="15" t="str">
        <f aca="false">IF(OR(B964="",F964=""),"",B964-F964)</f>
        <v/>
      </c>
      <c r="H964" s="13"/>
      <c r="I964" s="13"/>
      <c r="J964" s="13"/>
      <c r="K964" s="25"/>
      <c r="L964" s="25"/>
      <c r="M964" s="25"/>
      <c r="N964" s="25"/>
      <c r="O964" s="26"/>
      <c r="P964" s="16" t="str">
        <f aca="false">IF(O964="","",IFERROR(1/(1/(IF(K964="",INDEX(CONFIG!$F$5:$F$14,MATCH(D964,CONFIG!$D$5:$D$14,0)),K964)*IF(M964="",INDEX(CONFIG!$H$5:$H$14,MATCH(D964,CONFIG!$D$5:$D$14,0)),M964))),""))</f>
        <v/>
      </c>
      <c r="Q964" s="16" t="str">
        <f aca="false">IF(OR(O964="",P964=""),"",O964/P964)</f>
        <v/>
      </c>
      <c r="R964" s="16" t="str">
        <f aca="false">IF(Q964="","",Q964*0.0980665)</f>
        <v/>
      </c>
      <c r="S964" s="16" t="str">
        <f aca="false">IF(Q964="","",IFERROR(Q964/(1/(1/INDEX(CONFIG!$I$5:$I$14,MATCH(D964,CONFIG!$D$5:$D$14,0)))),""))</f>
        <v/>
      </c>
      <c r="T964" s="13"/>
      <c r="U964" s="13"/>
      <c r="V964" s="13"/>
      <c r="W964" s="13"/>
      <c r="X964" s="22" t="str">
        <f aca="false">IF(Q964="","",Q964^2)</f>
        <v/>
      </c>
      <c r="Y964" s="22" t="str">
        <f aca="false">IF(AND(C964&lt;&gt;"",C964=CERTIFICADO!$E$4,OR(CERTIFICADO!$E$5="",B964=CERTIFICADO!$E$5)),MAX($Y$4:Y963)+1,"")</f>
        <v/>
      </c>
    </row>
    <row r="965" customFormat="false" ht="15" hidden="false" customHeight="false" outlineLevel="0" collapsed="false">
      <c r="A965" s="11" t="str">
        <f aca="false">IF(C965="","",ROW()-4)</f>
        <v/>
      </c>
      <c r="B965" s="12"/>
      <c r="C965" s="13"/>
      <c r="D965" s="23" t="str">
        <f aca="false">IF(C965="","",IFERROR(INDEX(LOTES!$D$5:$D$1004,MATCH(C965,LOTES!$F$5:$F$1004,0)),"¿Lote?"))</f>
        <v/>
      </c>
      <c r="E965" s="11" t="str">
        <f aca="false">IF(C965="","",IFERROR(INDEX(LOTES!$C$5:$C$1004,MATCH(C965,LOTES!$F$5:$F$1004,0)),""))</f>
        <v/>
      </c>
      <c r="F965" s="24" t="str">
        <f aca="false">IF(C965="","",IFERROR(INDEX(LOTES!$B$5:$B$1004,MATCH(C965,LOTES!$F$5:$F$1004,0)),""))</f>
        <v/>
      </c>
      <c r="G965" s="15" t="str">
        <f aca="false">IF(OR(B965="",F965=""),"",B965-F965)</f>
        <v/>
      </c>
      <c r="H965" s="13"/>
      <c r="I965" s="13"/>
      <c r="J965" s="13"/>
      <c r="K965" s="25"/>
      <c r="L965" s="25"/>
      <c r="M965" s="25"/>
      <c r="N965" s="25"/>
      <c r="O965" s="26"/>
      <c r="P965" s="16" t="str">
        <f aca="false">IF(O965="","",IFERROR(1/(1/(IF(K965="",INDEX(CONFIG!$F$5:$F$14,MATCH(D965,CONFIG!$D$5:$D$14,0)),K965)*IF(M965="",INDEX(CONFIG!$H$5:$H$14,MATCH(D965,CONFIG!$D$5:$D$14,0)),M965))),""))</f>
        <v/>
      </c>
      <c r="Q965" s="16" t="str">
        <f aca="false">IF(OR(O965="",P965=""),"",O965/P965)</f>
        <v/>
      </c>
      <c r="R965" s="16" t="str">
        <f aca="false">IF(Q965="","",Q965*0.0980665)</f>
        <v/>
      </c>
      <c r="S965" s="16" t="str">
        <f aca="false">IF(Q965="","",IFERROR(Q965/(1/(1/INDEX(CONFIG!$I$5:$I$14,MATCH(D965,CONFIG!$D$5:$D$14,0)))),""))</f>
        <v/>
      </c>
      <c r="T965" s="13"/>
      <c r="U965" s="13"/>
      <c r="V965" s="13"/>
      <c r="W965" s="13"/>
      <c r="X965" s="22" t="str">
        <f aca="false">IF(Q965="","",Q965^2)</f>
        <v/>
      </c>
      <c r="Y965" s="22" t="str">
        <f aca="false">IF(AND(C965&lt;&gt;"",C965=CERTIFICADO!$E$4,OR(CERTIFICADO!$E$5="",B965=CERTIFICADO!$E$5)),MAX($Y$4:Y964)+1,"")</f>
        <v/>
      </c>
    </row>
    <row r="966" customFormat="false" ht="15" hidden="false" customHeight="false" outlineLevel="0" collapsed="false">
      <c r="A966" s="11" t="str">
        <f aca="false">IF(C966="","",ROW()-4)</f>
        <v/>
      </c>
      <c r="B966" s="12"/>
      <c r="C966" s="13"/>
      <c r="D966" s="23" t="str">
        <f aca="false">IF(C966="","",IFERROR(INDEX(LOTES!$D$5:$D$1004,MATCH(C966,LOTES!$F$5:$F$1004,0)),"¿Lote?"))</f>
        <v/>
      </c>
      <c r="E966" s="11" t="str">
        <f aca="false">IF(C966="","",IFERROR(INDEX(LOTES!$C$5:$C$1004,MATCH(C966,LOTES!$F$5:$F$1004,0)),""))</f>
        <v/>
      </c>
      <c r="F966" s="24" t="str">
        <f aca="false">IF(C966="","",IFERROR(INDEX(LOTES!$B$5:$B$1004,MATCH(C966,LOTES!$F$5:$F$1004,0)),""))</f>
        <v/>
      </c>
      <c r="G966" s="15" t="str">
        <f aca="false">IF(OR(B966="",F966=""),"",B966-F966)</f>
        <v/>
      </c>
      <c r="H966" s="13"/>
      <c r="I966" s="13"/>
      <c r="J966" s="13"/>
      <c r="K966" s="25"/>
      <c r="L966" s="25"/>
      <c r="M966" s="25"/>
      <c r="N966" s="25"/>
      <c r="O966" s="26"/>
      <c r="P966" s="16" t="str">
        <f aca="false">IF(O966="","",IFERROR(1/(1/(IF(K966="",INDEX(CONFIG!$F$5:$F$14,MATCH(D966,CONFIG!$D$5:$D$14,0)),K966)*IF(M966="",INDEX(CONFIG!$H$5:$H$14,MATCH(D966,CONFIG!$D$5:$D$14,0)),M966))),""))</f>
        <v/>
      </c>
      <c r="Q966" s="16" t="str">
        <f aca="false">IF(OR(O966="",P966=""),"",O966/P966)</f>
        <v/>
      </c>
      <c r="R966" s="16" t="str">
        <f aca="false">IF(Q966="","",Q966*0.0980665)</f>
        <v/>
      </c>
      <c r="S966" s="16" t="str">
        <f aca="false">IF(Q966="","",IFERROR(Q966/(1/(1/INDEX(CONFIG!$I$5:$I$14,MATCH(D966,CONFIG!$D$5:$D$14,0)))),""))</f>
        <v/>
      </c>
      <c r="T966" s="13"/>
      <c r="U966" s="13"/>
      <c r="V966" s="13"/>
      <c r="W966" s="13"/>
      <c r="X966" s="22" t="str">
        <f aca="false">IF(Q966="","",Q966^2)</f>
        <v/>
      </c>
      <c r="Y966" s="22" t="str">
        <f aca="false">IF(AND(C966&lt;&gt;"",C966=CERTIFICADO!$E$4,OR(CERTIFICADO!$E$5="",B966=CERTIFICADO!$E$5)),MAX($Y$4:Y965)+1,"")</f>
        <v/>
      </c>
    </row>
    <row r="967" customFormat="false" ht="15" hidden="false" customHeight="false" outlineLevel="0" collapsed="false">
      <c r="A967" s="11" t="str">
        <f aca="false">IF(C967="","",ROW()-4)</f>
        <v/>
      </c>
      <c r="B967" s="12"/>
      <c r="C967" s="13"/>
      <c r="D967" s="23" t="str">
        <f aca="false">IF(C967="","",IFERROR(INDEX(LOTES!$D$5:$D$1004,MATCH(C967,LOTES!$F$5:$F$1004,0)),"¿Lote?"))</f>
        <v/>
      </c>
      <c r="E967" s="11" t="str">
        <f aca="false">IF(C967="","",IFERROR(INDEX(LOTES!$C$5:$C$1004,MATCH(C967,LOTES!$F$5:$F$1004,0)),""))</f>
        <v/>
      </c>
      <c r="F967" s="24" t="str">
        <f aca="false">IF(C967="","",IFERROR(INDEX(LOTES!$B$5:$B$1004,MATCH(C967,LOTES!$F$5:$F$1004,0)),""))</f>
        <v/>
      </c>
      <c r="G967" s="15" t="str">
        <f aca="false">IF(OR(B967="",F967=""),"",B967-F967)</f>
        <v/>
      </c>
      <c r="H967" s="13"/>
      <c r="I967" s="13"/>
      <c r="J967" s="13"/>
      <c r="K967" s="25"/>
      <c r="L967" s="25"/>
      <c r="M967" s="25"/>
      <c r="N967" s="25"/>
      <c r="O967" s="26"/>
      <c r="P967" s="16" t="str">
        <f aca="false">IF(O967="","",IFERROR(1/(1/(IF(K967="",INDEX(CONFIG!$F$5:$F$14,MATCH(D967,CONFIG!$D$5:$D$14,0)),K967)*IF(M967="",INDEX(CONFIG!$H$5:$H$14,MATCH(D967,CONFIG!$D$5:$D$14,0)),M967))),""))</f>
        <v/>
      </c>
      <c r="Q967" s="16" t="str">
        <f aca="false">IF(OR(O967="",P967=""),"",O967/P967)</f>
        <v/>
      </c>
      <c r="R967" s="16" t="str">
        <f aca="false">IF(Q967="","",Q967*0.0980665)</f>
        <v/>
      </c>
      <c r="S967" s="16" t="str">
        <f aca="false">IF(Q967="","",IFERROR(Q967/(1/(1/INDEX(CONFIG!$I$5:$I$14,MATCH(D967,CONFIG!$D$5:$D$14,0)))),""))</f>
        <v/>
      </c>
      <c r="T967" s="13"/>
      <c r="U967" s="13"/>
      <c r="V967" s="13"/>
      <c r="W967" s="13"/>
      <c r="X967" s="22" t="str">
        <f aca="false">IF(Q967="","",Q967^2)</f>
        <v/>
      </c>
      <c r="Y967" s="22" t="str">
        <f aca="false">IF(AND(C967&lt;&gt;"",C967=CERTIFICADO!$E$4,OR(CERTIFICADO!$E$5="",B967=CERTIFICADO!$E$5)),MAX($Y$4:Y966)+1,"")</f>
        <v/>
      </c>
    </row>
    <row r="968" customFormat="false" ht="15" hidden="false" customHeight="false" outlineLevel="0" collapsed="false">
      <c r="A968" s="11" t="str">
        <f aca="false">IF(C968="","",ROW()-4)</f>
        <v/>
      </c>
      <c r="B968" s="12"/>
      <c r="C968" s="13"/>
      <c r="D968" s="23" t="str">
        <f aca="false">IF(C968="","",IFERROR(INDEX(LOTES!$D$5:$D$1004,MATCH(C968,LOTES!$F$5:$F$1004,0)),"¿Lote?"))</f>
        <v/>
      </c>
      <c r="E968" s="11" t="str">
        <f aca="false">IF(C968="","",IFERROR(INDEX(LOTES!$C$5:$C$1004,MATCH(C968,LOTES!$F$5:$F$1004,0)),""))</f>
        <v/>
      </c>
      <c r="F968" s="24" t="str">
        <f aca="false">IF(C968="","",IFERROR(INDEX(LOTES!$B$5:$B$1004,MATCH(C968,LOTES!$F$5:$F$1004,0)),""))</f>
        <v/>
      </c>
      <c r="G968" s="15" t="str">
        <f aca="false">IF(OR(B968="",F968=""),"",B968-F968)</f>
        <v/>
      </c>
      <c r="H968" s="13"/>
      <c r="I968" s="13"/>
      <c r="J968" s="13"/>
      <c r="K968" s="25"/>
      <c r="L968" s="25"/>
      <c r="M968" s="25"/>
      <c r="N968" s="25"/>
      <c r="O968" s="26"/>
      <c r="P968" s="16" t="str">
        <f aca="false">IF(O968="","",IFERROR(1/(1/(IF(K968="",INDEX(CONFIG!$F$5:$F$14,MATCH(D968,CONFIG!$D$5:$D$14,0)),K968)*IF(M968="",INDEX(CONFIG!$H$5:$H$14,MATCH(D968,CONFIG!$D$5:$D$14,0)),M968))),""))</f>
        <v/>
      </c>
      <c r="Q968" s="16" t="str">
        <f aca="false">IF(OR(O968="",P968=""),"",O968/P968)</f>
        <v/>
      </c>
      <c r="R968" s="16" t="str">
        <f aca="false">IF(Q968="","",Q968*0.0980665)</f>
        <v/>
      </c>
      <c r="S968" s="16" t="str">
        <f aca="false">IF(Q968="","",IFERROR(Q968/(1/(1/INDEX(CONFIG!$I$5:$I$14,MATCH(D968,CONFIG!$D$5:$D$14,0)))),""))</f>
        <v/>
      </c>
      <c r="T968" s="13"/>
      <c r="U968" s="13"/>
      <c r="V968" s="13"/>
      <c r="W968" s="13"/>
      <c r="X968" s="22" t="str">
        <f aca="false">IF(Q968="","",Q968^2)</f>
        <v/>
      </c>
      <c r="Y968" s="22" t="str">
        <f aca="false">IF(AND(C968&lt;&gt;"",C968=CERTIFICADO!$E$4,OR(CERTIFICADO!$E$5="",B968=CERTIFICADO!$E$5)),MAX($Y$4:Y967)+1,"")</f>
        <v/>
      </c>
    </row>
    <row r="969" customFormat="false" ht="15" hidden="false" customHeight="false" outlineLevel="0" collapsed="false">
      <c r="A969" s="11" t="str">
        <f aca="false">IF(C969="","",ROW()-4)</f>
        <v/>
      </c>
      <c r="B969" s="12"/>
      <c r="C969" s="13"/>
      <c r="D969" s="23" t="str">
        <f aca="false">IF(C969="","",IFERROR(INDEX(LOTES!$D$5:$D$1004,MATCH(C969,LOTES!$F$5:$F$1004,0)),"¿Lote?"))</f>
        <v/>
      </c>
      <c r="E969" s="11" t="str">
        <f aca="false">IF(C969="","",IFERROR(INDEX(LOTES!$C$5:$C$1004,MATCH(C969,LOTES!$F$5:$F$1004,0)),""))</f>
        <v/>
      </c>
      <c r="F969" s="24" t="str">
        <f aca="false">IF(C969="","",IFERROR(INDEX(LOTES!$B$5:$B$1004,MATCH(C969,LOTES!$F$5:$F$1004,0)),""))</f>
        <v/>
      </c>
      <c r="G969" s="15" t="str">
        <f aca="false">IF(OR(B969="",F969=""),"",B969-F969)</f>
        <v/>
      </c>
      <c r="H969" s="13"/>
      <c r="I969" s="13"/>
      <c r="J969" s="13"/>
      <c r="K969" s="25"/>
      <c r="L969" s="25"/>
      <c r="M969" s="25"/>
      <c r="N969" s="25"/>
      <c r="O969" s="26"/>
      <c r="P969" s="16" t="str">
        <f aca="false">IF(O969="","",IFERROR(1/(1/(IF(K969="",INDEX(CONFIG!$F$5:$F$14,MATCH(D969,CONFIG!$D$5:$D$14,0)),K969)*IF(M969="",INDEX(CONFIG!$H$5:$H$14,MATCH(D969,CONFIG!$D$5:$D$14,0)),M969))),""))</f>
        <v/>
      </c>
      <c r="Q969" s="16" t="str">
        <f aca="false">IF(OR(O969="",P969=""),"",O969/P969)</f>
        <v/>
      </c>
      <c r="R969" s="16" t="str">
        <f aca="false">IF(Q969="","",Q969*0.0980665)</f>
        <v/>
      </c>
      <c r="S969" s="16" t="str">
        <f aca="false">IF(Q969="","",IFERROR(Q969/(1/(1/INDEX(CONFIG!$I$5:$I$14,MATCH(D969,CONFIG!$D$5:$D$14,0)))),""))</f>
        <v/>
      </c>
      <c r="T969" s="13"/>
      <c r="U969" s="13"/>
      <c r="V969" s="13"/>
      <c r="W969" s="13"/>
      <c r="X969" s="22" t="str">
        <f aca="false">IF(Q969="","",Q969^2)</f>
        <v/>
      </c>
      <c r="Y969" s="22" t="str">
        <f aca="false">IF(AND(C969&lt;&gt;"",C969=CERTIFICADO!$E$4,OR(CERTIFICADO!$E$5="",B969=CERTIFICADO!$E$5)),MAX($Y$4:Y968)+1,"")</f>
        <v/>
      </c>
    </row>
    <row r="970" customFormat="false" ht="15" hidden="false" customHeight="false" outlineLevel="0" collapsed="false">
      <c r="A970" s="11" t="str">
        <f aca="false">IF(C970="","",ROW()-4)</f>
        <v/>
      </c>
      <c r="B970" s="12"/>
      <c r="C970" s="13"/>
      <c r="D970" s="23" t="str">
        <f aca="false">IF(C970="","",IFERROR(INDEX(LOTES!$D$5:$D$1004,MATCH(C970,LOTES!$F$5:$F$1004,0)),"¿Lote?"))</f>
        <v/>
      </c>
      <c r="E970" s="11" t="str">
        <f aca="false">IF(C970="","",IFERROR(INDEX(LOTES!$C$5:$C$1004,MATCH(C970,LOTES!$F$5:$F$1004,0)),""))</f>
        <v/>
      </c>
      <c r="F970" s="24" t="str">
        <f aca="false">IF(C970="","",IFERROR(INDEX(LOTES!$B$5:$B$1004,MATCH(C970,LOTES!$F$5:$F$1004,0)),""))</f>
        <v/>
      </c>
      <c r="G970" s="15" t="str">
        <f aca="false">IF(OR(B970="",F970=""),"",B970-F970)</f>
        <v/>
      </c>
      <c r="H970" s="13"/>
      <c r="I970" s="13"/>
      <c r="J970" s="13"/>
      <c r="K970" s="25"/>
      <c r="L970" s="25"/>
      <c r="M970" s="25"/>
      <c r="N970" s="25"/>
      <c r="O970" s="26"/>
      <c r="P970" s="16" t="str">
        <f aca="false">IF(O970="","",IFERROR(1/(1/(IF(K970="",INDEX(CONFIG!$F$5:$F$14,MATCH(D970,CONFIG!$D$5:$D$14,0)),K970)*IF(M970="",INDEX(CONFIG!$H$5:$H$14,MATCH(D970,CONFIG!$D$5:$D$14,0)),M970))),""))</f>
        <v/>
      </c>
      <c r="Q970" s="16" t="str">
        <f aca="false">IF(OR(O970="",P970=""),"",O970/P970)</f>
        <v/>
      </c>
      <c r="R970" s="16" t="str">
        <f aca="false">IF(Q970="","",Q970*0.0980665)</f>
        <v/>
      </c>
      <c r="S970" s="16" t="str">
        <f aca="false">IF(Q970="","",IFERROR(Q970/(1/(1/INDEX(CONFIG!$I$5:$I$14,MATCH(D970,CONFIG!$D$5:$D$14,0)))),""))</f>
        <v/>
      </c>
      <c r="T970" s="13"/>
      <c r="U970" s="13"/>
      <c r="V970" s="13"/>
      <c r="W970" s="13"/>
      <c r="X970" s="22" t="str">
        <f aca="false">IF(Q970="","",Q970^2)</f>
        <v/>
      </c>
      <c r="Y970" s="22" t="str">
        <f aca="false">IF(AND(C970&lt;&gt;"",C970=CERTIFICADO!$E$4,OR(CERTIFICADO!$E$5="",B970=CERTIFICADO!$E$5)),MAX($Y$4:Y969)+1,"")</f>
        <v/>
      </c>
    </row>
    <row r="971" customFormat="false" ht="15" hidden="false" customHeight="false" outlineLevel="0" collapsed="false">
      <c r="A971" s="11" t="str">
        <f aca="false">IF(C971="","",ROW()-4)</f>
        <v/>
      </c>
      <c r="B971" s="12"/>
      <c r="C971" s="13"/>
      <c r="D971" s="23" t="str">
        <f aca="false">IF(C971="","",IFERROR(INDEX(LOTES!$D$5:$D$1004,MATCH(C971,LOTES!$F$5:$F$1004,0)),"¿Lote?"))</f>
        <v/>
      </c>
      <c r="E971" s="11" t="str">
        <f aca="false">IF(C971="","",IFERROR(INDEX(LOTES!$C$5:$C$1004,MATCH(C971,LOTES!$F$5:$F$1004,0)),""))</f>
        <v/>
      </c>
      <c r="F971" s="24" t="str">
        <f aca="false">IF(C971="","",IFERROR(INDEX(LOTES!$B$5:$B$1004,MATCH(C971,LOTES!$F$5:$F$1004,0)),""))</f>
        <v/>
      </c>
      <c r="G971" s="15" t="str">
        <f aca="false">IF(OR(B971="",F971=""),"",B971-F971)</f>
        <v/>
      </c>
      <c r="H971" s="13"/>
      <c r="I971" s="13"/>
      <c r="J971" s="13"/>
      <c r="K971" s="25"/>
      <c r="L971" s="25"/>
      <c r="M971" s="25"/>
      <c r="N971" s="25"/>
      <c r="O971" s="26"/>
      <c r="P971" s="16" t="str">
        <f aca="false">IF(O971="","",IFERROR(1/(1/(IF(K971="",INDEX(CONFIG!$F$5:$F$14,MATCH(D971,CONFIG!$D$5:$D$14,0)),K971)*IF(M971="",INDEX(CONFIG!$H$5:$H$14,MATCH(D971,CONFIG!$D$5:$D$14,0)),M971))),""))</f>
        <v/>
      </c>
      <c r="Q971" s="16" t="str">
        <f aca="false">IF(OR(O971="",P971=""),"",O971/P971)</f>
        <v/>
      </c>
      <c r="R971" s="16" t="str">
        <f aca="false">IF(Q971="","",Q971*0.0980665)</f>
        <v/>
      </c>
      <c r="S971" s="16" t="str">
        <f aca="false">IF(Q971="","",IFERROR(Q971/(1/(1/INDEX(CONFIG!$I$5:$I$14,MATCH(D971,CONFIG!$D$5:$D$14,0)))),""))</f>
        <v/>
      </c>
      <c r="T971" s="13"/>
      <c r="U971" s="13"/>
      <c r="V971" s="13"/>
      <c r="W971" s="13"/>
      <c r="X971" s="22" t="str">
        <f aca="false">IF(Q971="","",Q971^2)</f>
        <v/>
      </c>
      <c r="Y971" s="22" t="str">
        <f aca="false">IF(AND(C971&lt;&gt;"",C971=CERTIFICADO!$E$4,OR(CERTIFICADO!$E$5="",B971=CERTIFICADO!$E$5)),MAX($Y$4:Y970)+1,"")</f>
        <v/>
      </c>
    </row>
    <row r="972" customFormat="false" ht="15" hidden="false" customHeight="false" outlineLevel="0" collapsed="false">
      <c r="A972" s="11" t="str">
        <f aca="false">IF(C972="","",ROW()-4)</f>
        <v/>
      </c>
      <c r="B972" s="12"/>
      <c r="C972" s="13"/>
      <c r="D972" s="23" t="str">
        <f aca="false">IF(C972="","",IFERROR(INDEX(LOTES!$D$5:$D$1004,MATCH(C972,LOTES!$F$5:$F$1004,0)),"¿Lote?"))</f>
        <v/>
      </c>
      <c r="E972" s="11" t="str">
        <f aca="false">IF(C972="","",IFERROR(INDEX(LOTES!$C$5:$C$1004,MATCH(C972,LOTES!$F$5:$F$1004,0)),""))</f>
        <v/>
      </c>
      <c r="F972" s="24" t="str">
        <f aca="false">IF(C972="","",IFERROR(INDEX(LOTES!$B$5:$B$1004,MATCH(C972,LOTES!$F$5:$F$1004,0)),""))</f>
        <v/>
      </c>
      <c r="G972" s="15" t="str">
        <f aca="false">IF(OR(B972="",F972=""),"",B972-F972)</f>
        <v/>
      </c>
      <c r="H972" s="13"/>
      <c r="I972" s="13"/>
      <c r="J972" s="13"/>
      <c r="K972" s="25"/>
      <c r="L972" s="25"/>
      <c r="M972" s="25"/>
      <c r="N972" s="25"/>
      <c r="O972" s="26"/>
      <c r="P972" s="16" t="str">
        <f aca="false">IF(O972="","",IFERROR(1/(1/(IF(K972="",INDEX(CONFIG!$F$5:$F$14,MATCH(D972,CONFIG!$D$5:$D$14,0)),K972)*IF(M972="",INDEX(CONFIG!$H$5:$H$14,MATCH(D972,CONFIG!$D$5:$D$14,0)),M972))),""))</f>
        <v/>
      </c>
      <c r="Q972" s="16" t="str">
        <f aca="false">IF(OR(O972="",P972=""),"",O972/P972)</f>
        <v/>
      </c>
      <c r="R972" s="16" t="str">
        <f aca="false">IF(Q972="","",Q972*0.0980665)</f>
        <v/>
      </c>
      <c r="S972" s="16" t="str">
        <f aca="false">IF(Q972="","",IFERROR(Q972/(1/(1/INDEX(CONFIG!$I$5:$I$14,MATCH(D972,CONFIG!$D$5:$D$14,0)))),""))</f>
        <v/>
      </c>
      <c r="T972" s="13"/>
      <c r="U972" s="13"/>
      <c r="V972" s="13"/>
      <c r="W972" s="13"/>
      <c r="X972" s="22" t="str">
        <f aca="false">IF(Q972="","",Q972^2)</f>
        <v/>
      </c>
      <c r="Y972" s="22" t="str">
        <f aca="false">IF(AND(C972&lt;&gt;"",C972=CERTIFICADO!$E$4,OR(CERTIFICADO!$E$5="",B972=CERTIFICADO!$E$5)),MAX($Y$4:Y971)+1,"")</f>
        <v/>
      </c>
    </row>
    <row r="973" customFormat="false" ht="15" hidden="false" customHeight="false" outlineLevel="0" collapsed="false">
      <c r="A973" s="11" t="str">
        <f aca="false">IF(C973="","",ROW()-4)</f>
        <v/>
      </c>
      <c r="B973" s="12"/>
      <c r="C973" s="13"/>
      <c r="D973" s="23" t="str">
        <f aca="false">IF(C973="","",IFERROR(INDEX(LOTES!$D$5:$D$1004,MATCH(C973,LOTES!$F$5:$F$1004,0)),"¿Lote?"))</f>
        <v/>
      </c>
      <c r="E973" s="11" t="str">
        <f aca="false">IF(C973="","",IFERROR(INDEX(LOTES!$C$5:$C$1004,MATCH(C973,LOTES!$F$5:$F$1004,0)),""))</f>
        <v/>
      </c>
      <c r="F973" s="24" t="str">
        <f aca="false">IF(C973="","",IFERROR(INDEX(LOTES!$B$5:$B$1004,MATCH(C973,LOTES!$F$5:$F$1004,0)),""))</f>
        <v/>
      </c>
      <c r="G973" s="15" t="str">
        <f aca="false">IF(OR(B973="",F973=""),"",B973-F973)</f>
        <v/>
      </c>
      <c r="H973" s="13"/>
      <c r="I973" s="13"/>
      <c r="J973" s="13"/>
      <c r="K973" s="25"/>
      <c r="L973" s="25"/>
      <c r="M973" s="25"/>
      <c r="N973" s="25"/>
      <c r="O973" s="26"/>
      <c r="P973" s="16" t="str">
        <f aca="false">IF(O973="","",IFERROR(1/(1/(IF(K973="",INDEX(CONFIG!$F$5:$F$14,MATCH(D973,CONFIG!$D$5:$D$14,0)),K973)*IF(M973="",INDEX(CONFIG!$H$5:$H$14,MATCH(D973,CONFIG!$D$5:$D$14,0)),M973))),""))</f>
        <v/>
      </c>
      <c r="Q973" s="16" t="str">
        <f aca="false">IF(OR(O973="",P973=""),"",O973/P973)</f>
        <v/>
      </c>
      <c r="R973" s="16" t="str">
        <f aca="false">IF(Q973="","",Q973*0.0980665)</f>
        <v/>
      </c>
      <c r="S973" s="16" t="str">
        <f aca="false">IF(Q973="","",IFERROR(Q973/(1/(1/INDEX(CONFIG!$I$5:$I$14,MATCH(D973,CONFIG!$D$5:$D$14,0)))),""))</f>
        <v/>
      </c>
      <c r="T973" s="13"/>
      <c r="U973" s="13"/>
      <c r="V973" s="13"/>
      <c r="W973" s="13"/>
      <c r="X973" s="22" t="str">
        <f aca="false">IF(Q973="","",Q973^2)</f>
        <v/>
      </c>
      <c r="Y973" s="22" t="str">
        <f aca="false">IF(AND(C973&lt;&gt;"",C973=CERTIFICADO!$E$4,OR(CERTIFICADO!$E$5="",B973=CERTIFICADO!$E$5)),MAX($Y$4:Y972)+1,"")</f>
        <v/>
      </c>
    </row>
    <row r="974" customFormat="false" ht="15" hidden="false" customHeight="false" outlineLevel="0" collapsed="false">
      <c r="A974" s="11" t="str">
        <f aca="false">IF(C974="","",ROW()-4)</f>
        <v/>
      </c>
      <c r="B974" s="12"/>
      <c r="C974" s="13"/>
      <c r="D974" s="23" t="str">
        <f aca="false">IF(C974="","",IFERROR(INDEX(LOTES!$D$5:$D$1004,MATCH(C974,LOTES!$F$5:$F$1004,0)),"¿Lote?"))</f>
        <v/>
      </c>
      <c r="E974" s="11" t="str">
        <f aca="false">IF(C974="","",IFERROR(INDEX(LOTES!$C$5:$C$1004,MATCH(C974,LOTES!$F$5:$F$1004,0)),""))</f>
        <v/>
      </c>
      <c r="F974" s="24" t="str">
        <f aca="false">IF(C974="","",IFERROR(INDEX(LOTES!$B$5:$B$1004,MATCH(C974,LOTES!$F$5:$F$1004,0)),""))</f>
        <v/>
      </c>
      <c r="G974" s="15" t="str">
        <f aca="false">IF(OR(B974="",F974=""),"",B974-F974)</f>
        <v/>
      </c>
      <c r="H974" s="13"/>
      <c r="I974" s="13"/>
      <c r="J974" s="13"/>
      <c r="K974" s="25"/>
      <c r="L974" s="25"/>
      <c r="M974" s="25"/>
      <c r="N974" s="25"/>
      <c r="O974" s="26"/>
      <c r="P974" s="16" t="str">
        <f aca="false">IF(O974="","",IFERROR(1/(1/(IF(K974="",INDEX(CONFIG!$F$5:$F$14,MATCH(D974,CONFIG!$D$5:$D$14,0)),K974)*IF(M974="",INDEX(CONFIG!$H$5:$H$14,MATCH(D974,CONFIG!$D$5:$D$14,0)),M974))),""))</f>
        <v/>
      </c>
      <c r="Q974" s="16" t="str">
        <f aca="false">IF(OR(O974="",P974=""),"",O974/P974)</f>
        <v/>
      </c>
      <c r="R974" s="16" t="str">
        <f aca="false">IF(Q974="","",Q974*0.0980665)</f>
        <v/>
      </c>
      <c r="S974" s="16" t="str">
        <f aca="false">IF(Q974="","",IFERROR(Q974/(1/(1/INDEX(CONFIG!$I$5:$I$14,MATCH(D974,CONFIG!$D$5:$D$14,0)))),""))</f>
        <v/>
      </c>
      <c r="T974" s="13"/>
      <c r="U974" s="13"/>
      <c r="V974" s="13"/>
      <c r="W974" s="13"/>
      <c r="X974" s="22" t="str">
        <f aca="false">IF(Q974="","",Q974^2)</f>
        <v/>
      </c>
      <c r="Y974" s="22" t="str">
        <f aca="false">IF(AND(C974&lt;&gt;"",C974=CERTIFICADO!$E$4,OR(CERTIFICADO!$E$5="",B974=CERTIFICADO!$E$5)),MAX($Y$4:Y973)+1,"")</f>
        <v/>
      </c>
    </row>
    <row r="975" customFormat="false" ht="15" hidden="false" customHeight="false" outlineLevel="0" collapsed="false">
      <c r="A975" s="11" t="str">
        <f aca="false">IF(C975="","",ROW()-4)</f>
        <v/>
      </c>
      <c r="B975" s="12"/>
      <c r="C975" s="13"/>
      <c r="D975" s="23" t="str">
        <f aca="false">IF(C975="","",IFERROR(INDEX(LOTES!$D$5:$D$1004,MATCH(C975,LOTES!$F$5:$F$1004,0)),"¿Lote?"))</f>
        <v/>
      </c>
      <c r="E975" s="11" t="str">
        <f aca="false">IF(C975="","",IFERROR(INDEX(LOTES!$C$5:$C$1004,MATCH(C975,LOTES!$F$5:$F$1004,0)),""))</f>
        <v/>
      </c>
      <c r="F975" s="24" t="str">
        <f aca="false">IF(C975="","",IFERROR(INDEX(LOTES!$B$5:$B$1004,MATCH(C975,LOTES!$F$5:$F$1004,0)),""))</f>
        <v/>
      </c>
      <c r="G975" s="15" t="str">
        <f aca="false">IF(OR(B975="",F975=""),"",B975-F975)</f>
        <v/>
      </c>
      <c r="H975" s="13"/>
      <c r="I975" s="13"/>
      <c r="J975" s="13"/>
      <c r="K975" s="25"/>
      <c r="L975" s="25"/>
      <c r="M975" s="25"/>
      <c r="N975" s="25"/>
      <c r="O975" s="26"/>
      <c r="P975" s="16" t="str">
        <f aca="false">IF(O975="","",IFERROR(1/(1/(IF(K975="",INDEX(CONFIG!$F$5:$F$14,MATCH(D975,CONFIG!$D$5:$D$14,0)),K975)*IF(M975="",INDEX(CONFIG!$H$5:$H$14,MATCH(D975,CONFIG!$D$5:$D$14,0)),M975))),""))</f>
        <v/>
      </c>
      <c r="Q975" s="16" t="str">
        <f aca="false">IF(OR(O975="",P975=""),"",O975/P975)</f>
        <v/>
      </c>
      <c r="R975" s="16" t="str">
        <f aca="false">IF(Q975="","",Q975*0.0980665)</f>
        <v/>
      </c>
      <c r="S975" s="16" t="str">
        <f aca="false">IF(Q975="","",IFERROR(Q975/(1/(1/INDEX(CONFIG!$I$5:$I$14,MATCH(D975,CONFIG!$D$5:$D$14,0)))),""))</f>
        <v/>
      </c>
      <c r="T975" s="13"/>
      <c r="U975" s="13"/>
      <c r="V975" s="13"/>
      <c r="W975" s="13"/>
      <c r="X975" s="22" t="str">
        <f aca="false">IF(Q975="","",Q975^2)</f>
        <v/>
      </c>
      <c r="Y975" s="22" t="str">
        <f aca="false">IF(AND(C975&lt;&gt;"",C975=CERTIFICADO!$E$4,OR(CERTIFICADO!$E$5="",B975=CERTIFICADO!$E$5)),MAX($Y$4:Y974)+1,"")</f>
        <v/>
      </c>
    </row>
    <row r="976" customFormat="false" ht="15" hidden="false" customHeight="false" outlineLevel="0" collapsed="false">
      <c r="A976" s="11" t="str">
        <f aca="false">IF(C976="","",ROW()-4)</f>
        <v/>
      </c>
      <c r="B976" s="12"/>
      <c r="C976" s="13"/>
      <c r="D976" s="23" t="str">
        <f aca="false">IF(C976="","",IFERROR(INDEX(LOTES!$D$5:$D$1004,MATCH(C976,LOTES!$F$5:$F$1004,0)),"¿Lote?"))</f>
        <v/>
      </c>
      <c r="E976" s="11" t="str">
        <f aca="false">IF(C976="","",IFERROR(INDEX(LOTES!$C$5:$C$1004,MATCH(C976,LOTES!$F$5:$F$1004,0)),""))</f>
        <v/>
      </c>
      <c r="F976" s="24" t="str">
        <f aca="false">IF(C976="","",IFERROR(INDEX(LOTES!$B$5:$B$1004,MATCH(C976,LOTES!$F$5:$F$1004,0)),""))</f>
        <v/>
      </c>
      <c r="G976" s="15" t="str">
        <f aca="false">IF(OR(B976="",F976=""),"",B976-F976)</f>
        <v/>
      </c>
      <c r="H976" s="13"/>
      <c r="I976" s="13"/>
      <c r="J976" s="13"/>
      <c r="K976" s="25"/>
      <c r="L976" s="25"/>
      <c r="M976" s="25"/>
      <c r="N976" s="25"/>
      <c r="O976" s="26"/>
      <c r="P976" s="16" t="str">
        <f aca="false">IF(O976="","",IFERROR(1/(1/(IF(K976="",INDEX(CONFIG!$F$5:$F$14,MATCH(D976,CONFIG!$D$5:$D$14,0)),K976)*IF(M976="",INDEX(CONFIG!$H$5:$H$14,MATCH(D976,CONFIG!$D$5:$D$14,0)),M976))),""))</f>
        <v/>
      </c>
      <c r="Q976" s="16" t="str">
        <f aca="false">IF(OR(O976="",P976=""),"",O976/P976)</f>
        <v/>
      </c>
      <c r="R976" s="16" t="str">
        <f aca="false">IF(Q976="","",Q976*0.0980665)</f>
        <v/>
      </c>
      <c r="S976" s="16" t="str">
        <f aca="false">IF(Q976="","",IFERROR(Q976/(1/(1/INDEX(CONFIG!$I$5:$I$14,MATCH(D976,CONFIG!$D$5:$D$14,0)))),""))</f>
        <v/>
      </c>
      <c r="T976" s="13"/>
      <c r="U976" s="13"/>
      <c r="V976" s="13"/>
      <c r="W976" s="13"/>
      <c r="X976" s="22" t="str">
        <f aca="false">IF(Q976="","",Q976^2)</f>
        <v/>
      </c>
      <c r="Y976" s="22" t="str">
        <f aca="false">IF(AND(C976&lt;&gt;"",C976=CERTIFICADO!$E$4,OR(CERTIFICADO!$E$5="",B976=CERTIFICADO!$E$5)),MAX($Y$4:Y975)+1,"")</f>
        <v/>
      </c>
    </row>
    <row r="977" customFormat="false" ht="15" hidden="false" customHeight="false" outlineLevel="0" collapsed="false">
      <c r="A977" s="11" t="str">
        <f aca="false">IF(C977="","",ROW()-4)</f>
        <v/>
      </c>
      <c r="B977" s="12"/>
      <c r="C977" s="13"/>
      <c r="D977" s="23" t="str">
        <f aca="false">IF(C977="","",IFERROR(INDEX(LOTES!$D$5:$D$1004,MATCH(C977,LOTES!$F$5:$F$1004,0)),"¿Lote?"))</f>
        <v/>
      </c>
      <c r="E977" s="11" t="str">
        <f aca="false">IF(C977="","",IFERROR(INDEX(LOTES!$C$5:$C$1004,MATCH(C977,LOTES!$F$5:$F$1004,0)),""))</f>
        <v/>
      </c>
      <c r="F977" s="24" t="str">
        <f aca="false">IF(C977="","",IFERROR(INDEX(LOTES!$B$5:$B$1004,MATCH(C977,LOTES!$F$5:$F$1004,0)),""))</f>
        <v/>
      </c>
      <c r="G977" s="15" t="str">
        <f aca="false">IF(OR(B977="",F977=""),"",B977-F977)</f>
        <v/>
      </c>
      <c r="H977" s="13"/>
      <c r="I977" s="13"/>
      <c r="J977" s="13"/>
      <c r="K977" s="25"/>
      <c r="L977" s="25"/>
      <c r="M977" s="25"/>
      <c r="N977" s="25"/>
      <c r="O977" s="26"/>
      <c r="P977" s="16" t="str">
        <f aca="false">IF(O977="","",IFERROR(1/(1/(IF(K977="",INDEX(CONFIG!$F$5:$F$14,MATCH(D977,CONFIG!$D$5:$D$14,0)),K977)*IF(M977="",INDEX(CONFIG!$H$5:$H$14,MATCH(D977,CONFIG!$D$5:$D$14,0)),M977))),""))</f>
        <v/>
      </c>
      <c r="Q977" s="16" t="str">
        <f aca="false">IF(OR(O977="",P977=""),"",O977/P977)</f>
        <v/>
      </c>
      <c r="R977" s="16" t="str">
        <f aca="false">IF(Q977="","",Q977*0.0980665)</f>
        <v/>
      </c>
      <c r="S977" s="16" t="str">
        <f aca="false">IF(Q977="","",IFERROR(Q977/(1/(1/INDEX(CONFIG!$I$5:$I$14,MATCH(D977,CONFIG!$D$5:$D$14,0)))),""))</f>
        <v/>
      </c>
      <c r="T977" s="13"/>
      <c r="U977" s="13"/>
      <c r="V977" s="13"/>
      <c r="W977" s="13"/>
      <c r="X977" s="22" t="str">
        <f aca="false">IF(Q977="","",Q977^2)</f>
        <v/>
      </c>
      <c r="Y977" s="22" t="str">
        <f aca="false">IF(AND(C977&lt;&gt;"",C977=CERTIFICADO!$E$4,OR(CERTIFICADO!$E$5="",B977=CERTIFICADO!$E$5)),MAX($Y$4:Y976)+1,"")</f>
        <v/>
      </c>
    </row>
    <row r="978" customFormat="false" ht="15" hidden="false" customHeight="false" outlineLevel="0" collapsed="false">
      <c r="A978" s="11" t="str">
        <f aca="false">IF(C978="","",ROW()-4)</f>
        <v/>
      </c>
      <c r="B978" s="12"/>
      <c r="C978" s="13"/>
      <c r="D978" s="23" t="str">
        <f aca="false">IF(C978="","",IFERROR(INDEX(LOTES!$D$5:$D$1004,MATCH(C978,LOTES!$F$5:$F$1004,0)),"¿Lote?"))</f>
        <v/>
      </c>
      <c r="E978" s="11" t="str">
        <f aca="false">IF(C978="","",IFERROR(INDEX(LOTES!$C$5:$C$1004,MATCH(C978,LOTES!$F$5:$F$1004,0)),""))</f>
        <v/>
      </c>
      <c r="F978" s="24" t="str">
        <f aca="false">IF(C978="","",IFERROR(INDEX(LOTES!$B$5:$B$1004,MATCH(C978,LOTES!$F$5:$F$1004,0)),""))</f>
        <v/>
      </c>
      <c r="G978" s="15" t="str">
        <f aca="false">IF(OR(B978="",F978=""),"",B978-F978)</f>
        <v/>
      </c>
      <c r="H978" s="13"/>
      <c r="I978" s="13"/>
      <c r="J978" s="13"/>
      <c r="K978" s="25"/>
      <c r="L978" s="25"/>
      <c r="M978" s="25"/>
      <c r="N978" s="25"/>
      <c r="O978" s="26"/>
      <c r="P978" s="16" t="str">
        <f aca="false">IF(O978="","",IFERROR(1/(1/(IF(K978="",INDEX(CONFIG!$F$5:$F$14,MATCH(D978,CONFIG!$D$5:$D$14,0)),K978)*IF(M978="",INDEX(CONFIG!$H$5:$H$14,MATCH(D978,CONFIG!$D$5:$D$14,0)),M978))),""))</f>
        <v/>
      </c>
      <c r="Q978" s="16" t="str">
        <f aca="false">IF(OR(O978="",P978=""),"",O978/P978)</f>
        <v/>
      </c>
      <c r="R978" s="16" t="str">
        <f aca="false">IF(Q978="","",Q978*0.0980665)</f>
        <v/>
      </c>
      <c r="S978" s="16" t="str">
        <f aca="false">IF(Q978="","",IFERROR(Q978/(1/(1/INDEX(CONFIG!$I$5:$I$14,MATCH(D978,CONFIG!$D$5:$D$14,0)))),""))</f>
        <v/>
      </c>
      <c r="T978" s="13"/>
      <c r="U978" s="13"/>
      <c r="V978" s="13"/>
      <c r="W978" s="13"/>
      <c r="X978" s="22" t="str">
        <f aca="false">IF(Q978="","",Q978^2)</f>
        <v/>
      </c>
      <c r="Y978" s="22" t="str">
        <f aca="false">IF(AND(C978&lt;&gt;"",C978=CERTIFICADO!$E$4,OR(CERTIFICADO!$E$5="",B978=CERTIFICADO!$E$5)),MAX($Y$4:Y977)+1,"")</f>
        <v/>
      </c>
    </row>
    <row r="979" customFormat="false" ht="15" hidden="false" customHeight="false" outlineLevel="0" collapsed="false">
      <c r="A979" s="11" t="str">
        <f aca="false">IF(C979="","",ROW()-4)</f>
        <v/>
      </c>
      <c r="B979" s="12"/>
      <c r="C979" s="13"/>
      <c r="D979" s="23" t="str">
        <f aca="false">IF(C979="","",IFERROR(INDEX(LOTES!$D$5:$D$1004,MATCH(C979,LOTES!$F$5:$F$1004,0)),"¿Lote?"))</f>
        <v/>
      </c>
      <c r="E979" s="11" t="str">
        <f aca="false">IF(C979="","",IFERROR(INDEX(LOTES!$C$5:$C$1004,MATCH(C979,LOTES!$F$5:$F$1004,0)),""))</f>
        <v/>
      </c>
      <c r="F979" s="24" t="str">
        <f aca="false">IF(C979="","",IFERROR(INDEX(LOTES!$B$5:$B$1004,MATCH(C979,LOTES!$F$5:$F$1004,0)),""))</f>
        <v/>
      </c>
      <c r="G979" s="15" t="str">
        <f aca="false">IF(OR(B979="",F979=""),"",B979-F979)</f>
        <v/>
      </c>
      <c r="H979" s="13"/>
      <c r="I979" s="13"/>
      <c r="J979" s="13"/>
      <c r="K979" s="25"/>
      <c r="L979" s="25"/>
      <c r="M979" s="25"/>
      <c r="N979" s="25"/>
      <c r="O979" s="26"/>
      <c r="P979" s="16" t="str">
        <f aca="false">IF(O979="","",IFERROR(1/(1/(IF(K979="",INDEX(CONFIG!$F$5:$F$14,MATCH(D979,CONFIG!$D$5:$D$14,0)),K979)*IF(M979="",INDEX(CONFIG!$H$5:$H$14,MATCH(D979,CONFIG!$D$5:$D$14,0)),M979))),""))</f>
        <v/>
      </c>
      <c r="Q979" s="16" t="str">
        <f aca="false">IF(OR(O979="",P979=""),"",O979/P979)</f>
        <v/>
      </c>
      <c r="R979" s="16" t="str">
        <f aca="false">IF(Q979="","",Q979*0.0980665)</f>
        <v/>
      </c>
      <c r="S979" s="16" t="str">
        <f aca="false">IF(Q979="","",IFERROR(Q979/(1/(1/INDEX(CONFIG!$I$5:$I$14,MATCH(D979,CONFIG!$D$5:$D$14,0)))),""))</f>
        <v/>
      </c>
      <c r="T979" s="13"/>
      <c r="U979" s="13"/>
      <c r="V979" s="13"/>
      <c r="W979" s="13"/>
      <c r="X979" s="22" t="str">
        <f aca="false">IF(Q979="","",Q979^2)</f>
        <v/>
      </c>
      <c r="Y979" s="22" t="str">
        <f aca="false">IF(AND(C979&lt;&gt;"",C979=CERTIFICADO!$E$4,OR(CERTIFICADO!$E$5="",B979=CERTIFICADO!$E$5)),MAX($Y$4:Y978)+1,"")</f>
        <v/>
      </c>
    </row>
    <row r="980" customFormat="false" ht="15" hidden="false" customHeight="false" outlineLevel="0" collapsed="false">
      <c r="A980" s="11" t="str">
        <f aca="false">IF(C980="","",ROW()-4)</f>
        <v/>
      </c>
      <c r="B980" s="12"/>
      <c r="C980" s="13"/>
      <c r="D980" s="23" t="str">
        <f aca="false">IF(C980="","",IFERROR(INDEX(LOTES!$D$5:$D$1004,MATCH(C980,LOTES!$F$5:$F$1004,0)),"¿Lote?"))</f>
        <v/>
      </c>
      <c r="E980" s="11" t="str">
        <f aca="false">IF(C980="","",IFERROR(INDEX(LOTES!$C$5:$C$1004,MATCH(C980,LOTES!$F$5:$F$1004,0)),""))</f>
        <v/>
      </c>
      <c r="F980" s="24" t="str">
        <f aca="false">IF(C980="","",IFERROR(INDEX(LOTES!$B$5:$B$1004,MATCH(C980,LOTES!$F$5:$F$1004,0)),""))</f>
        <v/>
      </c>
      <c r="G980" s="15" t="str">
        <f aca="false">IF(OR(B980="",F980=""),"",B980-F980)</f>
        <v/>
      </c>
      <c r="H980" s="13"/>
      <c r="I980" s="13"/>
      <c r="J980" s="13"/>
      <c r="K980" s="25"/>
      <c r="L980" s="25"/>
      <c r="M980" s="25"/>
      <c r="N980" s="25"/>
      <c r="O980" s="26"/>
      <c r="P980" s="16" t="str">
        <f aca="false">IF(O980="","",IFERROR(1/(1/(IF(K980="",INDEX(CONFIG!$F$5:$F$14,MATCH(D980,CONFIG!$D$5:$D$14,0)),K980)*IF(M980="",INDEX(CONFIG!$H$5:$H$14,MATCH(D980,CONFIG!$D$5:$D$14,0)),M980))),""))</f>
        <v/>
      </c>
      <c r="Q980" s="16" t="str">
        <f aca="false">IF(OR(O980="",P980=""),"",O980/P980)</f>
        <v/>
      </c>
      <c r="R980" s="16" t="str">
        <f aca="false">IF(Q980="","",Q980*0.0980665)</f>
        <v/>
      </c>
      <c r="S980" s="16" t="str">
        <f aca="false">IF(Q980="","",IFERROR(Q980/(1/(1/INDEX(CONFIG!$I$5:$I$14,MATCH(D980,CONFIG!$D$5:$D$14,0)))),""))</f>
        <v/>
      </c>
      <c r="T980" s="13"/>
      <c r="U980" s="13"/>
      <c r="V980" s="13"/>
      <c r="W980" s="13"/>
      <c r="X980" s="22" t="str">
        <f aca="false">IF(Q980="","",Q980^2)</f>
        <v/>
      </c>
      <c r="Y980" s="22" t="str">
        <f aca="false">IF(AND(C980&lt;&gt;"",C980=CERTIFICADO!$E$4,OR(CERTIFICADO!$E$5="",B980=CERTIFICADO!$E$5)),MAX($Y$4:Y979)+1,"")</f>
        <v/>
      </c>
    </row>
    <row r="981" customFormat="false" ht="15" hidden="false" customHeight="false" outlineLevel="0" collapsed="false">
      <c r="A981" s="11" t="str">
        <f aca="false">IF(C981="","",ROW()-4)</f>
        <v/>
      </c>
      <c r="B981" s="12"/>
      <c r="C981" s="13"/>
      <c r="D981" s="23" t="str">
        <f aca="false">IF(C981="","",IFERROR(INDEX(LOTES!$D$5:$D$1004,MATCH(C981,LOTES!$F$5:$F$1004,0)),"¿Lote?"))</f>
        <v/>
      </c>
      <c r="E981" s="11" t="str">
        <f aca="false">IF(C981="","",IFERROR(INDEX(LOTES!$C$5:$C$1004,MATCH(C981,LOTES!$F$5:$F$1004,0)),""))</f>
        <v/>
      </c>
      <c r="F981" s="24" t="str">
        <f aca="false">IF(C981="","",IFERROR(INDEX(LOTES!$B$5:$B$1004,MATCH(C981,LOTES!$F$5:$F$1004,0)),""))</f>
        <v/>
      </c>
      <c r="G981" s="15" t="str">
        <f aca="false">IF(OR(B981="",F981=""),"",B981-F981)</f>
        <v/>
      </c>
      <c r="H981" s="13"/>
      <c r="I981" s="13"/>
      <c r="J981" s="13"/>
      <c r="K981" s="25"/>
      <c r="L981" s="25"/>
      <c r="M981" s="25"/>
      <c r="N981" s="25"/>
      <c r="O981" s="26"/>
      <c r="P981" s="16" t="str">
        <f aca="false">IF(O981="","",IFERROR(1/(1/(IF(K981="",INDEX(CONFIG!$F$5:$F$14,MATCH(D981,CONFIG!$D$5:$D$14,0)),K981)*IF(M981="",INDEX(CONFIG!$H$5:$H$14,MATCH(D981,CONFIG!$D$5:$D$14,0)),M981))),""))</f>
        <v/>
      </c>
      <c r="Q981" s="16" t="str">
        <f aca="false">IF(OR(O981="",P981=""),"",O981/P981)</f>
        <v/>
      </c>
      <c r="R981" s="16" t="str">
        <f aca="false">IF(Q981="","",Q981*0.0980665)</f>
        <v/>
      </c>
      <c r="S981" s="16" t="str">
        <f aca="false">IF(Q981="","",IFERROR(Q981/(1/(1/INDEX(CONFIG!$I$5:$I$14,MATCH(D981,CONFIG!$D$5:$D$14,0)))),""))</f>
        <v/>
      </c>
      <c r="T981" s="13"/>
      <c r="U981" s="13"/>
      <c r="V981" s="13"/>
      <c r="W981" s="13"/>
      <c r="X981" s="22" t="str">
        <f aca="false">IF(Q981="","",Q981^2)</f>
        <v/>
      </c>
      <c r="Y981" s="22" t="str">
        <f aca="false">IF(AND(C981&lt;&gt;"",C981=CERTIFICADO!$E$4,OR(CERTIFICADO!$E$5="",B981=CERTIFICADO!$E$5)),MAX($Y$4:Y980)+1,"")</f>
        <v/>
      </c>
    </row>
    <row r="982" customFormat="false" ht="15" hidden="false" customHeight="false" outlineLevel="0" collapsed="false">
      <c r="A982" s="11" t="str">
        <f aca="false">IF(C982="","",ROW()-4)</f>
        <v/>
      </c>
      <c r="B982" s="12"/>
      <c r="C982" s="13"/>
      <c r="D982" s="23" t="str">
        <f aca="false">IF(C982="","",IFERROR(INDEX(LOTES!$D$5:$D$1004,MATCH(C982,LOTES!$F$5:$F$1004,0)),"¿Lote?"))</f>
        <v/>
      </c>
      <c r="E982" s="11" t="str">
        <f aca="false">IF(C982="","",IFERROR(INDEX(LOTES!$C$5:$C$1004,MATCH(C982,LOTES!$F$5:$F$1004,0)),""))</f>
        <v/>
      </c>
      <c r="F982" s="24" t="str">
        <f aca="false">IF(C982="","",IFERROR(INDEX(LOTES!$B$5:$B$1004,MATCH(C982,LOTES!$F$5:$F$1004,0)),""))</f>
        <v/>
      </c>
      <c r="G982" s="15" t="str">
        <f aca="false">IF(OR(B982="",F982=""),"",B982-F982)</f>
        <v/>
      </c>
      <c r="H982" s="13"/>
      <c r="I982" s="13"/>
      <c r="J982" s="13"/>
      <c r="K982" s="25"/>
      <c r="L982" s="25"/>
      <c r="M982" s="25"/>
      <c r="N982" s="25"/>
      <c r="O982" s="26"/>
      <c r="P982" s="16" t="str">
        <f aca="false">IF(O982="","",IFERROR(1/(1/(IF(K982="",INDEX(CONFIG!$F$5:$F$14,MATCH(D982,CONFIG!$D$5:$D$14,0)),K982)*IF(M982="",INDEX(CONFIG!$H$5:$H$14,MATCH(D982,CONFIG!$D$5:$D$14,0)),M982))),""))</f>
        <v/>
      </c>
      <c r="Q982" s="16" t="str">
        <f aca="false">IF(OR(O982="",P982=""),"",O982/P982)</f>
        <v/>
      </c>
      <c r="R982" s="16" t="str">
        <f aca="false">IF(Q982="","",Q982*0.0980665)</f>
        <v/>
      </c>
      <c r="S982" s="16" t="str">
        <f aca="false">IF(Q982="","",IFERROR(Q982/(1/(1/INDEX(CONFIG!$I$5:$I$14,MATCH(D982,CONFIG!$D$5:$D$14,0)))),""))</f>
        <v/>
      </c>
      <c r="T982" s="13"/>
      <c r="U982" s="13"/>
      <c r="V982" s="13"/>
      <c r="W982" s="13"/>
      <c r="X982" s="22" t="str">
        <f aca="false">IF(Q982="","",Q982^2)</f>
        <v/>
      </c>
      <c r="Y982" s="22" t="str">
        <f aca="false">IF(AND(C982&lt;&gt;"",C982=CERTIFICADO!$E$4,OR(CERTIFICADO!$E$5="",B982=CERTIFICADO!$E$5)),MAX($Y$4:Y981)+1,"")</f>
        <v/>
      </c>
    </row>
    <row r="983" customFormat="false" ht="15" hidden="false" customHeight="false" outlineLevel="0" collapsed="false">
      <c r="A983" s="11" t="str">
        <f aca="false">IF(C983="","",ROW()-4)</f>
        <v/>
      </c>
      <c r="B983" s="12"/>
      <c r="C983" s="13"/>
      <c r="D983" s="23" t="str">
        <f aca="false">IF(C983="","",IFERROR(INDEX(LOTES!$D$5:$D$1004,MATCH(C983,LOTES!$F$5:$F$1004,0)),"¿Lote?"))</f>
        <v/>
      </c>
      <c r="E983" s="11" t="str">
        <f aca="false">IF(C983="","",IFERROR(INDEX(LOTES!$C$5:$C$1004,MATCH(C983,LOTES!$F$5:$F$1004,0)),""))</f>
        <v/>
      </c>
      <c r="F983" s="24" t="str">
        <f aca="false">IF(C983="","",IFERROR(INDEX(LOTES!$B$5:$B$1004,MATCH(C983,LOTES!$F$5:$F$1004,0)),""))</f>
        <v/>
      </c>
      <c r="G983" s="15" t="str">
        <f aca="false">IF(OR(B983="",F983=""),"",B983-F983)</f>
        <v/>
      </c>
      <c r="H983" s="13"/>
      <c r="I983" s="13"/>
      <c r="J983" s="13"/>
      <c r="K983" s="25"/>
      <c r="L983" s="25"/>
      <c r="M983" s="25"/>
      <c r="N983" s="25"/>
      <c r="O983" s="26"/>
      <c r="P983" s="16" t="str">
        <f aca="false">IF(O983="","",IFERROR(1/(1/(IF(K983="",INDEX(CONFIG!$F$5:$F$14,MATCH(D983,CONFIG!$D$5:$D$14,0)),K983)*IF(M983="",INDEX(CONFIG!$H$5:$H$14,MATCH(D983,CONFIG!$D$5:$D$14,0)),M983))),""))</f>
        <v/>
      </c>
      <c r="Q983" s="16" t="str">
        <f aca="false">IF(OR(O983="",P983=""),"",O983/P983)</f>
        <v/>
      </c>
      <c r="R983" s="16" t="str">
        <f aca="false">IF(Q983="","",Q983*0.0980665)</f>
        <v/>
      </c>
      <c r="S983" s="16" t="str">
        <f aca="false">IF(Q983="","",IFERROR(Q983/(1/(1/INDEX(CONFIG!$I$5:$I$14,MATCH(D983,CONFIG!$D$5:$D$14,0)))),""))</f>
        <v/>
      </c>
      <c r="T983" s="13"/>
      <c r="U983" s="13"/>
      <c r="V983" s="13"/>
      <c r="W983" s="13"/>
      <c r="X983" s="22" t="str">
        <f aca="false">IF(Q983="","",Q983^2)</f>
        <v/>
      </c>
      <c r="Y983" s="22" t="str">
        <f aca="false">IF(AND(C983&lt;&gt;"",C983=CERTIFICADO!$E$4,OR(CERTIFICADO!$E$5="",B983=CERTIFICADO!$E$5)),MAX($Y$4:Y982)+1,"")</f>
        <v/>
      </c>
    </row>
    <row r="984" customFormat="false" ht="15" hidden="false" customHeight="false" outlineLevel="0" collapsed="false">
      <c r="A984" s="11" t="str">
        <f aca="false">IF(C984="","",ROW()-4)</f>
        <v/>
      </c>
      <c r="B984" s="12"/>
      <c r="C984" s="13"/>
      <c r="D984" s="23" t="str">
        <f aca="false">IF(C984="","",IFERROR(INDEX(LOTES!$D$5:$D$1004,MATCH(C984,LOTES!$F$5:$F$1004,0)),"¿Lote?"))</f>
        <v/>
      </c>
      <c r="E984" s="11" t="str">
        <f aca="false">IF(C984="","",IFERROR(INDEX(LOTES!$C$5:$C$1004,MATCH(C984,LOTES!$F$5:$F$1004,0)),""))</f>
        <v/>
      </c>
      <c r="F984" s="24" t="str">
        <f aca="false">IF(C984="","",IFERROR(INDEX(LOTES!$B$5:$B$1004,MATCH(C984,LOTES!$F$5:$F$1004,0)),""))</f>
        <v/>
      </c>
      <c r="G984" s="15" t="str">
        <f aca="false">IF(OR(B984="",F984=""),"",B984-F984)</f>
        <v/>
      </c>
      <c r="H984" s="13"/>
      <c r="I984" s="13"/>
      <c r="J984" s="13"/>
      <c r="K984" s="25"/>
      <c r="L984" s="25"/>
      <c r="M984" s="25"/>
      <c r="N984" s="25"/>
      <c r="O984" s="26"/>
      <c r="P984" s="16" t="str">
        <f aca="false">IF(O984="","",IFERROR(1/(1/(IF(K984="",INDEX(CONFIG!$F$5:$F$14,MATCH(D984,CONFIG!$D$5:$D$14,0)),K984)*IF(M984="",INDEX(CONFIG!$H$5:$H$14,MATCH(D984,CONFIG!$D$5:$D$14,0)),M984))),""))</f>
        <v/>
      </c>
      <c r="Q984" s="16" t="str">
        <f aca="false">IF(OR(O984="",P984=""),"",O984/P984)</f>
        <v/>
      </c>
      <c r="R984" s="16" t="str">
        <f aca="false">IF(Q984="","",Q984*0.0980665)</f>
        <v/>
      </c>
      <c r="S984" s="16" t="str">
        <f aca="false">IF(Q984="","",IFERROR(Q984/(1/(1/INDEX(CONFIG!$I$5:$I$14,MATCH(D984,CONFIG!$D$5:$D$14,0)))),""))</f>
        <v/>
      </c>
      <c r="T984" s="13"/>
      <c r="U984" s="13"/>
      <c r="V984" s="13"/>
      <c r="W984" s="13"/>
      <c r="X984" s="22" t="str">
        <f aca="false">IF(Q984="","",Q984^2)</f>
        <v/>
      </c>
      <c r="Y984" s="22" t="str">
        <f aca="false">IF(AND(C984&lt;&gt;"",C984=CERTIFICADO!$E$4,OR(CERTIFICADO!$E$5="",B984=CERTIFICADO!$E$5)),MAX($Y$4:Y983)+1,"")</f>
        <v/>
      </c>
    </row>
    <row r="985" customFormat="false" ht="15" hidden="false" customHeight="false" outlineLevel="0" collapsed="false">
      <c r="A985" s="11" t="str">
        <f aca="false">IF(C985="","",ROW()-4)</f>
        <v/>
      </c>
      <c r="B985" s="12"/>
      <c r="C985" s="13"/>
      <c r="D985" s="23" t="str">
        <f aca="false">IF(C985="","",IFERROR(INDEX(LOTES!$D$5:$D$1004,MATCH(C985,LOTES!$F$5:$F$1004,0)),"¿Lote?"))</f>
        <v/>
      </c>
      <c r="E985" s="11" t="str">
        <f aca="false">IF(C985="","",IFERROR(INDEX(LOTES!$C$5:$C$1004,MATCH(C985,LOTES!$F$5:$F$1004,0)),""))</f>
        <v/>
      </c>
      <c r="F985" s="24" t="str">
        <f aca="false">IF(C985="","",IFERROR(INDEX(LOTES!$B$5:$B$1004,MATCH(C985,LOTES!$F$5:$F$1004,0)),""))</f>
        <v/>
      </c>
      <c r="G985" s="15" t="str">
        <f aca="false">IF(OR(B985="",F985=""),"",B985-F985)</f>
        <v/>
      </c>
      <c r="H985" s="13"/>
      <c r="I985" s="13"/>
      <c r="J985" s="13"/>
      <c r="K985" s="25"/>
      <c r="L985" s="25"/>
      <c r="M985" s="25"/>
      <c r="N985" s="25"/>
      <c r="O985" s="26"/>
      <c r="P985" s="16" t="str">
        <f aca="false">IF(O985="","",IFERROR(1/(1/(IF(K985="",INDEX(CONFIG!$F$5:$F$14,MATCH(D985,CONFIG!$D$5:$D$14,0)),K985)*IF(M985="",INDEX(CONFIG!$H$5:$H$14,MATCH(D985,CONFIG!$D$5:$D$14,0)),M985))),""))</f>
        <v/>
      </c>
      <c r="Q985" s="16" t="str">
        <f aca="false">IF(OR(O985="",P985=""),"",O985/P985)</f>
        <v/>
      </c>
      <c r="R985" s="16" t="str">
        <f aca="false">IF(Q985="","",Q985*0.0980665)</f>
        <v/>
      </c>
      <c r="S985" s="16" t="str">
        <f aca="false">IF(Q985="","",IFERROR(Q985/(1/(1/INDEX(CONFIG!$I$5:$I$14,MATCH(D985,CONFIG!$D$5:$D$14,0)))),""))</f>
        <v/>
      </c>
      <c r="T985" s="13"/>
      <c r="U985" s="13"/>
      <c r="V985" s="13"/>
      <c r="W985" s="13"/>
      <c r="X985" s="22" t="str">
        <f aca="false">IF(Q985="","",Q985^2)</f>
        <v/>
      </c>
      <c r="Y985" s="22" t="str">
        <f aca="false">IF(AND(C985&lt;&gt;"",C985=CERTIFICADO!$E$4,OR(CERTIFICADO!$E$5="",B985=CERTIFICADO!$E$5)),MAX($Y$4:Y984)+1,"")</f>
        <v/>
      </c>
    </row>
    <row r="986" customFormat="false" ht="15" hidden="false" customHeight="false" outlineLevel="0" collapsed="false">
      <c r="A986" s="11" t="str">
        <f aca="false">IF(C986="","",ROW()-4)</f>
        <v/>
      </c>
      <c r="B986" s="12"/>
      <c r="C986" s="13"/>
      <c r="D986" s="23" t="str">
        <f aca="false">IF(C986="","",IFERROR(INDEX(LOTES!$D$5:$D$1004,MATCH(C986,LOTES!$F$5:$F$1004,0)),"¿Lote?"))</f>
        <v/>
      </c>
      <c r="E986" s="11" t="str">
        <f aca="false">IF(C986="","",IFERROR(INDEX(LOTES!$C$5:$C$1004,MATCH(C986,LOTES!$F$5:$F$1004,0)),""))</f>
        <v/>
      </c>
      <c r="F986" s="24" t="str">
        <f aca="false">IF(C986="","",IFERROR(INDEX(LOTES!$B$5:$B$1004,MATCH(C986,LOTES!$F$5:$F$1004,0)),""))</f>
        <v/>
      </c>
      <c r="G986" s="15" t="str">
        <f aca="false">IF(OR(B986="",F986=""),"",B986-F986)</f>
        <v/>
      </c>
      <c r="H986" s="13"/>
      <c r="I986" s="13"/>
      <c r="J986" s="13"/>
      <c r="K986" s="25"/>
      <c r="L986" s="25"/>
      <c r="M986" s="25"/>
      <c r="N986" s="25"/>
      <c r="O986" s="26"/>
      <c r="P986" s="16" t="str">
        <f aca="false">IF(O986="","",IFERROR(1/(1/(IF(K986="",INDEX(CONFIG!$F$5:$F$14,MATCH(D986,CONFIG!$D$5:$D$14,0)),K986)*IF(M986="",INDEX(CONFIG!$H$5:$H$14,MATCH(D986,CONFIG!$D$5:$D$14,0)),M986))),""))</f>
        <v/>
      </c>
      <c r="Q986" s="16" t="str">
        <f aca="false">IF(OR(O986="",P986=""),"",O986/P986)</f>
        <v/>
      </c>
      <c r="R986" s="16" t="str">
        <f aca="false">IF(Q986="","",Q986*0.0980665)</f>
        <v/>
      </c>
      <c r="S986" s="16" t="str">
        <f aca="false">IF(Q986="","",IFERROR(Q986/(1/(1/INDEX(CONFIG!$I$5:$I$14,MATCH(D986,CONFIG!$D$5:$D$14,0)))),""))</f>
        <v/>
      </c>
      <c r="T986" s="13"/>
      <c r="U986" s="13"/>
      <c r="V986" s="13"/>
      <c r="W986" s="13"/>
      <c r="X986" s="22" t="str">
        <f aca="false">IF(Q986="","",Q986^2)</f>
        <v/>
      </c>
      <c r="Y986" s="22" t="str">
        <f aca="false">IF(AND(C986&lt;&gt;"",C986=CERTIFICADO!$E$4,OR(CERTIFICADO!$E$5="",B986=CERTIFICADO!$E$5)),MAX($Y$4:Y985)+1,"")</f>
        <v/>
      </c>
    </row>
    <row r="987" customFormat="false" ht="15" hidden="false" customHeight="false" outlineLevel="0" collapsed="false">
      <c r="A987" s="11" t="str">
        <f aca="false">IF(C987="","",ROW()-4)</f>
        <v/>
      </c>
      <c r="B987" s="12"/>
      <c r="C987" s="13"/>
      <c r="D987" s="23" t="str">
        <f aca="false">IF(C987="","",IFERROR(INDEX(LOTES!$D$5:$D$1004,MATCH(C987,LOTES!$F$5:$F$1004,0)),"¿Lote?"))</f>
        <v/>
      </c>
      <c r="E987" s="11" t="str">
        <f aca="false">IF(C987="","",IFERROR(INDEX(LOTES!$C$5:$C$1004,MATCH(C987,LOTES!$F$5:$F$1004,0)),""))</f>
        <v/>
      </c>
      <c r="F987" s="24" t="str">
        <f aca="false">IF(C987="","",IFERROR(INDEX(LOTES!$B$5:$B$1004,MATCH(C987,LOTES!$F$5:$F$1004,0)),""))</f>
        <v/>
      </c>
      <c r="G987" s="15" t="str">
        <f aca="false">IF(OR(B987="",F987=""),"",B987-F987)</f>
        <v/>
      </c>
      <c r="H987" s="13"/>
      <c r="I987" s="13"/>
      <c r="J987" s="13"/>
      <c r="K987" s="25"/>
      <c r="L987" s="25"/>
      <c r="M987" s="25"/>
      <c r="N987" s="25"/>
      <c r="O987" s="26"/>
      <c r="P987" s="16" t="str">
        <f aca="false">IF(O987="","",IFERROR(1/(1/(IF(K987="",INDEX(CONFIG!$F$5:$F$14,MATCH(D987,CONFIG!$D$5:$D$14,0)),K987)*IF(M987="",INDEX(CONFIG!$H$5:$H$14,MATCH(D987,CONFIG!$D$5:$D$14,0)),M987))),""))</f>
        <v/>
      </c>
      <c r="Q987" s="16" t="str">
        <f aca="false">IF(OR(O987="",P987=""),"",O987/P987)</f>
        <v/>
      </c>
      <c r="R987" s="16" t="str">
        <f aca="false">IF(Q987="","",Q987*0.0980665)</f>
        <v/>
      </c>
      <c r="S987" s="16" t="str">
        <f aca="false">IF(Q987="","",IFERROR(Q987/(1/(1/INDEX(CONFIG!$I$5:$I$14,MATCH(D987,CONFIG!$D$5:$D$14,0)))),""))</f>
        <v/>
      </c>
      <c r="T987" s="13"/>
      <c r="U987" s="13"/>
      <c r="V987" s="13"/>
      <c r="W987" s="13"/>
      <c r="X987" s="22" t="str">
        <f aca="false">IF(Q987="","",Q987^2)</f>
        <v/>
      </c>
      <c r="Y987" s="22" t="str">
        <f aca="false">IF(AND(C987&lt;&gt;"",C987=CERTIFICADO!$E$4,OR(CERTIFICADO!$E$5="",B987=CERTIFICADO!$E$5)),MAX($Y$4:Y986)+1,"")</f>
        <v/>
      </c>
    </row>
    <row r="988" customFormat="false" ht="15" hidden="false" customHeight="false" outlineLevel="0" collapsed="false">
      <c r="A988" s="11" t="str">
        <f aca="false">IF(C988="","",ROW()-4)</f>
        <v/>
      </c>
      <c r="B988" s="12"/>
      <c r="C988" s="13"/>
      <c r="D988" s="23" t="str">
        <f aca="false">IF(C988="","",IFERROR(INDEX(LOTES!$D$5:$D$1004,MATCH(C988,LOTES!$F$5:$F$1004,0)),"¿Lote?"))</f>
        <v/>
      </c>
      <c r="E988" s="11" t="str">
        <f aca="false">IF(C988="","",IFERROR(INDEX(LOTES!$C$5:$C$1004,MATCH(C988,LOTES!$F$5:$F$1004,0)),""))</f>
        <v/>
      </c>
      <c r="F988" s="24" t="str">
        <f aca="false">IF(C988="","",IFERROR(INDEX(LOTES!$B$5:$B$1004,MATCH(C988,LOTES!$F$5:$F$1004,0)),""))</f>
        <v/>
      </c>
      <c r="G988" s="15" t="str">
        <f aca="false">IF(OR(B988="",F988=""),"",B988-F988)</f>
        <v/>
      </c>
      <c r="H988" s="13"/>
      <c r="I988" s="13"/>
      <c r="J988" s="13"/>
      <c r="K988" s="25"/>
      <c r="L988" s="25"/>
      <c r="M988" s="25"/>
      <c r="N988" s="25"/>
      <c r="O988" s="26"/>
      <c r="P988" s="16" t="str">
        <f aca="false">IF(O988="","",IFERROR(1/(1/(IF(K988="",INDEX(CONFIG!$F$5:$F$14,MATCH(D988,CONFIG!$D$5:$D$14,0)),K988)*IF(M988="",INDEX(CONFIG!$H$5:$H$14,MATCH(D988,CONFIG!$D$5:$D$14,0)),M988))),""))</f>
        <v/>
      </c>
      <c r="Q988" s="16" t="str">
        <f aca="false">IF(OR(O988="",P988=""),"",O988/P988)</f>
        <v/>
      </c>
      <c r="R988" s="16" t="str">
        <f aca="false">IF(Q988="","",Q988*0.0980665)</f>
        <v/>
      </c>
      <c r="S988" s="16" t="str">
        <f aca="false">IF(Q988="","",IFERROR(Q988/(1/(1/INDEX(CONFIG!$I$5:$I$14,MATCH(D988,CONFIG!$D$5:$D$14,0)))),""))</f>
        <v/>
      </c>
      <c r="T988" s="13"/>
      <c r="U988" s="13"/>
      <c r="V988" s="13"/>
      <c r="W988" s="13"/>
      <c r="X988" s="22" t="str">
        <f aca="false">IF(Q988="","",Q988^2)</f>
        <v/>
      </c>
      <c r="Y988" s="22" t="str">
        <f aca="false">IF(AND(C988&lt;&gt;"",C988=CERTIFICADO!$E$4,OR(CERTIFICADO!$E$5="",B988=CERTIFICADO!$E$5)),MAX($Y$4:Y987)+1,"")</f>
        <v/>
      </c>
    </row>
    <row r="989" customFormat="false" ht="15" hidden="false" customHeight="false" outlineLevel="0" collapsed="false">
      <c r="A989" s="11" t="str">
        <f aca="false">IF(C989="","",ROW()-4)</f>
        <v/>
      </c>
      <c r="B989" s="12"/>
      <c r="C989" s="13"/>
      <c r="D989" s="23" t="str">
        <f aca="false">IF(C989="","",IFERROR(INDEX(LOTES!$D$5:$D$1004,MATCH(C989,LOTES!$F$5:$F$1004,0)),"¿Lote?"))</f>
        <v/>
      </c>
      <c r="E989" s="11" t="str">
        <f aca="false">IF(C989="","",IFERROR(INDEX(LOTES!$C$5:$C$1004,MATCH(C989,LOTES!$F$5:$F$1004,0)),""))</f>
        <v/>
      </c>
      <c r="F989" s="24" t="str">
        <f aca="false">IF(C989="","",IFERROR(INDEX(LOTES!$B$5:$B$1004,MATCH(C989,LOTES!$F$5:$F$1004,0)),""))</f>
        <v/>
      </c>
      <c r="G989" s="15" t="str">
        <f aca="false">IF(OR(B989="",F989=""),"",B989-F989)</f>
        <v/>
      </c>
      <c r="H989" s="13"/>
      <c r="I989" s="13"/>
      <c r="J989" s="13"/>
      <c r="K989" s="25"/>
      <c r="L989" s="25"/>
      <c r="M989" s="25"/>
      <c r="N989" s="25"/>
      <c r="O989" s="26"/>
      <c r="P989" s="16" t="str">
        <f aca="false">IF(O989="","",IFERROR(1/(1/(IF(K989="",INDEX(CONFIG!$F$5:$F$14,MATCH(D989,CONFIG!$D$5:$D$14,0)),K989)*IF(M989="",INDEX(CONFIG!$H$5:$H$14,MATCH(D989,CONFIG!$D$5:$D$14,0)),M989))),""))</f>
        <v/>
      </c>
      <c r="Q989" s="16" t="str">
        <f aca="false">IF(OR(O989="",P989=""),"",O989/P989)</f>
        <v/>
      </c>
      <c r="R989" s="16" t="str">
        <f aca="false">IF(Q989="","",Q989*0.0980665)</f>
        <v/>
      </c>
      <c r="S989" s="16" t="str">
        <f aca="false">IF(Q989="","",IFERROR(Q989/(1/(1/INDEX(CONFIG!$I$5:$I$14,MATCH(D989,CONFIG!$D$5:$D$14,0)))),""))</f>
        <v/>
      </c>
      <c r="T989" s="13"/>
      <c r="U989" s="13"/>
      <c r="V989" s="13"/>
      <c r="W989" s="13"/>
      <c r="X989" s="22" t="str">
        <f aca="false">IF(Q989="","",Q989^2)</f>
        <v/>
      </c>
      <c r="Y989" s="22" t="str">
        <f aca="false">IF(AND(C989&lt;&gt;"",C989=CERTIFICADO!$E$4,OR(CERTIFICADO!$E$5="",B989=CERTIFICADO!$E$5)),MAX($Y$4:Y988)+1,"")</f>
        <v/>
      </c>
    </row>
    <row r="990" customFormat="false" ht="15" hidden="false" customHeight="false" outlineLevel="0" collapsed="false">
      <c r="A990" s="11" t="str">
        <f aca="false">IF(C990="","",ROW()-4)</f>
        <v/>
      </c>
      <c r="B990" s="12"/>
      <c r="C990" s="13"/>
      <c r="D990" s="23" t="str">
        <f aca="false">IF(C990="","",IFERROR(INDEX(LOTES!$D$5:$D$1004,MATCH(C990,LOTES!$F$5:$F$1004,0)),"¿Lote?"))</f>
        <v/>
      </c>
      <c r="E990" s="11" t="str">
        <f aca="false">IF(C990="","",IFERROR(INDEX(LOTES!$C$5:$C$1004,MATCH(C990,LOTES!$F$5:$F$1004,0)),""))</f>
        <v/>
      </c>
      <c r="F990" s="24" t="str">
        <f aca="false">IF(C990="","",IFERROR(INDEX(LOTES!$B$5:$B$1004,MATCH(C990,LOTES!$F$5:$F$1004,0)),""))</f>
        <v/>
      </c>
      <c r="G990" s="15" t="str">
        <f aca="false">IF(OR(B990="",F990=""),"",B990-F990)</f>
        <v/>
      </c>
      <c r="H990" s="13"/>
      <c r="I990" s="13"/>
      <c r="J990" s="13"/>
      <c r="K990" s="25"/>
      <c r="L990" s="25"/>
      <c r="M990" s="25"/>
      <c r="N990" s="25"/>
      <c r="O990" s="26"/>
      <c r="P990" s="16" t="str">
        <f aca="false">IF(O990="","",IFERROR(1/(1/(IF(K990="",INDEX(CONFIG!$F$5:$F$14,MATCH(D990,CONFIG!$D$5:$D$14,0)),K990)*IF(M990="",INDEX(CONFIG!$H$5:$H$14,MATCH(D990,CONFIG!$D$5:$D$14,0)),M990))),""))</f>
        <v/>
      </c>
      <c r="Q990" s="16" t="str">
        <f aca="false">IF(OR(O990="",P990=""),"",O990/P990)</f>
        <v/>
      </c>
      <c r="R990" s="16" t="str">
        <f aca="false">IF(Q990="","",Q990*0.0980665)</f>
        <v/>
      </c>
      <c r="S990" s="16" t="str">
        <f aca="false">IF(Q990="","",IFERROR(Q990/(1/(1/INDEX(CONFIG!$I$5:$I$14,MATCH(D990,CONFIG!$D$5:$D$14,0)))),""))</f>
        <v/>
      </c>
      <c r="T990" s="13"/>
      <c r="U990" s="13"/>
      <c r="V990" s="13"/>
      <c r="W990" s="13"/>
      <c r="X990" s="22" t="str">
        <f aca="false">IF(Q990="","",Q990^2)</f>
        <v/>
      </c>
      <c r="Y990" s="22" t="str">
        <f aca="false">IF(AND(C990&lt;&gt;"",C990=CERTIFICADO!$E$4,OR(CERTIFICADO!$E$5="",B990=CERTIFICADO!$E$5)),MAX($Y$4:Y989)+1,"")</f>
        <v/>
      </c>
    </row>
    <row r="991" customFormat="false" ht="15" hidden="false" customHeight="false" outlineLevel="0" collapsed="false">
      <c r="A991" s="11" t="str">
        <f aca="false">IF(C991="","",ROW()-4)</f>
        <v/>
      </c>
      <c r="B991" s="12"/>
      <c r="C991" s="13"/>
      <c r="D991" s="23" t="str">
        <f aca="false">IF(C991="","",IFERROR(INDEX(LOTES!$D$5:$D$1004,MATCH(C991,LOTES!$F$5:$F$1004,0)),"¿Lote?"))</f>
        <v/>
      </c>
      <c r="E991" s="11" t="str">
        <f aca="false">IF(C991="","",IFERROR(INDEX(LOTES!$C$5:$C$1004,MATCH(C991,LOTES!$F$5:$F$1004,0)),""))</f>
        <v/>
      </c>
      <c r="F991" s="24" t="str">
        <f aca="false">IF(C991="","",IFERROR(INDEX(LOTES!$B$5:$B$1004,MATCH(C991,LOTES!$F$5:$F$1004,0)),""))</f>
        <v/>
      </c>
      <c r="G991" s="15" t="str">
        <f aca="false">IF(OR(B991="",F991=""),"",B991-F991)</f>
        <v/>
      </c>
      <c r="H991" s="13"/>
      <c r="I991" s="13"/>
      <c r="J991" s="13"/>
      <c r="K991" s="25"/>
      <c r="L991" s="25"/>
      <c r="M991" s="25"/>
      <c r="N991" s="25"/>
      <c r="O991" s="26"/>
      <c r="P991" s="16" t="str">
        <f aca="false">IF(O991="","",IFERROR(1/(1/(IF(K991="",INDEX(CONFIG!$F$5:$F$14,MATCH(D991,CONFIG!$D$5:$D$14,0)),K991)*IF(M991="",INDEX(CONFIG!$H$5:$H$14,MATCH(D991,CONFIG!$D$5:$D$14,0)),M991))),""))</f>
        <v/>
      </c>
      <c r="Q991" s="16" t="str">
        <f aca="false">IF(OR(O991="",P991=""),"",O991/P991)</f>
        <v/>
      </c>
      <c r="R991" s="16" t="str">
        <f aca="false">IF(Q991="","",Q991*0.0980665)</f>
        <v/>
      </c>
      <c r="S991" s="16" t="str">
        <f aca="false">IF(Q991="","",IFERROR(Q991/(1/(1/INDEX(CONFIG!$I$5:$I$14,MATCH(D991,CONFIG!$D$5:$D$14,0)))),""))</f>
        <v/>
      </c>
      <c r="T991" s="13"/>
      <c r="U991" s="13"/>
      <c r="V991" s="13"/>
      <c r="W991" s="13"/>
      <c r="X991" s="22" t="str">
        <f aca="false">IF(Q991="","",Q991^2)</f>
        <v/>
      </c>
      <c r="Y991" s="22" t="str">
        <f aca="false">IF(AND(C991&lt;&gt;"",C991=CERTIFICADO!$E$4,OR(CERTIFICADO!$E$5="",B991=CERTIFICADO!$E$5)),MAX($Y$4:Y990)+1,"")</f>
        <v/>
      </c>
    </row>
    <row r="992" customFormat="false" ht="15" hidden="false" customHeight="false" outlineLevel="0" collapsed="false">
      <c r="A992" s="11" t="str">
        <f aca="false">IF(C992="","",ROW()-4)</f>
        <v/>
      </c>
      <c r="B992" s="12"/>
      <c r="C992" s="13"/>
      <c r="D992" s="23" t="str">
        <f aca="false">IF(C992="","",IFERROR(INDEX(LOTES!$D$5:$D$1004,MATCH(C992,LOTES!$F$5:$F$1004,0)),"¿Lote?"))</f>
        <v/>
      </c>
      <c r="E992" s="11" t="str">
        <f aca="false">IF(C992="","",IFERROR(INDEX(LOTES!$C$5:$C$1004,MATCH(C992,LOTES!$F$5:$F$1004,0)),""))</f>
        <v/>
      </c>
      <c r="F992" s="24" t="str">
        <f aca="false">IF(C992="","",IFERROR(INDEX(LOTES!$B$5:$B$1004,MATCH(C992,LOTES!$F$5:$F$1004,0)),""))</f>
        <v/>
      </c>
      <c r="G992" s="15" t="str">
        <f aca="false">IF(OR(B992="",F992=""),"",B992-F992)</f>
        <v/>
      </c>
      <c r="H992" s="13"/>
      <c r="I992" s="13"/>
      <c r="J992" s="13"/>
      <c r="K992" s="25"/>
      <c r="L992" s="25"/>
      <c r="M992" s="25"/>
      <c r="N992" s="25"/>
      <c r="O992" s="26"/>
      <c r="P992" s="16" t="str">
        <f aca="false">IF(O992="","",IFERROR(1/(1/(IF(K992="",INDEX(CONFIG!$F$5:$F$14,MATCH(D992,CONFIG!$D$5:$D$14,0)),K992)*IF(M992="",INDEX(CONFIG!$H$5:$H$14,MATCH(D992,CONFIG!$D$5:$D$14,0)),M992))),""))</f>
        <v/>
      </c>
      <c r="Q992" s="16" t="str">
        <f aca="false">IF(OR(O992="",P992=""),"",O992/P992)</f>
        <v/>
      </c>
      <c r="R992" s="16" t="str">
        <f aca="false">IF(Q992="","",Q992*0.0980665)</f>
        <v/>
      </c>
      <c r="S992" s="16" t="str">
        <f aca="false">IF(Q992="","",IFERROR(Q992/(1/(1/INDEX(CONFIG!$I$5:$I$14,MATCH(D992,CONFIG!$D$5:$D$14,0)))),""))</f>
        <v/>
      </c>
      <c r="T992" s="13"/>
      <c r="U992" s="13"/>
      <c r="V992" s="13"/>
      <c r="W992" s="13"/>
      <c r="X992" s="22" t="str">
        <f aca="false">IF(Q992="","",Q992^2)</f>
        <v/>
      </c>
      <c r="Y992" s="22" t="str">
        <f aca="false">IF(AND(C992&lt;&gt;"",C992=CERTIFICADO!$E$4,OR(CERTIFICADO!$E$5="",B992=CERTIFICADO!$E$5)),MAX($Y$4:Y991)+1,"")</f>
        <v/>
      </c>
    </row>
    <row r="993" customFormat="false" ht="15" hidden="false" customHeight="false" outlineLevel="0" collapsed="false">
      <c r="A993" s="11" t="str">
        <f aca="false">IF(C993="","",ROW()-4)</f>
        <v/>
      </c>
      <c r="B993" s="12"/>
      <c r="C993" s="13"/>
      <c r="D993" s="23" t="str">
        <f aca="false">IF(C993="","",IFERROR(INDEX(LOTES!$D$5:$D$1004,MATCH(C993,LOTES!$F$5:$F$1004,0)),"¿Lote?"))</f>
        <v/>
      </c>
      <c r="E993" s="11" t="str">
        <f aca="false">IF(C993="","",IFERROR(INDEX(LOTES!$C$5:$C$1004,MATCH(C993,LOTES!$F$5:$F$1004,0)),""))</f>
        <v/>
      </c>
      <c r="F993" s="24" t="str">
        <f aca="false">IF(C993="","",IFERROR(INDEX(LOTES!$B$5:$B$1004,MATCH(C993,LOTES!$F$5:$F$1004,0)),""))</f>
        <v/>
      </c>
      <c r="G993" s="15" t="str">
        <f aca="false">IF(OR(B993="",F993=""),"",B993-F993)</f>
        <v/>
      </c>
      <c r="H993" s="13"/>
      <c r="I993" s="13"/>
      <c r="J993" s="13"/>
      <c r="K993" s="25"/>
      <c r="L993" s="25"/>
      <c r="M993" s="25"/>
      <c r="N993" s="25"/>
      <c r="O993" s="26"/>
      <c r="P993" s="16" t="str">
        <f aca="false">IF(O993="","",IFERROR(1/(1/(IF(K993="",INDEX(CONFIG!$F$5:$F$14,MATCH(D993,CONFIG!$D$5:$D$14,0)),K993)*IF(M993="",INDEX(CONFIG!$H$5:$H$14,MATCH(D993,CONFIG!$D$5:$D$14,0)),M993))),""))</f>
        <v/>
      </c>
      <c r="Q993" s="16" t="str">
        <f aca="false">IF(OR(O993="",P993=""),"",O993/P993)</f>
        <v/>
      </c>
      <c r="R993" s="16" t="str">
        <f aca="false">IF(Q993="","",Q993*0.0980665)</f>
        <v/>
      </c>
      <c r="S993" s="16" t="str">
        <f aca="false">IF(Q993="","",IFERROR(Q993/(1/(1/INDEX(CONFIG!$I$5:$I$14,MATCH(D993,CONFIG!$D$5:$D$14,0)))),""))</f>
        <v/>
      </c>
      <c r="T993" s="13"/>
      <c r="U993" s="13"/>
      <c r="V993" s="13"/>
      <c r="W993" s="13"/>
      <c r="X993" s="22" t="str">
        <f aca="false">IF(Q993="","",Q993^2)</f>
        <v/>
      </c>
      <c r="Y993" s="22" t="str">
        <f aca="false">IF(AND(C993&lt;&gt;"",C993=CERTIFICADO!$E$4,OR(CERTIFICADO!$E$5="",B993=CERTIFICADO!$E$5)),MAX($Y$4:Y992)+1,"")</f>
        <v/>
      </c>
    </row>
    <row r="994" customFormat="false" ht="15" hidden="false" customHeight="false" outlineLevel="0" collapsed="false">
      <c r="A994" s="11" t="str">
        <f aca="false">IF(C994="","",ROW()-4)</f>
        <v/>
      </c>
      <c r="B994" s="12"/>
      <c r="C994" s="13"/>
      <c r="D994" s="23" t="str">
        <f aca="false">IF(C994="","",IFERROR(INDEX(LOTES!$D$5:$D$1004,MATCH(C994,LOTES!$F$5:$F$1004,0)),"¿Lote?"))</f>
        <v/>
      </c>
      <c r="E994" s="11" t="str">
        <f aca="false">IF(C994="","",IFERROR(INDEX(LOTES!$C$5:$C$1004,MATCH(C994,LOTES!$F$5:$F$1004,0)),""))</f>
        <v/>
      </c>
      <c r="F994" s="24" t="str">
        <f aca="false">IF(C994="","",IFERROR(INDEX(LOTES!$B$5:$B$1004,MATCH(C994,LOTES!$F$5:$F$1004,0)),""))</f>
        <v/>
      </c>
      <c r="G994" s="15" t="str">
        <f aca="false">IF(OR(B994="",F994=""),"",B994-F994)</f>
        <v/>
      </c>
      <c r="H994" s="13"/>
      <c r="I994" s="13"/>
      <c r="J994" s="13"/>
      <c r="K994" s="25"/>
      <c r="L994" s="25"/>
      <c r="M994" s="25"/>
      <c r="N994" s="25"/>
      <c r="O994" s="26"/>
      <c r="P994" s="16" t="str">
        <f aca="false">IF(O994="","",IFERROR(1/(1/(IF(K994="",INDEX(CONFIG!$F$5:$F$14,MATCH(D994,CONFIG!$D$5:$D$14,0)),K994)*IF(M994="",INDEX(CONFIG!$H$5:$H$14,MATCH(D994,CONFIG!$D$5:$D$14,0)),M994))),""))</f>
        <v/>
      </c>
      <c r="Q994" s="16" t="str">
        <f aca="false">IF(OR(O994="",P994=""),"",O994/P994)</f>
        <v/>
      </c>
      <c r="R994" s="16" t="str">
        <f aca="false">IF(Q994="","",Q994*0.0980665)</f>
        <v/>
      </c>
      <c r="S994" s="16" t="str">
        <f aca="false">IF(Q994="","",IFERROR(Q994/(1/(1/INDEX(CONFIG!$I$5:$I$14,MATCH(D994,CONFIG!$D$5:$D$14,0)))),""))</f>
        <v/>
      </c>
      <c r="T994" s="13"/>
      <c r="U994" s="13"/>
      <c r="V994" s="13"/>
      <c r="W994" s="13"/>
      <c r="X994" s="22" t="str">
        <f aca="false">IF(Q994="","",Q994^2)</f>
        <v/>
      </c>
      <c r="Y994" s="22" t="str">
        <f aca="false">IF(AND(C994&lt;&gt;"",C994=CERTIFICADO!$E$4,OR(CERTIFICADO!$E$5="",B994=CERTIFICADO!$E$5)),MAX($Y$4:Y993)+1,"")</f>
        <v/>
      </c>
    </row>
    <row r="995" customFormat="false" ht="15" hidden="false" customHeight="false" outlineLevel="0" collapsed="false">
      <c r="A995" s="11" t="str">
        <f aca="false">IF(C995="","",ROW()-4)</f>
        <v/>
      </c>
      <c r="B995" s="12"/>
      <c r="C995" s="13"/>
      <c r="D995" s="23" t="str">
        <f aca="false">IF(C995="","",IFERROR(INDEX(LOTES!$D$5:$D$1004,MATCH(C995,LOTES!$F$5:$F$1004,0)),"¿Lote?"))</f>
        <v/>
      </c>
      <c r="E995" s="11" t="str">
        <f aca="false">IF(C995="","",IFERROR(INDEX(LOTES!$C$5:$C$1004,MATCH(C995,LOTES!$F$5:$F$1004,0)),""))</f>
        <v/>
      </c>
      <c r="F995" s="24" t="str">
        <f aca="false">IF(C995="","",IFERROR(INDEX(LOTES!$B$5:$B$1004,MATCH(C995,LOTES!$F$5:$F$1004,0)),""))</f>
        <v/>
      </c>
      <c r="G995" s="15" t="str">
        <f aca="false">IF(OR(B995="",F995=""),"",B995-F995)</f>
        <v/>
      </c>
      <c r="H995" s="13"/>
      <c r="I995" s="13"/>
      <c r="J995" s="13"/>
      <c r="K995" s="25"/>
      <c r="L995" s="25"/>
      <c r="M995" s="25"/>
      <c r="N995" s="25"/>
      <c r="O995" s="26"/>
      <c r="P995" s="16" t="str">
        <f aca="false">IF(O995="","",IFERROR(1/(1/(IF(K995="",INDEX(CONFIG!$F$5:$F$14,MATCH(D995,CONFIG!$D$5:$D$14,0)),K995)*IF(M995="",INDEX(CONFIG!$H$5:$H$14,MATCH(D995,CONFIG!$D$5:$D$14,0)),M995))),""))</f>
        <v/>
      </c>
      <c r="Q995" s="16" t="str">
        <f aca="false">IF(OR(O995="",P995=""),"",O995/P995)</f>
        <v/>
      </c>
      <c r="R995" s="16" t="str">
        <f aca="false">IF(Q995="","",Q995*0.0980665)</f>
        <v/>
      </c>
      <c r="S995" s="16" t="str">
        <f aca="false">IF(Q995="","",IFERROR(Q995/(1/(1/INDEX(CONFIG!$I$5:$I$14,MATCH(D995,CONFIG!$D$5:$D$14,0)))),""))</f>
        <v/>
      </c>
      <c r="T995" s="13"/>
      <c r="U995" s="13"/>
      <c r="V995" s="13"/>
      <c r="W995" s="13"/>
      <c r="X995" s="22" t="str">
        <f aca="false">IF(Q995="","",Q995^2)</f>
        <v/>
      </c>
      <c r="Y995" s="22" t="str">
        <f aca="false">IF(AND(C995&lt;&gt;"",C995=CERTIFICADO!$E$4,OR(CERTIFICADO!$E$5="",B995=CERTIFICADO!$E$5)),MAX($Y$4:Y994)+1,"")</f>
        <v/>
      </c>
    </row>
    <row r="996" customFormat="false" ht="15" hidden="false" customHeight="false" outlineLevel="0" collapsed="false">
      <c r="A996" s="11" t="str">
        <f aca="false">IF(C996="","",ROW()-4)</f>
        <v/>
      </c>
      <c r="B996" s="12"/>
      <c r="C996" s="13"/>
      <c r="D996" s="23" t="str">
        <f aca="false">IF(C996="","",IFERROR(INDEX(LOTES!$D$5:$D$1004,MATCH(C996,LOTES!$F$5:$F$1004,0)),"¿Lote?"))</f>
        <v/>
      </c>
      <c r="E996" s="11" t="str">
        <f aca="false">IF(C996="","",IFERROR(INDEX(LOTES!$C$5:$C$1004,MATCH(C996,LOTES!$F$5:$F$1004,0)),""))</f>
        <v/>
      </c>
      <c r="F996" s="24" t="str">
        <f aca="false">IF(C996="","",IFERROR(INDEX(LOTES!$B$5:$B$1004,MATCH(C996,LOTES!$F$5:$F$1004,0)),""))</f>
        <v/>
      </c>
      <c r="G996" s="15" t="str">
        <f aca="false">IF(OR(B996="",F996=""),"",B996-F996)</f>
        <v/>
      </c>
      <c r="H996" s="13"/>
      <c r="I996" s="13"/>
      <c r="J996" s="13"/>
      <c r="K996" s="25"/>
      <c r="L996" s="25"/>
      <c r="M996" s="25"/>
      <c r="N996" s="25"/>
      <c r="O996" s="26"/>
      <c r="P996" s="16" t="str">
        <f aca="false">IF(O996="","",IFERROR(1/(1/(IF(K996="",INDEX(CONFIG!$F$5:$F$14,MATCH(D996,CONFIG!$D$5:$D$14,0)),K996)*IF(M996="",INDEX(CONFIG!$H$5:$H$14,MATCH(D996,CONFIG!$D$5:$D$14,0)),M996))),""))</f>
        <v/>
      </c>
      <c r="Q996" s="16" t="str">
        <f aca="false">IF(OR(O996="",P996=""),"",O996/P996)</f>
        <v/>
      </c>
      <c r="R996" s="16" t="str">
        <f aca="false">IF(Q996="","",Q996*0.0980665)</f>
        <v/>
      </c>
      <c r="S996" s="16" t="str">
        <f aca="false">IF(Q996="","",IFERROR(Q996/(1/(1/INDEX(CONFIG!$I$5:$I$14,MATCH(D996,CONFIG!$D$5:$D$14,0)))),""))</f>
        <v/>
      </c>
      <c r="T996" s="13"/>
      <c r="U996" s="13"/>
      <c r="V996" s="13"/>
      <c r="W996" s="13"/>
      <c r="X996" s="22" t="str">
        <f aca="false">IF(Q996="","",Q996^2)</f>
        <v/>
      </c>
      <c r="Y996" s="22" t="str">
        <f aca="false">IF(AND(C996&lt;&gt;"",C996=CERTIFICADO!$E$4,OR(CERTIFICADO!$E$5="",B996=CERTIFICADO!$E$5)),MAX($Y$4:Y995)+1,"")</f>
        <v/>
      </c>
    </row>
    <row r="997" customFormat="false" ht="15" hidden="false" customHeight="false" outlineLevel="0" collapsed="false">
      <c r="A997" s="11" t="str">
        <f aca="false">IF(C997="","",ROW()-4)</f>
        <v/>
      </c>
      <c r="B997" s="12"/>
      <c r="C997" s="13"/>
      <c r="D997" s="23" t="str">
        <f aca="false">IF(C997="","",IFERROR(INDEX(LOTES!$D$5:$D$1004,MATCH(C997,LOTES!$F$5:$F$1004,0)),"¿Lote?"))</f>
        <v/>
      </c>
      <c r="E997" s="11" t="str">
        <f aca="false">IF(C997="","",IFERROR(INDEX(LOTES!$C$5:$C$1004,MATCH(C997,LOTES!$F$5:$F$1004,0)),""))</f>
        <v/>
      </c>
      <c r="F997" s="24" t="str">
        <f aca="false">IF(C997="","",IFERROR(INDEX(LOTES!$B$5:$B$1004,MATCH(C997,LOTES!$F$5:$F$1004,0)),""))</f>
        <v/>
      </c>
      <c r="G997" s="15" t="str">
        <f aca="false">IF(OR(B997="",F997=""),"",B997-F997)</f>
        <v/>
      </c>
      <c r="H997" s="13"/>
      <c r="I997" s="13"/>
      <c r="J997" s="13"/>
      <c r="K997" s="25"/>
      <c r="L997" s="25"/>
      <c r="M997" s="25"/>
      <c r="N997" s="25"/>
      <c r="O997" s="26"/>
      <c r="P997" s="16" t="str">
        <f aca="false">IF(O997="","",IFERROR(1/(1/(IF(K997="",INDEX(CONFIG!$F$5:$F$14,MATCH(D997,CONFIG!$D$5:$D$14,0)),K997)*IF(M997="",INDEX(CONFIG!$H$5:$H$14,MATCH(D997,CONFIG!$D$5:$D$14,0)),M997))),""))</f>
        <v/>
      </c>
      <c r="Q997" s="16" t="str">
        <f aca="false">IF(OR(O997="",P997=""),"",O997/P997)</f>
        <v/>
      </c>
      <c r="R997" s="16" t="str">
        <f aca="false">IF(Q997="","",Q997*0.0980665)</f>
        <v/>
      </c>
      <c r="S997" s="16" t="str">
        <f aca="false">IF(Q997="","",IFERROR(Q997/(1/(1/INDEX(CONFIG!$I$5:$I$14,MATCH(D997,CONFIG!$D$5:$D$14,0)))),""))</f>
        <v/>
      </c>
      <c r="T997" s="13"/>
      <c r="U997" s="13"/>
      <c r="V997" s="13"/>
      <c r="W997" s="13"/>
      <c r="X997" s="22" t="str">
        <f aca="false">IF(Q997="","",Q997^2)</f>
        <v/>
      </c>
      <c r="Y997" s="22" t="str">
        <f aca="false">IF(AND(C997&lt;&gt;"",C997=CERTIFICADO!$E$4,OR(CERTIFICADO!$E$5="",B997=CERTIFICADO!$E$5)),MAX($Y$4:Y996)+1,"")</f>
        <v/>
      </c>
    </row>
    <row r="998" customFormat="false" ht="15" hidden="false" customHeight="false" outlineLevel="0" collapsed="false">
      <c r="A998" s="11" t="str">
        <f aca="false">IF(C998="","",ROW()-4)</f>
        <v/>
      </c>
      <c r="B998" s="12"/>
      <c r="C998" s="13"/>
      <c r="D998" s="23" t="str">
        <f aca="false">IF(C998="","",IFERROR(INDEX(LOTES!$D$5:$D$1004,MATCH(C998,LOTES!$F$5:$F$1004,0)),"¿Lote?"))</f>
        <v/>
      </c>
      <c r="E998" s="11" t="str">
        <f aca="false">IF(C998="","",IFERROR(INDEX(LOTES!$C$5:$C$1004,MATCH(C998,LOTES!$F$5:$F$1004,0)),""))</f>
        <v/>
      </c>
      <c r="F998" s="24" t="str">
        <f aca="false">IF(C998="","",IFERROR(INDEX(LOTES!$B$5:$B$1004,MATCH(C998,LOTES!$F$5:$F$1004,0)),""))</f>
        <v/>
      </c>
      <c r="G998" s="15" t="str">
        <f aca="false">IF(OR(B998="",F998=""),"",B998-F998)</f>
        <v/>
      </c>
      <c r="H998" s="13"/>
      <c r="I998" s="13"/>
      <c r="J998" s="13"/>
      <c r="K998" s="25"/>
      <c r="L998" s="25"/>
      <c r="M998" s="25"/>
      <c r="N998" s="25"/>
      <c r="O998" s="26"/>
      <c r="P998" s="16" t="str">
        <f aca="false">IF(O998="","",IFERROR(1/(1/(IF(K998="",INDEX(CONFIG!$F$5:$F$14,MATCH(D998,CONFIG!$D$5:$D$14,0)),K998)*IF(M998="",INDEX(CONFIG!$H$5:$H$14,MATCH(D998,CONFIG!$D$5:$D$14,0)),M998))),""))</f>
        <v/>
      </c>
      <c r="Q998" s="16" t="str">
        <f aca="false">IF(OR(O998="",P998=""),"",O998/P998)</f>
        <v/>
      </c>
      <c r="R998" s="16" t="str">
        <f aca="false">IF(Q998="","",Q998*0.0980665)</f>
        <v/>
      </c>
      <c r="S998" s="16" t="str">
        <f aca="false">IF(Q998="","",IFERROR(Q998/(1/(1/INDEX(CONFIG!$I$5:$I$14,MATCH(D998,CONFIG!$D$5:$D$14,0)))),""))</f>
        <v/>
      </c>
      <c r="T998" s="13"/>
      <c r="U998" s="13"/>
      <c r="V998" s="13"/>
      <c r="W998" s="13"/>
      <c r="X998" s="22" t="str">
        <f aca="false">IF(Q998="","",Q998^2)</f>
        <v/>
      </c>
      <c r="Y998" s="22" t="str">
        <f aca="false">IF(AND(C998&lt;&gt;"",C998=CERTIFICADO!$E$4,OR(CERTIFICADO!$E$5="",B998=CERTIFICADO!$E$5)),MAX($Y$4:Y997)+1,"")</f>
        <v/>
      </c>
    </row>
    <row r="999" customFormat="false" ht="15" hidden="false" customHeight="false" outlineLevel="0" collapsed="false">
      <c r="A999" s="11" t="str">
        <f aca="false">IF(C999="","",ROW()-4)</f>
        <v/>
      </c>
      <c r="B999" s="12"/>
      <c r="C999" s="13"/>
      <c r="D999" s="23" t="str">
        <f aca="false">IF(C999="","",IFERROR(INDEX(LOTES!$D$5:$D$1004,MATCH(C999,LOTES!$F$5:$F$1004,0)),"¿Lote?"))</f>
        <v/>
      </c>
      <c r="E999" s="11" t="str">
        <f aca="false">IF(C999="","",IFERROR(INDEX(LOTES!$C$5:$C$1004,MATCH(C999,LOTES!$F$5:$F$1004,0)),""))</f>
        <v/>
      </c>
      <c r="F999" s="24" t="str">
        <f aca="false">IF(C999="","",IFERROR(INDEX(LOTES!$B$5:$B$1004,MATCH(C999,LOTES!$F$5:$F$1004,0)),""))</f>
        <v/>
      </c>
      <c r="G999" s="15" t="str">
        <f aca="false">IF(OR(B999="",F999=""),"",B999-F999)</f>
        <v/>
      </c>
      <c r="H999" s="13"/>
      <c r="I999" s="13"/>
      <c r="J999" s="13"/>
      <c r="K999" s="25"/>
      <c r="L999" s="25"/>
      <c r="M999" s="25"/>
      <c r="N999" s="25"/>
      <c r="O999" s="26"/>
      <c r="P999" s="16" t="str">
        <f aca="false">IF(O999="","",IFERROR(1/(1/(IF(K999="",INDEX(CONFIG!$F$5:$F$14,MATCH(D999,CONFIG!$D$5:$D$14,0)),K999)*IF(M999="",INDEX(CONFIG!$H$5:$H$14,MATCH(D999,CONFIG!$D$5:$D$14,0)),M999))),""))</f>
        <v/>
      </c>
      <c r="Q999" s="16" t="str">
        <f aca="false">IF(OR(O999="",P999=""),"",O999/P999)</f>
        <v/>
      </c>
      <c r="R999" s="16" t="str">
        <f aca="false">IF(Q999="","",Q999*0.0980665)</f>
        <v/>
      </c>
      <c r="S999" s="16" t="str">
        <f aca="false">IF(Q999="","",IFERROR(Q999/(1/(1/INDEX(CONFIG!$I$5:$I$14,MATCH(D999,CONFIG!$D$5:$D$14,0)))),""))</f>
        <v/>
      </c>
      <c r="T999" s="13"/>
      <c r="U999" s="13"/>
      <c r="V999" s="13"/>
      <c r="W999" s="13"/>
      <c r="X999" s="22" t="str">
        <f aca="false">IF(Q999="","",Q999^2)</f>
        <v/>
      </c>
      <c r="Y999" s="22" t="str">
        <f aca="false">IF(AND(C999&lt;&gt;"",C999=CERTIFICADO!$E$4,OR(CERTIFICADO!$E$5="",B999=CERTIFICADO!$E$5)),MAX($Y$4:Y998)+1,"")</f>
        <v/>
      </c>
    </row>
    <row r="1000" customFormat="false" ht="15" hidden="false" customHeight="false" outlineLevel="0" collapsed="false">
      <c r="A1000" s="11" t="str">
        <f aca="false">IF(C1000="","",ROW()-4)</f>
        <v/>
      </c>
      <c r="B1000" s="12"/>
      <c r="C1000" s="13"/>
      <c r="D1000" s="23" t="str">
        <f aca="false">IF(C1000="","",IFERROR(INDEX(LOTES!$D$5:$D$1004,MATCH(C1000,LOTES!$F$5:$F$1004,0)),"¿Lote?"))</f>
        <v/>
      </c>
      <c r="E1000" s="11" t="str">
        <f aca="false">IF(C1000="","",IFERROR(INDEX(LOTES!$C$5:$C$1004,MATCH(C1000,LOTES!$F$5:$F$1004,0)),""))</f>
        <v/>
      </c>
      <c r="F1000" s="24" t="str">
        <f aca="false">IF(C1000="","",IFERROR(INDEX(LOTES!$B$5:$B$1004,MATCH(C1000,LOTES!$F$5:$F$1004,0)),""))</f>
        <v/>
      </c>
      <c r="G1000" s="15" t="str">
        <f aca="false">IF(OR(B1000="",F1000=""),"",B1000-F1000)</f>
        <v/>
      </c>
      <c r="H1000" s="13"/>
      <c r="I1000" s="13"/>
      <c r="J1000" s="13"/>
      <c r="K1000" s="25"/>
      <c r="L1000" s="25"/>
      <c r="M1000" s="25"/>
      <c r="N1000" s="25"/>
      <c r="O1000" s="26"/>
      <c r="P1000" s="16" t="str">
        <f aca="false">IF(O1000="","",IFERROR(1/(1/(IF(K1000="",INDEX(CONFIG!$F$5:$F$14,MATCH(D1000,CONFIG!$D$5:$D$14,0)),K1000)*IF(M1000="",INDEX(CONFIG!$H$5:$H$14,MATCH(D1000,CONFIG!$D$5:$D$14,0)),M1000))),""))</f>
        <v/>
      </c>
      <c r="Q1000" s="16" t="str">
        <f aca="false">IF(OR(O1000="",P1000=""),"",O1000/P1000)</f>
        <v/>
      </c>
      <c r="R1000" s="16" t="str">
        <f aca="false">IF(Q1000="","",Q1000*0.0980665)</f>
        <v/>
      </c>
      <c r="S1000" s="16" t="str">
        <f aca="false">IF(Q1000="","",IFERROR(Q1000/(1/(1/INDEX(CONFIG!$I$5:$I$14,MATCH(D1000,CONFIG!$D$5:$D$14,0)))),""))</f>
        <v/>
      </c>
      <c r="T1000" s="13"/>
      <c r="U1000" s="13"/>
      <c r="V1000" s="13"/>
      <c r="W1000" s="13"/>
      <c r="X1000" s="22" t="str">
        <f aca="false">IF(Q1000="","",Q1000^2)</f>
        <v/>
      </c>
      <c r="Y1000" s="22" t="str">
        <f aca="false">IF(AND(C1000&lt;&gt;"",C1000=CERTIFICADO!$E$4,OR(CERTIFICADO!$E$5="",B1000=CERTIFICADO!$E$5)),MAX($Y$4:Y999)+1,"")</f>
        <v/>
      </c>
    </row>
    <row r="1001" customFormat="false" ht="15" hidden="false" customHeight="false" outlineLevel="0" collapsed="false">
      <c r="A1001" s="11" t="str">
        <f aca="false">IF(C1001="","",ROW()-4)</f>
        <v/>
      </c>
      <c r="B1001" s="12"/>
      <c r="C1001" s="13"/>
      <c r="D1001" s="23" t="str">
        <f aca="false">IF(C1001="","",IFERROR(INDEX(LOTES!$D$5:$D$1004,MATCH(C1001,LOTES!$F$5:$F$1004,0)),"¿Lote?"))</f>
        <v/>
      </c>
      <c r="E1001" s="11" t="str">
        <f aca="false">IF(C1001="","",IFERROR(INDEX(LOTES!$C$5:$C$1004,MATCH(C1001,LOTES!$F$5:$F$1004,0)),""))</f>
        <v/>
      </c>
      <c r="F1001" s="24" t="str">
        <f aca="false">IF(C1001="","",IFERROR(INDEX(LOTES!$B$5:$B$1004,MATCH(C1001,LOTES!$F$5:$F$1004,0)),""))</f>
        <v/>
      </c>
      <c r="G1001" s="15" t="str">
        <f aca="false">IF(OR(B1001="",F1001=""),"",B1001-F1001)</f>
        <v/>
      </c>
      <c r="H1001" s="13"/>
      <c r="I1001" s="13"/>
      <c r="J1001" s="13"/>
      <c r="K1001" s="25"/>
      <c r="L1001" s="25"/>
      <c r="M1001" s="25"/>
      <c r="N1001" s="25"/>
      <c r="O1001" s="26"/>
      <c r="P1001" s="16" t="str">
        <f aca="false">IF(O1001="","",IFERROR(1/(1/(IF(K1001="",INDEX(CONFIG!$F$5:$F$14,MATCH(D1001,CONFIG!$D$5:$D$14,0)),K1001)*IF(M1001="",INDEX(CONFIG!$H$5:$H$14,MATCH(D1001,CONFIG!$D$5:$D$14,0)),M1001))),""))</f>
        <v/>
      </c>
      <c r="Q1001" s="16" t="str">
        <f aca="false">IF(OR(O1001="",P1001=""),"",O1001/P1001)</f>
        <v/>
      </c>
      <c r="R1001" s="16" t="str">
        <f aca="false">IF(Q1001="","",Q1001*0.0980665)</f>
        <v/>
      </c>
      <c r="S1001" s="16" t="str">
        <f aca="false">IF(Q1001="","",IFERROR(Q1001/(1/(1/INDEX(CONFIG!$I$5:$I$14,MATCH(D1001,CONFIG!$D$5:$D$14,0)))),""))</f>
        <v/>
      </c>
      <c r="T1001" s="13"/>
      <c r="U1001" s="13"/>
      <c r="V1001" s="13"/>
      <c r="W1001" s="13"/>
      <c r="X1001" s="22" t="str">
        <f aca="false">IF(Q1001="","",Q1001^2)</f>
        <v/>
      </c>
      <c r="Y1001" s="22" t="str">
        <f aca="false">IF(AND(C1001&lt;&gt;"",C1001=CERTIFICADO!$E$4,OR(CERTIFICADO!$E$5="",B1001=CERTIFICADO!$E$5)),MAX($Y$4:Y1000)+1,"")</f>
        <v/>
      </c>
    </row>
    <row r="1002" customFormat="false" ht="15" hidden="false" customHeight="false" outlineLevel="0" collapsed="false">
      <c r="A1002" s="11" t="str">
        <f aca="false">IF(C1002="","",ROW()-4)</f>
        <v/>
      </c>
      <c r="B1002" s="12"/>
      <c r="C1002" s="13"/>
      <c r="D1002" s="23" t="str">
        <f aca="false">IF(C1002="","",IFERROR(INDEX(LOTES!$D$5:$D$1004,MATCH(C1002,LOTES!$F$5:$F$1004,0)),"¿Lote?"))</f>
        <v/>
      </c>
      <c r="E1002" s="11" t="str">
        <f aca="false">IF(C1002="","",IFERROR(INDEX(LOTES!$C$5:$C$1004,MATCH(C1002,LOTES!$F$5:$F$1004,0)),""))</f>
        <v/>
      </c>
      <c r="F1002" s="24" t="str">
        <f aca="false">IF(C1002="","",IFERROR(INDEX(LOTES!$B$5:$B$1004,MATCH(C1002,LOTES!$F$5:$F$1004,0)),""))</f>
        <v/>
      </c>
      <c r="G1002" s="15" t="str">
        <f aca="false">IF(OR(B1002="",F1002=""),"",B1002-F1002)</f>
        <v/>
      </c>
      <c r="H1002" s="13"/>
      <c r="I1002" s="13"/>
      <c r="J1002" s="13"/>
      <c r="K1002" s="25"/>
      <c r="L1002" s="25"/>
      <c r="M1002" s="25"/>
      <c r="N1002" s="25"/>
      <c r="O1002" s="26"/>
      <c r="P1002" s="16" t="str">
        <f aca="false">IF(O1002="","",IFERROR(1/(1/(IF(K1002="",INDEX(CONFIG!$F$5:$F$14,MATCH(D1002,CONFIG!$D$5:$D$14,0)),K1002)*IF(M1002="",INDEX(CONFIG!$H$5:$H$14,MATCH(D1002,CONFIG!$D$5:$D$14,0)),M1002))),""))</f>
        <v/>
      </c>
      <c r="Q1002" s="16" t="str">
        <f aca="false">IF(OR(O1002="",P1002=""),"",O1002/P1002)</f>
        <v/>
      </c>
      <c r="R1002" s="16" t="str">
        <f aca="false">IF(Q1002="","",Q1002*0.0980665)</f>
        <v/>
      </c>
      <c r="S1002" s="16" t="str">
        <f aca="false">IF(Q1002="","",IFERROR(Q1002/(1/(1/INDEX(CONFIG!$I$5:$I$14,MATCH(D1002,CONFIG!$D$5:$D$14,0)))),""))</f>
        <v/>
      </c>
      <c r="T1002" s="13"/>
      <c r="U1002" s="13"/>
      <c r="V1002" s="13"/>
      <c r="W1002" s="13"/>
      <c r="X1002" s="22" t="str">
        <f aca="false">IF(Q1002="","",Q1002^2)</f>
        <v/>
      </c>
      <c r="Y1002" s="22" t="str">
        <f aca="false">IF(AND(C1002&lt;&gt;"",C1002=CERTIFICADO!$E$4,OR(CERTIFICADO!$E$5="",B1002=CERTIFICADO!$E$5)),MAX($Y$4:Y1001)+1,"")</f>
        <v/>
      </c>
    </row>
    <row r="1003" customFormat="false" ht="15" hidden="false" customHeight="false" outlineLevel="0" collapsed="false">
      <c r="A1003" s="11" t="str">
        <f aca="false">IF(C1003="","",ROW()-4)</f>
        <v/>
      </c>
      <c r="B1003" s="12"/>
      <c r="C1003" s="13"/>
      <c r="D1003" s="23" t="str">
        <f aca="false">IF(C1003="","",IFERROR(INDEX(LOTES!$D$5:$D$1004,MATCH(C1003,LOTES!$F$5:$F$1004,0)),"¿Lote?"))</f>
        <v/>
      </c>
      <c r="E1003" s="11" t="str">
        <f aca="false">IF(C1003="","",IFERROR(INDEX(LOTES!$C$5:$C$1004,MATCH(C1003,LOTES!$F$5:$F$1004,0)),""))</f>
        <v/>
      </c>
      <c r="F1003" s="24" t="str">
        <f aca="false">IF(C1003="","",IFERROR(INDEX(LOTES!$B$5:$B$1004,MATCH(C1003,LOTES!$F$5:$F$1004,0)),""))</f>
        <v/>
      </c>
      <c r="G1003" s="15" t="str">
        <f aca="false">IF(OR(B1003="",F1003=""),"",B1003-F1003)</f>
        <v/>
      </c>
      <c r="H1003" s="13"/>
      <c r="I1003" s="13"/>
      <c r="J1003" s="13"/>
      <c r="K1003" s="25"/>
      <c r="L1003" s="25"/>
      <c r="M1003" s="25"/>
      <c r="N1003" s="25"/>
      <c r="O1003" s="26"/>
      <c r="P1003" s="16" t="str">
        <f aca="false">IF(O1003="","",IFERROR(1/(1/(IF(K1003="",INDEX(CONFIG!$F$5:$F$14,MATCH(D1003,CONFIG!$D$5:$D$14,0)),K1003)*IF(M1003="",INDEX(CONFIG!$H$5:$H$14,MATCH(D1003,CONFIG!$D$5:$D$14,0)),M1003))),""))</f>
        <v/>
      </c>
      <c r="Q1003" s="16" t="str">
        <f aca="false">IF(OR(O1003="",P1003=""),"",O1003/P1003)</f>
        <v/>
      </c>
      <c r="R1003" s="16" t="str">
        <f aca="false">IF(Q1003="","",Q1003*0.0980665)</f>
        <v/>
      </c>
      <c r="S1003" s="16" t="str">
        <f aca="false">IF(Q1003="","",IFERROR(Q1003/(1/(1/INDEX(CONFIG!$I$5:$I$14,MATCH(D1003,CONFIG!$D$5:$D$14,0)))),""))</f>
        <v/>
      </c>
      <c r="T1003" s="13"/>
      <c r="U1003" s="13"/>
      <c r="V1003" s="13"/>
      <c r="W1003" s="13"/>
      <c r="X1003" s="22" t="str">
        <f aca="false">IF(Q1003="","",Q1003^2)</f>
        <v/>
      </c>
      <c r="Y1003" s="22" t="str">
        <f aca="false">IF(AND(C1003&lt;&gt;"",C1003=CERTIFICADO!$E$4,OR(CERTIFICADO!$E$5="",B1003=CERTIFICADO!$E$5)),MAX($Y$4:Y1002)+1,"")</f>
        <v/>
      </c>
    </row>
    <row r="1004" customFormat="false" ht="15" hidden="false" customHeight="false" outlineLevel="0" collapsed="false">
      <c r="A1004" s="11" t="str">
        <f aca="false">IF(C1004="","",ROW()-4)</f>
        <v/>
      </c>
      <c r="B1004" s="12"/>
      <c r="C1004" s="13"/>
      <c r="D1004" s="23" t="str">
        <f aca="false">IF(C1004="","",IFERROR(INDEX(LOTES!$D$5:$D$1004,MATCH(C1004,LOTES!$F$5:$F$1004,0)),"¿Lote?"))</f>
        <v/>
      </c>
      <c r="E1004" s="11" t="str">
        <f aca="false">IF(C1004="","",IFERROR(INDEX(LOTES!$C$5:$C$1004,MATCH(C1004,LOTES!$F$5:$F$1004,0)),""))</f>
        <v/>
      </c>
      <c r="F1004" s="24" t="str">
        <f aca="false">IF(C1004="","",IFERROR(INDEX(LOTES!$B$5:$B$1004,MATCH(C1004,LOTES!$F$5:$F$1004,0)),""))</f>
        <v/>
      </c>
      <c r="G1004" s="15" t="str">
        <f aca="false">IF(OR(B1004="",F1004=""),"",B1004-F1004)</f>
        <v/>
      </c>
      <c r="H1004" s="13"/>
      <c r="I1004" s="13"/>
      <c r="J1004" s="13"/>
      <c r="K1004" s="25"/>
      <c r="L1004" s="25"/>
      <c r="M1004" s="25"/>
      <c r="N1004" s="25"/>
      <c r="O1004" s="26"/>
      <c r="P1004" s="16" t="str">
        <f aca="false">IF(O1004="","",IFERROR(1/(1/(IF(K1004="",INDEX(CONFIG!$F$5:$F$14,MATCH(D1004,CONFIG!$D$5:$D$14,0)),K1004)*IF(M1004="",INDEX(CONFIG!$H$5:$H$14,MATCH(D1004,CONFIG!$D$5:$D$14,0)),M1004))),""))</f>
        <v/>
      </c>
      <c r="Q1004" s="16" t="str">
        <f aca="false">IF(OR(O1004="",P1004=""),"",O1004/P1004)</f>
        <v/>
      </c>
      <c r="R1004" s="16" t="str">
        <f aca="false">IF(Q1004="","",Q1004*0.0980665)</f>
        <v/>
      </c>
      <c r="S1004" s="16" t="str">
        <f aca="false">IF(Q1004="","",IFERROR(Q1004/(1/(1/INDEX(CONFIG!$I$5:$I$14,MATCH(D1004,CONFIG!$D$5:$D$14,0)))),""))</f>
        <v/>
      </c>
      <c r="T1004" s="13"/>
      <c r="U1004" s="13"/>
      <c r="V1004" s="13"/>
      <c r="W1004" s="13"/>
      <c r="X1004" s="22" t="str">
        <f aca="false">IF(Q1004="","",Q1004^2)</f>
        <v/>
      </c>
      <c r="Y1004" s="22" t="str">
        <f aca="false">IF(AND(C1004&lt;&gt;"",C1004=CERTIFICADO!$E$4,OR(CERTIFICADO!$E$5="",B1004=CERTIFICADO!$E$5)),MAX($Y$4:Y1003)+1,"")</f>
        <v/>
      </c>
    </row>
    <row r="1005" customFormat="false" ht="15" hidden="false" customHeight="false" outlineLevel="0" collapsed="false">
      <c r="A1005" s="11" t="str">
        <f aca="false">IF(C1005="","",ROW()-4)</f>
        <v/>
      </c>
      <c r="B1005" s="12"/>
      <c r="C1005" s="13"/>
      <c r="D1005" s="23" t="str">
        <f aca="false">IF(C1005="","",IFERROR(INDEX(LOTES!$D$5:$D$1004,MATCH(C1005,LOTES!$F$5:$F$1004,0)),"¿Lote?"))</f>
        <v/>
      </c>
      <c r="E1005" s="11" t="str">
        <f aca="false">IF(C1005="","",IFERROR(INDEX(LOTES!$C$5:$C$1004,MATCH(C1005,LOTES!$F$5:$F$1004,0)),""))</f>
        <v/>
      </c>
      <c r="F1005" s="24" t="str">
        <f aca="false">IF(C1005="","",IFERROR(INDEX(LOTES!$B$5:$B$1004,MATCH(C1005,LOTES!$F$5:$F$1004,0)),""))</f>
        <v/>
      </c>
      <c r="G1005" s="15" t="str">
        <f aca="false">IF(OR(B1005="",F1005=""),"",B1005-F1005)</f>
        <v/>
      </c>
      <c r="H1005" s="13"/>
      <c r="I1005" s="13"/>
      <c r="J1005" s="13"/>
      <c r="K1005" s="25"/>
      <c r="L1005" s="25"/>
      <c r="M1005" s="25"/>
      <c r="N1005" s="25"/>
      <c r="O1005" s="26"/>
      <c r="P1005" s="16" t="str">
        <f aca="false">IF(O1005="","",IFERROR(1/(1/(IF(K1005="",INDEX(CONFIG!$F$5:$F$14,MATCH(D1005,CONFIG!$D$5:$D$14,0)),K1005)*IF(M1005="",INDEX(CONFIG!$H$5:$H$14,MATCH(D1005,CONFIG!$D$5:$D$14,0)),M1005))),""))</f>
        <v/>
      </c>
      <c r="Q1005" s="16" t="str">
        <f aca="false">IF(OR(O1005="",P1005=""),"",O1005/P1005)</f>
        <v/>
      </c>
      <c r="R1005" s="16" t="str">
        <f aca="false">IF(Q1005="","",Q1005*0.0980665)</f>
        <v/>
      </c>
      <c r="S1005" s="16" t="str">
        <f aca="false">IF(Q1005="","",IFERROR(Q1005/(1/(1/INDEX(CONFIG!$I$5:$I$14,MATCH(D1005,CONFIG!$D$5:$D$14,0)))),""))</f>
        <v/>
      </c>
      <c r="T1005" s="13"/>
      <c r="U1005" s="13"/>
      <c r="V1005" s="13"/>
      <c r="W1005" s="13"/>
      <c r="X1005" s="22" t="str">
        <f aca="false">IF(Q1005="","",Q1005^2)</f>
        <v/>
      </c>
      <c r="Y1005" s="22" t="str">
        <f aca="false">IF(AND(C1005&lt;&gt;"",C1005=CERTIFICADO!$E$4,OR(CERTIFICADO!$E$5="",B1005=CERTIFICADO!$E$5)),MAX($Y$4:Y1004)+1,"")</f>
        <v/>
      </c>
    </row>
    <row r="1006" customFormat="false" ht="15" hidden="false" customHeight="false" outlineLevel="0" collapsed="false">
      <c r="A1006" s="11" t="str">
        <f aca="false">IF(C1006="","",ROW()-4)</f>
        <v/>
      </c>
      <c r="B1006" s="12"/>
      <c r="C1006" s="13"/>
      <c r="D1006" s="23" t="str">
        <f aca="false">IF(C1006="","",IFERROR(INDEX(LOTES!$D$5:$D$1004,MATCH(C1006,LOTES!$F$5:$F$1004,0)),"¿Lote?"))</f>
        <v/>
      </c>
      <c r="E1006" s="11" t="str">
        <f aca="false">IF(C1006="","",IFERROR(INDEX(LOTES!$C$5:$C$1004,MATCH(C1006,LOTES!$F$5:$F$1004,0)),""))</f>
        <v/>
      </c>
      <c r="F1006" s="24" t="str">
        <f aca="false">IF(C1006="","",IFERROR(INDEX(LOTES!$B$5:$B$1004,MATCH(C1006,LOTES!$F$5:$F$1004,0)),""))</f>
        <v/>
      </c>
      <c r="G1006" s="15" t="str">
        <f aca="false">IF(OR(B1006="",F1006=""),"",B1006-F1006)</f>
        <v/>
      </c>
      <c r="H1006" s="13"/>
      <c r="I1006" s="13"/>
      <c r="J1006" s="13"/>
      <c r="K1006" s="25"/>
      <c r="L1006" s="25"/>
      <c r="M1006" s="25"/>
      <c r="N1006" s="25"/>
      <c r="O1006" s="26"/>
      <c r="P1006" s="16" t="str">
        <f aca="false">IF(O1006="","",IFERROR(1/(1/(IF(K1006="",INDEX(CONFIG!$F$5:$F$14,MATCH(D1006,CONFIG!$D$5:$D$14,0)),K1006)*IF(M1006="",INDEX(CONFIG!$H$5:$H$14,MATCH(D1006,CONFIG!$D$5:$D$14,0)),M1006))),""))</f>
        <v/>
      </c>
      <c r="Q1006" s="16" t="str">
        <f aca="false">IF(OR(O1006="",P1006=""),"",O1006/P1006)</f>
        <v/>
      </c>
      <c r="R1006" s="16" t="str">
        <f aca="false">IF(Q1006="","",Q1006*0.0980665)</f>
        <v/>
      </c>
      <c r="S1006" s="16" t="str">
        <f aca="false">IF(Q1006="","",IFERROR(Q1006/(1/(1/INDEX(CONFIG!$I$5:$I$14,MATCH(D1006,CONFIG!$D$5:$D$14,0)))),""))</f>
        <v/>
      </c>
      <c r="T1006" s="13"/>
      <c r="U1006" s="13"/>
      <c r="V1006" s="13"/>
      <c r="W1006" s="13"/>
      <c r="X1006" s="22" t="str">
        <f aca="false">IF(Q1006="","",Q1006^2)</f>
        <v/>
      </c>
      <c r="Y1006" s="22" t="str">
        <f aca="false">IF(AND(C1006&lt;&gt;"",C1006=CERTIFICADO!$E$4,OR(CERTIFICADO!$E$5="",B1006=CERTIFICADO!$E$5)),MAX($Y$4:Y1005)+1,"")</f>
        <v/>
      </c>
    </row>
    <row r="1007" customFormat="false" ht="15" hidden="false" customHeight="false" outlineLevel="0" collapsed="false">
      <c r="A1007" s="11" t="str">
        <f aca="false">IF(C1007="","",ROW()-4)</f>
        <v/>
      </c>
      <c r="B1007" s="12"/>
      <c r="C1007" s="13"/>
      <c r="D1007" s="23" t="str">
        <f aca="false">IF(C1007="","",IFERROR(INDEX(LOTES!$D$5:$D$1004,MATCH(C1007,LOTES!$F$5:$F$1004,0)),"¿Lote?"))</f>
        <v/>
      </c>
      <c r="E1007" s="11" t="str">
        <f aca="false">IF(C1007="","",IFERROR(INDEX(LOTES!$C$5:$C$1004,MATCH(C1007,LOTES!$F$5:$F$1004,0)),""))</f>
        <v/>
      </c>
      <c r="F1007" s="24" t="str">
        <f aca="false">IF(C1007="","",IFERROR(INDEX(LOTES!$B$5:$B$1004,MATCH(C1007,LOTES!$F$5:$F$1004,0)),""))</f>
        <v/>
      </c>
      <c r="G1007" s="15" t="str">
        <f aca="false">IF(OR(B1007="",F1007=""),"",B1007-F1007)</f>
        <v/>
      </c>
      <c r="H1007" s="13"/>
      <c r="I1007" s="13"/>
      <c r="J1007" s="13"/>
      <c r="K1007" s="25"/>
      <c r="L1007" s="25"/>
      <c r="M1007" s="25"/>
      <c r="N1007" s="25"/>
      <c r="O1007" s="26"/>
      <c r="P1007" s="16" t="str">
        <f aca="false">IF(O1007="","",IFERROR(1/(1/(IF(K1007="",INDEX(CONFIG!$F$5:$F$14,MATCH(D1007,CONFIG!$D$5:$D$14,0)),K1007)*IF(M1007="",INDEX(CONFIG!$H$5:$H$14,MATCH(D1007,CONFIG!$D$5:$D$14,0)),M1007))),""))</f>
        <v/>
      </c>
      <c r="Q1007" s="16" t="str">
        <f aca="false">IF(OR(O1007="",P1007=""),"",O1007/P1007)</f>
        <v/>
      </c>
      <c r="R1007" s="16" t="str">
        <f aca="false">IF(Q1007="","",Q1007*0.0980665)</f>
        <v/>
      </c>
      <c r="S1007" s="16" t="str">
        <f aca="false">IF(Q1007="","",IFERROR(Q1007/(1/(1/INDEX(CONFIG!$I$5:$I$14,MATCH(D1007,CONFIG!$D$5:$D$14,0)))),""))</f>
        <v/>
      </c>
      <c r="T1007" s="13"/>
      <c r="U1007" s="13"/>
      <c r="V1007" s="13"/>
      <c r="W1007" s="13"/>
      <c r="X1007" s="22" t="str">
        <f aca="false">IF(Q1007="","",Q1007^2)</f>
        <v/>
      </c>
      <c r="Y1007" s="22" t="str">
        <f aca="false">IF(AND(C1007&lt;&gt;"",C1007=CERTIFICADO!$E$4,OR(CERTIFICADO!$E$5="",B1007=CERTIFICADO!$E$5)),MAX($Y$4:Y1006)+1,"")</f>
        <v/>
      </c>
    </row>
    <row r="1008" customFormat="false" ht="15" hidden="false" customHeight="false" outlineLevel="0" collapsed="false">
      <c r="A1008" s="11" t="str">
        <f aca="false">IF(C1008="","",ROW()-4)</f>
        <v/>
      </c>
      <c r="B1008" s="12"/>
      <c r="C1008" s="13"/>
      <c r="D1008" s="23" t="str">
        <f aca="false">IF(C1008="","",IFERROR(INDEX(LOTES!$D$5:$D$1004,MATCH(C1008,LOTES!$F$5:$F$1004,0)),"¿Lote?"))</f>
        <v/>
      </c>
      <c r="E1008" s="11" t="str">
        <f aca="false">IF(C1008="","",IFERROR(INDEX(LOTES!$C$5:$C$1004,MATCH(C1008,LOTES!$F$5:$F$1004,0)),""))</f>
        <v/>
      </c>
      <c r="F1008" s="24" t="str">
        <f aca="false">IF(C1008="","",IFERROR(INDEX(LOTES!$B$5:$B$1004,MATCH(C1008,LOTES!$F$5:$F$1004,0)),""))</f>
        <v/>
      </c>
      <c r="G1008" s="15" t="str">
        <f aca="false">IF(OR(B1008="",F1008=""),"",B1008-F1008)</f>
        <v/>
      </c>
      <c r="H1008" s="13"/>
      <c r="I1008" s="13"/>
      <c r="J1008" s="13"/>
      <c r="K1008" s="25"/>
      <c r="L1008" s="25"/>
      <c r="M1008" s="25"/>
      <c r="N1008" s="25"/>
      <c r="O1008" s="26"/>
      <c r="P1008" s="16" t="str">
        <f aca="false">IF(O1008="","",IFERROR(1/(1/(IF(K1008="",INDEX(CONFIG!$F$5:$F$14,MATCH(D1008,CONFIG!$D$5:$D$14,0)),K1008)*IF(M1008="",INDEX(CONFIG!$H$5:$H$14,MATCH(D1008,CONFIG!$D$5:$D$14,0)),M1008))),""))</f>
        <v/>
      </c>
      <c r="Q1008" s="16" t="str">
        <f aca="false">IF(OR(O1008="",P1008=""),"",O1008/P1008)</f>
        <v/>
      </c>
      <c r="R1008" s="16" t="str">
        <f aca="false">IF(Q1008="","",Q1008*0.0980665)</f>
        <v/>
      </c>
      <c r="S1008" s="16" t="str">
        <f aca="false">IF(Q1008="","",IFERROR(Q1008/(1/(1/INDEX(CONFIG!$I$5:$I$14,MATCH(D1008,CONFIG!$D$5:$D$14,0)))),""))</f>
        <v/>
      </c>
      <c r="T1008" s="13"/>
      <c r="U1008" s="13"/>
      <c r="V1008" s="13"/>
      <c r="W1008" s="13"/>
      <c r="X1008" s="22" t="str">
        <f aca="false">IF(Q1008="","",Q1008^2)</f>
        <v/>
      </c>
      <c r="Y1008" s="22" t="str">
        <f aca="false">IF(AND(C1008&lt;&gt;"",C1008=CERTIFICADO!$E$4,OR(CERTIFICADO!$E$5="",B1008=CERTIFICADO!$E$5)),MAX($Y$4:Y1007)+1,"")</f>
        <v/>
      </c>
    </row>
    <row r="1009" customFormat="false" ht="15" hidden="false" customHeight="false" outlineLevel="0" collapsed="false">
      <c r="A1009" s="11" t="str">
        <f aca="false">IF(C1009="","",ROW()-4)</f>
        <v/>
      </c>
      <c r="B1009" s="12"/>
      <c r="C1009" s="13"/>
      <c r="D1009" s="23" t="str">
        <f aca="false">IF(C1009="","",IFERROR(INDEX(LOTES!$D$5:$D$1004,MATCH(C1009,LOTES!$F$5:$F$1004,0)),"¿Lote?"))</f>
        <v/>
      </c>
      <c r="E1009" s="11" t="str">
        <f aca="false">IF(C1009="","",IFERROR(INDEX(LOTES!$C$5:$C$1004,MATCH(C1009,LOTES!$F$5:$F$1004,0)),""))</f>
        <v/>
      </c>
      <c r="F1009" s="24" t="str">
        <f aca="false">IF(C1009="","",IFERROR(INDEX(LOTES!$B$5:$B$1004,MATCH(C1009,LOTES!$F$5:$F$1004,0)),""))</f>
        <v/>
      </c>
      <c r="G1009" s="15" t="str">
        <f aca="false">IF(OR(B1009="",F1009=""),"",B1009-F1009)</f>
        <v/>
      </c>
      <c r="H1009" s="13"/>
      <c r="I1009" s="13"/>
      <c r="J1009" s="13"/>
      <c r="K1009" s="25"/>
      <c r="L1009" s="25"/>
      <c r="M1009" s="25"/>
      <c r="N1009" s="25"/>
      <c r="O1009" s="26"/>
      <c r="P1009" s="16" t="str">
        <f aca="false">IF(O1009="","",IFERROR(1/(1/(IF(K1009="",INDEX(CONFIG!$F$5:$F$14,MATCH(D1009,CONFIG!$D$5:$D$14,0)),K1009)*IF(M1009="",INDEX(CONFIG!$H$5:$H$14,MATCH(D1009,CONFIG!$D$5:$D$14,0)),M1009))),""))</f>
        <v/>
      </c>
      <c r="Q1009" s="16" t="str">
        <f aca="false">IF(OR(O1009="",P1009=""),"",O1009/P1009)</f>
        <v/>
      </c>
      <c r="R1009" s="16" t="str">
        <f aca="false">IF(Q1009="","",Q1009*0.0980665)</f>
        <v/>
      </c>
      <c r="S1009" s="16" t="str">
        <f aca="false">IF(Q1009="","",IFERROR(Q1009/(1/(1/INDEX(CONFIG!$I$5:$I$14,MATCH(D1009,CONFIG!$D$5:$D$14,0)))),""))</f>
        <v/>
      </c>
      <c r="T1009" s="13"/>
      <c r="U1009" s="13"/>
      <c r="V1009" s="13"/>
      <c r="W1009" s="13"/>
      <c r="X1009" s="22" t="str">
        <f aca="false">IF(Q1009="","",Q1009^2)</f>
        <v/>
      </c>
      <c r="Y1009" s="22" t="str">
        <f aca="false">IF(AND(C1009&lt;&gt;"",C1009=CERTIFICADO!$E$4,OR(CERTIFICADO!$E$5="",B1009=CERTIFICADO!$E$5)),MAX($Y$4:Y1008)+1,"")</f>
        <v/>
      </c>
    </row>
    <row r="1010" customFormat="false" ht="15" hidden="false" customHeight="false" outlineLevel="0" collapsed="false">
      <c r="A1010" s="11" t="str">
        <f aca="false">IF(C1010="","",ROW()-4)</f>
        <v/>
      </c>
      <c r="B1010" s="12"/>
      <c r="C1010" s="13"/>
      <c r="D1010" s="23" t="str">
        <f aca="false">IF(C1010="","",IFERROR(INDEX(LOTES!$D$5:$D$1004,MATCH(C1010,LOTES!$F$5:$F$1004,0)),"¿Lote?"))</f>
        <v/>
      </c>
      <c r="E1010" s="11" t="str">
        <f aca="false">IF(C1010="","",IFERROR(INDEX(LOTES!$C$5:$C$1004,MATCH(C1010,LOTES!$F$5:$F$1004,0)),""))</f>
        <v/>
      </c>
      <c r="F1010" s="24" t="str">
        <f aca="false">IF(C1010="","",IFERROR(INDEX(LOTES!$B$5:$B$1004,MATCH(C1010,LOTES!$F$5:$F$1004,0)),""))</f>
        <v/>
      </c>
      <c r="G1010" s="15" t="str">
        <f aca="false">IF(OR(B1010="",F1010=""),"",B1010-F1010)</f>
        <v/>
      </c>
      <c r="H1010" s="13"/>
      <c r="I1010" s="13"/>
      <c r="J1010" s="13"/>
      <c r="K1010" s="25"/>
      <c r="L1010" s="25"/>
      <c r="M1010" s="25"/>
      <c r="N1010" s="25"/>
      <c r="O1010" s="26"/>
      <c r="P1010" s="16" t="str">
        <f aca="false">IF(O1010="","",IFERROR(1/(1/(IF(K1010="",INDEX(CONFIG!$F$5:$F$14,MATCH(D1010,CONFIG!$D$5:$D$14,0)),K1010)*IF(M1010="",INDEX(CONFIG!$H$5:$H$14,MATCH(D1010,CONFIG!$D$5:$D$14,0)),M1010))),""))</f>
        <v/>
      </c>
      <c r="Q1010" s="16" t="str">
        <f aca="false">IF(OR(O1010="",P1010=""),"",O1010/P1010)</f>
        <v/>
      </c>
      <c r="R1010" s="16" t="str">
        <f aca="false">IF(Q1010="","",Q1010*0.0980665)</f>
        <v/>
      </c>
      <c r="S1010" s="16" t="str">
        <f aca="false">IF(Q1010="","",IFERROR(Q1010/(1/(1/INDEX(CONFIG!$I$5:$I$14,MATCH(D1010,CONFIG!$D$5:$D$14,0)))),""))</f>
        <v/>
      </c>
      <c r="T1010" s="13"/>
      <c r="U1010" s="13"/>
      <c r="V1010" s="13"/>
      <c r="W1010" s="13"/>
      <c r="X1010" s="22" t="str">
        <f aca="false">IF(Q1010="","",Q1010^2)</f>
        <v/>
      </c>
      <c r="Y1010" s="22" t="str">
        <f aca="false">IF(AND(C1010&lt;&gt;"",C1010=CERTIFICADO!$E$4,OR(CERTIFICADO!$E$5="",B1010=CERTIFICADO!$E$5)),MAX($Y$4:Y1009)+1,"")</f>
        <v/>
      </c>
    </row>
    <row r="1011" customFormat="false" ht="15" hidden="false" customHeight="false" outlineLevel="0" collapsed="false">
      <c r="A1011" s="11" t="str">
        <f aca="false">IF(C1011="","",ROW()-4)</f>
        <v/>
      </c>
      <c r="B1011" s="12"/>
      <c r="C1011" s="13"/>
      <c r="D1011" s="23" t="str">
        <f aca="false">IF(C1011="","",IFERROR(INDEX(LOTES!$D$5:$D$1004,MATCH(C1011,LOTES!$F$5:$F$1004,0)),"¿Lote?"))</f>
        <v/>
      </c>
      <c r="E1011" s="11" t="str">
        <f aca="false">IF(C1011="","",IFERROR(INDEX(LOTES!$C$5:$C$1004,MATCH(C1011,LOTES!$F$5:$F$1004,0)),""))</f>
        <v/>
      </c>
      <c r="F1011" s="24" t="str">
        <f aca="false">IF(C1011="","",IFERROR(INDEX(LOTES!$B$5:$B$1004,MATCH(C1011,LOTES!$F$5:$F$1004,0)),""))</f>
        <v/>
      </c>
      <c r="G1011" s="15" t="str">
        <f aca="false">IF(OR(B1011="",F1011=""),"",B1011-F1011)</f>
        <v/>
      </c>
      <c r="H1011" s="13"/>
      <c r="I1011" s="13"/>
      <c r="J1011" s="13"/>
      <c r="K1011" s="25"/>
      <c r="L1011" s="25"/>
      <c r="M1011" s="25"/>
      <c r="N1011" s="25"/>
      <c r="O1011" s="26"/>
      <c r="P1011" s="16" t="str">
        <f aca="false">IF(O1011="","",IFERROR(1/(1/(IF(K1011="",INDEX(CONFIG!$F$5:$F$14,MATCH(D1011,CONFIG!$D$5:$D$14,0)),K1011)*IF(M1011="",INDEX(CONFIG!$H$5:$H$14,MATCH(D1011,CONFIG!$D$5:$D$14,0)),M1011))),""))</f>
        <v/>
      </c>
      <c r="Q1011" s="16" t="str">
        <f aca="false">IF(OR(O1011="",P1011=""),"",O1011/P1011)</f>
        <v/>
      </c>
      <c r="R1011" s="16" t="str">
        <f aca="false">IF(Q1011="","",Q1011*0.0980665)</f>
        <v/>
      </c>
      <c r="S1011" s="16" t="str">
        <f aca="false">IF(Q1011="","",IFERROR(Q1011/(1/(1/INDEX(CONFIG!$I$5:$I$14,MATCH(D1011,CONFIG!$D$5:$D$14,0)))),""))</f>
        <v/>
      </c>
      <c r="T1011" s="13"/>
      <c r="U1011" s="13"/>
      <c r="V1011" s="13"/>
      <c r="W1011" s="13"/>
      <c r="X1011" s="22" t="str">
        <f aca="false">IF(Q1011="","",Q1011^2)</f>
        <v/>
      </c>
      <c r="Y1011" s="22" t="str">
        <f aca="false">IF(AND(C1011&lt;&gt;"",C1011=CERTIFICADO!$E$4,OR(CERTIFICADO!$E$5="",B1011=CERTIFICADO!$E$5)),MAX($Y$4:Y1010)+1,"")</f>
        <v/>
      </c>
    </row>
    <row r="1012" customFormat="false" ht="15" hidden="false" customHeight="false" outlineLevel="0" collapsed="false">
      <c r="A1012" s="11" t="str">
        <f aca="false">IF(C1012="","",ROW()-4)</f>
        <v/>
      </c>
      <c r="B1012" s="12"/>
      <c r="C1012" s="13"/>
      <c r="D1012" s="23" t="str">
        <f aca="false">IF(C1012="","",IFERROR(INDEX(LOTES!$D$5:$D$1004,MATCH(C1012,LOTES!$F$5:$F$1004,0)),"¿Lote?"))</f>
        <v/>
      </c>
      <c r="E1012" s="11" t="str">
        <f aca="false">IF(C1012="","",IFERROR(INDEX(LOTES!$C$5:$C$1004,MATCH(C1012,LOTES!$F$5:$F$1004,0)),""))</f>
        <v/>
      </c>
      <c r="F1012" s="24" t="str">
        <f aca="false">IF(C1012="","",IFERROR(INDEX(LOTES!$B$5:$B$1004,MATCH(C1012,LOTES!$F$5:$F$1004,0)),""))</f>
        <v/>
      </c>
      <c r="G1012" s="15" t="str">
        <f aca="false">IF(OR(B1012="",F1012=""),"",B1012-F1012)</f>
        <v/>
      </c>
      <c r="H1012" s="13"/>
      <c r="I1012" s="13"/>
      <c r="J1012" s="13"/>
      <c r="K1012" s="25"/>
      <c r="L1012" s="25"/>
      <c r="M1012" s="25"/>
      <c r="N1012" s="25"/>
      <c r="O1012" s="26"/>
      <c r="P1012" s="16" t="str">
        <f aca="false">IF(O1012="","",IFERROR(1/(1/(IF(K1012="",INDEX(CONFIG!$F$5:$F$14,MATCH(D1012,CONFIG!$D$5:$D$14,0)),K1012)*IF(M1012="",INDEX(CONFIG!$H$5:$H$14,MATCH(D1012,CONFIG!$D$5:$D$14,0)),M1012))),""))</f>
        <v/>
      </c>
      <c r="Q1012" s="16" t="str">
        <f aca="false">IF(OR(O1012="",P1012=""),"",O1012/P1012)</f>
        <v/>
      </c>
      <c r="R1012" s="16" t="str">
        <f aca="false">IF(Q1012="","",Q1012*0.0980665)</f>
        <v/>
      </c>
      <c r="S1012" s="16" t="str">
        <f aca="false">IF(Q1012="","",IFERROR(Q1012/(1/(1/INDEX(CONFIG!$I$5:$I$14,MATCH(D1012,CONFIG!$D$5:$D$14,0)))),""))</f>
        <v/>
      </c>
      <c r="T1012" s="13"/>
      <c r="U1012" s="13"/>
      <c r="V1012" s="13"/>
      <c r="W1012" s="13"/>
      <c r="X1012" s="22" t="str">
        <f aca="false">IF(Q1012="","",Q1012^2)</f>
        <v/>
      </c>
      <c r="Y1012" s="22" t="str">
        <f aca="false">IF(AND(C1012&lt;&gt;"",C1012=CERTIFICADO!$E$4,OR(CERTIFICADO!$E$5="",B1012=CERTIFICADO!$E$5)),MAX($Y$4:Y1011)+1,"")</f>
        <v/>
      </c>
    </row>
    <row r="1013" customFormat="false" ht="15" hidden="false" customHeight="false" outlineLevel="0" collapsed="false">
      <c r="A1013" s="11" t="str">
        <f aca="false">IF(C1013="","",ROW()-4)</f>
        <v/>
      </c>
      <c r="B1013" s="12"/>
      <c r="C1013" s="13"/>
      <c r="D1013" s="23" t="str">
        <f aca="false">IF(C1013="","",IFERROR(INDEX(LOTES!$D$5:$D$1004,MATCH(C1013,LOTES!$F$5:$F$1004,0)),"¿Lote?"))</f>
        <v/>
      </c>
      <c r="E1013" s="11" t="str">
        <f aca="false">IF(C1013="","",IFERROR(INDEX(LOTES!$C$5:$C$1004,MATCH(C1013,LOTES!$F$5:$F$1004,0)),""))</f>
        <v/>
      </c>
      <c r="F1013" s="24" t="str">
        <f aca="false">IF(C1013="","",IFERROR(INDEX(LOTES!$B$5:$B$1004,MATCH(C1013,LOTES!$F$5:$F$1004,0)),""))</f>
        <v/>
      </c>
      <c r="G1013" s="15" t="str">
        <f aca="false">IF(OR(B1013="",F1013=""),"",B1013-F1013)</f>
        <v/>
      </c>
      <c r="H1013" s="13"/>
      <c r="I1013" s="13"/>
      <c r="J1013" s="13"/>
      <c r="K1013" s="25"/>
      <c r="L1013" s="25"/>
      <c r="M1013" s="25"/>
      <c r="N1013" s="25"/>
      <c r="O1013" s="26"/>
      <c r="P1013" s="16" t="str">
        <f aca="false">IF(O1013="","",IFERROR(1/(1/(IF(K1013="",INDEX(CONFIG!$F$5:$F$14,MATCH(D1013,CONFIG!$D$5:$D$14,0)),K1013)*IF(M1013="",INDEX(CONFIG!$H$5:$H$14,MATCH(D1013,CONFIG!$D$5:$D$14,0)),M1013))),""))</f>
        <v/>
      </c>
      <c r="Q1013" s="16" t="str">
        <f aca="false">IF(OR(O1013="",P1013=""),"",O1013/P1013)</f>
        <v/>
      </c>
      <c r="R1013" s="16" t="str">
        <f aca="false">IF(Q1013="","",Q1013*0.0980665)</f>
        <v/>
      </c>
      <c r="S1013" s="16" t="str">
        <f aca="false">IF(Q1013="","",IFERROR(Q1013/(1/(1/INDEX(CONFIG!$I$5:$I$14,MATCH(D1013,CONFIG!$D$5:$D$14,0)))),""))</f>
        <v/>
      </c>
      <c r="T1013" s="13"/>
      <c r="U1013" s="13"/>
      <c r="V1013" s="13"/>
      <c r="W1013" s="13"/>
      <c r="X1013" s="22" t="str">
        <f aca="false">IF(Q1013="","",Q1013^2)</f>
        <v/>
      </c>
      <c r="Y1013" s="22" t="str">
        <f aca="false">IF(AND(C1013&lt;&gt;"",C1013=CERTIFICADO!$E$4,OR(CERTIFICADO!$E$5="",B1013=CERTIFICADO!$E$5)),MAX($Y$4:Y1012)+1,"")</f>
        <v/>
      </c>
    </row>
    <row r="1014" customFormat="false" ht="15" hidden="false" customHeight="false" outlineLevel="0" collapsed="false">
      <c r="A1014" s="11" t="str">
        <f aca="false">IF(C1014="","",ROW()-4)</f>
        <v/>
      </c>
      <c r="B1014" s="12"/>
      <c r="C1014" s="13"/>
      <c r="D1014" s="23" t="str">
        <f aca="false">IF(C1014="","",IFERROR(INDEX(LOTES!$D$5:$D$1004,MATCH(C1014,LOTES!$F$5:$F$1004,0)),"¿Lote?"))</f>
        <v/>
      </c>
      <c r="E1014" s="11" t="str">
        <f aca="false">IF(C1014="","",IFERROR(INDEX(LOTES!$C$5:$C$1004,MATCH(C1014,LOTES!$F$5:$F$1004,0)),""))</f>
        <v/>
      </c>
      <c r="F1014" s="24" t="str">
        <f aca="false">IF(C1014="","",IFERROR(INDEX(LOTES!$B$5:$B$1004,MATCH(C1014,LOTES!$F$5:$F$1004,0)),""))</f>
        <v/>
      </c>
      <c r="G1014" s="15" t="str">
        <f aca="false">IF(OR(B1014="",F1014=""),"",B1014-F1014)</f>
        <v/>
      </c>
      <c r="H1014" s="13"/>
      <c r="I1014" s="13"/>
      <c r="J1014" s="13"/>
      <c r="K1014" s="25"/>
      <c r="L1014" s="25"/>
      <c r="M1014" s="25"/>
      <c r="N1014" s="25"/>
      <c r="O1014" s="26"/>
      <c r="P1014" s="16" t="str">
        <f aca="false">IF(O1014="","",IFERROR(1/(1/(IF(K1014="",INDEX(CONFIG!$F$5:$F$14,MATCH(D1014,CONFIG!$D$5:$D$14,0)),K1014)*IF(M1014="",INDEX(CONFIG!$H$5:$H$14,MATCH(D1014,CONFIG!$D$5:$D$14,0)),M1014))),""))</f>
        <v/>
      </c>
      <c r="Q1014" s="16" t="str">
        <f aca="false">IF(OR(O1014="",P1014=""),"",O1014/P1014)</f>
        <v/>
      </c>
      <c r="R1014" s="16" t="str">
        <f aca="false">IF(Q1014="","",Q1014*0.0980665)</f>
        <v/>
      </c>
      <c r="S1014" s="16" t="str">
        <f aca="false">IF(Q1014="","",IFERROR(Q1014/(1/(1/INDEX(CONFIG!$I$5:$I$14,MATCH(D1014,CONFIG!$D$5:$D$14,0)))),""))</f>
        <v/>
      </c>
      <c r="T1014" s="13"/>
      <c r="U1014" s="13"/>
      <c r="V1014" s="13"/>
      <c r="W1014" s="13"/>
      <c r="X1014" s="22" t="str">
        <f aca="false">IF(Q1014="","",Q1014^2)</f>
        <v/>
      </c>
      <c r="Y1014" s="22" t="str">
        <f aca="false">IF(AND(C1014&lt;&gt;"",C1014=CERTIFICADO!$E$4,OR(CERTIFICADO!$E$5="",B1014=CERTIFICADO!$E$5)),MAX($Y$4:Y1013)+1,"")</f>
        <v/>
      </c>
    </row>
    <row r="1015" customFormat="false" ht="15" hidden="false" customHeight="false" outlineLevel="0" collapsed="false">
      <c r="A1015" s="11" t="str">
        <f aca="false">IF(C1015="","",ROW()-4)</f>
        <v/>
      </c>
      <c r="B1015" s="12"/>
      <c r="C1015" s="13"/>
      <c r="D1015" s="23" t="str">
        <f aca="false">IF(C1015="","",IFERROR(INDEX(LOTES!$D$5:$D$1004,MATCH(C1015,LOTES!$F$5:$F$1004,0)),"¿Lote?"))</f>
        <v/>
      </c>
      <c r="E1015" s="11" t="str">
        <f aca="false">IF(C1015="","",IFERROR(INDEX(LOTES!$C$5:$C$1004,MATCH(C1015,LOTES!$F$5:$F$1004,0)),""))</f>
        <v/>
      </c>
      <c r="F1015" s="24" t="str">
        <f aca="false">IF(C1015="","",IFERROR(INDEX(LOTES!$B$5:$B$1004,MATCH(C1015,LOTES!$F$5:$F$1004,0)),""))</f>
        <v/>
      </c>
      <c r="G1015" s="15" t="str">
        <f aca="false">IF(OR(B1015="",F1015=""),"",B1015-F1015)</f>
        <v/>
      </c>
      <c r="H1015" s="13"/>
      <c r="I1015" s="13"/>
      <c r="J1015" s="13"/>
      <c r="K1015" s="25"/>
      <c r="L1015" s="25"/>
      <c r="M1015" s="25"/>
      <c r="N1015" s="25"/>
      <c r="O1015" s="26"/>
      <c r="P1015" s="16" t="str">
        <f aca="false">IF(O1015="","",IFERROR(1/(1/(IF(K1015="",INDEX(CONFIG!$F$5:$F$14,MATCH(D1015,CONFIG!$D$5:$D$14,0)),K1015)*IF(M1015="",INDEX(CONFIG!$H$5:$H$14,MATCH(D1015,CONFIG!$D$5:$D$14,0)),M1015))),""))</f>
        <v/>
      </c>
      <c r="Q1015" s="16" t="str">
        <f aca="false">IF(OR(O1015="",P1015=""),"",O1015/P1015)</f>
        <v/>
      </c>
      <c r="R1015" s="16" t="str">
        <f aca="false">IF(Q1015="","",Q1015*0.0980665)</f>
        <v/>
      </c>
      <c r="S1015" s="16" t="str">
        <f aca="false">IF(Q1015="","",IFERROR(Q1015/(1/(1/INDEX(CONFIG!$I$5:$I$14,MATCH(D1015,CONFIG!$D$5:$D$14,0)))),""))</f>
        <v/>
      </c>
      <c r="T1015" s="13"/>
      <c r="U1015" s="13"/>
      <c r="V1015" s="13"/>
      <c r="W1015" s="13"/>
      <c r="X1015" s="22" t="str">
        <f aca="false">IF(Q1015="","",Q1015^2)</f>
        <v/>
      </c>
      <c r="Y1015" s="22" t="str">
        <f aca="false">IF(AND(C1015&lt;&gt;"",C1015=CERTIFICADO!$E$4,OR(CERTIFICADO!$E$5="",B1015=CERTIFICADO!$E$5)),MAX($Y$4:Y1014)+1,"")</f>
        <v/>
      </c>
    </row>
    <row r="1016" customFormat="false" ht="15" hidden="false" customHeight="false" outlineLevel="0" collapsed="false">
      <c r="A1016" s="11" t="str">
        <f aca="false">IF(C1016="","",ROW()-4)</f>
        <v/>
      </c>
      <c r="B1016" s="12"/>
      <c r="C1016" s="13"/>
      <c r="D1016" s="23" t="str">
        <f aca="false">IF(C1016="","",IFERROR(INDEX(LOTES!$D$5:$D$1004,MATCH(C1016,LOTES!$F$5:$F$1004,0)),"¿Lote?"))</f>
        <v/>
      </c>
      <c r="E1016" s="11" t="str">
        <f aca="false">IF(C1016="","",IFERROR(INDEX(LOTES!$C$5:$C$1004,MATCH(C1016,LOTES!$F$5:$F$1004,0)),""))</f>
        <v/>
      </c>
      <c r="F1016" s="24" t="str">
        <f aca="false">IF(C1016="","",IFERROR(INDEX(LOTES!$B$5:$B$1004,MATCH(C1016,LOTES!$F$5:$F$1004,0)),""))</f>
        <v/>
      </c>
      <c r="G1016" s="15" t="str">
        <f aca="false">IF(OR(B1016="",F1016=""),"",B1016-F1016)</f>
        <v/>
      </c>
      <c r="H1016" s="13"/>
      <c r="I1016" s="13"/>
      <c r="J1016" s="13"/>
      <c r="K1016" s="25"/>
      <c r="L1016" s="25"/>
      <c r="M1016" s="25"/>
      <c r="N1016" s="25"/>
      <c r="O1016" s="26"/>
      <c r="P1016" s="16" t="str">
        <f aca="false">IF(O1016="","",IFERROR(1/(1/(IF(K1016="",INDEX(CONFIG!$F$5:$F$14,MATCH(D1016,CONFIG!$D$5:$D$14,0)),K1016)*IF(M1016="",INDEX(CONFIG!$H$5:$H$14,MATCH(D1016,CONFIG!$D$5:$D$14,0)),M1016))),""))</f>
        <v/>
      </c>
      <c r="Q1016" s="16" t="str">
        <f aca="false">IF(OR(O1016="",P1016=""),"",O1016/P1016)</f>
        <v/>
      </c>
      <c r="R1016" s="16" t="str">
        <f aca="false">IF(Q1016="","",Q1016*0.0980665)</f>
        <v/>
      </c>
      <c r="S1016" s="16" t="str">
        <f aca="false">IF(Q1016="","",IFERROR(Q1016/(1/(1/INDEX(CONFIG!$I$5:$I$14,MATCH(D1016,CONFIG!$D$5:$D$14,0)))),""))</f>
        <v/>
      </c>
      <c r="T1016" s="13"/>
      <c r="U1016" s="13"/>
      <c r="V1016" s="13"/>
      <c r="W1016" s="13"/>
      <c r="X1016" s="22" t="str">
        <f aca="false">IF(Q1016="","",Q1016^2)</f>
        <v/>
      </c>
      <c r="Y1016" s="22" t="str">
        <f aca="false">IF(AND(C1016&lt;&gt;"",C1016=CERTIFICADO!$E$4,OR(CERTIFICADO!$E$5="",B1016=CERTIFICADO!$E$5)),MAX($Y$4:Y1015)+1,"")</f>
        <v/>
      </c>
    </row>
    <row r="1017" customFormat="false" ht="15" hidden="false" customHeight="false" outlineLevel="0" collapsed="false">
      <c r="A1017" s="11" t="str">
        <f aca="false">IF(C1017="","",ROW()-4)</f>
        <v/>
      </c>
      <c r="B1017" s="12"/>
      <c r="C1017" s="13"/>
      <c r="D1017" s="23" t="str">
        <f aca="false">IF(C1017="","",IFERROR(INDEX(LOTES!$D$5:$D$1004,MATCH(C1017,LOTES!$F$5:$F$1004,0)),"¿Lote?"))</f>
        <v/>
      </c>
      <c r="E1017" s="11" t="str">
        <f aca="false">IF(C1017="","",IFERROR(INDEX(LOTES!$C$5:$C$1004,MATCH(C1017,LOTES!$F$5:$F$1004,0)),""))</f>
        <v/>
      </c>
      <c r="F1017" s="24" t="str">
        <f aca="false">IF(C1017="","",IFERROR(INDEX(LOTES!$B$5:$B$1004,MATCH(C1017,LOTES!$F$5:$F$1004,0)),""))</f>
        <v/>
      </c>
      <c r="G1017" s="15" t="str">
        <f aca="false">IF(OR(B1017="",F1017=""),"",B1017-F1017)</f>
        <v/>
      </c>
      <c r="H1017" s="13"/>
      <c r="I1017" s="13"/>
      <c r="J1017" s="13"/>
      <c r="K1017" s="25"/>
      <c r="L1017" s="25"/>
      <c r="M1017" s="25"/>
      <c r="N1017" s="25"/>
      <c r="O1017" s="26"/>
      <c r="P1017" s="16" t="str">
        <f aca="false">IF(O1017="","",IFERROR(1/(1/(IF(K1017="",INDEX(CONFIG!$F$5:$F$14,MATCH(D1017,CONFIG!$D$5:$D$14,0)),K1017)*IF(M1017="",INDEX(CONFIG!$H$5:$H$14,MATCH(D1017,CONFIG!$D$5:$D$14,0)),M1017))),""))</f>
        <v/>
      </c>
      <c r="Q1017" s="16" t="str">
        <f aca="false">IF(OR(O1017="",P1017=""),"",O1017/P1017)</f>
        <v/>
      </c>
      <c r="R1017" s="16" t="str">
        <f aca="false">IF(Q1017="","",Q1017*0.0980665)</f>
        <v/>
      </c>
      <c r="S1017" s="16" t="str">
        <f aca="false">IF(Q1017="","",IFERROR(Q1017/(1/(1/INDEX(CONFIG!$I$5:$I$14,MATCH(D1017,CONFIG!$D$5:$D$14,0)))),""))</f>
        <v/>
      </c>
      <c r="T1017" s="13"/>
      <c r="U1017" s="13"/>
      <c r="V1017" s="13"/>
      <c r="W1017" s="13"/>
      <c r="X1017" s="22" t="str">
        <f aca="false">IF(Q1017="","",Q1017^2)</f>
        <v/>
      </c>
      <c r="Y1017" s="22" t="str">
        <f aca="false">IF(AND(C1017&lt;&gt;"",C1017=CERTIFICADO!$E$4,OR(CERTIFICADO!$E$5="",B1017=CERTIFICADO!$E$5)),MAX($Y$4:Y1016)+1,"")</f>
        <v/>
      </c>
    </row>
    <row r="1018" customFormat="false" ht="15" hidden="false" customHeight="false" outlineLevel="0" collapsed="false">
      <c r="A1018" s="11" t="str">
        <f aca="false">IF(C1018="","",ROW()-4)</f>
        <v/>
      </c>
      <c r="B1018" s="12"/>
      <c r="C1018" s="13"/>
      <c r="D1018" s="23" t="str">
        <f aca="false">IF(C1018="","",IFERROR(INDEX(LOTES!$D$5:$D$1004,MATCH(C1018,LOTES!$F$5:$F$1004,0)),"¿Lote?"))</f>
        <v/>
      </c>
      <c r="E1018" s="11" t="str">
        <f aca="false">IF(C1018="","",IFERROR(INDEX(LOTES!$C$5:$C$1004,MATCH(C1018,LOTES!$F$5:$F$1004,0)),""))</f>
        <v/>
      </c>
      <c r="F1018" s="24" t="str">
        <f aca="false">IF(C1018="","",IFERROR(INDEX(LOTES!$B$5:$B$1004,MATCH(C1018,LOTES!$F$5:$F$1004,0)),""))</f>
        <v/>
      </c>
      <c r="G1018" s="15" t="str">
        <f aca="false">IF(OR(B1018="",F1018=""),"",B1018-F1018)</f>
        <v/>
      </c>
      <c r="H1018" s="13"/>
      <c r="I1018" s="13"/>
      <c r="J1018" s="13"/>
      <c r="K1018" s="25"/>
      <c r="L1018" s="25"/>
      <c r="M1018" s="25"/>
      <c r="N1018" s="25"/>
      <c r="O1018" s="26"/>
      <c r="P1018" s="16" t="str">
        <f aca="false">IF(O1018="","",IFERROR(1/(1/(IF(K1018="",INDEX(CONFIG!$F$5:$F$14,MATCH(D1018,CONFIG!$D$5:$D$14,0)),K1018)*IF(M1018="",INDEX(CONFIG!$H$5:$H$14,MATCH(D1018,CONFIG!$D$5:$D$14,0)),M1018))),""))</f>
        <v/>
      </c>
      <c r="Q1018" s="16" t="str">
        <f aca="false">IF(OR(O1018="",P1018=""),"",O1018/P1018)</f>
        <v/>
      </c>
      <c r="R1018" s="16" t="str">
        <f aca="false">IF(Q1018="","",Q1018*0.0980665)</f>
        <v/>
      </c>
      <c r="S1018" s="16" t="str">
        <f aca="false">IF(Q1018="","",IFERROR(Q1018/(1/(1/INDEX(CONFIG!$I$5:$I$14,MATCH(D1018,CONFIG!$D$5:$D$14,0)))),""))</f>
        <v/>
      </c>
      <c r="T1018" s="13"/>
      <c r="U1018" s="13"/>
      <c r="V1018" s="13"/>
      <c r="W1018" s="13"/>
      <c r="X1018" s="22" t="str">
        <f aca="false">IF(Q1018="","",Q1018^2)</f>
        <v/>
      </c>
      <c r="Y1018" s="22" t="str">
        <f aca="false">IF(AND(C1018&lt;&gt;"",C1018=CERTIFICADO!$E$4,OR(CERTIFICADO!$E$5="",B1018=CERTIFICADO!$E$5)),MAX($Y$4:Y1017)+1,"")</f>
        <v/>
      </c>
    </row>
    <row r="1019" customFormat="false" ht="15" hidden="false" customHeight="false" outlineLevel="0" collapsed="false">
      <c r="A1019" s="11" t="str">
        <f aca="false">IF(C1019="","",ROW()-4)</f>
        <v/>
      </c>
      <c r="B1019" s="12"/>
      <c r="C1019" s="13"/>
      <c r="D1019" s="23" t="str">
        <f aca="false">IF(C1019="","",IFERROR(INDEX(LOTES!$D$5:$D$1004,MATCH(C1019,LOTES!$F$5:$F$1004,0)),"¿Lote?"))</f>
        <v/>
      </c>
      <c r="E1019" s="11" t="str">
        <f aca="false">IF(C1019="","",IFERROR(INDEX(LOTES!$C$5:$C$1004,MATCH(C1019,LOTES!$F$5:$F$1004,0)),""))</f>
        <v/>
      </c>
      <c r="F1019" s="24" t="str">
        <f aca="false">IF(C1019="","",IFERROR(INDEX(LOTES!$B$5:$B$1004,MATCH(C1019,LOTES!$F$5:$F$1004,0)),""))</f>
        <v/>
      </c>
      <c r="G1019" s="15" t="str">
        <f aca="false">IF(OR(B1019="",F1019=""),"",B1019-F1019)</f>
        <v/>
      </c>
      <c r="H1019" s="13"/>
      <c r="I1019" s="13"/>
      <c r="J1019" s="13"/>
      <c r="K1019" s="25"/>
      <c r="L1019" s="25"/>
      <c r="M1019" s="25"/>
      <c r="N1019" s="25"/>
      <c r="O1019" s="26"/>
      <c r="P1019" s="16" t="str">
        <f aca="false">IF(O1019="","",IFERROR(1/(1/(IF(K1019="",INDEX(CONFIG!$F$5:$F$14,MATCH(D1019,CONFIG!$D$5:$D$14,0)),K1019)*IF(M1019="",INDEX(CONFIG!$H$5:$H$14,MATCH(D1019,CONFIG!$D$5:$D$14,0)),M1019))),""))</f>
        <v/>
      </c>
      <c r="Q1019" s="16" t="str">
        <f aca="false">IF(OR(O1019="",P1019=""),"",O1019/P1019)</f>
        <v/>
      </c>
      <c r="R1019" s="16" t="str">
        <f aca="false">IF(Q1019="","",Q1019*0.0980665)</f>
        <v/>
      </c>
      <c r="S1019" s="16" t="str">
        <f aca="false">IF(Q1019="","",IFERROR(Q1019/(1/(1/INDEX(CONFIG!$I$5:$I$14,MATCH(D1019,CONFIG!$D$5:$D$14,0)))),""))</f>
        <v/>
      </c>
      <c r="T1019" s="13"/>
      <c r="U1019" s="13"/>
      <c r="V1019" s="13"/>
      <c r="W1019" s="13"/>
      <c r="X1019" s="22" t="str">
        <f aca="false">IF(Q1019="","",Q1019^2)</f>
        <v/>
      </c>
      <c r="Y1019" s="22" t="str">
        <f aca="false">IF(AND(C1019&lt;&gt;"",C1019=CERTIFICADO!$E$4,OR(CERTIFICADO!$E$5="",B1019=CERTIFICADO!$E$5)),MAX($Y$4:Y1018)+1,"")</f>
        <v/>
      </c>
    </row>
    <row r="1020" customFormat="false" ht="15" hidden="false" customHeight="false" outlineLevel="0" collapsed="false">
      <c r="A1020" s="11" t="str">
        <f aca="false">IF(C1020="","",ROW()-4)</f>
        <v/>
      </c>
      <c r="B1020" s="12"/>
      <c r="C1020" s="13"/>
      <c r="D1020" s="23" t="str">
        <f aca="false">IF(C1020="","",IFERROR(INDEX(LOTES!$D$5:$D$1004,MATCH(C1020,LOTES!$F$5:$F$1004,0)),"¿Lote?"))</f>
        <v/>
      </c>
      <c r="E1020" s="11" t="str">
        <f aca="false">IF(C1020="","",IFERROR(INDEX(LOTES!$C$5:$C$1004,MATCH(C1020,LOTES!$F$5:$F$1004,0)),""))</f>
        <v/>
      </c>
      <c r="F1020" s="24" t="str">
        <f aca="false">IF(C1020="","",IFERROR(INDEX(LOTES!$B$5:$B$1004,MATCH(C1020,LOTES!$F$5:$F$1004,0)),""))</f>
        <v/>
      </c>
      <c r="G1020" s="15" t="str">
        <f aca="false">IF(OR(B1020="",F1020=""),"",B1020-F1020)</f>
        <v/>
      </c>
      <c r="H1020" s="13"/>
      <c r="I1020" s="13"/>
      <c r="J1020" s="13"/>
      <c r="K1020" s="25"/>
      <c r="L1020" s="25"/>
      <c r="M1020" s="25"/>
      <c r="N1020" s="25"/>
      <c r="O1020" s="26"/>
      <c r="P1020" s="16" t="str">
        <f aca="false">IF(O1020="","",IFERROR(1/(1/(IF(K1020="",INDEX(CONFIG!$F$5:$F$14,MATCH(D1020,CONFIG!$D$5:$D$14,0)),K1020)*IF(M1020="",INDEX(CONFIG!$H$5:$H$14,MATCH(D1020,CONFIG!$D$5:$D$14,0)),M1020))),""))</f>
        <v/>
      </c>
      <c r="Q1020" s="16" t="str">
        <f aca="false">IF(OR(O1020="",P1020=""),"",O1020/P1020)</f>
        <v/>
      </c>
      <c r="R1020" s="16" t="str">
        <f aca="false">IF(Q1020="","",Q1020*0.0980665)</f>
        <v/>
      </c>
      <c r="S1020" s="16" t="str">
        <f aca="false">IF(Q1020="","",IFERROR(Q1020/(1/(1/INDEX(CONFIG!$I$5:$I$14,MATCH(D1020,CONFIG!$D$5:$D$14,0)))),""))</f>
        <v/>
      </c>
      <c r="T1020" s="13"/>
      <c r="U1020" s="13"/>
      <c r="V1020" s="13"/>
      <c r="W1020" s="13"/>
      <c r="X1020" s="22" t="str">
        <f aca="false">IF(Q1020="","",Q1020^2)</f>
        <v/>
      </c>
      <c r="Y1020" s="22" t="str">
        <f aca="false">IF(AND(C1020&lt;&gt;"",C1020=CERTIFICADO!$E$4,OR(CERTIFICADO!$E$5="",B1020=CERTIFICADO!$E$5)),MAX($Y$4:Y1019)+1,"")</f>
        <v/>
      </c>
    </row>
    <row r="1021" customFormat="false" ht="15" hidden="false" customHeight="false" outlineLevel="0" collapsed="false">
      <c r="A1021" s="11" t="str">
        <f aca="false">IF(C1021="","",ROW()-4)</f>
        <v/>
      </c>
      <c r="B1021" s="12"/>
      <c r="C1021" s="13"/>
      <c r="D1021" s="23" t="str">
        <f aca="false">IF(C1021="","",IFERROR(INDEX(LOTES!$D$5:$D$1004,MATCH(C1021,LOTES!$F$5:$F$1004,0)),"¿Lote?"))</f>
        <v/>
      </c>
      <c r="E1021" s="11" t="str">
        <f aca="false">IF(C1021="","",IFERROR(INDEX(LOTES!$C$5:$C$1004,MATCH(C1021,LOTES!$F$5:$F$1004,0)),""))</f>
        <v/>
      </c>
      <c r="F1021" s="24" t="str">
        <f aca="false">IF(C1021="","",IFERROR(INDEX(LOTES!$B$5:$B$1004,MATCH(C1021,LOTES!$F$5:$F$1004,0)),""))</f>
        <v/>
      </c>
      <c r="G1021" s="15" t="str">
        <f aca="false">IF(OR(B1021="",F1021=""),"",B1021-F1021)</f>
        <v/>
      </c>
      <c r="H1021" s="13"/>
      <c r="I1021" s="13"/>
      <c r="J1021" s="13"/>
      <c r="K1021" s="25"/>
      <c r="L1021" s="25"/>
      <c r="M1021" s="25"/>
      <c r="N1021" s="25"/>
      <c r="O1021" s="26"/>
      <c r="P1021" s="16" t="str">
        <f aca="false">IF(O1021="","",IFERROR(1/(1/(IF(K1021="",INDEX(CONFIG!$F$5:$F$14,MATCH(D1021,CONFIG!$D$5:$D$14,0)),K1021)*IF(M1021="",INDEX(CONFIG!$H$5:$H$14,MATCH(D1021,CONFIG!$D$5:$D$14,0)),M1021))),""))</f>
        <v/>
      </c>
      <c r="Q1021" s="16" t="str">
        <f aca="false">IF(OR(O1021="",P1021=""),"",O1021/P1021)</f>
        <v/>
      </c>
      <c r="R1021" s="16" t="str">
        <f aca="false">IF(Q1021="","",Q1021*0.0980665)</f>
        <v/>
      </c>
      <c r="S1021" s="16" t="str">
        <f aca="false">IF(Q1021="","",IFERROR(Q1021/(1/(1/INDEX(CONFIG!$I$5:$I$14,MATCH(D1021,CONFIG!$D$5:$D$14,0)))),""))</f>
        <v/>
      </c>
      <c r="T1021" s="13"/>
      <c r="U1021" s="13"/>
      <c r="V1021" s="13"/>
      <c r="W1021" s="13"/>
      <c r="X1021" s="22" t="str">
        <f aca="false">IF(Q1021="","",Q1021^2)</f>
        <v/>
      </c>
      <c r="Y1021" s="22" t="str">
        <f aca="false">IF(AND(C1021&lt;&gt;"",C1021=CERTIFICADO!$E$4,OR(CERTIFICADO!$E$5="",B1021=CERTIFICADO!$E$5)),MAX($Y$4:Y1020)+1,"")</f>
        <v/>
      </c>
    </row>
    <row r="1022" customFormat="false" ht="15" hidden="false" customHeight="false" outlineLevel="0" collapsed="false">
      <c r="A1022" s="11" t="str">
        <f aca="false">IF(C1022="","",ROW()-4)</f>
        <v/>
      </c>
      <c r="B1022" s="12"/>
      <c r="C1022" s="13"/>
      <c r="D1022" s="23" t="str">
        <f aca="false">IF(C1022="","",IFERROR(INDEX(LOTES!$D$5:$D$1004,MATCH(C1022,LOTES!$F$5:$F$1004,0)),"¿Lote?"))</f>
        <v/>
      </c>
      <c r="E1022" s="11" t="str">
        <f aca="false">IF(C1022="","",IFERROR(INDEX(LOTES!$C$5:$C$1004,MATCH(C1022,LOTES!$F$5:$F$1004,0)),""))</f>
        <v/>
      </c>
      <c r="F1022" s="24" t="str">
        <f aca="false">IF(C1022="","",IFERROR(INDEX(LOTES!$B$5:$B$1004,MATCH(C1022,LOTES!$F$5:$F$1004,0)),""))</f>
        <v/>
      </c>
      <c r="G1022" s="15" t="str">
        <f aca="false">IF(OR(B1022="",F1022=""),"",B1022-F1022)</f>
        <v/>
      </c>
      <c r="H1022" s="13"/>
      <c r="I1022" s="13"/>
      <c r="J1022" s="13"/>
      <c r="K1022" s="25"/>
      <c r="L1022" s="25"/>
      <c r="M1022" s="25"/>
      <c r="N1022" s="25"/>
      <c r="O1022" s="26"/>
      <c r="P1022" s="16" t="str">
        <f aca="false">IF(O1022="","",IFERROR(1/(1/(IF(K1022="",INDEX(CONFIG!$F$5:$F$14,MATCH(D1022,CONFIG!$D$5:$D$14,0)),K1022)*IF(M1022="",INDEX(CONFIG!$H$5:$H$14,MATCH(D1022,CONFIG!$D$5:$D$14,0)),M1022))),""))</f>
        <v/>
      </c>
      <c r="Q1022" s="16" t="str">
        <f aca="false">IF(OR(O1022="",P1022=""),"",O1022/P1022)</f>
        <v/>
      </c>
      <c r="R1022" s="16" t="str">
        <f aca="false">IF(Q1022="","",Q1022*0.0980665)</f>
        <v/>
      </c>
      <c r="S1022" s="16" t="str">
        <f aca="false">IF(Q1022="","",IFERROR(Q1022/(1/(1/INDEX(CONFIG!$I$5:$I$14,MATCH(D1022,CONFIG!$D$5:$D$14,0)))),""))</f>
        <v/>
      </c>
      <c r="T1022" s="13"/>
      <c r="U1022" s="13"/>
      <c r="V1022" s="13"/>
      <c r="W1022" s="13"/>
      <c r="X1022" s="22" t="str">
        <f aca="false">IF(Q1022="","",Q1022^2)</f>
        <v/>
      </c>
      <c r="Y1022" s="22" t="str">
        <f aca="false">IF(AND(C1022&lt;&gt;"",C1022=CERTIFICADO!$E$4,OR(CERTIFICADO!$E$5="",B1022=CERTIFICADO!$E$5)),MAX($Y$4:Y1021)+1,"")</f>
        <v/>
      </c>
    </row>
    <row r="1023" customFormat="false" ht="15" hidden="false" customHeight="false" outlineLevel="0" collapsed="false">
      <c r="A1023" s="11" t="str">
        <f aca="false">IF(C1023="","",ROW()-4)</f>
        <v/>
      </c>
      <c r="B1023" s="12"/>
      <c r="C1023" s="13"/>
      <c r="D1023" s="23" t="str">
        <f aca="false">IF(C1023="","",IFERROR(INDEX(LOTES!$D$5:$D$1004,MATCH(C1023,LOTES!$F$5:$F$1004,0)),"¿Lote?"))</f>
        <v/>
      </c>
      <c r="E1023" s="11" t="str">
        <f aca="false">IF(C1023="","",IFERROR(INDEX(LOTES!$C$5:$C$1004,MATCH(C1023,LOTES!$F$5:$F$1004,0)),""))</f>
        <v/>
      </c>
      <c r="F1023" s="24" t="str">
        <f aca="false">IF(C1023="","",IFERROR(INDEX(LOTES!$B$5:$B$1004,MATCH(C1023,LOTES!$F$5:$F$1004,0)),""))</f>
        <v/>
      </c>
      <c r="G1023" s="15" t="str">
        <f aca="false">IF(OR(B1023="",F1023=""),"",B1023-F1023)</f>
        <v/>
      </c>
      <c r="H1023" s="13"/>
      <c r="I1023" s="13"/>
      <c r="J1023" s="13"/>
      <c r="K1023" s="25"/>
      <c r="L1023" s="25"/>
      <c r="M1023" s="25"/>
      <c r="N1023" s="25"/>
      <c r="O1023" s="26"/>
      <c r="P1023" s="16" t="str">
        <f aca="false">IF(O1023="","",IFERROR(1/(1/(IF(K1023="",INDEX(CONFIG!$F$5:$F$14,MATCH(D1023,CONFIG!$D$5:$D$14,0)),K1023)*IF(M1023="",INDEX(CONFIG!$H$5:$H$14,MATCH(D1023,CONFIG!$D$5:$D$14,0)),M1023))),""))</f>
        <v/>
      </c>
      <c r="Q1023" s="16" t="str">
        <f aca="false">IF(OR(O1023="",P1023=""),"",O1023/P1023)</f>
        <v/>
      </c>
      <c r="R1023" s="16" t="str">
        <f aca="false">IF(Q1023="","",Q1023*0.0980665)</f>
        <v/>
      </c>
      <c r="S1023" s="16" t="str">
        <f aca="false">IF(Q1023="","",IFERROR(Q1023/(1/(1/INDEX(CONFIG!$I$5:$I$14,MATCH(D1023,CONFIG!$D$5:$D$14,0)))),""))</f>
        <v/>
      </c>
      <c r="T1023" s="13"/>
      <c r="U1023" s="13"/>
      <c r="V1023" s="13"/>
      <c r="W1023" s="13"/>
      <c r="X1023" s="22" t="str">
        <f aca="false">IF(Q1023="","",Q1023^2)</f>
        <v/>
      </c>
      <c r="Y1023" s="22" t="str">
        <f aca="false">IF(AND(C1023&lt;&gt;"",C1023=CERTIFICADO!$E$4,OR(CERTIFICADO!$E$5="",B1023=CERTIFICADO!$E$5)),MAX($Y$4:Y1022)+1,"")</f>
        <v/>
      </c>
    </row>
    <row r="1024" customFormat="false" ht="15" hidden="false" customHeight="false" outlineLevel="0" collapsed="false">
      <c r="A1024" s="11" t="str">
        <f aca="false">IF(C1024="","",ROW()-4)</f>
        <v/>
      </c>
      <c r="B1024" s="12"/>
      <c r="C1024" s="13"/>
      <c r="D1024" s="23" t="str">
        <f aca="false">IF(C1024="","",IFERROR(INDEX(LOTES!$D$5:$D$1004,MATCH(C1024,LOTES!$F$5:$F$1004,0)),"¿Lote?"))</f>
        <v/>
      </c>
      <c r="E1024" s="11" t="str">
        <f aca="false">IF(C1024="","",IFERROR(INDEX(LOTES!$C$5:$C$1004,MATCH(C1024,LOTES!$F$5:$F$1004,0)),""))</f>
        <v/>
      </c>
      <c r="F1024" s="24" t="str">
        <f aca="false">IF(C1024="","",IFERROR(INDEX(LOTES!$B$5:$B$1004,MATCH(C1024,LOTES!$F$5:$F$1004,0)),""))</f>
        <v/>
      </c>
      <c r="G1024" s="15" t="str">
        <f aca="false">IF(OR(B1024="",F1024=""),"",B1024-F1024)</f>
        <v/>
      </c>
      <c r="H1024" s="13"/>
      <c r="I1024" s="13"/>
      <c r="J1024" s="13"/>
      <c r="K1024" s="25"/>
      <c r="L1024" s="25"/>
      <c r="M1024" s="25"/>
      <c r="N1024" s="25"/>
      <c r="O1024" s="26"/>
      <c r="P1024" s="16" t="str">
        <f aca="false">IF(O1024="","",IFERROR(1/(1/(IF(K1024="",INDEX(CONFIG!$F$5:$F$14,MATCH(D1024,CONFIG!$D$5:$D$14,0)),K1024)*IF(M1024="",INDEX(CONFIG!$H$5:$H$14,MATCH(D1024,CONFIG!$D$5:$D$14,0)),M1024))),""))</f>
        <v/>
      </c>
      <c r="Q1024" s="16" t="str">
        <f aca="false">IF(OR(O1024="",P1024=""),"",O1024/P1024)</f>
        <v/>
      </c>
      <c r="R1024" s="16" t="str">
        <f aca="false">IF(Q1024="","",Q1024*0.0980665)</f>
        <v/>
      </c>
      <c r="S1024" s="16" t="str">
        <f aca="false">IF(Q1024="","",IFERROR(Q1024/(1/(1/INDEX(CONFIG!$I$5:$I$14,MATCH(D1024,CONFIG!$D$5:$D$14,0)))),""))</f>
        <v/>
      </c>
      <c r="T1024" s="13"/>
      <c r="U1024" s="13"/>
      <c r="V1024" s="13"/>
      <c r="W1024" s="13"/>
      <c r="X1024" s="22" t="str">
        <f aca="false">IF(Q1024="","",Q1024^2)</f>
        <v/>
      </c>
      <c r="Y1024" s="22" t="str">
        <f aca="false">IF(AND(C1024&lt;&gt;"",C1024=CERTIFICADO!$E$4,OR(CERTIFICADO!$E$5="",B1024=CERTIFICADO!$E$5)),MAX($Y$4:Y1023)+1,"")</f>
        <v/>
      </c>
    </row>
    <row r="1025" customFormat="false" ht="15" hidden="false" customHeight="false" outlineLevel="0" collapsed="false">
      <c r="A1025" s="11" t="str">
        <f aca="false">IF(C1025="","",ROW()-4)</f>
        <v/>
      </c>
      <c r="B1025" s="12"/>
      <c r="C1025" s="13"/>
      <c r="D1025" s="23" t="str">
        <f aca="false">IF(C1025="","",IFERROR(INDEX(LOTES!$D$5:$D$1004,MATCH(C1025,LOTES!$F$5:$F$1004,0)),"¿Lote?"))</f>
        <v/>
      </c>
      <c r="E1025" s="11" t="str">
        <f aca="false">IF(C1025="","",IFERROR(INDEX(LOTES!$C$5:$C$1004,MATCH(C1025,LOTES!$F$5:$F$1004,0)),""))</f>
        <v/>
      </c>
      <c r="F1025" s="24" t="str">
        <f aca="false">IF(C1025="","",IFERROR(INDEX(LOTES!$B$5:$B$1004,MATCH(C1025,LOTES!$F$5:$F$1004,0)),""))</f>
        <v/>
      </c>
      <c r="G1025" s="15" t="str">
        <f aca="false">IF(OR(B1025="",F1025=""),"",B1025-F1025)</f>
        <v/>
      </c>
      <c r="H1025" s="13"/>
      <c r="I1025" s="13"/>
      <c r="J1025" s="13"/>
      <c r="K1025" s="25"/>
      <c r="L1025" s="25"/>
      <c r="M1025" s="25"/>
      <c r="N1025" s="25"/>
      <c r="O1025" s="26"/>
      <c r="P1025" s="16" t="str">
        <f aca="false">IF(O1025="","",IFERROR(1/(1/(IF(K1025="",INDEX(CONFIG!$F$5:$F$14,MATCH(D1025,CONFIG!$D$5:$D$14,0)),K1025)*IF(M1025="",INDEX(CONFIG!$H$5:$H$14,MATCH(D1025,CONFIG!$D$5:$D$14,0)),M1025))),""))</f>
        <v/>
      </c>
      <c r="Q1025" s="16" t="str">
        <f aca="false">IF(OR(O1025="",P1025=""),"",O1025/P1025)</f>
        <v/>
      </c>
      <c r="R1025" s="16" t="str">
        <f aca="false">IF(Q1025="","",Q1025*0.0980665)</f>
        <v/>
      </c>
      <c r="S1025" s="16" t="str">
        <f aca="false">IF(Q1025="","",IFERROR(Q1025/(1/(1/INDEX(CONFIG!$I$5:$I$14,MATCH(D1025,CONFIG!$D$5:$D$14,0)))),""))</f>
        <v/>
      </c>
      <c r="T1025" s="13"/>
      <c r="U1025" s="13"/>
      <c r="V1025" s="13"/>
      <c r="W1025" s="13"/>
      <c r="X1025" s="22" t="str">
        <f aca="false">IF(Q1025="","",Q1025^2)</f>
        <v/>
      </c>
      <c r="Y1025" s="22" t="str">
        <f aca="false">IF(AND(C1025&lt;&gt;"",C1025=CERTIFICADO!$E$4,OR(CERTIFICADO!$E$5="",B1025=CERTIFICADO!$E$5)),MAX($Y$4:Y1024)+1,"")</f>
        <v/>
      </c>
    </row>
    <row r="1026" customFormat="false" ht="15" hidden="false" customHeight="false" outlineLevel="0" collapsed="false">
      <c r="A1026" s="11" t="str">
        <f aca="false">IF(C1026="","",ROW()-4)</f>
        <v/>
      </c>
      <c r="B1026" s="12"/>
      <c r="C1026" s="13"/>
      <c r="D1026" s="23" t="str">
        <f aca="false">IF(C1026="","",IFERROR(INDEX(LOTES!$D$5:$D$1004,MATCH(C1026,LOTES!$F$5:$F$1004,0)),"¿Lote?"))</f>
        <v/>
      </c>
      <c r="E1026" s="11" t="str">
        <f aca="false">IF(C1026="","",IFERROR(INDEX(LOTES!$C$5:$C$1004,MATCH(C1026,LOTES!$F$5:$F$1004,0)),""))</f>
        <v/>
      </c>
      <c r="F1026" s="24" t="str">
        <f aca="false">IF(C1026="","",IFERROR(INDEX(LOTES!$B$5:$B$1004,MATCH(C1026,LOTES!$F$5:$F$1004,0)),""))</f>
        <v/>
      </c>
      <c r="G1026" s="15" t="str">
        <f aca="false">IF(OR(B1026="",F1026=""),"",B1026-F1026)</f>
        <v/>
      </c>
      <c r="H1026" s="13"/>
      <c r="I1026" s="13"/>
      <c r="J1026" s="13"/>
      <c r="K1026" s="25"/>
      <c r="L1026" s="25"/>
      <c r="M1026" s="25"/>
      <c r="N1026" s="25"/>
      <c r="O1026" s="26"/>
      <c r="P1026" s="16" t="str">
        <f aca="false">IF(O1026="","",IFERROR(1/(1/(IF(K1026="",INDEX(CONFIG!$F$5:$F$14,MATCH(D1026,CONFIG!$D$5:$D$14,0)),K1026)*IF(M1026="",INDEX(CONFIG!$H$5:$H$14,MATCH(D1026,CONFIG!$D$5:$D$14,0)),M1026))),""))</f>
        <v/>
      </c>
      <c r="Q1026" s="16" t="str">
        <f aca="false">IF(OR(O1026="",P1026=""),"",O1026/P1026)</f>
        <v/>
      </c>
      <c r="R1026" s="16" t="str">
        <f aca="false">IF(Q1026="","",Q1026*0.0980665)</f>
        <v/>
      </c>
      <c r="S1026" s="16" t="str">
        <f aca="false">IF(Q1026="","",IFERROR(Q1026/(1/(1/INDEX(CONFIG!$I$5:$I$14,MATCH(D1026,CONFIG!$D$5:$D$14,0)))),""))</f>
        <v/>
      </c>
      <c r="T1026" s="13"/>
      <c r="U1026" s="13"/>
      <c r="V1026" s="13"/>
      <c r="W1026" s="13"/>
      <c r="X1026" s="22" t="str">
        <f aca="false">IF(Q1026="","",Q1026^2)</f>
        <v/>
      </c>
      <c r="Y1026" s="22" t="str">
        <f aca="false">IF(AND(C1026&lt;&gt;"",C1026=CERTIFICADO!$E$4,OR(CERTIFICADO!$E$5="",B1026=CERTIFICADO!$E$5)),MAX($Y$4:Y1025)+1,"")</f>
        <v/>
      </c>
    </row>
    <row r="1027" customFormat="false" ht="15" hidden="false" customHeight="false" outlineLevel="0" collapsed="false">
      <c r="A1027" s="11" t="str">
        <f aca="false">IF(C1027="","",ROW()-4)</f>
        <v/>
      </c>
      <c r="B1027" s="12"/>
      <c r="C1027" s="13"/>
      <c r="D1027" s="23" t="str">
        <f aca="false">IF(C1027="","",IFERROR(INDEX(LOTES!$D$5:$D$1004,MATCH(C1027,LOTES!$F$5:$F$1004,0)),"¿Lote?"))</f>
        <v/>
      </c>
      <c r="E1027" s="11" t="str">
        <f aca="false">IF(C1027="","",IFERROR(INDEX(LOTES!$C$5:$C$1004,MATCH(C1027,LOTES!$F$5:$F$1004,0)),""))</f>
        <v/>
      </c>
      <c r="F1027" s="24" t="str">
        <f aca="false">IF(C1027="","",IFERROR(INDEX(LOTES!$B$5:$B$1004,MATCH(C1027,LOTES!$F$5:$F$1004,0)),""))</f>
        <v/>
      </c>
      <c r="G1027" s="15" t="str">
        <f aca="false">IF(OR(B1027="",F1027=""),"",B1027-F1027)</f>
        <v/>
      </c>
      <c r="H1027" s="13"/>
      <c r="I1027" s="13"/>
      <c r="J1027" s="13"/>
      <c r="K1027" s="25"/>
      <c r="L1027" s="25"/>
      <c r="M1027" s="25"/>
      <c r="N1027" s="25"/>
      <c r="O1027" s="26"/>
      <c r="P1027" s="16" t="str">
        <f aca="false">IF(O1027="","",IFERROR(1/(1/(IF(K1027="",INDEX(CONFIG!$F$5:$F$14,MATCH(D1027,CONFIG!$D$5:$D$14,0)),K1027)*IF(M1027="",INDEX(CONFIG!$H$5:$H$14,MATCH(D1027,CONFIG!$D$5:$D$14,0)),M1027))),""))</f>
        <v/>
      </c>
      <c r="Q1027" s="16" t="str">
        <f aca="false">IF(OR(O1027="",P1027=""),"",O1027/P1027)</f>
        <v/>
      </c>
      <c r="R1027" s="16" t="str">
        <f aca="false">IF(Q1027="","",Q1027*0.0980665)</f>
        <v/>
      </c>
      <c r="S1027" s="16" t="str">
        <f aca="false">IF(Q1027="","",IFERROR(Q1027/(1/(1/INDEX(CONFIG!$I$5:$I$14,MATCH(D1027,CONFIG!$D$5:$D$14,0)))),""))</f>
        <v/>
      </c>
      <c r="T1027" s="13"/>
      <c r="U1027" s="13"/>
      <c r="V1027" s="13"/>
      <c r="W1027" s="13"/>
      <c r="X1027" s="22" t="str">
        <f aca="false">IF(Q1027="","",Q1027^2)</f>
        <v/>
      </c>
      <c r="Y1027" s="22" t="str">
        <f aca="false">IF(AND(C1027&lt;&gt;"",C1027=CERTIFICADO!$E$4,OR(CERTIFICADO!$E$5="",B1027=CERTIFICADO!$E$5)),MAX($Y$4:Y1026)+1,"")</f>
        <v/>
      </c>
    </row>
    <row r="1028" customFormat="false" ht="15" hidden="false" customHeight="false" outlineLevel="0" collapsed="false">
      <c r="A1028" s="11" t="str">
        <f aca="false">IF(C1028="","",ROW()-4)</f>
        <v/>
      </c>
      <c r="B1028" s="12"/>
      <c r="C1028" s="13"/>
      <c r="D1028" s="23" t="str">
        <f aca="false">IF(C1028="","",IFERROR(INDEX(LOTES!$D$5:$D$1004,MATCH(C1028,LOTES!$F$5:$F$1004,0)),"¿Lote?"))</f>
        <v/>
      </c>
      <c r="E1028" s="11" t="str">
        <f aca="false">IF(C1028="","",IFERROR(INDEX(LOTES!$C$5:$C$1004,MATCH(C1028,LOTES!$F$5:$F$1004,0)),""))</f>
        <v/>
      </c>
      <c r="F1028" s="24" t="str">
        <f aca="false">IF(C1028="","",IFERROR(INDEX(LOTES!$B$5:$B$1004,MATCH(C1028,LOTES!$F$5:$F$1004,0)),""))</f>
        <v/>
      </c>
      <c r="G1028" s="15" t="str">
        <f aca="false">IF(OR(B1028="",F1028=""),"",B1028-F1028)</f>
        <v/>
      </c>
      <c r="H1028" s="13"/>
      <c r="I1028" s="13"/>
      <c r="J1028" s="13"/>
      <c r="K1028" s="25"/>
      <c r="L1028" s="25"/>
      <c r="M1028" s="25"/>
      <c r="N1028" s="25"/>
      <c r="O1028" s="26"/>
      <c r="P1028" s="16" t="str">
        <f aca="false">IF(O1028="","",IFERROR(1/(1/(IF(K1028="",INDEX(CONFIG!$F$5:$F$14,MATCH(D1028,CONFIG!$D$5:$D$14,0)),K1028)*IF(M1028="",INDEX(CONFIG!$H$5:$H$14,MATCH(D1028,CONFIG!$D$5:$D$14,0)),M1028))),""))</f>
        <v/>
      </c>
      <c r="Q1028" s="16" t="str">
        <f aca="false">IF(OR(O1028="",P1028=""),"",O1028/P1028)</f>
        <v/>
      </c>
      <c r="R1028" s="16" t="str">
        <f aca="false">IF(Q1028="","",Q1028*0.0980665)</f>
        <v/>
      </c>
      <c r="S1028" s="16" t="str">
        <f aca="false">IF(Q1028="","",IFERROR(Q1028/(1/(1/INDEX(CONFIG!$I$5:$I$14,MATCH(D1028,CONFIG!$D$5:$D$14,0)))),""))</f>
        <v/>
      </c>
      <c r="T1028" s="13"/>
      <c r="U1028" s="13"/>
      <c r="V1028" s="13"/>
      <c r="W1028" s="13"/>
      <c r="X1028" s="22" t="str">
        <f aca="false">IF(Q1028="","",Q1028^2)</f>
        <v/>
      </c>
      <c r="Y1028" s="22" t="str">
        <f aca="false">IF(AND(C1028&lt;&gt;"",C1028=CERTIFICADO!$E$4,OR(CERTIFICADO!$E$5="",B1028=CERTIFICADO!$E$5)),MAX($Y$4:Y1027)+1,"")</f>
        <v/>
      </c>
    </row>
    <row r="1029" customFormat="false" ht="15" hidden="false" customHeight="false" outlineLevel="0" collapsed="false">
      <c r="A1029" s="11" t="str">
        <f aca="false">IF(C1029="","",ROW()-4)</f>
        <v/>
      </c>
      <c r="B1029" s="12"/>
      <c r="C1029" s="13"/>
      <c r="D1029" s="23" t="str">
        <f aca="false">IF(C1029="","",IFERROR(INDEX(LOTES!$D$5:$D$1004,MATCH(C1029,LOTES!$F$5:$F$1004,0)),"¿Lote?"))</f>
        <v/>
      </c>
      <c r="E1029" s="11" t="str">
        <f aca="false">IF(C1029="","",IFERROR(INDEX(LOTES!$C$5:$C$1004,MATCH(C1029,LOTES!$F$5:$F$1004,0)),""))</f>
        <v/>
      </c>
      <c r="F1029" s="24" t="str">
        <f aca="false">IF(C1029="","",IFERROR(INDEX(LOTES!$B$5:$B$1004,MATCH(C1029,LOTES!$F$5:$F$1004,0)),""))</f>
        <v/>
      </c>
      <c r="G1029" s="15" t="str">
        <f aca="false">IF(OR(B1029="",F1029=""),"",B1029-F1029)</f>
        <v/>
      </c>
      <c r="H1029" s="13"/>
      <c r="I1029" s="13"/>
      <c r="J1029" s="13"/>
      <c r="K1029" s="25"/>
      <c r="L1029" s="25"/>
      <c r="M1029" s="25"/>
      <c r="N1029" s="25"/>
      <c r="O1029" s="26"/>
      <c r="P1029" s="16" t="str">
        <f aca="false">IF(O1029="","",IFERROR(1/(1/(IF(K1029="",INDEX(CONFIG!$F$5:$F$14,MATCH(D1029,CONFIG!$D$5:$D$14,0)),K1029)*IF(M1029="",INDEX(CONFIG!$H$5:$H$14,MATCH(D1029,CONFIG!$D$5:$D$14,0)),M1029))),""))</f>
        <v/>
      </c>
      <c r="Q1029" s="16" t="str">
        <f aca="false">IF(OR(O1029="",P1029=""),"",O1029/P1029)</f>
        <v/>
      </c>
      <c r="R1029" s="16" t="str">
        <f aca="false">IF(Q1029="","",Q1029*0.0980665)</f>
        <v/>
      </c>
      <c r="S1029" s="16" t="str">
        <f aca="false">IF(Q1029="","",IFERROR(Q1029/(1/(1/INDEX(CONFIG!$I$5:$I$14,MATCH(D1029,CONFIG!$D$5:$D$14,0)))),""))</f>
        <v/>
      </c>
      <c r="T1029" s="13"/>
      <c r="U1029" s="13"/>
      <c r="V1029" s="13"/>
      <c r="W1029" s="13"/>
      <c r="X1029" s="22" t="str">
        <f aca="false">IF(Q1029="","",Q1029^2)</f>
        <v/>
      </c>
      <c r="Y1029" s="22" t="str">
        <f aca="false">IF(AND(C1029&lt;&gt;"",C1029=CERTIFICADO!$E$4,OR(CERTIFICADO!$E$5="",B1029=CERTIFICADO!$E$5)),MAX($Y$4:Y1028)+1,"")</f>
        <v/>
      </c>
    </row>
    <row r="1030" customFormat="false" ht="15" hidden="false" customHeight="false" outlineLevel="0" collapsed="false">
      <c r="A1030" s="11" t="str">
        <f aca="false">IF(C1030="","",ROW()-4)</f>
        <v/>
      </c>
      <c r="B1030" s="12"/>
      <c r="C1030" s="13"/>
      <c r="D1030" s="23" t="str">
        <f aca="false">IF(C1030="","",IFERROR(INDEX(LOTES!$D$5:$D$1004,MATCH(C1030,LOTES!$F$5:$F$1004,0)),"¿Lote?"))</f>
        <v/>
      </c>
      <c r="E1030" s="11" t="str">
        <f aca="false">IF(C1030="","",IFERROR(INDEX(LOTES!$C$5:$C$1004,MATCH(C1030,LOTES!$F$5:$F$1004,0)),""))</f>
        <v/>
      </c>
      <c r="F1030" s="24" t="str">
        <f aca="false">IF(C1030="","",IFERROR(INDEX(LOTES!$B$5:$B$1004,MATCH(C1030,LOTES!$F$5:$F$1004,0)),""))</f>
        <v/>
      </c>
      <c r="G1030" s="15" t="str">
        <f aca="false">IF(OR(B1030="",F1030=""),"",B1030-F1030)</f>
        <v/>
      </c>
      <c r="H1030" s="13"/>
      <c r="I1030" s="13"/>
      <c r="J1030" s="13"/>
      <c r="K1030" s="25"/>
      <c r="L1030" s="25"/>
      <c r="M1030" s="25"/>
      <c r="N1030" s="25"/>
      <c r="O1030" s="26"/>
      <c r="P1030" s="16" t="str">
        <f aca="false">IF(O1030="","",IFERROR(1/(1/(IF(K1030="",INDEX(CONFIG!$F$5:$F$14,MATCH(D1030,CONFIG!$D$5:$D$14,0)),K1030)*IF(M1030="",INDEX(CONFIG!$H$5:$H$14,MATCH(D1030,CONFIG!$D$5:$D$14,0)),M1030))),""))</f>
        <v/>
      </c>
      <c r="Q1030" s="16" t="str">
        <f aca="false">IF(OR(O1030="",P1030=""),"",O1030/P1030)</f>
        <v/>
      </c>
      <c r="R1030" s="16" t="str">
        <f aca="false">IF(Q1030="","",Q1030*0.0980665)</f>
        <v/>
      </c>
      <c r="S1030" s="16" t="str">
        <f aca="false">IF(Q1030="","",IFERROR(Q1030/(1/(1/INDEX(CONFIG!$I$5:$I$14,MATCH(D1030,CONFIG!$D$5:$D$14,0)))),""))</f>
        <v/>
      </c>
      <c r="T1030" s="13"/>
      <c r="U1030" s="13"/>
      <c r="V1030" s="13"/>
      <c r="W1030" s="13"/>
      <c r="X1030" s="22" t="str">
        <f aca="false">IF(Q1030="","",Q1030^2)</f>
        <v/>
      </c>
      <c r="Y1030" s="22" t="str">
        <f aca="false">IF(AND(C1030&lt;&gt;"",C1030=CERTIFICADO!$E$4,OR(CERTIFICADO!$E$5="",B1030=CERTIFICADO!$E$5)),MAX($Y$4:Y1029)+1,"")</f>
        <v/>
      </c>
    </row>
    <row r="1031" customFormat="false" ht="15" hidden="false" customHeight="false" outlineLevel="0" collapsed="false">
      <c r="A1031" s="11" t="str">
        <f aca="false">IF(C1031="","",ROW()-4)</f>
        <v/>
      </c>
      <c r="B1031" s="12"/>
      <c r="C1031" s="13"/>
      <c r="D1031" s="23" t="str">
        <f aca="false">IF(C1031="","",IFERROR(INDEX(LOTES!$D$5:$D$1004,MATCH(C1031,LOTES!$F$5:$F$1004,0)),"¿Lote?"))</f>
        <v/>
      </c>
      <c r="E1031" s="11" t="str">
        <f aca="false">IF(C1031="","",IFERROR(INDEX(LOTES!$C$5:$C$1004,MATCH(C1031,LOTES!$F$5:$F$1004,0)),""))</f>
        <v/>
      </c>
      <c r="F1031" s="24" t="str">
        <f aca="false">IF(C1031="","",IFERROR(INDEX(LOTES!$B$5:$B$1004,MATCH(C1031,LOTES!$F$5:$F$1004,0)),""))</f>
        <v/>
      </c>
      <c r="G1031" s="15" t="str">
        <f aca="false">IF(OR(B1031="",F1031=""),"",B1031-F1031)</f>
        <v/>
      </c>
      <c r="H1031" s="13"/>
      <c r="I1031" s="13"/>
      <c r="J1031" s="13"/>
      <c r="K1031" s="25"/>
      <c r="L1031" s="25"/>
      <c r="M1031" s="25"/>
      <c r="N1031" s="25"/>
      <c r="O1031" s="26"/>
      <c r="P1031" s="16" t="str">
        <f aca="false">IF(O1031="","",IFERROR(1/(1/(IF(K1031="",INDEX(CONFIG!$F$5:$F$14,MATCH(D1031,CONFIG!$D$5:$D$14,0)),K1031)*IF(M1031="",INDEX(CONFIG!$H$5:$H$14,MATCH(D1031,CONFIG!$D$5:$D$14,0)),M1031))),""))</f>
        <v/>
      </c>
      <c r="Q1031" s="16" t="str">
        <f aca="false">IF(OR(O1031="",P1031=""),"",O1031/P1031)</f>
        <v/>
      </c>
      <c r="R1031" s="16" t="str">
        <f aca="false">IF(Q1031="","",Q1031*0.0980665)</f>
        <v/>
      </c>
      <c r="S1031" s="16" t="str">
        <f aca="false">IF(Q1031="","",IFERROR(Q1031/(1/(1/INDEX(CONFIG!$I$5:$I$14,MATCH(D1031,CONFIG!$D$5:$D$14,0)))),""))</f>
        <v/>
      </c>
      <c r="T1031" s="13"/>
      <c r="U1031" s="13"/>
      <c r="V1031" s="13"/>
      <c r="W1031" s="13"/>
      <c r="X1031" s="22" t="str">
        <f aca="false">IF(Q1031="","",Q1031^2)</f>
        <v/>
      </c>
      <c r="Y1031" s="22" t="str">
        <f aca="false">IF(AND(C1031&lt;&gt;"",C1031=CERTIFICADO!$E$4,OR(CERTIFICADO!$E$5="",B1031=CERTIFICADO!$E$5)),MAX($Y$4:Y1030)+1,"")</f>
        <v/>
      </c>
    </row>
    <row r="1032" customFormat="false" ht="15" hidden="false" customHeight="false" outlineLevel="0" collapsed="false">
      <c r="A1032" s="11" t="str">
        <f aca="false">IF(C1032="","",ROW()-4)</f>
        <v/>
      </c>
      <c r="B1032" s="12"/>
      <c r="C1032" s="13"/>
      <c r="D1032" s="23" t="str">
        <f aca="false">IF(C1032="","",IFERROR(INDEX(LOTES!$D$5:$D$1004,MATCH(C1032,LOTES!$F$5:$F$1004,0)),"¿Lote?"))</f>
        <v/>
      </c>
      <c r="E1032" s="11" t="str">
        <f aca="false">IF(C1032="","",IFERROR(INDEX(LOTES!$C$5:$C$1004,MATCH(C1032,LOTES!$F$5:$F$1004,0)),""))</f>
        <v/>
      </c>
      <c r="F1032" s="24" t="str">
        <f aca="false">IF(C1032="","",IFERROR(INDEX(LOTES!$B$5:$B$1004,MATCH(C1032,LOTES!$F$5:$F$1004,0)),""))</f>
        <v/>
      </c>
      <c r="G1032" s="15" t="str">
        <f aca="false">IF(OR(B1032="",F1032=""),"",B1032-F1032)</f>
        <v/>
      </c>
      <c r="H1032" s="13"/>
      <c r="I1032" s="13"/>
      <c r="J1032" s="13"/>
      <c r="K1032" s="25"/>
      <c r="L1032" s="25"/>
      <c r="M1032" s="25"/>
      <c r="N1032" s="25"/>
      <c r="O1032" s="26"/>
      <c r="P1032" s="16" t="str">
        <f aca="false">IF(O1032="","",IFERROR(1/(1/(IF(K1032="",INDEX(CONFIG!$F$5:$F$14,MATCH(D1032,CONFIG!$D$5:$D$14,0)),K1032)*IF(M1032="",INDEX(CONFIG!$H$5:$H$14,MATCH(D1032,CONFIG!$D$5:$D$14,0)),M1032))),""))</f>
        <v/>
      </c>
      <c r="Q1032" s="16" t="str">
        <f aca="false">IF(OR(O1032="",P1032=""),"",O1032/P1032)</f>
        <v/>
      </c>
      <c r="R1032" s="16" t="str">
        <f aca="false">IF(Q1032="","",Q1032*0.0980665)</f>
        <v/>
      </c>
      <c r="S1032" s="16" t="str">
        <f aca="false">IF(Q1032="","",IFERROR(Q1032/(1/(1/INDEX(CONFIG!$I$5:$I$14,MATCH(D1032,CONFIG!$D$5:$D$14,0)))),""))</f>
        <v/>
      </c>
      <c r="T1032" s="13"/>
      <c r="U1032" s="13"/>
      <c r="V1032" s="13"/>
      <c r="W1032" s="13"/>
      <c r="X1032" s="22" t="str">
        <f aca="false">IF(Q1032="","",Q1032^2)</f>
        <v/>
      </c>
      <c r="Y1032" s="22" t="str">
        <f aca="false">IF(AND(C1032&lt;&gt;"",C1032=CERTIFICADO!$E$4,OR(CERTIFICADO!$E$5="",B1032=CERTIFICADO!$E$5)),MAX($Y$4:Y1031)+1,"")</f>
        <v/>
      </c>
    </row>
    <row r="1033" customFormat="false" ht="15" hidden="false" customHeight="false" outlineLevel="0" collapsed="false">
      <c r="A1033" s="11" t="str">
        <f aca="false">IF(C1033="","",ROW()-4)</f>
        <v/>
      </c>
      <c r="B1033" s="12"/>
      <c r="C1033" s="13"/>
      <c r="D1033" s="23" t="str">
        <f aca="false">IF(C1033="","",IFERROR(INDEX(LOTES!$D$5:$D$1004,MATCH(C1033,LOTES!$F$5:$F$1004,0)),"¿Lote?"))</f>
        <v/>
      </c>
      <c r="E1033" s="11" t="str">
        <f aca="false">IF(C1033="","",IFERROR(INDEX(LOTES!$C$5:$C$1004,MATCH(C1033,LOTES!$F$5:$F$1004,0)),""))</f>
        <v/>
      </c>
      <c r="F1033" s="24" t="str">
        <f aca="false">IF(C1033="","",IFERROR(INDEX(LOTES!$B$5:$B$1004,MATCH(C1033,LOTES!$F$5:$F$1004,0)),""))</f>
        <v/>
      </c>
      <c r="G1033" s="15" t="str">
        <f aca="false">IF(OR(B1033="",F1033=""),"",B1033-F1033)</f>
        <v/>
      </c>
      <c r="H1033" s="13"/>
      <c r="I1033" s="13"/>
      <c r="J1033" s="13"/>
      <c r="K1033" s="25"/>
      <c r="L1033" s="25"/>
      <c r="M1033" s="25"/>
      <c r="N1033" s="25"/>
      <c r="O1033" s="26"/>
      <c r="P1033" s="16" t="str">
        <f aca="false">IF(O1033="","",IFERROR(1/(1/(IF(K1033="",INDEX(CONFIG!$F$5:$F$14,MATCH(D1033,CONFIG!$D$5:$D$14,0)),K1033)*IF(M1033="",INDEX(CONFIG!$H$5:$H$14,MATCH(D1033,CONFIG!$D$5:$D$14,0)),M1033))),""))</f>
        <v/>
      </c>
      <c r="Q1033" s="16" t="str">
        <f aca="false">IF(OR(O1033="",P1033=""),"",O1033/P1033)</f>
        <v/>
      </c>
      <c r="R1033" s="16" t="str">
        <f aca="false">IF(Q1033="","",Q1033*0.0980665)</f>
        <v/>
      </c>
      <c r="S1033" s="16" t="str">
        <f aca="false">IF(Q1033="","",IFERROR(Q1033/(1/(1/INDEX(CONFIG!$I$5:$I$14,MATCH(D1033,CONFIG!$D$5:$D$14,0)))),""))</f>
        <v/>
      </c>
      <c r="T1033" s="13"/>
      <c r="U1033" s="13"/>
      <c r="V1033" s="13"/>
      <c r="W1033" s="13"/>
      <c r="X1033" s="22" t="str">
        <f aca="false">IF(Q1033="","",Q1033^2)</f>
        <v/>
      </c>
      <c r="Y1033" s="22" t="str">
        <f aca="false">IF(AND(C1033&lt;&gt;"",C1033=CERTIFICADO!$E$4,OR(CERTIFICADO!$E$5="",B1033=CERTIFICADO!$E$5)),MAX($Y$4:Y1032)+1,"")</f>
        <v/>
      </c>
    </row>
    <row r="1034" customFormat="false" ht="15" hidden="false" customHeight="false" outlineLevel="0" collapsed="false">
      <c r="A1034" s="11" t="str">
        <f aca="false">IF(C1034="","",ROW()-4)</f>
        <v/>
      </c>
      <c r="B1034" s="12"/>
      <c r="C1034" s="13"/>
      <c r="D1034" s="23" t="str">
        <f aca="false">IF(C1034="","",IFERROR(INDEX(LOTES!$D$5:$D$1004,MATCH(C1034,LOTES!$F$5:$F$1004,0)),"¿Lote?"))</f>
        <v/>
      </c>
      <c r="E1034" s="11" t="str">
        <f aca="false">IF(C1034="","",IFERROR(INDEX(LOTES!$C$5:$C$1004,MATCH(C1034,LOTES!$F$5:$F$1004,0)),""))</f>
        <v/>
      </c>
      <c r="F1034" s="24" t="str">
        <f aca="false">IF(C1034="","",IFERROR(INDEX(LOTES!$B$5:$B$1004,MATCH(C1034,LOTES!$F$5:$F$1004,0)),""))</f>
        <v/>
      </c>
      <c r="G1034" s="15" t="str">
        <f aca="false">IF(OR(B1034="",F1034=""),"",B1034-F1034)</f>
        <v/>
      </c>
      <c r="H1034" s="13"/>
      <c r="I1034" s="13"/>
      <c r="J1034" s="13"/>
      <c r="K1034" s="25"/>
      <c r="L1034" s="25"/>
      <c r="M1034" s="25"/>
      <c r="N1034" s="25"/>
      <c r="O1034" s="26"/>
      <c r="P1034" s="16" t="str">
        <f aca="false">IF(O1034="","",IFERROR(1/(1/(IF(K1034="",INDEX(CONFIG!$F$5:$F$14,MATCH(D1034,CONFIG!$D$5:$D$14,0)),K1034)*IF(M1034="",INDEX(CONFIG!$H$5:$H$14,MATCH(D1034,CONFIG!$D$5:$D$14,0)),M1034))),""))</f>
        <v/>
      </c>
      <c r="Q1034" s="16" t="str">
        <f aca="false">IF(OR(O1034="",P1034=""),"",O1034/P1034)</f>
        <v/>
      </c>
      <c r="R1034" s="16" t="str">
        <f aca="false">IF(Q1034="","",Q1034*0.0980665)</f>
        <v/>
      </c>
      <c r="S1034" s="16" t="str">
        <f aca="false">IF(Q1034="","",IFERROR(Q1034/(1/(1/INDEX(CONFIG!$I$5:$I$14,MATCH(D1034,CONFIG!$D$5:$D$14,0)))),""))</f>
        <v/>
      </c>
      <c r="T1034" s="13"/>
      <c r="U1034" s="13"/>
      <c r="V1034" s="13"/>
      <c r="W1034" s="13"/>
      <c r="X1034" s="22" t="str">
        <f aca="false">IF(Q1034="","",Q1034^2)</f>
        <v/>
      </c>
      <c r="Y1034" s="22" t="str">
        <f aca="false">IF(AND(C1034&lt;&gt;"",C1034=CERTIFICADO!$E$4,OR(CERTIFICADO!$E$5="",B1034=CERTIFICADO!$E$5)),MAX($Y$4:Y1033)+1,"")</f>
        <v/>
      </c>
    </row>
    <row r="1035" customFormat="false" ht="15" hidden="false" customHeight="false" outlineLevel="0" collapsed="false">
      <c r="A1035" s="11" t="str">
        <f aca="false">IF(C1035="","",ROW()-4)</f>
        <v/>
      </c>
      <c r="B1035" s="12"/>
      <c r="C1035" s="13"/>
      <c r="D1035" s="23" t="str">
        <f aca="false">IF(C1035="","",IFERROR(INDEX(LOTES!$D$5:$D$1004,MATCH(C1035,LOTES!$F$5:$F$1004,0)),"¿Lote?"))</f>
        <v/>
      </c>
      <c r="E1035" s="11" t="str">
        <f aca="false">IF(C1035="","",IFERROR(INDEX(LOTES!$C$5:$C$1004,MATCH(C1035,LOTES!$F$5:$F$1004,0)),""))</f>
        <v/>
      </c>
      <c r="F1035" s="24" t="str">
        <f aca="false">IF(C1035="","",IFERROR(INDEX(LOTES!$B$5:$B$1004,MATCH(C1035,LOTES!$F$5:$F$1004,0)),""))</f>
        <v/>
      </c>
      <c r="G1035" s="15" t="str">
        <f aca="false">IF(OR(B1035="",F1035=""),"",B1035-F1035)</f>
        <v/>
      </c>
      <c r="H1035" s="13"/>
      <c r="I1035" s="13"/>
      <c r="J1035" s="13"/>
      <c r="K1035" s="25"/>
      <c r="L1035" s="25"/>
      <c r="M1035" s="25"/>
      <c r="N1035" s="25"/>
      <c r="O1035" s="26"/>
      <c r="P1035" s="16" t="str">
        <f aca="false">IF(O1035="","",IFERROR(1/(1/(IF(K1035="",INDEX(CONFIG!$F$5:$F$14,MATCH(D1035,CONFIG!$D$5:$D$14,0)),K1035)*IF(M1035="",INDEX(CONFIG!$H$5:$H$14,MATCH(D1035,CONFIG!$D$5:$D$14,0)),M1035))),""))</f>
        <v/>
      </c>
      <c r="Q1035" s="16" t="str">
        <f aca="false">IF(OR(O1035="",P1035=""),"",O1035/P1035)</f>
        <v/>
      </c>
      <c r="R1035" s="16" t="str">
        <f aca="false">IF(Q1035="","",Q1035*0.0980665)</f>
        <v/>
      </c>
      <c r="S1035" s="16" t="str">
        <f aca="false">IF(Q1035="","",IFERROR(Q1035/(1/(1/INDEX(CONFIG!$I$5:$I$14,MATCH(D1035,CONFIG!$D$5:$D$14,0)))),""))</f>
        <v/>
      </c>
      <c r="T1035" s="13"/>
      <c r="U1035" s="13"/>
      <c r="V1035" s="13"/>
      <c r="W1035" s="13"/>
      <c r="X1035" s="22" t="str">
        <f aca="false">IF(Q1035="","",Q1035^2)</f>
        <v/>
      </c>
      <c r="Y1035" s="22" t="str">
        <f aca="false">IF(AND(C1035&lt;&gt;"",C1035=CERTIFICADO!$E$4,OR(CERTIFICADO!$E$5="",B1035=CERTIFICADO!$E$5)),MAX($Y$4:Y1034)+1,"")</f>
        <v/>
      </c>
    </row>
    <row r="1036" customFormat="false" ht="15" hidden="false" customHeight="false" outlineLevel="0" collapsed="false">
      <c r="A1036" s="11" t="str">
        <f aca="false">IF(C1036="","",ROW()-4)</f>
        <v/>
      </c>
      <c r="B1036" s="12"/>
      <c r="C1036" s="13"/>
      <c r="D1036" s="23" t="str">
        <f aca="false">IF(C1036="","",IFERROR(INDEX(LOTES!$D$5:$D$1004,MATCH(C1036,LOTES!$F$5:$F$1004,0)),"¿Lote?"))</f>
        <v/>
      </c>
      <c r="E1036" s="11" t="str">
        <f aca="false">IF(C1036="","",IFERROR(INDEX(LOTES!$C$5:$C$1004,MATCH(C1036,LOTES!$F$5:$F$1004,0)),""))</f>
        <v/>
      </c>
      <c r="F1036" s="24" t="str">
        <f aca="false">IF(C1036="","",IFERROR(INDEX(LOTES!$B$5:$B$1004,MATCH(C1036,LOTES!$F$5:$F$1004,0)),""))</f>
        <v/>
      </c>
      <c r="G1036" s="15" t="str">
        <f aca="false">IF(OR(B1036="",F1036=""),"",B1036-F1036)</f>
        <v/>
      </c>
      <c r="H1036" s="13"/>
      <c r="I1036" s="13"/>
      <c r="J1036" s="13"/>
      <c r="K1036" s="25"/>
      <c r="L1036" s="25"/>
      <c r="M1036" s="25"/>
      <c r="N1036" s="25"/>
      <c r="O1036" s="26"/>
      <c r="P1036" s="16" t="str">
        <f aca="false">IF(O1036="","",IFERROR(1/(1/(IF(K1036="",INDEX(CONFIG!$F$5:$F$14,MATCH(D1036,CONFIG!$D$5:$D$14,0)),K1036)*IF(M1036="",INDEX(CONFIG!$H$5:$H$14,MATCH(D1036,CONFIG!$D$5:$D$14,0)),M1036))),""))</f>
        <v/>
      </c>
      <c r="Q1036" s="16" t="str">
        <f aca="false">IF(OR(O1036="",P1036=""),"",O1036/P1036)</f>
        <v/>
      </c>
      <c r="R1036" s="16" t="str">
        <f aca="false">IF(Q1036="","",Q1036*0.0980665)</f>
        <v/>
      </c>
      <c r="S1036" s="16" t="str">
        <f aca="false">IF(Q1036="","",IFERROR(Q1036/(1/(1/INDEX(CONFIG!$I$5:$I$14,MATCH(D1036,CONFIG!$D$5:$D$14,0)))),""))</f>
        <v/>
      </c>
      <c r="T1036" s="13"/>
      <c r="U1036" s="13"/>
      <c r="V1036" s="13"/>
      <c r="W1036" s="13"/>
      <c r="X1036" s="22" t="str">
        <f aca="false">IF(Q1036="","",Q1036^2)</f>
        <v/>
      </c>
      <c r="Y1036" s="22" t="str">
        <f aca="false">IF(AND(C1036&lt;&gt;"",C1036=CERTIFICADO!$E$4,OR(CERTIFICADO!$E$5="",B1036=CERTIFICADO!$E$5)),MAX($Y$4:Y1035)+1,"")</f>
        <v/>
      </c>
    </row>
    <row r="1037" customFormat="false" ht="15" hidden="false" customHeight="false" outlineLevel="0" collapsed="false">
      <c r="A1037" s="11" t="str">
        <f aca="false">IF(C1037="","",ROW()-4)</f>
        <v/>
      </c>
      <c r="B1037" s="12"/>
      <c r="C1037" s="13"/>
      <c r="D1037" s="23" t="str">
        <f aca="false">IF(C1037="","",IFERROR(INDEX(LOTES!$D$5:$D$1004,MATCH(C1037,LOTES!$F$5:$F$1004,0)),"¿Lote?"))</f>
        <v/>
      </c>
      <c r="E1037" s="11" t="str">
        <f aca="false">IF(C1037="","",IFERROR(INDEX(LOTES!$C$5:$C$1004,MATCH(C1037,LOTES!$F$5:$F$1004,0)),""))</f>
        <v/>
      </c>
      <c r="F1037" s="24" t="str">
        <f aca="false">IF(C1037="","",IFERROR(INDEX(LOTES!$B$5:$B$1004,MATCH(C1037,LOTES!$F$5:$F$1004,0)),""))</f>
        <v/>
      </c>
      <c r="G1037" s="15" t="str">
        <f aca="false">IF(OR(B1037="",F1037=""),"",B1037-F1037)</f>
        <v/>
      </c>
      <c r="H1037" s="13"/>
      <c r="I1037" s="13"/>
      <c r="J1037" s="13"/>
      <c r="K1037" s="25"/>
      <c r="L1037" s="25"/>
      <c r="M1037" s="25"/>
      <c r="N1037" s="25"/>
      <c r="O1037" s="26"/>
      <c r="P1037" s="16" t="str">
        <f aca="false">IF(O1037="","",IFERROR(1/(1/(IF(K1037="",INDEX(CONFIG!$F$5:$F$14,MATCH(D1037,CONFIG!$D$5:$D$14,0)),K1037)*IF(M1037="",INDEX(CONFIG!$H$5:$H$14,MATCH(D1037,CONFIG!$D$5:$D$14,0)),M1037))),""))</f>
        <v/>
      </c>
      <c r="Q1037" s="16" t="str">
        <f aca="false">IF(OR(O1037="",P1037=""),"",O1037/P1037)</f>
        <v/>
      </c>
      <c r="R1037" s="16" t="str">
        <f aca="false">IF(Q1037="","",Q1037*0.0980665)</f>
        <v/>
      </c>
      <c r="S1037" s="16" t="str">
        <f aca="false">IF(Q1037="","",IFERROR(Q1037/(1/(1/INDEX(CONFIG!$I$5:$I$14,MATCH(D1037,CONFIG!$D$5:$D$14,0)))),""))</f>
        <v/>
      </c>
      <c r="T1037" s="13"/>
      <c r="U1037" s="13"/>
      <c r="V1037" s="13"/>
      <c r="W1037" s="13"/>
      <c r="X1037" s="22" t="str">
        <f aca="false">IF(Q1037="","",Q1037^2)</f>
        <v/>
      </c>
      <c r="Y1037" s="22" t="str">
        <f aca="false">IF(AND(C1037&lt;&gt;"",C1037=CERTIFICADO!$E$4,OR(CERTIFICADO!$E$5="",B1037=CERTIFICADO!$E$5)),MAX($Y$4:Y1036)+1,"")</f>
        <v/>
      </c>
    </row>
    <row r="1038" customFormat="false" ht="15" hidden="false" customHeight="false" outlineLevel="0" collapsed="false">
      <c r="A1038" s="11" t="str">
        <f aca="false">IF(C1038="","",ROW()-4)</f>
        <v/>
      </c>
      <c r="B1038" s="12"/>
      <c r="C1038" s="13"/>
      <c r="D1038" s="23" t="str">
        <f aca="false">IF(C1038="","",IFERROR(INDEX(LOTES!$D$5:$D$1004,MATCH(C1038,LOTES!$F$5:$F$1004,0)),"¿Lote?"))</f>
        <v/>
      </c>
      <c r="E1038" s="11" t="str">
        <f aca="false">IF(C1038="","",IFERROR(INDEX(LOTES!$C$5:$C$1004,MATCH(C1038,LOTES!$F$5:$F$1004,0)),""))</f>
        <v/>
      </c>
      <c r="F1038" s="24" t="str">
        <f aca="false">IF(C1038="","",IFERROR(INDEX(LOTES!$B$5:$B$1004,MATCH(C1038,LOTES!$F$5:$F$1004,0)),""))</f>
        <v/>
      </c>
      <c r="G1038" s="15" t="str">
        <f aca="false">IF(OR(B1038="",F1038=""),"",B1038-F1038)</f>
        <v/>
      </c>
      <c r="H1038" s="13"/>
      <c r="I1038" s="13"/>
      <c r="J1038" s="13"/>
      <c r="K1038" s="25"/>
      <c r="L1038" s="25"/>
      <c r="M1038" s="25"/>
      <c r="N1038" s="25"/>
      <c r="O1038" s="26"/>
      <c r="P1038" s="16" t="str">
        <f aca="false">IF(O1038="","",IFERROR(1/(1/(IF(K1038="",INDEX(CONFIG!$F$5:$F$14,MATCH(D1038,CONFIG!$D$5:$D$14,0)),K1038)*IF(M1038="",INDEX(CONFIG!$H$5:$H$14,MATCH(D1038,CONFIG!$D$5:$D$14,0)),M1038))),""))</f>
        <v/>
      </c>
      <c r="Q1038" s="16" t="str">
        <f aca="false">IF(OR(O1038="",P1038=""),"",O1038/P1038)</f>
        <v/>
      </c>
      <c r="R1038" s="16" t="str">
        <f aca="false">IF(Q1038="","",Q1038*0.0980665)</f>
        <v/>
      </c>
      <c r="S1038" s="16" t="str">
        <f aca="false">IF(Q1038="","",IFERROR(Q1038/(1/(1/INDEX(CONFIG!$I$5:$I$14,MATCH(D1038,CONFIG!$D$5:$D$14,0)))),""))</f>
        <v/>
      </c>
      <c r="T1038" s="13"/>
      <c r="U1038" s="13"/>
      <c r="V1038" s="13"/>
      <c r="W1038" s="13"/>
      <c r="X1038" s="22" t="str">
        <f aca="false">IF(Q1038="","",Q1038^2)</f>
        <v/>
      </c>
      <c r="Y1038" s="22" t="str">
        <f aca="false">IF(AND(C1038&lt;&gt;"",C1038=CERTIFICADO!$E$4,OR(CERTIFICADO!$E$5="",B1038=CERTIFICADO!$E$5)),MAX($Y$4:Y1037)+1,"")</f>
        <v/>
      </c>
    </row>
    <row r="1039" customFormat="false" ht="15" hidden="false" customHeight="false" outlineLevel="0" collapsed="false">
      <c r="A1039" s="11" t="str">
        <f aca="false">IF(C1039="","",ROW()-4)</f>
        <v/>
      </c>
      <c r="B1039" s="12"/>
      <c r="C1039" s="13"/>
      <c r="D1039" s="23" t="str">
        <f aca="false">IF(C1039="","",IFERROR(INDEX(LOTES!$D$5:$D$1004,MATCH(C1039,LOTES!$F$5:$F$1004,0)),"¿Lote?"))</f>
        <v/>
      </c>
      <c r="E1039" s="11" t="str">
        <f aca="false">IF(C1039="","",IFERROR(INDEX(LOTES!$C$5:$C$1004,MATCH(C1039,LOTES!$F$5:$F$1004,0)),""))</f>
        <v/>
      </c>
      <c r="F1039" s="24" t="str">
        <f aca="false">IF(C1039="","",IFERROR(INDEX(LOTES!$B$5:$B$1004,MATCH(C1039,LOTES!$F$5:$F$1004,0)),""))</f>
        <v/>
      </c>
      <c r="G1039" s="15" t="str">
        <f aca="false">IF(OR(B1039="",F1039=""),"",B1039-F1039)</f>
        <v/>
      </c>
      <c r="H1039" s="13"/>
      <c r="I1039" s="13"/>
      <c r="J1039" s="13"/>
      <c r="K1039" s="25"/>
      <c r="L1039" s="25"/>
      <c r="M1039" s="25"/>
      <c r="N1039" s="25"/>
      <c r="O1039" s="26"/>
      <c r="P1039" s="16" t="str">
        <f aca="false">IF(O1039="","",IFERROR(1/(1/(IF(K1039="",INDEX(CONFIG!$F$5:$F$14,MATCH(D1039,CONFIG!$D$5:$D$14,0)),K1039)*IF(M1039="",INDEX(CONFIG!$H$5:$H$14,MATCH(D1039,CONFIG!$D$5:$D$14,0)),M1039))),""))</f>
        <v/>
      </c>
      <c r="Q1039" s="16" t="str">
        <f aca="false">IF(OR(O1039="",P1039=""),"",O1039/P1039)</f>
        <v/>
      </c>
      <c r="R1039" s="16" t="str">
        <f aca="false">IF(Q1039="","",Q1039*0.0980665)</f>
        <v/>
      </c>
      <c r="S1039" s="16" t="str">
        <f aca="false">IF(Q1039="","",IFERROR(Q1039/(1/(1/INDEX(CONFIG!$I$5:$I$14,MATCH(D1039,CONFIG!$D$5:$D$14,0)))),""))</f>
        <v/>
      </c>
      <c r="T1039" s="13"/>
      <c r="U1039" s="13"/>
      <c r="V1039" s="13"/>
      <c r="W1039" s="13"/>
      <c r="X1039" s="22" t="str">
        <f aca="false">IF(Q1039="","",Q1039^2)</f>
        <v/>
      </c>
      <c r="Y1039" s="22" t="str">
        <f aca="false">IF(AND(C1039&lt;&gt;"",C1039=CERTIFICADO!$E$4,OR(CERTIFICADO!$E$5="",B1039=CERTIFICADO!$E$5)),MAX($Y$4:Y1038)+1,"")</f>
        <v/>
      </c>
    </row>
    <row r="1040" customFormat="false" ht="15" hidden="false" customHeight="false" outlineLevel="0" collapsed="false">
      <c r="A1040" s="11" t="str">
        <f aca="false">IF(C1040="","",ROW()-4)</f>
        <v/>
      </c>
      <c r="B1040" s="12"/>
      <c r="C1040" s="13"/>
      <c r="D1040" s="23" t="str">
        <f aca="false">IF(C1040="","",IFERROR(INDEX(LOTES!$D$5:$D$1004,MATCH(C1040,LOTES!$F$5:$F$1004,0)),"¿Lote?"))</f>
        <v/>
      </c>
      <c r="E1040" s="11" t="str">
        <f aca="false">IF(C1040="","",IFERROR(INDEX(LOTES!$C$5:$C$1004,MATCH(C1040,LOTES!$F$5:$F$1004,0)),""))</f>
        <v/>
      </c>
      <c r="F1040" s="24" t="str">
        <f aca="false">IF(C1040="","",IFERROR(INDEX(LOTES!$B$5:$B$1004,MATCH(C1040,LOTES!$F$5:$F$1004,0)),""))</f>
        <v/>
      </c>
      <c r="G1040" s="15" t="str">
        <f aca="false">IF(OR(B1040="",F1040=""),"",B1040-F1040)</f>
        <v/>
      </c>
      <c r="H1040" s="13"/>
      <c r="I1040" s="13"/>
      <c r="J1040" s="13"/>
      <c r="K1040" s="25"/>
      <c r="L1040" s="25"/>
      <c r="M1040" s="25"/>
      <c r="N1040" s="25"/>
      <c r="O1040" s="26"/>
      <c r="P1040" s="16" t="str">
        <f aca="false">IF(O1040="","",IFERROR(1/(1/(IF(K1040="",INDEX(CONFIG!$F$5:$F$14,MATCH(D1040,CONFIG!$D$5:$D$14,0)),K1040)*IF(M1040="",INDEX(CONFIG!$H$5:$H$14,MATCH(D1040,CONFIG!$D$5:$D$14,0)),M1040))),""))</f>
        <v/>
      </c>
      <c r="Q1040" s="16" t="str">
        <f aca="false">IF(OR(O1040="",P1040=""),"",O1040/P1040)</f>
        <v/>
      </c>
      <c r="R1040" s="16" t="str">
        <f aca="false">IF(Q1040="","",Q1040*0.0980665)</f>
        <v/>
      </c>
      <c r="S1040" s="16" t="str">
        <f aca="false">IF(Q1040="","",IFERROR(Q1040/(1/(1/INDEX(CONFIG!$I$5:$I$14,MATCH(D1040,CONFIG!$D$5:$D$14,0)))),""))</f>
        <v/>
      </c>
      <c r="T1040" s="13"/>
      <c r="U1040" s="13"/>
      <c r="V1040" s="13"/>
      <c r="W1040" s="13"/>
      <c r="X1040" s="22" t="str">
        <f aca="false">IF(Q1040="","",Q1040^2)</f>
        <v/>
      </c>
      <c r="Y1040" s="22" t="str">
        <f aca="false">IF(AND(C1040&lt;&gt;"",C1040=CERTIFICADO!$E$4,OR(CERTIFICADO!$E$5="",B1040=CERTIFICADO!$E$5)),MAX($Y$4:Y1039)+1,"")</f>
        <v/>
      </c>
    </row>
    <row r="1041" customFormat="false" ht="15" hidden="false" customHeight="false" outlineLevel="0" collapsed="false">
      <c r="A1041" s="11" t="str">
        <f aca="false">IF(C1041="","",ROW()-4)</f>
        <v/>
      </c>
      <c r="B1041" s="12"/>
      <c r="C1041" s="13"/>
      <c r="D1041" s="23" t="str">
        <f aca="false">IF(C1041="","",IFERROR(INDEX(LOTES!$D$5:$D$1004,MATCH(C1041,LOTES!$F$5:$F$1004,0)),"¿Lote?"))</f>
        <v/>
      </c>
      <c r="E1041" s="11" t="str">
        <f aca="false">IF(C1041="","",IFERROR(INDEX(LOTES!$C$5:$C$1004,MATCH(C1041,LOTES!$F$5:$F$1004,0)),""))</f>
        <v/>
      </c>
      <c r="F1041" s="24" t="str">
        <f aca="false">IF(C1041="","",IFERROR(INDEX(LOTES!$B$5:$B$1004,MATCH(C1041,LOTES!$F$5:$F$1004,0)),""))</f>
        <v/>
      </c>
      <c r="G1041" s="15" t="str">
        <f aca="false">IF(OR(B1041="",F1041=""),"",B1041-F1041)</f>
        <v/>
      </c>
      <c r="H1041" s="13"/>
      <c r="I1041" s="13"/>
      <c r="J1041" s="13"/>
      <c r="K1041" s="25"/>
      <c r="L1041" s="25"/>
      <c r="M1041" s="25"/>
      <c r="N1041" s="25"/>
      <c r="O1041" s="26"/>
      <c r="P1041" s="16" t="str">
        <f aca="false">IF(O1041="","",IFERROR(1/(1/(IF(K1041="",INDEX(CONFIG!$F$5:$F$14,MATCH(D1041,CONFIG!$D$5:$D$14,0)),K1041)*IF(M1041="",INDEX(CONFIG!$H$5:$H$14,MATCH(D1041,CONFIG!$D$5:$D$14,0)),M1041))),""))</f>
        <v/>
      </c>
      <c r="Q1041" s="16" t="str">
        <f aca="false">IF(OR(O1041="",P1041=""),"",O1041/P1041)</f>
        <v/>
      </c>
      <c r="R1041" s="16" t="str">
        <f aca="false">IF(Q1041="","",Q1041*0.0980665)</f>
        <v/>
      </c>
      <c r="S1041" s="16" t="str">
        <f aca="false">IF(Q1041="","",IFERROR(Q1041/(1/(1/INDEX(CONFIG!$I$5:$I$14,MATCH(D1041,CONFIG!$D$5:$D$14,0)))),""))</f>
        <v/>
      </c>
      <c r="T1041" s="13"/>
      <c r="U1041" s="13"/>
      <c r="V1041" s="13"/>
      <c r="W1041" s="13"/>
      <c r="X1041" s="22" t="str">
        <f aca="false">IF(Q1041="","",Q1041^2)</f>
        <v/>
      </c>
      <c r="Y1041" s="22" t="str">
        <f aca="false">IF(AND(C1041&lt;&gt;"",C1041=CERTIFICADO!$E$4,OR(CERTIFICADO!$E$5="",B1041=CERTIFICADO!$E$5)),MAX($Y$4:Y1040)+1,"")</f>
        <v/>
      </c>
    </row>
    <row r="1042" customFormat="false" ht="15" hidden="false" customHeight="false" outlineLevel="0" collapsed="false">
      <c r="A1042" s="11" t="str">
        <f aca="false">IF(C1042="","",ROW()-4)</f>
        <v/>
      </c>
      <c r="B1042" s="12"/>
      <c r="C1042" s="13"/>
      <c r="D1042" s="23" t="str">
        <f aca="false">IF(C1042="","",IFERROR(INDEX(LOTES!$D$5:$D$1004,MATCH(C1042,LOTES!$F$5:$F$1004,0)),"¿Lote?"))</f>
        <v/>
      </c>
      <c r="E1042" s="11" t="str">
        <f aca="false">IF(C1042="","",IFERROR(INDEX(LOTES!$C$5:$C$1004,MATCH(C1042,LOTES!$F$5:$F$1004,0)),""))</f>
        <v/>
      </c>
      <c r="F1042" s="24" t="str">
        <f aca="false">IF(C1042="","",IFERROR(INDEX(LOTES!$B$5:$B$1004,MATCH(C1042,LOTES!$F$5:$F$1004,0)),""))</f>
        <v/>
      </c>
      <c r="G1042" s="15" t="str">
        <f aca="false">IF(OR(B1042="",F1042=""),"",B1042-F1042)</f>
        <v/>
      </c>
      <c r="H1042" s="13"/>
      <c r="I1042" s="13"/>
      <c r="J1042" s="13"/>
      <c r="K1042" s="25"/>
      <c r="L1042" s="25"/>
      <c r="M1042" s="25"/>
      <c r="N1042" s="25"/>
      <c r="O1042" s="26"/>
      <c r="P1042" s="16" t="str">
        <f aca="false">IF(O1042="","",IFERROR(1/(1/(IF(K1042="",INDEX(CONFIG!$F$5:$F$14,MATCH(D1042,CONFIG!$D$5:$D$14,0)),K1042)*IF(M1042="",INDEX(CONFIG!$H$5:$H$14,MATCH(D1042,CONFIG!$D$5:$D$14,0)),M1042))),""))</f>
        <v/>
      </c>
      <c r="Q1042" s="16" t="str">
        <f aca="false">IF(OR(O1042="",P1042=""),"",O1042/P1042)</f>
        <v/>
      </c>
      <c r="R1042" s="16" t="str">
        <f aca="false">IF(Q1042="","",Q1042*0.0980665)</f>
        <v/>
      </c>
      <c r="S1042" s="16" t="str">
        <f aca="false">IF(Q1042="","",IFERROR(Q1042/(1/(1/INDEX(CONFIG!$I$5:$I$14,MATCH(D1042,CONFIG!$D$5:$D$14,0)))),""))</f>
        <v/>
      </c>
      <c r="T1042" s="13"/>
      <c r="U1042" s="13"/>
      <c r="V1042" s="13"/>
      <c r="W1042" s="13"/>
      <c r="X1042" s="22" t="str">
        <f aca="false">IF(Q1042="","",Q1042^2)</f>
        <v/>
      </c>
      <c r="Y1042" s="22" t="str">
        <f aca="false">IF(AND(C1042&lt;&gt;"",C1042=CERTIFICADO!$E$4,OR(CERTIFICADO!$E$5="",B1042=CERTIFICADO!$E$5)),MAX($Y$4:Y1041)+1,"")</f>
        <v/>
      </c>
    </row>
    <row r="1043" customFormat="false" ht="15" hidden="false" customHeight="false" outlineLevel="0" collapsed="false">
      <c r="A1043" s="11" t="str">
        <f aca="false">IF(C1043="","",ROW()-4)</f>
        <v/>
      </c>
      <c r="B1043" s="12"/>
      <c r="C1043" s="13"/>
      <c r="D1043" s="23" t="str">
        <f aca="false">IF(C1043="","",IFERROR(INDEX(LOTES!$D$5:$D$1004,MATCH(C1043,LOTES!$F$5:$F$1004,0)),"¿Lote?"))</f>
        <v/>
      </c>
      <c r="E1043" s="11" t="str">
        <f aca="false">IF(C1043="","",IFERROR(INDEX(LOTES!$C$5:$C$1004,MATCH(C1043,LOTES!$F$5:$F$1004,0)),""))</f>
        <v/>
      </c>
      <c r="F1043" s="24" t="str">
        <f aca="false">IF(C1043="","",IFERROR(INDEX(LOTES!$B$5:$B$1004,MATCH(C1043,LOTES!$F$5:$F$1004,0)),""))</f>
        <v/>
      </c>
      <c r="G1043" s="15" t="str">
        <f aca="false">IF(OR(B1043="",F1043=""),"",B1043-F1043)</f>
        <v/>
      </c>
      <c r="H1043" s="13"/>
      <c r="I1043" s="13"/>
      <c r="J1043" s="13"/>
      <c r="K1043" s="25"/>
      <c r="L1043" s="25"/>
      <c r="M1043" s="25"/>
      <c r="N1043" s="25"/>
      <c r="O1043" s="26"/>
      <c r="P1043" s="16" t="str">
        <f aca="false">IF(O1043="","",IFERROR(1/(1/(IF(K1043="",INDEX(CONFIG!$F$5:$F$14,MATCH(D1043,CONFIG!$D$5:$D$14,0)),K1043)*IF(M1043="",INDEX(CONFIG!$H$5:$H$14,MATCH(D1043,CONFIG!$D$5:$D$14,0)),M1043))),""))</f>
        <v/>
      </c>
      <c r="Q1043" s="16" t="str">
        <f aca="false">IF(OR(O1043="",P1043=""),"",O1043/P1043)</f>
        <v/>
      </c>
      <c r="R1043" s="16" t="str">
        <f aca="false">IF(Q1043="","",Q1043*0.0980665)</f>
        <v/>
      </c>
      <c r="S1043" s="16" t="str">
        <f aca="false">IF(Q1043="","",IFERROR(Q1043/(1/(1/INDEX(CONFIG!$I$5:$I$14,MATCH(D1043,CONFIG!$D$5:$D$14,0)))),""))</f>
        <v/>
      </c>
      <c r="T1043" s="13"/>
      <c r="U1043" s="13"/>
      <c r="V1043" s="13"/>
      <c r="W1043" s="13"/>
      <c r="X1043" s="22" t="str">
        <f aca="false">IF(Q1043="","",Q1043^2)</f>
        <v/>
      </c>
      <c r="Y1043" s="22" t="str">
        <f aca="false">IF(AND(C1043&lt;&gt;"",C1043=CERTIFICADO!$E$4,OR(CERTIFICADO!$E$5="",B1043=CERTIFICADO!$E$5)),MAX($Y$4:Y1042)+1,"")</f>
        <v/>
      </c>
    </row>
    <row r="1044" customFormat="false" ht="15" hidden="false" customHeight="false" outlineLevel="0" collapsed="false">
      <c r="A1044" s="11" t="str">
        <f aca="false">IF(C1044="","",ROW()-4)</f>
        <v/>
      </c>
      <c r="B1044" s="12"/>
      <c r="C1044" s="13"/>
      <c r="D1044" s="23" t="str">
        <f aca="false">IF(C1044="","",IFERROR(INDEX(LOTES!$D$5:$D$1004,MATCH(C1044,LOTES!$F$5:$F$1004,0)),"¿Lote?"))</f>
        <v/>
      </c>
      <c r="E1044" s="11" t="str">
        <f aca="false">IF(C1044="","",IFERROR(INDEX(LOTES!$C$5:$C$1004,MATCH(C1044,LOTES!$F$5:$F$1004,0)),""))</f>
        <v/>
      </c>
      <c r="F1044" s="24" t="str">
        <f aca="false">IF(C1044="","",IFERROR(INDEX(LOTES!$B$5:$B$1004,MATCH(C1044,LOTES!$F$5:$F$1004,0)),""))</f>
        <v/>
      </c>
      <c r="G1044" s="15" t="str">
        <f aca="false">IF(OR(B1044="",F1044=""),"",B1044-F1044)</f>
        <v/>
      </c>
      <c r="H1044" s="13"/>
      <c r="I1044" s="13"/>
      <c r="J1044" s="13"/>
      <c r="K1044" s="25"/>
      <c r="L1044" s="25"/>
      <c r="M1044" s="25"/>
      <c r="N1044" s="25"/>
      <c r="O1044" s="26"/>
      <c r="P1044" s="16" t="str">
        <f aca="false">IF(O1044="","",IFERROR(1/(1/(IF(K1044="",INDEX(CONFIG!$F$5:$F$14,MATCH(D1044,CONFIG!$D$5:$D$14,0)),K1044)*IF(M1044="",INDEX(CONFIG!$H$5:$H$14,MATCH(D1044,CONFIG!$D$5:$D$14,0)),M1044))),""))</f>
        <v/>
      </c>
      <c r="Q1044" s="16" t="str">
        <f aca="false">IF(OR(O1044="",P1044=""),"",O1044/P1044)</f>
        <v/>
      </c>
      <c r="R1044" s="16" t="str">
        <f aca="false">IF(Q1044="","",Q1044*0.0980665)</f>
        <v/>
      </c>
      <c r="S1044" s="16" t="str">
        <f aca="false">IF(Q1044="","",IFERROR(Q1044/(1/(1/INDEX(CONFIG!$I$5:$I$14,MATCH(D1044,CONFIG!$D$5:$D$14,0)))),""))</f>
        <v/>
      </c>
      <c r="T1044" s="13"/>
      <c r="U1044" s="13"/>
      <c r="V1044" s="13"/>
      <c r="W1044" s="13"/>
      <c r="X1044" s="22" t="str">
        <f aca="false">IF(Q1044="","",Q1044^2)</f>
        <v/>
      </c>
      <c r="Y1044" s="22" t="str">
        <f aca="false">IF(AND(C1044&lt;&gt;"",C1044=CERTIFICADO!$E$4,OR(CERTIFICADO!$E$5="",B1044=CERTIFICADO!$E$5)),MAX($Y$4:Y1043)+1,"")</f>
        <v/>
      </c>
    </row>
    <row r="1045" customFormat="false" ht="15" hidden="false" customHeight="false" outlineLevel="0" collapsed="false">
      <c r="A1045" s="11" t="str">
        <f aca="false">IF(C1045="","",ROW()-4)</f>
        <v/>
      </c>
      <c r="B1045" s="12"/>
      <c r="C1045" s="13"/>
      <c r="D1045" s="23" t="str">
        <f aca="false">IF(C1045="","",IFERROR(INDEX(LOTES!$D$5:$D$1004,MATCH(C1045,LOTES!$F$5:$F$1004,0)),"¿Lote?"))</f>
        <v/>
      </c>
      <c r="E1045" s="11" t="str">
        <f aca="false">IF(C1045="","",IFERROR(INDEX(LOTES!$C$5:$C$1004,MATCH(C1045,LOTES!$F$5:$F$1004,0)),""))</f>
        <v/>
      </c>
      <c r="F1045" s="24" t="str">
        <f aca="false">IF(C1045="","",IFERROR(INDEX(LOTES!$B$5:$B$1004,MATCH(C1045,LOTES!$F$5:$F$1004,0)),""))</f>
        <v/>
      </c>
      <c r="G1045" s="15" t="str">
        <f aca="false">IF(OR(B1045="",F1045=""),"",B1045-F1045)</f>
        <v/>
      </c>
      <c r="H1045" s="13"/>
      <c r="I1045" s="13"/>
      <c r="J1045" s="13"/>
      <c r="K1045" s="25"/>
      <c r="L1045" s="25"/>
      <c r="M1045" s="25"/>
      <c r="N1045" s="25"/>
      <c r="O1045" s="26"/>
      <c r="P1045" s="16" t="str">
        <f aca="false">IF(O1045="","",IFERROR(1/(1/(IF(K1045="",INDEX(CONFIG!$F$5:$F$14,MATCH(D1045,CONFIG!$D$5:$D$14,0)),K1045)*IF(M1045="",INDEX(CONFIG!$H$5:$H$14,MATCH(D1045,CONFIG!$D$5:$D$14,0)),M1045))),""))</f>
        <v/>
      </c>
      <c r="Q1045" s="16" t="str">
        <f aca="false">IF(OR(O1045="",P1045=""),"",O1045/P1045)</f>
        <v/>
      </c>
      <c r="R1045" s="16" t="str">
        <f aca="false">IF(Q1045="","",Q1045*0.0980665)</f>
        <v/>
      </c>
      <c r="S1045" s="16" t="str">
        <f aca="false">IF(Q1045="","",IFERROR(Q1045/(1/(1/INDEX(CONFIG!$I$5:$I$14,MATCH(D1045,CONFIG!$D$5:$D$14,0)))),""))</f>
        <v/>
      </c>
      <c r="T1045" s="13"/>
      <c r="U1045" s="13"/>
      <c r="V1045" s="13"/>
      <c r="W1045" s="13"/>
      <c r="X1045" s="22" t="str">
        <f aca="false">IF(Q1045="","",Q1045^2)</f>
        <v/>
      </c>
      <c r="Y1045" s="22" t="str">
        <f aca="false">IF(AND(C1045&lt;&gt;"",C1045=CERTIFICADO!$E$4,OR(CERTIFICADO!$E$5="",B1045=CERTIFICADO!$E$5)),MAX($Y$4:Y1044)+1,"")</f>
        <v/>
      </c>
    </row>
    <row r="1046" customFormat="false" ht="15" hidden="false" customHeight="false" outlineLevel="0" collapsed="false">
      <c r="A1046" s="11" t="str">
        <f aca="false">IF(C1046="","",ROW()-4)</f>
        <v/>
      </c>
      <c r="B1046" s="12"/>
      <c r="C1046" s="13"/>
      <c r="D1046" s="23" t="str">
        <f aca="false">IF(C1046="","",IFERROR(INDEX(LOTES!$D$5:$D$1004,MATCH(C1046,LOTES!$F$5:$F$1004,0)),"¿Lote?"))</f>
        <v/>
      </c>
      <c r="E1046" s="11" t="str">
        <f aca="false">IF(C1046="","",IFERROR(INDEX(LOTES!$C$5:$C$1004,MATCH(C1046,LOTES!$F$5:$F$1004,0)),""))</f>
        <v/>
      </c>
      <c r="F1046" s="24" t="str">
        <f aca="false">IF(C1046="","",IFERROR(INDEX(LOTES!$B$5:$B$1004,MATCH(C1046,LOTES!$F$5:$F$1004,0)),""))</f>
        <v/>
      </c>
      <c r="G1046" s="15" t="str">
        <f aca="false">IF(OR(B1046="",F1046=""),"",B1046-F1046)</f>
        <v/>
      </c>
      <c r="H1046" s="13"/>
      <c r="I1046" s="13"/>
      <c r="J1046" s="13"/>
      <c r="K1046" s="25"/>
      <c r="L1046" s="25"/>
      <c r="M1046" s="25"/>
      <c r="N1046" s="25"/>
      <c r="O1046" s="26"/>
      <c r="P1046" s="16" t="str">
        <f aca="false">IF(O1046="","",IFERROR(1/(1/(IF(K1046="",INDEX(CONFIG!$F$5:$F$14,MATCH(D1046,CONFIG!$D$5:$D$14,0)),K1046)*IF(M1046="",INDEX(CONFIG!$H$5:$H$14,MATCH(D1046,CONFIG!$D$5:$D$14,0)),M1046))),""))</f>
        <v/>
      </c>
      <c r="Q1046" s="16" t="str">
        <f aca="false">IF(OR(O1046="",P1046=""),"",O1046/P1046)</f>
        <v/>
      </c>
      <c r="R1046" s="16" t="str">
        <f aca="false">IF(Q1046="","",Q1046*0.0980665)</f>
        <v/>
      </c>
      <c r="S1046" s="16" t="str">
        <f aca="false">IF(Q1046="","",IFERROR(Q1046/(1/(1/INDEX(CONFIG!$I$5:$I$14,MATCH(D1046,CONFIG!$D$5:$D$14,0)))),""))</f>
        <v/>
      </c>
      <c r="T1046" s="13"/>
      <c r="U1046" s="13"/>
      <c r="V1046" s="13"/>
      <c r="W1046" s="13"/>
      <c r="X1046" s="22" t="str">
        <f aca="false">IF(Q1046="","",Q1046^2)</f>
        <v/>
      </c>
      <c r="Y1046" s="22" t="str">
        <f aca="false">IF(AND(C1046&lt;&gt;"",C1046=CERTIFICADO!$E$4,OR(CERTIFICADO!$E$5="",B1046=CERTIFICADO!$E$5)),MAX($Y$4:Y1045)+1,"")</f>
        <v/>
      </c>
    </row>
    <row r="1047" customFormat="false" ht="15" hidden="false" customHeight="false" outlineLevel="0" collapsed="false">
      <c r="A1047" s="11" t="str">
        <f aca="false">IF(C1047="","",ROW()-4)</f>
        <v/>
      </c>
      <c r="B1047" s="12"/>
      <c r="C1047" s="13"/>
      <c r="D1047" s="23" t="str">
        <f aca="false">IF(C1047="","",IFERROR(INDEX(LOTES!$D$5:$D$1004,MATCH(C1047,LOTES!$F$5:$F$1004,0)),"¿Lote?"))</f>
        <v/>
      </c>
      <c r="E1047" s="11" t="str">
        <f aca="false">IF(C1047="","",IFERROR(INDEX(LOTES!$C$5:$C$1004,MATCH(C1047,LOTES!$F$5:$F$1004,0)),""))</f>
        <v/>
      </c>
      <c r="F1047" s="24" t="str">
        <f aca="false">IF(C1047="","",IFERROR(INDEX(LOTES!$B$5:$B$1004,MATCH(C1047,LOTES!$F$5:$F$1004,0)),""))</f>
        <v/>
      </c>
      <c r="G1047" s="15" t="str">
        <f aca="false">IF(OR(B1047="",F1047=""),"",B1047-F1047)</f>
        <v/>
      </c>
      <c r="H1047" s="13"/>
      <c r="I1047" s="13"/>
      <c r="J1047" s="13"/>
      <c r="K1047" s="25"/>
      <c r="L1047" s="25"/>
      <c r="M1047" s="25"/>
      <c r="N1047" s="25"/>
      <c r="O1047" s="26"/>
      <c r="P1047" s="16" t="str">
        <f aca="false">IF(O1047="","",IFERROR(1/(1/(IF(K1047="",INDEX(CONFIG!$F$5:$F$14,MATCH(D1047,CONFIG!$D$5:$D$14,0)),K1047)*IF(M1047="",INDEX(CONFIG!$H$5:$H$14,MATCH(D1047,CONFIG!$D$5:$D$14,0)),M1047))),""))</f>
        <v/>
      </c>
      <c r="Q1047" s="16" t="str">
        <f aca="false">IF(OR(O1047="",P1047=""),"",O1047/P1047)</f>
        <v/>
      </c>
      <c r="R1047" s="16" t="str">
        <f aca="false">IF(Q1047="","",Q1047*0.0980665)</f>
        <v/>
      </c>
      <c r="S1047" s="16" t="str">
        <f aca="false">IF(Q1047="","",IFERROR(Q1047/(1/(1/INDEX(CONFIG!$I$5:$I$14,MATCH(D1047,CONFIG!$D$5:$D$14,0)))),""))</f>
        <v/>
      </c>
      <c r="T1047" s="13"/>
      <c r="U1047" s="13"/>
      <c r="V1047" s="13"/>
      <c r="W1047" s="13"/>
      <c r="X1047" s="22" t="str">
        <f aca="false">IF(Q1047="","",Q1047^2)</f>
        <v/>
      </c>
      <c r="Y1047" s="22" t="str">
        <f aca="false">IF(AND(C1047&lt;&gt;"",C1047=CERTIFICADO!$E$4,OR(CERTIFICADO!$E$5="",B1047=CERTIFICADO!$E$5)),MAX($Y$4:Y1046)+1,"")</f>
        <v/>
      </c>
    </row>
    <row r="1048" customFormat="false" ht="15" hidden="false" customHeight="false" outlineLevel="0" collapsed="false">
      <c r="A1048" s="11" t="str">
        <f aca="false">IF(C1048="","",ROW()-4)</f>
        <v/>
      </c>
      <c r="B1048" s="12"/>
      <c r="C1048" s="13"/>
      <c r="D1048" s="23" t="str">
        <f aca="false">IF(C1048="","",IFERROR(INDEX(LOTES!$D$5:$D$1004,MATCH(C1048,LOTES!$F$5:$F$1004,0)),"¿Lote?"))</f>
        <v/>
      </c>
      <c r="E1048" s="11" t="str">
        <f aca="false">IF(C1048="","",IFERROR(INDEX(LOTES!$C$5:$C$1004,MATCH(C1048,LOTES!$F$5:$F$1004,0)),""))</f>
        <v/>
      </c>
      <c r="F1048" s="24" t="str">
        <f aca="false">IF(C1048="","",IFERROR(INDEX(LOTES!$B$5:$B$1004,MATCH(C1048,LOTES!$F$5:$F$1004,0)),""))</f>
        <v/>
      </c>
      <c r="G1048" s="15" t="str">
        <f aca="false">IF(OR(B1048="",F1048=""),"",B1048-F1048)</f>
        <v/>
      </c>
      <c r="H1048" s="13"/>
      <c r="I1048" s="13"/>
      <c r="J1048" s="13"/>
      <c r="K1048" s="25"/>
      <c r="L1048" s="25"/>
      <c r="M1048" s="25"/>
      <c r="N1048" s="25"/>
      <c r="O1048" s="26"/>
      <c r="P1048" s="16" t="str">
        <f aca="false">IF(O1048="","",IFERROR(1/(1/(IF(K1048="",INDEX(CONFIG!$F$5:$F$14,MATCH(D1048,CONFIG!$D$5:$D$14,0)),K1048)*IF(M1048="",INDEX(CONFIG!$H$5:$H$14,MATCH(D1048,CONFIG!$D$5:$D$14,0)),M1048))),""))</f>
        <v/>
      </c>
      <c r="Q1048" s="16" t="str">
        <f aca="false">IF(OR(O1048="",P1048=""),"",O1048/P1048)</f>
        <v/>
      </c>
      <c r="R1048" s="16" t="str">
        <f aca="false">IF(Q1048="","",Q1048*0.0980665)</f>
        <v/>
      </c>
      <c r="S1048" s="16" t="str">
        <f aca="false">IF(Q1048="","",IFERROR(Q1048/(1/(1/INDEX(CONFIG!$I$5:$I$14,MATCH(D1048,CONFIG!$D$5:$D$14,0)))),""))</f>
        <v/>
      </c>
      <c r="T1048" s="13"/>
      <c r="U1048" s="13"/>
      <c r="V1048" s="13"/>
      <c r="W1048" s="13"/>
      <c r="X1048" s="22" t="str">
        <f aca="false">IF(Q1048="","",Q1048^2)</f>
        <v/>
      </c>
      <c r="Y1048" s="22" t="str">
        <f aca="false">IF(AND(C1048&lt;&gt;"",C1048=CERTIFICADO!$E$4,OR(CERTIFICADO!$E$5="",B1048=CERTIFICADO!$E$5)),MAX($Y$4:Y1047)+1,"")</f>
        <v/>
      </c>
    </row>
    <row r="1049" customFormat="false" ht="15" hidden="false" customHeight="false" outlineLevel="0" collapsed="false">
      <c r="A1049" s="11" t="str">
        <f aca="false">IF(C1049="","",ROW()-4)</f>
        <v/>
      </c>
      <c r="B1049" s="12"/>
      <c r="C1049" s="13"/>
      <c r="D1049" s="23" t="str">
        <f aca="false">IF(C1049="","",IFERROR(INDEX(LOTES!$D$5:$D$1004,MATCH(C1049,LOTES!$F$5:$F$1004,0)),"¿Lote?"))</f>
        <v/>
      </c>
      <c r="E1049" s="11" t="str">
        <f aca="false">IF(C1049="","",IFERROR(INDEX(LOTES!$C$5:$C$1004,MATCH(C1049,LOTES!$F$5:$F$1004,0)),""))</f>
        <v/>
      </c>
      <c r="F1049" s="24" t="str">
        <f aca="false">IF(C1049="","",IFERROR(INDEX(LOTES!$B$5:$B$1004,MATCH(C1049,LOTES!$F$5:$F$1004,0)),""))</f>
        <v/>
      </c>
      <c r="G1049" s="15" t="str">
        <f aca="false">IF(OR(B1049="",F1049=""),"",B1049-F1049)</f>
        <v/>
      </c>
      <c r="H1049" s="13"/>
      <c r="I1049" s="13"/>
      <c r="J1049" s="13"/>
      <c r="K1049" s="25"/>
      <c r="L1049" s="25"/>
      <c r="M1049" s="25"/>
      <c r="N1049" s="25"/>
      <c r="O1049" s="26"/>
      <c r="P1049" s="16" t="str">
        <f aca="false">IF(O1049="","",IFERROR(1/(1/(IF(K1049="",INDEX(CONFIG!$F$5:$F$14,MATCH(D1049,CONFIG!$D$5:$D$14,0)),K1049)*IF(M1049="",INDEX(CONFIG!$H$5:$H$14,MATCH(D1049,CONFIG!$D$5:$D$14,0)),M1049))),""))</f>
        <v/>
      </c>
      <c r="Q1049" s="16" t="str">
        <f aca="false">IF(OR(O1049="",P1049=""),"",O1049/P1049)</f>
        <v/>
      </c>
      <c r="R1049" s="16" t="str">
        <f aca="false">IF(Q1049="","",Q1049*0.0980665)</f>
        <v/>
      </c>
      <c r="S1049" s="16" t="str">
        <f aca="false">IF(Q1049="","",IFERROR(Q1049/(1/(1/INDEX(CONFIG!$I$5:$I$14,MATCH(D1049,CONFIG!$D$5:$D$14,0)))),""))</f>
        <v/>
      </c>
      <c r="T1049" s="13"/>
      <c r="U1049" s="13"/>
      <c r="V1049" s="13"/>
      <c r="W1049" s="13"/>
      <c r="X1049" s="22" t="str">
        <f aca="false">IF(Q1049="","",Q1049^2)</f>
        <v/>
      </c>
      <c r="Y1049" s="22" t="str">
        <f aca="false">IF(AND(C1049&lt;&gt;"",C1049=CERTIFICADO!$E$4,OR(CERTIFICADO!$E$5="",B1049=CERTIFICADO!$E$5)),MAX($Y$4:Y1048)+1,"")</f>
        <v/>
      </c>
    </row>
    <row r="1050" customFormat="false" ht="15" hidden="false" customHeight="false" outlineLevel="0" collapsed="false">
      <c r="A1050" s="11" t="str">
        <f aca="false">IF(C1050="","",ROW()-4)</f>
        <v/>
      </c>
      <c r="B1050" s="12"/>
      <c r="C1050" s="13"/>
      <c r="D1050" s="23" t="str">
        <f aca="false">IF(C1050="","",IFERROR(INDEX(LOTES!$D$5:$D$1004,MATCH(C1050,LOTES!$F$5:$F$1004,0)),"¿Lote?"))</f>
        <v/>
      </c>
      <c r="E1050" s="11" t="str">
        <f aca="false">IF(C1050="","",IFERROR(INDEX(LOTES!$C$5:$C$1004,MATCH(C1050,LOTES!$F$5:$F$1004,0)),""))</f>
        <v/>
      </c>
      <c r="F1050" s="24" t="str">
        <f aca="false">IF(C1050="","",IFERROR(INDEX(LOTES!$B$5:$B$1004,MATCH(C1050,LOTES!$F$5:$F$1004,0)),""))</f>
        <v/>
      </c>
      <c r="G1050" s="15" t="str">
        <f aca="false">IF(OR(B1050="",F1050=""),"",B1050-F1050)</f>
        <v/>
      </c>
      <c r="H1050" s="13"/>
      <c r="I1050" s="13"/>
      <c r="J1050" s="13"/>
      <c r="K1050" s="25"/>
      <c r="L1050" s="25"/>
      <c r="M1050" s="25"/>
      <c r="N1050" s="25"/>
      <c r="O1050" s="26"/>
      <c r="P1050" s="16" t="str">
        <f aca="false">IF(O1050="","",IFERROR(1/(1/(IF(K1050="",INDEX(CONFIG!$F$5:$F$14,MATCH(D1050,CONFIG!$D$5:$D$14,0)),K1050)*IF(M1050="",INDEX(CONFIG!$H$5:$H$14,MATCH(D1050,CONFIG!$D$5:$D$14,0)),M1050))),""))</f>
        <v/>
      </c>
      <c r="Q1050" s="16" t="str">
        <f aca="false">IF(OR(O1050="",P1050=""),"",O1050/P1050)</f>
        <v/>
      </c>
      <c r="R1050" s="16" t="str">
        <f aca="false">IF(Q1050="","",Q1050*0.0980665)</f>
        <v/>
      </c>
      <c r="S1050" s="16" t="str">
        <f aca="false">IF(Q1050="","",IFERROR(Q1050/(1/(1/INDEX(CONFIG!$I$5:$I$14,MATCH(D1050,CONFIG!$D$5:$D$14,0)))),""))</f>
        <v/>
      </c>
      <c r="T1050" s="13"/>
      <c r="U1050" s="13"/>
      <c r="V1050" s="13"/>
      <c r="W1050" s="13"/>
      <c r="X1050" s="22" t="str">
        <f aca="false">IF(Q1050="","",Q1050^2)</f>
        <v/>
      </c>
      <c r="Y1050" s="22" t="str">
        <f aca="false">IF(AND(C1050&lt;&gt;"",C1050=CERTIFICADO!$E$4,OR(CERTIFICADO!$E$5="",B1050=CERTIFICADO!$E$5)),MAX($Y$4:Y1049)+1,"")</f>
        <v/>
      </c>
    </row>
    <row r="1051" customFormat="false" ht="15" hidden="false" customHeight="false" outlineLevel="0" collapsed="false">
      <c r="A1051" s="11" t="str">
        <f aca="false">IF(C1051="","",ROW()-4)</f>
        <v/>
      </c>
      <c r="B1051" s="12"/>
      <c r="C1051" s="13"/>
      <c r="D1051" s="23" t="str">
        <f aca="false">IF(C1051="","",IFERROR(INDEX(LOTES!$D$5:$D$1004,MATCH(C1051,LOTES!$F$5:$F$1004,0)),"¿Lote?"))</f>
        <v/>
      </c>
      <c r="E1051" s="11" t="str">
        <f aca="false">IF(C1051="","",IFERROR(INDEX(LOTES!$C$5:$C$1004,MATCH(C1051,LOTES!$F$5:$F$1004,0)),""))</f>
        <v/>
      </c>
      <c r="F1051" s="24" t="str">
        <f aca="false">IF(C1051="","",IFERROR(INDEX(LOTES!$B$5:$B$1004,MATCH(C1051,LOTES!$F$5:$F$1004,0)),""))</f>
        <v/>
      </c>
      <c r="G1051" s="15" t="str">
        <f aca="false">IF(OR(B1051="",F1051=""),"",B1051-F1051)</f>
        <v/>
      </c>
      <c r="H1051" s="13"/>
      <c r="I1051" s="13"/>
      <c r="J1051" s="13"/>
      <c r="K1051" s="25"/>
      <c r="L1051" s="25"/>
      <c r="M1051" s="25"/>
      <c r="N1051" s="25"/>
      <c r="O1051" s="26"/>
      <c r="P1051" s="16" t="str">
        <f aca="false">IF(O1051="","",IFERROR(1/(1/(IF(K1051="",INDEX(CONFIG!$F$5:$F$14,MATCH(D1051,CONFIG!$D$5:$D$14,0)),K1051)*IF(M1051="",INDEX(CONFIG!$H$5:$H$14,MATCH(D1051,CONFIG!$D$5:$D$14,0)),M1051))),""))</f>
        <v/>
      </c>
      <c r="Q1051" s="16" t="str">
        <f aca="false">IF(OR(O1051="",P1051=""),"",O1051/P1051)</f>
        <v/>
      </c>
      <c r="R1051" s="16" t="str">
        <f aca="false">IF(Q1051="","",Q1051*0.0980665)</f>
        <v/>
      </c>
      <c r="S1051" s="16" t="str">
        <f aca="false">IF(Q1051="","",IFERROR(Q1051/(1/(1/INDEX(CONFIG!$I$5:$I$14,MATCH(D1051,CONFIG!$D$5:$D$14,0)))),""))</f>
        <v/>
      </c>
      <c r="T1051" s="13"/>
      <c r="U1051" s="13"/>
      <c r="V1051" s="13"/>
      <c r="W1051" s="13"/>
      <c r="X1051" s="22" t="str">
        <f aca="false">IF(Q1051="","",Q1051^2)</f>
        <v/>
      </c>
      <c r="Y1051" s="22" t="str">
        <f aca="false">IF(AND(C1051&lt;&gt;"",C1051=CERTIFICADO!$E$4,OR(CERTIFICADO!$E$5="",B1051=CERTIFICADO!$E$5)),MAX($Y$4:Y1050)+1,"")</f>
        <v/>
      </c>
    </row>
    <row r="1052" customFormat="false" ht="15" hidden="false" customHeight="false" outlineLevel="0" collapsed="false">
      <c r="A1052" s="11" t="str">
        <f aca="false">IF(C1052="","",ROW()-4)</f>
        <v/>
      </c>
      <c r="B1052" s="12"/>
      <c r="C1052" s="13"/>
      <c r="D1052" s="23" t="str">
        <f aca="false">IF(C1052="","",IFERROR(INDEX(LOTES!$D$5:$D$1004,MATCH(C1052,LOTES!$F$5:$F$1004,0)),"¿Lote?"))</f>
        <v/>
      </c>
      <c r="E1052" s="11" t="str">
        <f aca="false">IF(C1052="","",IFERROR(INDEX(LOTES!$C$5:$C$1004,MATCH(C1052,LOTES!$F$5:$F$1004,0)),""))</f>
        <v/>
      </c>
      <c r="F1052" s="24" t="str">
        <f aca="false">IF(C1052="","",IFERROR(INDEX(LOTES!$B$5:$B$1004,MATCH(C1052,LOTES!$F$5:$F$1004,0)),""))</f>
        <v/>
      </c>
      <c r="G1052" s="15" t="str">
        <f aca="false">IF(OR(B1052="",F1052=""),"",B1052-F1052)</f>
        <v/>
      </c>
      <c r="H1052" s="13"/>
      <c r="I1052" s="13"/>
      <c r="J1052" s="13"/>
      <c r="K1052" s="25"/>
      <c r="L1052" s="25"/>
      <c r="M1052" s="25"/>
      <c r="N1052" s="25"/>
      <c r="O1052" s="26"/>
      <c r="P1052" s="16" t="str">
        <f aca="false">IF(O1052="","",IFERROR(1/(1/(IF(K1052="",INDEX(CONFIG!$F$5:$F$14,MATCH(D1052,CONFIG!$D$5:$D$14,0)),K1052)*IF(M1052="",INDEX(CONFIG!$H$5:$H$14,MATCH(D1052,CONFIG!$D$5:$D$14,0)),M1052))),""))</f>
        <v/>
      </c>
      <c r="Q1052" s="16" t="str">
        <f aca="false">IF(OR(O1052="",P1052=""),"",O1052/P1052)</f>
        <v/>
      </c>
      <c r="R1052" s="16" t="str">
        <f aca="false">IF(Q1052="","",Q1052*0.0980665)</f>
        <v/>
      </c>
      <c r="S1052" s="16" t="str">
        <f aca="false">IF(Q1052="","",IFERROR(Q1052/(1/(1/INDEX(CONFIG!$I$5:$I$14,MATCH(D1052,CONFIG!$D$5:$D$14,0)))),""))</f>
        <v/>
      </c>
      <c r="T1052" s="13"/>
      <c r="U1052" s="13"/>
      <c r="V1052" s="13"/>
      <c r="W1052" s="13"/>
      <c r="X1052" s="22" t="str">
        <f aca="false">IF(Q1052="","",Q1052^2)</f>
        <v/>
      </c>
      <c r="Y1052" s="22" t="str">
        <f aca="false">IF(AND(C1052&lt;&gt;"",C1052=CERTIFICADO!$E$4,OR(CERTIFICADO!$E$5="",B1052=CERTIFICADO!$E$5)),MAX($Y$4:Y1051)+1,"")</f>
        <v/>
      </c>
    </row>
    <row r="1053" customFormat="false" ht="15" hidden="false" customHeight="false" outlineLevel="0" collapsed="false">
      <c r="A1053" s="11" t="str">
        <f aca="false">IF(C1053="","",ROW()-4)</f>
        <v/>
      </c>
      <c r="B1053" s="12"/>
      <c r="C1053" s="13"/>
      <c r="D1053" s="23" t="str">
        <f aca="false">IF(C1053="","",IFERROR(INDEX(LOTES!$D$5:$D$1004,MATCH(C1053,LOTES!$F$5:$F$1004,0)),"¿Lote?"))</f>
        <v/>
      </c>
      <c r="E1053" s="11" t="str">
        <f aca="false">IF(C1053="","",IFERROR(INDEX(LOTES!$C$5:$C$1004,MATCH(C1053,LOTES!$F$5:$F$1004,0)),""))</f>
        <v/>
      </c>
      <c r="F1053" s="24" t="str">
        <f aca="false">IF(C1053="","",IFERROR(INDEX(LOTES!$B$5:$B$1004,MATCH(C1053,LOTES!$F$5:$F$1004,0)),""))</f>
        <v/>
      </c>
      <c r="G1053" s="15" t="str">
        <f aca="false">IF(OR(B1053="",F1053=""),"",B1053-F1053)</f>
        <v/>
      </c>
      <c r="H1053" s="13"/>
      <c r="I1053" s="13"/>
      <c r="J1053" s="13"/>
      <c r="K1053" s="25"/>
      <c r="L1053" s="25"/>
      <c r="M1053" s="25"/>
      <c r="N1053" s="25"/>
      <c r="O1053" s="26"/>
      <c r="P1053" s="16" t="str">
        <f aca="false">IF(O1053="","",IFERROR(1/(1/(IF(K1053="",INDEX(CONFIG!$F$5:$F$14,MATCH(D1053,CONFIG!$D$5:$D$14,0)),K1053)*IF(M1053="",INDEX(CONFIG!$H$5:$H$14,MATCH(D1053,CONFIG!$D$5:$D$14,0)),M1053))),""))</f>
        <v/>
      </c>
      <c r="Q1053" s="16" t="str">
        <f aca="false">IF(OR(O1053="",P1053=""),"",O1053/P1053)</f>
        <v/>
      </c>
      <c r="R1053" s="16" t="str">
        <f aca="false">IF(Q1053="","",Q1053*0.0980665)</f>
        <v/>
      </c>
      <c r="S1053" s="16" t="str">
        <f aca="false">IF(Q1053="","",IFERROR(Q1053/(1/(1/INDEX(CONFIG!$I$5:$I$14,MATCH(D1053,CONFIG!$D$5:$D$14,0)))),""))</f>
        <v/>
      </c>
      <c r="T1053" s="13"/>
      <c r="U1053" s="13"/>
      <c r="V1053" s="13"/>
      <c r="W1053" s="13"/>
      <c r="X1053" s="22" t="str">
        <f aca="false">IF(Q1053="","",Q1053^2)</f>
        <v/>
      </c>
      <c r="Y1053" s="22" t="str">
        <f aca="false">IF(AND(C1053&lt;&gt;"",C1053=CERTIFICADO!$E$4,OR(CERTIFICADO!$E$5="",B1053=CERTIFICADO!$E$5)),MAX($Y$4:Y1052)+1,"")</f>
        <v/>
      </c>
    </row>
    <row r="1054" customFormat="false" ht="15" hidden="false" customHeight="false" outlineLevel="0" collapsed="false">
      <c r="A1054" s="11" t="str">
        <f aca="false">IF(C1054="","",ROW()-4)</f>
        <v/>
      </c>
      <c r="B1054" s="12"/>
      <c r="C1054" s="13"/>
      <c r="D1054" s="23" t="str">
        <f aca="false">IF(C1054="","",IFERROR(INDEX(LOTES!$D$5:$D$1004,MATCH(C1054,LOTES!$F$5:$F$1004,0)),"¿Lote?"))</f>
        <v/>
      </c>
      <c r="E1054" s="11" t="str">
        <f aca="false">IF(C1054="","",IFERROR(INDEX(LOTES!$C$5:$C$1004,MATCH(C1054,LOTES!$F$5:$F$1004,0)),""))</f>
        <v/>
      </c>
      <c r="F1054" s="24" t="str">
        <f aca="false">IF(C1054="","",IFERROR(INDEX(LOTES!$B$5:$B$1004,MATCH(C1054,LOTES!$F$5:$F$1004,0)),""))</f>
        <v/>
      </c>
      <c r="G1054" s="15" t="str">
        <f aca="false">IF(OR(B1054="",F1054=""),"",B1054-F1054)</f>
        <v/>
      </c>
      <c r="H1054" s="13"/>
      <c r="I1054" s="13"/>
      <c r="J1054" s="13"/>
      <c r="K1054" s="25"/>
      <c r="L1054" s="25"/>
      <c r="M1054" s="25"/>
      <c r="N1054" s="25"/>
      <c r="O1054" s="26"/>
      <c r="P1054" s="16" t="str">
        <f aca="false">IF(O1054="","",IFERROR(1/(1/(IF(K1054="",INDEX(CONFIG!$F$5:$F$14,MATCH(D1054,CONFIG!$D$5:$D$14,0)),K1054)*IF(M1054="",INDEX(CONFIG!$H$5:$H$14,MATCH(D1054,CONFIG!$D$5:$D$14,0)),M1054))),""))</f>
        <v/>
      </c>
      <c r="Q1054" s="16" t="str">
        <f aca="false">IF(OR(O1054="",P1054=""),"",O1054/P1054)</f>
        <v/>
      </c>
      <c r="R1054" s="16" t="str">
        <f aca="false">IF(Q1054="","",Q1054*0.0980665)</f>
        <v/>
      </c>
      <c r="S1054" s="16" t="str">
        <f aca="false">IF(Q1054="","",IFERROR(Q1054/(1/(1/INDEX(CONFIG!$I$5:$I$14,MATCH(D1054,CONFIG!$D$5:$D$14,0)))),""))</f>
        <v/>
      </c>
      <c r="T1054" s="13"/>
      <c r="U1054" s="13"/>
      <c r="V1054" s="13"/>
      <c r="W1054" s="13"/>
      <c r="X1054" s="22" t="str">
        <f aca="false">IF(Q1054="","",Q1054^2)</f>
        <v/>
      </c>
      <c r="Y1054" s="22" t="str">
        <f aca="false">IF(AND(C1054&lt;&gt;"",C1054=CERTIFICADO!$E$4,OR(CERTIFICADO!$E$5="",B1054=CERTIFICADO!$E$5)),MAX($Y$4:Y1053)+1,"")</f>
        <v/>
      </c>
    </row>
    <row r="1055" customFormat="false" ht="15" hidden="false" customHeight="false" outlineLevel="0" collapsed="false">
      <c r="A1055" s="11" t="str">
        <f aca="false">IF(C1055="","",ROW()-4)</f>
        <v/>
      </c>
      <c r="B1055" s="12"/>
      <c r="C1055" s="13"/>
      <c r="D1055" s="23" t="str">
        <f aca="false">IF(C1055="","",IFERROR(INDEX(LOTES!$D$5:$D$1004,MATCH(C1055,LOTES!$F$5:$F$1004,0)),"¿Lote?"))</f>
        <v/>
      </c>
      <c r="E1055" s="11" t="str">
        <f aca="false">IF(C1055="","",IFERROR(INDEX(LOTES!$C$5:$C$1004,MATCH(C1055,LOTES!$F$5:$F$1004,0)),""))</f>
        <v/>
      </c>
      <c r="F1055" s="24" t="str">
        <f aca="false">IF(C1055="","",IFERROR(INDEX(LOTES!$B$5:$B$1004,MATCH(C1055,LOTES!$F$5:$F$1004,0)),""))</f>
        <v/>
      </c>
      <c r="G1055" s="15" t="str">
        <f aca="false">IF(OR(B1055="",F1055=""),"",B1055-F1055)</f>
        <v/>
      </c>
      <c r="H1055" s="13"/>
      <c r="I1055" s="13"/>
      <c r="J1055" s="13"/>
      <c r="K1055" s="25"/>
      <c r="L1055" s="25"/>
      <c r="M1055" s="25"/>
      <c r="N1055" s="25"/>
      <c r="O1055" s="26"/>
      <c r="P1055" s="16" t="str">
        <f aca="false">IF(O1055="","",IFERROR(1/(1/(IF(K1055="",INDEX(CONFIG!$F$5:$F$14,MATCH(D1055,CONFIG!$D$5:$D$14,0)),K1055)*IF(M1055="",INDEX(CONFIG!$H$5:$H$14,MATCH(D1055,CONFIG!$D$5:$D$14,0)),M1055))),""))</f>
        <v/>
      </c>
      <c r="Q1055" s="16" t="str">
        <f aca="false">IF(OR(O1055="",P1055=""),"",O1055/P1055)</f>
        <v/>
      </c>
      <c r="R1055" s="16" t="str">
        <f aca="false">IF(Q1055="","",Q1055*0.0980665)</f>
        <v/>
      </c>
      <c r="S1055" s="16" t="str">
        <f aca="false">IF(Q1055="","",IFERROR(Q1055/(1/(1/INDEX(CONFIG!$I$5:$I$14,MATCH(D1055,CONFIG!$D$5:$D$14,0)))),""))</f>
        <v/>
      </c>
      <c r="T1055" s="13"/>
      <c r="U1055" s="13"/>
      <c r="V1055" s="13"/>
      <c r="W1055" s="13"/>
      <c r="X1055" s="22" t="str">
        <f aca="false">IF(Q1055="","",Q1055^2)</f>
        <v/>
      </c>
      <c r="Y1055" s="22" t="str">
        <f aca="false">IF(AND(C1055&lt;&gt;"",C1055=CERTIFICADO!$E$4,OR(CERTIFICADO!$E$5="",B1055=CERTIFICADO!$E$5)),MAX($Y$4:Y1054)+1,"")</f>
        <v/>
      </c>
    </row>
    <row r="1056" customFormat="false" ht="15" hidden="false" customHeight="false" outlineLevel="0" collapsed="false">
      <c r="A1056" s="11" t="str">
        <f aca="false">IF(C1056="","",ROW()-4)</f>
        <v/>
      </c>
      <c r="B1056" s="12"/>
      <c r="C1056" s="13"/>
      <c r="D1056" s="23" t="str">
        <f aca="false">IF(C1056="","",IFERROR(INDEX(LOTES!$D$5:$D$1004,MATCH(C1056,LOTES!$F$5:$F$1004,0)),"¿Lote?"))</f>
        <v/>
      </c>
      <c r="E1056" s="11" t="str">
        <f aca="false">IF(C1056="","",IFERROR(INDEX(LOTES!$C$5:$C$1004,MATCH(C1056,LOTES!$F$5:$F$1004,0)),""))</f>
        <v/>
      </c>
      <c r="F1056" s="24" t="str">
        <f aca="false">IF(C1056="","",IFERROR(INDEX(LOTES!$B$5:$B$1004,MATCH(C1056,LOTES!$F$5:$F$1004,0)),""))</f>
        <v/>
      </c>
      <c r="G1056" s="15" t="str">
        <f aca="false">IF(OR(B1056="",F1056=""),"",B1056-F1056)</f>
        <v/>
      </c>
      <c r="H1056" s="13"/>
      <c r="I1056" s="13"/>
      <c r="J1056" s="13"/>
      <c r="K1056" s="25"/>
      <c r="L1056" s="25"/>
      <c r="M1056" s="25"/>
      <c r="N1056" s="25"/>
      <c r="O1056" s="26"/>
      <c r="P1056" s="16" t="str">
        <f aca="false">IF(O1056="","",IFERROR(1/(1/(IF(K1056="",INDEX(CONFIG!$F$5:$F$14,MATCH(D1056,CONFIG!$D$5:$D$14,0)),K1056)*IF(M1056="",INDEX(CONFIG!$H$5:$H$14,MATCH(D1056,CONFIG!$D$5:$D$14,0)),M1056))),""))</f>
        <v/>
      </c>
      <c r="Q1056" s="16" t="str">
        <f aca="false">IF(OR(O1056="",P1056=""),"",O1056/P1056)</f>
        <v/>
      </c>
      <c r="R1056" s="16" t="str">
        <f aca="false">IF(Q1056="","",Q1056*0.0980665)</f>
        <v/>
      </c>
      <c r="S1056" s="16" t="str">
        <f aca="false">IF(Q1056="","",IFERROR(Q1056/(1/(1/INDEX(CONFIG!$I$5:$I$14,MATCH(D1056,CONFIG!$D$5:$D$14,0)))),""))</f>
        <v/>
      </c>
      <c r="T1056" s="13"/>
      <c r="U1056" s="13"/>
      <c r="V1056" s="13"/>
      <c r="W1056" s="13"/>
      <c r="X1056" s="22" t="str">
        <f aca="false">IF(Q1056="","",Q1056^2)</f>
        <v/>
      </c>
      <c r="Y1056" s="22" t="str">
        <f aca="false">IF(AND(C1056&lt;&gt;"",C1056=CERTIFICADO!$E$4,OR(CERTIFICADO!$E$5="",B1056=CERTIFICADO!$E$5)),MAX($Y$4:Y1055)+1,"")</f>
        <v/>
      </c>
    </row>
    <row r="1057" customFormat="false" ht="15" hidden="false" customHeight="false" outlineLevel="0" collapsed="false">
      <c r="A1057" s="11" t="str">
        <f aca="false">IF(C1057="","",ROW()-4)</f>
        <v/>
      </c>
      <c r="B1057" s="12"/>
      <c r="C1057" s="13"/>
      <c r="D1057" s="23" t="str">
        <f aca="false">IF(C1057="","",IFERROR(INDEX(LOTES!$D$5:$D$1004,MATCH(C1057,LOTES!$F$5:$F$1004,0)),"¿Lote?"))</f>
        <v/>
      </c>
      <c r="E1057" s="11" t="str">
        <f aca="false">IF(C1057="","",IFERROR(INDEX(LOTES!$C$5:$C$1004,MATCH(C1057,LOTES!$F$5:$F$1004,0)),""))</f>
        <v/>
      </c>
      <c r="F1057" s="24" t="str">
        <f aca="false">IF(C1057="","",IFERROR(INDEX(LOTES!$B$5:$B$1004,MATCH(C1057,LOTES!$F$5:$F$1004,0)),""))</f>
        <v/>
      </c>
      <c r="G1057" s="15" t="str">
        <f aca="false">IF(OR(B1057="",F1057=""),"",B1057-F1057)</f>
        <v/>
      </c>
      <c r="H1057" s="13"/>
      <c r="I1057" s="13"/>
      <c r="J1057" s="13"/>
      <c r="K1057" s="25"/>
      <c r="L1057" s="25"/>
      <c r="M1057" s="25"/>
      <c r="N1057" s="25"/>
      <c r="O1057" s="26"/>
      <c r="P1057" s="16" t="str">
        <f aca="false">IF(O1057="","",IFERROR(1/(1/(IF(K1057="",INDEX(CONFIG!$F$5:$F$14,MATCH(D1057,CONFIG!$D$5:$D$14,0)),K1057)*IF(M1057="",INDEX(CONFIG!$H$5:$H$14,MATCH(D1057,CONFIG!$D$5:$D$14,0)),M1057))),""))</f>
        <v/>
      </c>
      <c r="Q1057" s="16" t="str">
        <f aca="false">IF(OR(O1057="",P1057=""),"",O1057/P1057)</f>
        <v/>
      </c>
      <c r="R1057" s="16" t="str">
        <f aca="false">IF(Q1057="","",Q1057*0.0980665)</f>
        <v/>
      </c>
      <c r="S1057" s="16" t="str">
        <f aca="false">IF(Q1057="","",IFERROR(Q1057/(1/(1/INDEX(CONFIG!$I$5:$I$14,MATCH(D1057,CONFIG!$D$5:$D$14,0)))),""))</f>
        <v/>
      </c>
      <c r="T1057" s="13"/>
      <c r="U1057" s="13"/>
      <c r="V1057" s="13"/>
      <c r="W1057" s="13"/>
      <c r="X1057" s="22" t="str">
        <f aca="false">IF(Q1057="","",Q1057^2)</f>
        <v/>
      </c>
      <c r="Y1057" s="22" t="str">
        <f aca="false">IF(AND(C1057&lt;&gt;"",C1057=CERTIFICADO!$E$4,OR(CERTIFICADO!$E$5="",B1057=CERTIFICADO!$E$5)),MAX($Y$4:Y1056)+1,"")</f>
        <v/>
      </c>
    </row>
    <row r="1058" customFormat="false" ht="15" hidden="false" customHeight="false" outlineLevel="0" collapsed="false">
      <c r="A1058" s="11" t="str">
        <f aca="false">IF(C1058="","",ROW()-4)</f>
        <v/>
      </c>
      <c r="B1058" s="12"/>
      <c r="C1058" s="13"/>
      <c r="D1058" s="23" t="str">
        <f aca="false">IF(C1058="","",IFERROR(INDEX(LOTES!$D$5:$D$1004,MATCH(C1058,LOTES!$F$5:$F$1004,0)),"¿Lote?"))</f>
        <v/>
      </c>
      <c r="E1058" s="11" t="str">
        <f aca="false">IF(C1058="","",IFERROR(INDEX(LOTES!$C$5:$C$1004,MATCH(C1058,LOTES!$F$5:$F$1004,0)),""))</f>
        <v/>
      </c>
      <c r="F1058" s="24" t="str">
        <f aca="false">IF(C1058="","",IFERROR(INDEX(LOTES!$B$5:$B$1004,MATCH(C1058,LOTES!$F$5:$F$1004,0)),""))</f>
        <v/>
      </c>
      <c r="G1058" s="15" t="str">
        <f aca="false">IF(OR(B1058="",F1058=""),"",B1058-F1058)</f>
        <v/>
      </c>
      <c r="H1058" s="13"/>
      <c r="I1058" s="13"/>
      <c r="J1058" s="13"/>
      <c r="K1058" s="25"/>
      <c r="L1058" s="25"/>
      <c r="M1058" s="25"/>
      <c r="N1058" s="25"/>
      <c r="O1058" s="26"/>
      <c r="P1058" s="16" t="str">
        <f aca="false">IF(O1058="","",IFERROR(1/(1/(IF(K1058="",INDEX(CONFIG!$F$5:$F$14,MATCH(D1058,CONFIG!$D$5:$D$14,0)),K1058)*IF(M1058="",INDEX(CONFIG!$H$5:$H$14,MATCH(D1058,CONFIG!$D$5:$D$14,0)),M1058))),""))</f>
        <v/>
      </c>
      <c r="Q1058" s="16" t="str">
        <f aca="false">IF(OR(O1058="",P1058=""),"",O1058/P1058)</f>
        <v/>
      </c>
      <c r="R1058" s="16" t="str">
        <f aca="false">IF(Q1058="","",Q1058*0.0980665)</f>
        <v/>
      </c>
      <c r="S1058" s="16" t="str">
        <f aca="false">IF(Q1058="","",IFERROR(Q1058/(1/(1/INDEX(CONFIG!$I$5:$I$14,MATCH(D1058,CONFIG!$D$5:$D$14,0)))),""))</f>
        <v/>
      </c>
      <c r="T1058" s="13"/>
      <c r="U1058" s="13"/>
      <c r="V1058" s="13"/>
      <c r="W1058" s="13"/>
      <c r="X1058" s="22" t="str">
        <f aca="false">IF(Q1058="","",Q1058^2)</f>
        <v/>
      </c>
      <c r="Y1058" s="22" t="str">
        <f aca="false">IF(AND(C1058&lt;&gt;"",C1058=CERTIFICADO!$E$4,OR(CERTIFICADO!$E$5="",B1058=CERTIFICADO!$E$5)),MAX($Y$4:Y1057)+1,"")</f>
        <v/>
      </c>
    </row>
    <row r="1059" customFormat="false" ht="15" hidden="false" customHeight="false" outlineLevel="0" collapsed="false">
      <c r="A1059" s="11" t="str">
        <f aca="false">IF(C1059="","",ROW()-4)</f>
        <v/>
      </c>
      <c r="B1059" s="12"/>
      <c r="C1059" s="13"/>
      <c r="D1059" s="23" t="str">
        <f aca="false">IF(C1059="","",IFERROR(INDEX(LOTES!$D$5:$D$1004,MATCH(C1059,LOTES!$F$5:$F$1004,0)),"¿Lote?"))</f>
        <v/>
      </c>
      <c r="E1059" s="11" t="str">
        <f aca="false">IF(C1059="","",IFERROR(INDEX(LOTES!$C$5:$C$1004,MATCH(C1059,LOTES!$F$5:$F$1004,0)),""))</f>
        <v/>
      </c>
      <c r="F1059" s="24" t="str">
        <f aca="false">IF(C1059="","",IFERROR(INDEX(LOTES!$B$5:$B$1004,MATCH(C1059,LOTES!$F$5:$F$1004,0)),""))</f>
        <v/>
      </c>
      <c r="G1059" s="15" t="str">
        <f aca="false">IF(OR(B1059="",F1059=""),"",B1059-F1059)</f>
        <v/>
      </c>
      <c r="H1059" s="13"/>
      <c r="I1059" s="13"/>
      <c r="J1059" s="13"/>
      <c r="K1059" s="25"/>
      <c r="L1059" s="25"/>
      <c r="M1059" s="25"/>
      <c r="N1059" s="25"/>
      <c r="O1059" s="26"/>
      <c r="P1059" s="16" t="str">
        <f aca="false">IF(O1059="","",IFERROR(1/(1/(IF(K1059="",INDEX(CONFIG!$F$5:$F$14,MATCH(D1059,CONFIG!$D$5:$D$14,0)),K1059)*IF(M1059="",INDEX(CONFIG!$H$5:$H$14,MATCH(D1059,CONFIG!$D$5:$D$14,0)),M1059))),""))</f>
        <v/>
      </c>
      <c r="Q1059" s="16" t="str">
        <f aca="false">IF(OR(O1059="",P1059=""),"",O1059/P1059)</f>
        <v/>
      </c>
      <c r="R1059" s="16" t="str">
        <f aca="false">IF(Q1059="","",Q1059*0.0980665)</f>
        <v/>
      </c>
      <c r="S1059" s="16" t="str">
        <f aca="false">IF(Q1059="","",IFERROR(Q1059/(1/(1/INDEX(CONFIG!$I$5:$I$14,MATCH(D1059,CONFIG!$D$5:$D$14,0)))),""))</f>
        <v/>
      </c>
      <c r="T1059" s="13"/>
      <c r="U1059" s="13"/>
      <c r="V1059" s="13"/>
      <c r="W1059" s="13"/>
      <c r="X1059" s="22" t="str">
        <f aca="false">IF(Q1059="","",Q1059^2)</f>
        <v/>
      </c>
      <c r="Y1059" s="22" t="str">
        <f aca="false">IF(AND(C1059&lt;&gt;"",C1059=CERTIFICADO!$E$4,OR(CERTIFICADO!$E$5="",B1059=CERTIFICADO!$E$5)),MAX($Y$4:Y1058)+1,"")</f>
        <v/>
      </c>
    </row>
    <row r="1060" customFormat="false" ht="15" hidden="false" customHeight="false" outlineLevel="0" collapsed="false">
      <c r="A1060" s="11" t="str">
        <f aca="false">IF(C1060="","",ROW()-4)</f>
        <v/>
      </c>
      <c r="B1060" s="12"/>
      <c r="C1060" s="13"/>
      <c r="D1060" s="23" t="str">
        <f aca="false">IF(C1060="","",IFERROR(INDEX(LOTES!$D$5:$D$1004,MATCH(C1060,LOTES!$F$5:$F$1004,0)),"¿Lote?"))</f>
        <v/>
      </c>
      <c r="E1060" s="11" t="str">
        <f aca="false">IF(C1060="","",IFERROR(INDEX(LOTES!$C$5:$C$1004,MATCH(C1060,LOTES!$F$5:$F$1004,0)),""))</f>
        <v/>
      </c>
      <c r="F1060" s="24" t="str">
        <f aca="false">IF(C1060="","",IFERROR(INDEX(LOTES!$B$5:$B$1004,MATCH(C1060,LOTES!$F$5:$F$1004,0)),""))</f>
        <v/>
      </c>
      <c r="G1060" s="15" t="str">
        <f aca="false">IF(OR(B1060="",F1060=""),"",B1060-F1060)</f>
        <v/>
      </c>
      <c r="H1060" s="13"/>
      <c r="I1060" s="13"/>
      <c r="J1060" s="13"/>
      <c r="K1060" s="25"/>
      <c r="L1060" s="25"/>
      <c r="M1060" s="25"/>
      <c r="N1060" s="25"/>
      <c r="O1060" s="26"/>
      <c r="P1060" s="16" t="str">
        <f aca="false">IF(O1060="","",IFERROR(1/(1/(IF(K1060="",INDEX(CONFIG!$F$5:$F$14,MATCH(D1060,CONFIG!$D$5:$D$14,0)),K1060)*IF(M1060="",INDEX(CONFIG!$H$5:$H$14,MATCH(D1060,CONFIG!$D$5:$D$14,0)),M1060))),""))</f>
        <v/>
      </c>
      <c r="Q1060" s="16" t="str">
        <f aca="false">IF(OR(O1060="",P1060=""),"",O1060/P1060)</f>
        <v/>
      </c>
      <c r="R1060" s="16" t="str">
        <f aca="false">IF(Q1060="","",Q1060*0.0980665)</f>
        <v/>
      </c>
      <c r="S1060" s="16" t="str">
        <f aca="false">IF(Q1060="","",IFERROR(Q1060/(1/(1/INDEX(CONFIG!$I$5:$I$14,MATCH(D1060,CONFIG!$D$5:$D$14,0)))),""))</f>
        <v/>
      </c>
      <c r="T1060" s="13"/>
      <c r="U1060" s="13"/>
      <c r="V1060" s="13"/>
      <c r="W1060" s="13"/>
      <c r="X1060" s="22" t="str">
        <f aca="false">IF(Q1060="","",Q1060^2)</f>
        <v/>
      </c>
      <c r="Y1060" s="22" t="str">
        <f aca="false">IF(AND(C1060&lt;&gt;"",C1060=CERTIFICADO!$E$4,OR(CERTIFICADO!$E$5="",B1060=CERTIFICADO!$E$5)),MAX($Y$4:Y1059)+1,"")</f>
        <v/>
      </c>
    </row>
    <row r="1061" customFormat="false" ht="15" hidden="false" customHeight="false" outlineLevel="0" collapsed="false">
      <c r="A1061" s="11" t="str">
        <f aca="false">IF(C1061="","",ROW()-4)</f>
        <v/>
      </c>
      <c r="B1061" s="12"/>
      <c r="C1061" s="13"/>
      <c r="D1061" s="23" t="str">
        <f aca="false">IF(C1061="","",IFERROR(INDEX(LOTES!$D$5:$D$1004,MATCH(C1061,LOTES!$F$5:$F$1004,0)),"¿Lote?"))</f>
        <v/>
      </c>
      <c r="E1061" s="11" t="str">
        <f aca="false">IF(C1061="","",IFERROR(INDEX(LOTES!$C$5:$C$1004,MATCH(C1061,LOTES!$F$5:$F$1004,0)),""))</f>
        <v/>
      </c>
      <c r="F1061" s="24" t="str">
        <f aca="false">IF(C1061="","",IFERROR(INDEX(LOTES!$B$5:$B$1004,MATCH(C1061,LOTES!$F$5:$F$1004,0)),""))</f>
        <v/>
      </c>
      <c r="G1061" s="15" t="str">
        <f aca="false">IF(OR(B1061="",F1061=""),"",B1061-F1061)</f>
        <v/>
      </c>
      <c r="H1061" s="13"/>
      <c r="I1061" s="13"/>
      <c r="J1061" s="13"/>
      <c r="K1061" s="25"/>
      <c r="L1061" s="25"/>
      <c r="M1061" s="25"/>
      <c r="N1061" s="25"/>
      <c r="O1061" s="26"/>
      <c r="P1061" s="16" t="str">
        <f aca="false">IF(O1061="","",IFERROR(1/(1/(IF(K1061="",INDEX(CONFIG!$F$5:$F$14,MATCH(D1061,CONFIG!$D$5:$D$14,0)),K1061)*IF(M1061="",INDEX(CONFIG!$H$5:$H$14,MATCH(D1061,CONFIG!$D$5:$D$14,0)),M1061))),""))</f>
        <v/>
      </c>
      <c r="Q1061" s="16" t="str">
        <f aca="false">IF(OR(O1061="",P1061=""),"",O1061/P1061)</f>
        <v/>
      </c>
      <c r="R1061" s="16" t="str">
        <f aca="false">IF(Q1061="","",Q1061*0.0980665)</f>
        <v/>
      </c>
      <c r="S1061" s="16" t="str">
        <f aca="false">IF(Q1061="","",IFERROR(Q1061/(1/(1/INDEX(CONFIG!$I$5:$I$14,MATCH(D1061,CONFIG!$D$5:$D$14,0)))),""))</f>
        <v/>
      </c>
      <c r="T1061" s="13"/>
      <c r="U1061" s="13"/>
      <c r="V1061" s="13"/>
      <c r="W1061" s="13"/>
      <c r="X1061" s="22" t="str">
        <f aca="false">IF(Q1061="","",Q1061^2)</f>
        <v/>
      </c>
      <c r="Y1061" s="22" t="str">
        <f aca="false">IF(AND(C1061&lt;&gt;"",C1061=CERTIFICADO!$E$4,OR(CERTIFICADO!$E$5="",B1061=CERTIFICADO!$E$5)),MAX($Y$4:Y1060)+1,"")</f>
        <v/>
      </c>
    </row>
    <row r="1062" customFormat="false" ht="15" hidden="false" customHeight="false" outlineLevel="0" collapsed="false">
      <c r="A1062" s="11" t="str">
        <f aca="false">IF(C1062="","",ROW()-4)</f>
        <v/>
      </c>
      <c r="B1062" s="12"/>
      <c r="C1062" s="13"/>
      <c r="D1062" s="23" t="str">
        <f aca="false">IF(C1062="","",IFERROR(INDEX(LOTES!$D$5:$D$1004,MATCH(C1062,LOTES!$F$5:$F$1004,0)),"¿Lote?"))</f>
        <v/>
      </c>
      <c r="E1062" s="11" t="str">
        <f aca="false">IF(C1062="","",IFERROR(INDEX(LOTES!$C$5:$C$1004,MATCH(C1062,LOTES!$F$5:$F$1004,0)),""))</f>
        <v/>
      </c>
      <c r="F1062" s="24" t="str">
        <f aca="false">IF(C1062="","",IFERROR(INDEX(LOTES!$B$5:$B$1004,MATCH(C1062,LOTES!$F$5:$F$1004,0)),""))</f>
        <v/>
      </c>
      <c r="G1062" s="15" t="str">
        <f aca="false">IF(OR(B1062="",F1062=""),"",B1062-F1062)</f>
        <v/>
      </c>
      <c r="H1062" s="13"/>
      <c r="I1062" s="13"/>
      <c r="J1062" s="13"/>
      <c r="K1062" s="25"/>
      <c r="L1062" s="25"/>
      <c r="M1062" s="25"/>
      <c r="N1062" s="25"/>
      <c r="O1062" s="26"/>
      <c r="P1062" s="16" t="str">
        <f aca="false">IF(O1062="","",IFERROR(1/(1/(IF(K1062="",INDEX(CONFIG!$F$5:$F$14,MATCH(D1062,CONFIG!$D$5:$D$14,0)),K1062)*IF(M1062="",INDEX(CONFIG!$H$5:$H$14,MATCH(D1062,CONFIG!$D$5:$D$14,0)),M1062))),""))</f>
        <v/>
      </c>
      <c r="Q1062" s="16" t="str">
        <f aca="false">IF(OR(O1062="",P1062=""),"",O1062/P1062)</f>
        <v/>
      </c>
      <c r="R1062" s="16" t="str">
        <f aca="false">IF(Q1062="","",Q1062*0.0980665)</f>
        <v/>
      </c>
      <c r="S1062" s="16" t="str">
        <f aca="false">IF(Q1062="","",IFERROR(Q1062/(1/(1/INDEX(CONFIG!$I$5:$I$14,MATCH(D1062,CONFIG!$D$5:$D$14,0)))),""))</f>
        <v/>
      </c>
      <c r="T1062" s="13"/>
      <c r="U1062" s="13"/>
      <c r="V1062" s="13"/>
      <c r="W1062" s="13"/>
      <c r="X1062" s="22" t="str">
        <f aca="false">IF(Q1062="","",Q1062^2)</f>
        <v/>
      </c>
      <c r="Y1062" s="22" t="str">
        <f aca="false">IF(AND(C1062&lt;&gt;"",C1062=CERTIFICADO!$E$4,OR(CERTIFICADO!$E$5="",B1062=CERTIFICADO!$E$5)),MAX($Y$4:Y1061)+1,"")</f>
        <v/>
      </c>
    </row>
    <row r="1063" customFormat="false" ht="15" hidden="false" customHeight="false" outlineLevel="0" collapsed="false">
      <c r="A1063" s="11" t="str">
        <f aca="false">IF(C1063="","",ROW()-4)</f>
        <v/>
      </c>
      <c r="B1063" s="12"/>
      <c r="C1063" s="13"/>
      <c r="D1063" s="23" t="str">
        <f aca="false">IF(C1063="","",IFERROR(INDEX(LOTES!$D$5:$D$1004,MATCH(C1063,LOTES!$F$5:$F$1004,0)),"¿Lote?"))</f>
        <v/>
      </c>
      <c r="E1063" s="11" t="str">
        <f aca="false">IF(C1063="","",IFERROR(INDEX(LOTES!$C$5:$C$1004,MATCH(C1063,LOTES!$F$5:$F$1004,0)),""))</f>
        <v/>
      </c>
      <c r="F1063" s="24" t="str">
        <f aca="false">IF(C1063="","",IFERROR(INDEX(LOTES!$B$5:$B$1004,MATCH(C1063,LOTES!$F$5:$F$1004,0)),""))</f>
        <v/>
      </c>
      <c r="G1063" s="15" t="str">
        <f aca="false">IF(OR(B1063="",F1063=""),"",B1063-F1063)</f>
        <v/>
      </c>
      <c r="H1063" s="13"/>
      <c r="I1063" s="13"/>
      <c r="J1063" s="13"/>
      <c r="K1063" s="25"/>
      <c r="L1063" s="25"/>
      <c r="M1063" s="25"/>
      <c r="N1063" s="25"/>
      <c r="O1063" s="26"/>
      <c r="P1063" s="16" t="str">
        <f aca="false">IF(O1063="","",IFERROR(1/(1/(IF(K1063="",INDEX(CONFIG!$F$5:$F$14,MATCH(D1063,CONFIG!$D$5:$D$14,0)),K1063)*IF(M1063="",INDEX(CONFIG!$H$5:$H$14,MATCH(D1063,CONFIG!$D$5:$D$14,0)),M1063))),""))</f>
        <v/>
      </c>
      <c r="Q1063" s="16" t="str">
        <f aca="false">IF(OR(O1063="",P1063=""),"",O1063/P1063)</f>
        <v/>
      </c>
      <c r="R1063" s="16" t="str">
        <f aca="false">IF(Q1063="","",Q1063*0.0980665)</f>
        <v/>
      </c>
      <c r="S1063" s="16" t="str">
        <f aca="false">IF(Q1063="","",IFERROR(Q1063/(1/(1/INDEX(CONFIG!$I$5:$I$14,MATCH(D1063,CONFIG!$D$5:$D$14,0)))),""))</f>
        <v/>
      </c>
      <c r="T1063" s="13"/>
      <c r="U1063" s="13"/>
      <c r="V1063" s="13"/>
      <c r="W1063" s="13"/>
      <c r="X1063" s="22" t="str">
        <f aca="false">IF(Q1063="","",Q1063^2)</f>
        <v/>
      </c>
      <c r="Y1063" s="22" t="str">
        <f aca="false">IF(AND(C1063&lt;&gt;"",C1063=CERTIFICADO!$E$4,OR(CERTIFICADO!$E$5="",B1063=CERTIFICADO!$E$5)),MAX($Y$4:Y1062)+1,"")</f>
        <v/>
      </c>
    </row>
    <row r="1064" customFormat="false" ht="15" hidden="false" customHeight="false" outlineLevel="0" collapsed="false">
      <c r="A1064" s="11" t="str">
        <f aca="false">IF(C1064="","",ROW()-4)</f>
        <v/>
      </c>
      <c r="B1064" s="12"/>
      <c r="C1064" s="13"/>
      <c r="D1064" s="23" t="str">
        <f aca="false">IF(C1064="","",IFERROR(INDEX(LOTES!$D$5:$D$1004,MATCH(C1064,LOTES!$F$5:$F$1004,0)),"¿Lote?"))</f>
        <v/>
      </c>
      <c r="E1064" s="11" t="str">
        <f aca="false">IF(C1064="","",IFERROR(INDEX(LOTES!$C$5:$C$1004,MATCH(C1064,LOTES!$F$5:$F$1004,0)),""))</f>
        <v/>
      </c>
      <c r="F1064" s="24" t="str">
        <f aca="false">IF(C1064="","",IFERROR(INDEX(LOTES!$B$5:$B$1004,MATCH(C1064,LOTES!$F$5:$F$1004,0)),""))</f>
        <v/>
      </c>
      <c r="G1064" s="15" t="str">
        <f aca="false">IF(OR(B1064="",F1064=""),"",B1064-F1064)</f>
        <v/>
      </c>
      <c r="H1064" s="13"/>
      <c r="I1064" s="13"/>
      <c r="J1064" s="13"/>
      <c r="K1064" s="25"/>
      <c r="L1064" s="25"/>
      <c r="M1064" s="25"/>
      <c r="N1064" s="25"/>
      <c r="O1064" s="26"/>
      <c r="P1064" s="16" t="str">
        <f aca="false">IF(O1064="","",IFERROR(1/(1/(IF(K1064="",INDEX(CONFIG!$F$5:$F$14,MATCH(D1064,CONFIG!$D$5:$D$14,0)),K1064)*IF(M1064="",INDEX(CONFIG!$H$5:$H$14,MATCH(D1064,CONFIG!$D$5:$D$14,0)),M1064))),""))</f>
        <v/>
      </c>
      <c r="Q1064" s="16" t="str">
        <f aca="false">IF(OR(O1064="",P1064=""),"",O1064/P1064)</f>
        <v/>
      </c>
      <c r="R1064" s="16" t="str">
        <f aca="false">IF(Q1064="","",Q1064*0.0980665)</f>
        <v/>
      </c>
      <c r="S1064" s="16" t="str">
        <f aca="false">IF(Q1064="","",IFERROR(Q1064/(1/(1/INDEX(CONFIG!$I$5:$I$14,MATCH(D1064,CONFIG!$D$5:$D$14,0)))),""))</f>
        <v/>
      </c>
      <c r="T1064" s="13"/>
      <c r="U1064" s="13"/>
      <c r="V1064" s="13"/>
      <c r="W1064" s="13"/>
      <c r="X1064" s="22" t="str">
        <f aca="false">IF(Q1064="","",Q1064^2)</f>
        <v/>
      </c>
      <c r="Y1064" s="22" t="str">
        <f aca="false">IF(AND(C1064&lt;&gt;"",C1064=CERTIFICADO!$E$4,OR(CERTIFICADO!$E$5="",B1064=CERTIFICADO!$E$5)),MAX($Y$4:Y1063)+1,"")</f>
        <v/>
      </c>
    </row>
    <row r="1065" customFormat="false" ht="15" hidden="false" customHeight="false" outlineLevel="0" collapsed="false">
      <c r="A1065" s="11" t="str">
        <f aca="false">IF(C1065="","",ROW()-4)</f>
        <v/>
      </c>
      <c r="B1065" s="12"/>
      <c r="C1065" s="13"/>
      <c r="D1065" s="23" t="str">
        <f aca="false">IF(C1065="","",IFERROR(INDEX(LOTES!$D$5:$D$1004,MATCH(C1065,LOTES!$F$5:$F$1004,0)),"¿Lote?"))</f>
        <v/>
      </c>
      <c r="E1065" s="11" t="str">
        <f aca="false">IF(C1065="","",IFERROR(INDEX(LOTES!$C$5:$C$1004,MATCH(C1065,LOTES!$F$5:$F$1004,0)),""))</f>
        <v/>
      </c>
      <c r="F1065" s="24" t="str">
        <f aca="false">IF(C1065="","",IFERROR(INDEX(LOTES!$B$5:$B$1004,MATCH(C1065,LOTES!$F$5:$F$1004,0)),""))</f>
        <v/>
      </c>
      <c r="G1065" s="15" t="str">
        <f aca="false">IF(OR(B1065="",F1065=""),"",B1065-F1065)</f>
        <v/>
      </c>
      <c r="H1065" s="13"/>
      <c r="I1065" s="13"/>
      <c r="J1065" s="13"/>
      <c r="K1065" s="25"/>
      <c r="L1065" s="25"/>
      <c r="M1065" s="25"/>
      <c r="N1065" s="25"/>
      <c r="O1065" s="26"/>
      <c r="P1065" s="16" t="str">
        <f aca="false">IF(O1065="","",IFERROR(1/(1/(IF(K1065="",INDEX(CONFIG!$F$5:$F$14,MATCH(D1065,CONFIG!$D$5:$D$14,0)),K1065)*IF(M1065="",INDEX(CONFIG!$H$5:$H$14,MATCH(D1065,CONFIG!$D$5:$D$14,0)),M1065))),""))</f>
        <v/>
      </c>
      <c r="Q1065" s="16" t="str">
        <f aca="false">IF(OR(O1065="",P1065=""),"",O1065/P1065)</f>
        <v/>
      </c>
      <c r="R1065" s="16" t="str">
        <f aca="false">IF(Q1065="","",Q1065*0.0980665)</f>
        <v/>
      </c>
      <c r="S1065" s="16" t="str">
        <f aca="false">IF(Q1065="","",IFERROR(Q1065/(1/(1/INDEX(CONFIG!$I$5:$I$14,MATCH(D1065,CONFIG!$D$5:$D$14,0)))),""))</f>
        <v/>
      </c>
      <c r="T1065" s="13"/>
      <c r="U1065" s="13"/>
      <c r="V1065" s="13"/>
      <c r="W1065" s="13"/>
      <c r="X1065" s="22" t="str">
        <f aca="false">IF(Q1065="","",Q1065^2)</f>
        <v/>
      </c>
      <c r="Y1065" s="22" t="str">
        <f aca="false">IF(AND(C1065&lt;&gt;"",C1065=CERTIFICADO!$E$4,OR(CERTIFICADO!$E$5="",B1065=CERTIFICADO!$E$5)),MAX($Y$4:Y1064)+1,"")</f>
        <v/>
      </c>
    </row>
    <row r="1066" customFormat="false" ht="15" hidden="false" customHeight="false" outlineLevel="0" collapsed="false">
      <c r="A1066" s="11" t="str">
        <f aca="false">IF(C1066="","",ROW()-4)</f>
        <v/>
      </c>
      <c r="B1066" s="12"/>
      <c r="C1066" s="13"/>
      <c r="D1066" s="23" t="str">
        <f aca="false">IF(C1066="","",IFERROR(INDEX(LOTES!$D$5:$D$1004,MATCH(C1066,LOTES!$F$5:$F$1004,0)),"¿Lote?"))</f>
        <v/>
      </c>
      <c r="E1066" s="11" t="str">
        <f aca="false">IF(C1066="","",IFERROR(INDEX(LOTES!$C$5:$C$1004,MATCH(C1066,LOTES!$F$5:$F$1004,0)),""))</f>
        <v/>
      </c>
      <c r="F1066" s="24" t="str">
        <f aca="false">IF(C1066="","",IFERROR(INDEX(LOTES!$B$5:$B$1004,MATCH(C1066,LOTES!$F$5:$F$1004,0)),""))</f>
        <v/>
      </c>
      <c r="G1066" s="15" t="str">
        <f aca="false">IF(OR(B1066="",F1066=""),"",B1066-F1066)</f>
        <v/>
      </c>
      <c r="H1066" s="13"/>
      <c r="I1066" s="13"/>
      <c r="J1066" s="13"/>
      <c r="K1066" s="25"/>
      <c r="L1066" s="25"/>
      <c r="M1066" s="25"/>
      <c r="N1066" s="25"/>
      <c r="O1066" s="26"/>
      <c r="P1066" s="16" t="str">
        <f aca="false">IF(O1066="","",IFERROR(1/(1/(IF(K1066="",INDEX(CONFIG!$F$5:$F$14,MATCH(D1066,CONFIG!$D$5:$D$14,0)),K1066)*IF(M1066="",INDEX(CONFIG!$H$5:$H$14,MATCH(D1066,CONFIG!$D$5:$D$14,0)),M1066))),""))</f>
        <v/>
      </c>
      <c r="Q1066" s="16" t="str">
        <f aca="false">IF(OR(O1066="",P1066=""),"",O1066/P1066)</f>
        <v/>
      </c>
      <c r="R1066" s="16" t="str">
        <f aca="false">IF(Q1066="","",Q1066*0.0980665)</f>
        <v/>
      </c>
      <c r="S1066" s="16" t="str">
        <f aca="false">IF(Q1066="","",IFERROR(Q1066/(1/(1/INDEX(CONFIG!$I$5:$I$14,MATCH(D1066,CONFIG!$D$5:$D$14,0)))),""))</f>
        <v/>
      </c>
      <c r="T1066" s="13"/>
      <c r="U1066" s="13"/>
      <c r="V1066" s="13"/>
      <c r="W1066" s="13"/>
      <c r="X1066" s="22" t="str">
        <f aca="false">IF(Q1066="","",Q1066^2)</f>
        <v/>
      </c>
      <c r="Y1066" s="22" t="str">
        <f aca="false">IF(AND(C1066&lt;&gt;"",C1066=CERTIFICADO!$E$4,OR(CERTIFICADO!$E$5="",B1066=CERTIFICADO!$E$5)),MAX($Y$4:Y1065)+1,"")</f>
        <v/>
      </c>
    </row>
    <row r="1067" customFormat="false" ht="15" hidden="false" customHeight="false" outlineLevel="0" collapsed="false">
      <c r="A1067" s="11" t="str">
        <f aca="false">IF(C1067="","",ROW()-4)</f>
        <v/>
      </c>
      <c r="B1067" s="12"/>
      <c r="C1067" s="13"/>
      <c r="D1067" s="23" t="str">
        <f aca="false">IF(C1067="","",IFERROR(INDEX(LOTES!$D$5:$D$1004,MATCH(C1067,LOTES!$F$5:$F$1004,0)),"¿Lote?"))</f>
        <v/>
      </c>
      <c r="E1067" s="11" t="str">
        <f aca="false">IF(C1067="","",IFERROR(INDEX(LOTES!$C$5:$C$1004,MATCH(C1067,LOTES!$F$5:$F$1004,0)),""))</f>
        <v/>
      </c>
      <c r="F1067" s="24" t="str">
        <f aca="false">IF(C1067="","",IFERROR(INDEX(LOTES!$B$5:$B$1004,MATCH(C1067,LOTES!$F$5:$F$1004,0)),""))</f>
        <v/>
      </c>
      <c r="G1067" s="15" t="str">
        <f aca="false">IF(OR(B1067="",F1067=""),"",B1067-F1067)</f>
        <v/>
      </c>
      <c r="H1067" s="13"/>
      <c r="I1067" s="13"/>
      <c r="J1067" s="13"/>
      <c r="K1067" s="25"/>
      <c r="L1067" s="25"/>
      <c r="M1067" s="25"/>
      <c r="N1067" s="25"/>
      <c r="O1067" s="26"/>
      <c r="P1067" s="16" t="str">
        <f aca="false">IF(O1067="","",IFERROR(1/(1/(IF(K1067="",INDEX(CONFIG!$F$5:$F$14,MATCH(D1067,CONFIG!$D$5:$D$14,0)),K1067)*IF(M1067="",INDEX(CONFIG!$H$5:$H$14,MATCH(D1067,CONFIG!$D$5:$D$14,0)),M1067))),""))</f>
        <v/>
      </c>
      <c r="Q1067" s="16" t="str">
        <f aca="false">IF(OR(O1067="",P1067=""),"",O1067/P1067)</f>
        <v/>
      </c>
      <c r="R1067" s="16" t="str">
        <f aca="false">IF(Q1067="","",Q1067*0.0980665)</f>
        <v/>
      </c>
      <c r="S1067" s="16" t="str">
        <f aca="false">IF(Q1067="","",IFERROR(Q1067/(1/(1/INDEX(CONFIG!$I$5:$I$14,MATCH(D1067,CONFIG!$D$5:$D$14,0)))),""))</f>
        <v/>
      </c>
      <c r="T1067" s="13"/>
      <c r="U1067" s="13"/>
      <c r="V1067" s="13"/>
      <c r="W1067" s="13"/>
      <c r="X1067" s="22" t="str">
        <f aca="false">IF(Q1067="","",Q1067^2)</f>
        <v/>
      </c>
      <c r="Y1067" s="22" t="str">
        <f aca="false">IF(AND(C1067&lt;&gt;"",C1067=CERTIFICADO!$E$4,OR(CERTIFICADO!$E$5="",B1067=CERTIFICADO!$E$5)),MAX($Y$4:Y1066)+1,"")</f>
        <v/>
      </c>
    </row>
    <row r="1068" customFormat="false" ht="15" hidden="false" customHeight="false" outlineLevel="0" collapsed="false">
      <c r="A1068" s="11" t="str">
        <f aca="false">IF(C1068="","",ROW()-4)</f>
        <v/>
      </c>
      <c r="B1068" s="12"/>
      <c r="C1068" s="13"/>
      <c r="D1068" s="23" t="str">
        <f aca="false">IF(C1068="","",IFERROR(INDEX(LOTES!$D$5:$D$1004,MATCH(C1068,LOTES!$F$5:$F$1004,0)),"¿Lote?"))</f>
        <v/>
      </c>
      <c r="E1068" s="11" t="str">
        <f aca="false">IF(C1068="","",IFERROR(INDEX(LOTES!$C$5:$C$1004,MATCH(C1068,LOTES!$F$5:$F$1004,0)),""))</f>
        <v/>
      </c>
      <c r="F1068" s="24" t="str">
        <f aca="false">IF(C1068="","",IFERROR(INDEX(LOTES!$B$5:$B$1004,MATCH(C1068,LOTES!$F$5:$F$1004,0)),""))</f>
        <v/>
      </c>
      <c r="G1068" s="15" t="str">
        <f aca="false">IF(OR(B1068="",F1068=""),"",B1068-F1068)</f>
        <v/>
      </c>
      <c r="H1068" s="13"/>
      <c r="I1068" s="13"/>
      <c r="J1068" s="13"/>
      <c r="K1068" s="25"/>
      <c r="L1068" s="25"/>
      <c r="M1068" s="25"/>
      <c r="N1068" s="25"/>
      <c r="O1068" s="26"/>
      <c r="P1068" s="16" t="str">
        <f aca="false">IF(O1068="","",IFERROR(1/(1/(IF(K1068="",INDEX(CONFIG!$F$5:$F$14,MATCH(D1068,CONFIG!$D$5:$D$14,0)),K1068)*IF(M1068="",INDEX(CONFIG!$H$5:$H$14,MATCH(D1068,CONFIG!$D$5:$D$14,0)),M1068))),""))</f>
        <v/>
      </c>
      <c r="Q1068" s="16" t="str">
        <f aca="false">IF(OR(O1068="",P1068=""),"",O1068/P1068)</f>
        <v/>
      </c>
      <c r="R1068" s="16" t="str">
        <f aca="false">IF(Q1068="","",Q1068*0.0980665)</f>
        <v/>
      </c>
      <c r="S1068" s="16" t="str">
        <f aca="false">IF(Q1068="","",IFERROR(Q1068/(1/(1/INDEX(CONFIG!$I$5:$I$14,MATCH(D1068,CONFIG!$D$5:$D$14,0)))),""))</f>
        <v/>
      </c>
      <c r="T1068" s="13"/>
      <c r="U1068" s="13"/>
      <c r="V1068" s="13"/>
      <c r="W1068" s="13"/>
      <c r="X1068" s="22" t="str">
        <f aca="false">IF(Q1068="","",Q1068^2)</f>
        <v/>
      </c>
      <c r="Y1068" s="22" t="str">
        <f aca="false">IF(AND(C1068&lt;&gt;"",C1068=CERTIFICADO!$E$4,OR(CERTIFICADO!$E$5="",B1068=CERTIFICADO!$E$5)),MAX($Y$4:Y1067)+1,"")</f>
        <v/>
      </c>
    </row>
    <row r="1069" customFormat="false" ht="15" hidden="false" customHeight="false" outlineLevel="0" collapsed="false">
      <c r="A1069" s="11" t="str">
        <f aca="false">IF(C1069="","",ROW()-4)</f>
        <v/>
      </c>
      <c r="B1069" s="12"/>
      <c r="C1069" s="13"/>
      <c r="D1069" s="23" t="str">
        <f aca="false">IF(C1069="","",IFERROR(INDEX(LOTES!$D$5:$D$1004,MATCH(C1069,LOTES!$F$5:$F$1004,0)),"¿Lote?"))</f>
        <v/>
      </c>
      <c r="E1069" s="11" t="str">
        <f aca="false">IF(C1069="","",IFERROR(INDEX(LOTES!$C$5:$C$1004,MATCH(C1069,LOTES!$F$5:$F$1004,0)),""))</f>
        <v/>
      </c>
      <c r="F1069" s="24" t="str">
        <f aca="false">IF(C1069="","",IFERROR(INDEX(LOTES!$B$5:$B$1004,MATCH(C1069,LOTES!$F$5:$F$1004,0)),""))</f>
        <v/>
      </c>
      <c r="G1069" s="15" t="str">
        <f aca="false">IF(OR(B1069="",F1069=""),"",B1069-F1069)</f>
        <v/>
      </c>
      <c r="H1069" s="13"/>
      <c r="I1069" s="13"/>
      <c r="J1069" s="13"/>
      <c r="K1069" s="25"/>
      <c r="L1069" s="25"/>
      <c r="M1069" s="25"/>
      <c r="N1069" s="25"/>
      <c r="O1069" s="26"/>
      <c r="P1069" s="16" t="str">
        <f aca="false">IF(O1069="","",IFERROR(1/(1/(IF(K1069="",INDEX(CONFIG!$F$5:$F$14,MATCH(D1069,CONFIG!$D$5:$D$14,0)),K1069)*IF(M1069="",INDEX(CONFIG!$H$5:$H$14,MATCH(D1069,CONFIG!$D$5:$D$14,0)),M1069))),""))</f>
        <v/>
      </c>
      <c r="Q1069" s="16" t="str">
        <f aca="false">IF(OR(O1069="",P1069=""),"",O1069/P1069)</f>
        <v/>
      </c>
      <c r="R1069" s="16" t="str">
        <f aca="false">IF(Q1069="","",Q1069*0.0980665)</f>
        <v/>
      </c>
      <c r="S1069" s="16" t="str">
        <f aca="false">IF(Q1069="","",IFERROR(Q1069/(1/(1/INDEX(CONFIG!$I$5:$I$14,MATCH(D1069,CONFIG!$D$5:$D$14,0)))),""))</f>
        <v/>
      </c>
      <c r="T1069" s="13"/>
      <c r="U1069" s="13"/>
      <c r="V1069" s="13"/>
      <c r="W1069" s="13"/>
      <c r="X1069" s="22" t="str">
        <f aca="false">IF(Q1069="","",Q1069^2)</f>
        <v/>
      </c>
      <c r="Y1069" s="22" t="str">
        <f aca="false">IF(AND(C1069&lt;&gt;"",C1069=CERTIFICADO!$E$4,OR(CERTIFICADO!$E$5="",B1069=CERTIFICADO!$E$5)),MAX($Y$4:Y1068)+1,"")</f>
        <v/>
      </c>
    </row>
    <row r="1070" customFormat="false" ht="15" hidden="false" customHeight="false" outlineLevel="0" collapsed="false">
      <c r="A1070" s="11" t="str">
        <f aca="false">IF(C1070="","",ROW()-4)</f>
        <v/>
      </c>
      <c r="B1070" s="12"/>
      <c r="C1070" s="13"/>
      <c r="D1070" s="23" t="str">
        <f aca="false">IF(C1070="","",IFERROR(INDEX(LOTES!$D$5:$D$1004,MATCH(C1070,LOTES!$F$5:$F$1004,0)),"¿Lote?"))</f>
        <v/>
      </c>
      <c r="E1070" s="11" t="str">
        <f aca="false">IF(C1070="","",IFERROR(INDEX(LOTES!$C$5:$C$1004,MATCH(C1070,LOTES!$F$5:$F$1004,0)),""))</f>
        <v/>
      </c>
      <c r="F1070" s="24" t="str">
        <f aca="false">IF(C1070="","",IFERROR(INDEX(LOTES!$B$5:$B$1004,MATCH(C1070,LOTES!$F$5:$F$1004,0)),""))</f>
        <v/>
      </c>
      <c r="G1070" s="15" t="str">
        <f aca="false">IF(OR(B1070="",F1070=""),"",B1070-F1070)</f>
        <v/>
      </c>
      <c r="H1070" s="13"/>
      <c r="I1070" s="13"/>
      <c r="J1070" s="13"/>
      <c r="K1070" s="25"/>
      <c r="L1070" s="25"/>
      <c r="M1070" s="25"/>
      <c r="N1070" s="25"/>
      <c r="O1070" s="26"/>
      <c r="P1070" s="16" t="str">
        <f aca="false">IF(O1070="","",IFERROR(1/(1/(IF(K1070="",INDEX(CONFIG!$F$5:$F$14,MATCH(D1070,CONFIG!$D$5:$D$14,0)),K1070)*IF(M1070="",INDEX(CONFIG!$H$5:$H$14,MATCH(D1070,CONFIG!$D$5:$D$14,0)),M1070))),""))</f>
        <v/>
      </c>
      <c r="Q1070" s="16" t="str">
        <f aca="false">IF(OR(O1070="",P1070=""),"",O1070/P1070)</f>
        <v/>
      </c>
      <c r="R1070" s="16" t="str">
        <f aca="false">IF(Q1070="","",Q1070*0.0980665)</f>
        <v/>
      </c>
      <c r="S1070" s="16" t="str">
        <f aca="false">IF(Q1070="","",IFERROR(Q1070/(1/(1/INDEX(CONFIG!$I$5:$I$14,MATCH(D1070,CONFIG!$D$5:$D$14,0)))),""))</f>
        <v/>
      </c>
      <c r="T1070" s="13"/>
      <c r="U1070" s="13"/>
      <c r="V1070" s="13"/>
      <c r="W1070" s="13"/>
      <c r="X1070" s="22" t="str">
        <f aca="false">IF(Q1070="","",Q1070^2)</f>
        <v/>
      </c>
      <c r="Y1070" s="22" t="str">
        <f aca="false">IF(AND(C1070&lt;&gt;"",C1070=CERTIFICADO!$E$4,OR(CERTIFICADO!$E$5="",B1070=CERTIFICADO!$E$5)),MAX($Y$4:Y1069)+1,"")</f>
        <v/>
      </c>
    </row>
    <row r="1071" customFormat="false" ht="15" hidden="false" customHeight="false" outlineLevel="0" collapsed="false">
      <c r="A1071" s="11" t="str">
        <f aca="false">IF(C1071="","",ROW()-4)</f>
        <v/>
      </c>
      <c r="B1071" s="12"/>
      <c r="C1071" s="13"/>
      <c r="D1071" s="23" t="str">
        <f aca="false">IF(C1071="","",IFERROR(INDEX(LOTES!$D$5:$D$1004,MATCH(C1071,LOTES!$F$5:$F$1004,0)),"¿Lote?"))</f>
        <v/>
      </c>
      <c r="E1071" s="11" t="str">
        <f aca="false">IF(C1071="","",IFERROR(INDEX(LOTES!$C$5:$C$1004,MATCH(C1071,LOTES!$F$5:$F$1004,0)),""))</f>
        <v/>
      </c>
      <c r="F1071" s="24" t="str">
        <f aca="false">IF(C1071="","",IFERROR(INDEX(LOTES!$B$5:$B$1004,MATCH(C1071,LOTES!$F$5:$F$1004,0)),""))</f>
        <v/>
      </c>
      <c r="G1071" s="15" t="str">
        <f aca="false">IF(OR(B1071="",F1071=""),"",B1071-F1071)</f>
        <v/>
      </c>
      <c r="H1071" s="13"/>
      <c r="I1071" s="13"/>
      <c r="J1071" s="13"/>
      <c r="K1071" s="25"/>
      <c r="L1071" s="25"/>
      <c r="M1071" s="25"/>
      <c r="N1071" s="25"/>
      <c r="O1071" s="26"/>
      <c r="P1071" s="16" t="str">
        <f aca="false">IF(O1071="","",IFERROR(1/(1/(IF(K1071="",INDEX(CONFIG!$F$5:$F$14,MATCH(D1071,CONFIG!$D$5:$D$14,0)),K1071)*IF(M1071="",INDEX(CONFIG!$H$5:$H$14,MATCH(D1071,CONFIG!$D$5:$D$14,0)),M1071))),""))</f>
        <v/>
      </c>
      <c r="Q1071" s="16" t="str">
        <f aca="false">IF(OR(O1071="",P1071=""),"",O1071/P1071)</f>
        <v/>
      </c>
      <c r="R1071" s="16" t="str">
        <f aca="false">IF(Q1071="","",Q1071*0.0980665)</f>
        <v/>
      </c>
      <c r="S1071" s="16" t="str">
        <f aca="false">IF(Q1071="","",IFERROR(Q1071/(1/(1/INDEX(CONFIG!$I$5:$I$14,MATCH(D1071,CONFIG!$D$5:$D$14,0)))),""))</f>
        <v/>
      </c>
      <c r="T1071" s="13"/>
      <c r="U1071" s="13"/>
      <c r="V1071" s="13"/>
      <c r="W1071" s="13"/>
      <c r="X1071" s="22" t="str">
        <f aca="false">IF(Q1071="","",Q1071^2)</f>
        <v/>
      </c>
      <c r="Y1071" s="22" t="str">
        <f aca="false">IF(AND(C1071&lt;&gt;"",C1071=CERTIFICADO!$E$4,OR(CERTIFICADO!$E$5="",B1071=CERTIFICADO!$E$5)),MAX($Y$4:Y1070)+1,"")</f>
        <v/>
      </c>
    </row>
    <row r="1072" customFormat="false" ht="15" hidden="false" customHeight="false" outlineLevel="0" collapsed="false">
      <c r="A1072" s="11" t="str">
        <f aca="false">IF(C1072="","",ROW()-4)</f>
        <v/>
      </c>
      <c r="B1072" s="12"/>
      <c r="C1072" s="13"/>
      <c r="D1072" s="23" t="str">
        <f aca="false">IF(C1072="","",IFERROR(INDEX(LOTES!$D$5:$D$1004,MATCH(C1072,LOTES!$F$5:$F$1004,0)),"¿Lote?"))</f>
        <v/>
      </c>
      <c r="E1072" s="11" t="str">
        <f aca="false">IF(C1072="","",IFERROR(INDEX(LOTES!$C$5:$C$1004,MATCH(C1072,LOTES!$F$5:$F$1004,0)),""))</f>
        <v/>
      </c>
      <c r="F1072" s="24" t="str">
        <f aca="false">IF(C1072="","",IFERROR(INDEX(LOTES!$B$5:$B$1004,MATCH(C1072,LOTES!$F$5:$F$1004,0)),""))</f>
        <v/>
      </c>
      <c r="G1072" s="15" t="str">
        <f aca="false">IF(OR(B1072="",F1072=""),"",B1072-F1072)</f>
        <v/>
      </c>
      <c r="H1072" s="13"/>
      <c r="I1072" s="13"/>
      <c r="J1072" s="13"/>
      <c r="K1072" s="25"/>
      <c r="L1072" s="25"/>
      <c r="M1072" s="25"/>
      <c r="N1072" s="25"/>
      <c r="O1072" s="26"/>
      <c r="P1072" s="16" t="str">
        <f aca="false">IF(O1072="","",IFERROR(1/(1/(IF(K1072="",INDEX(CONFIG!$F$5:$F$14,MATCH(D1072,CONFIG!$D$5:$D$14,0)),K1072)*IF(M1072="",INDEX(CONFIG!$H$5:$H$14,MATCH(D1072,CONFIG!$D$5:$D$14,0)),M1072))),""))</f>
        <v/>
      </c>
      <c r="Q1072" s="16" t="str">
        <f aca="false">IF(OR(O1072="",P1072=""),"",O1072/P1072)</f>
        <v/>
      </c>
      <c r="R1072" s="16" t="str">
        <f aca="false">IF(Q1072="","",Q1072*0.0980665)</f>
        <v/>
      </c>
      <c r="S1072" s="16" t="str">
        <f aca="false">IF(Q1072="","",IFERROR(Q1072/(1/(1/INDEX(CONFIG!$I$5:$I$14,MATCH(D1072,CONFIG!$D$5:$D$14,0)))),""))</f>
        <v/>
      </c>
      <c r="T1072" s="13"/>
      <c r="U1072" s="13"/>
      <c r="V1072" s="13"/>
      <c r="W1072" s="13"/>
      <c r="X1072" s="22" t="str">
        <f aca="false">IF(Q1072="","",Q1072^2)</f>
        <v/>
      </c>
      <c r="Y1072" s="22" t="str">
        <f aca="false">IF(AND(C1072&lt;&gt;"",C1072=CERTIFICADO!$E$4,OR(CERTIFICADO!$E$5="",B1072=CERTIFICADO!$E$5)),MAX($Y$4:Y1071)+1,"")</f>
        <v/>
      </c>
    </row>
    <row r="1073" customFormat="false" ht="15" hidden="false" customHeight="false" outlineLevel="0" collapsed="false">
      <c r="A1073" s="11" t="str">
        <f aca="false">IF(C1073="","",ROW()-4)</f>
        <v/>
      </c>
      <c r="B1073" s="12"/>
      <c r="C1073" s="13"/>
      <c r="D1073" s="23" t="str">
        <f aca="false">IF(C1073="","",IFERROR(INDEX(LOTES!$D$5:$D$1004,MATCH(C1073,LOTES!$F$5:$F$1004,0)),"¿Lote?"))</f>
        <v/>
      </c>
      <c r="E1073" s="11" t="str">
        <f aca="false">IF(C1073="","",IFERROR(INDEX(LOTES!$C$5:$C$1004,MATCH(C1073,LOTES!$F$5:$F$1004,0)),""))</f>
        <v/>
      </c>
      <c r="F1073" s="24" t="str">
        <f aca="false">IF(C1073="","",IFERROR(INDEX(LOTES!$B$5:$B$1004,MATCH(C1073,LOTES!$F$5:$F$1004,0)),""))</f>
        <v/>
      </c>
      <c r="G1073" s="15" t="str">
        <f aca="false">IF(OR(B1073="",F1073=""),"",B1073-F1073)</f>
        <v/>
      </c>
      <c r="H1073" s="13"/>
      <c r="I1073" s="13"/>
      <c r="J1073" s="13"/>
      <c r="K1073" s="25"/>
      <c r="L1073" s="25"/>
      <c r="M1073" s="25"/>
      <c r="N1073" s="25"/>
      <c r="O1073" s="26"/>
      <c r="P1073" s="16" t="str">
        <f aca="false">IF(O1073="","",IFERROR(1/(1/(IF(K1073="",INDEX(CONFIG!$F$5:$F$14,MATCH(D1073,CONFIG!$D$5:$D$14,0)),K1073)*IF(M1073="",INDEX(CONFIG!$H$5:$H$14,MATCH(D1073,CONFIG!$D$5:$D$14,0)),M1073))),""))</f>
        <v/>
      </c>
      <c r="Q1073" s="16" t="str">
        <f aca="false">IF(OR(O1073="",P1073=""),"",O1073/P1073)</f>
        <v/>
      </c>
      <c r="R1073" s="16" t="str">
        <f aca="false">IF(Q1073="","",Q1073*0.0980665)</f>
        <v/>
      </c>
      <c r="S1073" s="16" t="str">
        <f aca="false">IF(Q1073="","",IFERROR(Q1073/(1/(1/INDEX(CONFIG!$I$5:$I$14,MATCH(D1073,CONFIG!$D$5:$D$14,0)))),""))</f>
        <v/>
      </c>
      <c r="T1073" s="13"/>
      <c r="U1073" s="13"/>
      <c r="V1073" s="13"/>
      <c r="W1073" s="13"/>
      <c r="X1073" s="22" t="str">
        <f aca="false">IF(Q1073="","",Q1073^2)</f>
        <v/>
      </c>
      <c r="Y1073" s="22" t="str">
        <f aca="false">IF(AND(C1073&lt;&gt;"",C1073=CERTIFICADO!$E$4,OR(CERTIFICADO!$E$5="",B1073=CERTIFICADO!$E$5)),MAX($Y$4:Y1072)+1,"")</f>
        <v/>
      </c>
    </row>
    <row r="1074" customFormat="false" ht="15" hidden="false" customHeight="false" outlineLevel="0" collapsed="false">
      <c r="A1074" s="11" t="str">
        <f aca="false">IF(C1074="","",ROW()-4)</f>
        <v/>
      </c>
      <c r="B1074" s="12"/>
      <c r="C1074" s="13"/>
      <c r="D1074" s="23" t="str">
        <f aca="false">IF(C1074="","",IFERROR(INDEX(LOTES!$D$5:$D$1004,MATCH(C1074,LOTES!$F$5:$F$1004,0)),"¿Lote?"))</f>
        <v/>
      </c>
      <c r="E1074" s="11" t="str">
        <f aca="false">IF(C1074="","",IFERROR(INDEX(LOTES!$C$5:$C$1004,MATCH(C1074,LOTES!$F$5:$F$1004,0)),""))</f>
        <v/>
      </c>
      <c r="F1074" s="24" t="str">
        <f aca="false">IF(C1074="","",IFERROR(INDEX(LOTES!$B$5:$B$1004,MATCH(C1074,LOTES!$F$5:$F$1004,0)),""))</f>
        <v/>
      </c>
      <c r="G1074" s="15" t="str">
        <f aca="false">IF(OR(B1074="",F1074=""),"",B1074-F1074)</f>
        <v/>
      </c>
      <c r="H1074" s="13"/>
      <c r="I1074" s="13"/>
      <c r="J1074" s="13"/>
      <c r="K1074" s="25"/>
      <c r="L1074" s="25"/>
      <c r="M1074" s="25"/>
      <c r="N1074" s="25"/>
      <c r="O1074" s="26"/>
      <c r="P1074" s="16" t="str">
        <f aca="false">IF(O1074="","",IFERROR(1/(1/(IF(K1074="",INDEX(CONFIG!$F$5:$F$14,MATCH(D1074,CONFIG!$D$5:$D$14,0)),K1074)*IF(M1074="",INDEX(CONFIG!$H$5:$H$14,MATCH(D1074,CONFIG!$D$5:$D$14,0)),M1074))),""))</f>
        <v/>
      </c>
      <c r="Q1074" s="16" t="str">
        <f aca="false">IF(OR(O1074="",P1074=""),"",O1074/P1074)</f>
        <v/>
      </c>
      <c r="R1074" s="16" t="str">
        <f aca="false">IF(Q1074="","",Q1074*0.0980665)</f>
        <v/>
      </c>
      <c r="S1074" s="16" t="str">
        <f aca="false">IF(Q1074="","",IFERROR(Q1074/(1/(1/INDEX(CONFIG!$I$5:$I$14,MATCH(D1074,CONFIG!$D$5:$D$14,0)))),""))</f>
        <v/>
      </c>
      <c r="T1074" s="13"/>
      <c r="U1074" s="13"/>
      <c r="V1074" s="13"/>
      <c r="W1074" s="13"/>
      <c r="X1074" s="22" t="str">
        <f aca="false">IF(Q1074="","",Q1074^2)</f>
        <v/>
      </c>
      <c r="Y1074" s="22" t="str">
        <f aca="false">IF(AND(C1074&lt;&gt;"",C1074=CERTIFICADO!$E$4,OR(CERTIFICADO!$E$5="",B1074=CERTIFICADO!$E$5)),MAX($Y$4:Y1073)+1,"")</f>
        <v/>
      </c>
    </row>
    <row r="1075" customFormat="false" ht="15" hidden="false" customHeight="false" outlineLevel="0" collapsed="false">
      <c r="A1075" s="11" t="str">
        <f aca="false">IF(C1075="","",ROW()-4)</f>
        <v/>
      </c>
      <c r="B1075" s="12"/>
      <c r="C1075" s="13"/>
      <c r="D1075" s="23" t="str">
        <f aca="false">IF(C1075="","",IFERROR(INDEX(LOTES!$D$5:$D$1004,MATCH(C1075,LOTES!$F$5:$F$1004,0)),"¿Lote?"))</f>
        <v/>
      </c>
      <c r="E1075" s="11" t="str">
        <f aca="false">IF(C1075="","",IFERROR(INDEX(LOTES!$C$5:$C$1004,MATCH(C1075,LOTES!$F$5:$F$1004,0)),""))</f>
        <v/>
      </c>
      <c r="F1075" s="24" t="str">
        <f aca="false">IF(C1075="","",IFERROR(INDEX(LOTES!$B$5:$B$1004,MATCH(C1075,LOTES!$F$5:$F$1004,0)),""))</f>
        <v/>
      </c>
      <c r="G1075" s="15" t="str">
        <f aca="false">IF(OR(B1075="",F1075=""),"",B1075-F1075)</f>
        <v/>
      </c>
      <c r="H1075" s="13"/>
      <c r="I1075" s="13"/>
      <c r="J1075" s="13"/>
      <c r="K1075" s="25"/>
      <c r="L1075" s="25"/>
      <c r="M1075" s="25"/>
      <c r="N1075" s="25"/>
      <c r="O1075" s="26"/>
      <c r="P1075" s="16" t="str">
        <f aca="false">IF(O1075="","",IFERROR(1/(1/(IF(K1075="",INDEX(CONFIG!$F$5:$F$14,MATCH(D1075,CONFIG!$D$5:$D$14,0)),K1075)*IF(M1075="",INDEX(CONFIG!$H$5:$H$14,MATCH(D1075,CONFIG!$D$5:$D$14,0)),M1075))),""))</f>
        <v/>
      </c>
      <c r="Q1075" s="16" t="str">
        <f aca="false">IF(OR(O1075="",P1075=""),"",O1075/P1075)</f>
        <v/>
      </c>
      <c r="R1075" s="16" t="str">
        <f aca="false">IF(Q1075="","",Q1075*0.0980665)</f>
        <v/>
      </c>
      <c r="S1075" s="16" t="str">
        <f aca="false">IF(Q1075="","",IFERROR(Q1075/(1/(1/INDEX(CONFIG!$I$5:$I$14,MATCH(D1075,CONFIG!$D$5:$D$14,0)))),""))</f>
        <v/>
      </c>
      <c r="T1075" s="13"/>
      <c r="U1075" s="13"/>
      <c r="V1075" s="13"/>
      <c r="W1075" s="13"/>
      <c r="X1075" s="22" t="str">
        <f aca="false">IF(Q1075="","",Q1075^2)</f>
        <v/>
      </c>
      <c r="Y1075" s="22" t="str">
        <f aca="false">IF(AND(C1075&lt;&gt;"",C1075=CERTIFICADO!$E$4,OR(CERTIFICADO!$E$5="",B1075=CERTIFICADO!$E$5)),MAX($Y$4:Y1074)+1,"")</f>
        <v/>
      </c>
    </row>
    <row r="1076" customFormat="false" ht="15" hidden="false" customHeight="false" outlineLevel="0" collapsed="false">
      <c r="A1076" s="11" t="str">
        <f aca="false">IF(C1076="","",ROW()-4)</f>
        <v/>
      </c>
      <c r="B1076" s="12"/>
      <c r="C1076" s="13"/>
      <c r="D1076" s="23" t="str">
        <f aca="false">IF(C1076="","",IFERROR(INDEX(LOTES!$D$5:$D$1004,MATCH(C1076,LOTES!$F$5:$F$1004,0)),"¿Lote?"))</f>
        <v/>
      </c>
      <c r="E1076" s="11" t="str">
        <f aca="false">IF(C1076="","",IFERROR(INDEX(LOTES!$C$5:$C$1004,MATCH(C1076,LOTES!$F$5:$F$1004,0)),""))</f>
        <v/>
      </c>
      <c r="F1076" s="24" t="str">
        <f aca="false">IF(C1076="","",IFERROR(INDEX(LOTES!$B$5:$B$1004,MATCH(C1076,LOTES!$F$5:$F$1004,0)),""))</f>
        <v/>
      </c>
      <c r="G1076" s="15" t="str">
        <f aca="false">IF(OR(B1076="",F1076=""),"",B1076-F1076)</f>
        <v/>
      </c>
      <c r="H1076" s="13"/>
      <c r="I1076" s="13"/>
      <c r="J1076" s="13"/>
      <c r="K1076" s="25"/>
      <c r="L1076" s="25"/>
      <c r="M1076" s="25"/>
      <c r="N1076" s="25"/>
      <c r="O1076" s="26"/>
      <c r="P1076" s="16" t="str">
        <f aca="false">IF(O1076="","",IFERROR(1/(1/(IF(K1076="",INDEX(CONFIG!$F$5:$F$14,MATCH(D1076,CONFIG!$D$5:$D$14,0)),K1076)*IF(M1076="",INDEX(CONFIG!$H$5:$H$14,MATCH(D1076,CONFIG!$D$5:$D$14,0)),M1076))),""))</f>
        <v/>
      </c>
      <c r="Q1076" s="16" t="str">
        <f aca="false">IF(OR(O1076="",P1076=""),"",O1076/P1076)</f>
        <v/>
      </c>
      <c r="R1076" s="16" t="str">
        <f aca="false">IF(Q1076="","",Q1076*0.0980665)</f>
        <v/>
      </c>
      <c r="S1076" s="16" t="str">
        <f aca="false">IF(Q1076="","",IFERROR(Q1076/(1/(1/INDEX(CONFIG!$I$5:$I$14,MATCH(D1076,CONFIG!$D$5:$D$14,0)))),""))</f>
        <v/>
      </c>
      <c r="T1076" s="13"/>
      <c r="U1076" s="13"/>
      <c r="V1076" s="13"/>
      <c r="W1076" s="13"/>
      <c r="X1076" s="22" t="str">
        <f aca="false">IF(Q1076="","",Q1076^2)</f>
        <v/>
      </c>
      <c r="Y1076" s="22" t="str">
        <f aca="false">IF(AND(C1076&lt;&gt;"",C1076=CERTIFICADO!$E$4,OR(CERTIFICADO!$E$5="",B1076=CERTIFICADO!$E$5)),MAX($Y$4:Y1075)+1,"")</f>
        <v/>
      </c>
    </row>
    <row r="1077" customFormat="false" ht="15" hidden="false" customHeight="false" outlineLevel="0" collapsed="false">
      <c r="A1077" s="11" t="str">
        <f aca="false">IF(C1077="","",ROW()-4)</f>
        <v/>
      </c>
      <c r="B1077" s="12"/>
      <c r="C1077" s="13"/>
      <c r="D1077" s="23" t="str">
        <f aca="false">IF(C1077="","",IFERROR(INDEX(LOTES!$D$5:$D$1004,MATCH(C1077,LOTES!$F$5:$F$1004,0)),"¿Lote?"))</f>
        <v/>
      </c>
      <c r="E1077" s="11" t="str">
        <f aca="false">IF(C1077="","",IFERROR(INDEX(LOTES!$C$5:$C$1004,MATCH(C1077,LOTES!$F$5:$F$1004,0)),""))</f>
        <v/>
      </c>
      <c r="F1077" s="24" t="str">
        <f aca="false">IF(C1077="","",IFERROR(INDEX(LOTES!$B$5:$B$1004,MATCH(C1077,LOTES!$F$5:$F$1004,0)),""))</f>
        <v/>
      </c>
      <c r="G1077" s="15" t="str">
        <f aca="false">IF(OR(B1077="",F1077=""),"",B1077-F1077)</f>
        <v/>
      </c>
      <c r="H1077" s="13"/>
      <c r="I1077" s="13"/>
      <c r="J1077" s="13"/>
      <c r="K1077" s="25"/>
      <c r="L1077" s="25"/>
      <c r="M1077" s="25"/>
      <c r="N1077" s="25"/>
      <c r="O1077" s="26"/>
      <c r="P1077" s="16" t="str">
        <f aca="false">IF(O1077="","",IFERROR(1/(1/(IF(K1077="",INDEX(CONFIG!$F$5:$F$14,MATCH(D1077,CONFIG!$D$5:$D$14,0)),K1077)*IF(M1077="",INDEX(CONFIG!$H$5:$H$14,MATCH(D1077,CONFIG!$D$5:$D$14,0)),M1077))),""))</f>
        <v/>
      </c>
      <c r="Q1077" s="16" t="str">
        <f aca="false">IF(OR(O1077="",P1077=""),"",O1077/P1077)</f>
        <v/>
      </c>
      <c r="R1077" s="16" t="str">
        <f aca="false">IF(Q1077="","",Q1077*0.0980665)</f>
        <v/>
      </c>
      <c r="S1077" s="16" t="str">
        <f aca="false">IF(Q1077="","",IFERROR(Q1077/(1/(1/INDEX(CONFIG!$I$5:$I$14,MATCH(D1077,CONFIG!$D$5:$D$14,0)))),""))</f>
        <v/>
      </c>
      <c r="T1077" s="13"/>
      <c r="U1077" s="13"/>
      <c r="V1077" s="13"/>
      <c r="W1077" s="13"/>
      <c r="X1077" s="22" t="str">
        <f aca="false">IF(Q1077="","",Q1077^2)</f>
        <v/>
      </c>
      <c r="Y1077" s="22" t="str">
        <f aca="false">IF(AND(C1077&lt;&gt;"",C1077=CERTIFICADO!$E$4,OR(CERTIFICADO!$E$5="",B1077=CERTIFICADO!$E$5)),MAX($Y$4:Y1076)+1,"")</f>
        <v/>
      </c>
    </row>
    <row r="1078" customFormat="false" ht="15" hidden="false" customHeight="false" outlineLevel="0" collapsed="false">
      <c r="A1078" s="11" t="str">
        <f aca="false">IF(C1078="","",ROW()-4)</f>
        <v/>
      </c>
      <c r="B1078" s="12"/>
      <c r="C1078" s="13"/>
      <c r="D1078" s="23" t="str">
        <f aca="false">IF(C1078="","",IFERROR(INDEX(LOTES!$D$5:$D$1004,MATCH(C1078,LOTES!$F$5:$F$1004,0)),"¿Lote?"))</f>
        <v/>
      </c>
      <c r="E1078" s="11" t="str">
        <f aca="false">IF(C1078="","",IFERROR(INDEX(LOTES!$C$5:$C$1004,MATCH(C1078,LOTES!$F$5:$F$1004,0)),""))</f>
        <v/>
      </c>
      <c r="F1078" s="24" t="str">
        <f aca="false">IF(C1078="","",IFERROR(INDEX(LOTES!$B$5:$B$1004,MATCH(C1078,LOTES!$F$5:$F$1004,0)),""))</f>
        <v/>
      </c>
      <c r="G1078" s="15" t="str">
        <f aca="false">IF(OR(B1078="",F1078=""),"",B1078-F1078)</f>
        <v/>
      </c>
      <c r="H1078" s="13"/>
      <c r="I1078" s="13"/>
      <c r="J1078" s="13"/>
      <c r="K1078" s="25"/>
      <c r="L1078" s="25"/>
      <c r="M1078" s="25"/>
      <c r="N1078" s="25"/>
      <c r="O1078" s="26"/>
      <c r="P1078" s="16" t="str">
        <f aca="false">IF(O1078="","",IFERROR(1/(1/(IF(K1078="",INDEX(CONFIG!$F$5:$F$14,MATCH(D1078,CONFIG!$D$5:$D$14,0)),K1078)*IF(M1078="",INDEX(CONFIG!$H$5:$H$14,MATCH(D1078,CONFIG!$D$5:$D$14,0)),M1078))),""))</f>
        <v/>
      </c>
      <c r="Q1078" s="16" t="str">
        <f aca="false">IF(OR(O1078="",P1078=""),"",O1078/P1078)</f>
        <v/>
      </c>
      <c r="R1078" s="16" t="str">
        <f aca="false">IF(Q1078="","",Q1078*0.0980665)</f>
        <v/>
      </c>
      <c r="S1078" s="16" t="str">
        <f aca="false">IF(Q1078="","",IFERROR(Q1078/(1/(1/INDEX(CONFIG!$I$5:$I$14,MATCH(D1078,CONFIG!$D$5:$D$14,0)))),""))</f>
        <v/>
      </c>
      <c r="T1078" s="13"/>
      <c r="U1078" s="13"/>
      <c r="V1078" s="13"/>
      <c r="W1078" s="13"/>
      <c r="X1078" s="22" t="str">
        <f aca="false">IF(Q1078="","",Q1078^2)</f>
        <v/>
      </c>
      <c r="Y1078" s="22" t="str">
        <f aca="false">IF(AND(C1078&lt;&gt;"",C1078=CERTIFICADO!$E$4,OR(CERTIFICADO!$E$5="",B1078=CERTIFICADO!$E$5)),MAX($Y$4:Y1077)+1,"")</f>
        <v/>
      </c>
    </row>
    <row r="1079" customFormat="false" ht="15" hidden="false" customHeight="false" outlineLevel="0" collapsed="false">
      <c r="A1079" s="11" t="str">
        <f aca="false">IF(C1079="","",ROW()-4)</f>
        <v/>
      </c>
      <c r="B1079" s="12"/>
      <c r="C1079" s="13"/>
      <c r="D1079" s="23" t="str">
        <f aca="false">IF(C1079="","",IFERROR(INDEX(LOTES!$D$5:$D$1004,MATCH(C1079,LOTES!$F$5:$F$1004,0)),"¿Lote?"))</f>
        <v/>
      </c>
      <c r="E1079" s="11" t="str">
        <f aca="false">IF(C1079="","",IFERROR(INDEX(LOTES!$C$5:$C$1004,MATCH(C1079,LOTES!$F$5:$F$1004,0)),""))</f>
        <v/>
      </c>
      <c r="F1079" s="24" t="str">
        <f aca="false">IF(C1079="","",IFERROR(INDEX(LOTES!$B$5:$B$1004,MATCH(C1079,LOTES!$F$5:$F$1004,0)),""))</f>
        <v/>
      </c>
      <c r="G1079" s="15" t="str">
        <f aca="false">IF(OR(B1079="",F1079=""),"",B1079-F1079)</f>
        <v/>
      </c>
      <c r="H1079" s="13"/>
      <c r="I1079" s="13"/>
      <c r="J1079" s="13"/>
      <c r="K1079" s="25"/>
      <c r="L1079" s="25"/>
      <c r="M1079" s="25"/>
      <c r="N1079" s="25"/>
      <c r="O1079" s="26"/>
      <c r="P1079" s="16" t="str">
        <f aca="false">IF(O1079="","",IFERROR(1/(1/(IF(K1079="",INDEX(CONFIG!$F$5:$F$14,MATCH(D1079,CONFIG!$D$5:$D$14,0)),K1079)*IF(M1079="",INDEX(CONFIG!$H$5:$H$14,MATCH(D1079,CONFIG!$D$5:$D$14,0)),M1079))),""))</f>
        <v/>
      </c>
      <c r="Q1079" s="16" t="str">
        <f aca="false">IF(OR(O1079="",P1079=""),"",O1079/P1079)</f>
        <v/>
      </c>
      <c r="R1079" s="16" t="str">
        <f aca="false">IF(Q1079="","",Q1079*0.0980665)</f>
        <v/>
      </c>
      <c r="S1079" s="16" t="str">
        <f aca="false">IF(Q1079="","",IFERROR(Q1079/(1/(1/INDEX(CONFIG!$I$5:$I$14,MATCH(D1079,CONFIG!$D$5:$D$14,0)))),""))</f>
        <v/>
      </c>
      <c r="T1079" s="13"/>
      <c r="U1079" s="13"/>
      <c r="V1079" s="13"/>
      <c r="W1079" s="13"/>
      <c r="X1079" s="22" t="str">
        <f aca="false">IF(Q1079="","",Q1079^2)</f>
        <v/>
      </c>
      <c r="Y1079" s="22" t="str">
        <f aca="false">IF(AND(C1079&lt;&gt;"",C1079=CERTIFICADO!$E$4,OR(CERTIFICADO!$E$5="",B1079=CERTIFICADO!$E$5)),MAX($Y$4:Y1078)+1,"")</f>
        <v/>
      </c>
    </row>
    <row r="1080" customFormat="false" ht="15" hidden="false" customHeight="false" outlineLevel="0" collapsed="false">
      <c r="A1080" s="11" t="str">
        <f aca="false">IF(C1080="","",ROW()-4)</f>
        <v/>
      </c>
      <c r="B1080" s="12"/>
      <c r="C1080" s="13"/>
      <c r="D1080" s="23" t="str">
        <f aca="false">IF(C1080="","",IFERROR(INDEX(LOTES!$D$5:$D$1004,MATCH(C1080,LOTES!$F$5:$F$1004,0)),"¿Lote?"))</f>
        <v/>
      </c>
      <c r="E1080" s="11" t="str">
        <f aca="false">IF(C1080="","",IFERROR(INDEX(LOTES!$C$5:$C$1004,MATCH(C1080,LOTES!$F$5:$F$1004,0)),""))</f>
        <v/>
      </c>
      <c r="F1080" s="24" t="str">
        <f aca="false">IF(C1080="","",IFERROR(INDEX(LOTES!$B$5:$B$1004,MATCH(C1080,LOTES!$F$5:$F$1004,0)),""))</f>
        <v/>
      </c>
      <c r="G1080" s="15" t="str">
        <f aca="false">IF(OR(B1080="",F1080=""),"",B1080-F1080)</f>
        <v/>
      </c>
      <c r="H1080" s="13"/>
      <c r="I1080" s="13"/>
      <c r="J1080" s="13"/>
      <c r="K1080" s="25"/>
      <c r="L1080" s="25"/>
      <c r="M1080" s="25"/>
      <c r="N1080" s="25"/>
      <c r="O1080" s="26"/>
      <c r="P1080" s="16" t="str">
        <f aca="false">IF(O1080="","",IFERROR(1/(1/(IF(K1080="",INDEX(CONFIG!$F$5:$F$14,MATCH(D1080,CONFIG!$D$5:$D$14,0)),K1080)*IF(M1080="",INDEX(CONFIG!$H$5:$H$14,MATCH(D1080,CONFIG!$D$5:$D$14,0)),M1080))),""))</f>
        <v/>
      </c>
      <c r="Q1080" s="16" t="str">
        <f aca="false">IF(OR(O1080="",P1080=""),"",O1080/P1080)</f>
        <v/>
      </c>
      <c r="R1080" s="16" t="str">
        <f aca="false">IF(Q1080="","",Q1080*0.0980665)</f>
        <v/>
      </c>
      <c r="S1080" s="16" t="str">
        <f aca="false">IF(Q1080="","",IFERROR(Q1080/(1/(1/INDEX(CONFIG!$I$5:$I$14,MATCH(D1080,CONFIG!$D$5:$D$14,0)))),""))</f>
        <v/>
      </c>
      <c r="T1080" s="13"/>
      <c r="U1080" s="13"/>
      <c r="V1080" s="13"/>
      <c r="W1080" s="13"/>
      <c r="X1080" s="22" t="str">
        <f aca="false">IF(Q1080="","",Q1080^2)</f>
        <v/>
      </c>
      <c r="Y1080" s="22" t="str">
        <f aca="false">IF(AND(C1080&lt;&gt;"",C1080=CERTIFICADO!$E$4,OR(CERTIFICADO!$E$5="",B1080=CERTIFICADO!$E$5)),MAX($Y$4:Y1079)+1,"")</f>
        <v/>
      </c>
    </row>
    <row r="1081" customFormat="false" ht="15" hidden="false" customHeight="false" outlineLevel="0" collapsed="false">
      <c r="A1081" s="11" t="str">
        <f aca="false">IF(C1081="","",ROW()-4)</f>
        <v/>
      </c>
      <c r="B1081" s="12"/>
      <c r="C1081" s="13"/>
      <c r="D1081" s="23" t="str">
        <f aca="false">IF(C1081="","",IFERROR(INDEX(LOTES!$D$5:$D$1004,MATCH(C1081,LOTES!$F$5:$F$1004,0)),"¿Lote?"))</f>
        <v/>
      </c>
      <c r="E1081" s="11" t="str">
        <f aca="false">IF(C1081="","",IFERROR(INDEX(LOTES!$C$5:$C$1004,MATCH(C1081,LOTES!$F$5:$F$1004,0)),""))</f>
        <v/>
      </c>
      <c r="F1081" s="24" t="str">
        <f aca="false">IF(C1081="","",IFERROR(INDEX(LOTES!$B$5:$B$1004,MATCH(C1081,LOTES!$F$5:$F$1004,0)),""))</f>
        <v/>
      </c>
      <c r="G1081" s="15" t="str">
        <f aca="false">IF(OR(B1081="",F1081=""),"",B1081-F1081)</f>
        <v/>
      </c>
      <c r="H1081" s="13"/>
      <c r="I1081" s="13"/>
      <c r="J1081" s="13"/>
      <c r="K1081" s="25"/>
      <c r="L1081" s="25"/>
      <c r="M1081" s="25"/>
      <c r="N1081" s="25"/>
      <c r="O1081" s="26"/>
      <c r="P1081" s="16" t="str">
        <f aca="false">IF(O1081="","",IFERROR(1/(1/(IF(K1081="",INDEX(CONFIG!$F$5:$F$14,MATCH(D1081,CONFIG!$D$5:$D$14,0)),K1081)*IF(M1081="",INDEX(CONFIG!$H$5:$H$14,MATCH(D1081,CONFIG!$D$5:$D$14,0)),M1081))),""))</f>
        <v/>
      </c>
      <c r="Q1081" s="16" t="str">
        <f aca="false">IF(OR(O1081="",P1081=""),"",O1081/P1081)</f>
        <v/>
      </c>
      <c r="R1081" s="16" t="str">
        <f aca="false">IF(Q1081="","",Q1081*0.0980665)</f>
        <v/>
      </c>
      <c r="S1081" s="16" t="str">
        <f aca="false">IF(Q1081="","",IFERROR(Q1081/(1/(1/INDEX(CONFIG!$I$5:$I$14,MATCH(D1081,CONFIG!$D$5:$D$14,0)))),""))</f>
        <v/>
      </c>
      <c r="T1081" s="13"/>
      <c r="U1081" s="13"/>
      <c r="V1081" s="13"/>
      <c r="W1081" s="13"/>
      <c r="X1081" s="22" t="str">
        <f aca="false">IF(Q1081="","",Q1081^2)</f>
        <v/>
      </c>
      <c r="Y1081" s="22" t="str">
        <f aca="false">IF(AND(C1081&lt;&gt;"",C1081=CERTIFICADO!$E$4,OR(CERTIFICADO!$E$5="",B1081=CERTIFICADO!$E$5)),MAX($Y$4:Y1080)+1,"")</f>
        <v/>
      </c>
    </row>
    <row r="1082" customFormat="false" ht="15" hidden="false" customHeight="false" outlineLevel="0" collapsed="false">
      <c r="A1082" s="11" t="str">
        <f aca="false">IF(C1082="","",ROW()-4)</f>
        <v/>
      </c>
      <c r="B1082" s="12"/>
      <c r="C1082" s="13"/>
      <c r="D1082" s="23" t="str">
        <f aca="false">IF(C1082="","",IFERROR(INDEX(LOTES!$D$5:$D$1004,MATCH(C1082,LOTES!$F$5:$F$1004,0)),"¿Lote?"))</f>
        <v/>
      </c>
      <c r="E1082" s="11" t="str">
        <f aca="false">IF(C1082="","",IFERROR(INDEX(LOTES!$C$5:$C$1004,MATCH(C1082,LOTES!$F$5:$F$1004,0)),""))</f>
        <v/>
      </c>
      <c r="F1082" s="24" t="str">
        <f aca="false">IF(C1082="","",IFERROR(INDEX(LOTES!$B$5:$B$1004,MATCH(C1082,LOTES!$F$5:$F$1004,0)),""))</f>
        <v/>
      </c>
      <c r="G1082" s="15" t="str">
        <f aca="false">IF(OR(B1082="",F1082=""),"",B1082-F1082)</f>
        <v/>
      </c>
      <c r="H1082" s="13"/>
      <c r="I1082" s="13"/>
      <c r="J1082" s="13"/>
      <c r="K1082" s="25"/>
      <c r="L1082" s="25"/>
      <c r="M1082" s="25"/>
      <c r="N1082" s="25"/>
      <c r="O1082" s="26"/>
      <c r="P1082" s="16" t="str">
        <f aca="false">IF(O1082="","",IFERROR(1/(1/(IF(K1082="",INDEX(CONFIG!$F$5:$F$14,MATCH(D1082,CONFIG!$D$5:$D$14,0)),K1082)*IF(M1082="",INDEX(CONFIG!$H$5:$H$14,MATCH(D1082,CONFIG!$D$5:$D$14,0)),M1082))),""))</f>
        <v/>
      </c>
      <c r="Q1082" s="16" t="str">
        <f aca="false">IF(OR(O1082="",P1082=""),"",O1082/P1082)</f>
        <v/>
      </c>
      <c r="R1082" s="16" t="str">
        <f aca="false">IF(Q1082="","",Q1082*0.0980665)</f>
        <v/>
      </c>
      <c r="S1082" s="16" t="str">
        <f aca="false">IF(Q1082="","",IFERROR(Q1082/(1/(1/INDEX(CONFIG!$I$5:$I$14,MATCH(D1082,CONFIG!$D$5:$D$14,0)))),""))</f>
        <v/>
      </c>
      <c r="T1082" s="13"/>
      <c r="U1082" s="13"/>
      <c r="V1082" s="13"/>
      <c r="W1082" s="13"/>
      <c r="X1082" s="22" t="str">
        <f aca="false">IF(Q1082="","",Q1082^2)</f>
        <v/>
      </c>
      <c r="Y1082" s="22" t="str">
        <f aca="false">IF(AND(C1082&lt;&gt;"",C1082=CERTIFICADO!$E$4,OR(CERTIFICADO!$E$5="",B1082=CERTIFICADO!$E$5)),MAX($Y$4:Y1081)+1,"")</f>
        <v/>
      </c>
    </row>
    <row r="1083" customFormat="false" ht="15" hidden="false" customHeight="false" outlineLevel="0" collapsed="false">
      <c r="A1083" s="11" t="str">
        <f aca="false">IF(C1083="","",ROW()-4)</f>
        <v/>
      </c>
      <c r="B1083" s="12"/>
      <c r="C1083" s="13"/>
      <c r="D1083" s="23" t="str">
        <f aca="false">IF(C1083="","",IFERROR(INDEX(LOTES!$D$5:$D$1004,MATCH(C1083,LOTES!$F$5:$F$1004,0)),"¿Lote?"))</f>
        <v/>
      </c>
      <c r="E1083" s="11" t="str">
        <f aca="false">IF(C1083="","",IFERROR(INDEX(LOTES!$C$5:$C$1004,MATCH(C1083,LOTES!$F$5:$F$1004,0)),""))</f>
        <v/>
      </c>
      <c r="F1083" s="24" t="str">
        <f aca="false">IF(C1083="","",IFERROR(INDEX(LOTES!$B$5:$B$1004,MATCH(C1083,LOTES!$F$5:$F$1004,0)),""))</f>
        <v/>
      </c>
      <c r="G1083" s="15" t="str">
        <f aca="false">IF(OR(B1083="",F1083=""),"",B1083-F1083)</f>
        <v/>
      </c>
      <c r="H1083" s="13"/>
      <c r="I1083" s="13"/>
      <c r="J1083" s="13"/>
      <c r="K1083" s="25"/>
      <c r="L1083" s="25"/>
      <c r="M1083" s="25"/>
      <c r="N1083" s="25"/>
      <c r="O1083" s="26"/>
      <c r="P1083" s="16" t="str">
        <f aca="false">IF(O1083="","",IFERROR(1/(1/(IF(K1083="",INDEX(CONFIG!$F$5:$F$14,MATCH(D1083,CONFIG!$D$5:$D$14,0)),K1083)*IF(M1083="",INDEX(CONFIG!$H$5:$H$14,MATCH(D1083,CONFIG!$D$5:$D$14,0)),M1083))),""))</f>
        <v/>
      </c>
      <c r="Q1083" s="16" t="str">
        <f aca="false">IF(OR(O1083="",P1083=""),"",O1083/P1083)</f>
        <v/>
      </c>
      <c r="R1083" s="16" t="str">
        <f aca="false">IF(Q1083="","",Q1083*0.0980665)</f>
        <v/>
      </c>
      <c r="S1083" s="16" t="str">
        <f aca="false">IF(Q1083="","",IFERROR(Q1083/(1/(1/INDEX(CONFIG!$I$5:$I$14,MATCH(D1083,CONFIG!$D$5:$D$14,0)))),""))</f>
        <v/>
      </c>
      <c r="T1083" s="13"/>
      <c r="U1083" s="13"/>
      <c r="V1083" s="13"/>
      <c r="W1083" s="13"/>
      <c r="X1083" s="22" t="str">
        <f aca="false">IF(Q1083="","",Q1083^2)</f>
        <v/>
      </c>
      <c r="Y1083" s="22" t="str">
        <f aca="false">IF(AND(C1083&lt;&gt;"",C1083=CERTIFICADO!$E$4,OR(CERTIFICADO!$E$5="",B1083=CERTIFICADO!$E$5)),MAX($Y$4:Y1082)+1,"")</f>
        <v/>
      </c>
    </row>
    <row r="1084" customFormat="false" ht="15" hidden="false" customHeight="false" outlineLevel="0" collapsed="false">
      <c r="A1084" s="11" t="str">
        <f aca="false">IF(C1084="","",ROW()-4)</f>
        <v/>
      </c>
      <c r="B1084" s="12"/>
      <c r="C1084" s="13"/>
      <c r="D1084" s="23" t="str">
        <f aca="false">IF(C1084="","",IFERROR(INDEX(LOTES!$D$5:$D$1004,MATCH(C1084,LOTES!$F$5:$F$1004,0)),"¿Lote?"))</f>
        <v/>
      </c>
      <c r="E1084" s="11" t="str">
        <f aca="false">IF(C1084="","",IFERROR(INDEX(LOTES!$C$5:$C$1004,MATCH(C1084,LOTES!$F$5:$F$1004,0)),""))</f>
        <v/>
      </c>
      <c r="F1084" s="24" t="str">
        <f aca="false">IF(C1084="","",IFERROR(INDEX(LOTES!$B$5:$B$1004,MATCH(C1084,LOTES!$F$5:$F$1004,0)),""))</f>
        <v/>
      </c>
      <c r="G1084" s="15" t="str">
        <f aca="false">IF(OR(B1084="",F1084=""),"",B1084-F1084)</f>
        <v/>
      </c>
      <c r="H1084" s="13"/>
      <c r="I1084" s="13"/>
      <c r="J1084" s="13"/>
      <c r="K1084" s="25"/>
      <c r="L1084" s="25"/>
      <c r="M1084" s="25"/>
      <c r="N1084" s="25"/>
      <c r="O1084" s="26"/>
      <c r="P1084" s="16" t="str">
        <f aca="false">IF(O1084="","",IFERROR(1/(1/(IF(K1084="",INDEX(CONFIG!$F$5:$F$14,MATCH(D1084,CONFIG!$D$5:$D$14,0)),K1084)*IF(M1084="",INDEX(CONFIG!$H$5:$H$14,MATCH(D1084,CONFIG!$D$5:$D$14,0)),M1084))),""))</f>
        <v/>
      </c>
      <c r="Q1084" s="16" t="str">
        <f aca="false">IF(OR(O1084="",P1084=""),"",O1084/P1084)</f>
        <v/>
      </c>
      <c r="R1084" s="16" t="str">
        <f aca="false">IF(Q1084="","",Q1084*0.0980665)</f>
        <v/>
      </c>
      <c r="S1084" s="16" t="str">
        <f aca="false">IF(Q1084="","",IFERROR(Q1084/(1/(1/INDEX(CONFIG!$I$5:$I$14,MATCH(D1084,CONFIG!$D$5:$D$14,0)))),""))</f>
        <v/>
      </c>
      <c r="T1084" s="13"/>
      <c r="U1084" s="13"/>
      <c r="V1084" s="13"/>
      <c r="W1084" s="13"/>
      <c r="X1084" s="22" t="str">
        <f aca="false">IF(Q1084="","",Q1084^2)</f>
        <v/>
      </c>
      <c r="Y1084" s="22" t="str">
        <f aca="false">IF(AND(C1084&lt;&gt;"",C1084=CERTIFICADO!$E$4,OR(CERTIFICADO!$E$5="",B1084=CERTIFICADO!$E$5)),MAX($Y$4:Y1083)+1,"")</f>
        <v/>
      </c>
    </row>
    <row r="1085" customFormat="false" ht="15" hidden="false" customHeight="false" outlineLevel="0" collapsed="false">
      <c r="A1085" s="11" t="str">
        <f aca="false">IF(C1085="","",ROW()-4)</f>
        <v/>
      </c>
      <c r="B1085" s="12"/>
      <c r="C1085" s="13"/>
      <c r="D1085" s="23" t="str">
        <f aca="false">IF(C1085="","",IFERROR(INDEX(LOTES!$D$5:$D$1004,MATCH(C1085,LOTES!$F$5:$F$1004,0)),"¿Lote?"))</f>
        <v/>
      </c>
      <c r="E1085" s="11" t="str">
        <f aca="false">IF(C1085="","",IFERROR(INDEX(LOTES!$C$5:$C$1004,MATCH(C1085,LOTES!$F$5:$F$1004,0)),""))</f>
        <v/>
      </c>
      <c r="F1085" s="24" t="str">
        <f aca="false">IF(C1085="","",IFERROR(INDEX(LOTES!$B$5:$B$1004,MATCH(C1085,LOTES!$F$5:$F$1004,0)),""))</f>
        <v/>
      </c>
      <c r="G1085" s="15" t="str">
        <f aca="false">IF(OR(B1085="",F1085=""),"",B1085-F1085)</f>
        <v/>
      </c>
      <c r="H1085" s="13"/>
      <c r="I1085" s="13"/>
      <c r="J1085" s="13"/>
      <c r="K1085" s="25"/>
      <c r="L1085" s="25"/>
      <c r="M1085" s="25"/>
      <c r="N1085" s="25"/>
      <c r="O1085" s="26"/>
      <c r="P1085" s="16" t="str">
        <f aca="false">IF(O1085="","",IFERROR(1/(1/(IF(K1085="",INDEX(CONFIG!$F$5:$F$14,MATCH(D1085,CONFIG!$D$5:$D$14,0)),K1085)*IF(M1085="",INDEX(CONFIG!$H$5:$H$14,MATCH(D1085,CONFIG!$D$5:$D$14,0)),M1085))),""))</f>
        <v/>
      </c>
      <c r="Q1085" s="16" t="str">
        <f aca="false">IF(OR(O1085="",P1085=""),"",O1085/P1085)</f>
        <v/>
      </c>
      <c r="R1085" s="16" t="str">
        <f aca="false">IF(Q1085="","",Q1085*0.0980665)</f>
        <v/>
      </c>
      <c r="S1085" s="16" t="str">
        <f aca="false">IF(Q1085="","",IFERROR(Q1085/(1/(1/INDEX(CONFIG!$I$5:$I$14,MATCH(D1085,CONFIG!$D$5:$D$14,0)))),""))</f>
        <v/>
      </c>
      <c r="T1085" s="13"/>
      <c r="U1085" s="13"/>
      <c r="V1085" s="13"/>
      <c r="W1085" s="13"/>
      <c r="X1085" s="22" t="str">
        <f aca="false">IF(Q1085="","",Q1085^2)</f>
        <v/>
      </c>
      <c r="Y1085" s="22" t="str">
        <f aca="false">IF(AND(C1085&lt;&gt;"",C1085=CERTIFICADO!$E$4,OR(CERTIFICADO!$E$5="",B1085=CERTIFICADO!$E$5)),MAX($Y$4:Y1084)+1,"")</f>
        <v/>
      </c>
    </row>
    <row r="1086" customFormat="false" ht="15" hidden="false" customHeight="false" outlineLevel="0" collapsed="false">
      <c r="A1086" s="11" t="str">
        <f aca="false">IF(C1086="","",ROW()-4)</f>
        <v/>
      </c>
      <c r="B1086" s="12"/>
      <c r="C1086" s="13"/>
      <c r="D1086" s="23" t="str">
        <f aca="false">IF(C1086="","",IFERROR(INDEX(LOTES!$D$5:$D$1004,MATCH(C1086,LOTES!$F$5:$F$1004,0)),"¿Lote?"))</f>
        <v/>
      </c>
      <c r="E1086" s="11" t="str">
        <f aca="false">IF(C1086="","",IFERROR(INDEX(LOTES!$C$5:$C$1004,MATCH(C1086,LOTES!$F$5:$F$1004,0)),""))</f>
        <v/>
      </c>
      <c r="F1086" s="24" t="str">
        <f aca="false">IF(C1086="","",IFERROR(INDEX(LOTES!$B$5:$B$1004,MATCH(C1086,LOTES!$F$5:$F$1004,0)),""))</f>
        <v/>
      </c>
      <c r="G1086" s="15" t="str">
        <f aca="false">IF(OR(B1086="",F1086=""),"",B1086-F1086)</f>
        <v/>
      </c>
      <c r="H1086" s="13"/>
      <c r="I1086" s="13"/>
      <c r="J1086" s="13"/>
      <c r="K1086" s="25"/>
      <c r="L1086" s="25"/>
      <c r="M1086" s="25"/>
      <c r="N1086" s="25"/>
      <c r="O1086" s="26"/>
      <c r="P1086" s="16" t="str">
        <f aca="false">IF(O1086="","",IFERROR(1/(1/(IF(K1086="",INDEX(CONFIG!$F$5:$F$14,MATCH(D1086,CONFIG!$D$5:$D$14,0)),K1086)*IF(M1086="",INDEX(CONFIG!$H$5:$H$14,MATCH(D1086,CONFIG!$D$5:$D$14,0)),M1086))),""))</f>
        <v/>
      </c>
      <c r="Q1086" s="16" t="str">
        <f aca="false">IF(OR(O1086="",P1086=""),"",O1086/P1086)</f>
        <v/>
      </c>
      <c r="R1086" s="16" t="str">
        <f aca="false">IF(Q1086="","",Q1086*0.0980665)</f>
        <v/>
      </c>
      <c r="S1086" s="16" t="str">
        <f aca="false">IF(Q1086="","",IFERROR(Q1086/(1/(1/INDEX(CONFIG!$I$5:$I$14,MATCH(D1086,CONFIG!$D$5:$D$14,0)))),""))</f>
        <v/>
      </c>
      <c r="T1086" s="13"/>
      <c r="U1086" s="13"/>
      <c r="V1086" s="13"/>
      <c r="W1086" s="13"/>
      <c r="X1086" s="22" t="str">
        <f aca="false">IF(Q1086="","",Q1086^2)</f>
        <v/>
      </c>
      <c r="Y1086" s="22" t="str">
        <f aca="false">IF(AND(C1086&lt;&gt;"",C1086=CERTIFICADO!$E$4,OR(CERTIFICADO!$E$5="",B1086=CERTIFICADO!$E$5)),MAX($Y$4:Y1085)+1,"")</f>
        <v/>
      </c>
    </row>
    <row r="1087" customFormat="false" ht="15" hidden="false" customHeight="false" outlineLevel="0" collapsed="false">
      <c r="A1087" s="11" t="str">
        <f aca="false">IF(C1087="","",ROW()-4)</f>
        <v/>
      </c>
      <c r="B1087" s="12"/>
      <c r="C1087" s="13"/>
      <c r="D1087" s="23" t="str">
        <f aca="false">IF(C1087="","",IFERROR(INDEX(LOTES!$D$5:$D$1004,MATCH(C1087,LOTES!$F$5:$F$1004,0)),"¿Lote?"))</f>
        <v/>
      </c>
      <c r="E1087" s="11" t="str">
        <f aca="false">IF(C1087="","",IFERROR(INDEX(LOTES!$C$5:$C$1004,MATCH(C1087,LOTES!$F$5:$F$1004,0)),""))</f>
        <v/>
      </c>
      <c r="F1087" s="24" t="str">
        <f aca="false">IF(C1087="","",IFERROR(INDEX(LOTES!$B$5:$B$1004,MATCH(C1087,LOTES!$F$5:$F$1004,0)),""))</f>
        <v/>
      </c>
      <c r="G1087" s="15" t="str">
        <f aca="false">IF(OR(B1087="",F1087=""),"",B1087-F1087)</f>
        <v/>
      </c>
      <c r="H1087" s="13"/>
      <c r="I1087" s="13"/>
      <c r="J1087" s="13"/>
      <c r="K1087" s="25"/>
      <c r="L1087" s="25"/>
      <c r="M1087" s="25"/>
      <c r="N1087" s="25"/>
      <c r="O1087" s="26"/>
      <c r="P1087" s="16" t="str">
        <f aca="false">IF(O1087="","",IFERROR(1/(1/(IF(K1087="",INDEX(CONFIG!$F$5:$F$14,MATCH(D1087,CONFIG!$D$5:$D$14,0)),K1087)*IF(M1087="",INDEX(CONFIG!$H$5:$H$14,MATCH(D1087,CONFIG!$D$5:$D$14,0)),M1087))),""))</f>
        <v/>
      </c>
      <c r="Q1087" s="16" t="str">
        <f aca="false">IF(OR(O1087="",P1087=""),"",O1087/P1087)</f>
        <v/>
      </c>
      <c r="R1087" s="16" t="str">
        <f aca="false">IF(Q1087="","",Q1087*0.0980665)</f>
        <v/>
      </c>
      <c r="S1087" s="16" t="str">
        <f aca="false">IF(Q1087="","",IFERROR(Q1087/(1/(1/INDEX(CONFIG!$I$5:$I$14,MATCH(D1087,CONFIG!$D$5:$D$14,0)))),""))</f>
        <v/>
      </c>
      <c r="T1087" s="13"/>
      <c r="U1087" s="13"/>
      <c r="V1087" s="13"/>
      <c r="W1087" s="13"/>
      <c r="X1087" s="22" t="str">
        <f aca="false">IF(Q1087="","",Q1087^2)</f>
        <v/>
      </c>
      <c r="Y1087" s="22" t="str">
        <f aca="false">IF(AND(C1087&lt;&gt;"",C1087=CERTIFICADO!$E$4,OR(CERTIFICADO!$E$5="",B1087=CERTIFICADO!$E$5)),MAX($Y$4:Y1086)+1,"")</f>
        <v/>
      </c>
    </row>
    <row r="1088" customFormat="false" ht="15" hidden="false" customHeight="false" outlineLevel="0" collapsed="false">
      <c r="A1088" s="11" t="str">
        <f aca="false">IF(C1088="","",ROW()-4)</f>
        <v/>
      </c>
      <c r="B1088" s="12"/>
      <c r="C1088" s="13"/>
      <c r="D1088" s="23" t="str">
        <f aca="false">IF(C1088="","",IFERROR(INDEX(LOTES!$D$5:$D$1004,MATCH(C1088,LOTES!$F$5:$F$1004,0)),"¿Lote?"))</f>
        <v/>
      </c>
      <c r="E1088" s="11" t="str">
        <f aca="false">IF(C1088="","",IFERROR(INDEX(LOTES!$C$5:$C$1004,MATCH(C1088,LOTES!$F$5:$F$1004,0)),""))</f>
        <v/>
      </c>
      <c r="F1088" s="24" t="str">
        <f aca="false">IF(C1088="","",IFERROR(INDEX(LOTES!$B$5:$B$1004,MATCH(C1088,LOTES!$F$5:$F$1004,0)),""))</f>
        <v/>
      </c>
      <c r="G1088" s="15" t="str">
        <f aca="false">IF(OR(B1088="",F1088=""),"",B1088-F1088)</f>
        <v/>
      </c>
      <c r="H1088" s="13"/>
      <c r="I1088" s="13"/>
      <c r="J1088" s="13"/>
      <c r="K1088" s="25"/>
      <c r="L1088" s="25"/>
      <c r="M1088" s="25"/>
      <c r="N1088" s="25"/>
      <c r="O1088" s="26"/>
      <c r="P1088" s="16" t="str">
        <f aca="false">IF(O1088="","",IFERROR(1/(1/(IF(K1088="",INDEX(CONFIG!$F$5:$F$14,MATCH(D1088,CONFIG!$D$5:$D$14,0)),K1088)*IF(M1088="",INDEX(CONFIG!$H$5:$H$14,MATCH(D1088,CONFIG!$D$5:$D$14,0)),M1088))),""))</f>
        <v/>
      </c>
      <c r="Q1088" s="16" t="str">
        <f aca="false">IF(OR(O1088="",P1088=""),"",O1088/P1088)</f>
        <v/>
      </c>
      <c r="R1088" s="16" t="str">
        <f aca="false">IF(Q1088="","",Q1088*0.0980665)</f>
        <v/>
      </c>
      <c r="S1088" s="16" t="str">
        <f aca="false">IF(Q1088="","",IFERROR(Q1088/(1/(1/INDEX(CONFIG!$I$5:$I$14,MATCH(D1088,CONFIG!$D$5:$D$14,0)))),""))</f>
        <v/>
      </c>
      <c r="T1088" s="13"/>
      <c r="U1088" s="13"/>
      <c r="V1088" s="13"/>
      <c r="W1088" s="13"/>
      <c r="X1088" s="22" t="str">
        <f aca="false">IF(Q1088="","",Q1088^2)</f>
        <v/>
      </c>
      <c r="Y1088" s="22" t="str">
        <f aca="false">IF(AND(C1088&lt;&gt;"",C1088=CERTIFICADO!$E$4,OR(CERTIFICADO!$E$5="",B1088=CERTIFICADO!$E$5)),MAX($Y$4:Y1087)+1,"")</f>
        <v/>
      </c>
    </row>
    <row r="1089" customFormat="false" ht="15" hidden="false" customHeight="false" outlineLevel="0" collapsed="false">
      <c r="A1089" s="11" t="str">
        <f aca="false">IF(C1089="","",ROW()-4)</f>
        <v/>
      </c>
      <c r="B1089" s="12"/>
      <c r="C1089" s="13"/>
      <c r="D1089" s="23" t="str">
        <f aca="false">IF(C1089="","",IFERROR(INDEX(LOTES!$D$5:$D$1004,MATCH(C1089,LOTES!$F$5:$F$1004,0)),"¿Lote?"))</f>
        <v/>
      </c>
      <c r="E1089" s="11" t="str">
        <f aca="false">IF(C1089="","",IFERROR(INDEX(LOTES!$C$5:$C$1004,MATCH(C1089,LOTES!$F$5:$F$1004,0)),""))</f>
        <v/>
      </c>
      <c r="F1089" s="24" t="str">
        <f aca="false">IF(C1089="","",IFERROR(INDEX(LOTES!$B$5:$B$1004,MATCH(C1089,LOTES!$F$5:$F$1004,0)),""))</f>
        <v/>
      </c>
      <c r="G1089" s="15" t="str">
        <f aca="false">IF(OR(B1089="",F1089=""),"",B1089-F1089)</f>
        <v/>
      </c>
      <c r="H1089" s="13"/>
      <c r="I1089" s="13"/>
      <c r="J1089" s="13"/>
      <c r="K1089" s="25"/>
      <c r="L1089" s="25"/>
      <c r="M1089" s="25"/>
      <c r="N1089" s="25"/>
      <c r="O1089" s="26"/>
      <c r="P1089" s="16" t="str">
        <f aca="false">IF(O1089="","",IFERROR(1/(1/(IF(K1089="",INDEX(CONFIG!$F$5:$F$14,MATCH(D1089,CONFIG!$D$5:$D$14,0)),K1089)*IF(M1089="",INDEX(CONFIG!$H$5:$H$14,MATCH(D1089,CONFIG!$D$5:$D$14,0)),M1089))),""))</f>
        <v/>
      </c>
      <c r="Q1089" s="16" t="str">
        <f aca="false">IF(OR(O1089="",P1089=""),"",O1089/P1089)</f>
        <v/>
      </c>
      <c r="R1089" s="16" t="str">
        <f aca="false">IF(Q1089="","",Q1089*0.0980665)</f>
        <v/>
      </c>
      <c r="S1089" s="16" t="str">
        <f aca="false">IF(Q1089="","",IFERROR(Q1089/(1/(1/INDEX(CONFIG!$I$5:$I$14,MATCH(D1089,CONFIG!$D$5:$D$14,0)))),""))</f>
        <v/>
      </c>
      <c r="T1089" s="13"/>
      <c r="U1089" s="13"/>
      <c r="V1089" s="13"/>
      <c r="W1089" s="13"/>
      <c r="X1089" s="22" t="str">
        <f aca="false">IF(Q1089="","",Q1089^2)</f>
        <v/>
      </c>
      <c r="Y1089" s="22" t="str">
        <f aca="false">IF(AND(C1089&lt;&gt;"",C1089=CERTIFICADO!$E$4,OR(CERTIFICADO!$E$5="",B1089=CERTIFICADO!$E$5)),MAX($Y$4:Y1088)+1,"")</f>
        <v/>
      </c>
    </row>
    <row r="1090" customFormat="false" ht="15" hidden="false" customHeight="false" outlineLevel="0" collapsed="false">
      <c r="A1090" s="11" t="str">
        <f aca="false">IF(C1090="","",ROW()-4)</f>
        <v/>
      </c>
      <c r="B1090" s="12"/>
      <c r="C1090" s="13"/>
      <c r="D1090" s="23" t="str">
        <f aca="false">IF(C1090="","",IFERROR(INDEX(LOTES!$D$5:$D$1004,MATCH(C1090,LOTES!$F$5:$F$1004,0)),"¿Lote?"))</f>
        <v/>
      </c>
      <c r="E1090" s="11" t="str">
        <f aca="false">IF(C1090="","",IFERROR(INDEX(LOTES!$C$5:$C$1004,MATCH(C1090,LOTES!$F$5:$F$1004,0)),""))</f>
        <v/>
      </c>
      <c r="F1090" s="24" t="str">
        <f aca="false">IF(C1090="","",IFERROR(INDEX(LOTES!$B$5:$B$1004,MATCH(C1090,LOTES!$F$5:$F$1004,0)),""))</f>
        <v/>
      </c>
      <c r="G1090" s="15" t="str">
        <f aca="false">IF(OR(B1090="",F1090=""),"",B1090-F1090)</f>
        <v/>
      </c>
      <c r="H1090" s="13"/>
      <c r="I1090" s="13"/>
      <c r="J1090" s="13"/>
      <c r="K1090" s="25"/>
      <c r="L1090" s="25"/>
      <c r="M1090" s="25"/>
      <c r="N1090" s="25"/>
      <c r="O1090" s="26"/>
      <c r="P1090" s="16" t="str">
        <f aca="false">IF(O1090="","",IFERROR(1/(1/(IF(K1090="",INDEX(CONFIG!$F$5:$F$14,MATCH(D1090,CONFIG!$D$5:$D$14,0)),K1090)*IF(M1090="",INDEX(CONFIG!$H$5:$H$14,MATCH(D1090,CONFIG!$D$5:$D$14,0)),M1090))),""))</f>
        <v/>
      </c>
      <c r="Q1090" s="16" t="str">
        <f aca="false">IF(OR(O1090="",P1090=""),"",O1090/P1090)</f>
        <v/>
      </c>
      <c r="R1090" s="16" t="str">
        <f aca="false">IF(Q1090="","",Q1090*0.0980665)</f>
        <v/>
      </c>
      <c r="S1090" s="16" t="str">
        <f aca="false">IF(Q1090="","",IFERROR(Q1090/(1/(1/INDEX(CONFIG!$I$5:$I$14,MATCH(D1090,CONFIG!$D$5:$D$14,0)))),""))</f>
        <v/>
      </c>
      <c r="T1090" s="13"/>
      <c r="U1090" s="13"/>
      <c r="V1090" s="13"/>
      <c r="W1090" s="13"/>
      <c r="X1090" s="22" t="str">
        <f aca="false">IF(Q1090="","",Q1090^2)</f>
        <v/>
      </c>
      <c r="Y1090" s="22" t="str">
        <f aca="false">IF(AND(C1090&lt;&gt;"",C1090=CERTIFICADO!$E$4,OR(CERTIFICADO!$E$5="",B1090=CERTIFICADO!$E$5)),MAX($Y$4:Y1089)+1,"")</f>
        <v/>
      </c>
    </row>
    <row r="1091" customFormat="false" ht="15" hidden="false" customHeight="false" outlineLevel="0" collapsed="false">
      <c r="A1091" s="11" t="str">
        <f aca="false">IF(C1091="","",ROW()-4)</f>
        <v/>
      </c>
      <c r="B1091" s="12"/>
      <c r="C1091" s="13"/>
      <c r="D1091" s="23" t="str">
        <f aca="false">IF(C1091="","",IFERROR(INDEX(LOTES!$D$5:$D$1004,MATCH(C1091,LOTES!$F$5:$F$1004,0)),"¿Lote?"))</f>
        <v/>
      </c>
      <c r="E1091" s="11" t="str">
        <f aca="false">IF(C1091="","",IFERROR(INDEX(LOTES!$C$5:$C$1004,MATCH(C1091,LOTES!$F$5:$F$1004,0)),""))</f>
        <v/>
      </c>
      <c r="F1091" s="24" t="str">
        <f aca="false">IF(C1091="","",IFERROR(INDEX(LOTES!$B$5:$B$1004,MATCH(C1091,LOTES!$F$5:$F$1004,0)),""))</f>
        <v/>
      </c>
      <c r="G1091" s="15" t="str">
        <f aca="false">IF(OR(B1091="",F1091=""),"",B1091-F1091)</f>
        <v/>
      </c>
      <c r="H1091" s="13"/>
      <c r="I1091" s="13"/>
      <c r="J1091" s="13"/>
      <c r="K1091" s="25"/>
      <c r="L1091" s="25"/>
      <c r="M1091" s="25"/>
      <c r="N1091" s="25"/>
      <c r="O1091" s="26"/>
      <c r="P1091" s="16" t="str">
        <f aca="false">IF(O1091="","",IFERROR(1/(1/(IF(K1091="",INDEX(CONFIG!$F$5:$F$14,MATCH(D1091,CONFIG!$D$5:$D$14,0)),K1091)*IF(M1091="",INDEX(CONFIG!$H$5:$H$14,MATCH(D1091,CONFIG!$D$5:$D$14,0)),M1091))),""))</f>
        <v/>
      </c>
      <c r="Q1091" s="16" t="str">
        <f aca="false">IF(OR(O1091="",P1091=""),"",O1091/P1091)</f>
        <v/>
      </c>
      <c r="R1091" s="16" t="str">
        <f aca="false">IF(Q1091="","",Q1091*0.0980665)</f>
        <v/>
      </c>
      <c r="S1091" s="16" t="str">
        <f aca="false">IF(Q1091="","",IFERROR(Q1091/(1/(1/INDEX(CONFIG!$I$5:$I$14,MATCH(D1091,CONFIG!$D$5:$D$14,0)))),""))</f>
        <v/>
      </c>
      <c r="T1091" s="13"/>
      <c r="U1091" s="13"/>
      <c r="V1091" s="13"/>
      <c r="W1091" s="13"/>
      <c r="X1091" s="22" t="str">
        <f aca="false">IF(Q1091="","",Q1091^2)</f>
        <v/>
      </c>
      <c r="Y1091" s="22" t="str">
        <f aca="false">IF(AND(C1091&lt;&gt;"",C1091=CERTIFICADO!$E$4,OR(CERTIFICADO!$E$5="",B1091=CERTIFICADO!$E$5)),MAX($Y$4:Y1090)+1,"")</f>
        <v/>
      </c>
    </row>
    <row r="1092" customFormat="false" ht="15" hidden="false" customHeight="false" outlineLevel="0" collapsed="false">
      <c r="A1092" s="11" t="str">
        <f aca="false">IF(C1092="","",ROW()-4)</f>
        <v/>
      </c>
      <c r="B1092" s="12"/>
      <c r="C1092" s="13"/>
      <c r="D1092" s="23" t="str">
        <f aca="false">IF(C1092="","",IFERROR(INDEX(LOTES!$D$5:$D$1004,MATCH(C1092,LOTES!$F$5:$F$1004,0)),"¿Lote?"))</f>
        <v/>
      </c>
      <c r="E1092" s="11" t="str">
        <f aca="false">IF(C1092="","",IFERROR(INDEX(LOTES!$C$5:$C$1004,MATCH(C1092,LOTES!$F$5:$F$1004,0)),""))</f>
        <v/>
      </c>
      <c r="F1092" s="24" t="str">
        <f aca="false">IF(C1092="","",IFERROR(INDEX(LOTES!$B$5:$B$1004,MATCH(C1092,LOTES!$F$5:$F$1004,0)),""))</f>
        <v/>
      </c>
      <c r="G1092" s="15" t="str">
        <f aca="false">IF(OR(B1092="",F1092=""),"",B1092-F1092)</f>
        <v/>
      </c>
      <c r="H1092" s="13"/>
      <c r="I1092" s="13"/>
      <c r="J1092" s="13"/>
      <c r="K1092" s="25"/>
      <c r="L1092" s="25"/>
      <c r="M1092" s="25"/>
      <c r="N1092" s="25"/>
      <c r="O1092" s="26"/>
      <c r="P1092" s="16" t="str">
        <f aca="false">IF(O1092="","",IFERROR(1/(1/(IF(K1092="",INDEX(CONFIG!$F$5:$F$14,MATCH(D1092,CONFIG!$D$5:$D$14,0)),K1092)*IF(M1092="",INDEX(CONFIG!$H$5:$H$14,MATCH(D1092,CONFIG!$D$5:$D$14,0)),M1092))),""))</f>
        <v/>
      </c>
      <c r="Q1092" s="16" t="str">
        <f aca="false">IF(OR(O1092="",P1092=""),"",O1092/P1092)</f>
        <v/>
      </c>
      <c r="R1092" s="16" t="str">
        <f aca="false">IF(Q1092="","",Q1092*0.0980665)</f>
        <v/>
      </c>
      <c r="S1092" s="16" t="str">
        <f aca="false">IF(Q1092="","",IFERROR(Q1092/(1/(1/INDEX(CONFIG!$I$5:$I$14,MATCH(D1092,CONFIG!$D$5:$D$14,0)))),""))</f>
        <v/>
      </c>
      <c r="T1092" s="13"/>
      <c r="U1092" s="13"/>
      <c r="V1092" s="13"/>
      <c r="W1092" s="13"/>
      <c r="X1092" s="22" t="str">
        <f aca="false">IF(Q1092="","",Q1092^2)</f>
        <v/>
      </c>
      <c r="Y1092" s="22" t="str">
        <f aca="false">IF(AND(C1092&lt;&gt;"",C1092=CERTIFICADO!$E$4,OR(CERTIFICADO!$E$5="",B1092=CERTIFICADO!$E$5)),MAX($Y$4:Y1091)+1,"")</f>
        <v/>
      </c>
    </row>
    <row r="1093" customFormat="false" ht="15" hidden="false" customHeight="false" outlineLevel="0" collapsed="false">
      <c r="A1093" s="11" t="str">
        <f aca="false">IF(C1093="","",ROW()-4)</f>
        <v/>
      </c>
      <c r="B1093" s="12"/>
      <c r="C1093" s="13"/>
      <c r="D1093" s="23" t="str">
        <f aca="false">IF(C1093="","",IFERROR(INDEX(LOTES!$D$5:$D$1004,MATCH(C1093,LOTES!$F$5:$F$1004,0)),"¿Lote?"))</f>
        <v/>
      </c>
      <c r="E1093" s="11" t="str">
        <f aca="false">IF(C1093="","",IFERROR(INDEX(LOTES!$C$5:$C$1004,MATCH(C1093,LOTES!$F$5:$F$1004,0)),""))</f>
        <v/>
      </c>
      <c r="F1093" s="24" t="str">
        <f aca="false">IF(C1093="","",IFERROR(INDEX(LOTES!$B$5:$B$1004,MATCH(C1093,LOTES!$F$5:$F$1004,0)),""))</f>
        <v/>
      </c>
      <c r="G1093" s="15" t="str">
        <f aca="false">IF(OR(B1093="",F1093=""),"",B1093-F1093)</f>
        <v/>
      </c>
      <c r="H1093" s="13"/>
      <c r="I1093" s="13"/>
      <c r="J1093" s="13"/>
      <c r="K1093" s="25"/>
      <c r="L1093" s="25"/>
      <c r="M1093" s="25"/>
      <c r="N1093" s="25"/>
      <c r="O1093" s="26"/>
      <c r="P1093" s="16" t="str">
        <f aca="false">IF(O1093="","",IFERROR(1/(1/(IF(K1093="",INDEX(CONFIG!$F$5:$F$14,MATCH(D1093,CONFIG!$D$5:$D$14,0)),K1093)*IF(M1093="",INDEX(CONFIG!$H$5:$H$14,MATCH(D1093,CONFIG!$D$5:$D$14,0)),M1093))),""))</f>
        <v/>
      </c>
      <c r="Q1093" s="16" t="str">
        <f aca="false">IF(OR(O1093="",P1093=""),"",O1093/P1093)</f>
        <v/>
      </c>
      <c r="R1093" s="16" t="str">
        <f aca="false">IF(Q1093="","",Q1093*0.0980665)</f>
        <v/>
      </c>
      <c r="S1093" s="16" t="str">
        <f aca="false">IF(Q1093="","",IFERROR(Q1093/(1/(1/INDEX(CONFIG!$I$5:$I$14,MATCH(D1093,CONFIG!$D$5:$D$14,0)))),""))</f>
        <v/>
      </c>
      <c r="T1093" s="13"/>
      <c r="U1093" s="13"/>
      <c r="V1093" s="13"/>
      <c r="W1093" s="13"/>
      <c r="X1093" s="22" t="str">
        <f aca="false">IF(Q1093="","",Q1093^2)</f>
        <v/>
      </c>
      <c r="Y1093" s="22" t="str">
        <f aca="false">IF(AND(C1093&lt;&gt;"",C1093=CERTIFICADO!$E$4,OR(CERTIFICADO!$E$5="",B1093=CERTIFICADO!$E$5)),MAX($Y$4:Y1092)+1,"")</f>
        <v/>
      </c>
    </row>
    <row r="1094" customFormat="false" ht="15" hidden="false" customHeight="false" outlineLevel="0" collapsed="false">
      <c r="A1094" s="11" t="str">
        <f aca="false">IF(C1094="","",ROW()-4)</f>
        <v/>
      </c>
      <c r="B1094" s="12"/>
      <c r="C1094" s="13"/>
      <c r="D1094" s="23" t="str">
        <f aca="false">IF(C1094="","",IFERROR(INDEX(LOTES!$D$5:$D$1004,MATCH(C1094,LOTES!$F$5:$F$1004,0)),"¿Lote?"))</f>
        <v/>
      </c>
      <c r="E1094" s="11" t="str">
        <f aca="false">IF(C1094="","",IFERROR(INDEX(LOTES!$C$5:$C$1004,MATCH(C1094,LOTES!$F$5:$F$1004,0)),""))</f>
        <v/>
      </c>
      <c r="F1094" s="24" t="str">
        <f aca="false">IF(C1094="","",IFERROR(INDEX(LOTES!$B$5:$B$1004,MATCH(C1094,LOTES!$F$5:$F$1004,0)),""))</f>
        <v/>
      </c>
      <c r="G1094" s="15" t="str">
        <f aca="false">IF(OR(B1094="",F1094=""),"",B1094-F1094)</f>
        <v/>
      </c>
      <c r="H1094" s="13"/>
      <c r="I1094" s="13"/>
      <c r="J1094" s="13"/>
      <c r="K1094" s="25"/>
      <c r="L1094" s="25"/>
      <c r="M1094" s="25"/>
      <c r="N1094" s="25"/>
      <c r="O1094" s="26"/>
      <c r="P1094" s="16" t="str">
        <f aca="false">IF(O1094="","",IFERROR(1/(1/(IF(K1094="",INDEX(CONFIG!$F$5:$F$14,MATCH(D1094,CONFIG!$D$5:$D$14,0)),K1094)*IF(M1094="",INDEX(CONFIG!$H$5:$H$14,MATCH(D1094,CONFIG!$D$5:$D$14,0)),M1094))),""))</f>
        <v/>
      </c>
      <c r="Q1094" s="16" t="str">
        <f aca="false">IF(OR(O1094="",P1094=""),"",O1094/P1094)</f>
        <v/>
      </c>
      <c r="R1094" s="16" t="str">
        <f aca="false">IF(Q1094="","",Q1094*0.0980665)</f>
        <v/>
      </c>
      <c r="S1094" s="16" t="str">
        <f aca="false">IF(Q1094="","",IFERROR(Q1094/(1/(1/INDEX(CONFIG!$I$5:$I$14,MATCH(D1094,CONFIG!$D$5:$D$14,0)))),""))</f>
        <v/>
      </c>
      <c r="T1094" s="13"/>
      <c r="U1094" s="13"/>
      <c r="V1094" s="13"/>
      <c r="W1094" s="13"/>
      <c r="X1094" s="22" t="str">
        <f aca="false">IF(Q1094="","",Q1094^2)</f>
        <v/>
      </c>
      <c r="Y1094" s="22" t="str">
        <f aca="false">IF(AND(C1094&lt;&gt;"",C1094=CERTIFICADO!$E$4,OR(CERTIFICADO!$E$5="",B1094=CERTIFICADO!$E$5)),MAX($Y$4:Y1093)+1,"")</f>
        <v/>
      </c>
    </row>
    <row r="1095" customFormat="false" ht="15" hidden="false" customHeight="false" outlineLevel="0" collapsed="false">
      <c r="A1095" s="11" t="str">
        <f aca="false">IF(C1095="","",ROW()-4)</f>
        <v/>
      </c>
      <c r="B1095" s="12"/>
      <c r="C1095" s="13"/>
      <c r="D1095" s="23" t="str">
        <f aca="false">IF(C1095="","",IFERROR(INDEX(LOTES!$D$5:$D$1004,MATCH(C1095,LOTES!$F$5:$F$1004,0)),"¿Lote?"))</f>
        <v/>
      </c>
      <c r="E1095" s="11" t="str">
        <f aca="false">IF(C1095="","",IFERROR(INDEX(LOTES!$C$5:$C$1004,MATCH(C1095,LOTES!$F$5:$F$1004,0)),""))</f>
        <v/>
      </c>
      <c r="F1095" s="24" t="str">
        <f aca="false">IF(C1095="","",IFERROR(INDEX(LOTES!$B$5:$B$1004,MATCH(C1095,LOTES!$F$5:$F$1004,0)),""))</f>
        <v/>
      </c>
      <c r="G1095" s="15" t="str">
        <f aca="false">IF(OR(B1095="",F1095=""),"",B1095-F1095)</f>
        <v/>
      </c>
      <c r="H1095" s="13"/>
      <c r="I1095" s="13"/>
      <c r="J1095" s="13"/>
      <c r="K1095" s="25"/>
      <c r="L1095" s="25"/>
      <c r="M1095" s="25"/>
      <c r="N1095" s="25"/>
      <c r="O1095" s="26"/>
      <c r="P1095" s="16" t="str">
        <f aca="false">IF(O1095="","",IFERROR(1/(1/(IF(K1095="",INDEX(CONFIG!$F$5:$F$14,MATCH(D1095,CONFIG!$D$5:$D$14,0)),K1095)*IF(M1095="",INDEX(CONFIG!$H$5:$H$14,MATCH(D1095,CONFIG!$D$5:$D$14,0)),M1095))),""))</f>
        <v/>
      </c>
      <c r="Q1095" s="16" t="str">
        <f aca="false">IF(OR(O1095="",P1095=""),"",O1095/P1095)</f>
        <v/>
      </c>
      <c r="R1095" s="16" t="str">
        <f aca="false">IF(Q1095="","",Q1095*0.0980665)</f>
        <v/>
      </c>
      <c r="S1095" s="16" t="str">
        <f aca="false">IF(Q1095="","",IFERROR(Q1095/(1/(1/INDEX(CONFIG!$I$5:$I$14,MATCH(D1095,CONFIG!$D$5:$D$14,0)))),""))</f>
        <v/>
      </c>
      <c r="T1095" s="13"/>
      <c r="U1095" s="13"/>
      <c r="V1095" s="13"/>
      <c r="W1095" s="13"/>
      <c r="X1095" s="22" t="str">
        <f aca="false">IF(Q1095="","",Q1095^2)</f>
        <v/>
      </c>
      <c r="Y1095" s="22" t="str">
        <f aca="false">IF(AND(C1095&lt;&gt;"",C1095=CERTIFICADO!$E$4,OR(CERTIFICADO!$E$5="",B1095=CERTIFICADO!$E$5)),MAX($Y$4:Y1094)+1,"")</f>
        <v/>
      </c>
    </row>
    <row r="1096" customFormat="false" ht="15" hidden="false" customHeight="false" outlineLevel="0" collapsed="false">
      <c r="A1096" s="11" t="str">
        <f aca="false">IF(C1096="","",ROW()-4)</f>
        <v/>
      </c>
      <c r="B1096" s="12"/>
      <c r="C1096" s="13"/>
      <c r="D1096" s="23" t="str">
        <f aca="false">IF(C1096="","",IFERROR(INDEX(LOTES!$D$5:$D$1004,MATCH(C1096,LOTES!$F$5:$F$1004,0)),"¿Lote?"))</f>
        <v/>
      </c>
      <c r="E1096" s="11" t="str">
        <f aca="false">IF(C1096="","",IFERROR(INDEX(LOTES!$C$5:$C$1004,MATCH(C1096,LOTES!$F$5:$F$1004,0)),""))</f>
        <v/>
      </c>
      <c r="F1096" s="24" t="str">
        <f aca="false">IF(C1096="","",IFERROR(INDEX(LOTES!$B$5:$B$1004,MATCH(C1096,LOTES!$F$5:$F$1004,0)),""))</f>
        <v/>
      </c>
      <c r="G1096" s="15" t="str">
        <f aca="false">IF(OR(B1096="",F1096=""),"",B1096-F1096)</f>
        <v/>
      </c>
      <c r="H1096" s="13"/>
      <c r="I1096" s="13"/>
      <c r="J1096" s="13"/>
      <c r="K1096" s="25"/>
      <c r="L1096" s="25"/>
      <c r="M1096" s="25"/>
      <c r="N1096" s="25"/>
      <c r="O1096" s="26"/>
      <c r="P1096" s="16" t="str">
        <f aca="false">IF(O1096="","",IFERROR(1/(1/(IF(K1096="",INDEX(CONFIG!$F$5:$F$14,MATCH(D1096,CONFIG!$D$5:$D$14,0)),K1096)*IF(M1096="",INDEX(CONFIG!$H$5:$H$14,MATCH(D1096,CONFIG!$D$5:$D$14,0)),M1096))),""))</f>
        <v/>
      </c>
      <c r="Q1096" s="16" t="str">
        <f aca="false">IF(OR(O1096="",P1096=""),"",O1096/P1096)</f>
        <v/>
      </c>
      <c r="R1096" s="16" t="str">
        <f aca="false">IF(Q1096="","",Q1096*0.0980665)</f>
        <v/>
      </c>
      <c r="S1096" s="16" t="str">
        <f aca="false">IF(Q1096="","",IFERROR(Q1096/(1/(1/INDEX(CONFIG!$I$5:$I$14,MATCH(D1096,CONFIG!$D$5:$D$14,0)))),""))</f>
        <v/>
      </c>
      <c r="T1096" s="13"/>
      <c r="U1096" s="13"/>
      <c r="V1096" s="13"/>
      <c r="W1096" s="13"/>
      <c r="X1096" s="22" t="str">
        <f aca="false">IF(Q1096="","",Q1096^2)</f>
        <v/>
      </c>
      <c r="Y1096" s="22" t="str">
        <f aca="false">IF(AND(C1096&lt;&gt;"",C1096=CERTIFICADO!$E$4,OR(CERTIFICADO!$E$5="",B1096=CERTIFICADO!$E$5)),MAX($Y$4:Y1095)+1,"")</f>
        <v/>
      </c>
    </row>
    <row r="1097" customFormat="false" ht="15" hidden="false" customHeight="false" outlineLevel="0" collapsed="false">
      <c r="A1097" s="11" t="str">
        <f aca="false">IF(C1097="","",ROW()-4)</f>
        <v/>
      </c>
      <c r="B1097" s="12"/>
      <c r="C1097" s="13"/>
      <c r="D1097" s="23" t="str">
        <f aca="false">IF(C1097="","",IFERROR(INDEX(LOTES!$D$5:$D$1004,MATCH(C1097,LOTES!$F$5:$F$1004,0)),"¿Lote?"))</f>
        <v/>
      </c>
      <c r="E1097" s="11" t="str">
        <f aca="false">IF(C1097="","",IFERROR(INDEX(LOTES!$C$5:$C$1004,MATCH(C1097,LOTES!$F$5:$F$1004,0)),""))</f>
        <v/>
      </c>
      <c r="F1097" s="24" t="str">
        <f aca="false">IF(C1097="","",IFERROR(INDEX(LOTES!$B$5:$B$1004,MATCH(C1097,LOTES!$F$5:$F$1004,0)),""))</f>
        <v/>
      </c>
      <c r="G1097" s="15" t="str">
        <f aca="false">IF(OR(B1097="",F1097=""),"",B1097-F1097)</f>
        <v/>
      </c>
      <c r="H1097" s="13"/>
      <c r="I1097" s="13"/>
      <c r="J1097" s="13"/>
      <c r="K1097" s="25"/>
      <c r="L1097" s="25"/>
      <c r="M1097" s="25"/>
      <c r="N1097" s="25"/>
      <c r="O1097" s="26"/>
      <c r="P1097" s="16" t="str">
        <f aca="false">IF(O1097="","",IFERROR(1/(1/(IF(K1097="",INDEX(CONFIG!$F$5:$F$14,MATCH(D1097,CONFIG!$D$5:$D$14,0)),K1097)*IF(M1097="",INDEX(CONFIG!$H$5:$H$14,MATCH(D1097,CONFIG!$D$5:$D$14,0)),M1097))),""))</f>
        <v/>
      </c>
      <c r="Q1097" s="16" t="str">
        <f aca="false">IF(OR(O1097="",P1097=""),"",O1097/P1097)</f>
        <v/>
      </c>
      <c r="R1097" s="16" t="str">
        <f aca="false">IF(Q1097="","",Q1097*0.0980665)</f>
        <v/>
      </c>
      <c r="S1097" s="16" t="str">
        <f aca="false">IF(Q1097="","",IFERROR(Q1097/(1/(1/INDEX(CONFIG!$I$5:$I$14,MATCH(D1097,CONFIG!$D$5:$D$14,0)))),""))</f>
        <v/>
      </c>
      <c r="T1097" s="13"/>
      <c r="U1097" s="13"/>
      <c r="V1097" s="13"/>
      <c r="W1097" s="13"/>
      <c r="X1097" s="22" t="str">
        <f aca="false">IF(Q1097="","",Q1097^2)</f>
        <v/>
      </c>
      <c r="Y1097" s="22" t="str">
        <f aca="false">IF(AND(C1097&lt;&gt;"",C1097=CERTIFICADO!$E$4,OR(CERTIFICADO!$E$5="",B1097=CERTIFICADO!$E$5)),MAX($Y$4:Y1096)+1,"")</f>
        <v/>
      </c>
    </row>
    <row r="1098" customFormat="false" ht="15" hidden="false" customHeight="false" outlineLevel="0" collapsed="false">
      <c r="A1098" s="11" t="str">
        <f aca="false">IF(C1098="","",ROW()-4)</f>
        <v/>
      </c>
      <c r="B1098" s="12"/>
      <c r="C1098" s="13"/>
      <c r="D1098" s="23" t="str">
        <f aca="false">IF(C1098="","",IFERROR(INDEX(LOTES!$D$5:$D$1004,MATCH(C1098,LOTES!$F$5:$F$1004,0)),"¿Lote?"))</f>
        <v/>
      </c>
      <c r="E1098" s="11" t="str">
        <f aca="false">IF(C1098="","",IFERROR(INDEX(LOTES!$C$5:$C$1004,MATCH(C1098,LOTES!$F$5:$F$1004,0)),""))</f>
        <v/>
      </c>
      <c r="F1098" s="24" t="str">
        <f aca="false">IF(C1098="","",IFERROR(INDEX(LOTES!$B$5:$B$1004,MATCH(C1098,LOTES!$F$5:$F$1004,0)),""))</f>
        <v/>
      </c>
      <c r="G1098" s="15" t="str">
        <f aca="false">IF(OR(B1098="",F1098=""),"",B1098-F1098)</f>
        <v/>
      </c>
      <c r="H1098" s="13"/>
      <c r="I1098" s="13"/>
      <c r="J1098" s="13"/>
      <c r="K1098" s="25"/>
      <c r="L1098" s="25"/>
      <c r="M1098" s="25"/>
      <c r="N1098" s="25"/>
      <c r="O1098" s="26"/>
      <c r="P1098" s="16" t="str">
        <f aca="false">IF(O1098="","",IFERROR(1/(1/(IF(K1098="",INDEX(CONFIG!$F$5:$F$14,MATCH(D1098,CONFIG!$D$5:$D$14,0)),K1098)*IF(M1098="",INDEX(CONFIG!$H$5:$H$14,MATCH(D1098,CONFIG!$D$5:$D$14,0)),M1098))),""))</f>
        <v/>
      </c>
      <c r="Q1098" s="16" t="str">
        <f aca="false">IF(OR(O1098="",P1098=""),"",O1098/P1098)</f>
        <v/>
      </c>
      <c r="R1098" s="16" t="str">
        <f aca="false">IF(Q1098="","",Q1098*0.0980665)</f>
        <v/>
      </c>
      <c r="S1098" s="16" t="str">
        <f aca="false">IF(Q1098="","",IFERROR(Q1098/(1/(1/INDEX(CONFIG!$I$5:$I$14,MATCH(D1098,CONFIG!$D$5:$D$14,0)))),""))</f>
        <v/>
      </c>
      <c r="T1098" s="13"/>
      <c r="U1098" s="13"/>
      <c r="V1098" s="13"/>
      <c r="W1098" s="13"/>
      <c r="X1098" s="22" t="str">
        <f aca="false">IF(Q1098="","",Q1098^2)</f>
        <v/>
      </c>
      <c r="Y1098" s="22" t="str">
        <f aca="false">IF(AND(C1098&lt;&gt;"",C1098=CERTIFICADO!$E$4,OR(CERTIFICADO!$E$5="",B1098=CERTIFICADO!$E$5)),MAX($Y$4:Y1097)+1,"")</f>
        <v/>
      </c>
    </row>
    <row r="1099" customFormat="false" ht="15" hidden="false" customHeight="false" outlineLevel="0" collapsed="false">
      <c r="A1099" s="11" t="str">
        <f aca="false">IF(C1099="","",ROW()-4)</f>
        <v/>
      </c>
      <c r="B1099" s="12"/>
      <c r="C1099" s="13"/>
      <c r="D1099" s="23" t="str">
        <f aca="false">IF(C1099="","",IFERROR(INDEX(LOTES!$D$5:$D$1004,MATCH(C1099,LOTES!$F$5:$F$1004,0)),"¿Lote?"))</f>
        <v/>
      </c>
      <c r="E1099" s="11" t="str">
        <f aca="false">IF(C1099="","",IFERROR(INDEX(LOTES!$C$5:$C$1004,MATCH(C1099,LOTES!$F$5:$F$1004,0)),""))</f>
        <v/>
      </c>
      <c r="F1099" s="24" t="str">
        <f aca="false">IF(C1099="","",IFERROR(INDEX(LOTES!$B$5:$B$1004,MATCH(C1099,LOTES!$F$5:$F$1004,0)),""))</f>
        <v/>
      </c>
      <c r="G1099" s="15" t="str">
        <f aca="false">IF(OR(B1099="",F1099=""),"",B1099-F1099)</f>
        <v/>
      </c>
      <c r="H1099" s="13"/>
      <c r="I1099" s="13"/>
      <c r="J1099" s="13"/>
      <c r="K1099" s="25"/>
      <c r="L1099" s="25"/>
      <c r="M1099" s="25"/>
      <c r="N1099" s="25"/>
      <c r="O1099" s="26"/>
      <c r="P1099" s="16" t="str">
        <f aca="false">IF(O1099="","",IFERROR(1/(1/(IF(K1099="",INDEX(CONFIG!$F$5:$F$14,MATCH(D1099,CONFIG!$D$5:$D$14,0)),K1099)*IF(M1099="",INDEX(CONFIG!$H$5:$H$14,MATCH(D1099,CONFIG!$D$5:$D$14,0)),M1099))),""))</f>
        <v/>
      </c>
      <c r="Q1099" s="16" t="str">
        <f aca="false">IF(OR(O1099="",P1099=""),"",O1099/P1099)</f>
        <v/>
      </c>
      <c r="R1099" s="16" t="str">
        <f aca="false">IF(Q1099="","",Q1099*0.0980665)</f>
        <v/>
      </c>
      <c r="S1099" s="16" t="str">
        <f aca="false">IF(Q1099="","",IFERROR(Q1099/(1/(1/INDEX(CONFIG!$I$5:$I$14,MATCH(D1099,CONFIG!$D$5:$D$14,0)))),""))</f>
        <v/>
      </c>
      <c r="T1099" s="13"/>
      <c r="U1099" s="13"/>
      <c r="V1099" s="13"/>
      <c r="W1099" s="13"/>
      <c r="X1099" s="22" t="str">
        <f aca="false">IF(Q1099="","",Q1099^2)</f>
        <v/>
      </c>
      <c r="Y1099" s="22" t="str">
        <f aca="false">IF(AND(C1099&lt;&gt;"",C1099=CERTIFICADO!$E$4,OR(CERTIFICADO!$E$5="",B1099=CERTIFICADO!$E$5)),MAX($Y$4:Y1098)+1,"")</f>
        <v/>
      </c>
    </row>
    <row r="1100" customFormat="false" ht="15" hidden="false" customHeight="false" outlineLevel="0" collapsed="false">
      <c r="A1100" s="11" t="str">
        <f aca="false">IF(C1100="","",ROW()-4)</f>
        <v/>
      </c>
      <c r="B1100" s="12"/>
      <c r="C1100" s="13"/>
      <c r="D1100" s="23" t="str">
        <f aca="false">IF(C1100="","",IFERROR(INDEX(LOTES!$D$5:$D$1004,MATCH(C1100,LOTES!$F$5:$F$1004,0)),"¿Lote?"))</f>
        <v/>
      </c>
      <c r="E1100" s="11" t="str">
        <f aca="false">IF(C1100="","",IFERROR(INDEX(LOTES!$C$5:$C$1004,MATCH(C1100,LOTES!$F$5:$F$1004,0)),""))</f>
        <v/>
      </c>
      <c r="F1100" s="24" t="str">
        <f aca="false">IF(C1100="","",IFERROR(INDEX(LOTES!$B$5:$B$1004,MATCH(C1100,LOTES!$F$5:$F$1004,0)),""))</f>
        <v/>
      </c>
      <c r="G1100" s="15" t="str">
        <f aca="false">IF(OR(B1100="",F1100=""),"",B1100-F1100)</f>
        <v/>
      </c>
      <c r="H1100" s="13"/>
      <c r="I1100" s="13"/>
      <c r="J1100" s="13"/>
      <c r="K1100" s="25"/>
      <c r="L1100" s="25"/>
      <c r="M1100" s="25"/>
      <c r="N1100" s="25"/>
      <c r="O1100" s="26"/>
      <c r="P1100" s="16" t="str">
        <f aca="false">IF(O1100="","",IFERROR(1/(1/(IF(K1100="",INDEX(CONFIG!$F$5:$F$14,MATCH(D1100,CONFIG!$D$5:$D$14,0)),K1100)*IF(M1100="",INDEX(CONFIG!$H$5:$H$14,MATCH(D1100,CONFIG!$D$5:$D$14,0)),M1100))),""))</f>
        <v/>
      </c>
      <c r="Q1100" s="16" t="str">
        <f aca="false">IF(OR(O1100="",P1100=""),"",O1100/P1100)</f>
        <v/>
      </c>
      <c r="R1100" s="16" t="str">
        <f aca="false">IF(Q1100="","",Q1100*0.0980665)</f>
        <v/>
      </c>
      <c r="S1100" s="16" t="str">
        <f aca="false">IF(Q1100="","",IFERROR(Q1100/(1/(1/INDEX(CONFIG!$I$5:$I$14,MATCH(D1100,CONFIG!$D$5:$D$14,0)))),""))</f>
        <v/>
      </c>
      <c r="T1100" s="13"/>
      <c r="U1100" s="13"/>
      <c r="V1100" s="13"/>
      <c r="W1100" s="13"/>
      <c r="X1100" s="22" t="str">
        <f aca="false">IF(Q1100="","",Q1100^2)</f>
        <v/>
      </c>
      <c r="Y1100" s="22" t="str">
        <f aca="false">IF(AND(C1100&lt;&gt;"",C1100=CERTIFICADO!$E$4,OR(CERTIFICADO!$E$5="",B1100=CERTIFICADO!$E$5)),MAX($Y$4:Y1099)+1,"")</f>
        <v/>
      </c>
    </row>
    <row r="1101" customFormat="false" ht="15" hidden="false" customHeight="false" outlineLevel="0" collapsed="false">
      <c r="A1101" s="11" t="str">
        <f aca="false">IF(C1101="","",ROW()-4)</f>
        <v/>
      </c>
      <c r="B1101" s="12"/>
      <c r="C1101" s="13"/>
      <c r="D1101" s="23" t="str">
        <f aca="false">IF(C1101="","",IFERROR(INDEX(LOTES!$D$5:$D$1004,MATCH(C1101,LOTES!$F$5:$F$1004,0)),"¿Lote?"))</f>
        <v/>
      </c>
      <c r="E1101" s="11" t="str">
        <f aca="false">IF(C1101="","",IFERROR(INDEX(LOTES!$C$5:$C$1004,MATCH(C1101,LOTES!$F$5:$F$1004,0)),""))</f>
        <v/>
      </c>
      <c r="F1101" s="24" t="str">
        <f aca="false">IF(C1101="","",IFERROR(INDEX(LOTES!$B$5:$B$1004,MATCH(C1101,LOTES!$F$5:$F$1004,0)),""))</f>
        <v/>
      </c>
      <c r="G1101" s="15" t="str">
        <f aca="false">IF(OR(B1101="",F1101=""),"",B1101-F1101)</f>
        <v/>
      </c>
      <c r="H1101" s="13"/>
      <c r="I1101" s="13"/>
      <c r="J1101" s="13"/>
      <c r="K1101" s="25"/>
      <c r="L1101" s="25"/>
      <c r="M1101" s="25"/>
      <c r="N1101" s="25"/>
      <c r="O1101" s="26"/>
      <c r="P1101" s="16" t="str">
        <f aca="false">IF(O1101="","",IFERROR(1/(1/(IF(K1101="",INDEX(CONFIG!$F$5:$F$14,MATCH(D1101,CONFIG!$D$5:$D$14,0)),K1101)*IF(M1101="",INDEX(CONFIG!$H$5:$H$14,MATCH(D1101,CONFIG!$D$5:$D$14,0)),M1101))),""))</f>
        <v/>
      </c>
      <c r="Q1101" s="16" t="str">
        <f aca="false">IF(OR(O1101="",P1101=""),"",O1101/P1101)</f>
        <v/>
      </c>
      <c r="R1101" s="16" t="str">
        <f aca="false">IF(Q1101="","",Q1101*0.0980665)</f>
        <v/>
      </c>
      <c r="S1101" s="16" t="str">
        <f aca="false">IF(Q1101="","",IFERROR(Q1101/(1/(1/INDEX(CONFIG!$I$5:$I$14,MATCH(D1101,CONFIG!$D$5:$D$14,0)))),""))</f>
        <v/>
      </c>
      <c r="T1101" s="13"/>
      <c r="U1101" s="13"/>
      <c r="V1101" s="13"/>
      <c r="W1101" s="13"/>
      <c r="X1101" s="22" t="str">
        <f aca="false">IF(Q1101="","",Q1101^2)</f>
        <v/>
      </c>
      <c r="Y1101" s="22" t="str">
        <f aca="false">IF(AND(C1101&lt;&gt;"",C1101=CERTIFICADO!$E$4,OR(CERTIFICADO!$E$5="",B1101=CERTIFICADO!$E$5)),MAX($Y$4:Y1100)+1,"")</f>
        <v/>
      </c>
    </row>
    <row r="1102" customFormat="false" ht="15" hidden="false" customHeight="false" outlineLevel="0" collapsed="false">
      <c r="A1102" s="11" t="str">
        <f aca="false">IF(C1102="","",ROW()-4)</f>
        <v/>
      </c>
      <c r="B1102" s="12"/>
      <c r="C1102" s="13"/>
      <c r="D1102" s="23" t="str">
        <f aca="false">IF(C1102="","",IFERROR(INDEX(LOTES!$D$5:$D$1004,MATCH(C1102,LOTES!$F$5:$F$1004,0)),"¿Lote?"))</f>
        <v/>
      </c>
      <c r="E1102" s="11" t="str">
        <f aca="false">IF(C1102="","",IFERROR(INDEX(LOTES!$C$5:$C$1004,MATCH(C1102,LOTES!$F$5:$F$1004,0)),""))</f>
        <v/>
      </c>
      <c r="F1102" s="24" t="str">
        <f aca="false">IF(C1102="","",IFERROR(INDEX(LOTES!$B$5:$B$1004,MATCH(C1102,LOTES!$F$5:$F$1004,0)),""))</f>
        <v/>
      </c>
      <c r="G1102" s="15" t="str">
        <f aca="false">IF(OR(B1102="",F1102=""),"",B1102-F1102)</f>
        <v/>
      </c>
      <c r="H1102" s="13"/>
      <c r="I1102" s="13"/>
      <c r="J1102" s="13"/>
      <c r="K1102" s="25"/>
      <c r="L1102" s="25"/>
      <c r="M1102" s="25"/>
      <c r="N1102" s="25"/>
      <c r="O1102" s="26"/>
      <c r="P1102" s="16" t="str">
        <f aca="false">IF(O1102="","",IFERROR(1/(1/(IF(K1102="",INDEX(CONFIG!$F$5:$F$14,MATCH(D1102,CONFIG!$D$5:$D$14,0)),K1102)*IF(M1102="",INDEX(CONFIG!$H$5:$H$14,MATCH(D1102,CONFIG!$D$5:$D$14,0)),M1102))),""))</f>
        <v/>
      </c>
      <c r="Q1102" s="16" t="str">
        <f aca="false">IF(OR(O1102="",P1102=""),"",O1102/P1102)</f>
        <v/>
      </c>
      <c r="R1102" s="16" t="str">
        <f aca="false">IF(Q1102="","",Q1102*0.0980665)</f>
        <v/>
      </c>
      <c r="S1102" s="16" t="str">
        <f aca="false">IF(Q1102="","",IFERROR(Q1102/(1/(1/INDEX(CONFIG!$I$5:$I$14,MATCH(D1102,CONFIG!$D$5:$D$14,0)))),""))</f>
        <v/>
      </c>
      <c r="T1102" s="13"/>
      <c r="U1102" s="13"/>
      <c r="V1102" s="13"/>
      <c r="W1102" s="13"/>
      <c r="X1102" s="22" t="str">
        <f aca="false">IF(Q1102="","",Q1102^2)</f>
        <v/>
      </c>
      <c r="Y1102" s="22" t="str">
        <f aca="false">IF(AND(C1102&lt;&gt;"",C1102=CERTIFICADO!$E$4,OR(CERTIFICADO!$E$5="",B1102=CERTIFICADO!$E$5)),MAX($Y$4:Y1101)+1,"")</f>
        <v/>
      </c>
    </row>
    <row r="1103" customFormat="false" ht="15" hidden="false" customHeight="false" outlineLevel="0" collapsed="false">
      <c r="A1103" s="11" t="str">
        <f aca="false">IF(C1103="","",ROW()-4)</f>
        <v/>
      </c>
      <c r="B1103" s="12"/>
      <c r="C1103" s="13"/>
      <c r="D1103" s="23" t="str">
        <f aca="false">IF(C1103="","",IFERROR(INDEX(LOTES!$D$5:$D$1004,MATCH(C1103,LOTES!$F$5:$F$1004,0)),"¿Lote?"))</f>
        <v/>
      </c>
      <c r="E1103" s="11" t="str">
        <f aca="false">IF(C1103="","",IFERROR(INDEX(LOTES!$C$5:$C$1004,MATCH(C1103,LOTES!$F$5:$F$1004,0)),""))</f>
        <v/>
      </c>
      <c r="F1103" s="24" t="str">
        <f aca="false">IF(C1103="","",IFERROR(INDEX(LOTES!$B$5:$B$1004,MATCH(C1103,LOTES!$F$5:$F$1004,0)),""))</f>
        <v/>
      </c>
      <c r="G1103" s="15" t="str">
        <f aca="false">IF(OR(B1103="",F1103=""),"",B1103-F1103)</f>
        <v/>
      </c>
      <c r="H1103" s="13"/>
      <c r="I1103" s="13"/>
      <c r="J1103" s="13"/>
      <c r="K1103" s="25"/>
      <c r="L1103" s="25"/>
      <c r="M1103" s="25"/>
      <c r="N1103" s="25"/>
      <c r="O1103" s="26"/>
      <c r="P1103" s="16" t="str">
        <f aca="false">IF(O1103="","",IFERROR(1/(1/(IF(K1103="",INDEX(CONFIG!$F$5:$F$14,MATCH(D1103,CONFIG!$D$5:$D$14,0)),K1103)*IF(M1103="",INDEX(CONFIG!$H$5:$H$14,MATCH(D1103,CONFIG!$D$5:$D$14,0)),M1103))),""))</f>
        <v/>
      </c>
      <c r="Q1103" s="16" t="str">
        <f aca="false">IF(OR(O1103="",P1103=""),"",O1103/P1103)</f>
        <v/>
      </c>
      <c r="R1103" s="16" t="str">
        <f aca="false">IF(Q1103="","",Q1103*0.0980665)</f>
        <v/>
      </c>
      <c r="S1103" s="16" t="str">
        <f aca="false">IF(Q1103="","",IFERROR(Q1103/(1/(1/INDEX(CONFIG!$I$5:$I$14,MATCH(D1103,CONFIG!$D$5:$D$14,0)))),""))</f>
        <v/>
      </c>
      <c r="T1103" s="13"/>
      <c r="U1103" s="13"/>
      <c r="V1103" s="13"/>
      <c r="W1103" s="13"/>
      <c r="X1103" s="22" t="str">
        <f aca="false">IF(Q1103="","",Q1103^2)</f>
        <v/>
      </c>
      <c r="Y1103" s="22" t="str">
        <f aca="false">IF(AND(C1103&lt;&gt;"",C1103=CERTIFICADO!$E$4,OR(CERTIFICADO!$E$5="",B1103=CERTIFICADO!$E$5)),MAX($Y$4:Y1102)+1,"")</f>
        <v/>
      </c>
    </row>
    <row r="1104" customFormat="false" ht="15" hidden="false" customHeight="false" outlineLevel="0" collapsed="false">
      <c r="A1104" s="11" t="str">
        <f aca="false">IF(C1104="","",ROW()-4)</f>
        <v/>
      </c>
      <c r="B1104" s="12"/>
      <c r="C1104" s="13"/>
      <c r="D1104" s="23" t="str">
        <f aca="false">IF(C1104="","",IFERROR(INDEX(LOTES!$D$5:$D$1004,MATCH(C1104,LOTES!$F$5:$F$1004,0)),"¿Lote?"))</f>
        <v/>
      </c>
      <c r="E1104" s="11" t="str">
        <f aca="false">IF(C1104="","",IFERROR(INDEX(LOTES!$C$5:$C$1004,MATCH(C1104,LOTES!$F$5:$F$1004,0)),""))</f>
        <v/>
      </c>
      <c r="F1104" s="24" t="str">
        <f aca="false">IF(C1104="","",IFERROR(INDEX(LOTES!$B$5:$B$1004,MATCH(C1104,LOTES!$F$5:$F$1004,0)),""))</f>
        <v/>
      </c>
      <c r="G1104" s="15" t="str">
        <f aca="false">IF(OR(B1104="",F1104=""),"",B1104-F1104)</f>
        <v/>
      </c>
      <c r="H1104" s="13"/>
      <c r="I1104" s="13"/>
      <c r="J1104" s="13"/>
      <c r="K1104" s="25"/>
      <c r="L1104" s="25"/>
      <c r="M1104" s="25"/>
      <c r="N1104" s="25"/>
      <c r="O1104" s="26"/>
      <c r="P1104" s="16" t="str">
        <f aca="false">IF(O1104="","",IFERROR(1/(1/(IF(K1104="",INDEX(CONFIG!$F$5:$F$14,MATCH(D1104,CONFIG!$D$5:$D$14,0)),K1104)*IF(M1104="",INDEX(CONFIG!$H$5:$H$14,MATCH(D1104,CONFIG!$D$5:$D$14,0)),M1104))),""))</f>
        <v/>
      </c>
      <c r="Q1104" s="16" t="str">
        <f aca="false">IF(OR(O1104="",P1104=""),"",O1104/P1104)</f>
        <v/>
      </c>
      <c r="R1104" s="16" t="str">
        <f aca="false">IF(Q1104="","",Q1104*0.0980665)</f>
        <v/>
      </c>
      <c r="S1104" s="16" t="str">
        <f aca="false">IF(Q1104="","",IFERROR(Q1104/(1/(1/INDEX(CONFIG!$I$5:$I$14,MATCH(D1104,CONFIG!$D$5:$D$14,0)))),""))</f>
        <v/>
      </c>
      <c r="T1104" s="13"/>
      <c r="U1104" s="13"/>
      <c r="V1104" s="13"/>
      <c r="W1104" s="13"/>
      <c r="X1104" s="22" t="str">
        <f aca="false">IF(Q1104="","",Q1104^2)</f>
        <v/>
      </c>
      <c r="Y1104" s="22" t="str">
        <f aca="false">IF(AND(C1104&lt;&gt;"",C1104=CERTIFICADO!$E$4,OR(CERTIFICADO!$E$5="",B1104=CERTIFICADO!$E$5)),MAX($Y$4:Y1103)+1,"")</f>
        <v/>
      </c>
    </row>
    <row r="1105" customFormat="false" ht="15" hidden="false" customHeight="false" outlineLevel="0" collapsed="false">
      <c r="A1105" s="11" t="str">
        <f aca="false">IF(C1105="","",ROW()-4)</f>
        <v/>
      </c>
      <c r="B1105" s="12"/>
      <c r="C1105" s="13"/>
      <c r="D1105" s="23" t="str">
        <f aca="false">IF(C1105="","",IFERROR(INDEX(LOTES!$D$5:$D$1004,MATCH(C1105,LOTES!$F$5:$F$1004,0)),"¿Lote?"))</f>
        <v/>
      </c>
      <c r="E1105" s="11" t="str">
        <f aca="false">IF(C1105="","",IFERROR(INDEX(LOTES!$C$5:$C$1004,MATCH(C1105,LOTES!$F$5:$F$1004,0)),""))</f>
        <v/>
      </c>
      <c r="F1105" s="24" t="str">
        <f aca="false">IF(C1105="","",IFERROR(INDEX(LOTES!$B$5:$B$1004,MATCH(C1105,LOTES!$F$5:$F$1004,0)),""))</f>
        <v/>
      </c>
      <c r="G1105" s="15" t="str">
        <f aca="false">IF(OR(B1105="",F1105=""),"",B1105-F1105)</f>
        <v/>
      </c>
      <c r="H1105" s="13"/>
      <c r="I1105" s="13"/>
      <c r="J1105" s="13"/>
      <c r="K1105" s="25"/>
      <c r="L1105" s="25"/>
      <c r="M1105" s="25"/>
      <c r="N1105" s="25"/>
      <c r="O1105" s="26"/>
      <c r="P1105" s="16" t="str">
        <f aca="false">IF(O1105="","",IFERROR(1/(1/(IF(K1105="",INDEX(CONFIG!$F$5:$F$14,MATCH(D1105,CONFIG!$D$5:$D$14,0)),K1105)*IF(M1105="",INDEX(CONFIG!$H$5:$H$14,MATCH(D1105,CONFIG!$D$5:$D$14,0)),M1105))),""))</f>
        <v/>
      </c>
      <c r="Q1105" s="16" t="str">
        <f aca="false">IF(OR(O1105="",P1105=""),"",O1105/P1105)</f>
        <v/>
      </c>
      <c r="R1105" s="16" t="str">
        <f aca="false">IF(Q1105="","",Q1105*0.0980665)</f>
        <v/>
      </c>
      <c r="S1105" s="16" t="str">
        <f aca="false">IF(Q1105="","",IFERROR(Q1105/(1/(1/INDEX(CONFIG!$I$5:$I$14,MATCH(D1105,CONFIG!$D$5:$D$14,0)))),""))</f>
        <v/>
      </c>
      <c r="T1105" s="13"/>
      <c r="U1105" s="13"/>
      <c r="V1105" s="13"/>
      <c r="W1105" s="13"/>
      <c r="X1105" s="22" t="str">
        <f aca="false">IF(Q1105="","",Q1105^2)</f>
        <v/>
      </c>
      <c r="Y1105" s="22" t="str">
        <f aca="false">IF(AND(C1105&lt;&gt;"",C1105=CERTIFICADO!$E$4,OR(CERTIFICADO!$E$5="",B1105=CERTIFICADO!$E$5)),MAX($Y$4:Y1104)+1,"")</f>
        <v/>
      </c>
    </row>
    <row r="1106" customFormat="false" ht="15" hidden="false" customHeight="false" outlineLevel="0" collapsed="false">
      <c r="A1106" s="11" t="str">
        <f aca="false">IF(C1106="","",ROW()-4)</f>
        <v/>
      </c>
      <c r="B1106" s="12"/>
      <c r="C1106" s="13"/>
      <c r="D1106" s="23" t="str">
        <f aca="false">IF(C1106="","",IFERROR(INDEX(LOTES!$D$5:$D$1004,MATCH(C1106,LOTES!$F$5:$F$1004,0)),"¿Lote?"))</f>
        <v/>
      </c>
      <c r="E1106" s="11" t="str">
        <f aca="false">IF(C1106="","",IFERROR(INDEX(LOTES!$C$5:$C$1004,MATCH(C1106,LOTES!$F$5:$F$1004,0)),""))</f>
        <v/>
      </c>
      <c r="F1106" s="24" t="str">
        <f aca="false">IF(C1106="","",IFERROR(INDEX(LOTES!$B$5:$B$1004,MATCH(C1106,LOTES!$F$5:$F$1004,0)),""))</f>
        <v/>
      </c>
      <c r="G1106" s="15" t="str">
        <f aca="false">IF(OR(B1106="",F1106=""),"",B1106-F1106)</f>
        <v/>
      </c>
      <c r="H1106" s="13"/>
      <c r="I1106" s="13"/>
      <c r="J1106" s="13"/>
      <c r="K1106" s="25"/>
      <c r="L1106" s="25"/>
      <c r="M1106" s="25"/>
      <c r="N1106" s="25"/>
      <c r="O1106" s="26"/>
      <c r="P1106" s="16" t="str">
        <f aca="false">IF(O1106="","",IFERROR(1/(1/(IF(K1106="",INDEX(CONFIG!$F$5:$F$14,MATCH(D1106,CONFIG!$D$5:$D$14,0)),K1106)*IF(M1106="",INDEX(CONFIG!$H$5:$H$14,MATCH(D1106,CONFIG!$D$5:$D$14,0)),M1106))),""))</f>
        <v/>
      </c>
      <c r="Q1106" s="16" t="str">
        <f aca="false">IF(OR(O1106="",P1106=""),"",O1106/P1106)</f>
        <v/>
      </c>
      <c r="R1106" s="16" t="str">
        <f aca="false">IF(Q1106="","",Q1106*0.0980665)</f>
        <v/>
      </c>
      <c r="S1106" s="16" t="str">
        <f aca="false">IF(Q1106="","",IFERROR(Q1106/(1/(1/INDEX(CONFIG!$I$5:$I$14,MATCH(D1106,CONFIG!$D$5:$D$14,0)))),""))</f>
        <v/>
      </c>
      <c r="T1106" s="13"/>
      <c r="U1106" s="13"/>
      <c r="V1106" s="13"/>
      <c r="W1106" s="13"/>
      <c r="X1106" s="22" t="str">
        <f aca="false">IF(Q1106="","",Q1106^2)</f>
        <v/>
      </c>
      <c r="Y1106" s="22" t="str">
        <f aca="false">IF(AND(C1106&lt;&gt;"",C1106=CERTIFICADO!$E$4,OR(CERTIFICADO!$E$5="",B1106=CERTIFICADO!$E$5)),MAX($Y$4:Y1105)+1,"")</f>
        <v/>
      </c>
    </row>
    <row r="1107" customFormat="false" ht="15" hidden="false" customHeight="false" outlineLevel="0" collapsed="false">
      <c r="A1107" s="11" t="str">
        <f aca="false">IF(C1107="","",ROW()-4)</f>
        <v/>
      </c>
      <c r="B1107" s="12"/>
      <c r="C1107" s="13"/>
      <c r="D1107" s="23" t="str">
        <f aca="false">IF(C1107="","",IFERROR(INDEX(LOTES!$D$5:$D$1004,MATCH(C1107,LOTES!$F$5:$F$1004,0)),"¿Lote?"))</f>
        <v/>
      </c>
      <c r="E1107" s="11" t="str">
        <f aca="false">IF(C1107="","",IFERROR(INDEX(LOTES!$C$5:$C$1004,MATCH(C1107,LOTES!$F$5:$F$1004,0)),""))</f>
        <v/>
      </c>
      <c r="F1107" s="24" t="str">
        <f aca="false">IF(C1107="","",IFERROR(INDEX(LOTES!$B$5:$B$1004,MATCH(C1107,LOTES!$F$5:$F$1004,0)),""))</f>
        <v/>
      </c>
      <c r="G1107" s="15" t="str">
        <f aca="false">IF(OR(B1107="",F1107=""),"",B1107-F1107)</f>
        <v/>
      </c>
      <c r="H1107" s="13"/>
      <c r="I1107" s="13"/>
      <c r="J1107" s="13"/>
      <c r="K1107" s="25"/>
      <c r="L1107" s="25"/>
      <c r="M1107" s="25"/>
      <c r="N1107" s="25"/>
      <c r="O1107" s="26"/>
      <c r="P1107" s="16" t="str">
        <f aca="false">IF(O1107="","",IFERROR(1/(1/(IF(K1107="",INDEX(CONFIG!$F$5:$F$14,MATCH(D1107,CONFIG!$D$5:$D$14,0)),K1107)*IF(M1107="",INDEX(CONFIG!$H$5:$H$14,MATCH(D1107,CONFIG!$D$5:$D$14,0)),M1107))),""))</f>
        <v/>
      </c>
      <c r="Q1107" s="16" t="str">
        <f aca="false">IF(OR(O1107="",P1107=""),"",O1107/P1107)</f>
        <v/>
      </c>
      <c r="R1107" s="16" t="str">
        <f aca="false">IF(Q1107="","",Q1107*0.0980665)</f>
        <v/>
      </c>
      <c r="S1107" s="16" t="str">
        <f aca="false">IF(Q1107="","",IFERROR(Q1107/(1/(1/INDEX(CONFIG!$I$5:$I$14,MATCH(D1107,CONFIG!$D$5:$D$14,0)))),""))</f>
        <v/>
      </c>
      <c r="T1107" s="13"/>
      <c r="U1107" s="13"/>
      <c r="V1107" s="13"/>
      <c r="W1107" s="13"/>
      <c r="X1107" s="22" t="str">
        <f aca="false">IF(Q1107="","",Q1107^2)</f>
        <v/>
      </c>
      <c r="Y1107" s="22" t="str">
        <f aca="false">IF(AND(C1107&lt;&gt;"",C1107=CERTIFICADO!$E$4,OR(CERTIFICADO!$E$5="",B1107=CERTIFICADO!$E$5)),MAX($Y$4:Y1106)+1,"")</f>
        <v/>
      </c>
    </row>
    <row r="1108" customFormat="false" ht="15" hidden="false" customHeight="false" outlineLevel="0" collapsed="false">
      <c r="A1108" s="11" t="str">
        <f aca="false">IF(C1108="","",ROW()-4)</f>
        <v/>
      </c>
      <c r="B1108" s="12"/>
      <c r="C1108" s="13"/>
      <c r="D1108" s="23" t="str">
        <f aca="false">IF(C1108="","",IFERROR(INDEX(LOTES!$D$5:$D$1004,MATCH(C1108,LOTES!$F$5:$F$1004,0)),"¿Lote?"))</f>
        <v/>
      </c>
      <c r="E1108" s="11" t="str">
        <f aca="false">IF(C1108="","",IFERROR(INDEX(LOTES!$C$5:$C$1004,MATCH(C1108,LOTES!$F$5:$F$1004,0)),""))</f>
        <v/>
      </c>
      <c r="F1108" s="24" t="str">
        <f aca="false">IF(C1108="","",IFERROR(INDEX(LOTES!$B$5:$B$1004,MATCH(C1108,LOTES!$F$5:$F$1004,0)),""))</f>
        <v/>
      </c>
      <c r="G1108" s="15" t="str">
        <f aca="false">IF(OR(B1108="",F1108=""),"",B1108-F1108)</f>
        <v/>
      </c>
      <c r="H1108" s="13"/>
      <c r="I1108" s="13"/>
      <c r="J1108" s="13"/>
      <c r="K1108" s="25"/>
      <c r="L1108" s="25"/>
      <c r="M1108" s="25"/>
      <c r="N1108" s="25"/>
      <c r="O1108" s="26"/>
      <c r="P1108" s="16" t="str">
        <f aca="false">IF(O1108="","",IFERROR(1/(1/(IF(K1108="",INDEX(CONFIG!$F$5:$F$14,MATCH(D1108,CONFIG!$D$5:$D$14,0)),K1108)*IF(M1108="",INDEX(CONFIG!$H$5:$H$14,MATCH(D1108,CONFIG!$D$5:$D$14,0)),M1108))),""))</f>
        <v/>
      </c>
      <c r="Q1108" s="16" t="str">
        <f aca="false">IF(OR(O1108="",P1108=""),"",O1108/P1108)</f>
        <v/>
      </c>
      <c r="R1108" s="16" t="str">
        <f aca="false">IF(Q1108="","",Q1108*0.0980665)</f>
        <v/>
      </c>
      <c r="S1108" s="16" t="str">
        <f aca="false">IF(Q1108="","",IFERROR(Q1108/(1/(1/INDEX(CONFIG!$I$5:$I$14,MATCH(D1108,CONFIG!$D$5:$D$14,0)))),""))</f>
        <v/>
      </c>
      <c r="T1108" s="13"/>
      <c r="U1108" s="13"/>
      <c r="V1108" s="13"/>
      <c r="W1108" s="13"/>
      <c r="X1108" s="22" t="str">
        <f aca="false">IF(Q1108="","",Q1108^2)</f>
        <v/>
      </c>
      <c r="Y1108" s="22" t="str">
        <f aca="false">IF(AND(C1108&lt;&gt;"",C1108=CERTIFICADO!$E$4,OR(CERTIFICADO!$E$5="",B1108=CERTIFICADO!$E$5)),MAX($Y$4:Y1107)+1,"")</f>
        <v/>
      </c>
    </row>
    <row r="1109" customFormat="false" ht="15" hidden="false" customHeight="false" outlineLevel="0" collapsed="false">
      <c r="A1109" s="11" t="str">
        <f aca="false">IF(C1109="","",ROW()-4)</f>
        <v/>
      </c>
      <c r="B1109" s="12"/>
      <c r="C1109" s="13"/>
      <c r="D1109" s="23" t="str">
        <f aca="false">IF(C1109="","",IFERROR(INDEX(LOTES!$D$5:$D$1004,MATCH(C1109,LOTES!$F$5:$F$1004,0)),"¿Lote?"))</f>
        <v/>
      </c>
      <c r="E1109" s="11" t="str">
        <f aca="false">IF(C1109="","",IFERROR(INDEX(LOTES!$C$5:$C$1004,MATCH(C1109,LOTES!$F$5:$F$1004,0)),""))</f>
        <v/>
      </c>
      <c r="F1109" s="24" t="str">
        <f aca="false">IF(C1109="","",IFERROR(INDEX(LOTES!$B$5:$B$1004,MATCH(C1109,LOTES!$F$5:$F$1004,0)),""))</f>
        <v/>
      </c>
      <c r="G1109" s="15" t="str">
        <f aca="false">IF(OR(B1109="",F1109=""),"",B1109-F1109)</f>
        <v/>
      </c>
      <c r="H1109" s="13"/>
      <c r="I1109" s="13"/>
      <c r="J1109" s="13"/>
      <c r="K1109" s="25"/>
      <c r="L1109" s="25"/>
      <c r="M1109" s="25"/>
      <c r="N1109" s="25"/>
      <c r="O1109" s="26"/>
      <c r="P1109" s="16" t="str">
        <f aca="false">IF(O1109="","",IFERROR(1/(1/(IF(K1109="",INDEX(CONFIG!$F$5:$F$14,MATCH(D1109,CONFIG!$D$5:$D$14,0)),K1109)*IF(M1109="",INDEX(CONFIG!$H$5:$H$14,MATCH(D1109,CONFIG!$D$5:$D$14,0)),M1109))),""))</f>
        <v/>
      </c>
      <c r="Q1109" s="16" t="str">
        <f aca="false">IF(OR(O1109="",P1109=""),"",O1109/P1109)</f>
        <v/>
      </c>
      <c r="R1109" s="16" t="str">
        <f aca="false">IF(Q1109="","",Q1109*0.0980665)</f>
        <v/>
      </c>
      <c r="S1109" s="16" t="str">
        <f aca="false">IF(Q1109="","",IFERROR(Q1109/(1/(1/INDEX(CONFIG!$I$5:$I$14,MATCH(D1109,CONFIG!$D$5:$D$14,0)))),""))</f>
        <v/>
      </c>
      <c r="T1109" s="13"/>
      <c r="U1109" s="13"/>
      <c r="V1109" s="13"/>
      <c r="W1109" s="13"/>
      <c r="X1109" s="22" t="str">
        <f aca="false">IF(Q1109="","",Q1109^2)</f>
        <v/>
      </c>
      <c r="Y1109" s="22" t="str">
        <f aca="false">IF(AND(C1109&lt;&gt;"",C1109=CERTIFICADO!$E$4,OR(CERTIFICADO!$E$5="",B1109=CERTIFICADO!$E$5)),MAX($Y$4:Y1108)+1,"")</f>
        <v/>
      </c>
    </row>
    <row r="1110" customFormat="false" ht="15" hidden="false" customHeight="false" outlineLevel="0" collapsed="false">
      <c r="A1110" s="11" t="str">
        <f aca="false">IF(C1110="","",ROW()-4)</f>
        <v/>
      </c>
      <c r="B1110" s="12"/>
      <c r="C1110" s="13"/>
      <c r="D1110" s="23" t="str">
        <f aca="false">IF(C1110="","",IFERROR(INDEX(LOTES!$D$5:$D$1004,MATCH(C1110,LOTES!$F$5:$F$1004,0)),"¿Lote?"))</f>
        <v/>
      </c>
      <c r="E1110" s="11" t="str">
        <f aca="false">IF(C1110="","",IFERROR(INDEX(LOTES!$C$5:$C$1004,MATCH(C1110,LOTES!$F$5:$F$1004,0)),""))</f>
        <v/>
      </c>
      <c r="F1110" s="24" t="str">
        <f aca="false">IF(C1110="","",IFERROR(INDEX(LOTES!$B$5:$B$1004,MATCH(C1110,LOTES!$F$5:$F$1004,0)),""))</f>
        <v/>
      </c>
      <c r="G1110" s="15" t="str">
        <f aca="false">IF(OR(B1110="",F1110=""),"",B1110-F1110)</f>
        <v/>
      </c>
      <c r="H1110" s="13"/>
      <c r="I1110" s="13"/>
      <c r="J1110" s="13"/>
      <c r="K1110" s="25"/>
      <c r="L1110" s="25"/>
      <c r="M1110" s="25"/>
      <c r="N1110" s="25"/>
      <c r="O1110" s="26"/>
      <c r="P1110" s="16" t="str">
        <f aca="false">IF(O1110="","",IFERROR(1/(1/(IF(K1110="",INDEX(CONFIG!$F$5:$F$14,MATCH(D1110,CONFIG!$D$5:$D$14,0)),K1110)*IF(M1110="",INDEX(CONFIG!$H$5:$H$14,MATCH(D1110,CONFIG!$D$5:$D$14,0)),M1110))),""))</f>
        <v/>
      </c>
      <c r="Q1110" s="16" t="str">
        <f aca="false">IF(OR(O1110="",P1110=""),"",O1110/P1110)</f>
        <v/>
      </c>
      <c r="R1110" s="16" t="str">
        <f aca="false">IF(Q1110="","",Q1110*0.0980665)</f>
        <v/>
      </c>
      <c r="S1110" s="16" t="str">
        <f aca="false">IF(Q1110="","",IFERROR(Q1110/(1/(1/INDEX(CONFIG!$I$5:$I$14,MATCH(D1110,CONFIG!$D$5:$D$14,0)))),""))</f>
        <v/>
      </c>
      <c r="T1110" s="13"/>
      <c r="U1110" s="13"/>
      <c r="V1110" s="13"/>
      <c r="W1110" s="13"/>
      <c r="X1110" s="22" t="str">
        <f aca="false">IF(Q1110="","",Q1110^2)</f>
        <v/>
      </c>
      <c r="Y1110" s="22" t="str">
        <f aca="false">IF(AND(C1110&lt;&gt;"",C1110=CERTIFICADO!$E$4,OR(CERTIFICADO!$E$5="",B1110=CERTIFICADO!$E$5)),MAX($Y$4:Y1109)+1,"")</f>
        <v/>
      </c>
    </row>
    <row r="1111" customFormat="false" ht="15" hidden="false" customHeight="false" outlineLevel="0" collapsed="false">
      <c r="A1111" s="11" t="str">
        <f aca="false">IF(C1111="","",ROW()-4)</f>
        <v/>
      </c>
      <c r="B1111" s="12"/>
      <c r="C1111" s="13"/>
      <c r="D1111" s="23" t="str">
        <f aca="false">IF(C1111="","",IFERROR(INDEX(LOTES!$D$5:$D$1004,MATCH(C1111,LOTES!$F$5:$F$1004,0)),"¿Lote?"))</f>
        <v/>
      </c>
      <c r="E1111" s="11" t="str">
        <f aca="false">IF(C1111="","",IFERROR(INDEX(LOTES!$C$5:$C$1004,MATCH(C1111,LOTES!$F$5:$F$1004,0)),""))</f>
        <v/>
      </c>
      <c r="F1111" s="24" t="str">
        <f aca="false">IF(C1111="","",IFERROR(INDEX(LOTES!$B$5:$B$1004,MATCH(C1111,LOTES!$F$5:$F$1004,0)),""))</f>
        <v/>
      </c>
      <c r="G1111" s="15" t="str">
        <f aca="false">IF(OR(B1111="",F1111=""),"",B1111-F1111)</f>
        <v/>
      </c>
      <c r="H1111" s="13"/>
      <c r="I1111" s="13"/>
      <c r="J1111" s="13"/>
      <c r="K1111" s="25"/>
      <c r="L1111" s="25"/>
      <c r="M1111" s="25"/>
      <c r="N1111" s="25"/>
      <c r="O1111" s="26"/>
      <c r="P1111" s="16" t="str">
        <f aca="false">IF(O1111="","",IFERROR(1/(1/(IF(K1111="",INDEX(CONFIG!$F$5:$F$14,MATCH(D1111,CONFIG!$D$5:$D$14,0)),K1111)*IF(M1111="",INDEX(CONFIG!$H$5:$H$14,MATCH(D1111,CONFIG!$D$5:$D$14,0)),M1111))),""))</f>
        <v/>
      </c>
      <c r="Q1111" s="16" t="str">
        <f aca="false">IF(OR(O1111="",P1111=""),"",O1111/P1111)</f>
        <v/>
      </c>
      <c r="R1111" s="16" t="str">
        <f aca="false">IF(Q1111="","",Q1111*0.0980665)</f>
        <v/>
      </c>
      <c r="S1111" s="16" t="str">
        <f aca="false">IF(Q1111="","",IFERROR(Q1111/(1/(1/INDEX(CONFIG!$I$5:$I$14,MATCH(D1111,CONFIG!$D$5:$D$14,0)))),""))</f>
        <v/>
      </c>
      <c r="T1111" s="13"/>
      <c r="U1111" s="13"/>
      <c r="V1111" s="13"/>
      <c r="W1111" s="13"/>
      <c r="X1111" s="22" t="str">
        <f aca="false">IF(Q1111="","",Q1111^2)</f>
        <v/>
      </c>
      <c r="Y1111" s="22" t="str">
        <f aca="false">IF(AND(C1111&lt;&gt;"",C1111=CERTIFICADO!$E$4,OR(CERTIFICADO!$E$5="",B1111=CERTIFICADO!$E$5)),MAX($Y$4:Y1110)+1,"")</f>
        <v/>
      </c>
    </row>
    <row r="1112" customFormat="false" ht="15" hidden="false" customHeight="false" outlineLevel="0" collapsed="false">
      <c r="A1112" s="11" t="str">
        <f aca="false">IF(C1112="","",ROW()-4)</f>
        <v/>
      </c>
      <c r="B1112" s="12"/>
      <c r="C1112" s="13"/>
      <c r="D1112" s="23" t="str">
        <f aca="false">IF(C1112="","",IFERROR(INDEX(LOTES!$D$5:$D$1004,MATCH(C1112,LOTES!$F$5:$F$1004,0)),"¿Lote?"))</f>
        <v/>
      </c>
      <c r="E1112" s="11" t="str">
        <f aca="false">IF(C1112="","",IFERROR(INDEX(LOTES!$C$5:$C$1004,MATCH(C1112,LOTES!$F$5:$F$1004,0)),""))</f>
        <v/>
      </c>
      <c r="F1112" s="24" t="str">
        <f aca="false">IF(C1112="","",IFERROR(INDEX(LOTES!$B$5:$B$1004,MATCH(C1112,LOTES!$F$5:$F$1004,0)),""))</f>
        <v/>
      </c>
      <c r="G1112" s="15" t="str">
        <f aca="false">IF(OR(B1112="",F1112=""),"",B1112-F1112)</f>
        <v/>
      </c>
      <c r="H1112" s="13"/>
      <c r="I1112" s="13"/>
      <c r="J1112" s="13"/>
      <c r="K1112" s="25"/>
      <c r="L1112" s="25"/>
      <c r="M1112" s="25"/>
      <c r="N1112" s="25"/>
      <c r="O1112" s="26"/>
      <c r="P1112" s="16" t="str">
        <f aca="false">IF(O1112="","",IFERROR(1/(1/(IF(K1112="",INDEX(CONFIG!$F$5:$F$14,MATCH(D1112,CONFIG!$D$5:$D$14,0)),K1112)*IF(M1112="",INDEX(CONFIG!$H$5:$H$14,MATCH(D1112,CONFIG!$D$5:$D$14,0)),M1112))),""))</f>
        <v/>
      </c>
      <c r="Q1112" s="16" t="str">
        <f aca="false">IF(OR(O1112="",P1112=""),"",O1112/P1112)</f>
        <v/>
      </c>
      <c r="R1112" s="16" t="str">
        <f aca="false">IF(Q1112="","",Q1112*0.0980665)</f>
        <v/>
      </c>
      <c r="S1112" s="16" t="str">
        <f aca="false">IF(Q1112="","",IFERROR(Q1112/(1/(1/INDEX(CONFIG!$I$5:$I$14,MATCH(D1112,CONFIG!$D$5:$D$14,0)))),""))</f>
        <v/>
      </c>
      <c r="T1112" s="13"/>
      <c r="U1112" s="13"/>
      <c r="V1112" s="13"/>
      <c r="W1112" s="13"/>
      <c r="X1112" s="22" t="str">
        <f aca="false">IF(Q1112="","",Q1112^2)</f>
        <v/>
      </c>
      <c r="Y1112" s="22" t="str">
        <f aca="false">IF(AND(C1112&lt;&gt;"",C1112=CERTIFICADO!$E$4,OR(CERTIFICADO!$E$5="",B1112=CERTIFICADO!$E$5)),MAX($Y$4:Y1111)+1,"")</f>
        <v/>
      </c>
    </row>
    <row r="1113" customFormat="false" ht="15" hidden="false" customHeight="false" outlineLevel="0" collapsed="false">
      <c r="A1113" s="11" t="str">
        <f aca="false">IF(C1113="","",ROW()-4)</f>
        <v/>
      </c>
      <c r="B1113" s="12"/>
      <c r="C1113" s="13"/>
      <c r="D1113" s="23" t="str">
        <f aca="false">IF(C1113="","",IFERROR(INDEX(LOTES!$D$5:$D$1004,MATCH(C1113,LOTES!$F$5:$F$1004,0)),"¿Lote?"))</f>
        <v/>
      </c>
      <c r="E1113" s="11" t="str">
        <f aca="false">IF(C1113="","",IFERROR(INDEX(LOTES!$C$5:$C$1004,MATCH(C1113,LOTES!$F$5:$F$1004,0)),""))</f>
        <v/>
      </c>
      <c r="F1113" s="24" t="str">
        <f aca="false">IF(C1113="","",IFERROR(INDEX(LOTES!$B$5:$B$1004,MATCH(C1113,LOTES!$F$5:$F$1004,0)),""))</f>
        <v/>
      </c>
      <c r="G1113" s="15" t="str">
        <f aca="false">IF(OR(B1113="",F1113=""),"",B1113-F1113)</f>
        <v/>
      </c>
      <c r="H1113" s="13"/>
      <c r="I1113" s="13"/>
      <c r="J1113" s="13"/>
      <c r="K1113" s="25"/>
      <c r="L1113" s="25"/>
      <c r="M1113" s="25"/>
      <c r="N1113" s="25"/>
      <c r="O1113" s="26"/>
      <c r="P1113" s="16" t="str">
        <f aca="false">IF(O1113="","",IFERROR(1/(1/(IF(K1113="",INDEX(CONFIG!$F$5:$F$14,MATCH(D1113,CONFIG!$D$5:$D$14,0)),K1113)*IF(M1113="",INDEX(CONFIG!$H$5:$H$14,MATCH(D1113,CONFIG!$D$5:$D$14,0)),M1113))),""))</f>
        <v/>
      </c>
      <c r="Q1113" s="16" t="str">
        <f aca="false">IF(OR(O1113="",P1113=""),"",O1113/P1113)</f>
        <v/>
      </c>
      <c r="R1113" s="16" t="str">
        <f aca="false">IF(Q1113="","",Q1113*0.0980665)</f>
        <v/>
      </c>
      <c r="S1113" s="16" t="str">
        <f aca="false">IF(Q1113="","",IFERROR(Q1113/(1/(1/INDEX(CONFIG!$I$5:$I$14,MATCH(D1113,CONFIG!$D$5:$D$14,0)))),""))</f>
        <v/>
      </c>
      <c r="T1113" s="13"/>
      <c r="U1113" s="13"/>
      <c r="V1113" s="13"/>
      <c r="W1113" s="13"/>
      <c r="X1113" s="22" t="str">
        <f aca="false">IF(Q1113="","",Q1113^2)</f>
        <v/>
      </c>
      <c r="Y1113" s="22" t="str">
        <f aca="false">IF(AND(C1113&lt;&gt;"",C1113=CERTIFICADO!$E$4,OR(CERTIFICADO!$E$5="",B1113=CERTIFICADO!$E$5)),MAX($Y$4:Y1112)+1,"")</f>
        <v/>
      </c>
    </row>
    <row r="1114" customFormat="false" ht="15" hidden="false" customHeight="false" outlineLevel="0" collapsed="false">
      <c r="A1114" s="11" t="str">
        <f aca="false">IF(C1114="","",ROW()-4)</f>
        <v/>
      </c>
      <c r="B1114" s="12"/>
      <c r="C1114" s="13"/>
      <c r="D1114" s="23" t="str">
        <f aca="false">IF(C1114="","",IFERROR(INDEX(LOTES!$D$5:$D$1004,MATCH(C1114,LOTES!$F$5:$F$1004,0)),"¿Lote?"))</f>
        <v/>
      </c>
      <c r="E1114" s="11" t="str">
        <f aca="false">IF(C1114="","",IFERROR(INDEX(LOTES!$C$5:$C$1004,MATCH(C1114,LOTES!$F$5:$F$1004,0)),""))</f>
        <v/>
      </c>
      <c r="F1114" s="24" t="str">
        <f aca="false">IF(C1114="","",IFERROR(INDEX(LOTES!$B$5:$B$1004,MATCH(C1114,LOTES!$F$5:$F$1004,0)),""))</f>
        <v/>
      </c>
      <c r="G1114" s="15" t="str">
        <f aca="false">IF(OR(B1114="",F1114=""),"",B1114-F1114)</f>
        <v/>
      </c>
      <c r="H1114" s="13"/>
      <c r="I1114" s="13"/>
      <c r="J1114" s="13"/>
      <c r="K1114" s="25"/>
      <c r="L1114" s="25"/>
      <c r="M1114" s="25"/>
      <c r="N1114" s="25"/>
      <c r="O1114" s="26"/>
      <c r="P1114" s="16" t="str">
        <f aca="false">IF(O1114="","",IFERROR(1/(1/(IF(K1114="",INDEX(CONFIG!$F$5:$F$14,MATCH(D1114,CONFIG!$D$5:$D$14,0)),K1114)*IF(M1114="",INDEX(CONFIG!$H$5:$H$14,MATCH(D1114,CONFIG!$D$5:$D$14,0)),M1114))),""))</f>
        <v/>
      </c>
      <c r="Q1114" s="16" t="str">
        <f aca="false">IF(OR(O1114="",P1114=""),"",O1114/P1114)</f>
        <v/>
      </c>
      <c r="R1114" s="16" t="str">
        <f aca="false">IF(Q1114="","",Q1114*0.0980665)</f>
        <v/>
      </c>
      <c r="S1114" s="16" t="str">
        <f aca="false">IF(Q1114="","",IFERROR(Q1114/(1/(1/INDEX(CONFIG!$I$5:$I$14,MATCH(D1114,CONFIG!$D$5:$D$14,0)))),""))</f>
        <v/>
      </c>
      <c r="T1114" s="13"/>
      <c r="U1114" s="13"/>
      <c r="V1114" s="13"/>
      <c r="W1114" s="13"/>
      <c r="X1114" s="22" t="str">
        <f aca="false">IF(Q1114="","",Q1114^2)</f>
        <v/>
      </c>
      <c r="Y1114" s="22" t="str">
        <f aca="false">IF(AND(C1114&lt;&gt;"",C1114=CERTIFICADO!$E$4,OR(CERTIFICADO!$E$5="",B1114=CERTIFICADO!$E$5)),MAX($Y$4:Y1113)+1,"")</f>
        <v/>
      </c>
    </row>
    <row r="1115" customFormat="false" ht="15" hidden="false" customHeight="false" outlineLevel="0" collapsed="false">
      <c r="A1115" s="11" t="str">
        <f aca="false">IF(C1115="","",ROW()-4)</f>
        <v/>
      </c>
      <c r="B1115" s="12"/>
      <c r="C1115" s="13"/>
      <c r="D1115" s="23" t="str">
        <f aca="false">IF(C1115="","",IFERROR(INDEX(LOTES!$D$5:$D$1004,MATCH(C1115,LOTES!$F$5:$F$1004,0)),"¿Lote?"))</f>
        <v/>
      </c>
      <c r="E1115" s="11" t="str">
        <f aca="false">IF(C1115="","",IFERROR(INDEX(LOTES!$C$5:$C$1004,MATCH(C1115,LOTES!$F$5:$F$1004,0)),""))</f>
        <v/>
      </c>
      <c r="F1115" s="24" t="str">
        <f aca="false">IF(C1115="","",IFERROR(INDEX(LOTES!$B$5:$B$1004,MATCH(C1115,LOTES!$F$5:$F$1004,0)),""))</f>
        <v/>
      </c>
      <c r="G1115" s="15" t="str">
        <f aca="false">IF(OR(B1115="",F1115=""),"",B1115-F1115)</f>
        <v/>
      </c>
      <c r="H1115" s="13"/>
      <c r="I1115" s="13"/>
      <c r="J1115" s="13"/>
      <c r="K1115" s="25"/>
      <c r="L1115" s="25"/>
      <c r="M1115" s="25"/>
      <c r="N1115" s="25"/>
      <c r="O1115" s="26"/>
      <c r="P1115" s="16" t="str">
        <f aca="false">IF(O1115="","",IFERROR(1/(1/(IF(K1115="",INDEX(CONFIG!$F$5:$F$14,MATCH(D1115,CONFIG!$D$5:$D$14,0)),K1115)*IF(M1115="",INDEX(CONFIG!$H$5:$H$14,MATCH(D1115,CONFIG!$D$5:$D$14,0)),M1115))),""))</f>
        <v/>
      </c>
      <c r="Q1115" s="16" t="str">
        <f aca="false">IF(OR(O1115="",P1115=""),"",O1115/P1115)</f>
        <v/>
      </c>
      <c r="R1115" s="16" t="str">
        <f aca="false">IF(Q1115="","",Q1115*0.0980665)</f>
        <v/>
      </c>
      <c r="S1115" s="16" t="str">
        <f aca="false">IF(Q1115="","",IFERROR(Q1115/(1/(1/INDEX(CONFIG!$I$5:$I$14,MATCH(D1115,CONFIG!$D$5:$D$14,0)))),""))</f>
        <v/>
      </c>
      <c r="T1115" s="13"/>
      <c r="U1115" s="13"/>
      <c r="V1115" s="13"/>
      <c r="W1115" s="13"/>
      <c r="X1115" s="22" t="str">
        <f aca="false">IF(Q1115="","",Q1115^2)</f>
        <v/>
      </c>
      <c r="Y1115" s="22" t="str">
        <f aca="false">IF(AND(C1115&lt;&gt;"",C1115=CERTIFICADO!$E$4,OR(CERTIFICADO!$E$5="",B1115=CERTIFICADO!$E$5)),MAX($Y$4:Y1114)+1,"")</f>
        <v/>
      </c>
    </row>
    <row r="1116" customFormat="false" ht="15" hidden="false" customHeight="false" outlineLevel="0" collapsed="false">
      <c r="A1116" s="11" t="str">
        <f aca="false">IF(C1116="","",ROW()-4)</f>
        <v/>
      </c>
      <c r="B1116" s="12"/>
      <c r="C1116" s="13"/>
      <c r="D1116" s="23" t="str">
        <f aca="false">IF(C1116="","",IFERROR(INDEX(LOTES!$D$5:$D$1004,MATCH(C1116,LOTES!$F$5:$F$1004,0)),"¿Lote?"))</f>
        <v/>
      </c>
      <c r="E1116" s="11" t="str">
        <f aca="false">IF(C1116="","",IFERROR(INDEX(LOTES!$C$5:$C$1004,MATCH(C1116,LOTES!$F$5:$F$1004,0)),""))</f>
        <v/>
      </c>
      <c r="F1116" s="24" t="str">
        <f aca="false">IF(C1116="","",IFERROR(INDEX(LOTES!$B$5:$B$1004,MATCH(C1116,LOTES!$F$5:$F$1004,0)),""))</f>
        <v/>
      </c>
      <c r="G1116" s="15" t="str">
        <f aca="false">IF(OR(B1116="",F1116=""),"",B1116-F1116)</f>
        <v/>
      </c>
      <c r="H1116" s="13"/>
      <c r="I1116" s="13"/>
      <c r="J1116" s="13"/>
      <c r="K1116" s="25"/>
      <c r="L1116" s="25"/>
      <c r="M1116" s="25"/>
      <c r="N1116" s="25"/>
      <c r="O1116" s="26"/>
      <c r="P1116" s="16" t="str">
        <f aca="false">IF(O1116="","",IFERROR(1/(1/(IF(K1116="",INDEX(CONFIG!$F$5:$F$14,MATCH(D1116,CONFIG!$D$5:$D$14,0)),K1116)*IF(M1116="",INDEX(CONFIG!$H$5:$H$14,MATCH(D1116,CONFIG!$D$5:$D$14,0)),M1116))),""))</f>
        <v/>
      </c>
      <c r="Q1116" s="16" t="str">
        <f aca="false">IF(OR(O1116="",P1116=""),"",O1116/P1116)</f>
        <v/>
      </c>
      <c r="R1116" s="16" t="str">
        <f aca="false">IF(Q1116="","",Q1116*0.0980665)</f>
        <v/>
      </c>
      <c r="S1116" s="16" t="str">
        <f aca="false">IF(Q1116="","",IFERROR(Q1116/(1/(1/INDEX(CONFIG!$I$5:$I$14,MATCH(D1116,CONFIG!$D$5:$D$14,0)))),""))</f>
        <v/>
      </c>
      <c r="T1116" s="13"/>
      <c r="U1116" s="13"/>
      <c r="V1116" s="13"/>
      <c r="W1116" s="13"/>
      <c r="X1116" s="22" t="str">
        <f aca="false">IF(Q1116="","",Q1116^2)</f>
        <v/>
      </c>
      <c r="Y1116" s="22" t="str">
        <f aca="false">IF(AND(C1116&lt;&gt;"",C1116=CERTIFICADO!$E$4,OR(CERTIFICADO!$E$5="",B1116=CERTIFICADO!$E$5)),MAX($Y$4:Y1115)+1,"")</f>
        <v/>
      </c>
    </row>
    <row r="1117" customFormat="false" ht="15" hidden="false" customHeight="false" outlineLevel="0" collapsed="false">
      <c r="A1117" s="11" t="str">
        <f aca="false">IF(C1117="","",ROW()-4)</f>
        <v/>
      </c>
      <c r="B1117" s="12"/>
      <c r="C1117" s="13"/>
      <c r="D1117" s="23" t="str">
        <f aca="false">IF(C1117="","",IFERROR(INDEX(LOTES!$D$5:$D$1004,MATCH(C1117,LOTES!$F$5:$F$1004,0)),"¿Lote?"))</f>
        <v/>
      </c>
      <c r="E1117" s="11" t="str">
        <f aca="false">IF(C1117="","",IFERROR(INDEX(LOTES!$C$5:$C$1004,MATCH(C1117,LOTES!$F$5:$F$1004,0)),""))</f>
        <v/>
      </c>
      <c r="F1117" s="24" t="str">
        <f aca="false">IF(C1117="","",IFERROR(INDEX(LOTES!$B$5:$B$1004,MATCH(C1117,LOTES!$F$5:$F$1004,0)),""))</f>
        <v/>
      </c>
      <c r="G1117" s="15" t="str">
        <f aca="false">IF(OR(B1117="",F1117=""),"",B1117-F1117)</f>
        <v/>
      </c>
      <c r="H1117" s="13"/>
      <c r="I1117" s="13"/>
      <c r="J1117" s="13"/>
      <c r="K1117" s="25"/>
      <c r="L1117" s="25"/>
      <c r="M1117" s="25"/>
      <c r="N1117" s="25"/>
      <c r="O1117" s="26"/>
      <c r="P1117" s="16" t="str">
        <f aca="false">IF(O1117="","",IFERROR(1/(1/(IF(K1117="",INDEX(CONFIG!$F$5:$F$14,MATCH(D1117,CONFIG!$D$5:$D$14,0)),K1117)*IF(M1117="",INDEX(CONFIG!$H$5:$H$14,MATCH(D1117,CONFIG!$D$5:$D$14,0)),M1117))),""))</f>
        <v/>
      </c>
      <c r="Q1117" s="16" t="str">
        <f aca="false">IF(OR(O1117="",P1117=""),"",O1117/P1117)</f>
        <v/>
      </c>
      <c r="R1117" s="16" t="str">
        <f aca="false">IF(Q1117="","",Q1117*0.0980665)</f>
        <v/>
      </c>
      <c r="S1117" s="16" t="str">
        <f aca="false">IF(Q1117="","",IFERROR(Q1117/(1/(1/INDEX(CONFIG!$I$5:$I$14,MATCH(D1117,CONFIG!$D$5:$D$14,0)))),""))</f>
        <v/>
      </c>
      <c r="T1117" s="13"/>
      <c r="U1117" s="13"/>
      <c r="V1117" s="13"/>
      <c r="W1117" s="13"/>
      <c r="X1117" s="22" t="str">
        <f aca="false">IF(Q1117="","",Q1117^2)</f>
        <v/>
      </c>
      <c r="Y1117" s="22" t="str">
        <f aca="false">IF(AND(C1117&lt;&gt;"",C1117=CERTIFICADO!$E$4,OR(CERTIFICADO!$E$5="",B1117=CERTIFICADO!$E$5)),MAX($Y$4:Y1116)+1,"")</f>
        <v/>
      </c>
    </row>
    <row r="1118" customFormat="false" ht="15" hidden="false" customHeight="false" outlineLevel="0" collapsed="false">
      <c r="A1118" s="11" t="str">
        <f aca="false">IF(C1118="","",ROW()-4)</f>
        <v/>
      </c>
      <c r="B1118" s="12"/>
      <c r="C1118" s="13"/>
      <c r="D1118" s="23" t="str">
        <f aca="false">IF(C1118="","",IFERROR(INDEX(LOTES!$D$5:$D$1004,MATCH(C1118,LOTES!$F$5:$F$1004,0)),"¿Lote?"))</f>
        <v/>
      </c>
      <c r="E1118" s="11" t="str">
        <f aca="false">IF(C1118="","",IFERROR(INDEX(LOTES!$C$5:$C$1004,MATCH(C1118,LOTES!$F$5:$F$1004,0)),""))</f>
        <v/>
      </c>
      <c r="F1118" s="24" t="str">
        <f aca="false">IF(C1118="","",IFERROR(INDEX(LOTES!$B$5:$B$1004,MATCH(C1118,LOTES!$F$5:$F$1004,0)),""))</f>
        <v/>
      </c>
      <c r="G1118" s="15" t="str">
        <f aca="false">IF(OR(B1118="",F1118=""),"",B1118-F1118)</f>
        <v/>
      </c>
      <c r="H1118" s="13"/>
      <c r="I1118" s="13"/>
      <c r="J1118" s="13"/>
      <c r="K1118" s="25"/>
      <c r="L1118" s="25"/>
      <c r="M1118" s="25"/>
      <c r="N1118" s="25"/>
      <c r="O1118" s="26"/>
      <c r="P1118" s="16" t="str">
        <f aca="false">IF(O1118="","",IFERROR(1/(1/(IF(K1118="",INDEX(CONFIG!$F$5:$F$14,MATCH(D1118,CONFIG!$D$5:$D$14,0)),K1118)*IF(M1118="",INDEX(CONFIG!$H$5:$H$14,MATCH(D1118,CONFIG!$D$5:$D$14,0)),M1118))),""))</f>
        <v/>
      </c>
      <c r="Q1118" s="16" t="str">
        <f aca="false">IF(OR(O1118="",P1118=""),"",O1118/P1118)</f>
        <v/>
      </c>
      <c r="R1118" s="16" t="str">
        <f aca="false">IF(Q1118="","",Q1118*0.0980665)</f>
        <v/>
      </c>
      <c r="S1118" s="16" t="str">
        <f aca="false">IF(Q1118="","",IFERROR(Q1118/(1/(1/INDEX(CONFIG!$I$5:$I$14,MATCH(D1118,CONFIG!$D$5:$D$14,0)))),""))</f>
        <v/>
      </c>
      <c r="T1118" s="13"/>
      <c r="U1118" s="13"/>
      <c r="V1118" s="13"/>
      <c r="W1118" s="13"/>
      <c r="X1118" s="22" t="str">
        <f aca="false">IF(Q1118="","",Q1118^2)</f>
        <v/>
      </c>
      <c r="Y1118" s="22" t="str">
        <f aca="false">IF(AND(C1118&lt;&gt;"",C1118=CERTIFICADO!$E$4,OR(CERTIFICADO!$E$5="",B1118=CERTIFICADO!$E$5)),MAX($Y$4:Y1117)+1,"")</f>
        <v/>
      </c>
    </row>
    <row r="1119" customFormat="false" ht="15" hidden="false" customHeight="false" outlineLevel="0" collapsed="false">
      <c r="A1119" s="11" t="str">
        <f aca="false">IF(C1119="","",ROW()-4)</f>
        <v/>
      </c>
      <c r="B1119" s="12"/>
      <c r="C1119" s="13"/>
      <c r="D1119" s="23" t="str">
        <f aca="false">IF(C1119="","",IFERROR(INDEX(LOTES!$D$5:$D$1004,MATCH(C1119,LOTES!$F$5:$F$1004,0)),"¿Lote?"))</f>
        <v/>
      </c>
      <c r="E1119" s="11" t="str">
        <f aca="false">IF(C1119="","",IFERROR(INDEX(LOTES!$C$5:$C$1004,MATCH(C1119,LOTES!$F$5:$F$1004,0)),""))</f>
        <v/>
      </c>
      <c r="F1119" s="24" t="str">
        <f aca="false">IF(C1119="","",IFERROR(INDEX(LOTES!$B$5:$B$1004,MATCH(C1119,LOTES!$F$5:$F$1004,0)),""))</f>
        <v/>
      </c>
      <c r="G1119" s="15" t="str">
        <f aca="false">IF(OR(B1119="",F1119=""),"",B1119-F1119)</f>
        <v/>
      </c>
      <c r="H1119" s="13"/>
      <c r="I1119" s="13"/>
      <c r="J1119" s="13"/>
      <c r="K1119" s="25"/>
      <c r="L1119" s="25"/>
      <c r="M1119" s="25"/>
      <c r="N1119" s="25"/>
      <c r="O1119" s="26"/>
      <c r="P1119" s="16" t="str">
        <f aca="false">IF(O1119="","",IFERROR(1/(1/(IF(K1119="",INDEX(CONFIG!$F$5:$F$14,MATCH(D1119,CONFIG!$D$5:$D$14,0)),K1119)*IF(M1119="",INDEX(CONFIG!$H$5:$H$14,MATCH(D1119,CONFIG!$D$5:$D$14,0)),M1119))),""))</f>
        <v/>
      </c>
      <c r="Q1119" s="16" t="str">
        <f aca="false">IF(OR(O1119="",P1119=""),"",O1119/P1119)</f>
        <v/>
      </c>
      <c r="R1119" s="16" t="str">
        <f aca="false">IF(Q1119="","",Q1119*0.0980665)</f>
        <v/>
      </c>
      <c r="S1119" s="16" t="str">
        <f aca="false">IF(Q1119="","",IFERROR(Q1119/(1/(1/INDEX(CONFIG!$I$5:$I$14,MATCH(D1119,CONFIG!$D$5:$D$14,0)))),""))</f>
        <v/>
      </c>
      <c r="T1119" s="13"/>
      <c r="U1119" s="13"/>
      <c r="V1119" s="13"/>
      <c r="W1119" s="13"/>
      <c r="X1119" s="22" t="str">
        <f aca="false">IF(Q1119="","",Q1119^2)</f>
        <v/>
      </c>
      <c r="Y1119" s="22" t="str">
        <f aca="false">IF(AND(C1119&lt;&gt;"",C1119=CERTIFICADO!$E$4,OR(CERTIFICADO!$E$5="",B1119=CERTIFICADO!$E$5)),MAX($Y$4:Y1118)+1,"")</f>
        <v/>
      </c>
    </row>
    <row r="1120" customFormat="false" ht="15" hidden="false" customHeight="false" outlineLevel="0" collapsed="false">
      <c r="A1120" s="11" t="str">
        <f aca="false">IF(C1120="","",ROW()-4)</f>
        <v/>
      </c>
      <c r="B1120" s="12"/>
      <c r="C1120" s="13"/>
      <c r="D1120" s="23" t="str">
        <f aca="false">IF(C1120="","",IFERROR(INDEX(LOTES!$D$5:$D$1004,MATCH(C1120,LOTES!$F$5:$F$1004,0)),"¿Lote?"))</f>
        <v/>
      </c>
      <c r="E1120" s="11" t="str">
        <f aca="false">IF(C1120="","",IFERROR(INDEX(LOTES!$C$5:$C$1004,MATCH(C1120,LOTES!$F$5:$F$1004,0)),""))</f>
        <v/>
      </c>
      <c r="F1120" s="24" t="str">
        <f aca="false">IF(C1120="","",IFERROR(INDEX(LOTES!$B$5:$B$1004,MATCH(C1120,LOTES!$F$5:$F$1004,0)),""))</f>
        <v/>
      </c>
      <c r="G1120" s="15" t="str">
        <f aca="false">IF(OR(B1120="",F1120=""),"",B1120-F1120)</f>
        <v/>
      </c>
      <c r="H1120" s="13"/>
      <c r="I1120" s="13"/>
      <c r="J1120" s="13"/>
      <c r="K1120" s="25"/>
      <c r="L1120" s="25"/>
      <c r="M1120" s="25"/>
      <c r="N1120" s="25"/>
      <c r="O1120" s="26"/>
      <c r="P1120" s="16" t="str">
        <f aca="false">IF(O1120="","",IFERROR(1/(1/(IF(K1120="",INDEX(CONFIG!$F$5:$F$14,MATCH(D1120,CONFIG!$D$5:$D$14,0)),K1120)*IF(M1120="",INDEX(CONFIG!$H$5:$H$14,MATCH(D1120,CONFIG!$D$5:$D$14,0)),M1120))),""))</f>
        <v/>
      </c>
      <c r="Q1120" s="16" t="str">
        <f aca="false">IF(OR(O1120="",P1120=""),"",O1120/P1120)</f>
        <v/>
      </c>
      <c r="R1120" s="16" t="str">
        <f aca="false">IF(Q1120="","",Q1120*0.0980665)</f>
        <v/>
      </c>
      <c r="S1120" s="16" t="str">
        <f aca="false">IF(Q1120="","",IFERROR(Q1120/(1/(1/INDEX(CONFIG!$I$5:$I$14,MATCH(D1120,CONFIG!$D$5:$D$14,0)))),""))</f>
        <v/>
      </c>
      <c r="T1120" s="13"/>
      <c r="U1120" s="13"/>
      <c r="V1120" s="13"/>
      <c r="W1120" s="13"/>
      <c r="X1120" s="22" t="str">
        <f aca="false">IF(Q1120="","",Q1120^2)</f>
        <v/>
      </c>
      <c r="Y1120" s="22" t="str">
        <f aca="false">IF(AND(C1120&lt;&gt;"",C1120=CERTIFICADO!$E$4,OR(CERTIFICADO!$E$5="",B1120=CERTIFICADO!$E$5)),MAX($Y$4:Y1119)+1,"")</f>
        <v/>
      </c>
    </row>
    <row r="1121" customFormat="false" ht="15" hidden="false" customHeight="false" outlineLevel="0" collapsed="false">
      <c r="A1121" s="11" t="str">
        <f aca="false">IF(C1121="","",ROW()-4)</f>
        <v/>
      </c>
      <c r="B1121" s="12"/>
      <c r="C1121" s="13"/>
      <c r="D1121" s="23" t="str">
        <f aca="false">IF(C1121="","",IFERROR(INDEX(LOTES!$D$5:$D$1004,MATCH(C1121,LOTES!$F$5:$F$1004,0)),"¿Lote?"))</f>
        <v/>
      </c>
      <c r="E1121" s="11" t="str">
        <f aca="false">IF(C1121="","",IFERROR(INDEX(LOTES!$C$5:$C$1004,MATCH(C1121,LOTES!$F$5:$F$1004,0)),""))</f>
        <v/>
      </c>
      <c r="F1121" s="24" t="str">
        <f aca="false">IF(C1121="","",IFERROR(INDEX(LOTES!$B$5:$B$1004,MATCH(C1121,LOTES!$F$5:$F$1004,0)),""))</f>
        <v/>
      </c>
      <c r="G1121" s="15" t="str">
        <f aca="false">IF(OR(B1121="",F1121=""),"",B1121-F1121)</f>
        <v/>
      </c>
      <c r="H1121" s="13"/>
      <c r="I1121" s="13"/>
      <c r="J1121" s="13"/>
      <c r="K1121" s="25"/>
      <c r="L1121" s="25"/>
      <c r="M1121" s="25"/>
      <c r="N1121" s="25"/>
      <c r="O1121" s="26"/>
      <c r="P1121" s="16" t="str">
        <f aca="false">IF(O1121="","",IFERROR(1/(1/(IF(K1121="",INDEX(CONFIG!$F$5:$F$14,MATCH(D1121,CONFIG!$D$5:$D$14,0)),K1121)*IF(M1121="",INDEX(CONFIG!$H$5:$H$14,MATCH(D1121,CONFIG!$D$5:$D$14,0)),M1121))),""))</f>
        <v/>
      </c>
      <c r="Q1121" s="16" t="str">
        <f aca="false">IF(OR(O1121="",P1121=""),"",O1121/P1121)</f>
        <v/>
      </c>
      <c r="R1121" s="16" t="str">
        <f aca="false">IF(Q1121="","",Q1121*0.0980665)</f>
        <v/>
      </c>
      <c r="S1121" s="16" t="str">
        <f aca="false">IF(Q1121="","",IFERROR(Q1121/(1/(1/INDEX(CONFIG!$I$5:$I$14,MATCH(D1121,CONFIG!$D$5:$D$14,0)))),""))</f>
        <v/>
      </c>
      <c r="T1121" s="13"/>
      <c r="U1121" s="13"/>
      <c r="V1121" s="13"/>
      <c r="W1121" s="13"/>
      <c r="X1121" s="22" t="str">
        <f aca="false">IF(Q1121="","",Q1121^2)</f>
        <v/>
      </c>
      <c r="Y1121" s="22" t="str">
        <f aca="false">IF(AND(C1121&lt;&gt;"",C1121=CERTIFICADO!$E$4,OR(CERTIFICADO!$E$5="",B1121=CERTIFICADO!$E$5)),MAX($Y$4:Y1120)+1,"")</f>
        <v/>
      </c>
    </row>
    <row r="1122" customFormat="false" ht="15" hidden="false" customHeight="false" outlineLevel="0" collapsed="false">
      <c r="A1122" s="11" t="str">
        <f aca="false">IF(C1122="","",ROW()-4)</f>
        <v/>
      </c>
      <c r="B1122" s="12"/>
      <c r="C1122" s="13"/>
      <c r="D1122" s="23" t="str">
        <f aca="false">IF(C1122="","",IFERROR(INDEX(LOTES!$D$5:$D$1004,MATCH(C1122,LOTES!$F$5:$F$1004,0)),"¿Lote?"))</f>
        <v/>
      </c>
      <c r="E1122" s="11" t="str">
        <f aca="false">IF(C1122="","",IFERROR(INDEX(LOTES!$C$5:$C$1004,MATCH(C1122,LOTES!$F$5:$F$1004,0)),""))</f>
        <v/>
      </c>
      <c r="F1122" s="24" t="str">
        <f aca="false">IF(C1122="","",IFERROR(INDEX(LOTES!$B$5:$B$1004,MATCH(C1122,LOTES!$F$5:$F$1004,0)),""))</f>
        <v/>
      </c>
      <c r="G1122" s="15" t="str">
        <f aca="false">IF(OR(B1122="",F1122=""),"",B1122-F1122)</f>
        <v/>
      </c>
      <c r="H1122" s="13"/>
      <c r="I1122" s="13"/>
      <c r="J1122" s="13"/>
      <c r="K1122" s="25"/>
      <c r="L1122" s="25"/>
      <c r="M1122" s="25"/>
      <c r="N1122" s="25"/>
      <c r="O1122" s="26"/>
      <c r="P1122" s="16" t="str">
        <f aca="false">IF(O1122="","",IFERROR(1/(1/(IF(K1122="",INDEX(CONFIG!$F$5:$F$14,MATCH(D1122,CONFIG!$D$5:$D$14,0)),K1122)*IF(M1122="",INDEX(CONFIG!$H$5:$H$14,MATCH(D1122,CONFIG!$D$5:$D$14,0)),M1122))),""))</f>
        <v/>
      </c>
      <c r="Q1122" s="16" t="str">
        <f aca="false">IF(OR(O1122="",P1122=""),"",O1122/P1122)</f>
        <v/>
      </c>
      <c r="R1122" s="16" t="str">
        <f aca="false">IF(Q1122="","",Q1122*0.0980665)</f>
        <v/>
      </c>
      <c r="S1122" s="16" t="str">
        <f aca="false">IF(Q1122="","",IFERROR(Q1122/(1/(1/INDEX(CONFIG!$I$5:$I$14,MATCH(D1122,CONFIG!$D$5:$D$14,0)))),""))</f>
        <v/>
      </c>
      <c r="T1122" s="13"/>
      <c r="U1122" s="13"/>
      <c r="V1122" s="13"/>
      <c r="W1122" s="13"/>
      <c r="X1122" s="22" t="str">
        <f aca="false">IF(Q1122="","",Q1122^2)</f>
        <v/>
      </c>
      <c r="Y1122" s="22" t="str">
        <f aca="false">IF(AND(C1122&lt;&gt;"",C1122=CERTIFICADO!$E$4,OR(CERTIFICADO!$E$5="",B1122=CERTIFICADO!$E$5)),MAX($Y$4:Y1121)+1,"")</f>
        <v/>
      </c>
    </row>
    <row r="1123" customFormat="false" ht="15" hidden="false" customHeight="false" outlineLevel="0" collapsed="false">
      <c r="A1123" s="11" t="str">
        <f aca="false">IF(C1123="","",ROW()-4)</f>
        <v/>
      </c>
      <c r="B1123" s="12"/>
      <c r="C1123" s="13"/>
      <c r="D1123" s="23" t="str">
        <f aca="false">IF(C1123="","",IFERROR(INDEX(LOTES!$D$5:$D$1004,MATCH(C1123,LOTES!$F$5:$F$1004,0)),"¿Lote?"))</f>
        <v/>
      </c>
      <c r="E1123" s="11" t="str">
        <f aca="false">IF(C1123="","",IFERROR(INDEX(LOTES!$C$5:$C$1004,MATCH(C1123,LOTES!$F$5:$F$1004,0)),""))</f>
        <v/>
      </c>
      <c r="F1123" s="24" t="str">
        <f aca="false">IF(C1123="","",IFERROR(INDEX(LOTES!$B$5:$B$1004,MATCH(C1123,LOTES!$F$5:$F$1004,0)),""))</f>
        <v/>
      </c>
      <c r="G1123" s="15" t="str">
        <f aca="false">IF(OR(B1123="",F1123=""),"",B1123-F1123)</f>
        <v/>
      </c>
      <c r="H1123" s="13"/>
      <c r="I1123" s="13"/>
      <c r="J1123" s="13"/>
      <c r="K1123" s="25"/>
      <c r="L1123" s="25"/>
      <c r="M1123" s="25"/>
      <c r="N1123" s="25"/>
      <c r="O1123" s="26"/>
      <c r="P1123" s="16" t="str">
        <f aca="false">IF(O1123="","",IFERROR(1/(1/(IF(K1123="",INDEX(CONFIG!$F$5:$F$14,MATCH(D1123,CONFIG!$D$5:$D$14,0)),K1123)*IF(M1123="",INDEX(CONFIG!$H$5:$H$14,MATCH(D1123,CONFIG!$D$5:$D$14,0)),M1123))),""))</f>
        <v/>
      </c>
      <c r="Q1123" s="16" t="str">
        <f aca="false">IF(OR(O1123="",P1123=""),"",O1123/P1123)</f>
        <v/>
      </c>
      <c r="R1123" s="16" t="str">
        <f aca="false">IF(Q1123="","",Q1123*0.0980665)</f>
        <v/>
      </c>
      <c r="S1123" s="16" t="str">
        <f aca="false">IF(Q1123="","",IFERROR(Q1123/(1/(1/INDEX(CONFIG!$I$5:$I$14,MATCH(D1123,CONFIG!$D$5:$D$14,0)))),""))</f>
        <v/>
      </c>
      <c r="T1123" s="13"/>
      <c r="U1123" s="13"/>
      <c r="V1123" s="13"/>
      <c r="W1123" s="13"/>
      <c r="X1123" s="22" t="str">
        <f aca="false">IF(Q1123="","",Q1123^2)</f>
        <v/>
      </c>
      <c r="Y1123" s="22" t="str">
        <f aca="false">IF(AND(C1123&lt;&gt;"",C1123=CERTIFICADO!$E$4,OR(CERTIFICADO!$E$5="",B1123=CERTIFICADO!$E$5)),MAX($Y$4:Y1122)+1,"")</f>
        <v/>
      </c>
    </row>
    <row r="1124" customFormat="false" ht="15" hidden="false" customHeight="false" outlineLevel="0" collapsed="false">
      <c r="A1124" s="11" t="str">
        <f aca="false">IF(C1124="","",ROW()-4)</f>
        <v/>
      </c>
      <c r="B1124" s="12"/>
      <c r="C1124" s="13"/>
      <c r="D1124" s="23" t="str">
        <f aca="false">IF(C1124="","",IFERROR(INDEX(LOTES!$D$5:$D$1004,MATCH(C1124,LOTES!$F$5:$F$1004,0)),"¿Lote?"))</f>
        <v/>
      </c>
      <c r="E1124" s="11" t="str">
        <f aca="false">IF(C1124="","",IFERROR(INDEX(LOTES!$C$5:$C$1004,MATCH(C1124,LOTES!$F$5:$F$1004,0)),""))</f>
        <v/>
      </c>
      <c r="F1124" s="24" t="str">
        <f aca="false">IF(C1124="","",IFERROR(INDEX(LOTES!$B$5:$B$1004,MATCH(C1124,LOTES!$F$5:$F$1004,0)),""))</f>
        <v/>
      </c>
      <c r="G1124" s="15" t="str">
        <f aca="false">IF(OR(B1124="",F1124=""),"",B1124-F1124)</f>
        <v/>
      </c>
      <c r="H1124" s="13"/>
      <c r="I1124" s="13"/>
      <c r="J1124" s="13"/>
      <c r="K1124" s="25"/>
      <c r="L1124" s="25"/>
      <c r="M1124" s="25"/>
      <c r="N1124" s="25"/>
      <c r="O1124" s="26"/>
      <c r="P1124" s="16" t="str">
        <f aca="false">IF(O1124="","",IFERROR(1/(1/(IF(K1124="",INDEX(CONFIG!$F$5:$F$14,MATCH(D1124,CONFIG!$D$5:$D$14,0)),K1124)*IF(M1124="",INDEX(CONFIG!$H$5:$H$14,MATCH(D1124,CONFIG!$D$5:$D$14,0)),M1124))),""))</f>
        <v/>
      </c>
      <c r="Q1124" s="16" t="str">
        <f aca="false">IF(OR(O1124="",P1124=""),"",O1124/P1124)</f>
        <v/>
      </c>
      <c r="R1124" s="16" t="str">
        <f aca="false">IF(Q1124="","",Q1124*0.0980665)</f>
        <v/>
      </c>
      <c r="S1124" s="16" t="str">
        <f aca="false">IF(Q1124="","",IFERROR(Q1124/(1/(1/INDEX(CONFIG!$I$5:$I$14,MATCH(D1124,CONFIG!$D$5:$D$14,0)))),""))</f>
        <v/>
      </c>
      <c r="T1124" s="13"/>
      <c r="U1124" s="13"/>
      <c r="V1124" s="13"/>
      <c r="W1124" s="13"/>
      <c r="X1124" s="22" t="str">
        <f aca="false">IF(Q1124="","",Q1124^2)</f>
        <v/>
      </c>
      <c r="Y1124" s="22" t="str">
        <f aca="false">IF(AND(C1124&lt;&gt;"",C1124=CERTIFICADO!$E$4,OR(CERTIFICADO!$E$5="",B1124=CERTIFICADO!$E$5)),MAX($Y$4:Y1123)+1,"")</f>
        <v/>
      </c>
    </row>
    <row r="1125" customFormat="false" ht="15" hidden="false" customHeight="false" outlineLevel="0" collapsed="false">
      <c r="A1125" s="11" t="str">
        <f aca="false">IF(C1125="","",ROW()-4)</f>
        <v/>
      </c>
      <c r="B1125" s="12"/>
      <c r="C1125" s="13"/>
      <c r="D1125" s="23" t="str">
        <f aca="false">IF(C1125="","",IFERROR(INDEX(LOTES!$D$5:$D$1004,MATCH(C1125,LOTES!$F$5:$F$1004,0)),"¿Lote?"))</f>
        <v/>
      </c>
      <c r="E1125" s="11" t="str">
        <f aca="false">IF(C1125="","",IFERROR(INDEX(LOTES!$C$5:$C$1004,MATCH(C1125,LOTES!$F$5:$F$1004,0)),""))</f>
        <v/>
      </c>
      <c r="F1125" s="24" t="str">
        <f aca="false">IF(C1125="","",IFERROR(INDEX(LOTES!$B$5:$B$1004,MATCH(C1125,LOTES!$F$5:$F$1004,0)),""))</f>
        <v/>
      </c>
      <c r="G1125" s="15" t="str">
        <f aca="false">IF(OR(B1125="",F1125=""),"",B1125-F1125)</f>
        <v/>
      </c>
      <c r="H1125" s="13"/>
      <c r="I1125" s="13"/>
      <c r="J1125" s="13"/>
      <c r="K1125" s="25"/>
      <c r="L1125" s="25"/>
      <c r="M1125" s="25"/>
      <c r="N1125" s="25"/>
      <c r="O1125" s="26"/>
      <c r="P1125" s="16" t="str">
        <f aca="false">IF(O1125="","",IFERROR(1/(1/(IF(K1125="",INDEX(CONFIG!$F$5:$F$14,MATCH(D1125,CONFIG!$D$5:$D$14,0)),K1125)*IF(M1125="",INDEX(CONFIG!$H$5:$H$14,MATCH(D1125,CONFIG!$D$5:$D$14,0)),M1125))),""))</f>
        <v/>
      </c>
      <c r="Q1125" s="16" t="str">
        <f aca="false">IF(OR(O1125="",P1125=""),"",O1125/P1125)</f>
        <v/>
      </c>
      <c r="R1125" s="16" t="str">
        <f aca="false">IF(Q1125="","",Q1125*0.0980665)</f>
        <v/>
      </c>
      <c r="S1125" s="16" t="str">
        <f aca="false">IF(Q1125="","",IFERROR(Q1125/(1/(1/INDEX(CONFIG!$I$5:$I$14,MATCH(D1125,CONFIG!$D$5:$D$14,0)))),""))</f>
        <v/>
      </c>
      <c r="T1125" s="13"/>
      <c r="U1125" s="13"/>
      <c r="V1125" s="13"/>
      <c r="W1125" s="13"/>
      <c r="X1125" s="22" t="str">
        <f aca="false">IF(Q1125="","",Q1125^2)</f>
        <v/>
      </c>
      <c r="Y1125" s="22" t="str">
        <f aca="false">IF(AND(C1125&lt;&gt;"",C1125=CERTIFICADO!$E$4,OR(CERTIFICADO!$E$5="",B1125=CERTIFICADO!$E$5)),MAX($Y$4:Y1124)+1,"")</f>
        <v/>
      </c>
    </row>
    <row r="1126" customFormat="false" ht="15" hidden="false" customHeight="false" outlineLevel="0" collapsed="false">
      <c r="A1126" s="11" t="str">
        <f aca="false">IF(C1126="","",ROW()-4)</f>
        <v/>
      </c>
      <c r="B1126" s="12"/>
      <c r="C1126" s="13"/>
      <c r="D1126" s="23" t="str">
        <f aca="false">IF(C1126="","",IFERROR(INDEX(LOTES!$D$5:$D$1004,MATCH(C1126,LOTES!$F$5:$F$1004,0)),"¿Lote?"))</f>
        <v/>
      </c>
      <c r="E1126" s="11" t="str">
        <f aca="false">IF(C1126="","",IFERROR(INDEX(LOTES!$C$5:$C$1004,MATCH(C1126,LOTES!$F$5:$F$1004,0)),""))</f>
        <v/>
      </c>
      <c r="F1126" s="24" t="str">
        <f aca="false">IF(C1126="","",IFERROR(INDEX(LOTES!$B$5:$B$1004,MATCH(C1126,LOTES!$F$5:$F$1004,0)),""))</f>
        <v/>
      </c>
      <c r="G1126" s="15" t="str">
        <f aca="false">IF(OR(B1126="",F1126=""),"",B1126-F1126)</f>
        <v/>
      </c>
      <c r="H1126" s="13"/>
      <c r="I1126" s="13"/>
      <c r="J1126" s="13"/>
      <c r="K1126" s="25"/>
      <c r="L1126" s="25"/>
      <c r="M1126" s="25"/>
      <c r="N1126" s="25"/>
      <c r="O1126" s="26"/>
      <c r="P1126" s="16" t="str">
        <f aca="false">IF(O1126="","",IFERROR(1/(1/(IF(K1126="",INDEX(CONFIG!$F$5:$F$14,MATCH(D1126,CONFIG!$D$5:$D$14,0)),K1126)*IF(M1126="",INDEX(CONFIG!$H$5:$H$14,MATCH(D1126,CONFIG!$D$5:$D$14,0)),M1126))),""))</f>
        <v/>
      </c>
      <c r="Q1126" s="16" t="str">
        <f aca="false">IF(OR(O1126="",P1126=""),"",O1126/P1126)</f>
        <v/>
      </c>
      <c r="R1126" s="16" t="str">
        <f aca="false">IF(Q1126="","",Q1126*0.0980665)</f>
        <v/>
      </c>
      <c r="S1126" s="16" t="str">
        <f aca="false">IF(Q1126="","",IFERROR(Q1126/(1/(1/INDEX(CONFIG!$I$5:$I$14,MATCH(D1126,CONFIG!$D$5:$D$14,0)))),""))</f>
        <v/>
      </c>
      <c r="T1126" s="13"/>
      <c r="U1126" s="13"/>
      <c r="V1126" s="13"/>
      <c r="W1126" s="13"/>
      <c r="X1126" s="22" t="str">
        <f aca="false">IF(Q1126="","",Q1126^2)</f>
        <v/>
      </c>
      <c r="Y1126" s="22" t="str">
        <f aca="false">IF(AND(C1126&lt;&gt;"",C1126=CERTIFICADO!$E$4,OR(CERTIFICADO!$E$5="",B1126=CERTIFICADO!$E$5)),MAX($Y$4:Y1125)+1,"")</f>
        <v/>
      </c>
    </row>
    <row r="1127" customFormat="false" ht="15" hidden="false" customHeight="false" outlineLevel="0" collapsed="false">
      <c r="A1127" s="11" t="str">
        <f aca="false">IF(C1127="","",ROW()-4)</f>
        <v/>
      </c>
      <c r="B1127" s="12"/>
      <c r="C1127" s="13"/>
      <c r="D1127" s="23" t="str">
        <f aca="false">IF(C1127="","",IFERROR(INDEX(LOTES!$D$5:$D$1004,MATCH(C1127,LOTES!$F$5:$F$1004,0)),"¿Lote?"))</f>
        <v/>
      </c>
      <c r="E1127" s="11" t="str">
        <f aca="false">IF(C1127="","",IFERROR(INDEX(LOTES!$C$5:$C$1004,MATCH(C1127,LOTES!$F$5:$F$1004,0)),""))</f>
        <v/>
      </c>
      <c r="F1127" s="24" t="str">
        <f aca="false">IF(C1127="","",IFERROR(INDEX(LOTES!$B$5:$B$1004,MATCH(C1127,LOTES!$F$5:$F$1004,0)),""))</f>
        <v/>
      </c>
      <c r="G1127" s="15" t="str">
        <f aca="false">IF(OR(B1127="",F1127=""),"",B1127-F1127)</f>
        <v/>
      </c>
      <c r="H1127" s="13"/>
      <c r="I1127" s="13"/>
      <c r="J1127" s="13"/>
      <c r="K1127" s="25"/>
      <c r="L1127" s="25"/>
      <c r="M1127" s="25"/>
      <c r="N1127" s="25"/>
      <c r="O1127" s="26"/>
      <c r="P1127" s="16" t="str">
        <f aca="false">IF(O1127="","",IFERROR(1/(1/(IF(K1127="",INDEX(CONFIG!$F$5:$F$14,MATCH(D1127,CONFIG!$D$5:$D$14,0)),K1127)*IF(M1127="",INDEX(CONFIG!$H$5:$H$14,MATCH(D1127,CONFIG!$D$5:$D$14,0)),M1127))),""))</f>
        <v/>
      </c>
      <c r="Q1127" s="16" t="str">
        <f aca="false">IF(OR(O1127="",P1127=""),"",O1127/P1127)</f>
        <v/>
      </c>
      <c r="R1127" s="16" t="str">
        <f aca="false">IF(Q1127="","",Q1127*0.0980665)</f>
        <v/>
      </c>
      <c r="S1127" s="16" t="str">
        <f aca="false">IF(Q1127="","",IFERROR(Q1127/(1/(1/INDEX(CONFIG!$I$5:$I$14,MATCH(D1127,CONFIG!$D$5:$D$14,0)))),""))</f>
        <v/>
      </c>
      <c r="T1127" s="13"/>
      <c r="U1127" s="13"/>
      <c r="V1127" s="13"/>
      <c r="W1127" s="13"/>
      <c r="X1127" s="22" t="str">
        <f aca="false">IF(Q1127="","",Q1127^2)</f>
        <v/>
      </c>
      <c r="Y1127" s="22" t="str">
        <f aca="false">IF(AND(C1127&lt;&gt;"",C1127=CERTIFICADO!$E$4,OR(CERTIFICADO!$E$5="",B1127=CERTIFICADO!$E$5)),MAX($Y$4:Y1126)+1,"")</f>
        <v/>
      </c>
    </row>
    <row r="1128" customFormat="false" ht="15" hidden="false" customHeight="false" outlineLevel="0" collapsed="false">
      <c r="A1128" s="11" t="str">
        <f aca="false">IF(C1128="","",ROW()-4)</f>
        <v/>
      </c>
      <c r="B1128" s="12"/>
      <c r="C1128" s="13"/>
      <c r="D1128" s="23" t="str">
        <f aca="false">IF(C1128="","",IFERROR(INDEX(LOTES!$D$5:$D$1004,MATCH(C1128,LOTES!$F$5:$F$1004,0)),"¿Lote?"))</f>
        <v/>
      </c>
      <c r="E1128" s="11" t="str">
        <f aca="false">IF(C1128="","",IFERROR(INDEX(LOTES!$C$5:$C$1004,MATCH(C1128,LOTES!$F$5:$F$1004,0)),""))</f>
        <v/>
      </c>
      <c r="F1128" s="24" t="str">
        <f aca="false">IF(C1128="","",IFERROR(INDEX(LOTES!$B$5:$B$1004,MATCH(C1128,LOTES!$F$5:$F$1004,0)),""))</f>
        <v/>
      </c>
      <c r="G1128" s="15" t="str">
        <f aca="false">IF(OR(B1128="",F1128=""),"",B1128-F1128)</f>
        <v/>
      </c>
      <c r="H1128" s="13"/>
      <c r="I1128" s="13"/>
      <c r="J1128" s="13"/>
      <c r="K1128" s="25"/>
      <c r="L1128" s="25"/>
      <c r="M1128" s="25"/>
      <c r="N1128" s="25"/>
      <c r="O1128" s="26"/>
      <c r="P1128" s="16" t="str">
        <f aca="false">IF(O1128="","",IFERROR(1/(1/(IF(K1128="",INDEX(CONFIG!$F$5:$F$14,MATCH(D1128,CONFIG!$D$5:$D$14,0)),K1128)*IF(M1128="",INDEX(CONFIG!$H$5:$H$14,MATCH(D1128,CONFIG!$D$5:$D$14,0)),M1128))),""))</f>
        <v/>
      </c>
      <c r="Q1128" s="16" t="str">
        <f aca="false">IF(OR(O1128="",P1128=""),"",O1128/P1128)</f>
        <v/>
      </c>
      <c r="R1128" s="16" t="str">
        <f aca="false">IF(Q1128="","",Q1128*0.0980665)</f>
        <v/>
      </c>
      <c r="S1128" s="16" t="str">
        <f aca="false">IF(Q1128="","",IFERROR(Q1128/(1/(1/INDEX(CONFIG!$I$5:$I$14,MATCH(D1128,CONFIG!$D$5:$D$14,0)))),""))</f>
        <v/>
      </c>
      <c r="T1128" s="13"/>
      <c r="U1128" s="13"/>
      <c r="V1128" s="13"/>
      <c r="W1128" s="13"/>
      <c r="X1128" s="22" t="str">
        <f aca="false">IF(Q1128="","",Q1128^2)</f>
        <v/>
      </c>
      <c r="Y1128" s="22" t="str">
        <f aca="false">IF(AND(C1128&lt;&gt;"",C1128=CERTIFICADO!$E$4,OR(CERTIFICADO!$E$5="",B1128=CERTIFICADO!$E$5)),MAX($Y$4:Y1127)+1,"")</f>
        <v/>
      </c>
    </row>
    <row r="1129" customFormat="false" ht="15" hidden="false" customHeight="false" outlineLevel="0" collapsed="false">
      <c r="A1129" s="11" t="str">
        <f aca="false">IF(C1129="","",ROW()-4)</f>
        <v/>
      </c>
      <c r="B1129" s="12"/>
      <c r="C1129" s="13"/>
      <c r="D1129" s="23" t="str">
        <f aca="false">IF(C1129="","",IFERROR(INDEX(LOTES!$D$5:$D$1004,MATCH(C1129,LOTES!$F$5:$F$1004,0)),"¿Lote?"))</f>
        <v/>
      </c>
      <c r="E1129" s="11" t="str">
        <f aca="false">IF(C1129="","",IFERROR(INDEX(LOTES!$C$5:$C$1004,MATCH(C1129,LOTES!$F$5:$F$1004,0)),""))</f>
        <v/>
      </c>
      <c r="F1129" s="24" t="str">
        <f aca="false">IF(C1129="","",IFERROR(INDEX(LOTES!$B$5:$B$1004,MATCH(C1129,LOTES!$F$5:$F$1004,0)),""))</f>
        <v/>
      </c>
      <c r="G1129" s="15" t="str">
        <f aca="false">IF(OR(B1129="",F1129=""),"",B1129-F1129)</f>
        <v/>
      </c>
      <c r="H1129" s="13"/>
      <c r="I1129" s="13"/>
      <c r="J1129" s="13"/>
      <c r="K1129" s="25"/>
      <c r="L1129" s="25"/>
      <c r="M1129" s="25"/>
      <c r="N1129" s="25"/>
      <c r="O1129" s="26"/>
      <c r="P1129" s="16" t="str">
        <f aca="false">IF(O1129="","",IFERROR(1/(1/(IF(K1129="",INDEX(CONFIG!$F$5:$F$14,MATCH(D1129,CONFIG!$D$5:$D$14,0)),K1129)*IF(M1129="",INDEX(CONFIG!$H$5:$H$14,MATCH(D1129,CONFIG!$D$5:$D$14,0)),M1129))),""))</f>
        <v/>
      </c>
      <c r="Q1129" s="16" t="str">
        <f aca="false">IF(OR(O1129="",P1129=""),"",O1129/P1129)</f>
        <v/>
      </c>
      <c r="R1129" s="16" t="str">
        <f aca="false">IF(Q1129="","",Q1129*0.0980665)</f>
        <v/>
      </c>
      <c r="S1129" s="16" t="str">
        <f aca="false">IF(Q1129="","",IFERROR(Q1129/(1/(1/INDEX(CONFIG!$I$5:$I$14,MATCH(D1129,CONFIG!$D$5:$D$14,0)))),""))</f>
        <v/>
      </c>
      <c r="T1129" s="13"/>
      <c r="U1129" s="13"/>
      <c r="V1129" s="13"/>
      <c r="W1129" s="13"/>
      <c r="X1129" s="22" t="str">
        <f aca="false">IF(Q1129="","",Q1129^2)</f>
        <v/>
      </c>
      <c r="Y1129" s="22" t="str">
        <f aca="false">IF(AND(C1129&lt;&gt;"",C1129=CERTIFICADO!$E$4,OR(CERTIFICADO!$E$5="",B1129=CERTIFICADO!$E$5)),MAX($Y$4:Y1128)+1,"")</f>
        <v/>
      </c>
    </row>
    <row r="1130" customFormat="false" ht="15" hidden="false" customHeight="false" outlineLevel="0" collapsed="false">
      <c r="A1130" s="11" t="str">
        <f aca="false">IF(C1130="","",ROW()-4)</f>
        <v/>
      </c>
      <c r="B1130" s="12"/>
      <c r="C1130" s="13"/>
      <c r="D1130" s="23" t="str">
        <f aca="false">IF(C1130="","",IFERROR(INDEX(LOTES!$D$5:$D$1004,MATCH(C1130,LOTES!$F$5:$F$1004,0)),"¿Lote?"))</f>
        <v/>
      </c>
      <c r="E1130" s="11" t="str">
        <f aca="false">IF(C1130="","",IFERROR(INDEX(LOTES!$C$5:$C$1004,MATCH(C1130,LOTES!$F$5:$F$1004,0)),""))</f>
        <v/>
      </c>
      <c r="F1130" s="24" t="str">
        <f aca="false">IF(C1130="","",IFERROR(INDEX(LOTES!$B$5:$B$1004,MATCH(C1130,LOTES!$F$5:$F$1004,0)),""))</f>
        <v/>
      </c>
      <c r="G1130" s="15" t="str">
        <f aca="false">IF(OR(B1130="",F1130=""),"",B1130-F1130)</f>
        <v/>
      </c>
      <c r="H1130" s="13"/>
      <c r="I1130" s="13"/>
      <c r="J1130" s="13"/>
      <c r="K1130" s="25"/>
      <c r="L1130" s="25"/>
      <c r="M1130" s="25"/>
      <c r="N1130" s="25"/>
      <c r="O1130" s="26"/>
      <c r="P1130" s="16" t="str">
        <f aca="false">IF(O1130="","",IFERROR(1/(1/(IF(K1130="",INDEX(CONFIG!$F$5:$F$14,MATCH(D1130,CONFIG!$D$5:$D$14,0)),K1130)*IF(M1130="",INDEX(CONFIG!$H$5:$H$14,MATCH(D1130,CONFIG!$D$5:$D$14,0)),M1130))),""))</f>
        <v/>
      </c>
      <c r="Q1130" s="16" t="str">
        <f aca="false">IF(OR(O1130="",P1130=""),"",O1130/P1130)</f>
        <v/>
      </c>
      <c r="R1130" s="16" t="str">
        <f aca="false">IF(Q1130="","",Q1130*0.0980665)</f>
        <v/>
      </c>
      <c r="S1130" s="16" t="str">
        <f aca="false">IF(Q1130="","",IFERROR(Q1130/(1/(1/INDEX(CONFIG!$I$5:$I$14,MATCH(D1130,CONFIG!$D$5:$D$14,0)))),""))</f>
        <v/>
      </c>
      <c r="T1130" s="13"/>
      <c r="U1130" s="13"/>
      <c r="V1130" s="13"/>
      <c r="W1130" s="13"/>
      <c r="X1130" s="22" t="str">
        <f aca="false">IF(Q1130="","",Q1130^2)</f>
        <v/>
      </c>
      <c r="Y1130" s="22" t="str">
        <f aca="false">IF(AND(C1130&lt;&gt;"",C1130=CERTIFICADO!$E$4,OR(CERTIFICADO!$E$5="",B1130=CERTIFICADO!$E$5)),MAX($Y$4:Y1129)+1,"")</f>
        <v/>
      </c>
    </row>
    <row r="1131" customFormat="false" ht="15" hidden="false" customHeight="false" outlineLevel="0" collapsed="false">
      <c r="A1131" s="11" t="str">
        <f aca="false">IF(C1131="","",ROW()-4)</f>
        <v/>
      </c>
      <c r="B1131" s="12"/>
      <c r="C1131" s="13"/>
      <c r="D1131" s="23" t="str">
        <f aca="false">IF(C1131="","",IFERROR(INDEX(LOTES!$D$5:$D$1004,MATCH(C1131,LOTES!$F$5:$F$1004,0)),"¿Lote?"))</f>
        <v/>
      </c>
      <c r="E1131" s="11" t="str">
        <f aca="false">IF(C1131="","",IFERROR(INDEX(LOTES!$C$5:$C$1004,MATCH(C1131,LOTES!$F$5:$F$1004,0)),""))</f>
        <v/>
      </c>
      <c r="F1131" s="24" t="str">
        <f aca="false">IF(C1131="","",IFERROR(INDEX(LOTES!$B$5:$B$1004,MATCH(C1131,LOTES!$F$5:$F$1004,0)),""))</f>
        <v/>
      </c>
      <c r="G1131" s="15" t="str">
        <f aca="false">IF(OR(B1131="",F1131=""),"",B1131-F1131)</f>
        <v/>
      </c>
      <c r="H1131" s="13"/>
      <c r="I1131" s="13"/>
      <c r="J1131" s="13"/>
      <c r="K1131" s="25"/>
      <c r="L1131" s="25"/>
      <c r="M1131" s="25"/>
      <c r="N1131" s="25"/>
      <c r="O1131" s="26"/>
      <c r="P1131" s="16" t="str">
        <f aca="false">IF(O1131="","",IFERROR(1/(1/(IF(K1131="",INDEX(CONFIG!$F$5:$F$14,MATCH(D1131,CONFIG!$D$5:$D$14,0)),K1131)*IF(M1131="",INDEX(CONFIG!$H$5:$H$14,MATCH(D1131,CONFIG!$D$5:$D$14,0)),M1131))),""))</f>
        <v/>
      </c>
      <c r="Q1131" s="16" t="str">
        <f aca="false">IF(OR(O1131="",P1131=""),"",O1131/P1131)</f>
        <v/>
      </c>
      <c r="R1131" s="16" t="str">
        <f aca="false">IF(Q1131="","",Q1131*0.0980665)</f>
        <v/>
      </c>
      <c r="S1131" s="16" t="str">
        <f aca="false">IF(Q1131="","",IFERROR(Q1131/(1/(1/INDEX(CONFIG!$I$5:$I$14,MATCH(D1131,CONFIG!$D$5:$D$14,0)))),""))</f>
        <v/>
      </c>
      <c r="T1131" s="13"/>
      <c r="U1131" s="13"/>
      <c r="V1131" s="13"/>
      <c r="W1131" s="13"/>
      <c r="X1131" s="22" t="str">
        <f aca="false">IF(Q1131="","",Q1131^2)</f>
        <v/>
      </c>
      <c r="Y1131" s="22" t="str">
        <f aca="false">IF(AND(C1131&lt;&gt;"",C1131=CERTIFICADO!$E$4,OR(CERTIFICADO!$E$5="",B1131=CERTIFICADO!$E$5)),MAX($Y$4:Y1130)+1,"")</f>
        <v/>
      </c>
    </row>
    <row r="1132" customFormat="false" ht="15" hidden="false" customHeight="false" outlineLevel="0" collapsed="false">
      <c r="A1132" s="11" t="str">
        <f aca="false">IF(C1132="","",ROW()-4)</f>
        <v/>
      </c>
      <c r="B1132" s="12"/>
      <c r="C1132" s="13"/>
      <c r="D1132" s="23" t="str">
        <f aca="false">IF(C1132="","",IFERROR(INDEX(LOTES!$D$5:$D$1004,MATCH(C1132,LOTES!$F$5:$F$1004,0)),"¿Lote?"))</f>
        <v/>
      </c>
      <c r="E1132" s="11" t="str">
        <f aca="false">IF(C1132="","",IFERROR(INDEX(LOTES!$C$5:$C$1004,MATCH(C1132,LOTES!$F$5:$F$1004,0)),""))</f>
        <v/>
      </c>
      <c r="F1132" s="24" t="str">
        <f aca="false">IF(C1132="","",IFERROR(INDEX(LOTES!$B$5:$B$1004,MATCH(C1132,LOTES!$F$5:$F$1004,0)),""))</f>
        <v/>
      </c>
      <c r="G1132" s="15" t="str">
        <f aca="false">IF(OR(B1132="",F1132=""),"",B1132-F1132)</f>
        <v/>
      </c>
      <c r="H1132" s="13"/>
      <c r="I1132" s="13"/>
      <c r="J1132" s="13"/>
      <c r="K1132" s="25"/>
      <c r="L1132" s="25"/>
      <c r="M1132" s="25"/>
      <c r="N1132" s="25"/>
      <c r="O1132" s="26"/>
      <c r="P1132" s="16" t="str">
        <f aca="false">IF(O1132="","",IFERROR(1/(1/(IF(K1132="",INDEX(CONFIG!$F$5:$F$14,MATCH(D1132,CONFIG!$D$5:$D$14,0)),K1132)*IF(M1132="",INDEX(CONFIG!$H$5:$H$14,MATCH(D1132,CONFIG!$D$5:$D$14,0)),M1132))),""))</f>
        <v/>
      </c>
      <c r="Q1132" s="16" t="str">
        <f aca="false">IF(OR(O1132="",P1132=""),"",O1132/P1132)</f>
        <v/>
      </c>
      <c r="R1132" s="16" t="str">
        <f aca="false">IF(Q1132="","",Q1132*0.0980665)</f>
        <v/>
      </c>
      <c r="S1132" s="16" t="str">
        <f aca="false">IF(Q1132="","",IFERROR(Q1132/(1/(1/INDEX(CONFIG!$I$5:$I$14,MATCH(D1132,CONFIG!$D$5:$D$14,0)))),""))</f>
        <v/>
      </c>
      <c r="T1132" s="13"/>
      <c r="U1132" s="13"/>
      <c r="V1132" s="13"/>
      <c r="W1132" s="13"/>
      <c r="X1132" s="22" t="str">
        <f aca="false">IF(Q1132="","",Q1132^2)</f>
        <v/>
      </c>
      <c r="Y1132" s="22" t="str">
        <f aca="false">IF(AND(C1132&lt;&gt;"",C1132=CERTIFICADO!$E$4,OR(CERTIFICADO!$E$5="",B1132=CERTIFICADO!$E$5)),MAX($Y$4:Y1131)+1,"")</f>
        <v/>
      </c>
    </row>
    <row r="1133" customFormat="false" ht="15" hidden="false" customHeight="false" outlineLevel="0" collapsed="false">
      <c r="A1133" s="11" t="str">
        <f aca="false">IF(C1133="","",ROW()-4)</f>
        <v/>
      </c>
      <c r="B1133" s="12"/>
      <c r="C1133" s="13"/>
      <c r="D1133" s="23" t="str">
        <f aca="false">IF(C1133="","",IFERROR(INDEX(LOTES!$D$5:$D$1004,MATCH(C1133,LOTES!$F$5:$F$1004,0)),"¿Lote?"))</f>
        <v/>
      </c>
      <c r="E1133" s="11" t="str">
        <f aca="false">IF(C1133="","",IFERROR(INDEX(LOTES!$C$5:$C$1004,MATCH(C1133,LOTES!$F$5:$F$1004,0)),""))</f>
        <v/>
      </c>
      <c r="F1133" s="24" t="str">
        <f aca="false">IF(C1133="","",IFERROR(INDEX(LOTES!$B$5:$B$1004,MATCH(C1133,LOTES!$F$5:$F$1004,0)),""))</f>
        <v/>
      </c>
      <c r="G1133" s="15" t="str">
        <f aca="false">IF(OR(B1133="",F1133=""),"",B1133-F1133)</f>
        <v/>
      </c>
      <c r="H1133" s="13"/>
      <c r="I1133" s="13"/>
      <c r="J1133" s="13"/>
      <c r="K1133" s="25"/>
      <c r="L1133" s="25"/>
      <c r="M1133" s="25"/>
      <c r="N1133" s="25"/>
      <c r="O1133" s="26"/>
      <c r="P1133" s="16" t="str">
        <f aca="false">IF(O1133="","",IFERROR(1/(1/(IF(K1133="",INDEX(CONFIG!$F$5:$F$14,MATCH(D1133,CONFIG!$D$5:$D$14,0)),K1133)*IF(M1133="",INDEX(CONFIG!$H$5:$H$14,MATCH(D1133,CONFIG!$D$5:$D$14,0)),M1133))),""))</f>
        <v/>
      </c>
      <c r="Q1133" s="16" t="str">
        <f aca="false">IF(OR(O1133="",P1133=""),"",O1133/P1133)</f>
        <v/>
      </c>
      <c r="R1133" s="16" t="str">
        <f aca="false">IF(Q1133="","",Q1133*0.0980665)</f>
        <v/>
      </c>
      <c r="S1133" s="16" t="str">
        <f aca="false">IF(Q1133="","",IFERROR(Q1133/(1/(1/INDEX(CONFIG!$I$5:$I$14,MATCH(D1133,CONFIG!$D$5:$D$14,0)))),""))</f>
        <v/>
      </c>
      <c r="T1133" s="13"/>
      <c r="U1133" s="13"/>
      <c r="V1133" s="13"/>
      <c r="W1133" s="13"/>
      <c r="X1133" s="22" t="str">
        <f aca="false">IF(Q1133="","",Q1133^2)</f>
        <v/>
      </c>
      <c r="Y1133" s="22" t="str">
        <f aca="false">IF(AND(C1133&lt;&gt;"",C1133=CERTIFICADO!$E$4,OR(CERTIFICADO!$E$5="",B1133=CERTIFICADO!$E$5)),MAX($Y$4:Y1132)+1,"")</f>
        <v/>
      </c>
    </row>
    <row r="1134" customFormat="false" ht="15" hidden="false" customHeight="false" outlineLevel="0" collapsed="false">
      <c r="A1134" s="11" t="str">
        <f aca="false">IF(C1134="","",ROW()-4)</f>
        <v/>
      </c>
      <c r="B1134" s="12"/>
      <c r="C1134" s="13"/>
      <c r="D1134" s="23" t="str">
        <f aca="false">IF(C1134="","",IFERROR(INDEX(LOTES!$D$5:$D$1004,MATCH(C1134,LOTES!$F$5:$F$1004,0)),"¿Lote?"))</f>
        <v/>
      </c>
      <c r="E1134" s="11" t="str">
        <f aca="false">IF(C1134="","",IFERROR(INDEX(LOTES!$C$5:$C$1004,MATCH(C1134,LOTES!$F$5:$F$1004,0)),""))</f>
        <v/>
      </c>
      <c r="F1134" s="24" t="str">
        <f aca="false">IF(C1134="","",IFERROR(INDEX(LOTES!$B$5:$B$1004,MATCH(C1134,LOTES!$F$5:$F$1004,0)),""))</f>
        <v/>
      </c>
      <c r="G1134" s="15" t="str">
        <f aca="false">IF(OR(B1134="",F1134=""),"",B1134-F1134)</f>
        <v/>
      </c>
      <c r="H1134" s="13"/>
      <c r="I1134" s="13"/>
      <c r="J1134" s="13"/>
      <c r="K1134" s="25"/>
      <c r="L1134" s="25"/>
      <c r="M1134" s="25"/>
      <c r="N1134" s="25"/>
      <c r="O1134" s="26"/>
      <c r="P1134" s="16" t="str">
        <f aca="false">IF(O1134="","",IFERROR(1/(1/(IF(K1134="",INDEX(CONFIG!$F$5:$F$14,MATCH(D1134,CONFIG!$D$5:$D$14,0)),K1134)*IF(M1134="",INDEX(CONFIG!$H$5:$H$14,MATCH(D1134,CONFIG!$D$5:$D$14,0)),M1134))),""))</f>
        <v/>
      </c>
      <c r="Q1134" s="16" t="str">
        <f aca="false">IF(OR(O1134="",P1134=""),"",O1134/P1134)</f>
        <v/>
      </c>
      <c r="R1134" s="16" t="str">
        <f aca="false">IF(Q1134="","",Q1134*0.0980665)</f>
        <v/>
      </c>
      <c r="S1134" s="16" t="str">
        <f aca="false">IF(Q1134="","",IFERROR(Q1134/(1/(1/INDEX(CONFIG!$I$5:$I$14,MATCH(D1134,CONFIG!$D$5:$D$14,0)))),""))</f>
        <v/>
      </c>
      <c r="T1134" s="13"/>
      <c r="U1134" s="13"/>
      <c r="V1134" s="13"/>
      <c r="W1134" s="13"/>
      <c r="X1134" s="22" t="str">
        <f aca="false">IF(Q1134="","",Q1134^2)</f>
        <v/>
      </c>
      <c r="Y1134" s="22" t="str">
        <f aca="false">IF(AND(C1134&lt;&gt;"",C1134=CERTIFICADO!$E$4,OR(CERTIFICADO!$E$5="",B1134=CERTIFICADO!$E$5)),MAX($Y$4:Y1133)+1,"")</f>
        <v/>
      </c>
    </row>
    <row r="1135" customFormat="false" ht="15" hidden="false" customHeight="false" outlineLevel="0" collapsed="false">
      <c r="A1135" s="11" t="str">
        <f aca="false">IF(C1135="","",ROW()-4)</f>
        <v/>
      </c>
      <c r="B1135" s="12"/>
      <c r="C1135" s="13"/>
      <c r="D1135" s="23" t="str">
        <f aca="false">IF(C1135="","",IFERROR(INDEX(LOTES!$D$5:$D$1004,MATCH(C1135,LOTES!$F$5:$F$1004,0)),"¿Lote?"))</f>
        <v/>
      </c>
      <c r="E1135" s="11" t="str">
        <f aca="false">IF(C1135="","",IFERROR(INDEX(LOTES!$C$5:$C$1004,MATCH(C1135,LOTES!$F$5:$F$1004,0)),""))</f>
        <v/>
      </c>
      <c r="F1135" s="24" t="str">
        <f aca="false">IF(C1135="","",IFERROR(INDEX(LOTES!$B$5:$B$1004,MATCH(C1135,LOTES!$F$5:$F$1004,0)),""))</f>
        <v/>
      </c>
      <c r="G1135" s="15" t="str">
        <f aca="false">IF(OR(B1135="",F1135=""),"",B1135-F1135)</f>
        <v/>
      </c>
      <c r="H1135" s="13"/>
      <c r="I1135" s="13"/>
      <c r="J1135" s="13"/>
      <c r="K1135" s="25"/>
      <c r="L1135" s="25"/>
      <c r="M1135" s="25"/>
      <c r="N1135" s="25"/>
      <c r="O1135" s="26"/>
      <c r="P1135" s="16" t="str">
        <f aca="false">IF(O1135="","",IFERROR(1/(1/(IF(K1135="",INDEX(CONFIG!$F$5:$F$14,MATCH(D1135,CONFIG!$D$5:$D$14,0)),K1135)*IF(M1135="",INDEX(CONFIG!$H$5:$H$14,MATCH(D1135,CONFIG!$D$5:$D$14,0)),M1135))),""))</f>
        <v/>
      </c>
      <c r="Q1135" s="16" t="str">
        <f aca="false">IF(OR(O1135="",P1135=""),"",O1135/P1135)</f>
        <v/>
      </c>
      <c r="R1135" s="16" t="str">
        <f aca="false">IF(Q1135="","",Q1135*0.0980665)</f>
        <v/>
      </c>
      <c r="S1135" s="16" t="str">
        <f aca="false">IF(Q1135="","",IFERROR(Q1135/(1/(1/INDEX(CONFIG!$I$5:$I$14,MATCH(D1135,CONFIG!$D$5:$D$14,0)))),""))</f>
        <v/>
      </c>
      <c r="T1135" s="13"/>
      <c r="U1135" s="13"/>
      <c r="V1135" s="13"/>
      <c r="W1135" s="13"/>
      <c r="X1135" s="22" t="str">
        <f aca="false">IF(Q1135="","",Q1135^2)</f>
        <v/>
      </c>
      <c r="Y1135" s="22" t="str">
        <f aca="false">IF(AND(C1135&lt;&gt;"",C1135=CERTIFICADO!$E$4,OR(CERTIFICADO!$E$5="",B1135=CERTIFICADO!$E$5)),MAX($Y$4:Y1134)+1,"")</f>
        <v/>
      </c>
    </row>
    <row r="1136" customFormat="false" ht="15" hidden="false" customHeight="false" outlineLevel="0" collapsed="false">
      <c r="A1136" s="11" t="str">
        <f aca="false">IF(C1136="","",ROW()-4)</f>
        <v/>
      </c>
      <c r="B1136" s="12"/>
      <c r="C1136" s="13"/>
      <c r="D1136" s="23" t="str">
        <f aca="false">IF(C1136="","",IFERROR(INDEX(LOTES!$D$5:$D$1004,MATCH(C1136,LOTES!$F$5:$F$1004,0)),"¿Lote?"))</f>
        <v/>
      </c>
      <c r="E1136" s="11" t="str">
        <f aca="false">IF(C1136="","",IFERROR(INDEX(LOTES!$C$5:$C$1004,MATCH(C1136,LOTES!$F$5:$F$1004,0)),""))</f>
        <v/>
      </c>
      <c r="F1136" s="24" t="str">
        <f aca="false">IF(C1136="","",IFERROR(INDEX(LOTES!$B$5:$B$1004,MATCH(C1136,LOTES!$F$5:$F$1004,0)),""))</f>
        <v/>
      </c>
      <c r="G1136" s="15" t="str">
        <f aca="false">IF(OR(B1136="",F1136=""),"",B1136-F1136)</f>
        <v/>
      </c>
      <c r="H1136" s="13"/>
      <c r="I1136" s="13"/>
      <c r="J1136" s="13"/>
      <c r="K1136" s="25"/>
      <c r="L1136" s="25"/>
      <c r="M1136" s="25"/>
      <c r="N1136" s="25"/>
      <c r="O1136" s="26"/>
      <c r="P1136" s="16" t="str">
        <f aca="false">IF(O1136="","",IFERROR(1/(1/(IF(K1136="",INDEX(CONFIG!$F$5:$F$14,MATCH(D1136,CONFIG!$D$5:$D$14,0)),K1136)*IF(M1136="",INDEX(CONFIG!$H$5:$H$14,MATCH(D1136,CONFIG!$D$5:$D$14,0)),M1136))),""))</f>
        <v/>
      </c>
      <c r="Q1136" s="16" t="str">
        <f aca="false">IF(OR(O1136="",P1136=""),"",O1136/P1136)</f>
        <v/>
      </c>
      <c r="R1136" s="16" t="str">
        <f aca="false">IF(Q1136="","",Q1136*0.0980665)</f>
        <v/>
      </c>
      <c r="S1136" s="16" t="str">
        <f aca="false">IF(Q1136="","",IFERROR(Q1136/(1/(1/INDEX(CONFIG!$I$5:$I$14,MATCH(D1136,CONFIG!$D$5:$D$14,0)))),""))</f>
        <v/>
      </c>
      <c r="T1136" s="13"/>
      <c r="U1136" s="13"/>
      <c r="V1136" s="13"/>
      <c r="W1136" s="13"/>
      <c r="X1136" s="22" t="str">
        <f aca="false">IF(Q1136="","",Q1136^2)</f>
        <v/>
      </c>
      <c r="Y1136" s="22" t="str">
        <f aca="false">IF(AND(C1136&lt;&gt;"",C1136=CERTIFICADO!$E$4,OR(CERTIFICADO!$E$5="",B1136=CERTIFICADO!$E$5)),MAX($Y$4:Y1135)+1,"")</f>
        <v/>
      </c>
    </row>
    <row r="1137" customFormat="false" ht="15" hidden="false" customHeight="false" outlineLevel="0" collapsed="false">
      <c r="A1137" s="11" t="str">
        <f aca="false">IF(C1137="","",ROW()-4)</f>
        <v/>
      </c>
      <c r="B1137" s="12"/>
      <c r="C1137" s="13"/>
      <c r="D1137" s="23" t="str">
        <f aca="false">IF(C1137="","",IFERROR(INDEX(LOTES!$D$5:$D$1004,MATCH(C1137,LOTES!$F$5:$F$1004,0)),"¿Lote?"))</f>
        <v/>
      </c>
      <c r="E1137" s="11" t="str">
        <f aca="false">IF(C1137="","",IFERROR(INDEX(LOTES!$C$5:$C$1004,MATCH(C1137,LOTES!$F$5:$F$1004,0)),""))</f>
        <v/>
      </c>
      <c r="F1137" s="24" t="str">
        <f aca="false">IF(C1137="","",IFERROR(INDEX(LOTES!$B$5:$B$1004,MATCH(C1137,LOTES!$F$5:$F$1004,0)),""))</f>
        <v/>
      </c>
      <c r="G1137" s="15" t="str">
        <f aca="false">IF(OR(B1137="",F1137=""),"",B1137-F1137)</f>
        <v/>
      </c>
      <c r="H1137" s="13"/>
      <c r="I1137" s="13"/>
      <c r="J1137" s="13"/>
      <c r="K1137" s="25"/>
      <c r="L1137" s="25"/>
      <c r="M1137" s="25"/>
      <c r="N1137" s="25"/>
      <c r="O1137" s="26"/>
      <c r="P1137" s="16" t="str">
        <f aca="false">IF(O1137="","",IFERROR(1/(1/(IF(K1137="",INDEX(CONFIG!$F$5:$F$14,MATCH(D1137,CONFIG!$D$5:$D$14,0)),K1137)*IF(M1137="",INDEX(CONFIG!$H$5:$H$14,MATCH(D1137,CONFIG!$D$5:$D$14,0)),M1137))),""))</f>
        <v/>
      </c>
      <c r="Q1137" s="16" t="str">
        <f aca="false">IF(OR(O1137="",P1137=""),"",O1137/P1137)</f>
        <v/>
      </c>
      <c r="R1137" s="16" t="str">
        <f aca="false">IF(Q1137="","",Q1137*0.0980665)</f>
        <v/>
      </c>
      <c r="S1137" s="16" t="str">
        <f aca="false">IF(Q1137="","",IFERROR(Q1137/(1/(1/INDEX(CONFIG!$I$5:$I$14,MATCH(D1137,CONFIG!$D$5:$D$14,0)))),""))</f>
        <v/>
      </c>
      <c r="T1137" s="13"/>
      <c r="U1137" s="13"/>
      <c r="V1137" s="13"/>
      <c r="W1137" s="13"/>
      <c r="X1137" s="22" t="str">
        <f aca="false">IF(Q1137="","",Q1137^2)</f>
        <v/>
      </c>
      <c r="Y1137" s="22" t="str">
        <f aca="false">IF(AND(C1137&lt;&gt;"",C1137=CERTIFICADO!$E$4,OR(CERTIFICADO!$E$5="",B1137=CERTIFICADO!$E$5)),MAX($Y$4:Y1136)+1,"")</f>
        <v/>
      </c>
    </row>
    <row r="1138" customFormat="false" ht="15" hidden="false" customHeight="false" outlineLevel="0" collapsed="false">
      <c r="A1138" s="11" t="str">
        <f aca="false">IF(C1138="","",ROW()-4)</f>
        <v/>
      </c>
      <c r="B1138" s="12"/>
      <c r="C1138" s="13"/>
      <c r="D1138" s="23" t="str">
        <f aca="false">IF(C1138="","",IFERROR(INDEX(LOTES!$D$5:$D$1004,MATCH(C1138,LOTES!$F$5:$F$1004,0)),"¿Lote?"))</f>
        <v/>
      </c>
      <c r="E1138" s="11" t="str">
        <f aca="false">IF(C1138="","",IFERROR(INDEX(LOTES!$C$5:$C$1004,MATCH(C1138,LOTES!$F$5:$F$1004,0)),""))</f>
        <v/>
      </c>
      <c r="F1138" s="24" t="str">
        <f aca="false">IF(C1138="","",IFERROR(INDEX(LOTES!$B$5:$B$1004,MATCH(C1138,LOTES!$F$5:$F$1004,0)),""))</f>
        <v/>
      </c>
      <c r="G1138" s="15" t="str">
        <f aca="false">IF(OR(B1138="",F1138=""),"",B1138-F1138)</f>
        <v/>
      </c>
      <c r="H1138" s="13"/>
      <c r="I1138" s="13"/>
      <c r="J1138" s="13"/>
      <c r="K1138" s="25"/>
      <c r="L1138" s="25"/>
      <c r="M1138" s="25"/>
      <c r="N1138" s="25"/>
      <c r="O1138" s="26"/>
      <c r="P1138" s="16" t="str">
        <f aca="false">IF(O1138="","",IFERROR(1/(1/(IF(K1138="",INDEX(CONFIG!$F$5:$F$14,MATCH(D1138,CONFIG!$D$5:$D$14,0)),K1138)*IF(M1138="",INDEX(CONFIG!$H$5:$H$14,MATCH(D1138,CONFIG!$D$5:$D$14,0)),M1138))),""))</f>
        <v/>
      </c>
      <c r="Q1138" s="16" t="str">
        <f aca="false">IF(OR(O1138="",P1138=""),"",O1138/P1138)</f>
        <v/>
      </c>
      <c r="R1138" s="16" t="str">
        <f aca="false">IF(Q1138="","",Q1138*0.0980665)</f>
        <v/>
      </c>
      <c r="S1138" s="16" t="str">
        <f aca="false">IF(Q1138="","",IFERROR(Q1138/(1/(1/INDEX(CONFIG!$I$5:$I$14,MATCH(D1138,CONFIG!$D$5:$D$14,0)))),""))</f>
        <v/>
      </c>
      <c r="T1138" s="13"/>
      <c r="U1138" s="13"/>
      <c r="V1138" s="13"/>
      <c r="W1138" s="13"/>
      <c r="X1138" s="22" t="str">
        <f aca="false">IF(Q1138="","",Q1138^2)</f>
        <v/>
      </c>
      <c r="Y1138" s="22" t="str">
        <f aca="false">IF(AND(C1138&lt;&gt;"",C1138=CERTIFICADO!$E$4,OR(CERTIFICADO!$E$5="",B1138=CERTIFICADO!$E$5)),MAX($Y$4:Y1137)+1,"")</f>
        <v/>
      </c>
    </row>
    <row r="1139" customFormat="false" ht="15" hidden="false" customHeight="false" outlineLevel="0" collapsed="false">
      <c r="A1139" s="11" t="str">
        <f aca="false">IF(C1139="","",ROW()-4)</f>
        <v/>
      </c>
      <c r="B1139" s="12"/>
      <c r="C1139" s="13"/>
      <c r="D1139" s="23" t="str">
        <f aca="false">IF(C1139="","",IFERROR(INDEX(LOTES!$D$5:$D$1004,MATCH(C1139,LOTES!$F$5:$F$1004,0)),"¿Lote?"))</f>
        <v/>
      </c>
      <c r="E1139" s="11" t="str">
        <f aca="false">IF(C1139="","",IFERROR(INDEX(LOTES!$C$5:$C$1004,MATCH(C1139,LOTES!$F$5:$F$1004,0)),""))</f>
        <v/>
      </c>
      <c r="F1139" s="24" t="str">
        <f aca="false">IF(C1139="","",IFERROR(INDEX(LOTES!$B$5:$B$1004,MATCH(C1139,LOTES!$F$5:$F$1004,0)),""))</f>
        <v/>
      </c>
      <c r="G1139" s="15" t="str">
        <f aca="false">IF(OR(B1139="",F1139=""),"",B1139-F1139)</f>
        <v/>
      </c>
      <c r="H1139" s="13"/>
      <c r="I1139" s="13"/>
      <c r="J1139" s="13"/>
      <c r="K1139" s="25"/>
      <c r="L1139" s="25"/>
      <c r="M1139" s="25"/>
      <c r="N1139" s="25"/>
      <c r="O1139" s="26"/>
      <c r="P1139" s="16" t="str">
        <f aca="false">IF(O1139="","",IFERROR(1/(1/(IF(K1139="",INDEX(CONFIG!$F$5:$F$14,MATCH(D1139,CONFIG!$D$5:$D$14,0)),K1139)*IF(M1139="",INDEX(CONFIG!$H$5:$H$14,MATCH(D1139,CONFIG!$D$5:$D$14,0)),M1139))),""))</f>
        <v/>
      </c>
      <c r="Q1139" s="16" t="str">
        <f aca="false">IF(OR(O1139="",P1139=""),"",O1139/P1139)</f>
        <v/>
      </c>
      <c r="R1139" s="16" t="str">
        <f aca="false">IF(Q1139="","",Q1139*0.0980665)</f>
        <v/>
      </c>
      <c r="S1139" s="16" t="str">
        <f aca="false">IF(Q1139="","",IFERROR(Q1139/(1/(1/INDEX(CONFIG!$I$5:$I$14,MATCH(D1139,CONFIG!$D$5:$D$14,0)))),""))</f>
        <v/>
      </c>
      <c r="T1139" s="13"/>
      <c r="U1139" s="13"/>
      <c r="V1139" s="13"/>
      <c r="W1139" s="13"/>
      <c r="X1139" s="22" t="str">
        <f aca="false">IF(Q1139="","",Q1139^2)</f>
        <v/>
      </c>
      <c r="Y1139" s="22" t="str">
        <f aca="false">IF(AND(C1139&lt;&gt;"",C1139=CERTIFICADO!$E$4,OR(CERTIFICADO!$E$5="",B1139=CERTIFICADO!$E$5)),MAX($Y$4:Y1138)+1,"")</f>
        <v/>
      </c>
    </row>
    <row r="1140" customFormat="false" ht="15" hidden="false" customHeight="false" outlineLevel="0" collapsed="false">
      <c r="A1140" s="11" t="str">
        <f aca="false">IF(C1140="","",ROW()-4)</f>
        <v/>
      </c>
      <c r="B1140" s="12"/>
      <c r="C1140" s="13"/>
      <c r="D1140" s="23" t="str">
        <f aca="false">IF(C1140="","",IFERROR(INDEX(LOTES!$D$5:$D$1004,MATCH(C1140,LOTES!$F$5:$F$1004,0)),"¿Lote?"))</f>
        <v/>
      </c>
      <c r="E1140" s="11" t="str">
        <f aca="false">IF(C1140="","",IFERROR(INDEX(LOTES!$C$5:$C$1004,MATCH(C1140,LOTES!$F$5:$F$1004,0)),""))</f>
        <v/>
      </c>
      <c r="F1140" s="24" t="str">
        <f aca="false">IF(C1140="","",IFERROR(INDEX(LOTES!$B$5:$B$1004,MATCH(C1140,LOTES!$F$5:$F$1004,0)),""))</f>
        <v/>
      </c>
      <c r="G1140" s="15" t="str">
        <f aca="false">IF(OR(B1140="",F1140=""),"",B1140-F1140)</f>
        <v/>
      </c>
      <c r="H1140" s="13"/>
      <c r="I1140" s="13"/>
      <c r="J1140" s="13"/>
      <c r="K1140" s="25"/>
      <c r="L1140" s="25"/>
      <c r="M1140" s="25"/>
      <c r="N1140" s="25"/>
      <c r="O1140" s="26"/>
      <c r="P1140" s="16" t="str">
        <f aca="false">IF(O1140="","",IFERROR(1/(1/(IF(K1140="",INDEX(CONFIG!$F$5:$F$14,MATCH(D1140,CONFIG!$D$5:$D$14,0)),K1140)*IF(M1140="",INDEX(CONFIG!$H$5:$H$14,MATCH(D1140,CONFIG!$D$5:$D$14,0)),M1140))),""))</f>
        <v/>
      </c>
      <c r="Q1140" s="16" t="str">
        <f aca="false">IF(OR(O1140="",P1140=""),"",O1140/P1140)</f>
        <v/>
      </c>
      <c r="R1140" s="16" t="str">
        <f aca="false">IF(Q1140="","",Q1140*0.0980665)</f>
        <v/>
      </c>
      <c r="S1140" s="16" t="str">
        <f aca="false">IF(Q1140="","",IFERROR(Q1140/(1/(1/INDEX(CONFIG!$I$5:$I$14,MATCH(D1140,CONFIG!$D$5:$D$14,0)))),""))</f>
        <v/>
      </c>
      <c r="T1140" s="13"/>
      <c r="U1140" s="13"/>
      <c r="V1140" s="13"/>
      <c r="W1140" s="13"/>
      <c r="X1140" s="22" t="str">
        <f aca="false">IF(Q1140="","",Q1140^2)</f>
        <v/>
      </c>
      <c r="Y1140" s="22" t="str">
        <f aca="false">IF(AND(C1140&lt;&gt;"",C1140=CERTIFICADO!$E$4,OR(CERTIFICADO!$E$5="",B1140=CERTIFICADO!$E$5)),MAX($Y$4:Y1139)+1,"")</f>
        <v/>
      </c>
    </row>
    <row r="1141" customFormat="false" ht="15" hidden="false" customHeight="false" outlineLevel="0" collapsed="false">
      <c r="A1141" s="11" t="str">
        <f aca="false">IF(C1141="","",ROW()-4)</f>
        <v/>
      </c>
      <c r="B1141" s="12"/>
      <c r="C1141" s="13"/>
      <c r="D1141" s="23" t="str">
        <f aca="false">IF(C1141="","",IFERROR(INDEX(LOTES!$D$5:$D$1004,MATCH(C1141,LOTES!$F$5:$F$1004,0)),"¿Lote?"))</f>
        <v/>
      </c>
      <c r="E1141" s="11" t="str">
        <f aca="false">IF(C1141="","",IFERROR(INDEX(LOTES!$C$5:$C$1004,MATCH(C1141,LOTES!$F$5:$F$1004,0)),""))</f>
        <v/>
      </c>
      <c r="F1141" s="24" t="str">
        <f aca="false">IF(C1141="","",IFERROR(INDEX(LOTES!$B$5:$B$1004,MATCH(C1141,LOTES!$F$5:$F$1004,0)),""))</f>
        <v/>
      </c>
      <c r="G1141" s="15" t="str">
        <f aca="false">IF(OR(B1141="",F1141=""),"",B1141-F1141)</f>
        <v/>
      </c>
      <c r="H1141" s="13"/>
      <c r="I1141" s="13"/>
      <c r="J1141" s="13"/>
      <c r="K1141" s="25"/>
      <c r="L1141" s="25"/>
      <c r="M1141" s="25"/>
      <c r="N1141" s="25"/>
      <c r="O1141" s="26"/>
      <c r="P1141" s="16" t="str">
        <f aca="false">IF(O1141="","",IFERROR(1/(1/(IF(K1141="",INDEX(CONFIG!$F$5:$F$14,MATCH(D1141,CONFIG!$D$5:$D$14,0)),K1141)*IF(M1141="",INDEX(CONFIG!$H$5:$H$14,MATCH(D1141,CONFIG!$D$5:$D$14,0)),M1141))),""))</f>
        <v/>
      </c>
      <c r="Q1141" s="16" t="str">
        <f aca="false">IF(OR(O1141="",P1141=""),"",O1141/P1141)</f>
        <v/>
      </c>
      <c r="R1141" s="16" t="str">
        <f aca="false">IF(Q1141="","",Q1141*0.0980665)</f>
        <v/>
      </c>
      <c r="S1141" s="16" t="str">
        <f aca="false">IF(Q1141="","",IFERROR(Q1141/(1/(1/INDEX(CONFIG!$I$5:$I$14,MATCH(D1141,CONFIG!$D$5:$D$14,0)))),""))</f>
        <v/>
      </c>
      <c r="T1141" s="13"/>
      <c r="U1141" s="13"/>
      <c r="V1141" s="13"/>
      <c r="W1141" s="13"/>
      <c r="X1141" s="22" t="str">
        <f aca="false">IF(Q1141="","",Q1141^2)</f>
        <v/>
      </c>
      <c r="Y1141" s="22" t="str">
        <f aca="false">IF(AND(C1141&lt;&gt;"",C1141=CERTIFICADO!$E$4,OR(CERTIFICADO!$E$5="",B1141=CERTIFICADO!$E$5)),MAX($Y$4:Y1140)+1,"")</f>
        <v/>
      </c>
    </row>
    <row r="1142" customFormat="false" ht="15" hidden="false" customHeight="false" outlineLevel="0" collapsed="false">
      <c r="A1142" s="11" t="str">
        <f aca="false">IF(C1142="","",ROW()-4)</f>
        <v/>
      </c>
      <c r="B1142" s="12"/>
      <c r="C1142" s="13"/>
      <c r="D1142" s="23" t="str">
        <f aca="false">IF(C1142="","",IFERROR(INDEX(LOTES!$D$5:$D$1004,MATCH(C1142,LOTES!$F$5:$F$1004,0)),"¿Lote?"))</f>
        <v/>
      </c>
      <c r="E1142" s="11" t="str">
        <f aca="false">IF(C1142="","",IFERROR(INDEX(LOTES!$C$5:$C$1004,MATCH(C1142,LOTES!$F$5:$F$1004,0)),""))</f>
        <v/>
      </c>
      <c r="F1142" s="24" t="str">
        <f aca="false">IF(C1142="","",IFERROR(INDEX(LOTES!$B$5:$B$1004,MATCH(C1142,LOTES!$F$5:$F$1004,0)),""))</f>
        <v/>
      </c>
      <c r="G1142" s="15" t="str">
        <f aca="false">IF(OR(B1142="",F1142=""),"",B1142-F1142)</f>
        <v/>
      </c>
      <c r="H1142" s="13"/>
      <c r="I1142" s="13"/>
      <c r="J1142" s="13"/>
      <c r="K1142" s="25"/>
      <c r="L1142" s="25"/>
      <c r="M1142" s="25"/>
      <c r="N1142" s="25"/>
      <c r="O1142" s="26"/>
      <c r="P1142" s="16" t="str">
        <f aca="false">IF(O1142="","",IFERROR(1/(1/(IF(K1142="",INDEX(CONFIG!$F$5:$F$14,MATCH(D1142,CONFIG!$D$5:$D$14,0)),K1142)*IF(M1142="",INDEX(CONFIG!$H$5:$H$14,MATCH(D1142,CONFIG!$D$5:$D$14,0)),M1142))),""))</f>
        <v/>
      </c>
      <c r="Q1142" s="16" t="str">
        <f aca="false">IF(OR(O1142="",P1142=""),"",O1142/P1142)</f>
        <v/>
      </c>
      <c r="R1142" s="16" t="str">
        <f aca="false">IF(Q1142="","",Q1142*0.0980665)</f>
        <v/>
      </c>
      <c r="S1142" s="16" t="str">
        <f aca="false">IF(Q1142="","",IFERROR(Q1142/(1/(1/INDEX(CONFIG!$I$5:$I$14,MATCH(D1142,CONFIG!$D$5:$D$14,0)))),""))</f>
        <v/>
      </c>
      <c r="T1142" s="13"/>
      <c r="U1142" s="13"/>
      <c r="V1142" s="13"/>
      <c r="W1142" s="13"/>
      <c r="X1142" s="22" t="str">
        <f aca="false">IF(Q1142="","",Q1142^2)</f>
        <v/>
      </c>
      <c r="Y1142" s="22" t="str">
        <f aca="false">IF(AND(C1142&lt;&gt;"",C1142=CERTIFICADO!$E$4,OR(CERTIFICADO!$E$5="",B1142=CERTIFICADO!$E$5)),MAX($Y$4:Y1141)+1,"")</f>
        <v/>
      </c>
    </row>
    <row r="1143" customFormat="false" ht="15" hidden="false" customHeight="false" outlineLevel="0" collapsed="false">
      <c r="A1143" s="11" t="str">
        <f aca="false">IF(C1143="","",ROW()-4)</f>
        <v/>
      </c>
      <c r="B1143" s="12"/>
      <c r="C1143" s="13"/>
      <c r="D1143" s="23" t="str">
        <f aca="false">IF(C1143="","",IFERROR(INDEX(LOTES!$D$5:$D$1004,MATCH(C1143,LOTES!$F$5:$F$1004,0)),"¿Lote?"))</f>
        <v/>
      </c>
      <c r="E1143" s="11" t="str">
        <f aca="false">IF(C1143="","",IFERROR(INDEX(LOTES!$C$5:$C$1004,MATCH(C1143,LOTES!$F$5:$F$1004,0)),""))</f>
        <v/>
      </c>
      <c r="F1143" s="24" t="str">
        <f aca="false">IF(C1143="","",IFERROR(INDEX(LOTES!$B$5:$B$1004,MATCH(C1143,LOTES!$F$5:$F$1004,0)),""))</f>
        <v/>
      </c>
      <c r="G1143" s="15" t="str">
        <f aca="false">IF(OR(B1143="",F1143=""),"",B1143-F1143)</f>
        <v/>
      </c>
      <c r="H1143" s="13"/>
      <c r="I1143" s="13"/>
      <c r="J1143" s="13"/>
      <c r="K1143" s="25"/>
      <c r="L1143" s="25"/>
      <c r="M1143" s="25"/>
      <c r="N1143" s="25"/>
      <c r="O1143" s="26"/>
      <c r="P1143" s="16" t="str">
        <f aca="false">IF(O1143="","",IFERROR(1/(1/(IF(K1143="",INDEX(CONFIG!$F$5:$F$14,MATCH(D1143,CONFIG!$D$5:$D$14,0)),K1143)*IF(M1143="",INDEX(CONFIG!$H$5:$H$14,MATCH(D1143,CONFIG!$D$5:$D$14,0)),M1143))),""))</f>
        <v/>
      </c>
      <c r="Q1143" s="16" t="str">
        <f aca="false">IF(OR(O1143="",P1143=""),"",O1143/P1143)</f>
        <v/>
      </c>
      <c r="R1143" s="16" t="str">
        <f aca="false">IF(Q1143="","",Q1143*0.0980665)</f>
        <v/>
      </c>
      <c r="S1143" s="16" t="str">
        <f aca="false">IF(Q1143="","",IFERROR(Q1143/(1/(1/INDEX(CONFIG!$I$5:$I$14,MATCH(D1143,CONFIG!$D$5:$D$14,0)))),""))</f>
        <v/>
      </c>
      <c r="T1143" s="13"/>
      <c r="U1143" s="13"/>
      <c r="V1143" s="13"/>
      <c r="W1143" s="13"/>
      <c r="X1143" s="22" t="str">
        <f aca="false">IF(Q1143="","",Q1143^2)</f>
        <v/>
      </c>
      <c r="Y1143" s="22" t="str">
        <f aca="false">IF(AND(C1143&lt;&gt;"",C1143=CERTIFICADO!$E$4,OR(CERTIFICADO!$E$5="",B1143=CERTIFICADO!$E$5)),MAX($Y$4:Y1142)+1,"")</f>
        <v/>
      </c>
    </row>
    <row r="1144" customFormat="false" ht="15" hidden="false" customHeight="false" outlineLevel="0" collapsed="false">
      <c r="A1144" s="11" t="str">
        <f aca="false">IF(C1144="","",ROW()-4)</f>
        <v/>
      </c>
      <c r="B1144" s="12"/>
      <c r="C1144" s="13"/>
      <c r="D1144" s="23" t="str">
        <f aca="false">IF(C1144="","",IFERROR(INDEX(LOTES!$D$5:$D$1004,MATCH(C1144,LOTES!$F$5:$F$1004,0)),"¿Lote?"))</f>
        <v/>
      </c>
      <c r="E1144" s="11" t="str">
        <f aca="false">IF(C1144="","",IFERROR(INDEX(LOTES!$C$5:$C$1004,MATCH(C1144,LOTES!$F$5:$F$1004,0)),""))</f>
        <v/>
      </c>
      <c r="F1144" s="24" t="str">
        <f aca="false">IF(C1144="","",IFERROR(INDEX(LOTES!$B$5:$B$1004,MATCH(C1144,LOTES!$F$5:$F$1004,0)),""))</f>
        <v/>
      </c>
      <c r="G1144" s="15" t="str">
        <f aca="false">IF(OR(B1144="",F1144=""),"",B1144-F1144)</f>
        <v/>
      </c>
      <c r="H1144" s="13"/>
      <c r="I1144" s="13"/>
      <c r="J1144" s="13"/>
      <c r="K1144" s="25"/>
      <c r="L1144" s="25"/>
      <c r="M1144" s="25"/>
      <c r="N1144" s="25"/>
      <c r="O1144" s="26"/>
      <c r="P1144" s="16" t="str">
        <f aca="false">IF(O1144="","",IFERROR(1/(1/(IF(K1144="",INDEX(CONFIG!$F$5:$F$14,MATCH(D1144,CONFIG!$D$5:$D$14,0)),K1144)*IF(M1144="",INDEX(CONFIG!$H$5:$H$14,MATCH(D1144,CONFIG!$D$5:$D$14,0)),M1144))),""))</f>
        <v/>
      </c>
      <c r="Q1144" s="16" t="str">
        <f aca="false">IF(OR(O1144="",P1144=""),"",O1144/P1144)</f>
        <v/>
      </c>
      <c r="R1144" s="16" t="str">
        <f aca="false">IF(Q1144="","",Q1144*0.0980665)</f>
        <v/>
      </c>
      <c r="S1144" s="16" t="str">
        <f aca="false">IF(Q1144="","",IFERROR(Q1144/(1/(1/INDEX(CONFIG!$I$5:$I$14,MATCH(D1144,CONFIG!$D$5:$D$14,0)))),""))</f>
        <v/>
      </c>
      <c r="T1144" s="13"/>
      <c r="U1144" s="13"/>
      <c r="V1144" s="13"/>
      <c r="W1144" s="13"/>
      <c r="X1144" s="22" t="str">
        <f aca="false">IF(Q1144="","",Q1144^2)</f>
        <v/>
      </c>
      <c r="Y1144" s="22" t="str">
        <f aca="false">IF(AND(C1144&lt;&gt;"",C1144=CERTIFICADO!$E$4,OR(CERTIFICADO!$E$5="",B1144=CERTIFICADO!$E$5)),MAX($Y$4:Y1143)+1,"")</f>
        <v/>
      </c>
    </row>
    <row r="1145" customFormat="false" ht="15" hidden="false" customHeight="false" outlineLevel="0" collapsed="false">
      <c r="A1145" s="11" t="str">
        <f aca="false">IF(C1145="","",ROW()-4)</f>
        <v/>
      </c>
      <c r="B1145" s="12"/>
      <c r="C1145" s="13"/>
      <c r="D1145" s="23" t="str">
        <f aca="false">IF(C1145="","",IFERROR(INDEX(LOTES!$D$5:$D$1004,MATCH(C1145,LOTES!$F$5:$F$1004,0)),"¿Lote?"))</f>
        <v/>
      </c>
      <c r="E1145" s="11" t="str">
        <f aca="false">IF(C1145="","",IFERROR(INDEX(LOTES!$C$5:$C$1004,MATCH(C1145,LOTES!$F$5:$F$1004,0)),""))</f>
        <v/>
      </c>
      <c r="F1145" s="24" t="str">
        <f aca="false">IF(C1145="","",IFERROR(INDEX(LOTES!$B$5:$B$1004,MATCH(C1145,LOTES!$F$5:$F$1004,0)),""))</f>
        <v/>
      </c>
      <c r="G1145" s="15" t="str">
        <f aca="false">IF(OR(B1145="",F1145=""),"",B1145-F1145)</f>
        <v/>
      </c>
      <c r="H1145" s="13"/>
      <c r="I1145" s="13"/>
      <c r="J1145" s="13"/>
      <c r="K1145" s="25"/>
      <c r="L1145" s="25"/>
      <c r="M1145" s="25"/>
      <c r="N1145" s="25"/>
      <c r="O1145" s="26"/>
      <c r="P1145" s="16" t="str">
        <f aca="false">IF(O1145="","",IFERROR(1/(1/(IF(K1145="",INDEX(CONFIG!$F$5:$F$14,MATCH(D1145,CONFIG!$D$5:$D$14,0)),K1145)*IF(M1145="",INDEX(CONFIG!$H$5:$H$14,MATCH(D1145,CONFIG!$D$5:$D$14,0)),M1145))),""))</f>
        <v/>
      </c>
      <c r="Q1145" s="16" t="str">
        <f aca="false">IF(OR(O1145="",P1145=""),"",O1145/P1145)</f>
        <v/>
      </c>
      <c r="R1145" s="16" t="str">
        <f aca="false">IF(Q1145="","",Q1145*0.0980665)</f>
        <v/>
      </c>
      <c r="S1145" s="16" t="str">
        <f aca="false">IF(Q1145="","",IFERROR(Q1145/(1/(1/INDEX(CONFIG!$I$5:$I$14,MATCH(D1145,CONFIG!$D$5:$D$14,0)))),""))</f>
        <v/>
      </c>
      <c r="T1145" s="13"/>
      <c r="U1145" s="13"/>
      <c r="V1145" s="13"/>
      <c r="W1145" s="13"/>
      <c r="X1145" s="22" t="str">
        <f aca="false">IF(Q1145="","",Q1145^2)</f>
        <v/>
      </c>
      <c r="Y1145" s="22" t="str">
        <f aca="false">IF(AND(C1145&lt;&gt;"",C1145=CERTIFICADO!$E$4,OR(CERTIFICADO!$E$5="",B1145=CERTIFICADO!$E$5)),MAX($Y$4:Y1144)+1,"")</f>
        <v/>
      </c>
    </row>
    <row r="1146" customFormat="false" ht="15" hidden="false" customHeight="false" outlineLevel="0" collapsed="false">
      <c r="A1146" s="11" t="str">
        <f aca="false">IF(C1146="","",ROW()-4)</f>
        <v/>
      </c>
      <c r="B1146" s="12"/>
      <c r="C1146" s="13"/>
      <c r="D1146" s="23" t="str">
        <f aca="false">IF(C1146="","",IFERROR(INDEX(LOTES!$D$5:$D$1004,MATCH(C1146,LOTES!$F$5:$F$1004,0)),"¿Lote?"))</f>
        <v/>
      </c>
      <c r="E1146" s="11" t="str">
        <f aca="false">IF(C1146="","",IFERROR(INDEX(LOTES!$C$5:$C$1004,MATCH(C1146,LOTES!$F$5:$F$1004,0)),""))</f>
        <v/>
      </c>
      <c r="F1146" s="24" t="str">
        <f aca="false">IF(C1146="","",IFERROR(INDEX(LOTES!$B$5:$B$1004,MATCH(C1146,LOTES!$F$5:$F$1004,0)),""))</f>
        <v/>
      </c>
      <c r="G1146" s="15" t="str">
        <f aca="false">IF(OR(B1146="",F1146=""),"",B1146-F1146)</f>
        <v/>
      </c>
      <c r="H1146" s="13"/>
      <c r="I1146" s="13"/>
      <c r="J1146" s="13"/>
      <c r="K1146" s="25"/>
      <c r="L1146" s="25"/>
      <c r="M1146" s="25"/>
      <c r="N1146" s="25"/>
      <c r="O1146" s="26"/>
      <c r="P1146" s="16" t="str">
        <f aca="false">IF(O1146="","",IFERROR(1/(1/(IF(K1146="",INDEX(CONFIG!$F$5:$F$14,MATCH(D1146,CONFIG!$D$5:$D$14,0)),K1146)*IF(M1146="",INDEX(CONFIG!$H$5:$H$14,MATCH(D1146,CONFIG!$D$5:$D$14,0)),M1146))),""))</f>
        <v/>
      </c>
      <c r="Q1146" s="16" t="str">
        <f aca="false">IF(OR(O1146="",P1146=""),"",O1146/P1146)</f>
        <v/>
      </c>
      <c r="R1146" s="16" t="str">
        <f aca="false">IF(Q1146="","",Q1146*0.0980665)</f>
        <v/>
      </c>
      <c r="S1146" s="16" t="str">
        <f aca="false">IF(Q1146="","",IFERROR(Q1146/(1/(1/INDEX(CONFIG!$I$5:$I$14,MATCH(D1146,CONFIG!$D$5:$D$14,0)))),""))</f>
        <v/>
      </c>
      <c r="T1146" s="13"/>
      <c r="U1146" s="13"/>
      <c r="V1146" s="13"/>
      <c r="W1146" s="13"/>
      <c r="X1146" s="22" t="str">
        <f aca="false">IF(Q1146="","",Q1146^2)</f>
        <v/>
      </c>
      <c r="Y1146" s="22" t="str">
        <f aca="false">IF(AND(C1146&lt;&gt;"",C1146=CERTIFICADO!$E$4,OR(CERTIFICADO!$E$5="",B1146=CERTIFICADO!$E$5)),MAX($Y$4:Y1145)+1,"")</f>
        <v/>
      </c>
    </row>
    <row r="1147" customFormat="false" ht="15" hidden="false" customHeight="false" outlineLevel="0" collapsed="false">
      <c r="A1147" s="11" t="str">
        <f aca="false">IF(C1147="","",ROW()-4)</f>
        <v/>
      </c>
      <c r="B1147" s="12"/>
      <c r="C1147" s="13"/>
      <c r="D1147" s="23" t="str">
        <f aca="false">IF(C1147="","",IFERROR(INDEX(LOTES!$D$5:$D$1004,MATCH(C1147,LOTES!$F$5:$F$1004,0)),"¿Lote?"))</f>
        <v/>
      </c>
      <c r="E1147" s="11" t="str">
        <f aca="false">IF(C1147="","",IFERROR(INDEX(LOTES!$C$5:$C$1004,MATCH(C1147,LOTES!$F$5:$F$1004,0)),""))</f>
        <v/>
      </c>
      <c r="F1147" s="24" t="str">
        <f aca="false">IF(C1147="","",IFERROR(INDEX(LOTES!$B$5:$B$1004,MATCH(C1147,LOTES!$F$5:$F$1004,0)),""))</f>
        <v/>
      </c>
      <c r="G1147" s="15" t="str">
        <f aca="false">IF(OR(B1147="",F1147=""),"",B1147-F1147)</f>
        <v/>
      </c>
      <c r="H1147" s="13"/>
      <c r="I1147" s="13"/>
      <c r="J1147" s="13"/>
      <c r="K1147" s="25"/>
      <c r="L1147" s="25"/>
      <c r="M1147" s="25"/>
      <c r="N1147" s="25"/>
      <c r="O1147" s="26"/>
      <c r="P1147" s="16" t="str">
        <f aca="false">IF(O1147="","",IFERROR(1/(1/(IF(K1147="",INDEX(CONFIG!$F$5:$F$14,MATCH(D1147,CONFIG!$D$5:$D$14,0)),K1147)*IF(M1147="",INDEX(CONFIG!$H$5:$H$14,MATCH(D1147,CONFIG!$D$5:$D$14,0)),M1147))),""))</f>
        <v/>
      </c>
      <c r="Q1147" s="16" t="str">
        <f aca="false">IF(OR(O1147="",P1147=""),"",O1147/P1147)</f>
        <v/>
      </c>
      <c r="R1147" s="16" t="str">
        <f aca="false">IF(Q1147="","",Q1147*0.0980665)</f>
        <v/>
      </c>
      <c r="S1147" s="16" t="str">
        <f aca="false">IF(Q1147="","",IFERROR(Q1147/(1/(1/INDEX(CONFIG!$I$5:$I$14,MATCH(D1147,CONFIG!$D$5:$D$14,0)))),""))</f>
        <v/>
      </c>
      <c r="T1147" s="13"/>
      <c r="U1147" s="13"/>
      <c r="V1147" s="13"/>
      <c r="W1147" s="13"/>
      <c r="X1147" s="22" t="str">
        <f aca="false">IF(Q1147="","",Q1147^2)</f>
        <v/>
      </c>
      <c r="Y1147" s="22" t="str">
        <f aca="false">IF(AND(C1147&lt;&gt;"",C1147=CERTIFICADO!$E$4,OR(CERTIFICADO!$E$5="",B1147=CERTIFICADO!$E$5)),MAX($Y$4:Y1146)+1,"")</f>
        <v/>
      </c>
    </row>
    <row r="1148" customFormat="false" ht="15" hidden="false" customHeight="false" outlineLevel="0" collapsed="false">
      <c r="A1148" s="11" t="str">
        <f aca="false">IF(C1148="","",ROW()-4)</f>
        <v/>
      </c>
      <c r="B1148" s="12"/>
      <c r="C1148" s="13"/>
      <c r="D1148" s="23" t="str">
        <f aca="false">IF(C1148="","",IFERROR(INDEX(LOTES!$D$5:$D$1004,MATCH(C1148,LOTES!$F$5:$F$1004,0)),"¿Lote?"))</f>
        <v/>
      </c>
      <c r="E1148" s="11" t="str">
        <f aca="false">IF(C1148="","",IFERROR(INDEX(LOTES!$C$5:$C$1004,MATCH(C1148,LOTES!$F$5:$F$1004,0)),""))</f>
        <v/>
      </c>
      <c r="F1148" s="24" t="str">
        <f aca="false">IF(C1148="","",IFERROR(INDEX(LOTES!$B$5:$B$1004,MATCH(C1148,LOTES!$F$5:$F$1004,0)),""))</f>
        <v/>
      </c>
      <c r="G1148" s="15" t="str">
        <f aca="false">IF(OR(B1148="",F1148=""),"",B1148-F1148)</f>
        <v/>
      </c>
      <c r="H1148" s="13"/>
      <c r="I1148" s="13"/>
      <c r="J1148" s="13"/>
      <c r="K1148" s="25"/>
      <c r="L1148" s="25"/>
      <c r="M1148" s="25"/>
      <c r="N1148" s="25"/>
      <c r="O1148" s="26"/>
      <c r="P1148" s="16" t="str">
        <f aca="false">IF(O1148="","",IFERROR(1/(1/(IF(K1148="",INDEX(CONFIG!$F$5:$F$14,MATCH(D1148,CONFIG!$D$5:$D$14,0)),K1148)*IF(M1148="",INDEX(CONFIG!$H$5:$H$14,MATCH(D1148,CONFIG!$D$5:$D$14,0)),M1148))),""))</f>
        <v/>
      </c>
      <c r="Q1148" s="16" t="str">
        <f aca="false">IF(OR(O1148="",P1148=""),"",O1148/P1148)</f>
        <v/>
      </c>
      <c r="R1148" s="16" t="str">
        <f aca="false">IF(Q1148="","",Q1148*0.0980665)</f>
        <v/>
      </c>
      <c r="S1148" s="16" t="str">
        <f aca="false">IF(Q1148="","",IFERROR(Q1148/(1/(1/INDEX(CONFIG!$I$5:$I$14,MATCH(D1148,CONFIG!$D$5:$D$14,0)))),""))</f>
        <v/>
      </c>
      <c r="T1148" s="13"/>
      <c r="U1148" s="13"/>
      <c r="V1148" s="13"/>
      <c r="W1148" s="13"/>
      <c r="X1148" s="22" t="str">
        <f aca="false">IF(Q1148="","",Q1148^2)</f>
        <v/>
      </c>
      <c r="Y1148" s="22" t="str">
        <f aca="false">IF(AND(C1148&lt;&gt;"",C1148=CERTIFICADO!$E$4,OR(CERTIFICADO!$E$5="",B1148=CERTIFICADO!$E$5)),MAX($Y$4:Y1147)+1,"")</f>
        <v/>
      </c>
    </row>
    <row r="1149" customFormat="false" ht="15" hidden="false" customHeight="false" outlineLevel="0" collapsed="false">
      <c r="A1149" s="11" t="str">
        <f aca="false">IF(C1149="","",ROW()-4)</f>
        <v/>
      </c>
      <c r="B1149" s="12"/>
      <c r="C1149" s="13"/>
      <c r="D1149" s="23" t="str">
        <f aca="false">IF(C1149="","",IFERROR(INDEX(LOTES!$D$5:$D$1004,MATCH(C1149,LOTES!$F$5:$F$1004,0)),"¿Lote?"))</f>
        <v/>
      </c>
      <c r="E1149" s="11" t="str">
        <f aca="false">IF(C1149="","",IFERROR(INDEX(LOTES!$C$5:$C$1004,MATCH(C1149,LOTES!$F$5:$F$1004,0)),""))</f>
        <v/>
      </c>
      <c r="F1149" s="24" t="str">
        <f aca="false">IF(C1149="","",IFERROR(INDEX(LOTES!$B$5:$B$1004,MATCH(C1149,LOTES!$F$5:$F$1004,0)),""))</f>
        <v/>
      </c>
      <c r="G1149" s="15" t="str">
        <f aca="false">IF(OR(B1149="",F1149=""),"",B1149-F1149)</f>
        <v/>
      </c>
      <c r="H1149" s="13"/>
      <c r="I1149" s="13"/>
      <c r="J1149" s="13"/>
      <c r="K1149" s="25"/>
      <c r="L1149" s="25"/>
      <c r="M1149" s="25"/>
      <c r="N1149" s="25"/>
      <c r="O1149" s="26"/>
      <c r="P1149" s="16" t="str">
        <f aca="false">IF(O1149="","",IFERROR(1/(1/(IF(K1149="",INDEX(CONFIG!$F$5:$F$14,MATCH(D1149,CONFIG!$D$5:$D$14,0)),K1149)*IF(M1149="",INDEX(CONFIG!$H$5:$H$14,MATCH(D1149,CONFIG!$D$5:$D$14,0)),M1149))),""))</f>
        <v/>
      </c>
      <c r="Q1149" s="16" t="str">
        <f aca="false">IF(OR(O1149="",P1149=""),"",O1149/P1149)</f>
        <v/>
      </c>
      <c r="R1149" s="16" t="str">
        <f aca="false">IF(Q1149="","",Q1149*0.0980665)</f>
        <v/>
      </c>
      <c r="S1149" s="16" t="str">
        <f aca="false">IF(Q1149="","",IFERROR(Q1149/(1/(1/INDEX(CONFIG!$I$5:$I$14,MATCH(D1149,CONFIG!$D$5:$D$14,0)))),""))</f>
        <v/>
      </c>
      <c r="T1149" s="13"/>
      <c r="U1149" s="13"/>
      <c r="V1149" s="13"/>
      <c r="W1149" s="13"/>
      <c r="X1149" s="22" t="str">
        <f aca="false">IF(Q1149="","",Q1149^2)</f>
        <v/>
      </c>
      <c r="Y1149" s="22" t="str">
        <f aca="false">IF(AND(C1149&lt;&gt;"",C1149=CERTIFICADO!$E$4,OR(CERTIFICADO!$E$5="",B1149=CERTIFICADO!$E$5)),MAX($Y$4:Y1148)+1,"")</f>
        <v/>
      </c>
    </row>
    <row r="1150" customFormat="false" ht="15" hidden="false" customHeight="false" outlineLevel="0" collapsed="false">
      <c r="A1150" s="11" t="str">
        <f aca="false">IF(C1150="","",ROW()-4)</f>
        <v/>
      </c>
      <c r="B1150" s="12"/>
      <c r="C1150" s="13"/>
      <c r="D1150" s="23" t="str">
        <f aca="false">IF(C1150="","",IFERROR(INDEX(LOTES!$D$5:$D$1004,MATCH(C1150,LOTES!$F$5:$F$1004,0)),"¿Lote?"))</f>
        <v/>
      </c>
      <c r="E1150" s="11" t="str">
        <f aca="false">IF(C1150="","",IFERROR(INDEX(LOTES!$C$5:$C$1004,MATCH(C1150,LOTES!$F$5:$F$1004,0)),""))</f>
        <v/>
      </c>
      <c r="F1150" s="24" t="str">
        <f aca="false">IF(C1150="","",IFERROR(INDEX(LOTES!$B$5:$B$1004,MATCH(C1150,LOTES!$F$5:$F$1004,0)),""))</f>
        <v/>
      </c>
      <c r="G1150" s="15" t="str">
        <f aca="false">IF(OR(B1150="",F1150=""),"",B1150-F1150)</f>
        <v/>
      </c>
      <c r="H1150" s="13"/>
      <c r="I1150" s="13"/>
      <c r="J1150" s="13"/>
      <c r="K1150" s="25"/>
      <c r="L1150" s="25"/>
      <c r="M1150" s="25"/>
      <c r="N1150" s="25"/>
      <c r="O1150" s="26"/>
      <c r="P1150" s="16" t="str">
        <f aca="false">IF(O1150="","",IFERROR(1/(1/(IF(K1150="",INDEX(CONFIG!$F$5:$F$14,MATCH(D1150,CONFIG!$D$5:$D$14,0)),K1150)*IF(M1150="",INDEX(CONFIG!$H$5:$H$14,MATCH(D1150,CONFIG!$D$5:$D$14,0)),M1150))),""))</f>
        <v/>
      </c>
      <c r="Q1150" s="16" t="str">
        <f aca="false">IF(OR(O1150="",P1150=""),"",O1150/P1150)</f>
        <v/>
      </c>
      <c r="R1150" s="16" t="str">
        <f aca="false">IF(Q1150="","",Q1150*0.0980665)</f>
        <v/>
      </c>
      <c r="S1150" s="16" t="str">
        <f aca="false">IF(Q1150="","",IFERROR(Q1150/(1/(1/INDEX(CONFIG!$I$5:$I$14,MATCH(D1150,CONFIG!$D$5:$D$14,0)))),""))</f>
        <v/>
      </c>
      <c r="T1150" s="13"/>
      <c r="U1150" s="13"/>
      <c r="V1150" s="13"/>
      <c r="W1150" s="13"/>
      <c r="X1150" s="22" t="str">
        <f aca="false">IF(Q1150="","",Q1150^2)</f>
        <v/>
      </c>
      <c r="Y1150" s="22" t="str">
        <f aca="false">IF(AND(C1150&lt;&gt;"",C1150=CERTIFICADO!$E$4,OR(CERTIFICADO!$E$5="",B1150=CERTIFICADO!$E$5)),MAX($Y$4:Y1149)+1,"")</f>
        <v/>
      </c>
    </row>
    <row r="1151" customFormat="false" ht="15" hidden="false" customHeight="false" outlineLevel="0" collapsed="false">
      <c r="A1151" s="11" t="str">
        <f aca="false">IF(C1151="","",ROW()-4)</f>
        <v/>
      </c>
      <c r="B1151" s="12"/>
      <c r="C1151" s="13"/>
      <c r="D1151" s="23" t="str">
        <f aca="false">IF(C1151="","",IFERROR(INDEX(LOTES!$D$5:$D$1004,MATCH(C1151,LOTES!$F$5:$F$1004,0)),"¿Lote?"))</f>
        <v/>
      </c>
      <c r="E1151" s="11" t="str">
        <f aca="false">IF(C1151="","",IFERROR(INDEX(LOTES!$C$5:$C$1004,MATCH(C1151,LOTES!$F$5:$F$1004,0)),""))</f>
        <v/>
      </c>
      <c r="F1151" s="24" t="str">
        <f aca="false">IF(C1151="","",IFERROR(INDEX(LOTES!$B$5:$B$1004,MATCH(C1151,LOTES!$F$5:$F$1004,0)),""))</f>
        <v/>
      </c>
      <c r="G1151" s="15" t="str">
        <f aca="false">IF(OR(B1151="",F1151=""),"",B1151-F1151)</f>
        <v/>
      </c>
      <c r="H1151" s="13"/>
      <c r="I1151" s="13"/>
      <c r="J1151" s="13"/>
      <c r="K1151" s="25"/>
      <c r="L1151" s="25"/>
      <c r="M1151" s="25"/>
      <c r="N1151" s="25"/>
      <c r="O1151" s="26"/>
      <c r="P1151" s="16" t="str">
        <f aca="false">IF(O1151="","",IFERROR(1/(1/(IF(K1151="",INDEX(CONFIG!$F$5:$F$14,MATCH(D1151,CONFIG!$D$5:$D$14,0)),K1151)*IF(M1151="",INDEX(CONFIG!$H$5:$H$14,MATCH(D1151,CONFIG!$D$5:$D$14,0)),M1151))),""))</f>
        <v/>
      </c>
      <c r="Q1151" s="16" t="str">
        <f aca="false">IF(OR(O1151="",P1151=""),"",O1151/P1151)</f>
        <v/>
      </c>
      <c r="R1151" s="16" t="str">
        <f aca="false">IF(Q1151="","",Q1151*0.0980665)</f>
        <v/>
      </c>
      <c r="S1151" s="16" t="str">
        <f aca="false">IF(Q1151="","",IFERROR(Q1151/(1/(1/INDEX(CONFIG!$I$5:$I$14,MATCH(D1151,CONFIG!$D$5:$D$14,0)))),""))</f>
        <v/>
      </c>
      <c r="T1151" s="13"/>
      <c r="U1151" s="13"/>
      <c r="V1151" s="13"/>
      <c r="W1151" s="13"/>
      <c r="X1151" s="22" t="str">
        <f aca="false">IF(Q1151="","",Q1151^2)</f>
        <v/>
      </c>
      <c r="Y1151" s="22" t="str">
        <f aca="false">IF(AND(C1151&lt;&gt;"",C1151=CERTIFICADO!$E$4,OR(CERTIFICADO!$E$5="",B1151=CERTIFICADO!$E$5)),MAX($Y$4:Y1150)+1,"")</f>
        <v/>
      </c>
    </row>
    <row r="1152" customFormat="false" ht="15" hidden="false" customHeight="false" outlineLevel="0" collapsed="false">
      <c r="A1152" s="11" t="str">
        <f aca="false">IF(C1152="","",ROW()-4)</f>
        <v/>
      </c>
      <c r="B1152" s="12"/>
      <c r="C1152" s="13"/>
      <c r="D1152" s="23" t="str">
        <f aca="false">IF(C1152="","",IFERROR(INDEX(LOTES!$D$5:$D$1004,MATCH(C1152,LOTES!$F$5:$F$1004,0)),"¿Lote?"))</f>
        <v/>
      </c>
      <c r="E1152" s="11" t="str">
        <f aca="false">IF(C1152="","",IFERROR(INDEX(LOTES!$C$5:$C$1004,MATCH(C1152,LOTES!$F$5:$F$1004,0)),""))</f>
        <v/>
      </c>
      <c r="F1152" s="24" t="str">
        <f aca="false">IF(C1152="","",IFERROR(INDEX(LOTES!$B$5:$B$1004,MATCH(C1152,LOTES!$F$5:$F$1004,0)),""))</f>
        <v/>
      </c>
      <c r="G1152" s="15" t="str">
        <f aca="false">IF(OR(B1152="",F1152=""),"",B1152-F1152)</f>
        <v/>
      </c>
      <c r="H1152" s="13"/>
      <c r="I1152" s="13"/>
      <c r="J1152" s="13"/>
      <c r="K1152" s="25"/>
      <c r="L1152" s="25"/>
      <c r="M1152" s="25"/>
      <c r="N1152" s="25"/>
      <c r="O1152" s="26"/>
      <c r="P1152" s="16" t="str">
        <f aca="false">IF(O1152="","",IFERROR(1/(1/(IF(K1152="",INDEX(CONFIG!$F$5:$F$14,MATCH(D1152,CONFIG!$D$5:$D$14,0)),K1152)*IF(M1152="",INDEX(CONFIG!$H$5:$H$14,MATCH(D1152,CONFIG!$D$5:$D$14,0)),M1152))),""))</f>
        <v/>
      </c>
      <c r="Q1152" s="16" t="str">
        <f aca="false">IF(OR(O1152="",P1152=""),"",O1152/P1152)</f>
        <v/>
      </c>
      <c r="R1152" s="16" t="str">
        <f aca="false">IF(Q1152="","",Q1152*0.0980665)</f>
        <v/>
      </c>
      <c r="S1152" s="16" t="str">
        <f aca="false">IF(Q1152="","",IFERROR(Q1152/(1/(1/INDEX(CONFIG!$I$5:$I$14,MATCH(D1152,CONFIG!$D$5:$D$14,0)))),""))</f>
        <v/>
      </c>
      <c r="T1152" s="13"/>
      <c r="U1152" s="13"/>
      <c r="V1152" s="13"/>
      <c r="W1152" s="13"/>
      <c r="X1152" s="22" t="str">
        <f aca="false">IF(Q1152="","",Q1152^2)</f>
        <v/>
      </c>
      <c r="Y1152" s="22" t="str">
        <f aca="false">IF(AND(C1152&lt;&gt;"",C1152=CERTIFICADO!$E$4,OR(CERTIFICADO!$E$5="",B1152=CERTIFICADO!$E$5)),MAX($Y$4:Y1151)+1,"")</f>
        <v/>
      </c>
    </row>
    <row r="1153" customFormat="false" ht="15" hidden="false" customHeight="false" outlineLevel="0" collapsed="false">
      <c r="A1153" s="11" t="str">
        <f aca="false">IF(C1153="","",ROW()-4)</f>
        <v/>
      </c>
      <c r="B1153" s="12"/>
      <c r="C1153" s="13"/>
      <c r="D1153" s="23" t="str">
        <f aca="false">IF(C1153="","",IFERROR(INDEX(LOTES!$D$5:$D$1004,MATCH(C1153,LOTES!$F$5:$F$1004,0)),"¿Lote?"))</f>
        <v/>
      </c>
      <c r="E1153" s="11" t="str">
        <f aca="false">IF(C1153="","",IFERROR(INDEX(LOTES!$C$5:$C$1004,MATCH(C1153,LOTES!$F$5:$F$1004,0)),""))</f>
        <v/>
      </c>
      <c r="F1153" s="24" t="str">
        <f aca="false">IF(C1153="","",IFERROR(INDEX(LOTES!$B$5:$B$1004,MATCH(C1153,LOTES!$F$5:$F$1004,0)),""))</f>
        <v/>
      </c>
      <c r="G1153" s="15" t="str">
        <f aca="false">IF(OR(B1153="",F1153=""),"",B1153-F1153)</f>
        <v/>
      </c>
      <c r="H1153" s="13"/>
      <c r="I1153" s="13"/>
      <c r="J1153" s="13"/>
      <c r="K1153" s="25"/>
      <c r="L1153" s="25"/>
      <c r="M1153" s="25"/>
      <c r="N1153" s="25"/>
      <c r="O1153" s="26"/>
      <c r="P1153" s="16" t="str">
        <f aca="false">IF(O1153="","",IFERROR(1/(1/(IF(K1153="",INDEX(CONFIG!$F$5:$F$14,MATCH(D1153,CONFIG!$D$5:$D$14,0)),K1153)*IF(M1153="",INDEX(CONFIG!$H$5:$H$14,MATCH(D1153,CONFIG!$D$5:$D$14,0)),M1153))),""))</f>
        <v/>
      </c>
      <c r="Q1153" s="16" t="str">
        <f aca="false">IF(OR(O1153="",P1153=""),"",O1153/P1153)</f>
        <v/>
      </c>
      <c r="R1153" s="16" t="str">
        <f aca="false">IF(Q1153="","",Q1153*0.0980665)</f>
        <v/>
      </c>
      <c r="S1153" s="16" t="str">
        <f aca="false">IF(Q1153="","",IFERROR(Q1153/(1/(1/INDEX(CONFIG!$I$5:$I$14,MATCH(D1153,CONFIG!$D$5:$D$14,0)))),""))</f>
        <v/>
      </c>
      <c r="T1153" s="13"/>
      <c r="U1153" s="13"/>
      <c r="V1153" s="13"/>
      <c r="W1153" s="13"/>
      <c r="X1153" s="22" t="str">
        <f aca="false">IF(Q1153="","",Q1153^2)</f>
        <v/>
      </c>
      <c r="Y1153" s="22" t="str">
        <f aca="false">IF(AND(C1153&lt;&gt;"",C1153=CERTIFICADO!$E$4,OR(CERTIFICADO!$E$5="",B1153=CERTIFICADO!$E$5)),MAX($Y$4:Y1152)+1,"")</f>
        <v/>
      </c>
    </row>
    <row r="1154" customFormat="false" ht="15" hidden="false" customHeight="false" outlineLevel="0" collapsed="false">
      <c r="A1154" s="11" t="str">
        <f aca="false">IF(C1154="","",ROW()-4)</f>
        <v/>
      </c>
      <c r="B1154" s="12"/>
      <c r="C1154" s="13"/>
      <c r="D1154" s="23" t="str">
        <f aca="false">IF(C1154="","",IFERROR(INDEX(LOTES!$D$5:$D$1004,MATCH(C1154,LOTES!$F$5:$F$1004,0)),"¿Lote?"))</f>
        <v/>
      </c>
      <c r="E1154" s="11" t="str">
        <f aca="false">IF(C1154="","",IFERROR(INDEX(LOTES!$C$5:$C$1004,MATCH(C1154,LOTES!$F$5:$F$1004,0)),""))</f>
        <v/>
      </c>
      <c r="F1154" s="24" t="str">
        <f aca="false">IF(C1154="","",IFERROR(INDEX(LOTES!$B$5:$B$1004,MATCH(C1154,LOTES!$F$5:$F$1004,0)),""))</f>
        <v/>
      </c>
      <c r="G1154" s="15" t="str">
        <f aca="false">IF(OR(B1154="",F1154=""),"",B1154-F1154)</f>
        <v/>
      </c>
      <c r="H1154" s="13"/>
      <c r="I1154" s="13"/>
      <c r="J1154" s="13"/>
      <c r="K1154" s="25"/>
      <c r="L1154" s="25"/>
      <c r="M1154" s="25"/>
      <c r="N1154" s="25"/>
      <c r="O1154" s="26"/>
      <c r="P1154" s="16" t="str">
        <f aca="false">IF(O1154="","",IFERROR(1/(1/(IF(K1154="",INDEX(CONFIG!$F$5:$F$14,MATCH(D1154,CONFIG!$D$5:$D$14,0)),K1154)*IF(M1154="",INDEX(CONFIG!$H$5:$H$14,MATCH(D1154,CONFIG!$D$5:$D$14,0)),M1154))),""))</f>
        <v/>
      </c>
      <c r="Q1154" s="16" t="str">
        <f aca="false">IF(OR(O1154="",P1154=""),"",O1154/P1154)</f>
        <v/>
      </c>
      <c r="R1154" s="16" t="str">
        <f aca="false">IF(Q1154="","",Q1154*0.0980665)</f>
        <v/>
      </c>
      <c r="S1154" s="16" t="str">
        <f aca="false">IF(Q1154="","",IFERROR(Q1154/(1/(1/INDEX(CONFIG!$I$5:$I$14,MATCH(D1154,CONFIG!$D$5:$D$14,0)))),""))</f>
        <v/>
      </c>
      <c r="T1154" s="13"/>
      <c r="U1154" s="13"/>
      <c r="V1154" s="13"/>
      <c r="W1154" s="13"/>
      <c r="X1154" s="22" t="str">
        <f aca="false">IF(Q1154="","",Q1154^2)</f>
        <v/>
      </c>
      <c r="Y1154" s="22" t="str">
        <f aca="false">IF(AND(C1154&lt;&gt;"",C1154=CERTIFICADO!$E$4,OR(CERTIFICADO!$E$5="",B1154=CERTIFICADO!$E$5)),MAX($Y$4:Y1153)+1,"")</f>
        <v/>
      </c>
    </row>
    <row r="1155" customFormat="false" ht="15" hidden="false" customHeight="false" outlineLevel="0" collapsed="false">
      <c r="A1155" s="11" t="str">
        <f aca="false">IF(C1155="","",ROW()-4)</f>
        <v/>
      </c>
      <c r="B1155" s="12"/>
      <c r="C1155" s="13"/>
      <c r="D1155" s="23" t="str">
        <f aca="false">IF(C1155="","",IFERROR(INDEX(LOTES!$D$5:$D$1004,MATCH(C1155,LOTES!$F$5:$F$1004,0)),"¿Lote?"))</f>
        <v/>
      </c>
      <c r="E1155" s="11" t="str">
        <f aca="false">IF(C1155="","",IFERROR(INDEX(LOTES!$C$5:$C$1004,MATCH(C1155,LOTES!$F$5:$F$1004,0)),""))</f>
        <v/>
      </c>
      <c r="F1155" s="24" t="str">
        <f aca="false">IF(C1155="","",IFERROR(INDEX(LOTES!$B$5:$B$1004,MATCH(C1155,LOTES!$F$5:$F$1004,0)),""))</f>
        <v/>
      </c>
      <c r="G1155" s="15" t="str">
        <f aca="false">IF(OR(B1155="",F1155=""),"",B1155-F1155)</f>
        <v/>
      </c>
      <c r="H1155" s="13"/>
      <c r="I1155" s="13"/>
      <c r="J1155" s="13"/>
      <c r="K1155" s="25"/>
      <c r="L1155" s="25"/>
      <c r="M1155" s="25"/>
      <c r="N1155" s="25"/>
      <c r="O1155" s="26"/>
      <c r="P1155" s="16" t="str">
        <f aca="false">IF(O1155="","",IFERROR(1/(1/(IF(K1155="",INDEX(CONFIG!$F$5:$F$14,MATCH(D1155,CONFIG!$D$5:$D$14,0)),K1155)*IF(M1155="",INDEX(CONFIG!$H$5:$H$14,MATCH(D1155,CONFIG!$D$5:$D$14,0)),M1155))),""))</f>
        <v/>
      </c>
      <c r="Q1155" s="16" t="str">
        <f aca="false">IF(OR(O1155="",P1155=""),"",O1155/P1155)</f>
        <v/>
      </c>
      <c r="R1155" s="16" t="str">
        <f aca="false">IF(Q1155="","",Q1155*0.0980665)</f>
        <v/>
      </c>
      <c r="S1155" s="16" t="str">
        <f aca="false">IF(Q1155="","",IFERROR(Q1155/(1/(1/INDEX(CONFIG!$I$5:$I$14,MATCH(D1155,CONFIG!$D$5:$D$14,0)))),""))</f>
        <v/>
      </c>
      <c r="T1155" s="13"/>
      <c r="U1155" s="13"/>
      <c r="V1155" s="13"/>
      <c r="W1155" s="13"/>
      <c r="X1155" s="22" t="str">
        <f aca="false">IF(Q1155="","",Q1155^2)</f>
        <v/>
      </c>
      <c r="Y1155" s="22" t="str">
        <f aca="false">IF(AND(C1155&lt;&gt;"",C1155=CERTIFICADO!$E$4,OR(CERTIFICADO!$E$5="",B1155=CERTIFICADO!$E$5)),MAX($Y$4:Y1154)+1,"")</f>
        <v/>
      </c>
    </row>
    <row r="1156" customFormat="false" ht="15" hidden="false" customHeight="false" outlineLevel="0" collapsed="false">
      <c r="A1156" s="11" t="str">
        <f aca="false">IF(C1156="","",ROW()-4)</f>
        <v/>
      </c>
      <c r="B1156" s="12"/>
      <c r="C1156" s="13"/>
      <c r="D1156" s="23" t="str">
        <f aca="false">IF(C1156="","",IFERROR(INDEX(LOTES!$D$5:$D$1004,MATCH(C1156,LOTES!$F$5:$F$1004,0)),"¿Lote?"))</f>
        <v/>
      </c>
      <c r="E1156" s="11" t="str">
        <f aca="false">IF(C1156="","",IFERROR(INDEX(LOTES!$C$5:$C$1004,MATCH(C1156,LOTES!$F$5:$F$1004,0)),""))</f>
        <v/>
      </c>
      <c r="F1156" s="24" t="str">
        <f aca="false">IF(C1156="","",IFERROR(INDEX(LOTES!$B$5:$B$1004,MATCH(C1156,LOTES!$F$5:$F$1004,0)),""))</f>
        <v/>
      </c>
      <c r="G1156" s="15" t="str">
        <f aca="false">IF(OR(B1156="",F1156=""),"",B1156-F1156)</f>
        <v/>
      </c>
      <c r="H1156" s="13"/>
      <c r="I1156" s="13"/>
      <c r="J1156" s="13"/>
      <c r="K1156" s="25"/>
      <c r="L1156" s="25"/>
      <c r="M1156" s="25"/>
      <c r="N1156" s="25"/>
      <c r="O1156" s="26"/>
      <c r="P1156" s="16" t="str">
        <f aca="false">IF(O1156="","",IFERROR(1/(1/(IF(K1156="",INDEX(CONFIG!$F$5:$F$14,MATCH(D1156,CONFIG!$D$5:$D$14,0)),K1156)*IF(M1156="",INDEX(CONFIG!$H$5:$H$14,MATCH(D1156,CONFIG!$D$5:$D$14,0)),M1156))),""))</f>
        <v/>
      </c>
      <c r="Q1156" s="16" t="str">
        <f aca="false">IF(OR(O1156="",P1156=""),"",O1156/P1156)</f>
        <v/>
      </c>
      <c r="R1156" s="16" t="str">
        <f aca="false">IF(Q1156="","",Q1156*0.0980665)</f>
        <v/>
      </c>
      <c r="S1156" s="16" t="str">
        <f aca="false">IF(Q1156="","",IFERROR(Q1156/(1/(1/INDEX(CONFIG!$I$5:$I$14,MATCH(D1156,CONFIG!$D$5:$D$14,0)))),""))</f>
        <v/>
      </c>
      <c r="T1156" s="13"/>
      <c r="U1156" s="13"/>
      <c r="V1156" s="13"/>
      <c r="W1156" s="13"/>
      <c r="X1156" s="22" t="str">
        <f aca="false">IF(Q1156="","",Q1156^2)</f>
        <v/>
      </c>
      <c r="Y1156" s="22" t="str">
        <f aca="false">IF(AND(C1156&lt;&gt;"",C1156=CERTIFICADO!$E$4,OR(CERTIFICADO!$E$5="",B1156=CERTIFICADO!$E$5)),MAX($Y$4:Y1155)+1,"")</f>
        <v/>
      </c>
    </row>
    <row r="1157" customFormat="false" ht="15" hidden="false" customHeight="false" outlineLevel="0" collapsed="false">
      <c r="A1157" s="11" t="str">
        <f aca="false">IF(C1157="","",ROW()-4)</f>
        <v/>
      </c>
      <c r="B1157" s="12"/>
      <c r="C1157" s="13"/>
      <c r="D1157" s="23" t="str">
        <f aca="false">IF(C1157="","",IFERROR(INDEX(LOTES!$D$5:$D$1004,MATCH(C1157,LOTES!$F$5:$F$1004,0)),"¿Lote?"))</f>
        <v/>
      </c>
      <c r="E1157" s="11" t="str">
        <f aca="false">IF(C1157="","",IFERROR(INDEX(LOTES!$C$5:$C$1004,MATCH(C1157,LOTES!$F$5:$F$1004,0)),""))</f>
        <v/>
      </c>
      <c r="F1157" s="24" t="str">
        <f aca="false">IF(C1157="","",IFERROR(INDEX(LOTES!$B$5:$B$1004,MATCH(C1157,LOTES!$F$5:$F$1004,0)),""))</f>
        <v/>
      </c>
      <c r="G1157" s="15" t="str">
        <f aca="false">IF(OR(B1157="",F1157=""),"",B1157-F1157)</f>
        <v/>
      </c>
      <c r="H1157" s="13"/>
      <c r="I1157" s="13"/>
      <c r="J1157" s="13"/>
      <c r="K1157" s="25"/>
      <c r="L1157" s="25"/>
      <c r="M1157" s="25"/>
      <c r="N1157" s="25"/>
      <c r="O1157" s="26"/>
      <c r="P1157" s="16" t="str">
        <f aca="false">IF(O1157="","",IFERROR(1/(1/(IF(K1157="",INDEX(CONFIG!$F$5:$F$14,MATCH(D1157,CONFIG!$D$5:$D$14,0)),K1157)*IF(M1157="",INDEX(CONFIG!$H$5:$H$14,MATCH(D1157,CONFIG!$D$5:$D$14,0)),M1157))),""))</f>
        <v/>
      </c>
      <c r="Q1157" s="16" t="str">
        <f aca="false">IF(OR(O1157="",P1157=""),"",O1157/P1157)</f>
        <v/>
      </c>
      <c r="R1157" s="16" t="str">
        <f aca="false">IF(Q1157="","",Q1157*0.0980665)</f>
        <v/>
      </c>
      <c r="S1157" s="16" t="str">
        <f aca="false">IF(Q1157="","",IFERROR(Q1157/(1/(1/INDEX(CONFIG!$I$5:$I$14,MATCH(D1157,CONFIG!$D$5:$D$14,0)))),""))</f>
        <v/>
      </c>
      <c r="T1157" s="13"/>
      <c r="U1157" s="13"/>
      <c r="V1157" s="13"/>
      <c r="W1157" s="13"/>
      <c r="X1157" s="22" t="str">
        <f aca="false">IF(Q1157="","",Q1157^2)</f>
        <v/>
      </c>
      <c r="Y1157" s="22" t="str">
        <f aca="false">IF(AND(C1157&lt;&gt;"",C1157=CERTIFICADO!$E$4,OR(CERTIFICADO!$E$5="",B1157=CERTIFICADO!$E$5)),MAX($Y$4:Y1156)+1,"")</f>
        <v/>
      </c>
    </row>
    <row r="1158" customFormat="false" ht="15" hidden="false" customHeight="false" outlineLevel="0" collapsed="false">
      <c r="A1158" s="11" t="str">
        <f aca="false">IF(C1158="","",ROW()-4)</f>
        <v/>
      </c>
      <c r="B1158" s="12"/>
      <c r="C1158" s="13"/>
      <c r="D1158" s="23" t="str">
        <f aca="false">IF(C1158="","",IFERROR(INDEX(LOTES!$D$5:$D$1004,MATCH(C1158,LOTES!$F$5:$F$1004,0)),"¿Lote?"))</f>
        <v/>
      </c>
      <c r="E1158" s="11" t="str">
        <f aca="false">IF(C1158="","",IFERROR(INDEX(LOTES!$C$5:$C$1004,MATCH(C1158,LOTES!$F$5:$F$1004,0)),""))</f>
        <v/>
      </c>
      <c r="F1158" s="24" t="str">
        <f aca="false">IF(C1158="","",IFERROR(INDEX(LOTES!$B$5:$B$1004,MATCH(C1158,LOTES!$F$5:$F$1004,0)),""))</f>
        <v/>
      </c>
      <c r="G1158" s="15" t="str">
        <f aca="false">IF(OR(B1158="",F1158=""),"",B1158-F1158)</f>
        <v/>
      </c>
      <c r="H1158" s="13"/>
      <c r="I1158" s="13"/>
      <c r="J1158" s="13"/>
      <c r="K1158" s="25"/>
      <c r="L1158" s="25"/>
      <c r="M1158" s="25"/>
      <c r="N1158" s="25"/>
      <c r="O1158" s="26"/>
      <c r="P1158" s="16" t="str">
        <f aca="false">IF(O1158="","",IFERROR(1/(1/(IF(K1158="",INDEX(CONFIG!$F$5:$F$14,MATCH(D1158,CONFIG!$D$5:$D$14,0)),K1158)*IF(M1158="",INDEX(CONFIG!$H$5:$H$14,MATCH(D1158,CONFIG!$D$5:$D$14,0)),M1158))),""))</f>
        <v/>
      </c>
      <c r="Q1158" s="16" t="str">
        <f aca="false">IF(OR(O1158="",P1158=""),"",O1158/P1158)</f>
        <v/>
      </c>
      <c r="R1158" s="16" t="str">
        <f aca="false">IF(Q1158="","",Q1158*0.0980665)</f>
        <v/>
      </c>
      <c r="S1158" s="16" t="str">
        <f aca="false">IF(Q1158="","",IFERROR(Q1158/(1/(1/INDEX(CONFIG!$I$5:$I$14,MATCH(D1158,CONFIG!$D$5:$D$14,0)))),""))</f>
        <v/>
      </c>
      <c r="T1158" s="13"/>
      <c r="U1158" s="13"/>
      <c r="V1158" s="13"/>
      <c r="W1158" s="13"/>
      <c r="X1158" s="22" t="str">
        <f aca="false">IF(Q1158="","",Q1158^2)</f>
        <v/>
      </c>
      <c r="Y1158" s="22" t="str">
        <f aca="false">IF(AND(C1158&lt;&gt;"",C1158=CERTIFICADO!$E$4,OR(CERTIFICADO!$E$5="",B1158=CERTIFICADO!$E$5)),MAX($Y$4:Y1157)+1,"")</f>
        <v/>
      </c>
    </row>
    <row r="1159" customFormat="false" ht="15" hidden="false" customHeight="false" outlineLevel="0" collapsed="false">
      <c r="A1159" s="11" t="str">
        <f aca="false">IF(C1159="","",ROW()-4)</f>
        <v/>
      </c>
      <c r="B1159" s="12"/>
      <c r="C1159" s="13"/>
      <c r="D1159" s="23" t="str">
        <f aca="false">IF(C1159="","",IFERROR(INDEX(LOTES!$D$5:$D$1004,MATCH(C1159,LOTES!$F$5:$F$1004,0)),"¿Lote?"))</f>
        <v/>
      </c>
      <c r="E1159" s="11" t="str">
        <f aca="false">IF(C1159="","",IFERROR(INDEX(LOTES!$C$5:$C$1004,MATCH(C1159,LOTES!$F$5:$F$1004,0)),""))</f>
        <v/>
      </c>
      <c r="F1159" s="24" t="str">
        <f aca="false">IF(C1159="","",IFERROR(INDEX(LOTES!$B$5:$B$1004,MATCH(C1159,LOTES!$F$5:$F$1004,0)),""))</f>
        <v/>
      </c>
      <c r="G1159" s="15" t="str">
        <f aca="false">IF(OR(B1159="",F1159=""),"",B1159-F1159)</f>
        <v/>
      </c>
      <c r="H1159" s="13"/>
      <c r="I1159" s="13"/>
      <c r="J1159" s="13"/>
      <c r="K1159" s="25"/>
      <c r="L1159" s="25"/>
      <c r="M1159" s="25"/>
      <c r="N1159" s="25"/>
      <c r="O1159" s="26"/>
      <c r="P1159" s="16" t="str">
        <f aca="false">IF(O1159="","",IFERROR(1/(1/(IF(K1159="",INDEX(CONFIG!$F$5:$F$14,MATCH(D1159,CONFIG!$D$5:$D$14,0)),K1159)*IF(M1159="",INDEX(CONFIG!$H$5:$H$14,MATCH(D1159,CONFIG!$D$5:$D$14,0)),M1159))),""))</f>
        <v/>
      </c>
      <c r="Q1159" s="16" t="str">
        <f aca="false">IF(OR(O1159="",P1159=""),"",O1159/P1159)</f>
        <v/>
      </c>
      <c r="R1159" s="16" t="str">
        <f aca="false">IF(Q1159="","",Q1159*0.0980665)</f>
        <v/>
      </c>
      <c r="S1159" s="16" t="str">
        <f aca="false">IF(Q1159="","",IFERROR(Q1159/(1/(1/INDEX(CONFIG!$I$5:$I$14,MATCH(D1159,CONFIG!$D$5:$D$14,0)))),""))</f>
        <v/>
      </c>
      <c r="T1159" s="13"/>
      <c r="U1159" s="13"/>
      <c r="V1159" s="13"/>
      <c r="W1159" s="13"/>
      <c r="X1159" s="22" t="str">
        <f aca="false">IF(Q1159="","",Q1159^2)</f>
        <v/>
      </c>
      <c r="Y1159" s="22" t="str">
        <f aca="false">IF(AND(C1159&lt;&gt;"",C1159=CERTIFICADO!$E$4,OR(CERTIFICADO!$E$5="",B1159=CERTIFICADO!$E$5)),MAX($Y$4:Y1158)+1,"")</f>
        <v/>
      </c>
    </row>
    <row r="1160" customFormat="false" ht="15" hidden="false" customHeight="false" outlineLevel="0" collapsed="false">
      <c r="A1160" s="11" t="str">
        <f aca="false">IF(C1160="","",ROW()-4)</f>
        <v/>
      </c>
      <c r="B1160" s="12"/>
      <c r="C1160" s="13"/>
      <c r="D1160" s="23" t="str">
        <f aca="false">IF(C1160="","",IFERROR(INDEX(LOTES!$D$5:$D$1004,MATCH(C1160,LOTES!$F$5:$F$1004,0)),"¿Lote?"))</f>
        <v/>
      </c>
      <c r="E1160" s="11" t="str">
        <f aca="false">IF(C1160="","",IFERROR(INDEX(LOTES!$C$5:$C$1004,MATCH(C1160,LOTES!$F$5:$F$1004,0)),""))</f>
        <v/>
      </c>
      <c r="F1160" s="24" t="str">
        <f aca="false">IF(C1160="","",IFERROR(INDEX(LOTES!$B$5:$B$1004,MATCH(C1160,LOTES!$F$5:$F$1004,0)),""))</f>
        <v/>
      </c>
      <c r="G1160" s="15" t="str">
        <f aca="false">IF(OR(B1160="",F1160=""),"",B1160-F1160)</f>
        <v/>
      </c>
      <c r="H1160" s="13"/>
      <c r="I1160" s="13"/>
      <c r="J1160" s="13"/>
      <c r="K1160" s="25"/>
      <c r="L1160" s="25"/>
      <c r="M1160" s="25"/>
      <c r="N1160" s="25"/>
      <c r="O1160" s="26"/>
      <c r="P1160" s="16" t="str">
        <f aca="false">IF(O1160="","",IFERROR(1/(1/(IF(K1160="",INDEX(CONFIG!$F$5:$F$14,MATCH(D1160,CONFIG!$D$5:$D$14,0)),K1160)*IF(M1160="",INDEX(CONFIG!$H$5:$H$14,MATCH(D1160,CONFIG!$D$5:$D$14,0)),M1160))),""))</f>
        <v/>
      </c>
      <c r="Q1160" s="16" t="str">
        <f aca="false">IF(OR(O1160="",P1160=""),"",O1160/P1160)</f>
        <v/>
      </c>
      <c r="R1160" s="16" t="str">
        <f aca="false">IF(Q1160="","",Q1160*0.0980665)</f>
        <v/>
      </c>
      <c r="S1160" s="16" t="str">
        <f aca="false">IF(Q1160="","",IFERROR(Q1160/(1/(1/INDEX(CONFIG!$I$5:$I$14,MATCH(D1160,CONFIG!$D$5:$D$14,0)))),""))</f>
        <v/>
      </c>
      <c r="T1160" s="13"/>
      <c r="U1160" s="13"/>
      <c r="V1160" s="13"/>
      <c r="W1160" s="13"/>
      <c r="X1160" s="22" t="str">
        <f aca="false">IF(Q1160="","",Q1160^2)</f>
        <v/>
      </c>
      <c r="Y1160" s="22" t="str">
        <f aca="false">IF(AND(C1160&lt;&gt;"",C1160=CERTIFICADO!$E$4,OR(CERTIFICADO!$E$5="",B1160=CERTIFICADO!$E$5)),MAX($Y$4:Y1159)+1,"")</f>
        <v/>
      </c>
    </row>
    <row r="1161" customFormat="false" ht="15" hidden="false" customHeight="false" outlineLevel="0" collapsed="false">
      <c r="A1161" s="11" t="str">
        <f aca="false">IF(C1161="","",ROW()-4)</f>
        <v/>
      </c>
      <c r="B1161" s="12"/>
      <c r="C1161" s="13"/>
      <c r="D1161" s="23" t="str">
        <f aca="false">IF(C1161="","",IFERROR(INDEX(LOTES!$D$5:$D$1004,MATCH(C1161,LOTES!$F$5:$F$1004,0)),"¿Lote?"))</f>
        <v/>
      </c>
      <c r="E1161" s="11" t="str">
        <f aca="false">IF(C1161="","",IFERROR(INDEX(LOTES!$C$5:$C$1004,MATCH(C1161,LOTES!$F$5:$F$1004,0)),""))</f>
        <v/>
      </c>
      <c r="F1161" s="24" t="str">
        <f aca="false">IF(C1161="","",IFERROR(INDEX(LOTES!$B$5:$B$1004,MATCH(C1161,LOTES!$F$5:$F$1004,0)),""))</f>
        <v/>
      </c>
      <c r="G1161" s="15" t="str">
        <f aca="false">IF(OR(B1161="",F1161=""),"",B1161-F1161)</f>
        <v/>
      </c>
      <c r="H1161" s="13"/>
      <c r="I1161" s="13"/>
      <c r="J1161" s="13"/>
      <c r="K1161" s="25"/>
      <c r="L1161" s="25"/>
      <c r="M1161" s="25"/>
      <c r="N1161" s="25"/>
      <c r="O1161" s="26"/>
      <c r="P1161" s="16" t="str">
        <f aca="false">IF(O1161="","",IFERROR(1/(1/(IF(K1161="",INDEX(CONFIG!$F$5:$F$14,MATCH(D1161,CONFIG!$D$5:$D$14,0)),K1161)*IF(M1161="",INDEX(CONFIG!$H$5:$H$14,MATCH(D1161,CONFIG!$D$5:$D$14,0)),M1161))),""))</f>
        <v/>
      </c>
      <c r="Q1161" s="16" t="str">
        <f aca="false">IF(OR(O1161="",P1161=""),"",O1161/P1161)</f>
        <v/>
      </c>
      <c r="R1161" s="16" t="str">
        <f aca="false">IF(Q1161="","",Q1161*0.0980665)</f>
        <v/>
      </c>
      <c r="S1161" s="16" t="str">
        <f aca="false">IF(Q1161="","",IFERROR(Q1161/(1/(1/INDEX(CONFIG!$I$5:$I$14,MATCH(D1161,CONFIG!$D$5:$D$14,0)))),""))</f>
        <v/>
      </c>
      <c r="T1161" s="13"/>
      <c r="U1161" s="13"/>
      <c r="V1161" s="13"/>
      <c r="W1161" s="13"/>
      <c r="X1161" s="22" t="str">
        <f aca="false">IF(Q1161="","",Q1161^2)</f>
        <v/>
      </c>
      <c r="Y1161" s="22" t="str">
        <f aca="false">IF(AND(C1161&lt;&gt;"",C1161=CERTIFICADO!$E$4,OR(CERTIFICADO!$E$5="",B1161=CERTIFICADO!$E$5)),MAX($Y$4:Y1160)+1,"")</f>
        <v/>
      </c>
    </row>
    <row r="1162" customFormat="false" ht="15" hidden="false" customHeight="false" outlineLevel="0" collapsed="false">
      <c r="A1162" s="11" t="str">
        <f aca="false">IF(C1162="","",ROW()-4)</f>
        <v/>
      </c>
      <c r="B1162" s="12"/>
      <c r="C1162" s="13"/>
      <c r="D1162" s="23" t="str">
        <f aca="false">IF(C1162="","",IFERROR(INDEX(LOTES!$D$5:$D$1004,MATCH(C1162,LOTES!$F$5:$F$1004,0)),"¿Lote?"))</f>
        <v/>
      </c>
      <c r="E1162" s="11" t="str">
        <f aca="false">IF(C1162="","",IFERROR(INDEX(LOTES!$C$5:$C$1004,MATCH(C1162,LOTES!$F$5:$F$1004,0)),""))</f>
        <v/>
      </c>
      <c r="F1162" s="24" t="str">
        <f aca="false">IF(C1162="","",IFERROR(INDEX(LOTES!$B$5:$B$1004,MATCH(C1162,LOTES!$F$5:$F$1004,0)),""))</f>
        <v/>
      </c>
      <c r="G1162" s="15" t="str">
        <f aca="false">IF(OR(B1162="",F1162=""),"",B1162-F1162)</f>
        <v/>
      </c>
      <c r="H1162" s="13"/>
      <c r="I1162" s="13"/>
      <c r="J1162" s="13"/>
      <c r="K1162" s="25"/>
      <c r="L1162" s="25"/>
      <c r="M1162" s="25"/>
      <c r="N1162" s="25"/>
      <c r="O1162" s="26"/>
      <c r="P1162" s="16" t="str">
        <f aca="false">IF(O1162="","",IFERROR(1/(1/(IF(K1162="",INDEX(CONFIG!$F$5:$F$14,MATCH(D1162,CONFIG!$D$5:$D$14,0)),K1162)*IF(M1162="",INDEX(CONFIG!$H$5:$H$14,MATCH(D1162,CONFIG!$D$5:$D$14,0)),M1162))),""))</f>
        <v/>
      </c>
      <c r="Q1162" s="16" t="str">
        <f aca="false">IF(OR(O1162="",P1162=""),"",O1162/P1162)</f>
        <v/>
      </c>
      <c r="R1162" s="16" t="str">
        <f aca="false">IF(Q1162="","",Q1162*0.0980665)</f>
        <v/>
      </c>
      <c r="S1162" s="16" t="str">
        <f aca="false">IF(Q1162="","",IFERROR(Q1162/(1/(1/INDEX(CONFIG!$I$5:$I$14,MATCH(D1162,CONFIG!$D$5:$D$14,0)))),""))</f>
        <v/>
      </c>
      <c r="T1162" s="13"/>
      <c r="U1162" s="13"/>
      <c r="V1162" s="13"/>
      <c r="W1162" s="13"/>
      <c r="X1162" s="22" t="str">
        <f aca="false">IF(Q1162="","",Q1162^2)</f>
        <v/>
      </c>
      <c r="Y1162" s="22" t="str">
        <f aca="false">IF(AND(C1162&lt;&gt;"",C1162=CERTIFICADO!$E$4,OR(CERTIFICADO!$E$5="",B1162=CERTIFICADO!$E$5)),MAX($Y$4:Y1161)+1,"")</f>
        <v/>
      </c>
    </row>
    <row r="1163" customFormat="false" ht="15" hidden="false" customHeight="false" outlineLevel="0" collapsed="false">
      <c r="A1163" s="11" t="str">
        <f aca="false">IF(C1163="","",ROW()-4)</f>
        <v/>
      </c>
      <c r="B1163" s="12"/>
      <c r="C1163" s="13"/>
      <c r="D1163" s="23" t="str">
        <f aca="false">IF(C1163="","",IFERROR(INDEX(LOTES!$D$5:$D$1004,MATCH(C1163,LOTES!$F$5:$F$1004,0)),"¿Lote?"))</f>
        <v/>
      </c>
      <c r="E1163" s="11" t="str">
        <f aca="false">IF(C1163="","",IFERROR(INDEX(LOTES!$C$5:$C$1004,MATCH(C1163,LOTES!$F$5:$F$1004,0)),""))</f>
        <v/>
      </c>
      <c r="F1163" s="24" t="str">
        <f aca="false">IF(C1163="","",IFERROR(INDEX(LOTES!$B$5:$B$1004,MATCH(C1163,LOTES!$F$5:$F$1004,0)),""))</f>
        <v/>
      </c>
      <c r="G1163" s="15" t="str">
        <f aca="false">IF(OR(B1163="",F1163=""),"",B1163-F1163)</f>
        <v/>
      </c>
      <c r="H1163" s="13"/>
      <c r="I1163" s="13"/>
      <c r="J1163" s="13"/>
      <c r="K1163" s="25"/>
      <c r="L1163" s="25"/>
      <c r="M1163" s="25"/>
      <c r="N1163" s="25"/>
      <c r="O1163" s="26"/>
      <c r="P1163" s="16" t="str">
        <f aca="false">IF(O1163="","",IFERROR(1/(1/(IF(K1163="",INDEX(CONFIG!$F$5:$F$14,MATCH(D1163,CONFIG!$D$5:$D$14,0)),K1163)*IF(M1163="",INDEX(CONFIG!$H$5:$H$14,MATCH(D1163,CONFIG!$D$5:$D$14,0)),M1163))),""))</f>
        <v/>
      </c>
      <c r="Q1163" s="16" t="str">
        <f aca="false">IF(OR(O1163="",P1163=""),"",O1163/P1163)</f>
        <v/>
      </c>
      <c r="R1163" s="16" t="str">
        <f aca="false">IF(Q1163="","",Q1163*0.0980665)</f>
        <v/>
      </c>
      <c r="S1163" s="16" t="str">
        <f aca="false">IF(Q1163="","",IFERROR(Q1163/(1/(1/INDEX(CONFIG!$I$5:$I$14,MATCH(D1163,CONFIG!$D$5:$D$14,0)))),""))</f>
        <v/>
      </c>
      <c r="T1163" s="13"/>
      <c r="U1163" s="13"/>
      <c r="V1163" s="13"/>
      <c r="W1163" s="13"/>
      <c r="X1163" s="22" t="str">
        <f aca="false">IF(Q1163="","",Q1163^2)</f>
        <v/>
      </c>
      <c r="Y1163" s="22" t="str">
        <f aca="false">IF(AND(C1163&lt;&gt;"",C1163=CERTIFICADO!$E$4,OR(CERTIFICADO!$E$5="",B1163=CERTIFICADO!$E$5)),MAX($Y$4:Y1162)+1,"")</f>
        <v/>
      </c>
    </row>
    <row r="1164" customFormat="false" ht="15" hidden="false" customHeight="false" outlineLevel="0" collapsed="false">
      <c r="A1164" s="11" t="str">
        <f aca="false">IF(C1164="","",ROW()-4)</f>
        <v/>
      </c>
      <c r="B1164" s="12"/>
      <c r="C1164" s="13"/>
      <c r="D1164" s="23" t="str">
        <f aca="false">IF(C1164="","",IFERROR(INDEX(LOTES!$D$5:$D$1004,MATCH(C1164,LOTES!$F$5:$F$1004,0)),"¿Lote?"))</f>
        <v/>
      </c>
      <c r="E1164" s="11" t="str">
        <f aca="false">IF(C1164="","",IFERROR(INDEX(LOTES!$C$5:$C$1004,MATCH(C1164,LOTES!$F$5:$F$1004,0)),""))</f>
        <v/>
      </c>
      <c r="F1164" s="24" t="str">
        <f aca="false">IF(C1164="","",IFERROR(INDEX(LOTES!$B$5:$B$1004,MATCH(C1164,LOTES!$F$5:$F$1004,0)),""))</f>
        <v/>
      </c>
      <c r="G1164" s="15" t="str">
        <f aca="false">IF(OR(B1164="",F1164=""),"",B1164-F1164)</f>
        <v/>
      </c>
      <c r="H1164" s="13"/>
      <c r="I1164" s="13"/>
      <c r="J1164" s="13"/>
      <c r="K1164" s="25"/>
      <c r="L1164" s="25"/>
      <c r="M1164" s="25"/>
      <c r="N1164" s="25"/>
      <c r="O1164" s="26"/>
      <c r="P1164" s="16" t="str">
        <f aca="false">IF(O1164="","",IFERROR(1/(1/(IF(K1164="",INDEX(CONFIG!$F$5:$F$14,MATCH(D1164,CONFIG!$D$5:$D$14,0)),K1164)*IF(M1164="",INDEX(CONFIG!$H$5:$H$14,MATCH(D1164,CONFIG!$D$5:$D$14,0)),M1164))),""))</f>
        <v/>
      </c>
      <c r="Q1164" s="16" t="str">
        <f aca="false">IF(OR(O1164="",P1164=""),"",O1164/P1164)</f>
        <v/>
      </c>
      <c r="R1164" s="16" t="str">
        <f aca="false">IF(Q1164="","",Q1164*0.0980665)</f>
        <v/>
      </c>
      <c r="S1164" s="16" t="str">
        <f aca="false">IF(Q1164="","",IFERROR(Q1164/(1/(1/INDEX(CONFIG!$I$5:$I$14,MATCH(D1164,CONFIG!$D$5:$D$14,0)))),""))</f>
        <v/>
      </c>
      <c r="T1164" s="13"/>
      <c r="U1164" s="13"/>
      <c r="V1164" s="13"/>
      <c r="W1164" s="13"/>
      <c r="X1164" s="22" t="str">
        <f aca="false">IF(Q1164="","",Q1164^2)</f>
        <v/>
      </c>
      <c r="Y1164" s="22" t="str">
        <f aca="false">IF(AND(C1164&lt;&gt;"",C1164=CERTIFICADO!$E$4,OR(CERTIFICADO!$E$5="",B1164=CERTIFICADO!$E$5)),MAX($Y$4:Y1163)+1,"")</f>
        <v/>
      </c>
    </row>
    <row r="1165" customFormat="false" ht="15" hidden="false" customHeight="false" outlineLevel="0" collapsed="false">
      <c r="A1165" s="11" t="str">
        <f aca="false">IF(C1165="","",ROW()-4)</f>
        <v/>
      </c>
      <c r="B1165" s="12"/>
      <c r="C1165" s="13"/>
      <c r="D1165" s="23" t="str">
        <f aca="false">IF(C1165="","",IFERROR(INDEX(LOTES!$D$5:$D$1004,MATCH(C1165,LOTES!$F$5:$F$1004,0)),"¿Lote?"))</f>
        <v/>
      </c>
      <c r="E1165" s="11" t="str">
        <f aca="false">IF(C1165="","",IFERROR(INDEX(LOTES!$C$5:$C$1004,MATCH(C1165,LOTES!$F$5:$F$1004,0)),""))</f>
        <v/>
      </c>
      <c r="F1165" s="24" t="str">
        <f aca="false">IF(C1165="","",IFERROR(INDEX(LOTES!$B$5:$B$1004,MATCH(C1165,LOTES!$F$5:$F$1004,0)),""))</f>
        <v/>
      </c>
      <c r="G1165" s="15" t="str">
        <f aca="false">IF(OR(B1165="",F1165=""),"",B1165-F1165)</f>
        <v/>
      </c>
      <c r="H1165" s="13"/>
      <c r="I1165" s="13"/>
      <c r="J1165" s="13"/>
      <c r="K1165" s="25"/>
      <c r="L1165" s="25"/>
      <c r="M1165" s="25"/>
      <c r="N1165" s="25"/>
      <c r="O1165" s="26"/>
      <c r="P1165" s="16" t="str">
        <f aca="false">IF(O1165="","",IFERROR(1/(1/(IF(K1165="",INDEX(CONFIG!$F$5:$F$14,MATCH(D1165,CONFIG!$D$5:$D$14,0)),K1165)*IF(M1165="",INDEX(CONFIG!$H$5:$H$14,MATCH(D1165,CONFIG!$D$5:$D$14,0)),M1165))),""))</f>
        <v/>
      </c>
      <c r="Q1165" s="16" t="str">
        <f aca="false">IF(OR(O1165="",P1165=""),"",O1165/P1165)</f>
        <v/>
      </c>
      <c r="R1165" s="16" t="str">
        <f aca="false">IF(Q1165="","",Q1165*0.0980665)</f>
        <v/>
      </c>
      <c r="S1165" s="16" t="str">
        <f aca="false">IF(Q1165="","",IFERROR(Q1165/(1/(1/INDEX(CONFIG!$I$5:$I$14,MATCH(D1165,CONFIG!$D$5:$D$14,0)))),""))</f>
        <v/>
      </c>
      <c r="T1165" s="13"/>
      <c r="U1165" s="13"/>
      <c r="V1165" s="13"/>
      <c r="W1165" s="13"/>
      <c r="X1165" s="22" t="str">
        <f aca="false">IF(Q1165="","",Q1165^2)</f>
        <v/>
      </c>
      <c r="Y1165" s="22" t="str">
        <f aca="false">IF(AND(C1165&lt;&gt;"",C1165=CERTIFICADO!$E$4,OR(CERTIFICADO!$E$5="",B1165=CERTIFICADO!$E$5)),MAX($Y$4:Y1164)+1,"")</f>
        <v/>
      </c>
    </row>
    <row r="1166" customFormat="false" ht="15" hidden="false" customHeight="false" outlineLevel="0" collapsed="false">
      <c r="A1166" s="11" t="str">
        <f aca="false">IF(C1166="","",ROW()-4)</f>
        <v/>
      </c>
      <c r="B1166" s="12"/>
      <c r="C1166" s="13"/>
      <c r="D1166" s="23" t="str">
        <f aca="false">IF(C1166="","",IFERROR(INDEX(LOTES!$D$5:$D$1004,MATCH(C1166,LOTES!$F$5:$F$1004,0)),"¿Lote?"))</f>
        <v/>
      </c>
      <c r="E1166" s="11" t="str">
        <f aca="false">IF(C1166="","",IFERROR(INDEX(LOTES!$C$5:$C$1004,MATCH(C1166,LOTES!$F$5:$F$1004,0)),""))</f>
        <v/>
      </c>
      <c r="F1166" s="24" t="str">
        <f aca="false">IF(C1166="","",IFERROR(INDEX(LOTES!$B$5:$B$1004,MATCH(C1166,LOTES!$F$5:$F$1004,0)),""))</f>
        <v/>
      </c>
      <c r="G1166" s="15" t="str">
        <f aca="false">IF(OR(B1166="",F1166=""),"",B1166-F1166)</f>
        <v/>
      </c>
      <c r="H1166" s="13"/>
      <c r="I1166" s="13"/>
      <c r="J1166" s="13"/>
      <c r="K1166" s="25"/>
      <c r="L1166" s="25"/>
      <c r="M1166" s="25"/>
      <c r="N1166" s="25"/>
      <c r="O1166" s="26"/>
      <c r="P1166" s="16" t="str">
        <f aca="false">IF(O1166="","",IFERROR(1/(1/(IF(K1166="",INDEX(CONFIG!$F$5:$F$14,MATCH(D1166,CONFIG!$D$5:$D$14,0)),K1166)*IF(M1166="",INDEX(CONFIG!$H$5:$H$14,MATCH(D1166,CONFIG!$D$5:$D$14,0)),M1166))),""))</f>
        <v/>
      </c>
      <c r="Q1166" s="16" t="str">
        <f aca="false">IF(OR(O1166="",P1166=""),"",O1166/P1166)</f>
        <v/>
      </c>
      <c r="R1166" s="16" t="str">
        <f aca="false">IF(Q1166="","",Q1166*0.0980665)</f>
        <v/>
      </c>
      <c r="S1166" s="16" t="str">
        <f aca="false">IF(Q1166="","",IFERROR(Q1166/(1/(1/INDEX(CONFIG!$I$5:$I$14,MATCH(D1166,CONFIG!$D$5:$D$14,0)))),""))</f>
        <v/>
      </c>
      <c r="T1166" s="13"/>
      <c r="U1166" s="13"/>
      <c r="V1166" s="13"/>
      <c r="W1166" s="13"/>
      <c r="X1166" s="22" t="str">
        <f aca="false">IF(Q1166="","",Q1166^2)</f>
        <v/>
      </c>
      <c r="Y1166" s="22" t="str">
        <f aca="false">IF(AND(C1166&lt;&gt;"",C1166=CERTIFICADO!$E$4,OR(CERTIFICADO!$E$5="",B1166=CERTIFICADO!$E$5)),MAX($Y$4:Y1165)+1,"")</f>
        <v/>
      </c>
    </row>
    <row r="1167" customFormat="false" ht="15" hidden="false" customHeight="false" outlineLevel="0" collapsed="false">
      <c r="A1167" s="11" t="str">
        <f aca="false">IF(C1167="","",ROW()-4)</f>
        <v/>
      </c>
      <c r="B1167" s="12"/>
      <c r="C1167" s="13"/>
      <c r="D1167" s="23" t="str">
        <f aca="false">IF(C1167="","",IFERROR(INDEX(LOTES!$D$5:$D$1004,MATCH(C1167,LOTES!$F$5:$F$1004,0)),"¿Lote?"))</f>
        <v/>
      </c>
      <c r="E1167" s="11" t="str">
        <f aca="false">IF(C1167="","",IFERROR(INDEX(LOTES!$C$5:$C$1004,MATCH(C1167,LOTES!$F$5:$F$1004,0)),""))</f>
        <v/>
      </c>
      <c r="F1167" s="24" t="str">
        <f aca="false">IF(C1167="","",IFERROR(INDEX(LOTES!$B$5:$B$1004,MATCH(C1167,LOTES!$F$5:$F$1004,0)),""))</f>
        <v/>
      </c>
      <c r="G1167" s="15" t="str">
        <f aca="false">IF(OR(B1167="",F1167=""),"",B1167-F1167)</f>
        <v/>
      </c>
      <c r="H1167" s="13"/>
      <c r="I1167" s="13"/>
      <c r="J1167" s="13"/>
      <c r="K1167" s="25"/>
      <c r="L1167" s="25"/>
      <c r="M1167" s="25"/>
      <c r="N1167" s="25"/>
      <c r="O1167" s="26"/>
      <c r="P1167" s="16" t="str">
        <f aca="false">IF(O1167="","",IFERROR(1/(1/(IF(K1167="",INDEX(CONFIG!$F$5:$F$14,MATCH(D1167,CONFIG!$D$5:$D$14,0)),K1167)*IF(M1167="",INDEX(CONFIG!$H$5:$H$14,MATCH(D1167,CONFIG!$D$5:$D$14,0)),M1167))),""))</f>
        <v/>
      </c>
      <c r="Q1167" s="16" t="str">
        <f aca="false">IF(OR(O1167="",P1167=""),"",O1167/P1167)</f>
        <v/>
      </c>
      <c r="R1167" s="16" t="str">
        <f aca="false">IF(Q1167="","",Q1167*0.0980665)</f>
        <v/>
      </c>
      <c r="S1167" s="16" t="str">
        <f aca="false">IF(Q1167="","",IFERROR(Q1167/(1/(1/INDEX(CONFIG!$I$5:$I$14,MATCH(D1167,CONFIG!$D$5:$D$14,0)))),""))</f>
        <v/>
      </c>
      <c r="T1167" s="13"/>
      <c r="U1167" s="13"/>
      <c r="V1167" s="13"/>
      <c r="W1167" s="13"/>
      <c r="X1167" s="22" t="str">
        <f aca="false">IF(Q1167="","",Q1167^2)</f>
        <v/>
      </c>
      <c r="Y1167" s="22" t="str">
        <f aca="false">IF(AND(C1167&lt;&gt;"",C1167=CERTIFICADO!$E$4,OR(CERTIFICADO!$E$5="",B1167=CERTIFICADO!$E$5)),MAX($Y$4:Y1166)+1,"")</f>
        <v/>
      </c>
    </row>
    <row r="1168" customFormat="false" ht="15" hidden="false" customHeight="false" outlineLevel="0" collapsed="false">
      <c r="A1168" s="11" t="str">
        <f aca="false">IF(C1168="","",ROW()-4)</f>
        <v/>
      </c>
      <c r="B1168" s="12"/>
      <c r="C1168" s="13"/>
      <c r="D1168" s="23" t="str">
        <f aca="false">IF(C1168="","",IFERROR(INDEX(LOTES!$D$5:$D$1004,MATCH(C1168,LOTES!$F$5:$F$1004,0)),"¿Lote?"))</f>
        <v/>
      </c>
      <c r="E1168" s="11" t="str">
        <f aca="false">IF(C1168="","",IFERROR(INDEX(LOTES!$C$5:$C$1004,MATCH(C1168,LOTES!$F$5:$F$1004,0)),""))</f>
        <v/>
      </c>
      <c r="F1168" s="24" t="str">
        <f aca="false">IF(C1168="","",IFERROR(INDEX(LOTES!$B$5:$B$1004,MATCH(C1168,LOTES!$F$5:$F$1004,0)),""))</f>
        <v/>
      </c>
      <c r="G1168" s="15" t="str">
        <f aca="false">IF(OR(B1168="",F1168=""),"",B1168-F1168)</f>
        <v/>
      </c>
      <c r="H1168" s="13"/>
      <c r="I1168" s="13"/>
      <c r="J1168" s="13"/>
      <c r="K1168" s="25"/>
      <c r="L1168" s="25"/>
      <c r="M1168" s="25"/>
      <c r="N1168" s="25"/>
      <c r="O1168" s="26"/>
      <c r="P1168" s="16" t="str">
        <f aca="false">IF(O1168="","",IFERROR(1/(1/(IF(K1168="",INDEX(CONFIG!$F$5:$F$14,MATCH(D1168,CONFIG!$D$5:$D$14,0)),K1168)*IF(M1168="",INDEX(CONFIG!$H$5:$H$14,MATCH(D1168,CONFIG!$D$5:$D$14,0)),M1168))),""))</f>
        <v/>
      </c>
      <c r="Q1168" s="16" t="str">
        <f aca="false">IF(OR(O1168="",P1168=""),"",O1168/P1168)</f>
        <v/>
      </c>
      <c r="R1168" s="16" t="str">
        <f aca="false">IF(Q1168="","",Q1168*0.0980665)</f>
        <v/>
      </c>
      <c r="S1168" s="16" t="str">
        <f aca="false">IF(Q1168="","",IFERROR(Q1168/(1/(1/INDEX(CONFIG!$I$5:$I$14,MATCH(D1168,CONFIG!$D$5:$D$14,0)))),""))</f>
        <v/>
      </c>
      <c r="T1168" s="13"/>
      <c r="U1168" s="13"/>
      <c r="V1168" s="13"/>
      <c r="W1168" s="13"/>
      <c r="X1168" s="22" t="str">
        <f aca="false">IF(Q1168="","",Q1168^2)</f>
        <v/>
      </c>
      <c r="Y1168" s="22" t="str">
        <f aca="false">IF(AND(C1168&lt;&gt;"",C1168=CERTIFICADO!$E$4,OR(CERTIFICADO!$E$5="",B1168=CERTIFICADO!$E$5)),MAX($Y$4:Y1167)+1,"")</f>
        <v/>
      </c>
    </row>
    <row r="1169" customFormat="false" ht="15" hidden="false" customHeight="false" outlineLevel="0" collapsed="false">
      <c r="A1169" s="11" t="str">
        <f aca="false">IF(C1169="","",ROW()-4)</f>
        <v/>
      </c>
      <c r="B1169" s="12"/>
      <c r="C1169" s="13"/>
      <c r="D1169" s="23" t="str">
        <f aca="false">IF(C1169="","",IFERROR(INDEX(LOTES!$D$5:$D$1004,MATCH(C1169,LOTES!$F$5:$F$1004,0)),"¿Lote?"))</f>
        <v/>
      </c>
      <c r="E1169" s="11" t="str">
        <f aca="false">IF(C1169="","",IFERROR(INDEX(LOTES!$C$5:$C$1004,MATCH(C1169,LOTES!$F$5:$F$1004,0)),""))</f>
        <v/>
      </c>
      <c r="F1169" s="24" t="str">
        <f aca="false">IF(C1169="","",IFERROR(INDEX(LOTES!$B$5:$B$1004,MATCH(C1169,LOTES!$F$5:$F$1004,0)),""))</f>
        <v/>
      </c>
      <c r="G1169" s="15" t="str">
        <f aca="false">IF(OR(B1169="",F1169=""),"",B1169-F1169)</f>
        <v/>
      </c>
      <c r="H1169" s="13"/>
      <c r="I1169" s="13"/>
      <c r="J1169" s="13"/>
      <c r="K1169" s="25"/>
      <c r="L1169" s="25"/>
      <c r="M1169" s="25"/>
      <c r="N1169" s="25"/>
      <c r="O1169" s="26"/>
      <c r="P1169" s="16" t="str">
        <f aca="false">IF(O1169="","",IFERROR(1/(1/(IF(K1169="",INDEX(CONFIG!$F$5:$F$14,MATCH(D1169,CONFIG!$D$5:$D$14,0)),K1169)*IF(M1169="",INDEX(CONFIG!$H$5:$H$14,MATCH(D1169,CONFIG!$D$5:$D$14,0)),M1169))),""))</f>
        <v/>
      </c>
      <c r="Q1169" s="16" t="str">
        <f aca="false">IF(OR(O1169="",P1169=""),"",O1169/P1169)</f>
        <v/>
      </c>
      <c r="R1169" s="16" t="str">
        <f aca="false">IF(Q1169="","",Q1169*0.0980665)</f>
        <v/>
      </c>
      <c r="S1169" s="16" t="str">
        <f aca="false">IF(Q1169="","",IFERROR(Q1169/(1/(1/INDEX(CONFIG!$I$5:$I$14,MATCH(D1169,CONFIG!$D$5:$D$14,0)))),""))</f>
        <v/>
      </c>
      <c r="T1169" s="13"/>
      <c r="U1169" s="13"/>
      <c r="V1169" s="13"/>
      <c r="W1169" s="13"/>
      <c r="X1169" s="22" t="str">
        <f aca="false">IF(Q1169="","",Q1169^2)</f>
        <v/>
      </c>
      <c r="Y1169" s="22" t="str">
        <f aca="false">IF(AND(C1169&lt;&gt;"",C1169=CERTIFICADO!$E$4,OR(CERTIFICADO!$E$5="",B1169=CERTIFICADO!$E$5)),MAX($Y$4:Y1168)+1,"")</f>
        <v/>
      </c>
    </row>
    <row r="1170" customFormat="false" ht="15" hidden="false" customHeight="false" outlineLevel="0" collapsed="false">
      <c r="A1170" s="11" t="str">
        <f aca="false">IF(C1170="","",ROW()-4)</f>
        <v/>
      </c>
      <c r="B1170" s="12"/>
      <c r="C1170" s="13"/>
      <c r="D1170" s="23" t="str">
        <f aca="false">IF(C1170="","",IFERROR(INDEX(LOTES!$D$5:$D$1004,MATCH(C1170,LOTES!$F$5:$F$1004,0)),"¿Lote?"))</f>
        <v/>
      </c>
      <c r="E1170" s="11" t="str">
        <f aca="false">IF(C1170="","",IFERROR(INDEX(LOTES!$C$5:$C$1004,MATCH(C1170,LOTES!$F$5:$F$1004,0)),""))</f>
        <v/>
      </c>
      <c r="F1170" s="24" t="str">
        <f aca="false">IF(C1170="","",IFERROR(INDEX(LOTES!$B$5:$B$1004,MATCH(C1170,LOTES!$F$5:$F$1004,0)),""))</f>
        <v/>
      </c>
      <c r="G1170" s="15" t="str">
        <f aca="false">IF(OR(B1170="",F1170=""),"",B1170-F1170)</f>
        <v/>
      </c>
      <c r="H1170" s="13"/>
      <c r="I1170" s="13"/>
      <c r="J1170" s="13"/>
      <c r="K1170" s="25"/>
      <c r="L1170" s="25"/>
      <c r="M1170" s="25"/>
      <c r="N1170" s="25"/>
      <c r="O1170" s="26"/>
      <c r="P1170" s="16" t="str">
        <f aca="false">IF(O1170="","",IFERROR(1/(1/(IF(K1170="",INDEX(CONFIG!$F$5:$F$14,MATCH(D1170,CONFIG!$D$5:$D$14,0)),K1170)*IF(M1170="",INDEX(CONFIG!$H$5:$H$14,MATCH(D1170,CONFIG!$D$5:$D$14,0)),M1170))),""))</f>
        <v/>
      </c>
      <c r="Q1170" s="16" t="str">
        <f aca="false">IF(OR(O1170="",P1170=""),"",O1170/P1170)</f>
        <v/>
      </c>
      <c r="R1170" s="16" t="str">
        <f aca="false">IF(Q1170="","",Q1170*0.0980665)</f>
        <v/>
      </c>
      <c r="S1170" s="16" t="str">
        <f aca="false">IF(Q1170="","",IFERROR(Q1170/(1/(1/INDEX(CONFIG!$I$5:$I$14,MATCH(D1170,CONFIG!$D$5:$D$14,0)))),""))</f>
        <v/>
      </c>
      <c r="T1170" s="13"/>
      <c r="U1170" s="13"/>
      <c r="V1170" s="13"/>
      <c r="W1170" s="13"/>
      <c r="X1170" s="22" t="str">
        <f aca="false">IF(Q1170="","",Q1170^2)</f>
        <v/>
      </c>
      <c r="Y1170" s="22" t="str">
        <f aca="false">IF(AND(C1170&lt;&gt;"",C1170=CERTIFICADO!$E$4,OR(CERTIFICADO!$E$5="",B1170=CERTIFICADO!$E$5)),MAX($Y$4:Y1169)+1,"")</f>
        <v/>
      </c>
    </row>
    <row r="1171" customFormat="false" ht="15" hidden="false" customHeight="false" outlineLevel="0" collapsed="false">
      <c r="A1171" s="11" t="str">
        <f aca="false">IF(C1171="","",ROW()-4)</f>
        <v/>
      </c>
      <c r="B1171" s="12"/>
      <c r="C1171" s="13"/>
      <c r="D1171" s="23" t="str">
        <f aca="false">IF(C1171="","",IFERROR(INDEX(LOTES!$D$5:$D$1004,MATCH(C1171,LOTES!$F$5:$F$1004,0)),"¿Lote?"))</f>
        <v/>
      </c>
      <c r="E1171" s="11" t="str">
        <f aca="false">IF(C1171="","",IFERROR(INDEX(LOTES!$C$5:$C$1004,MATCH(C1171,LOTES!$F$5:$F$1004,0)),""))</f>
        <v/>
      </c>
      <c r="F1171" s="24" t="str">
        <f aca="false">IF(C1171="","",IFERROR(INDEX(LOTES!$B$5:$B$1004,MATCH(C1171,LOTES!$F$5:$F$1004,0)),""))</f>
        <v/>
      </c>
      <c r="G1171" s="15" t="str">
        <f aca="false">IF(OR(B1171="",F1171=""),"",B1171-F1171)</f>
        <v/>
      </c>
      <c r="H1171" s="13"/>
      <c r="I1171" s="13"/>
      <c r="J1171" s="13"/>
      <c r="K1171" s="25"/>
      <c r="L1171" s="25"/>
      <c r="M1171" s="25"/>
      <c r="N1171" s="25"/>
      <c r="O1171" s="26"/>
      <c r="P1171" s="16" t="str">
        <f aca="false">IF(O1171="","",IFERROR(1/(1/(IF(K1171="",INDEX(CONFIG!$F$5:$F$14,MATCH(D1171,CONFIG!$D$5:$D$14,0)),K1171)*IF(M1171="",INDEX(CONFIG!$H$5:$H$14,MATCH(D1171,CONFIG!$D$5:$D$14,0)),M1171))),""))</f>
        <v/>
      </c>
      <c r="Q1171" s="16" t="str">
        <f aca="false">IF(OR(O1171="",P1171=""),"",O1171/P1171)</f>
        <v/>
      </c>
      <c r="R1171" s="16" t="str">
        <f aca="false">IF(Q1171="","",Q1171*0.0980665)</f>
        <v/>
      </c>
      <c r="S1171" s="16" t="str">
        <f aca="false">IF(Q1171="","",IFERROR(Q1171/(1/(1/INDEX(CONFIG!$I$5:$I$14,MATCH(D1171,CONFIG!$D$5:$D$14,0)))),""))</f>
        <v/>
      </c>
      <c r="T1171" s="13"/>
      <c r="U1171" s="13"/>
      <c r="V1171" s="13"/>
      <c r="W1171" s="13"/>
      <c r="X1171" s="22" t="str">
        <f aca="false">IF(Q1171="","",Q1171^2)</f>
        <v/>
      </c>
      <c r="Y1171" s="22" t="str">
        <f aca="false">IF(AND(C1171&lt;&gt;"",C1171=CERTIFICADO!$E$4,OR(CERTIFICADO!$E$5="",B1171=CERTIFICADO!$E$5)),MAX($Y$4:Y1170)+1,"")</f>
        <v/>
      </c>
    </row>
    <row r="1172" customFormat="false" ht="15" hidden="false" customHeight="false" outlineLevel="0" collapsed="false">
      <c r="A1172" s="11" t="str">
        <f aca="false">IF(C1172="","",ROW()-4)</f>
        <v/>
      </c>
      <c r="B1172" s="12"/>
      <c r="C1172" s="13"/>
      <c r="D1172" s="23" t="str">
        <f aca="false">IF(C1172="","",IFERROR(INDEX(LOTES!$D$5:$D$1004,MATCH(C1172,LOTES!$F$5:$F$1004,0)),"¿Lote?"))</f>
        <v/>
      </c>
      <c r="E1172" s="11" t="str">
        <f aca="false">IF(C1172="","",IFERROR(INDEX(LOTES!$C$5:$C$1004,MATCH(C1172,LOTES!$F$5:$F$1004,0)),""))</f>
        <v/>
      </c>
      <c r="F1172" s="24" t="str">
        <f aca="false">IF(C1172="","",IFERROR(INDEX(LOTES!$B$5:$B$1004,MATCH(C1172,LOTES!$F$5:$F$1004,0)),""))</f>
        <v/>
      </c>
      <c r="G1172" s="15" t="str">
        <f aca="false">IF(OR(B1172="",F1172=""),"",B1172-F1172)</f>
        <v/>
      </c>
      <c r="H1172" s="13"/>
      <c r="I1172" s="13"/>
      <c r="J1172" s="13"/>
      <c r="K1172" s="25"/>
      <c r="L1172" s="25"/>
      <c r="M1172" s="25"/>
      <c r="N1172" s="25"/>
      <c r="O1172" s="26"/>
      <c r="P1172" s="16" t="str">
        <f aca="false">IF(O1172="","",IFERROR(1/(1/(IF(K1172="",INDEX(CONFIG!$F$5:$F$14,MATCH(D1172,CONFIG!$D$5:$D$14,0)),K1172)*IF(M1172="",INDEX(CONFIG!$H$5:$H$14,MATCH(D1172,CONFIG!$D$5:$D$14,0)),M1172))),""))</f>
        <v/>
      </c>
      <c r="Q1172" s="16" t="str">
        <f aca="false">IF(OR(O1172="",P1172=""),"",O1172/P1172)</f>
        <v/>
      </c>
      <c r="R1172" s="16" t="str">
        <f aca="false">IF(Q1172="","",Q1172*0.0980665)</f>
        <v/>
      </c>
      <c r="S1172" s="16" t="str">
        <f aca="false">IF(Q1172="","",IFERROR(Q1172/(1/(1/INDEX(CONFIG!$I$5:$I$14,MATCH(D1172,CONFIG!$D$5:$D$14,0)))),""))</f>
        <v/>
      </c>
      <c r="T1172" s="13"/>
      <c r="U1172" s="13"/>
      <c r="V1172" s="13"/>
      <c r="W1172" s="13"/>
      <c r="X1172" s="22" t="str">
        <f aca="false">IF(Q1172="","",Q1172^2)</f>
        <v/>
      </c>
      <c r="Y1172" s="22" t="str">
        <f aca="false">IF(AND(C1172&lt;&gt;"",C1172=CERTIFICADO!$E$4,OR(CERTIFICADO!$E$5="",B1172=CERTIFICADO!$E$5)),MAX($Y$4:Y1171)+1,"")</f>
        <v/>
      </c>
    </row>
    <row r="1173" customFormat="false" ht="15" hidden="false" customHeight="false" outlineLevel="0" collapsed="false">
      <c r="A1173" s="11" t="str">
        <f aca="false">IF(C1173="","",ROW()-4)</f>
        <v/>
      </c>
      <c r="B1173" s="12"/>
      <c r="C1173" s="13"/>
      <c r="D1173" s="23" t="str">
        <f aca="false">IF(C1173="","",IFERROR(INDEX(LOTES!$D$5:$D$1004,MATCH(C1173,LOTES!$F$5:$F$1004,0)),"¿Lote?"))</f>
        <v/>
      </c>
      <c r="E1173" s="11" t="str">
        <f aca="false">IF(C1173="","",IFERROR(INDEX(LOTES!$C$5:$C$1004,MATCH(C1173,LOTES!$F$5:$F$1004,0)),""))</f>
        <v/>
      </c>
      <c r="F1173" s="24" t="str">
        <f aca="false">IF(C1173="","",IFERROR(INDEX(LOTES!$B$5:$B$1004,MATCH(C1173,LOTES!$F$5:$F$1004,0)),""))</f>
        <v/>
      </c>
      <c r="G1173" s="15" t="str">
        <f aca="false">IF(OR(B1173="",F1173=""),"",B1173-F1173)</f>
        <v/>
      </c>
      <c r="H1173" s="13"/>
      <c r="I1173" s="13"/>
      <c r="J1173" s="13"/>
      <c r="K1173" s="25"/>
      <c r="L1173" s="25"/>
      <c r="M1173" s="25"/>
      <c r="N1173" s="25"/>
      <c r="O1173" s="26"/>
      <c r="P1173" s="16" t="str">
        <f aca="false">IF(O1173="","",IFERROR(1/(1/(IF(K1173="",INDEX(CONFIG!$F$5:$F$14,MATCH(D1173,CONFIG!$D$5:$D$14,0)),K1173)*IF(M1173="",INDEX(CONFIG!$H$5:$H$14,MATCH(D1173,CONFIG!$D$5:$D$14,0)),M1173))),""))</f>
        <v/>
      </c>
      <c r="Q1173" s="16" t="str">
        <f aca="false">IF(OR(O1173="",P1173=""),"",O1173/P1173)</f>
        <v/>
      </c>
      <c r="R1173" s="16" t="str">
        <f aca="false">IF(Q1173="","",Q1173*0.0980665)</f>
        <v/>
      </c>
      <c r="S1173" s="16" t="str">
        <f aca="false">IF(Q1173="","",IFERROR(Q1173/(1/(1/INDEX(CONFIG!$I$5:$I$14,MATCH(D1173,CONFIG!$D$5:$D$14,0)))),""))</f>
        <v/>
      </c>
      <c r="T1173" s="13"/>
      <c r="U1173" s="13"/>
      <c r="V1173" s="13"/>
      <c r="W1173" s="13"/>
      <c r="X1173" s="22" t="str">
        <f aca="false">IF(Q1173="","",Q1173^2)</f>
        <v/>
      </c>
      <c r="Y1173" s="22" t="str">
        <f aca="false">IF(AND(C1173&lt;&gt;"",C1173=CERTIFICADO!$E$4,OR(CERTIFICADO!$E$5="",B1173=CERTIFICADO!$E$5)),MAX($Y$4:Y1172)+1,"")</f>
        <v/>
      </c>
    </row>
    <row r="1174" customFormat="false" ht="15" hidden="false" customHeight="false" outlineLevel="0" collapsed="false">
      <c r="A1174" s="11" t="str">
        <f aca="false">IF(C1174="","",ROW()-4)</f>
        <v/>
      </c>
      <c r="B1174" s="12"/>
      <c r="C1174" s="13"/>
      <c r="D1174" s="23" t="str">
        <f aca="false">IF(C1174="","",IFERROR(INDEX(LOTES!$D$5:$D$1004,MATCH(C1174,LOTES!$F$5:$F$1004,0)),"¿Lote?"))</f>
        <v/>
      </c>
      <c r="E1174" s="11" t="str">
        <f aca="false">IF(C1174="","",IFERROR(INDEX(LOTES!$C$5:$C$1004,MATCH(C1174,LOTES!$F$5:$F$1004,0)),""))</f>
        <v/>
      </c>
      <c r="F1174" s="24" t="str">
        <f aca="false">IF(C1174="","",IFERROR(INDEX(LOTES!$B$5:$B$1004,MATCH(C1174,LOTES!$F$5:$F$1004,0)),""))</f>
        <v/>
      </c>
      <c r="G1174" s="15" t="str">
        <f aca="false">IF(OR(B1174="",F1174=""),"",B1174-F1174)</f>
        <v/>
      </c>
      <c r="H1174" s="13"/>
      <c r="I1174" s="13"/>
      <c r="J1174" s="13"/>
      <c r="K1174" s="25"/>
      <c r="L1174" s="25"/>
      <c r="M1174" s="25"/>
      <c r="N1174" s="25"/>
      <c r="O1174" s="26"/>
      <c r="P1174" s="16" t="str">
        <f aca="false">IF(O1174="","",IFERROR(1/(1/(IF(K1174="",INDEX(CONFIG!$F$5:$F$14,MATCH(D1174,CONFIG!$D$5:$D$14,0)),K1174)*IF(M1174="",INDEX(CONFIG!$H$5:$H$14,MATCH(D1174,CONFIG!$D$5:$D$14,0)),M1174))),""))</f>
        <v/>
      </c>
      <c r="Q1174" s="16" t="str">
        <f aca="false">IF(OR(O1174="",P1174=""),"",O1174/P1174)</f>
        <v/>
      </c>
      <c r="R1174" s="16" t="str">
        <f aca="false">IF(Q1174="","",Q1174*0.0980665)</f>
        <v/>
      </c>
      <c r="S1174" s="16" t="str">
        <f aca="false">IF(Q1174="","",IFERROR(Q1174/(1/(1/INDEX(CONFIG!$I$5:$I$14,MATCH(D1174,CONFIG!$D$5:$D$14,0)))),""))</f>
        <v/>
      </c>
      <c r="T1174" s="13"/>
      <c r="U1174" s="13"/>
      <c r="V1174" s="13"/>
      <c r="W1174" s="13"/>
      <c r="X1174" s="22" t="str">
        <f aca="false">IF(Q1174="","",Q1174^2)</f>
        <v/>
      </c>
      <c r="Y1174" s="22" t="str">
        <f aca="false">IF(AND(C1174&lt;&gt;"",C1174=CERTIFICADO!$E$4,OR(CERTIFICADO!$E$5="",B1174=CERTIFICADO!$E$5)),MAX($Y$4:Y1173)+1,"")</f>
        <v/>
      </c>
    </row>
    <row r="1175" customFormat="false" ht="15" hidden="false" customHeight="false" outlineLevel="0" collapsed="false">
      <c r="A1175" s="11" t="str">
        <f aca="false">IF(C1175="","",ROW()-4)</f>
        <v/>
      </c>
      <c r="B1175" s="12"/>
      <c r="C1175" s="13"/>
      <c r="D1175" s="23" t="str">
        <f aca="false">IF(C1175="","",IFERROR(INDEX(LOTES!$D$5:$D$1004,MATCH(C1175,LOTES!$F$5:$F$1004,0)),"¿Lote?"))</f>
        <v/>
      </c>
      <c r="E1175" s="11" t="str">
        <f aca="false">IF(C1175="","",IFERROR(INDEX(LOTES!$C$5:$C$1004,MATCH(C1175,LOTES!$F$5:$F$1004,0)),""))</f>
        <v/>
      </c>
      <c r="F1175" s="24" t="str">
        <f aca="false">IF(C1175="","",IFERROR(INDEX(LOTES!$B$5:$B$1004,MATCH(C1175,LOTES!$F$5:$F$1004,0)),""))</f>
        <v/>
      </c>
      <c r="G1175" s="15" t="str">
        <f aca="false">IF(OR(B1175="",F1175=""),"",B1175-F1175)</f>
        <v/>
      </c>
      <c r="H1175" s="13"/>
      <c r="I1175" s="13"/>
      <c r="J1175" s="13"/>
      <c r="K1175" s="25"/>
      <c r="L1175" s="25"/>
      <c r="M1175" s="25"/>
      <c r="N1175" s="25"/>
      <c r="O1175" s="26"/>
      <c r="P1175" s="16" t="str">
        <f aca="false">IF(O1175="","",IFERROR(1/(1/(IF(K1175="",INDEX(CONFIG!$F$5:$F$14,MATCH(D1175,CONFIG!$D$5:$D$14,0)),K1175)*IF(M1175="",INDEX(CONFIG!$H$5:$H$14,MATCH(D1175,CONFIG!$D$5:$D$14,0)),M1175))),""))</f>
        <v/>
      </c>
      <c r="Q1175" s="16" t="str">
        <f aca="false">IF(OR(O1175="",P1175=""),"",O1175/P1175)</f>
        <v/>
      </c>
      <c r="R1175" s="16" t="str">
        <f aca="false">IF(Q1175="","",Q1175*0.0980665)</f>
        <v/>
      </c>
      <c r="S1175" s="16" t="str">
        <f aca="false">IF(Q1175="","",IFERROR(Q1175/(1/(1/INDEX(CONFIG!$I$5:$I$14,MATCH(D1175,CONFIG!$D$5:$D$14,0)))),""))</f>
        <v/>
      </c>
      <c r="T1175" s="13"/>
      <c r="U1175" s="13"/>
      <c r="V1175" s="13"/>
      <c r="W1175" s="13"/>
      <c r="X1175" s="22" t="str">
        <f aca="false">IF(Q1175="","",Q1175^2)</f>
        <v/>
      </c>
      <c r="Y1175" s="22" t="str">
        <f aca="false">IF(AND(C1175&lt;&gt;"",C1175=CERTIFICADO!$E$4,OR(CERTIFICADO!$E$5="",B1175=CERTIFICADO!$E$5)),MAX($Y$4:Y1174)+1,"")</f>
        <v/>
      </c>
    </row>
    <row r="1176" customFormat="false" ht="15" hidden="false" customHeight="false" outlineLevel="0" collapsed="false">
      <c r="A1176" s="11" t="str">
        <f aca="false">IF(C1176="","",ROW()-4)</f>
        <v/>
      </c>
      <c r="B1176" s="12"/>
      <c r="C1176" s="13"/>
      <c r="D1176" s="23" t="str">
        <f aca="false">IF(C1176="","",IFERROR(INDEX(LOTES!$D$5:$D$1004,MATCH(C1176,LOTES!$F$5:$F$1004,0)),"¿Lote?"))</f>
        <v/>
      </c>
      <c r="E1176" s="11" t="str">
        <f aca="false">IF(C1176="","",IFERROR(INDEX(LOTES!$C$5:$C$1004,MATCH(C1176,LOTES!$F$5:$F$1004,0)),""))</f>
        <v/>
      </c>
      <c r="F1176" s="24" t="str">
        <f aca="false">IF(C1176="","",IFERROR(INDEX(LOTES!$B$5:$B$1004,MATCH(C1176,LOTES!$F$5:$F$1004,0)),""))</f>
        <v/>
      </c>
      <c r="G1176" s="15" t="str">
        <f aca="false">IF(OR(B1176="",F1176=""),"",B1176-F1176)</f>
        <v/>
      </c>
      <c r="H1176" s="13"/>
      <c r="I1176" s="13"/>
      <c r="J1176" s="13"/>
      <c r="K1176" s="25"/>
      <c r="L1176" s="25"/>
      <c r="M1176" s="25"/>
      <c r="N1176" s="25"/>
      <c r="O1176" s="26"/>
      <c r="P1176" s="16" t="str">
        <f aca="false">IF(O1176="","",IFERROR(1/(1/(IF(K1176="",INDEX(CONFIG!$F$5:$F$14,MATCH(D1176,CONFIG!$D$5:$D$14,0)),K1176)*IF(M1176="",INDEX(CONFIG!$H$5:$H$14,MATCH(D1176,CONFIG!$D$5:$D$14,0)),M1176))),""))</f>
        <v/>
      </c>
      <c r="Q1176" s="16" t="str">
        <f aca="false">IF(OR(O1176="",P1176=""),"",O1176/P1176)</f>
        <v/>
      </c>
      <c r="R1176" s="16" t="str">
        <f aca="false">IF(Q1176="","",Q1176*0.0980665)</f>
        <v/>
      </c>
      <c r="S1176" s="16" t="str">
        <f aca="false">IF(Q1176="","",IFERROR(Q1176/(1/(1/INDEX(CONFIG!$I$5:$I$14,MATCH(D1176,CONFIG!$D$5:$D$14,0)))),""))</f>
        <v/>
      </c>
      <c r="T1176" s="13"/>
      <c r="U1176" s="13"/>
      <c r="V1176" s="13"/>
      <c r="W1176" s="13"/>
      <c r="X1176" s="22" t="str">
        <f aca="false">IF(Q1176="","",Q1176^2)</f>
        <v/>
      </c>
      <c r="Y1176" s="22" t="str">
        <f aca="false">IF(AND(C1176&lt;&gt;"",C1176=CERTIFICADO!$E$4,OR(CERTIFICADO!$E$5="",B1176=CERTIFICADO!$E$5)),MAX($Y$4:Y1175)+1,"")</f>
        <v/>
      </c>
    </row>
    <row r="1177" customFormat="false" ht="15" hidden="false" customHeight="false" outlineLevel="0" collapsed="false">
      <c r="A1177" s="11" t="str">
        <f aca="false">IF(C1177="","",ROW()-4)</f>
        <v/>
      </c>
      <c r="B1177" s="12"/>
      <c r="C1177" s="13"/>
      <c r="D1177" s="23" t="str">
        <f aca="false">IF(C1177="","",IFERROR(INDEX(LOTES!$D$5:$D$1004,MATCH(C1177,LOTES!$F$5:$F$1004,0)),"¿Lote?"))</f>
        <v/>
      </c>
      <c r="E1177" s="11" t="str">
        <f aca="false">IF(C1177="","",IFERROR(INDEX(LOTES!$C$5:$C$1004,MATCH(C1177,LOTES!$F$5:$F$1004,0)),""))</f>
        <v/>
      </c>
      <c r="F1177" s="24" t="str">
        <f aca="false">IF(C1177="","",IFERROR(INDEX(LOTES!$B$5:$B$1004,MATCH(C1177,LOTES!$F$5:$F$1004,0)),""))</f>
        <v/>
      </c>
      <c r="G1177" s="15" t="str">
        <f aca="false">IF(OR(B1177="",F1177=""),"",B1177-F1177)</f>
        <v/>
      </c>
      <c r="H1177" s="13"/>
      <c r="I1177" s="13"/>
      <c r="J1177" s="13"/>
      <c r="K1177" s="25"/>
      <c r="L1177" s="25"/>
      <c r="M1177" s="25"/>
      <c r="N1177" s="25"/>
      <c r="O1177" s="26"/>
      <c r="P1177" s="16" t="str">
        <f aca="false">IF(O1177="","",IFERROR(1/(1/(IF(K1177="",INDEX(CONFIG!$F$5:$F$14,MATCH(D1177,CONFIG!$D$5:$D$14,0)),K1177)*IF(M1177="",INDEX(CONFIG!$H$5:$H$14,MATCH(D1177,CONFIG!$D$5:$D$14,0)),M1177))),""))</f>
        <v/>
      </c>
      <c r="Q1177" s="16" t="str">
        <f aca="false">IF(OR(O1177="",P1177=""),"",O1177/P1177)</f>
        <v/>
      </c>
      <c r="R1177" s="16" t="str">
        <f aca="false">IF(Q1177="","",Q1177*0.0980665)</f>
        <v/>
      </c>
      <c r="S1177" s="16" t="str">
        <f aca="false">IF(Q1177="","",IFERROR(Q1177/(1/(1/INDEX(CONFIG!$I$5:$I$14,MATCH(D1177,CONFIG!$D$5:$D$14,0)))),""))</f>
        <v/>
      </c>
      <c r="T1177" s="13"/>
      <c r="U1177" s="13"/>
      <c r="V1177" s="13"/>
      <c r="W1177" s="13"/>
      <c r="X1177" s="22" t="str">
        <f aca="false">IF(Q1177="","",Q1177^2)</f>
        <v/>
      </c>
      <c r="Y1177" s="22" t="str">
        <f aca="false">IF(AND(C1177&lt;&gt;"",C1177=CERTIFICADO!$E$4,OR(CERTIFICADO!$E$5="",B1177=CERTIFICADO!$E$5)),MAX($Y$4:Y1176)+1,"")</f>
        <v/>
      </c>
    </row>
    <row r="1178" customFormat="false" ht="15" hidden="false" customHeight="false" outlineLevel="0" collapsed="false">
      <c r="A1178" s="11" t="str">
        <f aca="false">IF(C1178="","",ROW()-4)</f>
        <v/>
      </c>
      <c r="B1178" s="12"/>
      <c r="C1178" s="13"/>
      <c r="D1178" s="23" t="str">
        <f aca="false">IF(C1178="","",IFERROR(INDEX(LOTES!$D$5:$D$1004,MATCH(C1178,LOTES!$F$5:$F$1004,0)),"¿Lote?"))</f>
        <v/>
      </c>
      <c r="E1178" s="11" t="str">
        <f aca="false">IF(C1178="","",IFERROR(INDEX(LOTES!$C$5:$C$1004,MATCH(C1178,LOTES!$F$5:$F$1004,0)),""))</f>
        <v/>
      </c>
      <c r="F1178" s="24" t="str">
        <f aca="false">IF(C1178="","",IFERROR(INDEX(LOTES!$B$5:$B$1004,MATCH(C1178,LOTES!$F$5:$F$1004,0)),""))</f>
        <v/>
      </c>
      <c r="G1178" s="15" t="str">
        <f aca="false">IF(OR(B1178="",F1178=""),"",B1178-F1178)</f>
        <v/>
      </c>
      <c r="H1178" s="13"/>
      <c r="I1178" s="13"/>
      <c r="J1178" s="13"/>
      <c r="K1178" s="25"/>
      <c r="L1178" s="25"/>
      <c r="M1178" s="25"/>
      <c r="N1178" s="25"/>
      <c r="O1178" s="26"/>
      <c r="P1178" s="16" t="str">
        <f aca="false">IF(O1178="","",IFERROR(1/(1/(IF(K1178="",INDEX(CONFIG!$F$5:$F$14,MATCH(D1178,CONFIG!$D$5:$D$14,0)),K1178)*IF(M1178="",INDEX(CONFIG!$H$5:$H$14,MATCH(D1178,CONFIG!$D$5:$D$14,0)),M1178))),""))</f>
        <v/>
      </c>
      <c r="Q1178" s="16" t="str">
        <f aca="false">IF(OR(O1178="",P1178=""),"",O1178/P1178)</f>
        <v/>
      </c>
      <c r="R1178" s="16" t="str">
        <f aca="false">IF(Q1178="","",Q1178*0.0980665)</f>
        <v/>
      </c>
      <c r="S1178" s="16" t="str">
        <f aca="false">IF(Q1178="","",IFERROR(Q1178/(1/(1/INDEX(CONFIG!$I$5:$I$14,MATCH(D1178,CONFIG!$D$5:$D$14,0)))),""))</f>
        <v/>
      </c>
      <c r="T1178" s="13"/>
      <c r="U1178" s="13"/>
      <c r="V1178" s="13"/>
      <c r="W1178" s="13"/>
      <c r="X1178" s="22" t="str">
        <f aca="false">IF(Q1178="","",Q1178^2)</f>
        <v/>
      </c>
      <c r="Y1178" s="22" t="str">
        <f aca="false">IF(AND(C1178&lt;&gt;"",C1178=CERTIFICADO!$E$4,OR(CERTIFICADO!$E$5="",B1178=CERTIFICADO!$E$5)),MAX($Y$4:Y1177)+1,"")</f>
        <v/>
      </c>
    </row>
    <row r="1179" customFormat="false" ht="15" hidden="false" customHeight="false" outlineLevel="0" collapsed="false">
      <c r="A1179" s="11" t="str">
        <f aca="false">IF(C1179="","",ROW()-4)</f>
        <v/>
      </c>
      <c r="B1179" s="12"/>
      <c r="C1179" s="13"/>
      <c r="D1179" s="23" t="str">
        <f aca="false">IF(C1179="","",IFERROR(INDEX(LOTES!$D$5:$D$1004,MATCH(C1179,LOTES!$F$5:$F$1004,0)),"¿Lote?"))</f>
        <v/>
      </c>
      <c r="E1179" s="11" t="str">
        <f aca="false">IF(C1179="","",IFERROR(INDEX(LOTES!$C$5:$C$1004,MATCH(C1179,LOTES!$F$5:$F$1004,0)),""))</f>
        <v/>
      </c>
      <c r="F1179" s="24" t="str">
        <f aca="false">IF(C1179="","",IFERROR(INDEX(LOTES!$B$5:$B$1004,MATCH(C1179,LOTES!$F$5:$F$1004,0)),""))</f>
        <v/>
      </c>
      <c r="G1179" s="15" t="str">
        <f aca="false">IF(OR(B1179="",F1179=""),"",B1179-F1179)</f>
        <v/>
      </c>
      <c r="H1179" s="13"/>
      <c r="I1179" s="13"/>
      <c r="J1179" s="13"/>
      <c r="K1179" s="25"/>
      <c r="L1179" s="25"/>
      <c r="M1179" s="25"/>
      <c r="N1179" s="25"/>
      <c r="O1179" s="26"/>
      <c r="P1179" s="16" t="str">
        <f aca="false">IF(O1179="","",IFERROR(1/(1/(IF(K1179="",INDEX(CONFIG!$F$5:$F$14,MATCH(D1179,CONFIG!$D$5:$D$14,0)),K1179)*IF(M1179="",INDEX(CONFIG!$H$5:$H$14,MATCH(D1179,CONFIG!$D$5:$D$14,0)),M1179))),""))</f>
        <v/>
      </c>
      <c r="Q1179" s="16" t="str">
        <f aca="false">IF(OR(O1179="",P1179=""),"",O1179/P1179)</f>
        <v/>
      </c>
      <c r="R1179" s="16" t="str">
        <f aca="false">IF(Q1179="","",Q1179*0.0980665)</f>
        <v/>
      </c>
      <c r="S1179" s="16" t="str">
        <f aca="false">IF(Q1179="","",IFERROR(Q1179/(1/(1/INDEX(CONFIG!$I$5:$I$14,MATCH(D1179,CONFIG!$D$5:$D$14,0)))),""))</f>
        <v/>
      </c>
      <c r="T1179" s="13"/>
      <c r="U1179" s="13"/>
      <c r="V1179" s="13"/>
      <c r="W1179" s="13"/>
      <c r="X1179" s="22" t="str">
        <f aca="false">IF(Q1179="","",Q1179^2)</f>
        <v/>
      </c>
      <c r="Y1179" s="22" t="str">
        <f aca="false">IF(AND(C1179&lt;&gt;"",C1179=CERTIFICADO!$E$4,OR(CERTIFICADO!$E$5="",B1179=CERTIFICADO!$E$5)),MAX($Y$4:Y1178)+1,"")</f>
        <v/>
      </c>
    </row>
    <row r="1180" customFormat="false" ht="15" hidden="false" customHeight="false" outlineLevel="0" collapsed="false">
      <c r="A1180" s="11" t="str">
        <f aca="false">IF(C1180="","",ROW()-4)</f>
        <v/>
      </c>
      <c r="B1180" s="12"/>
      <c r="C1180" s="13"/>
      <c r="D1180" s="23" t="str">
        <f aca="false">IF(C1180="","",IFERROR(INDEX(LOTES!$D$5:$D$1004,MATCH(C1180,LOTES!$F$5:$F$1004,0)),"¿Lote?"))</f>
        <v/>
      </c>
      <c r="E1180" s="11" t="str">
        <f aca="false">IF(C1180="","",IFERROR(INDEX(LOTES!$C$5:$C$1004,MATCH(C1180,LOTES!$F$5:$F$1004,0)),""))</f>
        <v/>
      </c>
      <c r="F1180" s="24" t="str">
        <f aca="false">IF(C1180="","",IFERROR(INDEX(LOTES!$B$5:$B$1004,MATCH(C1180,LOTES!$F$5:$F$1004,0)),""))</f>
        <v/>
      </c>
      <c r="G1180" s="15" t="str">
        <f aca="false">IF(OR(B1180="",F1180=""),"",B1180-F1180)</f>
        <v/>
      </c>
      <c r="H1180" s="13"/>
      <c r="I1180" s="13"/>
      <c r="J1180" s="13"/>
      <c r="K1180" s="25"/>
      <c r="L1180" s="25"/>
      <c r="M1180" s="25"/>
      <c r="N1180" s="25"/>
      <c r="O1180" s="26"/>
      <c r="P1180" s="16" t="str">
        <f aca="false">IF(O1180="","",IFERROR(1/(1/(IF(K1180="",INDEX(CONFIG!$F$5:$F$14,MATCH(D1180,CONFIG!$D$5:$D$14,0)),K1180)*IF(M1180="",INDEX(CONFIG!$H$5:$H$14,MATCH(D1180,CONFIG!$D$5:$D$14,0)),M1180))),""))</f>
        <v/>
      </c>
      <c r="Q1180" s="16" t="str">
        <f aca="false">IF(OR(O1180="",P1180=""),"",O1180/P1180)</f>
        <v/>
      </c>
      <c r="R1180" s="16" t="str">
        <f aca="false">IF(Q1180="","",Q1180*0.0980665)</f>
        <v/>
      </c>
      <c r="S1180" s="16" t="str">
        <f aca="false">IF(Q1180="","",IFERROR(Q1180/(1/(1/INDEX(CONFIG!$I$5:$I$14,MATCH(D1180,CONFIG!$D$5:$D$14,0)))),""))</f>
        <v/>
      </c>
      <c r="T1180" s="13"/>
      <c r="U1180" s="13"/>
      <c r="V1180" s="13"/>
      <c r="W1180" s="13"/>
      <c r="X1180" s="22" t="str">
        <f aca="false">IF(Q1180="","",Q1180^2)</f>
        <v/>
      </c>
      <c r="Y1180" s="22" t="str">
        <f aca="false">IF(AND(C1180&lt;&gt;"",C1180=CERTIFICADO!$E$4,OR(CERTIFICADO!$E$5="",B1180=CERTIFICADO!$E$5)),MAX($Y$4:Y1179)+1,"")</f>
        <v/>
      </c>
    </row>
    <row r="1181" customFormat="false" ht="15" hidden="false" customHeight="false" outlineLevel="0" collapsed="false">
      <c r="A1181" s="11" t="str">
        <f aca="false">IF(C1181="","",ROW()-4)</f>
        <v/>
      </c>
      <c r="B1181" s="12"/>
      <c r="C1181" s="13"/>
      <c r="D1181" s="23" t="str">
        <f aca="false">IF(C1181="","",IFERROR(INDEX(LOTES!$D$5:$D$1004,MATCH(C1181,LOTES!$F$5:$F$1004,0)),"¿Lote?"))</f>
        <v/>
      </c>
      <c r="E1181" s="11" t="str">
        <f aca="false">IF(C1181="","",IFERROR(INDEX(LOTES!$C$5:$C$1004,MATCH(C1181,LOTES!$F$5:$F$1004,0)),""))</f>
        <v/>
      </c>
      <c r="F1181" s="24" t="str">
        <f aca="false">IF(C1181="","",IFERROR(INDEX(LOTES!$B$5:$B$1004,MATCH(C1181,LOTES!$F$5:$F$1004,0)),""))</f>
        <v/>
      </c>
      <c r="G1181" s="15" t="str">
        <f aca="false">IF(OR(B1181="",F1181=""),"",B1181-F1181)</f>
        <v/>
      </c>
      <c r="H1181" s="13"/>
      <c r="I1181" s="13"/>
      <c r="J1181" s="13"/>
      <c r="K1181" s="25"/>
      <c r="L1181" s="25"/>
      <c r="M1181" s="25"/>
      <c r="N1181" s="25"/>
      <c r="O1181" s="26"/>
      <c r="P1181" s="16" t="str">
        <f aca="false">IF(O1181="","",IFERROR(1/(1/(IF(K1181="",INDEX(CONFIG!$F$5:$F$14,MATCH(D1181,CONFIG!$D$5:$D$14,0)),K1181)*IF(M1181="",INDEX(CONFIG!$H$5:$H$14,MATCH(D1181,CONFIG!$D$5:$D$14,0)),M1181))),""))</f>
        <v/>
      </c>
      <c r="Q1181" s="16" t="str">
        <f aca="false">IF(OR(O1181="",P1181=""),"",O1181/P1181)</f>
        <v/>
      </c>
      <c r="R1181" s="16" t="str">
        <f aca="false">IF(Q1181="","",Q1181*0.0980665)</f>
        <v/>
      </c>
      <c r="S1181" s="16" t="str">
        <f aca="false">IF(Q1181="","",IFERROR(Q1181/(1/(1/INDEX(CONFIG!$I$5:$I$14,MATCH(D1181,CONFIG!$D$5:$D$14,0)))),""))</f>
        <v/>
      </c>
      <c r="T1181" s="13"/>
      <c r="U1181" s="13"/>
      <c r="V1181" s="13"/>
      <c r="W1181" s="13"/>
      <c r="X1181" s="22" t="str">
        <f aca="false">IF(Q1181="","",Q1181^2)</f>
        <v/>
      </c>
      <c r="Y1181" s="22" t="str">
        <f aca="false">IF(AND(C1181&lt;&gt;"",C1181=CERTIFICADO!$E$4,OR(CERTIFICADO!$E$5="",B1181=CERTIFICADO!$E$5)),MAX($Y$4:Y1180)+1,"")</f>
        <v/>
      </c>
    </row>
    <row r="1182" customFormat="false" ht="15" hidden="false" customHeight="false" outlineLevel="0" collapsed="false">
      <c r="A1182" s="11" t="str">
        <f aca="false">IF(C1182="","",ROW()-4)</f>
        <v/>
      </c>
      <c r="B1182" s="12"/>
      <c r="C1182" s="13"/>
      <c r="D1182" s="23" t="str">
        <f aca="false">IF(C1182="","",IFERROR(INDEX(LOTES!$D$5:$D$1004,MATCH(C1182,LOTES!$F$5:$F$1004,0)),"¿Lote?"))</f>
        <v/>
      </c>
      <c r="E1182" s="11" t="str">
        <f aca="false">IF(C1182="","",IFERROR(INDEX(LOTES!$C$5:$C$1004,MATCH(C1182,LOTES!$F$5:$F$1004,0)),""))</f>
        <v/>
      </c>
      <c r="F1182" s="24" t="str">
        <f aca="false">IF(C1182="","",IFERROR(INDEX(LOTES!$B$5:$B$1004,MATCH(C1182,LOTES!$F$5:$F$1004,0)),""))</f>
        <v/>
      </c>
      <c r="G1182" s="15" t="str">
        <f aca="false">IF(OR(B1182="",F1182=""),"",B1182-F1182)</f>
        <v/>
      </c>
      <c r="H1182" s="13"/>
      <c r="I1182" s="13"/>
      <c r="J1182" s="13"/>
      <c r="K1182" s="25"/>
      <c r="L1182" s="25"/>
      <c r="M1182" s="25"/>
      <c r="N1182" s="25"/>
      <c r="O1182" s="26"/>
      <c r="P1182" s="16" t="str">
        <f aca="false">IF(O1182="","",IFERROR(1/(1/(IF(K1182="",INDEX(CONFIG!$F$5:$F$14,MATCH(D1182,CONFIG!$D$5:$D$14,0)),K1182)*IF(M1182="",INDEX(CONFIG!$H$5:$H$14,MATCH(D1182,CONFIG!$D$5:$D$14,0)),M1182))),""))</f>
        <v/>
      </c>
      <c r="Q1182" s="16" t="str">
        <f aca="false">IF(OR(O1182="",P1182=""),"",O1182/P1182)</f>
        <v/>
      </c>
      <c r="R1182" s="16" t="str">
        <f aca="false">IF(Q1182="","",Q1182*0.0980665)</f>
        <v/>
      </c>
      <c r="S1182" s="16" t="str">
        <f aca="false">IF(Q1182="","",IFERROR(Q1182/(1/(1/INDEX(CONFIG!$I$5:$I$14,MATCH(D1182,CONFIG!$D$5:$D$14,0)))),""))</f>
        <v/>
      </c>
      <c r="T1182" s="13"/>
      <c r="U1182" s="13"/>
      <c r="V1182" s="13"/>
      <c r="W1182" s="13"/>
      <c r="X1182" s="22" t="str">
        <f aca="false">IF(Q1182="","",Q1182^2)</f>
        <v/>
      </c>
      <c r="Y1182" s="22" t="str">
        <f aca="false">IF(AND(C1182&lt;&gt;"",C1182=CERTIFICADO!$E$4,OR(CERTIFICADO!$E$5="",B1182=CERTIFICADO!$E$5)),MAX($Y$4:Y1181)+1,"")</f>
        <v/>
      </c>
    </row>
    <row r="1183" customFormat="false" ht="15" hidden="false" customHeight="false" outlineLevel="0" collapsed="false">
      <c r="A1183" s="11" t="str">
        <f aca="false">IF(C1183="","",ROW()-4)</f>
        <v/>
      </c>
      <c r="B1183" s="12"/>
      <c r="C1183" s="13"/>
      <c r="D1183" s="23" t="str">
        <f aca="false">IF(C1183="","",IFERROR(INDEX(LOTES!$D$5:$D$1004,MATCH(C1183,LOTES!$F$5:$F$1004,0)),"¿Lote?"))</f>
        <v/>
      </c>
      <c r="E1183" s="11" t="str">
        <f aca="false">IF(C1183="","",IFERROR(INDEX(LOTES!$C$5:$C$1004,MATCH(C1183,LOTES!$F$5:$F$1004,0)),""))</f>
        <v/>
      </c>
      <c r="F1183" s="24" t="str">
        <f aca="false">IF(C1183="","",IFERROR(INDEX(LOTES!$B$5:$B$1004,MATCH(C1183,LOTES!$F$5:$F$1004,0)),""))</f>
        <v/>
      </c>
      <c r="G1183" s="15" t="str">
        <f aca="false">IF(OR(B1183="",F1183=""),"",B1183-F1183)</f>
        <v/>
      </c>
      <c r="H1183" s="13"/>
      <c r="I1183" s="13"/>
      <c r="J1183" s="13"/>
      <c r="K1183" s="25"/>
      <c r="L1183" s="25"/>
      <c r="M1183" s="25"/>
      <c r="N1183" s="25"/>
      <c r="O1183" s="26"/>
      <c r="P1183" s="16" t="str">
        <f aca="false">IF(O1183="","",IFERROR(1/(1/(IF(K1183="",INDEX(CONFIG!$F$5:$F$14,MATCH(D1183,CONFIG!$D$5:$D$14,0)),K1183)*IF(M1183="",INDEX(CONFIG!$H$5:$H$14,MATCH(D1183,CONFIG!$D$5:$D$14,0)),M1183))),""))</f>
        <v/>
      </c>
      <c r="Q1183" s="16" t="str">
        <f aca="false">IF(OR(O1183="",P1183=""),"",O1183/P1183)</f>
        <v/>
      </c>
      <c r="R1183" s="16" t="str">
        <f aca="false">IF(Q1183="","",Q1183*0.0980665)</f>
        <v/>
      </c>
      <c r="S1183" s="16" t="str">
        <f aca="false">IF(Q1183="","",IFERROR(Q1183/(1/(1/INDEX(CONFIG!$I$5:$I$14,MATCH(D1183,CONFIG!$D$5:$D$14,0)))),""))</f>
        <v/>
      </c>
      <c r="T1183" s="13"/>
      <c r="U1183" s="13"/>
      <c r="V1183" s="13"/>
      <c r="W1183" s="13"/>
      <c r="X1183" s="22" t="str">
        <f aca="false">IF(Q1183="","",Q1183^2)</f>
        <v/>
      </c>
      <c r="Y1183" s="22" t="str">
        <f aca="false">IF(AND(C1183&lt;&gt;"",C1183=CERTIFICADO!$E$4,OR(CERTIFICADO!$E$5="",B1183=CERTIFICADO!$E$5)),MAX($Y$4:Y1182)+1,"")</f>
        <v/>
      </c>
    </row>
    <row r="1184" customFormat="false" ht="15" hidden="false" customHeight="false" outlineLevel="0" collapsed="false">
      <c r="A1184" s="11" t="str">
        <f aca="false">IF(C1184="","",ROW()-4)</f>
        <v/>
      </c>
      <c r="B1184" s="12"/>
      <c r="C1184" s="13"/>
      <c r="D1184" s="23" t="str">
        <f aca="false">IF(C1184="","",IFERROR(INDEX(LOTES!$D$5:$D$1004,MATCH(C1184,LOTES!$F$5:$F$1004,0)),"¿Lote?"))</f>
        <v/>
      </c>
      <c r="E1184" s="11" t="str">
        <f aca="false">IF(C1184="","",IFERROR(INDEX(LOTES!$C$5:$C$1004,MATCH(C1184,LOTES!$F$5:$F$1004,0)),""))</f>
        <v/>
      </c>
      <c r="F1184" s="24" t="str">
        <f aca="false">IF(C1184="","",IFERROR(INDEX(LOTES!$B$5:$B$1004,MATCH(C1184,LOTES!$F$5:$F$1004,0)),""))</f>
        <v/>
      </c>
      <c r="G1184" s="15" t="str">
        <f aca="false">IF(OR(B1184="",F1184=""),"",B1184-F1184)</f>
        <v/>
      </c>
      <c r="H1184" s="13"/>
      <c r="I1184" s="13"/>
      <c r="J1184" s="13"/>
      <c r="K1184" s="25"/>
      <c r="L1184" s="25"/>
      <c r="M1184" s="25"/>
      <c r="N1184" s="25"/>
      <c r="O1184" s="26"/>
      <c r="P1184" s="16" t="str">
        <f aca="false">IF(O1184="","",IFERROR(1/(1/(IF(K1184="",INDEX(CONFIG!$F$5:$F$14,MATCH(D1184,CONFIG!$D$5:$D$14,0)),K1184)*IF(M1184="",INDEX(CONFIG!$H$5:$H$14,MATCH(D1184,CONFIG!$D$5:$D$14,0)),M1184))),""))</f>
        <v/>
      </c>
      <c r="Q1184" s="16" t="str">
        <f aca="false">IF(OR(O1184="",P1184=""),"",O1184/P1184)</f>
        <v/>
      </c>
      <c r="R1184" s="16" t="str">
        <f aca="false">IF(Q1184="","",Q1184*0.0980665)</f>
        <v/>
      </c>
      <c r="S1184" s="16" t="str">
        <f aca="false">IF(Q1184="","",IFERROR(Q1184/(1/(1/INDEX(CONFIG!$I$5:$I$14,MATCH(D1184,CONFIG!$D$5:$D$14,0)))),""))</f>
        <v/>
      </c>
      <c r="T1184" s="13"/>
      <c r="U1184" s="13"/>
      <c r="V1184" s="13"/>
      <c r="W1184" s="13"/>
      <c r="X1184" s="22" t="str">
        <f aca="false">IF(Q1184="","",Q1184^2)</f>
        <v/>
      </c>
      <c r="Y1184" s="22" t="str">
        <f aca="false">IF(AND(C1184&lt;&gt;"",C1184=CERTIFICADO!$E$4,OR(CERTIFICADO!$E$5="",B1184=CERTIFICADO!$E$5)),MAX($Y$4:Y1183)+1,"")</f>
        <v/>
      </c>
    </row>
    <row r="1185" customFormat="false" ht="15" hidden="false" customHeight="false" outlineLevel="0" collapsed="false">
      <c r="A1185" s="11" t="str">
        <f aca="false">IF(C1185="","",ROW()-4)</f>
        <v/>
      </c>
      <c r="B1185" s="12"/>
      <c r="C1185" s="13"/>
      <c r="D1185" s="23" t="str">
        <f aca="false">IF(C1185="","",IFERROR(INDEX(LOTES!$D$5:$D$1004,MATCH(C1185,LOTES!$F$5:$F$1004,0)),"¿Lote?"))</f>
        <v/>
      </c>
      <c r="E1185" s="11" t="str">
        <f aca="false">IF(C1185="","",IFERROR(INDEX(LOTES!$C$5:$C$1004,MATCH(C1185,LOTES!$F$5:$F$1004,0)),""))</f>
        <v/>
      </c>
      <c r="F1185" s="24" t="str">
        <f aca="false">IF(C1185="","",IFERROR(INDEX(LOTES!$B$5:$B$1004,MATCH(C1185,LOTES!$F$5:$F$1004,0)),""))</f>
        <v/>
      </c>
      <c r="G1185" s="15" t="str">
        <f aca="false">IF(OR(B1185="",F1185=""),"",B1185-F1185)</f>
        <v/>
      </c>
      <c r="H1185" s="13"/>
      <c r="I1185" s="13"/>
      <c r="J1185" s="13"/>
      <c r="K1185" s="25"/>
      <c r="L1185" s="25"/>
      <c r="M1185" s="25"/>
      <c r="N1185" s="25"/>
      <c r="O1185" s="26"/>
      <c r="P1185" s="16" t="str">
        <f aca="false">IF(O1185="","",IFERROR(1/(1/(IF(K1185="",INDEX(CONFIG!$F$5:$F$14,MATCH(D1185,CONFIG!$D$5:$D$14,0)),K1185)*IF(M1185="",INDEX(CONFIG!$H$5:$H$14,MATCH(D1185,CONFIG!$D$5:$D$14,0)),M1185))),""))</f>
        <v/>
      </c>
      <c r="Q1185" s="16" t="str">
        <f aca="false">IF(OR(O1185="",P1185=""),"",O1185/P1185)</f>
        <v/>
      </c>
      <c r="R1185" s="16" t="str">
        <f aca="false">IF(Q1185="","",Q1185*0.0980665)</f>
        <v/>
      </c>
      <c r="S1185" s="16" t="str">
        <f aca="false">IF(Q1185="","",IFERROR(Q1185/(1/(1/INDEX(CONFIG!$I$5:$I$14,MATCH(D1185,CONFIG!$D$5:$D$14,0)))),""))</f>
        <v/>
      </c>
      <c r="T1185" s="13"/>
      <c r="U1185" s="13"/>
      <c r="V1185" s="13"/>
      <c r="W1185" s="13"/>
      <c r="X1185" s="22" t="str">
        <f aca="false">IF(Q1185="","",Q1185^2)</f>
        <v/>
      </c>
      <c r="Y1185" s="22" t="str">
        <f aca="false">IF(AND(C1185&lt;&gt;"",C1185=CERTIFICADO!$E$4,OR(CERTIFICADO!$E$5="",B1185=CERTIFICADO!$E$5)),MAX($Y$4:Y1184)+1,"")</f>
        <v/>
      </c>
    </row>
    <row r="1186" customFormat="false" ht="15" hidden="false" customHeight="false" outlineLevel="0" collapsed="false">
      <c r="A1186" s="11" t="str">
        <f aca="false">IF(C1186="","",ROW()-4)</f>
        <v/>
      </c>
      <c r="B1186" s="12"/>
      <c r="C1186" s="13"/>
      <c r="D1186" s="23" t="str">
        <f aca="false">IF(C1186="","",IFERROR(INDEX(LOTES!$D$5:$D$1004,MATCH(C1186,LOTES!$F$5:$F$1004,0)),"¿Lote?"))</f>
        <v/>
      </c>
      <c r="E1186" s="11" t="str">
        <f aca="false">IF(C1186="","",IFERROR(INDEX(LOTES!$C$5:$C$1004,MATCH(C1186,LOTES!$F$5:$F$1004,0)),""))</f>
        <v/>
      </c>
      <c r="F1186" s="24" t="str">
        <f aca="false">IF(C1186="","",IFERROR(INDEX(LOTES!$B$5:$B$1004,MATCH(C1186,LOTES!$F$5:$F$1004,0)),""))</f>
        <v/>
      </c>
      <c r="G1186" s="15" t="str">
        <f aca="false">IF(OR(B1186="",F1186=""),"",B1186-F1186)</f>
        <v/>
      </c>
      <c r="H1186" s="13"/>
      <c r="I1186" s="13"/>
      <c r="J1186" s="13"/>
      <c r="K1186" s="25"/>
      <c r="L1186" s="25"/>
      <c r="M1186" s="25"/>
      <c r="N1186" s="25"/>
      <c r="O1186" s="26"/>
      <c r="P1186" s="16" t="str">
        <f aca="false">IF(O1186="","",IFERROR(1/(1/(IF(K1186="",INDEX(CONFIG!$F$5:$F$14,MATCH(D1186,CONFIG!$D$5:$D$14,0)),K1186)*IF(M1186="",INDEX(CONFIG!$H$5:$H$14,MATCH(D1186,CONFIG!$D$5:$D$14,0)),M1186))),""))</f>
        <v/>
      </c>
      <c r="Q1186" s="16" t="str">
        <f aca="false">IF(OR(O1186="",P1186=""),"",O1186/P1186)</f>
        <v/>
      </c>
      <c r="R1186" s="16" t="str">
        <f aca="false">IF(Q1186="","",Q1186*0.0980665)</f>
        <v/>
      </c>
      <c r="S1186" s="16" t="str">
        <f aca="false">IF(Q1186="","",IFERROR(Q1186/(1/(1/INDEX(CONFIG!$I$5:$I$14,MATCH(D1186,CONFIG!$D$5:$D$14,0)))),""))</f>
        <v/>
      </c>
      <c r="T1186" s="13"/>
      <c r="U1186" s="13"/>
      <c r="V1186" s="13"/>
      <c r="W1186" s="13"/>
      <c r="X1186" s="22" t="str">
        <f aca="false">IF(Q1186="","",Q1186^2)</f>
        <v/>
      </c>
      <c r="Y1186" s="22" t="str">
        <f aca="false">IF(AND(C1186&lt;&gt;"",C1186=CERTIFICADO!$E$4,OR(CERTIFICADO!$E$5="",B1186=CERTIFICADO!$E$5)),MAX($Y$4:Y1185)+1,"")</f>
        <v/>
      </c>
    </row>
    <row r="1187" customFormat="false" ht="15" hidden="false" customHeight="false" outlineLevel="0" collapsed="false">
      <c r="A1187" s="11" t="str">
        <f aca="false">IF(C1187="","",ROW()-4)</f>
        <v/>
      </c>
      <c r="B1187" s="12"/>
      <c r="C1187" s="13"/>
      <c r="D1187" s="23" t="str">
        <f aca="false">IF(C1187="","",IFERROR(INDEX(LOTES!$D$5:$D$1004,MATCH(C1187,LOTES!$F$5:$F$1004,0)),"¿Lote?"))</f>
        <v/>
      </c>
      <c r="E1187" s="11" t="str">
        <f aca="false">IF(C1187="","",IFERROR(INDEX(LOTES!$C$5:$C$1004,MATCH(C1187,LOTES!$F$5:$F$1004,0)),""))</f>
        <v/>
      </c>
      <c r="F1187" s="24" t="str">
        <f aca="false">IF(C1187="","",IFERROR(INDEX(LOTES!$B$5:$B$1004,MATCH(C1187,LOTES!$F$5:$F$1004,0)),""))</f>
        <v/>
      </c>
      <c r="G1187" s="15" t="str">
        <f aca="false">IF(OR(B1187="",F1187=""),"",B1187-F1187)</f>
        <v/>
      </c>
      <c r="H1187" s="13"/>
      <c r="I1187" s="13"/>
      <c r="J1187" s="13"/>
      <c r="K1187" s="25"/>
      <c r="L1187" s="25"/>
      <c r="M1187" s="25"/>
      <c r="N1187" s="25"/>
      <c r="O1187" s="26"/>
      <c r="P1187" s="16" t="str">
        <f aca="false">IF(O1187="","",IFERROR(1/(1/(IF(K1187="",INDEX(CONFIG!$F$5:$F$14,MATCH(D1187,CONFIG!$D$5:$D$14,0)),K1187)*IF(M1187="",INDEX(CONFIG!$H$5:$H$14,MATCH(D1187,CONFIG!$D$5:$D$14,0)),M1187))),""))</f>
        <v/>
      </c>
      <c r="Q1187" s="16" t="str">
        <f aca="false">IF(OR(O1187="",P1187=""),"",O1187/P1187)</f>
        <v/>
      </c>
      <c r="R1187" s="16" t="str">
        <f aca="false">IF(Q1187="","",Q1187*0.0980665)</f>
        <v/>
      </c>
      <c r="S1187" s="16" t="str">
        <f aca="false">IF(Q1187="","",IFERROR(Q1187/(1/(1/INDEX(CONFIG!$I$5:$I$14,MATCH(D1187,CONFIG!$D$5:$D$14,0)))),""))</f>
        <v/>
      </c>
      <c r="T1187" s="13"/>
      <c r="U1187" s="13"/>
      <c r="V1187" s="13"/>
      <c r="W1187" s="13"/>
      <c r="X1187" s="22" t="str">
        <f aca="false">IF(Q1187="","",Q1187^2)</f>
        <v/>
      </c>
      <c r="Y1187" s="22" t="str">
        <f aca="false">IF(AND(C1187&lt;&gt;"",C1187=CERTIFICADO!$E$4,OR(CERTIFICADO!$E$5="",B1187=CERTIFICADO!$E$5)),MAX($Y$4:Y1186)+1,"")</f>
        <v/>
      </c>
    </row>
    <row r="1188" customFormat="false" ht="15" hidden="false" customHeight="false" outlineLevel="0" collapsed="false">
      <c r="A1188" s="11" t="str">
        <f aca="false">IF(C1188="","",ROW()-4)</f>
        <v/>
      </c>
      <c r="B1188" s="12"/>
      <c r="C1188" s="13"/>
      <c r="D1188" s="23" t="str">
        <f aca="false">IF(C1188="","",IFERROR(INDEX(LOTES!$D$5:$D$1004,MATCH(C1188,LOTES!$F$5:$F$1004,0)),"¿Lote?"))</f>
        <v/>
      </c>
      <c r="E1188" s="11" t="str">
        <f aca="false">IF(C1188="","",IFERROR(INDEX(LOTES!$C$5:$C$1004,MATCH(C1188,LOTES!$F$5:$F$1004,0)),""))</f>
        <v/>
      </c>
      <c r="F1188" s="24" t="str">
        <f aca="false">IF(C1188="","",IFERROR(INDEX(LOTES!$B$5:$B$1004,MATCH(C1188,LOTES!$F$5:$F$1004,0)),""))</f>
        <v/>
      </c>
      <c r="G1188" s="15" t="str">
        <f aca="false">IF(OR(B1188="",F1188=""),"",B1188-F1188)</f>
        <v/>
      </c>
      <c r="H1188" s="13"/>
      <c r="I1188" s="13"/>
      <c r="J1188" s="13"/>
      <c r="K1188" s="25"/>
      <c r="L1188" s="25"/>
      <c r="M1188" s="25"/>
      <c r="N1188" s="25"/>
      <c r="O1188" s="26"/>
      <c r="P1188" s="16" t="str">
        <f aca="false">IF(O1188="","",IFERROR(1/(1/(IF(K1188="",INDEX(CONFIG!$F$5:$F$14,MATCH(D1188,CONFIG!$D$5:$D$14,0)),K1188)*IF(M1188="",INDEX(CONFIG!$H$5:$H$14,MATCH(D1188,CONFIG!$D$5:$D$14,0)),M1188))),""))</f>
        <v/>
      </c>
      <c r="Q1188" s="16" t="str">
        <f aca="false">IF(OR(O1188="",P1188=""),"",O1188/P1188)</f>
        <v/>
      </c>
      <c r="R1188" s="16" t="str">
        <f aca="false">IF(Q1188="","",Q1188*0.0980665)</f>
        <v/>
      </c>
      <c r="S1188" s="16" t="str">
        <f aca="false">IF(Q1188="","",IFERROR(Q1188/(1/(1/INDEX(CONFIG!$I$5:$I$14,MATCH(D1188,CONFIG!$D$5:$D$14,0)))),""))</f>
        <v/>
      </c>
      <c r="T1188" s="13"/>
      <c r="U1188" s="13"/>
      <c r="V1188" s="13"/>
      <c r="W1188" s="13"/>
      <c r="X1188" s="22" t="str">
        <f aca="false">IF(Q1188="","",Q1188^2)</f>
        <v/>
      </c>
      <c r="Y1188" s="22" t="str">
        <f aca="false">IF(AND(C1188&lt;&gt;"",C1188=CERTIFICADO!$E$4,OR(CERTIFICADO!$E$5="",B1188=CERTIFICADO!$E$5)),MAX($Y$4:Y1187)+1,"")</f>
        <v/>
      </c>
    </row>
    <row r="1189" customFormat="false" ht="15" hidden="false" customHeight="false" outlineLevel="0" collapsed="false">
      <c r="A1189" s="11" t="str">
        <f aca="false">IF(C1189="","",ROW()-4)</f>
        <v/>
      </c>
      <c r="B1189" s="12"/>
      <c r="C1189" s="13"/>
      <c r="D1189" s="23" t="str">
        <f aca="false">IF(C1189="","",IFERROR(INDEX(LOTES!$D$5:$D$1004,MATCH(C1189,LOTES!$F$5:$F$1004,0)),"¿Lote?"))</f>
        <v/>
      </c>
      <c r="E1189" s="11" t="str">
        <f aca="false">IF(C1189="","",IFERROR(INDEX(LOTES!$C$5:$C$1004,MATCH(C1189,LOTES!$F$5:$F$1004,0)),""))</f>
        <v/>
      </c>
      <c r="F1189" s="24" t="str">
        <f aca="false">IF(C1189="","",IFERROR(INDEX(LOTES!$B$5:$B$1004,MATCH(C1189,LOTES!$F$5:$F$1004,0)),""))</f>
        <v/>
      </c>
      <c r="G1189" s="15" t="str">
        <f aca="false">IF(OR(B1189="",F1189=""),"",B1189-F1189)</f>
        <v/>
      </c>
      <c r="H1189" s="13"/>
      <c r="I1189" s="13"/>
      <c r="J1189" s="13"/>
      <c r="K1189" s="25"/>
      <c r="L1189" s="25"/>
      <c r="M1189" s="25"/>
      <c r="N1189" s="25"/>
      <c r="O1189" s="26"/>
      <c r="P1189" s="16" t="str">
        <f aca="false">IF(O1189="","",IFERROR(1/(1/(IF(K1189="",INDEX(CONFIG!$F$5:$F$14,MATCH(D1189,CONFIG!$D$5:$D$14,0)),K1189)*IF(M1189="",INDEX(CONFIG!$H$5:$H$14,MATCH(D1189,CONFIG!$D$5:$D$14,0)),M1189))),""))</f>
        <v/>
      </c>
      <c r="Q1189" s="16" t="str">
        <f aca="false">IF(OR(O1189="",P1189=""),"",O1189/P1189)</f>
        <v/>
      </c>
      <c r="R1189" s="16" t="str">
        <f aca="false">IF(Q1189="","",Q1189*0.0980665)</f>
        <v/>
      </c>
      <c r="S1189" s="16" t="str">
        <f aca="false">IF(Q1189="","",IFERROR(Q1189/(1/(1/INDEX(CONFIG!$I$5:$I$14,MATCH(D1189,CONFIG!$D$5:$D$14,0)))),""))</f>
        <v/>
      </c>
      <c r="T1189" s="13"/>
      <c r="U1189" s="13"/>
      <c r="V1189" s="13"/>
      <c r="W1189" s="13"/>
      <c r="X1189" s="22" t="str">
        <f aca="false">IF(Q1189="","",Q1189^2)</f>
        <v/>
      </c>
      <c r="Y1189" s="22" t="str">
        <f aca="false">IF(AND(C1189&lt;&gt;"",C1189=CERTIFICADO!$E$4,OR(CERTIFICADO!$E$5="",B1189=CERTIFICADO!$E$5)),MAX($Y$4:Y1188)+1,"")</f>
        <v/>
      </c>
    </row>
    <row r="1190" customFormat="false" ht="15" hidden="false" customHeight="false" outlineLevel="0" collapsed="false">
      <c r="A1190" s="11" t="str">
        <f aca="false">IF(C1190="","",ROW()-4)</f>
        <v/>
      </c>
      <c r="B1190" s="12"/>
      <c r="C1190" s="13"/>
      <c r="D1190" s="23" t="str">
        <f aca="false">IF(C1190="","",IFERROR(INDEX(LOTES!$D$5:$D$1004,MATCH(C1190,LOTES!$F$5:$F$1004,0)),"¿Lote?"))</f>
        <v/>
      </c>
      <c r="E1190" s="11" t="str">
        <f aca="false">IF(C1190="","",IFERROR(INDEX(LOTES!$C$5:$C$1004,MATCH(C1190,LOTES!$F$5:$F$1004,0)),""))</f>
        <v/>
      </c>
      <c r="F1190" s="24" t="str">
        <f aca="false">IF(C1190="","",IFERROR(INDEX(LOTES!$B$5:$B$1004,MATCH(C1190,LOTES!$F$5:$F$1004,0)),""))</f>
        <v/>
      </c>
      <c r="G1190" s="15" t="str">
        <f aca="false">IF(OR(B1190="",F1190=""),"",B1190-F1190)</f>
        <v/>
      </c>
      <c r="H1190" s="13"/>
      <c r="I1190" s="13"/>
      <c r="J1190" s="13"/>
      <c r="K1190" s="25"/>
      <c r="L1190" s="25"/>
      <c r="M1190" s="25"/>
      <c r="N1190" s="25"/>
      <c r="O1190" s="26"/>
      <c r="P1190" s="16" t="str">
        <f aca="false">IF(O1190="","",IFERROR(1/(1/(IF(K1190="",INDEX(CONFIG!$F$5:$F$14,MATCH(D1190,CONFIG!$D$5:$D$14,0)),K1190)*IF(M1190="",INDEX(CONFIG!$H$5:$H$14,MATCH(D1190,CONFIG!$D$5:$D$14,0)),M1190))),""))</f>
        <v/>
      </c>
      <c r="Q1190" s="16" t="str">
        <f aca="false">IF(OR(O1190="",P1190=""),"",O1190/P1190)</f>
        <v/>
      </c>
      <c r="R1190" s="16" t="str">
        <f aca="false">IF(Q1190="","",Q1190*0.0980665)</f>
        <v/>
      </c>
      <c r="S1190" s="16" t="str">
        <f aca="false">IF(Q1190="","",IFERROR(Q1190/(1/(1/INDEX(CONFIG!$I$5:$I$14,MATCH(D1190,CONFIG!$D$5:$D$14,0)))),""))</f>
        <v/>
      </c>
      <c r="T1190" s="13"/>
      <c r="U1190" s="13"/>
      <c r="V1190" s="13"/>
      <c r="W1190" s="13"/>
      <c r="X1190" s="22" t="str">
        <f aca="false">IF(Q1190="","",Q1190^2)</f>
        <v/>
      </c>
      <c r="Y1190" s="22" t="str">
        <f aca="false">IF(AND(C1190&lt;&gt;"",C1190=CERTIFICADO!$E$4,OR(CERTIFICADO!$E$5="",B1190=CERTIFICADO!$E$5)),MAX($Y$4:Y1189)+1,"")</f>
        <v/>
      </c>
    </row>
    <row r="1191" customFormat="false" ht="15" hidden="false" customHeight="false" outlineLevel="0" collapsed="false">
      <c r="A1191" s="11" t="str">
        <f aca="false">IF(C1191="","",ROW()-4)</f>
        <v/>
      </c>
      <c r="B1191" s="12"/>
      <c r="C1191" s="13"/>
      <c r="D1191" s="23" t="str">
        <f aca="false">IF(C1191="","",IFERROR(INDEX(LOTES!$D$5:$D$1004,MATCH(C1191,LOTES!$F$5:$F$1004,0)),"¿Lote?"))</f>
        <v/>
      </c>
      <c r="E1191" s="11" t="str">
        <f aca="false">IF(C1191="","",IFERROR(INDEX(LOTES!$C$5:$C$1004,MATCH(C1191,LOTES!$F$5:$F$1004,0)),""))</f>
        <v/>
      </c>
      <c r="F1191" s="24" t="str">
        <f aca="false">IF(C1191="","",IFERROR(INDEX(LOTES!$B$5:$B$1004,MATCH(C1191,LOTES!$F$5:$F$1004,0)),""))</f>
        <v/>
      </c>
      <c r="G1191" s="15" t="str">
        <f aca="false">IF(OR(B1191="",F1191=""),"",B1191-F1191)</f>
        <v/>
      </c>
      <c r="H1191" s="13"/>
      <c r="I1191" s="13"/>
      <c r="J1191" s="13"/>
      <c r="K1191" s="25"/>
      <c r="L1191" s="25"/>
      <c r="M1191" s="25"/>
      <c r="N1191" s="25"/>
      <c r="O1191" s="26"/>
      <c r="P1191" s="16" t="str">
        <f aca="false">IF(O1191="","",IFERROR(1/(1/(IF(K1191="",INDEX(CONFIG!$F$5:$F$14,MATCH(D1191,CONFIG!$D$5:$D$14,0)),K1191)*IF(M1191="",INDEX(CONFIG!$H$5:$H$14,MATCH(D1191,CONFIG!$D$5:$D$14,0)),M1191))),""))</f>
        <v/>
      </c>
      <c r="Q1191" s="16" t="str">
        <f aca="false">IF(OR(O1191="",P1191=""),"",O1191/P1191)</f>
        <v/>
      </c>
      <c r="R1191" s="16" t="str">
        <f aca="false">IF(Q1191="","",Q1191*0.0980665)</f>
        <v/>
      </c>
      <c r="S1191" s="16" t="str">
        <f aca="false">IF(Q1191="","",IFERROR(Q1191/(1/(1/INDEX(CONFIG!$I$5:$I$14,MATCH(D1191,CONFIG!$D$5:$D$14,0)))),""))</f>
        <v/>
      </c>
      <c r="T1191" s="13"/>
      <c r="U1191" s="13"/>
      <c r="V1191" s="13"/>
      <c r="W1191" s="13"/>
      <c r="X1191" s="22" t="str">
        <f aca="false">IF(Q1191="","",Q1191^2)</f>
        <v/>
      </c>
      <c r="Y1191" s="22" t="str">
        <f aca="false">IF(AND(C1191&lt;&gt;"",C1191=CERTIFICADO!$E$4,OR(CERTIFICADO!$E$5="",B1191=CERTIFICADO!$E$5)),MAX($Y$4:Y1190)+1,"")</f>
        <v/>
      </c>
    </row>
    <row r="1192" customFormat="false" ht="15" hidden="false" customHeight="false" outlineLevel="0" collapsed="false">
      <c r="A1192" s="11" t="str">
        <f aca="false">IF(C1192="","",ROW()-4)</f>
        <v/>
      </c>
      <c r="B1192" s="12"/>
      <c r="C1192" s="13"/>
      <c r="D1192" s="23" t="str">
        <f aca="false">IF(C1192="","",IFERROR(INDEX(LOTES!$D$5:$D$1004,MATCH(C1192,LOTES!$F$5:$F$1004,0)),"¿Lote?"))</f>
        <v/>
      </c>
      <c r="E1192" s="11" t="str">
        <f aca="false">IF(C1192="","",IFERROR(INDEX(LOTES!$C$5:$C$1004,MATCH(C1192,LOTES!$F$5:$F$1004,0)),""))</f>
        <v/>
      </c>
      <c r="F1192" s="24" t="str">
        <f aca="false">IF(C1192="","",IFERROR(INDEX(LOTES!$B$5:$B$1004,MATCH(C1192,LOTES!$F$5:$F$1004,0)),""))</f>
        <v/>
      </c>
      <c r="G1192" s="15" t="str">
        <f aca="false">IF(OR(B1192="",F1192=""),"",B1192-F1192)</f>
        <v/>
      </c>
      <c r="H1192" s="13"/>
      <c r="I1192" s="13"/>
      <c r="J1192" s="13"/>
      <c r="K1192" s="25"/>
      <c r="L1192" s="25"/>
      <c r="M1192" s="25"/>
      <c r="N1192" s="25"/>
      <c r="O1192" s="26"/>
      <c r="P1192" s="16" t="str">
        <f aca="false">IF(O1192="","",IFERROR(1/(1/(IF(K1192="",INDEX(CONFIG!$F$5:$F$14,MATCH(D1192,CONFIG!$D$5:$D$14,0)),K1192)*IF(M1192="",INDEX(CONFIG!$H$5:$H$14,MATCH(D1192,CONFIG!$D$5:$D$14,0)),M1192))),""))</f>
        <v/>
      </c>
      <c r="Q1192" s="16" t="str">
        <f aca="false">IF(OR(O1192="",P1192=""),"",O1192/P1192)</f>
        <v/>
      </c>
      <c r="R1192" s="16" t="str">
        <f aca="false">IF(Q1192="","",Q1192*0.0980665)</f>
        <v/>
      </c>
      <c r="S1192" s="16" t="str">
        <f aca="false">IF(Q1192="","",IFERROR(Q1192/(1/(1/INDEX(CONFIG!$I$5:$I$14,MATCH(D1192,CONFIG!$D$5:$D$14,0)))),""))</f>
        <v/>
      </c>
      <c r="T1192" s="13"/>
      <c r="U1192" s="13"/>
      <c r="V1192" s="13"/>
      <c r="W1192" s="13"/>
      <c r="X1192" s="22" t="str">
        <f aca="false">IF(Q1192="","",Q1192^2)</f>
        <v/>
      </c>
      <c r="Y1192" s="22" t="str">
        <f aca="false">IF(AND(C1192&lt;&gt;"",C1192=CERTIFICADO!$E$4,OR(CERTIFICADO!$E$5="",B1192=CERTIFICADO!$E$5)),MAX($Y$4:Y1191)+1,"")</f>
        <v/>
      </c>
    </row>
    <row r="1193" customFormat="false" ht="15" hidden="false" customHeight="false" outlineLevel="0" collapsed="false">
      <c r="A1193" s="11" t="str">
        <f aca="false">IF(C1193="","",ROW()-4)</f>
        <v/>
      </c>
      <c r="B1193" s="12"/>
      <c r="C1193" s="13"/>
      <c r="D1193" s="23" t="str">
        <f aca="false">IF(C1193="","",IFERROR(INDEX(LOTES!$D$5:$D$1004,MATCH(C1193,LOTES!$F$5:$F$1004,0)),"¿Lote?"))</f>
        <v/>
      </c>
      <c r="E1193" s="11" t="str">
        <f aca="false">IF(C1193="","",IFERROR(INDEX(LOTES!$C$5:$C$1004,MATCH(C1193,LOTES!$F$5:$F$1004,0)),""))</f>
        <v/>
      </c>
      <c r="F1193" s="24" t="str">
        <f aca="false">IF(C1193="","",IFERROR(INDEX(LOTES!$B$5:$B$1004,MATCH(C1193,LOTES!$F$5:$F$1004,0)),""))</f>
        <v/>
      </c>
      <c r="G1193" s="15" t="str">
        <f aca="false">IF(OR(B1193="",F1193=""),"",B1193-F1193)</f>
        <v/>
      </c>
      <c r="H1193" s="13"/>
      <c r="I1193" s="13"/>
      <c r="J1193" s="13"/>
      <c r="K1193" s="25"/>
      <c r="L1193" s="25"/>
      <c r="M1193" s="25"/>
      <c r="N1193" s="25"/>
      <c r="O1193" s="26"/>
      <c r="P1193" s="16" t="str">
        <f aca="false">IF(O1193="","",IFERROR(1/(1/(IF(K1193="",INDEX(CONFIG!$F$5:$F$14,MATCH(D1193,CONFIG!$D$5:$D$14,0)),K1193)*IF(M1193="",INDEX(CONFIG!$H$5:$H$14,MATCH(D1193,CONFIG!$D$5:$D$14,0)),M1193))),""))</f>
        <v/>
      </c>
      <c r="Q1193" s="16" t="str">
        <f aca="false">IF(OR(O1193="",P1193=""),"",O1193/P1193)</f>
        <v/>
      </c>
      <c r="R1193" s="16" t="str">
        <f aca="false">IF(Q1193="","",Q1193*0.0980665)</f>
        <v/>
      </c>
      <c r="S1193" s="16" t="str">
        <f aca="false">IF(Q1193="","",IFERROR(Q1193/(1/(1/INDEX(CONFIG!$I$5:$I$14,MATCH(D1193,CONFIG!$D$5:$D$14,0)))),""))</f>
        <v/>
      </c>
      <c r="T1193" s="13"/>
      <c r="U1193" s="13"/>
      <c r="V1193" s="13"/>
      <c r="W1193" s="13"/>
      <c r="X1193" s="22" t="str">
        <f aca="false">IF(Q1193="","",Q1193^2)</f>
        <v/>
      </c>
      <c r="Y1193" s="22" t="str">
        <f aca="false">IF(AND(C1193&lt;&gt;"",C1193=CERTIFICADO!$E$4,OR(CERTIFICADO!$E$5="",B1193=CERTIFICADO!$E$5)),MAX($Y$4:Y1192)+1,"")</f>
        <v/>
      </c>
    </row>
    <row r="1194" customFormat="false" ht="15" hidden="false" customHeight="false" outlineLevel="0" collapsed="false">
      <c r="A1194" s="11" t="str">
        <f aca="false">IF(C1194="","",ROW()-4)</f>
        <v/>
      </c>
      <c r="B1194" s="12"/>
      <c r="C1194" s="13"/>
      <c r="D1194" s="23" t="str">
        <f aca="false">IF(C1194="","",IFERROR(INDEX(LOTES!$D$5:$D$1004,MATCH(C1194,LOTES!$F$5:$F$1004,0)),"¿Lote?"))</f>
        <v/>
      </c>
      <c r="E1194" s="11" t="str">
        <f aca="false">IF(C1194="","",IFERROR(INDEX(LOTES!$C$5:$C$1004,MATCH(C1194,LOTES!$F$5:$F$1004,0)),""))</f>
        <v/>
      </c>
      <c r="F1194" s="24" t="str">
        <f aca="false">IF(C1194="","",IFERROR(INDEX(LOTES!$B$5:$B$1004,MATCH(C1194,LOTES!$F$5:$F$1004,0)),""))</f>
        <v/>
      </c>
      <c r="G1194" s="15" t="str">
        <f aca="false">IF(OR(B1194="",F1194=""),"",B1194-F1194)</f>
        <v/>
      </c>
      <c r="H1194" s="13"/>
      <c r="I1194" s="13"/>
      <c r="J1194" s="13"/>
      <c r="K1194" s="25"/>
      <c r="L1194" s="25"/>
      <c r="M1194" s="25"/>
      <c r="N1194" s="25"/>
      <c r="O1194" s="26"/>
      <c r="P1194" s="16" t="str">
        <f aca="false">IF(O1194="","",IFERROR(1/(1/(IF(K1194="",INDEX(CONFIG!$F$5:$F$14,MATCH(D1194,CONFIG!$D$5:$D$14,0)),K1194)*IF(M1194="",INDEX(CONFIG!$H$5:$H$14,MATCH(D1194,CONFIG!$D$5:$D$14,0)),M1194))),""))</f>
        <v/>
      </c>
      <c r="Q1194" s="16" t="str">
        <f aca="false">IF(OR(O1194="",P1194=""),"",O1194/P1194)</f>
        <v/>
      </c>
      <c r="R1194" s="16" t="str">
        <f aca="false">IF(Q1194="","",Q1194*0.0980665)</f>
        <v/>
      </c>
      <c r="S1194" s="16" t="str">
        <f aca="false">IF(Q1194="","",IFERROR(Q1194/(1/(1/INDEX(CONFIG!$I$5:$I$14,MATCH(D1194,CONFIG!$D$5:$D$14,0)))),""))</f>
        <v/>
      </c>
      <c r="T1194" s="13"/>
      <c r="U1194" s="13"/>
      <c r="V1194" s="13"/>
      <c r="W1194" s="13"/>
      <c r="X1194" s="22" t="str">
        <f aca="false">IF(Q1194="","",Q1194^2)</f>
        <v/>
      </c>
      <c r="Y1194" s="22" t="str">
        <f aca="false">IF(AND(C1194&lt;&gt;"",C1194=CERTIFICADO!$E$4,OR(CERTIFICADO!$E$5="",B1194=CERTIFICADO!$E$5)),MAX($Y$4:Y1193)+1,"")</f>
        <v/>
      </c>
    </row>
    <row r="1195" customFormat="false" ht="15" hidden="false" customHeight="false" outlineLevel="0" collapsed="false">
      <c r="A1195" s="11" t="str">
        <f aca="false">IF(C1195="","",ROW()-4)</f>
        <v/>
      </c>
      <c r="B1195" s="12"/>
      <c r="C1195" s="13"/>
      <c r="D1195" s="23" t="str">
        <f aca="false">IF(C1195="","",IFERROR(INDEX(LOTES!$D$5:$D$1004,MATCH(C1195,LOTES!$F$5:$F$1004,0)),"¿Lote?"))</f>
        <v/>
      </c>
      <c r="E1195" s="11" t="str">
        <f aca="false">IF(C1195="","",IFERROR(INDEX(LOTES!$C$5:$C$1004,MATCH(C1195,LOTES!$F$5:$F$1004,0)),""))</f>
        <v/>
      </c>
      <c r="F1195" s="24" t="str">
        <f aca="false">IF(C1195="","",IFERROR(INDEX(LOTES!$B$5:$B$1004,MATCH(C1195,LOTES!$F$5:$F$1004,0)),""))</f>
        <v/>
      </c>
      <c r="G1195" s="15" t="str">
        <f aca="false">IF(OR(B1195="",F1195=""),"",B1195-F1195)</f>
        <v/>
      </c>
      <c r="H1195" s="13"/>
      <c r="I1195" s="13"/>
      <c r="J1195" s="13"/>
      <c r="K1195" s="25"/>
      <c r="L1195" s="25"/>
      <c r="M1195" s="25"/>
      <c r="N1195" s="25"/>
      <c r="O1195" s="26"/>
      <c r="P1195" s="16" t="str">
        <f aca="false">IF(O1195="","",IFERROR(1/(1/(IF(K1195="",INDEX(CONFIG!$F$5:$F$14,MATCH(D1195,CONFIG!$D$5:$D$14,0)),K1195)*IF(M1195="",INDEX(CONFIG!$H$5:$H$14,MATCH(D1195,CONFIG!$D$5:$D$14,0)),M1195))),""))</f>
        <v/>
      </c>
      <c r="Q1195" s="16" t="str">
        <f aca="false">IF(OR(O1195="",P1195=""),"",O1195/P1195)</f>
        <v/>
      </c>
      <c r="R1195" s="16" t="str">
        <f aca="false">IF(Q1195="","",Q1195*0.0980665)</f>
        <v/>
      </c>
      <c r="S1195" s="16" t="str">
        <f aca="false">IF(Q1195="","",IFERROR(Q1195/(1/(1/INDEX(CONFIG!$I$5:$I$14,MATCH(D1195,CONFIG!$D$5:$D$14,0)))),""))</f>
        <v/>
      </c>
      <c r="T1195" s="13"/>
      <c r="U1195" s="13"/>
      <c r="V1195" s="13"/>
      <c r="W1195" s="13"/>
      <c r="X1195" s="22" t="str">
        <f aca="false">IF(Q1195="","",Q1195^2)</f>
        <v/>
      </c>
      <c r="Y1195" s="22" t="str">
        <f aca="false">IF(AND(C1195&lt;&gt;"",C1195=CERTIFICADO!$E$4,OR(CERTIFICADO!$E$5="",B1195=CERTIFICADO!$E$5)),MAX($Y$4:Y1194)+1,"")</f>
        <v/>
      </c>
    </row>
    <row r="1196" customFormat="false" ht="15" hidden="false" customHeight="false" outlineLevel="0" collapsed="false">
      <c r="A1196" s="11" t="str">
        <f aca="false">IF(C1196="","",ROW()-4)</f>
        <v/>
      </c>
      <c r="B1196" s="12"/>
      <c r="C1196" s="13"/>
      <c r="D1196" s="23" t="str">
        <f aca="false">IF(C1196="","",IFERROR(INDEX(LOTES!$D$5:$D$1004,MATCH(C1196,LOTES!$F$5:$F$1004,0)),"¿Lote?"))</f>
        <v/>
      </c>
      <c r="E1196" s="11" t="str">
        <f aca="false">IF(C1196="","",IFERROR(INDEX(LOTES!$C$5:$C$1004,MATCH(C1196,LOTES!$F$5:$F$1004,0)),""))</f>
        <v/>
      </c>
      <c r="F1196" s="24" t="str">
        <f aca="false">IF(C1196="","",IFERROR(INDEX(LOTES!$B$5:$B$1004,MATCH(C1196,LOTES!$F$5:$F$1004,0)),""))</f>
        <v/>
      </c>
      <c r="G1196" s="15" t="str">
        <f aca="false">IF(OR(B1196="",F1196=""),"",B1196-F1196)</f>
        <v/>
      </c>
      <c r="H1196" s="13"/>
      <c r="I1196" s="13"/>
      <c r="J1196" s="13"/>
      <c r="K1196" s="25"/>
      <c r="L1196" s="25"/>
      <c r="M1196" s="25"/>
      <c r="N1196" s="25"/>
      <c r="O1196" s="26"/>
      <c r="P1196" s="16" t="str">
        <f aca="false">IF(O1196="","",IFERROR(1/(1/(IF(K1196="",INDEX(CONFIG!$F$5:$F$14,MATCH(D1196,CONFIG!$D$5:$D$14,0)),K1196)*IF(M1196="",INDEX(CONFIG!$H$5:$H$14,MATCH(D1196,CONFIG!$D$5:$D$14,0)),M1196))),""))</f>
        <v/>
      </c>
      <c r="Q1196" s="16" t="str">
        <f aca="false">IF(OR(O1196="",P1196=""),"",O1196/P1196)</f>
        <v/>
      </c>
      <c r="R1196" s="16" t="str">
        <f aca="false">IF(Q1196="","",Q1196*0.0980665)</f>
        <v/>
      </c>
      <c r="S1196" s="16" t="str">
        <f aca="false">IF(Q1196="","",IFERROR(Q1196/(1/(1/INDEX(CONFIG!$I$5:$I$14,MATCH(D1196,CONFIG!$D$5:$D$14,0)))),""))</f>
        <v/>
      </c>
      <c r="T1196" s="13"/>
      <c r="U1196" s="13"/>
      <c r="V1196" s="13"/>
      <c r="W1196" s="13"/>
      <c r="X1196" s="22" t="str">
        <f aca="false">IF(Q1196="","",Q1196^2)</f>
        <v/>
      </c>
      <c r="Y1196" s="22" t="str">
        <f aca="false">IF(AND(C1196&lt;&gt;"",C1196=CERTIFICADO!$E$4,OR(CERTIFICADO!$E$5="",B1196=CERTIFICADO!$E$5)),MAX($Y$4:Y1195)+1,"")</f>
        <v/>
      </c>
    </row>
    <row r="1197" customFormat="false" ht="15" hidden="false" customHeight="false" outlineLevel="0" collapsed="false">
      <c r="A1197" s="11" t="str">
        <f aca="false">IF(C1197="","",ROW()-4)</f>
        <v/>
      </c>
      <c r="B1197" s="12"/>
      <c r="C1197" s="13"/>
      <c r="D1197" s="23" t="str">
        <f aca="false">IF(C1197="","",IFERROR(INDEX(LOTES!$D$5:$D$1004,MATCH(C1197,LOTES!$F$5:$F$1004,0)),"¿Lote?"))</f>
        <v/>
      </c>
      <c r="E1197" s="11" t="str">
        <f aca="false">IF(C1197="","",IFERROR(INDEX(LOTES!$C$5:$C$1004,MATCH(C1197,LOTES!$F$5:$F$1004,0)),""))</f>
        <v/>
      </c>
      <c r="F1197" s="24" t="str">
        <f aca="false">IF(C1197="","",IFERROR(INDEX(LOTES!$B$5:$B$1004,MATCH(C1197,LOTES!$F$5:$F$1004,0)),""))</f>
        <v/>
      </c>
      <c r="G1197" s="15" t="str">
        <f aca="false">IF(OR(B1197="",F1197=""),"",B1197-F1197)</f>
        <v/>
      </c>
      <c r="H1197" s="13"/>
      <c r="I1197" s="13"/>
      <c r="J1197" s="13"/>
      <c r="K1197" s="25"/>
      <c r="L1197" s="25"/>
      <c r="M1197" s="25"/>
      <c r="N1197" s="25"/>
      <c r="O1197" s="26"/>
      <c r="P1197" s="16" t="str">
        <f aca="false">IF(O1197="","",IFERROR(1/(1/(IF(K1197="",INDEX(CONFIG!$F$5:$F$14,MATCH(D1197,CONFIG!$D$5:$D$14,0)),K1197)*IF(M1197="",INDEX(CONFIG!$H$5:$H$14,MATCH(D1197,CONFIG!$D$5:$D$14,0)),M1197))),""))</f>
        <v/>
      </c>
      <c r="Q1197" s="16" t="str">
        <f aca="false">IF(OR(O1197="",P1197=""),"",O1197/P1197)</f>
        <v/>
      </c>
      <c r="R1197" s="16" t="str">
        <f aca="false">IF(Q1197="","",Q1197*0.0980665)</f>
        <v/>
      </c>
      <c r="S1197" s="16" t="str">
        <f aca="false">IF(Q1197="","",IFERROR(Q1197/(1/(1/INDEX(CONFIG!$I$5:$I$14,MATCH(D1197,CONFIG!$D$5:$D$14,0)))),""))</f>
        <v/>
      </c>
      <c r="T1197" s="13"/>
      <c r="U1197" s="13"/>
      <c r="V1197" s="13"/>
      <c r="W1197" s="13"/>
      <c r="X1197" s="22" t="str">
        <f aca="false">IF(Q1197="","",Q1197^2)</f>
        <v/>
      </c>
      <c r="Y1197" s="22" t="str">
        <f aca="false">IF(AND(C1197&lt;&gt;"",C1197=CERTIFICADO!$E$4,OR(CERTIFICADO!$E$5="",B1197=CERTIFICADO!$E$5)),MAX($Y$4:Y1196)+1,"")</f>
        <v/>
      </c>
    </row>
    <row r="1198" customFormat="false" ht="15" hidden="false" customHeight="false" outlineLevel="0" collapsed="false">
      <c r="A1198" s="11" t="str">
        <f aca="false">IF(C1198="","",ROW()-4)</f>
        <v/>
      </c>
      <c r="B1198" s="12"/>
      <c r="C1198" s="13"/>
      <c r="D1198" s="23" t="str">
        <f aca="false">IF(C1198="","",IFERROR(INDEX(LOTES!$D$5:$D$1004,MATCH(C1198,LOTES!$F$5:$F$1004,0)),"¿Lote?"))</f>
        <v/>
      </c>
      <c r="E1198" s="11" t="str">
        <f aca="false">IF(C1198="","",IFERROR(INDEX(LOTES!$C$5:$C$1004,MATCH(C1198,LOTES!$F$5:$F$1004,0)),""))</f>
        <v/>
      </c>
      <c r="F1198" s="24" t="str">
        <f aca="false">IF(C1198="","",IFERROR(INDEX(LOTES!$B$5:$B$1004,MATCH(C1198,LOTES!$F$5:$F$1004,0)),""))</f>
        <v/>
      </c>
      <c r="G1198" s="15" t="str">
        <f aca="false">IF(OR(B1198="",F1198=""),"",B1198-F1198)</f>
        <v/>
      </c>
      <c r="H1198" s="13"/>
      <c r="I1198" s="13"/>
      <c r="J1198" s="13"/>
      <c r="K1198" s="25"/>
      <c r="L1198" s="25"/>
      <c r="M1198" s="25"/>
      <c r="N1198" s="25"/>
      <c r="O1198" s="26"/>
      <c r="P1198" s="16" t="str">
        <f aca="false">IF(O1198="","",IFERROR(1/(1/(IF(K1198="",INDEX(CONFIG!$F$5:$F$14,MATCH(D1198,CONFIG!$D$5:$D$14,0)),K1198)*IF(M1198="",INDEX(CONFIG!$H$5:$H$14,MATCH(D1198,CONFIG!$D$5:$D$14,0)),M1198))),""))</f>
        <v/>
      </c>
      <c r="Q1198" s="16" t="str">
        <f aca="false">IF(OR(O1198="",P1198=""),"",O1198/P1198)</f>
        <v/>
      </c>
      <c r="R1198" s="16" t="str">
        <f aca="false">IF(Q1198="","",Q1198*0.0980665)</f>
        <v/>
      </c>
      <c r="S1198" s="16" t="str">
        <f aca="false">IF(Q1198="","",IFERROR(Q1198/(1/(1/INDEX(CONFIG!$I$5:$I$14,MATCH(D1198,CONFIG!$D$5:$D$14,0)))),""))</f>
        <v/>
      </c>
      <c r="T1198" s="13"/>
      <c r="U1198" s="13"/>
      <c r="V1198" s="13"/>
      <c r="W1198" s="13"/>
      <c r="X1198" s="22" t="str">
        <f aca="false">IF(Q1198="","",Q1198^2)</f>
        <v/>
      </c>
      <c r="Y1198" s="22" t="str">
        <f aca="false">IF(AND(C1198&lt;&gt;"",C1198=CERTIFICADO!$E$4,OR(CERTIFICADO!$E$5="",B1198=CERTIFICADO!$E$5)),MAX($Y$4:Y1197)+1,"")</f>
        <v/>
      </c>
    </row>
    <row r="1199" customFormat="false" ht="15" hidden="false" customHeight="false" outlineLevel="0" collapsed="false">
      <c r="A1199" s="11" t="str">
        <f aca="false">IF(C1199="","",ROW()-4)</f>
        <v/>
      </c>
      <c r="B1199" s="12"/>
      <c r="C1199" s="13"/>
      <c r="D1199" s="23" t="str">
        <f aca="false">IF(C1199="","",IFERROR(INDEX(LOTES!$D$5:$D$1004,MATCH(C1199,LOTES!$F$5:$F$1004,0)),"¿Lote?"))</f>
        <v/>
      </c>
      <c r="E1199" s="11" t="str">
        <f aca="false">IF(C1199="","",IFERROR(INDEX(LOTES!$C$5:$C$1004,MATCH(C1199,LOTES!$F$5:$F$1004,0)),""))</f>
        <v/>
      </c>
      <c r="F1199" s="24" t="str">
        <f aca="false">IF(C1199="","",IFERROR(INDEX(LOTES!$B$5:$B$1004,MATCH(C1199,LOTES!$F$5:$F$1004,0)),""))</f>
        <v/>
      </c>
      <c r="G1199" s="15" t="str">
        <f aca="false">IF(OR(B1199="",F1199=""),"",B1199-F1199)</f>
        <v/>
      </c>
      <c r="H1199" s="13"/>
      <c r="I1199" s="13"/>
      <c r="J1199" s="13"/>
      <c r="K1199" s="25"/>
      <c r="L1199" s="25"/>
      <c r="M1199" s="25"/>
      <c r="N1199" s="25"/>
      <c r="O1199" s="26"/>
      <c r="P1199" s="16" t="str">
        <f aca="false">IF(O1199="","",IFERROR(1/(1/(IF(K1199="",INDEX(CONFIG!$F$5:$F$14,MATCH(D1199,CONFIG!$D$5:$D$14,0)),K1199)*IF(M1199="",INDEX(CONFIG!$H$5:$H$14,MATCH(D1199,CONFIG!$D$5:$D$14,0)),M1199))),""))</f>
        <v/>
      </c>
      <c r="Q1199" s="16" t="str">
        <f aca="false">IF(OR(O1199="",P1199=""),"",O1199/P1199)</f>
        <v/>
      </c>
      <c r="R1199" s="16" t="str">
        <f aca="false">IF(Q1199="","",Q1199*0.0980665)</f>
        <v/>
      </c>
      <c r="S1199" s="16" t="str">
        <f aca="false">IF(Q1199="","",IFERROR(Q1199/(1/(1/INDEX(CONFIG!$I$5:$I$14,MATCH(D1199,CONFIG!$D$5:$D$14,0)))),""))</f>
        <v/>
      </c>
      <c r="T1199" s="13"/>
      <c r="U1199" s="13"/>
      <c r="V1199" s="13"/>
      <c r="W1199" s="13"/>
      <c r="X1199" s="22" t="str">
        <f aca="false">IF(Q1199="","",Q1199^2)</f>
        <v/>
      </c>
      <c r="Y1199" s="22" t="str">
        <f aca="false">IF(AND(C1199&lt;&gt;"",C1199=CERTIFICADO!$E$4,OR(CERTIFICADO!$E$5="",B1199=CERTIFICADO!$E$5)),MAX($Y$4:Y1198)+1,"")</f>
        <v/>
      </c>
    </row>
    <row r="1200" customFormat="false" ht="15" hidden="false" customHeight="false" outlineLevel="0" collapsed="false">
      <c r="A1200" s="11" t="str">
        <f aca="false">IF(C1200="","",ROW()-4)</f>
        <v/>
      </c>
      <c r="B1200" s="12"/>
      <c r="C1200" s="13"/>
      <c r="D1200" s="23" t="str">
        <f aca="false">IF(C1200="","",IFERROR(INDEX(LOTES!$D$5:$D$1004,MATCH(C1200,LOTES!$F$5:$F$1004,0)),"¿Lote?"))</f>
        <v/>
      </c>
      <c r="E1200" s="11" t="str">
        <f aca="false">IF(C1200="","",IFERROR(INDEX(LOTES!$C$5:$C$1004,MATCH(C1200,LOTES!$F$5:$F$1004,0)),""))</f>
        <v/>
      </c>
      <c r="F1200" s="24" t="str">
        <f aca="false">IF(C1200="","",IFERROR(INDEX(LOTES!$B$5:$B$1004,MATCH(C1200,LOTES!$F$5:$F$1004,0)),""))</f>
        <v/>
      </c>
      <c r="G1200" s="15" t="str">
        <f aca="false">IF(OR(B1200="",F1200=""),"",B1200-F1200)</f>
        <v/>
      </c>
      <c r="H1200" s="13"/>
      <c r="I1200" s="13"/>
      <c r="J1200" s="13"/>
      <c r="K1200" s="25"/>
      <c r="L1200" s="25"/>
      <c r="M1200" s="25"/>
      <c r="N1200" s="25"/>
      <c r="O1200" s="26"/>
      <c r="P1200" s="16" t="str">
        <f aca="false">IF(O1200="","",IFERROR(1/(1/(IF(K1200="",INDEX(CONFIG!$F$5:$F$14,MATCH(D1200,CONFIG!$D$5:$D$14,0)),K1200)*IF(M1200="",INDEX(CONFIG!$H$5:$H$14,MATCH(D1200,CONFIG!$D$5:$D$14,0)),M1200))),""))</f>
        <v/>
      </c>
      <c r="Q1200" s="16" t="str">
        <f aca="false">IF(OR(O1200="",P1200=""),"",O1200/P1200)</f>
        <v/>
      </c>
      <c r="R1200" s="16" t="str">
        <f aca="false">IF(Q1200="","",Q1200*0.0980665)</f>
        <v/>
      </c>
      <c r="S1200" s="16" t="str">
        <f aca="false">IF(Q1200="","",IFERROR(Q1200/(1/(1/INDEX(CONFIG!$I$5:$I$14,MATCH(D1200,CONFIG!$D$5:$D$14,0)))),""))</f>
        <v/>
      </c>
      <c r="T1200" s="13"/>
      <c r="U1200" s="13"/>
      <c r="V1200" s="13"/>
      <c r="W1200" s="13"/>
      <c r="X1200" s="22" t="str">
        <f aca="false">IF(Q1200="","",Q1200^2)</f>
        <v/>
      </c>
      <c r="Y1200" s="22" t="str">
        <f aca="false">IF(AND(C1200&lt;&gt;"",C1200=CERTIFICADO!$E$4,OR(CERTIFICADO!$E$5="",B1200=CERTIFICADO!$E$5)),MAX($Y$4:Y1199)+1,"")</f>
        <v/>
      </c>
    </row>
    <row r="1201" customFormat="false" ht="15" hidden="false" customHeight="false" outlineLevel="0" collapsed="false">
      <c r="A1201" s="11" t="str">
        <f aca="false">IF(C1201="","",ROW()-4)</f>
        <v/>
      </c>
      <c r="B1201" s="12"/>
      <c r="C1201" s="13"/>
      <c r="D1201" s="23" t="str">
        <f aca="false">IF(C1201="","",IFERROR(INDEX(LOTES!$D$5:$D$1004,MATCH(C1201,LOTES!$F$5:$F$1004,0)),"¿Lote?"))</f>
        <v/>
      </c>
      <c r="E1201" s="11" t="str">
        <f aca="false">IF(C1201="","",IFERROR(INDEX(LOTES!$C$5:$C$1004,MATCH(C1201,LOTES!$F$5:$F$1004,0)),""))</f>
        <v/>
      </c>
      <c r="F1201" s="24" t="str">
        <f aca="false">IF(C1201="","",IFERROR(INDEX(LOTES!$B$5:$B$1004,MATCH(C1201,LOTES!$F$5:$F$1004,0)),""))</f>
        <v/>
      </c>
      <c r="G1201" s="15" t="str">
        <f aca="false">IF(OR(B1201="",F1201=""),"",B1201-F1201)</f>
        <v/>
      </c>
      <c r="H1201" s="13"/>
      <c r="I1201" s="13"/>
      <c r="J1201" s="13"/>
      <c r="K1201" s="25"/>
      <c r="L1201" s="25"/>
      <c r="M1201" s="25"/>
      <c r="N1201" s="25"/>
      <c r="O1201" s="26"/>
      <c r="P1201" s="16" t="str">
        <f aca="false">IF(O1201="","",IFERROR(1/(1/(IF(K1201="",INDEX(CONFIG!$F$5:$F$14,MATCH(D1201,CONFIG!$D$5:$D$14,0)),K1201)*IF(M1201="",INDEX(CONFIG!$H$5:$H$14,MATCH(D1201,CONFIG!$D$5:$D$14,0)),M1201))),""))</f>
        <v/>
      </c>
      <c r="Q1201" s="16" t="str">
        <f aca="false">IF(OR(O1201="",P1201=""),"",O1201/P1201)</f>
        <v/>
      </c>
      <c r="R1201" s="16" t="str">
        <f aca="false">IF(Q1201="","",Q1201*0.0980665)</f>
        <v/>
      </c>
      <c r="S1201" s="16" t="str">
        <f aca="false">IF(Q1201="","",IFERROR(Q1201/(1/(1/INDEX(CONFIG!$I$5:$I$14,MATCH(D1201,CONFIG!$D$5:$D$14,0)))),""))</f>
        <v/>
      </c>
      <c r="T1201" s="13"/>
      <c r="U1201" s="13"/>
      <c r="V1201" s="13"/>
      <c r="W1201" s="13"/>
      <c r="X1201" s="22" t="str">
        <f aca="false">IF(Q1201="","",Q1201^2)</f>
        <v/>
      </c>
      <c r="Y1201" s="22" t="str">
        <f aca="false">IF(AND(C1201&lt;&gt;"",C1201=CERTIFICADO!$E$4,OR(CERTIFICADO!$E$5="",B1201=CERTIFICADO!$E$5)),MAX($Y$4:Y1200)+1,"")</f>
        <v/>
      </c>
    </row>
    <row r="1202" customFormat="false" ht="15" hidden="false" customHeight="false" outlineLevel="0" collapsed="false">
      <c r="A1202" s="11" t="str">
        <f aca="false">IF(C1202="","",ROW()-4)</f>
        <v/>
      </c>
      <c r="B1202" s="12"/>
      <c r="C1202" s="13"/>
      <c r="D1202" s="23" t="str">
        <f aca="false">IF(C1202="","",IFERROR(INDEX(LOTES!$D$5:$D$1004,MATCH(C1202,LOTES!$F$5:$F$1004,0)),"¿Lote?"))</f>
        <v/>
      </c>
      <c r="E1202" s="11" t="str">
        <f aca="false">IF(C1202="","",IFERROR(INDEX(LOTES!$C$5:$C$1004,MATCH(C1202,LOTES!$F$5:$F$1004,0)),""))</f>
        <v/>
      </c>
      <c r="F1202" s="24" t="str">
        <f aca="false">IF(C1202="","",IFERROR(INDEX(LOTES!$B$5:$B$1004,MATCH(C1202,LOTES!$F$5:$F$1004,0)),""))</f>
        <v/>
      </c>
      <c r="G1202" s="15" t="str">
        <f aca="false">IF(OR(B1202="",F1202=""),"",B1202-F1202)</f>
        <v/>
      </c>
      <c r="H1202" s="13"/>
      <c r="I1202" s="13"/>
      <c r="J1202" s="13"/>
      <c r="K1202" s="25"/>
      <c r="L1202" s="25"/>
      <c r="M1202" s="25"/>
      <c r="N1202" s="25"/>
      <c r="O1202" s="26"/>
      <c r="P1202" s="16" t="str">
        <f aca="false">IF(O1202="","",IFERROR(1/(1/(IF(K1202="",INDEX(CONFIG!$F$5:$F$14,MATCH(D1202,CONFIG!$D$5:$D$14,0)),K1202)*IF(M1202="",INDEX(CONFIG!$H$5:$H$14,MATCH(D1202,CONFIG!$D$5:$D$14,0)),M1202))),""))</f>
        <v/>
      </c>
      <c r="Q1202" s="16" t="str">
        <f aca="false">IF(OR(O1202="",P1202=""),"",O1202/P1202)</f>
        <v/>
      </c>
      <c r="R1202" s="16" t="str">
        <f aca="false">IF(Q1202="","",Q1202*0.0980665)</f>
        <v/>
      </c>
      <c r="S1202" s="16" t="str">
        <f aca="false">IF(Q1202="","",IFERROR(Q1202/(1/(1/INDEX(CONFIG!$I$5:$I$14,MATCH(D1202,CONFIG!$D$5:$D$14,0)))),""))</f>
        <v/>
      </c>
      <c r="T1202" s="13"/>
      <c r="U1202" s="13"/>
      <c r="V1202" s="13"/>
      <c r="W1202" s="13"/>
      <c r="X1202" s="22" t="str">
        <f aca="false">IF(Q1202="","",Q1202^2)</f>
        <v/>
      </c>
      <c r="Y1202" s="22" t="str">
        <f aca="false">IF(AND(C1202&lt;&gt;"",C1202=CERTIFICADO!$E$4,OR(CERTIFICADO!$E$5="",B1202=CERTIFICADO!$E$5)),MAX($Y$4:Y1201)+1,"")</f>
        <v/>
      </c>
    </row>
    <row r="1203" customFormat="false" ht="15" hidden="false" customHeight="false" outlineLevel="0" collapsed="false">
      <c r="A1203" s="11" t="str">
        <f aca="false">IF(C1203="","",ROW()-4)</f>
        <v/>
      </c>
      <c r="B1203" s="12"/>
      <c r="C1203" s="13"/>
      <c r="D1203" s="23" t="str">
        <f aca="false">IF(C1203="","",IFERROR(INDEX(LOTES!$D$5:$D$1004,MATCH(C1203,LOTES!$F$5:$F$1004,0)),"¿Lote?"))</f>
        <v/>
      </c>
      <c r="E1203" s="11" t="str">
        <f aca="false">IF(C1203="","",IFERROR(INDEX(LOTES!$C$5:$C$1004,MATCH(C1203,LOTES!$F$5:$F$1004,0)),""))</f>
        <v/>
      </c>
      <c r="F1203" s="24" t="str">
        <f aca="false">IF(C1203="","",IFERROR(INDEX(LOTES!$B$5:$B$1004,MATCH(C1203,LOTES!$F$5:$F$1004,0)),""))</f>
        <v/>
      </c>
      <c r="G1203" s="15" t="str">
        <f aca="false">IF(OR(B1203="",F1203=""),"",B1203-F1203)</f>
        <v/>
      </c>
      <c r="H1203" s="13"/>
      <c r="I1203" s="13"/>
      <c r="J1203" s="13"/>
      <c r="K1203" s="25"/>
      <c r="L1203" s="25"/>
      <c r="M1203" s="25"/>
      <c r="N1203" s="25"/>
      <c r="O1203" s="26"/>
      <c r="P1203" s="16" t="str">
        <f aca="false">IF(O1203="","",IFERROR(1/(1/(IF(K1203="",INDEX(CONFIG!$F$5:$F$14,MATCH(D1203,CONFIG!$D$5:$D$14,0)),K1203)*IF(M1203="",INDEX(CONFIG!$H$5:$H$14,MATCH(D1203,CONFIG!$D$5:$D$14,0)),M1203))),""))</f>
        <v/>
      </c>
      <c r="Q1203" s="16" t="str">
        <f aca="false">IF(OR(O1203="",P1203=""),"",O1203/P1203)</f>
        <v/>
      </c>
      <c r="R1203" s="16" t="str">
        <f aca="false">IF(Q1203="","",Q1203*0.0980665)</f>
        <v/>
      </c>
      <c r="S1203" s="16" t="str">
        <f aca="false">IF(Q1203="","",IFERROR(Q1203/(1/(1/INDEX(CONFIG!$I$5:$I$14,MATCH(D1203,CONFIG!$D$5:$D$14,0)))),""))</f>
        <v/>
      </c>
      <c r="T1203" s="13"/>
      <c r="U1203" s="13"/>
      <c r="V1203" s="13"/>
      <c r="W1203" s="13"/>
      <c r="X1203" s="22" t="str">
        <f aca="false">IF(Q1203="","",Q1203^2)</f>
        <v/>
      </c>
      <c r="Y1203" s="22" t="str">
        <f aca="false">IF(AND(C1203&lt;&gt;"",C1203=CERTIFICADO!$E$4,OR(CERTIFICADO!$E$5="",B1203=CERTIFICADO!$E$5)),MAX($Y$4:Y1202)+1,"")</f>
        <v/>
      </c>
    </row>
    <row r="1204" customFormat="false" ht="15" hidden="false" customHeight="false" outlineLevel="0" collapsed="false">
      <c r="A1204" s="11" t="str">
        <f aca="false">IF(C1204="","",ROW()-4)</f>
        <v/>
      </c>
      <c r="B1204" s="12"/>
      <c r="C1204" s="13"/>
      <c r="D1204" s="23" t="str">
        <f aca="false">IF(C1204="","",IFERROR(INDEX(LOTES!$D$5:$D$1004,MATCH(C1204,LOTES!$F$5:$F$1004,0)),"¿Lote?"))</f>
        <v/>
      </c>
      <c r="E1204" s="11" t="str">
        <f aca="false">IF(C1204="","",IFERROR(INDEX(LOTES!$C$5:$C$1004,MATCH(C1204,LOTES!$F$5:$F$1004,0)),""))</f>
        <v/>
      </c>
      <c r="F1204" s="24" t="str">
        <f aca="false">IF(C1204="","",IFERROR(INDEX(LOTES!$B$5:$B$1004,MATCH(C1204,LOTES!$F$5:$F$1004,0)),""))</f>
        <v/>
      </c>
      <c r="G1204" s="15" t="str">
        <f aca="false">IF(OR(B1204="",F1204=""),"",B1204-F1204)</f>
        <v/>
      </c>
      <c r="H1204" s="13"/>
      <c r="I1204" s="13"/>
      <c r="J1204" s="13"/>
      <c r="K1204" s="25"/>
      <c r="L1204" s="25"/>
      <c r="M1204" s="25"/>
      <c r="N1204" s="25"/>
      <c r="O1204" s="26"/>
      <c r="P1204" s="16" t="str">
        <f aca="false">IF(O1204="","",IFERROR(1/(1/(IF(K1204="",INDEX(CONFIG!$F$5:$F$14,MATCH(D1204,CONFIG!$D$5:$D$14,0)),K1204)*IF(M1204="",INDEX(CONFIG!$H$5:$H$14,MATCH(D1204,CONFIG!$D$5:$D$14,0)),M1204))),""))</f>
        <v/>
      </c>
      <c r="Q1204" s="16" t="str">
        <f aca="false">IF(OR(O1204="",P1204=""),"",O1204/P1204)</f>
        <v/>
      </c>
      <c r="R1204" s="16" t="str">
        <f aca="false">IF(Q1204="","",Q1204*0.0980665)</f>
        <v/>
      </c>
      <c r="S1204" s="16" t="str">
        <f aca="false">IF(Q1204="","",IFERROR(Q1204/(1/(1/INDEX(CONFIG!$I$5:$I$14,MATCH(D1204,CONFIG!$D$5:$D$14,0)))),""))</f>
        <v/>
      </c>
      <c r="T1204" s="13"/>
      <c r="U1204" s="13"/>
      <c r="V1204" s="13"/>
      <c r="W1204" s="13"/>
      <c r="X1204" s="22" t="str">
        <f aca="false">IF(Q1204="","",Q1204^2)</f>
        <v/>
      </c>
      <c r="Y1204" s="22" t="str">
        <f aca="false">IF(AND(C1204&lt;&gt;"",C1204=CERTIFICADO!$E$4,OR(CERTIFICADO!$E$5="",B1204=CERTIFICADO!$E$5)),MAX($Y$4:Y1203)+1,"")</f>
        <v/>
      </c>
    </row>
    <row r="1205" customFormat="false" ht="15" hidden="false" customHeight="false" outlineLevel="0" collapsed="false">
      <c r="A1205" s="11" t="str">
        <f aca="false">IF(C1205="","",ROW()-4)</f>
        <v/>
      </c>
      <c r="B1205" s="12"/>
      <c r="C1205" s="13"/>
      <c r="D1205" s="23" t="str">
        <f aca="false">IF(C1205="","",IFERROR(INDEX(LOTES!$D$5:$D$1004,MATCH(C1205,LOTES!$F$5:$F$1004,0)),"¿Lote?"))</f>
        <v/>
      </c>
      <c r="E1205" s="11" t="str">
        <f aca="false">IF(C1205="","",IFERROR(INDEX(LOTES!$C$5:$C$1004,MATCH(C1205,LOTES!$F$5:$F$1004,0)),""))</f>
        <v/>
      </c>
      <c r="F1205" s="24" t="str">
        <f aca="false">IF(C1205="","",IFERROR(INDEX(LOTES!$B$5:$B$1004,MATCH(C1205,LOTES!$F$5:$F$1004,0)),""))</f>
        <v/>
      </c>
      <c r="G1205" s="15" t="str">
        <f aca="false">IF(OR(B1205="",F1205=""),"",B1205-F1205)</f>
        <v/>
      </c>
      <c r="H1205" s="13"/>
      <c r="I1205" s="13"/>
      <c r="J1205" s="13"/>
      <c r="K1205" s="25"/>
      <c r="L1205" s="25"/>
      <c r="M1205" s="25"/>
      <c r="N1205" s="25"/>
      <c r="O1205" s="26"/>
      <c r="P1205" s="16" t="str">
        <f aca="false">IF(O1205="","",IFERROR(1/(1/(IF(K1205="",INDEX(CONFIG!$F$5:$F$14,MATCH(D1205,CONFIG!$D$5:$D$14,0)),K1205)*IF(M1205="",INDEX(CONFIG!$H$5:$H$14,MATCH(D1205,CONFIG!$D$5:$D$14,0)),M1205))),""))</f>
        <v/>
      </c>
      <c r="Q1205" s="16" t="str">
        <f aca="false">IF(OR(O1205="",P1205=""),"",O1205/P1205)</f>
        <v/>
      </c>
      <c r="R1205" s="16" t="str">
        <f aca="false">IF(Q1205="","",Q1205*0.0980665)</f>
        <v/>
      </c>
      <c r="S1205" s="16" t="str">
        <f aca="false">IF(Q1205="","",IFERROR(Q1205/(1/(1/INDEX(CONFIG!$I$5:$I$14,MATCH(D1205,CONFIG!$D$5:$D$14,0)))),""))</f>
        <v/>
      </c>
      <c r="T1205" s="13"/>
      <c r="U1205" s="13"/>
      <c r="V1205" s="13"/>
      <c r="W1205" s="13"/>
      <c r="X1205" s="22" t="str">
        <f aca="false">IF(Q1205="","",Q1205^2)</f>
        <v/>
      </c>
      <c r="Y1205" s="22" t="str">
        <f aca="false">IF(AND(C1205&lt;&gt;"",C1205=CERTIFICADO!$E$4,OR(CERTIFICADO!$E$5="",B1205=CERTIFICADO!$E$5)),MAX($Y$4:Y1204)+1,"")</f>
        <v/>
      </c>
    </row>
    <row r="1206" customFormat="false" ht="15" hidden="false" customHeight="false" outlineLevel="0" collapsed="false">
      <c r="A1206" s="11" t="str">
        <f aca="false">IF(C1206="","",ROW()-4)</f>
        <v/>
      </c>
      <c r="B1206" s="12"/>
      <c r="C1206" s="13"/>
      <c r="D1206" s="23" t="str">
        <f aca="false">IF(C1206="","",IFERROR(INDEX(LOTES!$D$5:$D$1004,MATCH(C1206,LOTES!$F$5:$F$1004,0)),"¿Lote?"))</f>
        <v/>
      </c>
      <c r="E1206" s="11" t="str">
        <f aca="false">IF(C1206="","",IFERROR(INDEX(LOTES!$C$5:$C$1004,MATCH(C1206,LOTES!$F$5:$F$1004,0)),""))</f>
        <v/>
      </c>
      <c r="F1206" s="24" t="str">
        <f aca="false">IF(C1206="","",IFERROR(INDEX(LOTES!$B$5:$B$1004,MATCH(C1206,LOTES!$F$5:$F$1004,0)),""))</f>
        <v/>
      </c>
      <c r="G1206" s="15" t="str">
        <f aca="false">IF(OR(B1206="",F1206=""),"",B1206-F1206)</f>
        <v/>
      </c>
      <c r="H1206" s="13"/>
      <c r="I1206" s="13"/>
      <c r="J1206" s="13"/>
      <c r="K1206" s="25"/>
      <c r="L1206" s="25"/>
      <c r="M1206" s="25"/>
      <c r="N1206" s="25"/>
      <c r="O1206" s="26"/>
      <c r="P1206" s="16" t="str">
        <f aca="false">IF(O1206="","",IFERROR(1/(1/(IF(K1206="",INDEX(CONFIG!$F$5:$F$14,MATCH(D1206,CONFIG!$D$5:$D$14,0)),K1206)*IF(M1206="",INDEX(CONFIG!$H$5:$H$14,MATCH(D1206,CONFIG!$D$5:$D$14,0)),M1206))),""))</f>
        <v/>
      </c>
      <c r="Q1206" s="16" t="str">
        <f aca="false">IF(OR(O1206="",P1206=""),"",O1206/P1206)</f>
        <v/>
      </c>
      <c r="R1206" s="16" t="str">
        <f aca="false">IF(Q1206="","",Q1206*0.0980665)</f>
        <v/>
      </c>
      <c r="S1206" s="16" t="str">
        <f aca="false">IF(Q1206="","",IFERROR(Q1206/(1/(1/INDEX(CONFIG!$I$5:$I$14,MATCH(D1206,CONFIG!$D$5:$D$14,0)))),""))</f>
        <v/>
      </c>
      <c r="T1206" s="13"/>
      <c r="U1206" s="13"/>
      <c r="V1206" s="13"/>
      <c r="W1206" s="13"/>
      <c r="X1206" s="22" t="str">
        <f aca="false">IF(Q1206="","",Q1206^2)</f>
        <v/>
      </c>
      <c r="Y1206" s="22" t="str">
        <f aca="false">IF(AND(C1206&lt;&gt;"",C1206=CERTIFICADO!$E$4,OR(CERTIFICADO!$E$5="",B1206=CERTIFICADO!$E$5)),MAX($Y$4:Y1205)+1,"")</f>
        <v/>
      </c>
    </row>
    <row r="1207" customFormat="false" ht="15" hidden="false" customHeight="false" outlineLevel="0" collapsed="false">
      <c r="A1207" s="11" t="str">
        <f aca="false">IF(C1207="","",ROW()-4)</f>
        <v/>
      </c>
      <c r="B1207" s="12"/>
      <c r="C1207" s="13"/>
      <c r="D1207" s="23" t="str">
        <f aca="false">IF(C1207="","",IFERROR(INDEX(LOTES!$D$5:$D$1004,MATCH(C1207,LOTES!$F$5:$F$1004,0)),"¿Lote?"))</f>
        <v/>
      </c>
      <c r="E1207" s="11" t="str">
        <f aca="false">IF(C1207="","",IFERROR(INDEX(LOTES!$C$5:$C$1004,MATCH(C1207,LOTES!$F$5:$F$1004,0)),""))</f>
        <v/>
      </c>
      <c r="F1207" s="24" t="str">
        <f aca="false">IF(C1207="","",IFERROR(INDEX(LOTES!$B$5:$B$1004,MATCH(C1207,LOTES!$F$5:$F$1004,0)),""))</f>
        <v/>
      </c>
      <c r="G1207" s="15" t="str">
        <f aca="false">IF(OR(B1207="",F1207=""),"",B1207-F1207)</f>
        <v/>
      </c>
      <c r="H1207" s="13"/>
      <c r="I1207" s="13"/>
      <c r="J1207" s="13"/>
      <c r="K1207" s="25"/>
      <c r="L1207" s="25"/>
      <c r="M1207" s="25"/>
      <c r="N1207" s="25"/>
      <c r="O1207" s="26"/>
      <c r="P1207" s="16" t="str">
        <f aca="false">IF(O1207="","",IFERROR(1/(1/(IF(K1207="",INDEX(CONFIG!$F$5:$F$14,MATCH(D1207,CONFIG!$D$5:$D$14,0)),K1207)*IF(M1207="",INDEX(CONFIG!$H$5:$H$14,MATCH(D1207,CONFIG!$D$5:$D$14,0)),M1207))),""))</f>
        <v/>
      </c>
      <c r="Q1207" s="16" t="str">
        <f aca="false">IF(OR(O1207="",P1207=""),"",O1207/P1207)</f>
        <v/>
      </c>
      <c r="R1207" s="16" t="str">
        <f aca="false">IF(Q1207="","",Q1207*0.0980665)</f>
        <v/>
      </c>
      <c r="S1207" s="16" t="str">
        <f aca="false">IF(Q1207="","",IFERROR(Q1207/(1/(1/INDEX(CONFIG!$I$5:$I$14,MATCH(D1207,CONFIG!$D$5:$D$14,0)))),""))</f>
        <v/>
      </c>
      <c r="T1207" s="13"/>
      <c r="U1207" s="13"/>
      <c r="V1207" s="13"/>
      <c r="W1207" s="13"/>
      <c r="X1207" s="22" t="str">
        <f aca="false">IF(Q1207="","",Q1207^2)</f>
        <v/>
      </c>
      <c r="Y1207" s="22" t="str">
        <f aca="false">IF(AND(C1207&lt;&gt;"",C1207=CERTIFICADO!$E$4,OR(CERTIFICADO!$E$5="",B1207=CERTIFICADO!$E$5)),MAX($Y$4:Y1206)+1,"")</f>
        <v/>
      </c>
    </row>
    <row r="1208" customFormat="false" ht="15" hidden="false" customHeight="false" outlineLevel="0" collapsed="false">
      <c r="A1208" s="11" t="str">
        <f aca="false">IF(C1208="","",ROW()-4)</f>
        <v/>
      </c>
      <c r="B1208" s="12"/>
      <c r="C1208" s="13"/>
      <c r="D1208" s="23" t="str">
        <f aca="false">IF(C1208="","",IFERROR(INDEX(LOTES!$D$5:$D$1004,MATCH(C1208,LOTES!$F$5:$F$1004,0)),"¿Lote?"))</f>
        <v/>
      </c>
      <c r="E1208" s="11" t="str">
        <f aca="false">IF(C1208="","",IFERROR(INDEX(LOTES!$C$5:$C$1004,MATCH(C1208,LOTES!$F$5:$F$1004,0)),""))</f>
        <v/>
      </c>
      <c r="F1208" s="24" t="str">
        <f aca="false">IF(C1208="","",IFERROR(INDEX(LOTES!$B$5:$B$1004,MATCH(C1208,LOTES!$F$5:$F$1004,0)),""))</f>
        <v/>
      </c>
      <c r="G1208" s="15" t="str">
        <f aca="false">IF(OR(B1208="",F1208=""),"",B1208-F1208)</f>
        <v/>
      </c>
      <c r="H1208" s="13"/>
      <c r="I1208" s="13"/>
      <c r="J1208" s="13"/>
      <c r="K1208" s="25"/>
      <c r="L1208" s="25"/>
      <c r="M1208" s="25"/>
      <c r="N1208" s="25"/>
      <c r="O1208" s="26"/>
      <c r="P1208" s="16" t="str">
        <f aca="false">IF(O1208="","",IFERROR(1/(1/(IF(K1208="",INDEX(CONFIG!$F$5:$F$14,MATCH(D1208,CONFIG!$D$5:$D$14,0)),K1208)*IF(M1208="",INDEX(CONFIG!$H$5:$H$14,MATCH(D1208,CONFIG!$D$5:$D$14,0)),M1208))),""))</f>
        <v/>
      </c>
      <c r="Q1208" s="16" t="str">
        <f aca="false">IF(OR(O1208="",P1208=""),"",O1208/P1208)</f>
        <v/>
      </c>
      <c r="R1208" s="16" t="str">
        <f aca="false">IF(Q1208="","",Q1208*0.0980665)</f>
        <v/>
      </c>
      <c r="S1208" s="16" t="str">
        <f aca="false">IF(Q1208="","",IFERROR(Q1208/(1/(1/INDEX(CONFIG!$I$5:$I$14,MATCH(D1208,CONFIG!$D$5:$D$14,0)))),""))</f>
        <v/>
      </c>
      <c r="T1208" s="13"/>
      <c r="U1208" s="13"/>
      <c r="V1208" s="13"/>
      <c r="W1208" s="13"/>
      <c r="X1208" s="22" t="str">
        <f aca="false">IF(Q1208="","",Q1208^2)</f>
        <v/>
      </c>
      <c r="Y1208" s="22" t="str">
        <f aca="false">IF(AND(C1208&lt;&gt;"",C1208=CERTIFICADO!$E$4,OR(CERTIFICADO!$E$5="",B1208=CERTIFICADO!$E$5)),MAX($Y$4:Y1207)+1,"")</f>
        <v/>
      </c>
    </row>
    <row r="1209" customFormat="false" ht="15" hidden="false" customHeight="false" outlineLevel="0" collapsed="false">
      <c r="A1209" s="11" t="str">
        <f aca="false">IF(C1209="","",ROW()-4)</f>
        <v/>
      </c>
      <c r="B1209" s="12"/>
      <c r="C1209" s="13"/>
      <c r="D1209" s="23" t="str">
        <f aca="false">IF(C1209="","",IFERROR(INDEX(LOTES!$D$5:$D$1004,MATCH(C1209,LOTES!$F$5:$F$1004,0)),"¿Lote?"))</f>
        <v/>
      </c>
      <c r="E1209" s="11" t="str">
        <f aca="false">IF(C1209="","",IFERROR(INDEX(LOTES!$C$5:$C$1004,MATCH(C1209,LOTES!$F$5:$F$1004,0)),""))</f>
        <v/>
      </c>
      <c r="F1209" s="24" t="str">
        <f aca="false">IF(C1209="","",IFERROR(INDEX(LOTES!$B$5:$B$1004,MATCH(C1209,LOTES!$F$5:$F$1004,0)),""))</f>
        <v/>
      </c>
      <c r="G1209" s="15" t="str">
        <f aca="false">IF(OR(B1209="",F1209=""),"",B1209-F1209)</f>
        <v/>
      </c>
      <c r="H1209" s="13"/>
      <c r="I1209" s="13"/>
      <c r="J1209" s="13"/>
      <c r="K1209" s="25"/>
      <c r="L1209" s="25"/>
      <c r="M1209" s="25"/>
      <c r="N1209" s="25"/>
      <c r="O1209" s="26"/>
      <c r="P1209" s="16" t="str">
        <f aca="false">IF(O1209="","",IFERROR(1/(1/(IF(K1209="",INDEX(CONFIG!$F$5:$F$14,MATCH(D1209,CONFIG!$D$5:$D$14,0)),K1209)*IF(M1209="",INDEX(CONFIG!$H$5:$H$14,MATCH(D1209,CONFIG!$D$5:$D$14,0)),M1209))),""))</f>
        <v/>
      </c>
      <c r="Q1209" s="16" t="str">
        <f aca="false">IF(OR(O1209="",P1209=""),"",O1209/P1209)</f>
        <v/>
      </c>
      <c r="R1209" s="16" t="str">
        <f aca="false">IF(Q1209="","",Q1209*0.0980665)</f>
        <v/>
      </c>
      <c r="S1209" s="16" t="str">
        <f aca="false">IF(Q1209="","",IFERROR(Q1209/(1/(1/INDEX(CONFIG!$I$5:$I$14,MATCH(D1209,CONFIG!$D$5:$D$14,0)))),""))</f>
        <v/>
      </c>
      <c r="T1209" s="13"/>
      <c r="U1209" s="13"/>
      <c r="V1209" s="13"/>
      <c r="W1209" s="13"/>
      <c r="X1209" s="22" t="str">
        <f aca="false">IF(Q1209="","",Q1209^2)</f>
        <v/>
      </c>
      <c r="Y1209" s="22" t="str">
        <f aca="false">IF(AND(C1209&lt;&gt;"",C1209=CERTIFICADO!$E$4,OR(CERTIFICADO!$E$5="",B1209=CERTIFICADO!$E$5)),MAX($Y$4:Y1208)+1,"")</f>
        <v/>
      </c>
    </row>
    <row r="1210" customFormat="false" ht="15" hidden="false" customHeight="false" outlineLevel="0" collapsed="false">
      <c r="A1210" s="11" t="str">
        <f aca="false">IF(C1210="","",ROW()-4)</f>
        <v/>
      </c>
      <c r="B1210" s="12"/>
      <c r="C1210" s="13"/>
      <c r="D1210" s="23" t="str">
        <f aca="false">IF(C1210="","",IFERROR(INDEX(LOTES!$D$5:$D$1004,MATCH(C1210,LOTES!$F$5:$F$1004,0)),"¿Lote?"))</f>
        <v/>
      </c>
      <c r="E1210" s="11" t="str">
        <f aca="false">IF(C1210="","",IFERROR(INDEX(LOTES!$C$5:$C$1004,MATCH(C1210,LOTES!$F$5:$F$1004,0)),""))</f>
        <v/>
      </c>
      <c r="F1210" s="24" t="str">
        <f aca="false">IF(C1210="","",IFERROR(INDEX(LOTES!$B$5:$B$1004,MATCH(C1210,LOTES!$F$5:$F$1004,0)),""))</f>
        <v/>
      </c>
      <c r="G1210" s="15" t="str">
        <f aca="false">IF(OR(B1210="",F1210=""),"",B1210-F1210)</f>
        <v/>
      </c>
      <c r="H1210" s="13"/>
      <c r="I1210" s="13"/>
      <c r="J1210" s="13"/>
      <c r="K1210" s="25"/>
      <c r="L1210" s="25"/>
      <c r="M1210" s="25"/>
      <c r="N1210" s="25"/>
      <c r="O1210" s="26"/>
      <c r="P1210" s="16" t="str">
        <f aca="false">IF(O1210="","",IFERROR(1/(1/(IF(K1210="",INDEX(CONFIG!$F$5:$F$14,MATCH(D1210,CONFIG!$D$5:$D$14,0)),K1210)*IF(M1210="",INDEX(CONFIG!$H$5:$H$14,MATCH(D1210,CONFIG!$D$5:$D$14,0)),M1210))),""))</f>
        <v/>
      </c>
      <c r="Q1210" s="16" t="str">
        <f aca="false">IF(OR(O1210="",P1210=""),"",O1210/P1210)</f>
        <v/>
      </c>
      <c r="R1210" s="16" t="str">
        <f aca="false">IF(Q1210="","",Q1210*0.0980665)</f>
        <v/>
      </c>
      <c r="S1210" s="16" t="str">
        <f aca="false">IF(Q1210="","",IFERROR(Q1210/(1/(1/INDEX(CONFIG!$I$5:$I$14,MATCH(D1210,CONFIG!$D$5:$D$14,0)))),""))</f>
        <v/>
      </c>
      <c r="T1210" s="13"/>
      <c r="U1210" s="13"/>
      <c r="V1210" s="13"/>
      <c r="W1210" s="13"/>
      <c r="X1210" s="22" t="str">
        <f aca="false">IF(Q1210="","",Q1210^2)</f>
        <v/>
      </c>
      <c r="Y1210" s="22" t="str">
        <f aca="false">IF(AND(C1210&lt;&gt;"",C1210=CERTIFICADO!$E$4,OR(CERTIFICADO!$E$5="",B1210=CERTIFICADO!$E$5)),MAX($Y$4:Y1209)+1,"")</f>
        <v/>
      </c>
    </row>
    <row r="1211" customFormat="false" ht="15" hidden="false" customHeight="false" outlineLevel="0" collapsed="false">
      <c r="A1211" s="11" t="str">
        <f aca="false">IF(C1211="","",ROW()-4)</f>
        <v/>
      </c>
      <c r="B1211" s="12"/>
      <c r="C1211" s="13"/>
      <c r="D1211" s="23" t="str">
        <f aca="false">IF(C1211="","",IFERROR(INDEX(LOTES!$D$5:$D$1004,MATCH(C1211,LOTES!$F$5:$F$1004,0)),"¿Lote?"))</f>
        <v/>
      </c>
      <c r="E1211" s="11" t="str">
        <f aca="false">IF(C1211="","",IFERROR(INDEX(LOTES!$C$5:$C$1004,MATCH(C1211,LOTES!$F$5:$F$1004,0)),""))</f>
        <v/>
      </c>
      <c r="F1211" s="24" t="str">
        <f aca="false">IF(C1211="","",IFERROR(INDEX(LOTES!$B$5:$B$1004,MATCH(C1211,LOTES!$F$5:$F$1004,0)),""))</f>
        <v/>
      </c>
      <c r="G1211" s="15" t="str">
        <f aca="false">IF(OR(B1211="",F1211=""),"",B1211-F1211)</f>
        <v/>
      </c>
      <c r="H1211" s="13"/>
      <c r="I1211" s="13"/>
      <c r="J1211" s="13"/>
      <c r="K1211" s="25"/>
      <c r="L1211" s="25"/>
      <c r="M1211" s="25"/>
      <c r="N1211" s="25"/>
      <c r="O1211" s="26"/>
      <c r="P1211" s="16" t="str">
        <f aca="false">IF(O1211="","",IFERROR(1/(1/(IF(K1211="",INDEX(CONFIG!$F$5:$F$14,MATCH(D1211,CONFIG!$D$5:$D$14,0)),K1211)*IF(M1211="",INDEX(CONFIG!$H$5:$H$14,MATCH(D1211,CONFIG!$D$5:$D$14,0)),M1211))),""))</f>
        <v/>
      </c>
      <c r="Q1211" s="16" t="str">
        <f aca="false">IF(OR(O1211="",P1211=""),"",O1211/P1211)</f>
        <v/>
      </c>
      <c r="R1211" s="16" t="str">
        <f aca="false">IF(Q1211="","",Q1211*0.0980665)</f>
        <v/>
      </c>
      <c r="S1211" s="16" t="str">
        <f aca="false">IF(Q1211="","",IFERROR(Q1211/(1/(1/INDEX(CONFIG!$I$5:$I$14,MATCH(D1211,CONFIG!$D$5:$D$14,0)))),""))</f>
        <v/>
      </c>
      <c r="T1211" s="13"/>
      <c r="U1211" s="13"/>
      <c r="V1211" s="13"/>
      <c r="W1211" s="13"/>
      <c r="X1211" s="22" t="str">
        <f aca="false">IF(Q1211="","",Q1211^2)</f>
        <v/>
      </c>
      <c r="Y1211" s="22" t="str">
        <f aca="false">IF(AND(C1211&lt;&gt;"",C1211=CERTIFICADO!$E$4,OR(CERTIFICADO!$E$5="",B1211=CERTIFICADO!$E$5)),MAX($Y$4:Y1210)+1,"")</f>
        <v/>
      </c>
    </row>
    <row r="1212" customFormat="false" ht="15" hidden="false" customHeight="false" outlineLevel="0" collapsed="false">
      <c r="A1212" s="11" t="str">
        <f aca="false">IF(C1212="","",ROW()-4)</f>
        <v/>
      </c>
      <c r="B1212" s="12"/>
      <c r="C1212" s="13"/>
      <c r="D1212" s="23" t="str">
        <f aca="false">IF(C1212="","",IFERROR(INDEX(LOTES!$D$5:$D$1004,MATCH(C1212,LOTES!$F$5:$F$1004,0)),"¿Lote?"))</f>
        <v/>
      </c>
      <c r="E1212" s="11" t="str">
        <f aca="false">IF(C1212="","",IFERROR(INDEX(LOTES!$C$5:$C$1004,MATCH(C1212,LOTES!$F$5:$F$1004,0)),""))</f>
        <v/>
      </c>
      <c r="F1212" s="24" t="str">
        <f aca="false">IF(C1212="","",IFERROR(INDEX(LOTES!$B$5:$B$1004,MATCH(C1212,LOTES!$F$5:$F$1004,0)),""))</f>
        <v/>
      </c>
      <c r="G1212" s="15" t="str">
        <f aca="false">IF(OR(B1212="",F1212=""),"",B1212-F1212)</f>
        <v/>
      </c>
      <c r="H1212" s="13"/>
      <c r="I1212" s="13"/>
      <c r="J1212" s="13"/>
      <c r="K1212" s="25"/>
      <c r="L1212" s="25"/>
      <c r="M1212" s="25"/>
      <c r="N1212" s="25"/>
      <c r="O1212" s="26"/>
      <c r="P1212" s="16" t="str">
        <f aca="false">IF(O1212="","",IFERROR(1/(1/(IF(K1212="",INDEX(CONFIG!$F$5:$F$14,MATCH(D1212,CONFIG!$D$5:$D$14,0)),K1212)*IF(M1212="",INDEX(CONFIG!$H$5:$H$14,MATCH(D1212,CONFIG!$D$5:$D$14,0)),M1212))),""))</f>
        <v/>
      </c>
      <c r="Q1212" s="16" t="str">
        <f aca="false">IF(OR(O1212="",P1212=""),"",O1212/P1212)</f>
        <v/>
      </c>
      <c r="R1212" s="16" t="str">
        <f aca="false">IF(Q1212="","",Q1212*0.0980665)</f>
        <v/>
      </c>
      <c r="S1212" s="16" t="str">
        <f aca="false">IF(Q1212="","",IFERROR(Q1212/(1/(1/INDEX(CONFIG!$I$5:$I$14,MATCH(D1212,CONFIG!$D$5:$D$14,0)))),""))</f>
        <v/>
      </c>
      <c r="T1212" s="13"/>
      <c r="U1212" s="13"/>
      <c r="V1212" s="13"/>
      <c r="W1212" s="13"/>
      <c r="X1212" s="22" t="str">
        <f aca="false">IF(Q1212="","",Q1212^2)</f>
        <v/>
      </c>
      <c r="Y1212" s="22" t="str">
        <f aca="false">IF(AND(C1212&lt;&gt;"",C1212=CERTIFICADO!$E$4,OR(CERTIFICADO!$E$5="",B1212=CERTIFICADO!$E$5)),MAX($Y$4:Y1211)+1,"")</f>
        <v/>
      </c>
    </row>
    <row r="1213" customFormat="false" ht="15" hidden="false" customHeight="false" outlineLevel="0" collapsed="false">
      <c r="A1213" s="11" t="str">
        <f aca="false">IF(C1213="","",ROW()-4)</f>
        <v/>
      </c>
      <c r="B1213" s="12"/>
      <c r="C1213" s="13"/>
      <c r="D1213" s="23" t="str">
        <f aca="false">IF(C1213="","",IFERROR(INDEX(LOTES!$D$5:$D$1004,MATCH(C1213,LOTES!$F$5:$F$1004,0)),"¿Lote?"))</f>
        <v/>
      </c>
      <c r="E1213" s="11" t="str">
        <f aca="false">IF(C1213="","",IFERROR(INDEX(LOTES!$C$5:$C$1004,MATCH(C1213,LOTES!$F$5:$F$1004,0)),""))</f>
        <v/>
      </c>
      <c r="F1213" s="24" t="str">
        <f aca="false">IF(C1213="","",IFERROR(INDEX(LOTES!$B$5:$B$1004,MATCH(C1213,LOTES!$F$5:$F$1004,0)),""))</f>
        <v/>
      </c>
      <c r="G1213" s="15" t="str">
        <f aca="false">IF(OR(B1213="",F1213=""),"",B1213-F1213)</f>
        <v/>
      </c>
      <c r="H1213" s="13"/>
      <c r="I1213" s="13"/>
      <c r="J1213" s="13"/>
      <c r="K1213" s="25"/>
      <c r="L1213" s="25"/>
      <c r="M1213" s="25"/>
      <c r="N1213" s="25"/>
      <c r="O1213" s="26"/>
      <c r="P1213" s="16" t="str">
        <f aca="false">IF(O1213="","",IFERROR(1/(1/(IF(K1213="",INDEX(CONFIG!$F$5:$F$14,MATCH(D1213,CONFIG!$D$5:$D$14,0)),K1213)*IF(M1213="",INDEX(CONFIG!$H$5:$H$14,MATCH(D1213,CONFIG!$D$5:$D$14,0)),M1213))),""))</f>
        <v/>
      </c>
      <c r="Q1213" s="16" t="str">
        <f aca="false">IF(OR(O1213="",P1213=""),"",O1213/P1213)</f>
        <v/>
      </c>
      <c r="R1213" s="16" t="str">
        <f aca="false">IF(Q1213="","",Q1213*0.0980665)</f>
        <v/>
      </c>
      <c r="S1213" s="16" t="str">
        <f aca="false">IF(Q1213="","",IFERROR(Q1213/(1/(1/INDEX(CONFIG!$I$5:$I$14,MATCH(D1213,CONFIG!$D$5:$D$14,0)))),""))</f>
        <v/>
      </c>
      <c r="T1213" s="13"/>
      <c r="U1213" s="13"/>
      <c r="V1213" s="13"/>
      <c r="W1213" s="13"/>
      <c r="X1213" s="22" t="str">
        <f aca="false">IF(Q1213="","",Q1213^2)</f>
        <v/>
      </c>
      <c r="Y1213" s="22" t="str">
        <f aca="false">IF(AND(C1213&lt;&gt;"",C1213=CERTIFICADO!$E$4,OR(CERTIFICADO!$E$5="",B1213=CERTIFICADO!$E$5)),MAX($Y$4:Y1212)+1,"")</f>
        <v/>
      </c>
    </row>
    <row r="1214" customFormat="false" ht="15" hidden="false" customHeight="false" outlineLevel="0" collapsed="false">
      <c r="A1214" s="11" t="str">
        <f aca="false">IF(C1214="","",ROW()-4)</f>
        <v/>
      </c>
      <c r="B1214" s="12"/>
      <c r="C1214" s="13"/>
      <c r="D1214" s="23" t="str">
        <f aca="false">IF(C1214="","",IFERROR(INDEX(LOTES!$D$5:$D$1004,MATCH(C1214,LOTES!$F$5:$F$1004,0)),"¿Lote?"))</f>
        <v/>
      </c>
      <c r="E1214" s="11" t="str">
        <f aca="false">IF(C1214="","",IFERROR(INDEX(LOTES!$C$5:$C$1004,MATCH(C1214,LOTES!$F$5:$F$1004,0)),""))</f>
        <v/>
      </c>
      <c r="F1214" s="24" t="str">
        <f aca="false">IF(C1214="","",IFERROR(INDEX(LOTES!$B$5:$B$1004,MATCH(C1214,LOTES!$F$5:$F$1004,0)),""))</f>
        <v/>
      </c>
      <c r="G1214" s="15" t="str">
        <f aca="false">IF(OR(B1214="",F1214=""),"",B1214-F1214)</f>
        <v/>
      </c>
      <c r="H1214" s="13"/>
      <c r="I1214" s="13"/>
      <c r="J1214" s="13"/>
      <c r="K1214" s="25"/>
      <c r="L1214" s="25"/>
      <c r="M1214" s="25"/>
      <c r="N1214" s="25"/>
      <c r="O1214" s="26"/>
      <c r="P1214" s="16" t="str">
        <f aca="false">IF(O1214="","",IFERROR(1/(1/(IF(K1214="",INDEX(CONFIG!$F$5:$F$14,MATCH(D1214,CONFIG!$D$5:$D$14,0)),K1214)*IF(M1214="",INDEX(CONFIG!$H$5:$H$14,MATCH(D1214,CONFIG!$D$5:$D$14,0)),M1214))),""))</f>
        <v/>
      </c>
      <c r="Q1214" s="16" t="str">
        <f aca="false">IF(OR(O1214="",P1214=""),"",O1214/P1214)</f>
        <v/>
      </c>
      <c r="R1214" s="16" t="str">
        <f aca="false">IF(Q1214="","",Q1214*0.0980665)</f>
        <v/>
      </c>
      <c r="S1214" s="16" t="str">
        <f aca="false">IF(Q1214="","",IFERROR(Q1214/(1/(1/INDEX(CONFIG!$I$5:$I$14,MATCH(D1214,CONFIG!$D$5:$D$14,0)))),""))</f>
        <v/>
      </c>
      <c r="T1214" s="13"/>
      <c r="U1214" s="13"/>
      <c r="V1214" s="13"/>
      <c r="W1214" s="13"/>
      <c r="X1214" s="22" t="str">
        <f aca="false">IF(Q1214="","",Q1214^2)</f>
        <v/>
      </c>
      <c r="Y1214" s="22" t="str">
        <f aca="false">IF(AND(C1214&lt;&gt;"",C1214=CERTIFICADO!$E$4,OR(CERTIFICADO!$E$5="",B1214=CERTIFICADO!$E$5)),MAX($Y$4:Y1213)+1,"")</f>
        <v/>
      </c>
    </row>
    <row r="1215" customFormat="false" ht="15" hidden="false" customHeight="false" outlineLevel="0" collapsed="false">
      <c r="A1215" s="11" t="str">
        <f aca="false">IF(C1215="","",ROW()-4)</f>
        <v/>
      </c>
      <c r="B1215" s="12"/>
      <c r="C1215" s="13"/>
      <c r="D1215" s="23" t="str">
        <f aca="false">IF(C1215="","",IFERROR(INDEX(LOTES!$D$5:$D$1004,MATCH(C1215,LOTES!$F$5:$F$1004,0)),"¿Lote?"))</f>
        <v/>
      </c>
      <c r="E1215" s="11" t="str">
        <f aca="false">IF(C1215="","",IFERROR(INDEX(LOTES!$C$5:$C$1004,MATCH(C1215,LOTES!$F$5:$F$1004,0)),""))</f>
        <v/>
      </c>
      <c r="F1215" s="24" t="str">
        <f aca="false">IF(C1215="","",IFERROR(INDEX(LOTES!$B$5:$B$1004,MATCH(C1215,LOTES!$F$5:$F$1004,0)),""))</f>
        <v/>
      </c>
      <c r="G1215" s="15" t="str">
        <f aca="false">IF(OR(B1215="",F1215=""),"",B1215-F1215)</f>
        <v/>
      </c>
      <c r="H1215" s="13"/>
      <c r="I1215" s="13"/>
      <c r="J1215" s="13"/>
      <c r="K1215" s="25"/>
      <c r="L1215" s="25"/>
      <c r="M1215" s="25"/>
      <c r="N1215" s="25"/>
      <c r="O1215" s="26"/>
      <c r="P1215" s="16" t="str">
        <f aca="false">IF(O1215="","",IFERROR(1/(1/(IF(K1215="",INDEX(CONFIG!$F$5:$F$14,MATCH(D1215,CONFIG!$D$5:$D$14,0)),K1215)*IF(M1215="",INDEX(CONFIG!$H$5:$H$14,MATCH(D1215,CONFIG!$D$5:$D$14,0)),M1215))),""))</f>
        <v/>
      </c>
      <c r="Q1215" s="16" t="str">
        <f aca="false">IF(OR(O1215="",P1215=""),"",O1215/P1215)</f>
        <v/>
      </c>
      <c r="R1215" s="16" t="str">
        <f aca="false">IF(Q1215="","",Q1215*0.0980665)</f>
        <v/>
      </c>
      <c r="S1215" s="16" t="str">
        <f aca="false">IF(Q1215="","",IFERROR(Q1215/(1/(1/INDEX(CONFIG!$I$5:$I$14,MATCH(D1215,CONFIG!$D$5:$D$14,0)))),""))</f>
        <v/>
      </c>
      <c r="T1215" s="13"/>
      <c r="U1215" s="13"/>
      <c r="V1215" s="13"/>
      <c r="W1215" s="13"/>
      <c r="X1215" s="22" t="str">
        <f aca="false">IF(Q1215="","",Q1215^2)</f>
        <v/>
      </c>
      <c r="Y1215" s="22" t="str">
        <f aca="false">IF(AND(C1215&lt;&gt;"",C1215=CERTIFICADO!$E$4,OR(CERTIFICADO!$E$5="",B1215=CERTIFICADO!$E$5)),MAX($Y$4:Y1214)+1,"")</f>
        <v/>
      </c>
    </row>
    <row r="1216" customFormat="false" ht="15" hidden="false" customHeight="false" outlineLevel="0" collapsed="false">
      <c r="A1216" s="11" t="str">
        <f aca="false">IF(C1216="","",ROW()-4)</f>
        <v/>
      </c>
      <c r="B1216" s="12"/>
      <c r="C1216" s="13"/>
      <c r="D1216" s="23" t="str">
        <f aca="false">IF(C1216="","",IFERROR(INDEX(LOTES!$D$5:$D$1004,MATCH(C1216,LOTES!$F$5:$F$1004,0)),"¿Lote?"))</f>
        <v/>
      </c>
      <c r="E1216" s="11" t="str">
        <f aca="false">IF(C1216="","",IFERROR(INDEX(LOTES!$C$5:$C$1004,MATCH(C1216,LOTES!$F$5:$F$1004,0)),""))</f>
        <v/>
      </c>
      <c r="F1216" s="24" t="str">
        <f aca="false">IF(C1216="","",IFERROR(INDEX(LOTES!$B$5:$B$1004,MATCH(C1216,LOTES!$F$5:$F$1004,0)),""))</f>
        <v/>
      </c>
      <c r="G1216" s="15" t="str">
        <f aca="false">IF(OR(B1216="",F1216=""),"",B1216-F1216)</f>
        <v/>
      </c>
      <c r="H1216" s="13"/>
      <c r="I1216" s="13"/>
      <c r="J1216" s="13"/>
      <c r="K1216" s="25"/>
      <c r="L1216" s="25"/>
      <c r="M1216" s="25"/>
      <c r="N1216" s="25"/>
      <c r="O1216" s="26"/>
      <c r="P1216" s="16" t="str">
        <f aca="false">IF(O1216="","",IFERROR(1/(1/(IF(K1216="",INDEX(CONFIG!$F$5:$F$14,MATCH(D1216,CONFIG!$D$5:$D$14,0)),K1216)*IF(M1216="",INDEX(CONFIG!$H$5:$H$14,MATCH(D1216,CONFIG!$D$5:$D$14,0)),M1216))),""))</f>
        <v/>
      </c>
      <c r="Q1216" s="16" t="str">
        <f aca="false">IF(OR(O1216="",P1216=""),"",O1216/P1216)</f>
        <v/>
      </c>
      <c r="R1216" s="16" t="str">
        <f aca="false">IF(Q1216="","",Q1216*0.0980665)</f>
        <v/>
      </c>
      <c r="S1216" s="16" t="str">
        <f aca="false">IF(Q1216="","",IFERROR(Q1216/(1/(1/INDEX(CONFIG!$I$5:$I$14,MATCH(D1216,CONFIG!$D$5:$D$14,0)))),""))</f>
        <v/>
      </c>
      <c r="T1216" s="13"/>
      <c r="U1216" s="13"/>
      <c r="V1216" s="13"/>
      <c r="W1216" s="13"/>
      <c r="X1216" s="22" t="str">
        <f aca="false">IF(Q1216="","",Q1216^2)</f>
        <v/>
      </c>
      <c r="Y1216" s="22" t="str">
        <f aca="false">IF(AND(C1216&lt;&gt;"",C1216=CERTIFICADO!$E$4,OR(CERTIFICADO!$E$5="",B1216=CERTIFICADO!$E$5)),MAX($Y$4:Y1215)+1,"")</f>
        <v/>
      </c>
    </row>
    <row r="1217" customFormat="false" ht="15" hidden="false" customHeight="false" outlineLevel="0" collapsed="false">
      <c r="A1217" s="11" t="str">
        <f aca="false">IF(C1217="","",ROW()-4)</f>
        <v/>
      </c>
      <c r="B1217" s="12"/>
      <c r="C1217" s="13"/>
      <c r="D1217" s="23" t="str">
        <f aca="false">IF(C1217="","",IFERROR(INDEX(LOTES!$D$5:$D$1004,MATCH(C1217,LOTES!$F$5:$F$1004,0)),"¿Lote?"))</f>
        <v/>
      </c>
      <c r="E1217" s="11" t="str">
        <f aca="false">IF(C1217="","",IFERROR(INDEX(LOTES!$C$5:$C$1004,MATCH(C1217,LOTES!$F$5:$F$1004,0)),""))</f>
        <v/>
      </c>
      <c r="F1217" s="24" t="str">
        <f aca="false">IF(C1217="","",IFERROR(INDEX(LOTES!$B$5:$B$1004,MATCH(C1217,LOTES!$F$5:$F$1004,0)),""))</f>
        <v/>
      </c>
      <c r="G1217" s="15" t="str">
        <f aca="false">IF(OR(B1217="",F1217=""),"",B1217-F1217)</f>
        <v/>
      </c>
      <c r="H1217" s="13"/>
      <c r="I1217" s="13"/>
      <c r="J1217" s="13"/>
      <c r="K1217" s="25"/>
      <c r="L1217" s="25"/>
      <c r="M1217" s="25"/>
      <c r="N1217" s="25"/>
      <c r="O1217" s="26"/>
      <c r="P1217" s="16" t="str">
        <f aca="false">IF(O1217="","",IFERROR(1/(1/(IF(K1217="",INDEX(CONFIG!$F$5:$F$14,MATCH(D1217,CONFIG!$D$5:$D$14,0)),K1217)*IF(M1217="",INDEX(CONFIG!$H$5:$H$14,MATCH(D1217,CONFIG!$D$5:$D$14,0)),M1217))),""))</f>
        <v/>
      </c>
      <c r="Q1217" s="16" t="str">
        <f aca="false">IF(OR(O1217="",P1217=""),"",O1217/P1217)</f>
        <v/>
      </c>
      <c r="R1217" s="16" t="str">
        <f aca="false">IF(Q1217="","",Q1217*0.0980665)</f>
        <v/>
      </c>
      <c r="S1217" s="16" t="str">
        <f aca="false">IF(Q1217="","",IFERROR(Q1217/(1/(1/INDEX(CONFIG!$I$5:$I$14,MATCH(D1217,CONFIG!$D$5:$D$14,0)))),""))</f>
        <v/>
      </c>
      <c r="T1217" s="13"/>
      <c r="U1217" s="13"/>
      <c r="V1217" s="13"/>
      <c r="W1217" s="13"/>
      <c r="X1217" s="22" t="str">
        <f aca="false">IF(Q1217="","",Q1217^2)</f>
        <v/>
      </c>
      <c r="Y1217" s="22" t="str">
        <f aca="false">IF(AND(C1217&lt;&gt;"",C1217=CERTIFICADO!$E$4,OR(CERTIFICADO!$E$5="",B1217=CERTIFICADO!$E$5)),MAX($Y$4:Y1216)+1,"")</f>
        <v/>
      </c>
    </row>
    <row r="1218" customFormat="false" ht="15" hidden="false" customHeight="false" outlineLevel="0" collapsed="false">
      <c r="A1218" s="11" t="str">
        <f aca="false">IF(C1218="","",ROW()-4)</f>
        <v/>
      </c>
      <c r="B1218" s="12"/>
      <c r="C1218" s="13"/>
      <c r="D1218" s="23" t="str">
        <f aca="false">IF(C1218="","",IFERROR(INDEX(LOTES!$D$5:$D$1004,MATCH(C1218,LOTES!$F$5:$F$1004,0)),"¿Lote?"))</f>
        <v/>
      </c>
      <c r="E1218" s="11" t="str">
        <f aca="false">IF(C1218="","",IFERROR(INDEX(LOTES!$C$5:$C$1004,MATCH(C1218,LOTES!$F$5:$F$1004,0)),""))</f>
        <v/>
      </c>
      <c r="F1218" s="24" t="str">
        <f aca="false">IF(C1218="","",IFERROR(INDEX(LOTES!$B$5:$B$1004,MATCH(C1218,LOTES!$F$5:$F$1004,0)),""))</f>
        <v/>
      </c>
      <c r="G1218" s="15" t="str">
        <f aca="false">IF(OR(B1218="",F1218=""),"",B1218-F1218)</f>
        <v/>
      </c>
      <c r="H1218" s="13"/>
      <c r="I1218" s="13"/>
      <c r="J1218" s="13"/>
      <c r="K1218" s="25"/>
      <c r="L1218" s="25"/>
      <c r="M1218" s="25"/>
      <c r="N1218" s="25"/>
      <c r="O1218" s="26"/>
      <c r="P1218" s="16" t="str">
        <f aca="false">IF(O1218="","",IFERROR(1/(1/(IF(K1218="",INDEX(CONFIG!$F$5:$F$14,MATCH(D1218,CONFIG!$D$5:$D$14,0)),K1218)*IF(M1218="",INDEX(CONFIG!$H$5:$H$14,MATCH(D1218,CONFIG!$D$5:$D$14,0)),M1218))),""))</f>
        <v/>
      </c>
      <c r="Q1218" s="16" t="str">
        <f aca="false">IF(OR(O1218="",P1218=""),"",O1218/P1218)</f>
        <v/>
      </c>
      <c r="R1218" s="16" t="str">
        <f aca="false">IF(Q1218="","",Q1218*0.0980665)</f>
        <v/>
      </c>
      <c r="S1218" s="16" t="str">
        <f aca="false">IF(Q1218="","",IFERROR(Q1218/(1/(1/INDEX(CONFIG!$I$5:$I$14,MATCH(D1218,CONFIG!$D$5:$D$14,0)))),""))</f>
        <v/>
      </c>
      <c r="T1218" s="13"/>
      <c r="U1218" s="13"/>
      <c r="V1218" s="13"/>
      <c r="W1218" s="13"/>
      <c r="X1218" s="22" t="str">
        <f aca="false">IF(Q1218="","",Q1218^2)</f>
        <v/>
      </c>
      <c r="Y1218" s="22" t="str">
        <f aca="false">IF(AND(C1218&lt;&gt;"",C1218=CERTIFICADO!$E$4,OR(CERTIFICADO!$E$5="",B1218=CERTIFICADO!$E$5)),MAX($Y$4:Y1217)+1,"")</f>
        <v/>
      </c>
    </row>
    <row r="1219" customFormat="false" ht="15" hidden="false" customHeight="false" outlineLevel="0" collapsed="false">
      <c r="A1219" s="11" t="str">
        <f aca="false">IF(C1219="","",ROW()-4)</f>
        <v/>
      </c>
      <c r="B1219" s="12"/>
      <c r="C1219" s="13"/>
      <c r="D1219" s="23" t="str">
        <f aca="false">IF(C1219="","",IFERROR(INDEX(LOTES!$D$5:$D$1004,MATCH(C1219,LOTES!$F$5:$F$1004,0)),"¿Lote?"))</f>
        <v/>
      </c>
      <c r="E1219" s="11" t="str">
        <f aca="false">IF(C1219="","",IFERROR(INDEX(LOTES!$C$5:$C$1004,MATCH(C1219,LOTES!$F$5:$F$1004,0)),""))</f>
        <v/>
      </c>
      <c r="F1219" s="24" t="str">
        <f aca="false">IF(C1219="","",IFERROR(INDEX(LOTES!$B$5:$B$1004,MATCH(C1219,LOTES!$F$5:$F$1004,0)),""))</f>
        <v/>
      </c>
      <c r="G1219" s="15" t="str">
        <f aca="false">IF(OR(B1219="",F1219=""),"",B1219-F1219)</f>
        <v/>
      </c>
      <c r="H1219" s="13"/>
      <c r="I1219" s="13"/>
      <c r="J1219" s="13"/>
      <c r="K1219" s="25"/>
      <c r="L1219" s="25"/>
      <c r="M1219" s="25"/>
      <c r="N1219" s="25"/>
      <c r="O1219" s="26"/>
      <c r="P1219" s="16" t="str">
        <f aca="false">IF(O1219="","",IFERROR(1/(1/(IF(K1219="",INDEX(CONFIG!$F$5:$F$14,MATCH(D1219,CONFIG!$D$5:$D$14,0)),K1219)*IF(M1219="",INDEX(CONFIG!$H$5:$H$14,MATCH(D1219,CONFIG!$D$5:$D$14,0)),M1219))),""))</f>
        <v/>
      </c>
      <c r="Q1219" s="16" t="str">
        <f aca="false">IF(OR(O1219="",P1219=""),"",O1219/P1219)</f>
        <v/>
      </c>
      <c r="R1219" s="16" t="str">
        <f aca="false">IF(Q1219="","",Q1219*0.0980665)</f>
        <v/>
      </c>
      <c r="S1219" s="16" t="str">
        <f aca="false">IF(Q1219="","",IFERROR(Q1219/(1/(1/INDEX(CONFIG!$I$5:$I$14,MATCH(D1219,CONFIG!$D$5:$D$14,0)))),""))</f>
        <v/>
      </c>
      <c r="T1219" s="13"/>
      <c r="U1219" s="13"/>
      <c r="V1219" s="13"/>
      <c r="W1219" s="13"/>
      <c r="X1219" s="22" t="str">
        <f aca="false">IF(Q1219="","",Q1219^2)</f>
        <v/>
      </c>
      <c r="Y1219" s="22" t="str">
        <f aca="false">IF(AND(C1219&lt;&gt;"",C1219=CERTIFICADO!$E$4,OR(CERTIFICADO!$E$5="",B1219=CERTIFICADO!$E$5)),MAX($Y$4:Y1218)+1,"")</f>
        <v/>
      </c>
    </row>
    <row r="1220" customFormat="false" ht="15" hidden="false" customHeight="false" outlineLevel="0" collapsed="false">
      <c r="A1220" s="11" t="str">
        <f aca="false">IF(C1220="","",ROW()-4)</f>
        <v/>
      </c>
      <c r="B1220" s="12"/>
      <c r="C1220" s="13"/>
      <c r="D1220" s="23" t="str">
        <f aca="false">IF(C1220="","",IFERROR(INDEX(LOTES!$D$5:$D$1004,MATCH(C1220,LOTES!$F$5:$F$1004,0)),"¿Lote?"))</f>
        <v/>
      </c>
      <c r="E1220" s="11" t="str">
        <f aca="false">IF(C1220="","",IFERROR(INDEX(LOTES!$C$5:$C$1004,MATCH(C1220,LOTES!$F$5:$F$1004,0)),""))</f>
        <v/>
      </c>
      <c r="F1220" s="24" t="str">
        <f aca="false">IF(C1220="","",IFERROR(INDEX(LOTES!$B$5:$B$1004,MATCH(C1220,LOTES!$F$5:$F$1004,0)),""))</f>
        <v/>
      </c>
      <c r="G1220" s="15" t="str">
        <f aca="false">IF(OR(B1220="",F1220=""),"",B1220-F1220)</f>
        <v/>
      </c>
      <c r="H1220" s="13"/>
      <c r="I1220" s="13"/>
      <c r="J1220" s="13"/>
      <c r="K1220" s="25"/>
      <c r="L1220" s="25"/>
      <c r="M1220" s="25"/>
      <c r="N1220" s="25"/>
      <c r="O1220" s="26"/>
      <c r="P1220" s="16" t="str">
        <f aca="false">IF(O1220="","",IFERROR(1/(1/(IF(K1220="",INDEX(CONFIG!$F$5:$F$14,MATCH(D1220,CONFIG!$D$5:$D$14,0)),K1220)*IF(M1220="",INDEX(CONFIG!$H$5:$H$14,MATCH(D1220,CONFIG!$D$5:$D$14,0)),M1220))),""))</f>
        <v/>
      </c>
      <c r="Q1220" s="16" t="str">
        <f aca="false">IF(OR(O1220="",P1220=""),"",O1220/P1220)</f>
        <v/>
      </c>
      <c r="R1220" s="16" t="str">
        <f aca="false">IF(Q1220="","",Q1220*0.0980665)</f>
        <v/>
      </c>
      <c r="S1220" s="16" t="str">
        <f aca="false">IF(Q1220="","",IFERROR(Q1220/(1/(1/INDEX(CONFIG!$I$5:$I$14,MATCH(D1220,CONFIG!$D$5:$D$14,0)))),""))</f>
        <v/>
      </c>
      <c r="T1220" s="13"/>
      <c r="U1220" s="13"/>
      <c r="V1220" s="13"/>
      <c r="W1220" s="13"/>
      <c r="X1220" s="22" t="str">
        <f aca="false">IF(Q1220="","",Q1220^2)</f>
        <v/>
      </c>
      <c r="Y1220" s="22" t="str">
        <f aca="false">IF(AND(C1220&lt;&gt;"",C1220=CERTIFICADO!$E$4,OR(CERTIFICADO!$E$5="",B1220=CERTIFICADO!$E$5)),MAX($Y$4:Y1219)+1,"")</f>
        <v/>
      </c>
    </row>
    <row r="1221" customFormat="false" ht="15" hidden="false" customHeight="false" outlineLevel="0" collapsed="false">
      <c r="A1221" s="11" t="str">
        <f aca="false">IF(C1221="","",ROW()-4)</f>
        <v/>
      </c>
      <c r="B1221" s="12"/>
      <c r="C1221" s="13"/>
      <c r="D1221" s="23" t="str">
        <f aca="false">IF(C1221="","",IFERROR(INDEX(LOTES!$D$5:$D$1004,MATCH(C1221,LOTES!$F$5:$F$1004,0)),"¿Lote?"))</f>
        <v/>
      </c>
      <c r="E1221" s="11" t="str">
        <f aca="false">IF(C1221="","",IFERROR(INDEX(LOTES!$C$5:$C$1004,MATCH(C1221,LOTES!$F$5:$F$1004,0)),""))</f>
        <v/>
      </c>
      <c r="F1221" s="24" t="str">
        <f aca="false">IF(C1221="","",IFERROR(INDEX(LOTES!$B$5:$B$1004,MATCH(C1221,LOTES!$F$5:$F$1004,0)),""))</f>
        <v/>
      </c>
      <c r="G1221" s="15" t="str">
        <f aca="false">IF(OR(B1221="",F1221=""),"",B1221-F1221)</f>
        <v/>
      </c>
      <c r="H1221" s="13"/>
      <c r="I1221" s="13"/>
      <c r="J1221" s="13"/>
      <c r="K1221" s="25"/>
      <c r="L1221" s="25"/>
      <c r="M1221" s="25"/>
      <c r="N1221" s="25"/>
      <c r="O1221" s="26"/>
      <c r="P1221" s="16" t="str">
        <f aca="false">IF(O1221="","",IFERROR(1/(1/(IF(K1221="",INDEX(CONFIG!$F$5:$F$14,MATCH(D1221,CONFIG!$D$5:$D$14,0)),K1221)*IF(M1221="",INDEX(CONFIG!$H$5:$H$14,MATCH(D1221,CONFIG!$D$5:$D$14,0)),M1221))),""))</f>
        <v/>
      </c>
      <c r="Q1221" s="16" t="str">
        <f aca="false">IF(OR(O1221="",P1221=""),"",O1221/P1221)</f>
        <v/>
      </c>
      <c r="R1221" s="16" t="str">
        <f aca="false">IF(Q1221="","",Q1221*0.0980665)</f>
        <v/>
      </c>
      <c r="S1221" s="16" t="str">
        <f aca="false">IF(Q1221="","",IFERROR(Q1221/(1/(1/INDEX(CONFIG!$I$5:$I$14,MATCH(D1221,CONFIG!$D$5:$D$14,0)))),""))</f>
        <v/>
      </c>
      <c r="T1221" s="13"/>
      <c r="U1221" s="13"/>
      <c r="V1221" s="13"/>
      <c r="W1221" s="13"/>
      <c r="X1221" s="22" t="str">
        <f aca="false">IF(Q1221="","",Q1221^2)</f>
        <v/>
      </c>
      <c r="Y1221" s="22" t="str">
        <f aca="false">IF(AND(C1221&lt;&gt;"",C1221=CERTIFICADO!$E$4,OR(CERTIFICADO!$E$5="",B1221=CERTIFICADO!$E$5)),MAX($Y$4:Y1220)+1,"")</f>
        <v/>
      </c>
    </row>
    <row r="1222" customFormat="false" ht="15" hidden="false" customHeight="false" outlineLevel="0" collapsed="false">
      <c r="A1222" s="11" t="str">
        <f aca="false">IF(C1222="","",ROW()-4)</f>
        <v/>
      </c>
      <c r="B1222" s="12"/>
      <c r="C1222" s="13"/>
      <c r="D1222" s="23" t="str">
        <f aca="false">IF(C1222="","",IFERROR(INDEX(LOTES!$D$5:$D$1004,MATCH(C1222,LOTES!$F$5:$F$1004,0)),"¿Lote?"))</f>
        <v/>
      </c>
      <c r="E1222" s="11" t="str">
        <f aca="false">IF(C1222="","",IFERROR(INDEX(LOTES!$C$5:$C$1004,MATCH(C1222,LOTES!$F$5:$F$1004,0)),""))</f>
        <v/>
      </c>
      <c r="F1222" s="24" t="str">
        <f aca="false">IF(C1222="","",IFERROR(INDEX(LOTES!$B$5:$B$1004,MATCH(C1222,LOTES!$F$5:$F$1004,0)),""))</f>
        <v/>
      </c>
      <c r="G1222" s="15" t="str">
        <f aca="false">IF(OR(B1222="",F1222=""),"",B1222-F1222)</f>
        <v/>
      </c>
      <c r="H1222" s="13"/>
      <c r="I1222" s="13"/>
      <c r="J1222" s="13"/>
      <c r="K1222" s="25"/>
      <c r="L1222" s="25"/>
      <c r="M1222" s="25"/>
      <c r="N1222" s="25"/>
      <c r="O1222" s="26"/>
      <c r="P1222" s="16" t="str">
        <f aca="false">IF(O1222="","",IFERROR(1/(1/(IF(K1222="",INDEX(CONFIG!$F$5:$F$14,MATCH(D1222,CONFIG!$D$5:$D$14,0)),K1222)*IF(M1222="",INDEX(CONFIG!$H$5:$H$14,MATCH(D1222,CONFIG!$D$5:$D$14,0)),M1222))),""))</f>
        <v/>
      </c>
      <c r="Q1222" s="16" t="str">
        <f aca="false">IF(OR(O1222="",P1222=""),"",O1222/P1222)</f>
        <v/>
      </c>
      <c r="R1222" s="16" t="str">
        <f aca="false">IF(Q1222="","",Q1222*0.0980665)</f>
        <v/>
      </c>
      <c r="S1222" s="16" t="str">
        <f aca="false">IF(Q1222="","",IFERROR(Q1222/(1/(1/INDEX(CONFIG!$I$5:$I$14,MATCH(D1222,CONFIG!$D$5:$D$14,0)))),""))</f>
        <v/>
      </c>
      <c r="T1222" s="13"/>
      <c r="U1222" s="13"/>
      <c r="V1222" s="13"/>
      <c r="W1222" s="13"/>
      <c r="X1222" s="22" t="str">
        <f aca="false">IF(Q1222="","",Q1222^2)</f>
        <v/>
      </c>
      <c r="Y1222" s="22" t="str">
        <f aca="false">IF(AND(C1222&lt;&gt;"",C1222=CERTIFICADO!$E$4,OR(CERTIFICADO!$E$5="",B1222=CERTIFICADO!$E$5)),MAX($Y$4:Y1221)+1,"")</f>
        <v/>
      </c>
    </row>
    <row r="1223" customFormat="false" ht="15" hidden="false" customHeight="false" outlineLevel="0" collapsed="false">
      <c r="A1223" s="11" t="str">
        <f aca="false">IF(C1223="","",ROW()-4)</f>
        <v/>
      </c>
      <c r="B1223" s="12"/>
      <c r="C1223" s="13"/>
      <c r="D1223" s="23" t="str">
        <f aca="false">IF(C1223="","",IFERROR(INDEX(LOTES!$D$5:$D$1004,MATCH(C1223,LOTES!$F$5:$F$1004,0)),"¿Lote?"))</f>
        <v/>
      </c>
      <c r="E1223" s="11" t="str">
        <f aca="false">IF(C1223="","",IFERROR(INDEX(LOTES!$C$5:$C$1004,MATCH(C1223,LOTES!$F$5:$F$1004,0)),""))</f>
        <v/>
      </c>
      <c r="F1223" s="24" t="str">
        <f aca="false">IF(C1223="","",IFERROR(INDEX(LOTES!$B$5:$B$1004,MATCH(C1223,LOTES!$F$5:$F$1004,0)),""))</f>
        <v/>
      </c>
      <c r="G1223" s="15" t="str">
        <f aca="false">IF(OR(B1223="",F1223=""),"",B1223-F1223)</f>
        <v/>
      </c>
      <c r="H1223" s="13"/>
      <c r="I1223" s="13"/>
      <c r="J1223" s="13"/>
      <c r="K1223" s="25"/>
      <c r="L1223" s="25"/>
      <c r="M1223" s="25"/>
      <c r="N1223" s="25"/>
      <c r="O1223" s="26"/>
      <c r="P1223" s="16" t="str">
        <f aca="false">IF(O1223="","",IFERROR(1/(1/(IF(K1223="",INDEX(CONFIG!$F$5:$F$14,MATCH(D1223,CONFIG!$D$5:$D$14,0)),K1223)*IF(M1223="",INDEX(CONFIG!$H$5:$H$14,MATCH(D1223,CONFIG!$D$5:$D$14,0)),M1223))),""))</f>
        <v/>
      </c>
      <c r="Q1223" s="16" t="str">
        <f aca="false">IF(OR(O1223="",P1223=""),"",O1223/P1223)</f>
        <v/>
      </c>
      <c r="R1223" s="16" t="str">
        <f aca="false">IF(Q1223="","",Q1223*0.0980665)</f>
        <v/>
      </c>
      <c r="S1223" s="16" t="str">
        <f aca="false">IF(Q1223="","",IFERROR(Q1223/(1/(1/INDEX(CONFIG!$I$5:$I$14,MATCH(D1223,CONFIG!$D$5:$D$14,0)))),""))</f>
        <v/>
      </c>
      <c r="T1223" s="13"/>
      <c r="U1223" s="13"/>
      <c r="V1223" s="13"/>
      <c r="W1223" s="13"/>
      <c r="X1223" s="22" t="str">
        <f aca="false">IF(Q1223="","",Q1223^2)</f>
        <v/>
      </c>
      <c r="Y1223" s="22" t="str">
        <f aca="false">IF(AND(C1223&lt;&gt;"",C1223=CERTIFICADO!$E$4,OR(CERTIFICADO!$E$5="",B1223=CERTIFICADO!$E$5)),MAX($Y$4:Y1222)+1,"")</f>
        <v/>
      </c>
    </row>
    <row r="1224" customFormat="false" ht="15" hidden="false" customHeight="false" outlineLevel="0" collapsed="false">
      <c r="A1224" s="11" t="str">
        <f aca="false">IF(C1224="","",ROW()-4)</f>
        <v/>
      </c>
      <c r="B1224" s="12"/>
      <c r="C1224" s="13"/>
      <c r="D1224" s="23" t="str">
        <f aca="false">IF(C1224="","",IFERROR(INDEX(LOTES!$D$5:$D$1004,MATCH(C1224,LOTES!$F$5:$F$1004,0)),"¿Lote?"))</f>
        <v/>
      </c>
      <c r="E1224" s="11" t="str">
        <f aca="false">IF(C1224="","",IFERROR(INDEX(LOTES!$C$5:$C$1004,MATCH(C1224,LOTES!$F$5:$F$1004,0)),""))</f>
        <v/>
      </c>
      <c r="F1224" s="24" t="str">
        <f aca="false">IF(C1224="","",IFERROR(INDEX(LOTES!$B$5:$B$1004,MATCH(C1224,LOTES!$F$5:$F$1004,0)),""))</f>
        <v/>
      </c>
      <c r="G1224" s="15" t="str">
        <f aca="false">IF(OR(B1224="",F1224=""),"",B1224-F1224)</f>
        <v/>
      </c>
      <c r="H1224" s="13"/>
      <c r="I1224" s="13"/>
      <c r="J1224" s="13"/>
      <c r="K1224" s="25"/>
      <c r="L1224" s="25"/>
      <c r="M1224" s="25"/>
      <c r="N1224" s="25"/>
      <c r="O1224" s="26"/>
      <c r="P1224" s="16" t="str">
        <f aca="false">IF(O1224="","",IFERROR(1/(1/(IF(K1224="",INDEX(CONFIG!$F$5:$F$14,MATCH(D1224,CONFIG!$D$5:$D$14,0)),K1224)*IF(M1224="",INDEX(CONFIG!$H$5:$H$14,MATCH(D1224,CONFIG!$D$5:$D$14,0)),M1224))),""))</f>
        <v/>
      </c>
      <c r="Q1224" s="16" t="str">
        <f aca="false">IF(OR(O1224="",P1224=""),"",O1224/P1224)</f>
        <v/>
      </c>
      <c r="R1224" s="16" t="str">
        <f aca="false">IF(Q1224="","",Q1224*0.0980665)</f>
        <v/>
      </c>
      <c r="S1224" s="16" t="str">
        <f aca="false">IF(Q1224="","",IFERROR(Q1224/(1/(1/INDEX(CONFIG!$I$5:$I$14,MATCH(D1224,CONFIG!$D$5:$D$14,0)))),""))</f>
        <v/>
      </c>
      <c r="T1224" s="13"/>
      <c r="U1224" s="13"/>
      <c r="V1224" s="13"/>
      <c r="W1224" s="13"/>
      <c r="X1224" s="22" t="str">
        <f aca="false">IF(Q1224="","",Q1224^2)</f>
        <v/>
      </c>
      <c r="Y1224" s="22" t="str">
        <f aca="false">IF(AND(C1224&lt;&gt;"",C1224=CERTIFICADO!$E$4,OR(CERTIFICADO!$E$5="",B1224=CERTIFICADO!$E$5)),MAX($Y$4:Y1223)+1,"")</f>
        <v/>
      </c>
    </row>
    <row r="1225" customFormat="false" ht="15" hidden="false" customHeight="false" outlineLevel="0" collapsed="false">
      <c r="A1225" s="11" t="str">
        <f aca="false">IF(C1225="","",ROW()-4)</f>
        <v/>
      </c>
      <c r="B1225" s="12"/>
      <c r="C1225" s="13"/>
      <c r="D1225" s="23" t="str">
        <f aca="false">IF(C1225="","",IFERROR(INDEX(LOTES!$D$5:$D$1004,MATCH(C1225,LOTES!$F$5:$F$1004,0)),"¿Lote?"))</f>
        <v/>
      </c>
      <c r="E1225" s="11" t="str">
        <f aca="false">IF(C1225="","",IFERROR(INDEX(LOTES!$C$5:$C$1004,MATCH(C1225,LOTES!$F$5:$F$1004,0)),""))</f>
        <v/>
      </c>
      <c r="F1225" s="24" t="str">
        <f aca="false">IF(C1225="","",IFERROR(INDEX(LOTES!$B$5:$B$1004,MATCH(C1225,LOTES!$F$5:$F$1004,0)),""))</f>
        <v/>
      </c>
      <c r="G1225" s="15" t="str">
        <f aca="false">IF(OR(B1225="",F1225=""),"",B1225-F1225)</f>
        <v/>
      </c>
      <c r="H1225" s="13"/>
      <c r="I1225" s="13"/>
      <c r="J1225" s="13"/>
      <c r="K1225" s="25"/>
      <c r="L1225" s="25"/>
      <c r="M1225" s="25"/>
      <c r="N1225" s="25"/>
      <c r="O1225" s="26"/>
      <c r="P1225" s="16" t="str">
        <f aca="false">IF(O1225="","",IFERROR(1/(1/(IF(K1225="",INDEX(CONFIG!$F$5:$F$14,MATCH(D1225,CONFIG!$D$5:$D$14,0)),K1225)*IF(M1225="",INDEX(CONFIG!$H$5:$H$14,MATCH(D1225,CONFIG!$D$5:$D$14,0)),M1225))),""))</f>
        <v/>
      </c>
      <c r="Q1225" s="16" t="str">
        <f aca="false">IF(OR(O1225="",P1225=""),"",O1225/P1225)</f>
        <v/>
      </c>
      <c r="R1225" s="16" t="str">
        <f aca="false">IF(Q1225="","",Q1225*0.0980665)</f>
        <v/>
      </c>
      <c r="S1225" s="16" t="str">
        <f aca="false">IF(Q1225="","",IFERROR(Q1225/(1/(1/INDEX(CONFIG!$I$5:$I$14,MATCH(D1225,CONFIG!$D$5:$D$14,0)))),""))</f>
        <v/>
      </c>
      <c r="T1225" s="13"/>
      <c r="U1225" s="13"/>
      <c r="V1225" s="13"/>
      <c r="W1225" s="13"/>
      <c r="X1225" s="22" t="str">
        <f aca="false">IF(Q1225="","",Q1225^2)</f>
        <v/>
      </c>
      <c r="Y1225" s="22" t="str">
        <f aca="false">IF(AND(C1225&lt;&gt;"",C1225=CERTIFICADO!$E$4,OR(CERTIFICADO!$E$5="",B1225=CERTIFICADO!$E$5)),MAX($Y$4:Y1224)+1,"")</f>
        <v/>
      </c>
    </row>
    <row r="1226" customFormat="false" ht="15" hidden="false" customHeight="false" outlineLevel="0" collapsed="false">
      <c r="A1226" s="11" t="str">
        <f aca="false">IF(C1226="","",ROW()-4)</f>
        <v/>
      </c>
      <c r="B1226" s="12"/>
      <c r="C1226" s="13"/>
      <c r="D1226" s="23" t="str">
        <f aca="false">IF(C1226="","",IFERROR(INDEX(LOTES!$D$5:$D$1004,MATCH(C1226,LOTES!$F$5:$F$1004,0)),"¿Lote?"))</f>
        <v/>
      </c>
      <c r="E1226" s="11" t="str">
        <f aca="false">IF(C1226="","",IFERROR(INDEX(LOTES!$C$5:$C$1004,MATCH(C1226,LOTES!$F$5:$F$1004,0)),""))</f>
        <v/>
      </c>
      <c r="F1226" s="24" t="str">
        <f aca="false">IF(C1226="","",IFERROR(INDEX(LOTES!$B$5:$B$1004,MATCH(C1226,LOTES!$F$5:$F$1004,0)),""))</f>
        <v/>
      </c>
      <c r="G1226" s="15" t="str">
        <f aca="false">IF(OR(B1226="",F1226=""),"",B1226-F1226)</f>
        <v/>
      </c>
      <c r="H1226" s="13"/>
      <c r="I1226" s="13"/>
      <c r="J1226" s="13"/>
      <c r="K1226" s="25"/>
      <c r="L1226" s="25"/>
      <c r="M1226" s="25"/>
      <c r="N1226" s="25"/>
      <c r="O1226" s="26"/>
      <c r="P1226" s="16" t="str">
        <f aca="false">IF(O1226="","",IFERROR(1/(1/(IF(K1226="",INDEX(CONFIG!$F$5:$F$14,MATCH(D1226,CONFIG!$D$5:$D$14,0)),K1226)*IF(M1226="",INDEX(CONFIG!$H$5:$H$14,MATCH(D1226,CONFIG!$D$5:$D$14,0)),M1226))),""))</f>
        <v/>
      </c>
      <c r="Q1226" s="16" t="str">
        <f aca="false">IF(OR(O1226="",P1226=""),"",O1226/P1226)</f>
        <v/>
      </c>
      <c r="R1226" s="16" t="str">
        <f aca="false">IF(Q1226="","",Q1226*0.0980665)</f>
        <v/>
      </c>
      <c r="S1226" s="16" t="str">
        <f aca="false">IF(Q1226="","",IFERROR(Q1226/(1/(1/INDEX(CONFIG!$I$5:$I$14,MATCH(D1226,CONFIG!$D$5:$D$14,0)))),""))</f>
        <v/>
      </c>
      <c r="T1226" s="13"/>
      <c r="U1226" s="13"/>
      <c r="V1226" s="13"/>
      <c r="W1226" s="13"/>
      <c r="X1226" s="22" t="str">
        <f aca="false">IF(Q1226="","",Q1226^2)</f>
        <v/>
      </c>
      <c r="Y1226" s="22" t="str">
        <f aca="false">IF(AND(C1226&lt;&gt;"",C1226=CERTIFICADO!$E$4,OR(CERTIFICADO!$E$5="",B1226=CERTIFICADO!$E$5)),MAX($Y$4:Y1225)+1,"")</f>
        <v/>
      </c>
    </row>
    <row r="1227" customFormat="false" ht="15" hidden="false" customHeight="false" outlineLevel="0" collapsed="false">
      <c r="A1227" s="11" t="str">
        <f aca="false">IF(C1227="","",ROW()-4)</f>
        <v/>
      </c>
      <c r="B1227" s="12"/>
      <c r="C1227" s="13"/>
      <c r="D1227" s="23" t="str">
        <f aca="false">IF(C1227="","",IFERROR(INDEX(LOTES!$D$5:$D$1004,MATCH(C1227,LOTES!$F$5:$F$1004,0)),"¿Lote?"))</f>
        <v/>
      </c>
      <c r="E1227" s="11" t="str">
        <f aca="false">IF(C1227="","",IFERROR(INDEX(LOTES!$C$5:$C$1004,MATCH(C1227,LOTES!$F$5:$F$1004,0)),""))</f>
        <v/>
      </c>
      <c r="F1227" s="24" t="str">
        <f aca="false">IF(C1227="","",IFERROR(INDEX(LOTES!$B$5:$B$1004,MATCH(C1227,LOTES!$F$5:$F$1004,0)),""))</f>
        <v/>
      </c>
      <c r="G1227" s="15" t="str">
        <f aca="false">IF(OR(B1227="",F1227=""),"",B1227-F1227)</f>
        <v/>
      </c>
      <c r="H1227" s="13"/>
      <c r="I1227" s="13"/>
      <c r="J1227" s="13"/>
      <c r="K1227" s="25"/>
      <c r="L1227" s="25"/>
      <c r="M1227" s="25"/>
      <c r="N1227" s="25"/>
      <c r="O1227" s="26"/>
      <c r="P1227" s="16" t="str">
        <f aca="false">IF(O1227="","",IFERROR(1/(1/(IF(K1227="",INDEX(CONFIG!$F$5:$F$14,MATCH(D1227,CONFIG!$D$5:$D$14,0)),K1227)*IF(M1227="",INDEX(CONFIG!$H$5:$H$14,MATCH(D1227,CONFIG!$D$5:$D$14,0)),M1227))),""))</f>
        <v/>
      </c>
      <c r="Q1227" s="16" t="str">
        <f aca="false">IF(OR(O1227="",P1227=""),"",O1227/P1227)</f>
        <v/>
      </c>
      <c r="R1227" s="16" t="str">
        <f aca="false">IF(Q1227="","",Q1227*0.0980665)</f>
        <v/>
      </c>
      <c r="S1227" s="16" t="str">
        <f aca="false">IF(Q1227="","",IFERROR(Q1227/(1/(1/INDEX(CONFIG!$I$5:$I$14,MATCH(D1227,CONFIG!$D$5:$D$14,0)))),""))</f>
        <v/>
      </c>
      <c r="T1227" s="13"/>
      <c r="U1227" s="13"/>
      <c r="V1227" s="13"/>
      <c r="W1227" s="13"/>
      <c r="X1227" s="22" t="str">
        <f aca="false">IF(Q1227="","",Q1227^2)</f>
        <v/>
      </c>
      <c r="Y1227" s="22" t="str">
        <f aca="false">IF(AND(C1227&lt;&gt;"",C1227=CERTIFICADO!$E$4,OR(CERTIFICADO!$E$5="",B1227=CERTIFICADO!$E$5)),MAX($Y$4:Y1226)+1,"")</f>
        <v/>
      </c>
    </row>
    <row r="1228" customFormat="false" ht="15" hidden="false" customHeight="false" outlineLevel="0" collapsed="false">
      <c r="A1228" s="11" t="str">
        <f aca="false">IF(C1228="","",ROW()-4)</f>
        <v/>
      </c>
      <c r="B1228" s="12"/>
      <c r="C1228" s="13"/>
      <c r="D1228" s="23" t="str">
        <f aca="false">IF(C1228="","",IFERROR(INDEX(LOTES!$D$5:$D$1004,MATCH(C1228,LOTES!$F$5:$F$1004,0)),"¿Lote?"))</f>
        <v/>
      </c>
      <c r="E1228" s="11" t="str">
        <f aca="false">IF(C1228="","",IFERROR(INDEX(LOTES!$C$5:$C$1004,MATCH(C1228,LOTES!$F$5:$F$1004,0)),""))</f>
        <v/>
      </c>
      <c r="F1228" s="24" t="str">
        <f aca="false">IF(C1228="","",IFERROR(INDEX(LOTES!$B$5:$B$1004,MATCH(C1228,LOTES!$F$5:$F$1004,0)),""))</f>
        <v/>
      </c>
      <c r="G1228" s="15" t="str">
        <f aca="false">IF(OR(B1228="",F1228=""),"",B1228-F1228)</f>
        <v/>
      </c>
      <c r="H1228" s="13"/>
      <c r="I1228" s="13"/>
      <c r="J1228" s="13"/>
      <c r="K1228" s="25"/>
      <c r="L1228" s="25"/>
      <c r="M1228" s="25"/>
      <c r="N1228" s="25"/>
      <c r="O1228" s="26"/>
      <c r="P1228" s="16" t="str">
        <f aca="false">IF(O1228="","",IFERROR(1/(1/(IF(K1228="",INDEX(CONFIG!$F$5:$F$14,MATCH(D1228,CONFIG!$D$5:$D$14,0)),K1228)*IF(M1228="",INDEX(CONFIG!$H$5:$H$14,MATCH(D1228,CONFIG!$D$5:$D$14,0)),M1228))),""))</f>
        <v/>
      </c>
      <c r="Q1228" s="16" t="str">
        <f aca="false">IF(OR(O1228="",P1228=""),"",O1228/P1228)</f>
        <v/>
      </c>
      <c r="R1228" s="16" t="str">
        <f aca="false">IF(Q1228="","",Q1228*0.0980665)</f>
        <v/>
      </c>
      <c r="S1228" s="16" t="str">
        <f aca="false">IF(Q1228="","",IFERROR(Q1228/(1/(1/INDEX(CONFIG!$I$5:$I$14,MATCH(D1228,CONFIG!$D$5:$D$14,0)))),""))</f>
        <v/>
      </c>
      <c r="T1228" s="13"/>
      <c r="U1228" s="13"/>
      <c r="V1228" s="13"/>
      <c r="W1228" s="13"/>
      <c r="X1228" s="22" t="str">
        <f aca="false">IF(Q1228="","",Q1228^2)</f>
        <v/>
      </c>
      <c r="Y1228" s="22" t="str">
        <f aca="false">IF(AND(C1228&lt;&gt;"",C1228=CERTIFICADO!$E$4,OR(CERTIFICADO!$E$5="",B1228=CERTIFICADO!$E$5)),MAX($Y$4:Y1227)+1,"")</f>
        <v/>
      </c>
    </row>
    <row r="1229" customFormat="false" ht="15" hidden="false" customHeight="false" outlineLevel="0" collapsed="false">
      <c r="A1229" s="11" t="str">
        <f aca="false">IF(C1229="","",ROW()-4)</f>
        <v/>
      </c>
      <c r="B1229" s="12"/>
      <c r="C1229" s="13"/>
      <c r="D1229" s="23" t="str">
        <f aca="false">IF(C1229="","",IFERROR(INDEX(LOTES!$D$5:$D$1004,MATCH(C1229,LOTES!$F$5:$F$1004,0)),"¿Lote?"))</f>
        <v/>
      </c>
      <c r="E1229" s="11" t="str">
        <f aca="false">IF(C1229="","",IFERROR(INDEX(LOTES!$C$5:$C$1004,MATCH(C1229,LOTES!$F$5:$F$1004,0)),""))</f>
        <v/>
      </c>
      <c r="F1229" s="24" t="str">
        <f aca="false">IF(C1229="","",IFERROR(INDEX(LOTES!$B$5:$B$1004,MATCH(C1229,LOTES!$F$5:$F$1004,0)),""))</f>
        <v/>
      </c>
      <c r="G1229" s="15" t="str">
        <f aca="false">IF(OR(B1229="",F1229=""),"",B1229-F1229)</f>
        <v/>
      </c>
      <c r="H1229" s="13"/>
      <c r="I1229" s="13"/>
      <c r="J1229" s="13"/>
      <c r="K1229" s="25"/>
      <c r="L1229" s="25"/>
      <c r="M1229" s="25"/>
      <c r="N1229" s="25"/>
      <c r="O1229" s="26"/>
      <c r="P1229" s="16" t="str">
        <f aca="false">IF(O1229="","",IFERROR(1/(1/(IF(K1229="",INDEX(CONFIG!$F$5:$F$14,MATCH(D1229,CONFIG!$D$5:$D$14,0)),K1229)*IF(M1229="",INDEX(CONFIG!$H$5:$H$14,MATCH(D1229,CONFIG!$D$5:$D$14,0)),M1229))),""))</f>
        <v/>
      </c>
      <c r="Q1229" s="16" t="str">
        <f aca="false">IF(OR(O1229="",P1229=""),"",O1229/P1229)</f>
        <v/>
      </c>
      <c r="R1229" s="16" t="str">
        <f aca="false">IF(Q1229="","",Q1229*0.0980665)</f>
        <v/>
      </c>
      <c r="S1229" s="16" t="str">
        <f aca="false">IF(Q1229="","",IFERROR(Q1229/(1/(1/INDEX(CONFIG!$I$5:$I$14,MATCH(D1229,CONFIG!$D$5:$D$14,0)))),""))</f>
        <v/>
      </c>
      <c r="T1229" s="13"/>
      <c r="U1229" s="13"/>
      <c r="V1229" s="13"/>
      <c r="W1229" s="13"/>
      <c r="X1229" s="22" t="str">
        <f aca="false">IF(Q1229="","",Q1229^2)</f>
        <v/>
      </c>
      <c r="Y1229" s="22" t="str">
        <f aca="false">IF(AND(C1229&lt;&gt;"",C1229=CERTIFICADO!$E$4,OR(CERTIFICADO!$E$5="",B1229=CERTIFICADO!$E$5)),MAX($Y$4:Y1228)+1,"")</f>
        <v/>
      </c>
    </row>
    <row r="1230" customFormat="false" ht="15" hidden="false" customHeight="false" outlineLevel="0" collapsed="false">
      <c r="A1230" s="11" t="str">
        <f aca="false">IF(C1230="","",ROW()-4)</f>
        <v/>
      </c>
      <c r="B1230" s="12"/>
      <c r="C1230" s="13"/>
      <c r="D1230" s="23" t="str">
        <f aca="false">IF(C1230="","",IFERROR(INDEX(LOTES!$D$5:$D$1004,MATCH(C1230,LOTES!$F$5:$F$1004,0)),"¿Lote?"))</f>
        <v/>
      </c>
      <c r="E1230" s="11" t="str">
        <f aca="false">IF(C1230="","",IFERROR(INDEX(LOTES!$C$5:$C$1004,MATCH(C1230,LOTES!$F$5:$F$1004,0)),""))</f>
        <v/>
      </c>
      <c r="F1230" s="24" t="str">
        <f aca="false">IF(C1230="","",IFERROR(INDEX(LOTES!$B$5:$B$1004,MATCH(C1230,LOTES!$F$5:$F$1004,0)),""))</f>
        <v/>
      </c>
      <c r="G1230" s="15" t="str">
        <f aca="false">IF(OR(B1230="",F1230=""),"",B1230-F1230)</f>
        <v/>
      </c>
      <c r="H1230" s="13"/>
      <c r="I1230" s="13"/>
      <c r="J1230" s="13"/>
      <c r="K1230" s="25"/>
      <c r="L1230" s="25"/>
      <c r="M1230" s="25"/>
      <c r="N1230" s="25"/>
      <c r="O1230" s="26"/>
      <c r="P1230" s="16" t="str">
        <f aca="false">IF(O1230="","",IFERROR(1/(1/(IF(K1230="",INDEX(CONFIG!$F$5:$F$14,MATCH(D1230,CONFIG!$D$5:$D$14,0)),K1230)*IF(M1230="",INDEX(CONFIG!$H$5:$H$14,MATCH(D1230,CONFIG!$D$5:$D$14,0)),M1230))),""))</f>
        <v/>
      </c>
      <c r="Q1230" s="16" t="str">
        <f aca="false">IF(OR(O1230="",P1230=""),"",O1230/P1230)</f>
        <v/>
      </c>
      <c r="R1230" s="16" t="str">
        <f aca="false">IF(Q1230="","",Q1230*0.0980665)</f>
        <v/>
      </c>
      <c r="S1230" s="16" t="str">
        <f aca="false">IF(Q1230="","",IFERROR(Q1230/(1/(1/INDEX(CONFIG!$I$5:$I$14,MATCH(D1230,CONFIG!$D$5:$D$14,0)))),""))</f>
        <v/>
      </c>
      <c r="T1230" s="13"/>
      <c r="U1230" s="13"/>
      <c r="V1230" s="13"/>
      <c r="W1230" s="13"/>
      <c r="X1230" s="22" t="str">
        <f aca="false">IF(Q1230="","",Q1230^2)</f>
        <v/>
      </c>
      <c r="Y1230" s="22" t="str">
        <f aca="false">IF(AND(C1230&lt;&gt;"",C1230=CERTIFICADO!$E$4,OR(CERTIFICADO!$E$5="",B1230=CERTIFICADO!$E$5)),MAX($Y$4:Y1229)+1,"")</f>
        <v/>
      </c>
    </row>
    <row r="1231" customFormat="false" ht="15" hidden="false" customHeight="false" outlineLevel="0" collapsed="false">
      <c r="A1231" s="11" t="str">
        <f aca="false">IF(C1231="","",ROW()-4)</f>
        <v/>
      </c>
      <c r="B1231" s="12"/>
      <c r="C1231" s="13"/>
      <c r="D1231" s="23" t="str">
        <f aca="false">IF(C1231="","",IFERROR(INDEX(LOTES!$D$5:$D$1004,MATCH(C1231,LOTES!$F$5:$F$1004,0)),"¿Lote?"))</f>
        <v/>
      </c>
      <c r="E1231" s="11" t="str">
        <f aca="false">IF(C1231="","",IFERROR(INDEX(LOTES!$C$5:$C$1004,MATCH(C1231,LOTES!$F$5:$F$1004,0)),""))</f>
        <v/>
      </c>
      <c r="F1231" s="24" t="str">
        <f aca="false">IF(C1231="","",IFERROR(INDEX(LOTES!$B$5:$B$1004,MATCH(C1231,LOTES!$F$5:$F$1004,0)),""))</f>
        <v/>
      </c>
      <c r="G1231" s="15" t="str">
        <f aca="false">IF(OR(B1231="",F1231=""),"",B1231-F1231)</f>
        <v/>
      </c>
      <c r="H1231" s="13"/>
      <c r="I1231" s="13"/>
      <c r="J1231" s="13"/>
      <c r="K1231" s="25"/>
      <c r="L1231" s="25"/>
      <c r="M1231" s="25"/>
      <c r="N1231" s="25"/>
      <c r="O1231" s="26"/>
      <c r="P1231" s="16" t="str">
        <f aca="false">IF(O1231="","",IFERROR(1/(1/(IF(K1231="",INDEX(CONFIG!$F$5:$F$14,MATCH(D1231,CONFIG!$D$5:$D$14,0)),K1231)*IF(M1231="",INDEX(CONFIG!$H$5:$H$14,MATCH(D1231,CONFIG!$D$5:$D$14,0)),M1231))),""))</f>
        <v/>
      </c>
      <c r="Q1231" s="16" t="str">
        <f aca="false">IF(OR(O1231="",P1231=""),"",O1231/P1231)</f>
        <v/>
      </c>
      <c r="R1231" s="16" t="str">
        <f aca="false">IF(Q1231="","",Q1231*0.0980665)</f>
        <v/>
      </c>
      <c r="S1231" s="16" t="str">
        <f aca="false">IF(Q1231="","",IFERROR(Q1231/(1/(1/INDEX(CONFIG!$I$5:$I$14,MATCH(D1231,CONFIG!$D$5:$D$14,0)))),""))</f>
        <v/>
      </c>
      <c r="T1231" s="13"/>
      <c r="U1231" s="13"/>
      <c r="V1231" s="13"/>
      <c r="W1231" s="13"/>
      <c r="X1231" s="22" t="str">
        <f aca="false">IF(Q1231="","",Q1231^2)</f>
        <v/>
      </c>
      <c r="Y1231" s="22" t="str">
        <f aca="false">IF(AND(C1231&lt;&gt;"",C1231=CERTIFICADO!$E$4,OR(CERTIFICADO!$E$5="",B1231=CERTIFICADO!$E$5)),MAX($Y$4:Y1230)+1,"")</f>
        <v/>
      </c>
    </row>
    <row r="1232" customFormat="false" ht="15" hidden="false" customHeight="false" outlineLevel="0" collapsed="false">
      <c r="A1232" s="11" t="str">
        <f aca="false">IF(C1232="","",ROW()-4)</f>
        <v/>
      </c>
      <c r="B1232" s="12"/>
      <c r="C1232" s="13"/>
      <c r="D1232" s="23" t="str">
        <f aca="false">IF(C1232="","",IFERROR(INDEX(LOTES!$D$5:$D$1004,MATCH(C1232,LOTES!$F$5:$F$1004,0)),"¿Lote?"))</f>
        <v/>
      </c>
      <c r="E1232" s="11" t="str">
        <f aca="false">IF(C1232="","",IFERROR(INDEX(LOTES!$C$5:$C$1004,MATCH(C1232,LOTES!$F$5:$F$1004,0)),""))</f>
        <v/>
      </c>
      <c r="F1232" s="24" t="str">
        <f aca="false">IF(C1232="","",IFERROR(INDEX(LOTES!$B$5:$B$1004,MATCH(C1232,LOTES!$F$5:$F$1004,0)),""))</f>
        <v/>
      </c>
      <c r="G1232" s="15" t="str">
        <f aca="false">IF(OR(B1232="",F1232=""),"",B1232-F1232)</f>
        <v/>
      </c>
      <c r="H1232" s="13"/>
      <c r="I1232" s="13"/>
      <c r="J1232" s="13"/>
      <c r="K1232" s="25"/>
      <c r="L1232" s="25"/>
      <c r="M1232" s="25"/>
      <c r="N1232" s="25"/>
      <c r="O1232" s="26"/>
      <c r="P1232" s="16" t="str">
        <f aca="false">IF(O1232="","",IFERROR(1/(1/(IF(K1232="",INDEX(CONFIG!$F$5:$F$14,MATCH(D1232,CONFIG!$D$5:$D$14,0)),K1232)*IF(M1232="",INDEX(CONFIG!$H$5:$H$14,MATCH(D1232,CONFIG!$D$5:$D$14,0)),M1232))),""))</f>
        <v/>
      </c>
      <c r="Q1232" s="16" t="str">
        <f aca="false">IF(OR(O1232="",P1232=""),"",O1232/P1232)</f>
        <v/>
      </c>
      <c r="R1232" s="16" t="str">
        <f aca="false">IF(Q1232="","",Q1232*0.0980665)</f>
        <v/>
      </c>
      <c r="S1232" s="16" t="str">
        <f aca="false">IF(Q1232="","",IFERROR(Q1232/(1/(1/INDEX(CONFIG!$I$5:$I$14,MATCH(D1232,CONFIG!$D$5:$D$14,0)))),""))</f>
        <v/>
      </c>
      <c r="T1232" s="13"/>
      <c r="U1232" s="13"/>
      <c r="V1232" s="13"/>
      <c r="W1232" s="13"/>
      <c r="X1232" s="22" t="str">
        <f aca="false">IF(Q1232="","",Q1232^2)</f>
        <v/>
      </c>
      <c r="Y1232" s="22" t="str">
        <f aca="false">IF(AND(C1232&lt;&gt;"",C1232=CERTIFICADO!$E$4,OR(CERTIFICADO!$E$5="",B1232=CERTIFICADO!$E$5)),MAX($Y$4:Y1231)+1,"")</f>
        <v/>
      </c>
    </row>
    <row r="1233" customFormat="false" ht="15" hidden="false" customHeight="false" outlineLevel="0" collapsed="false">
      <c r="A1233" s="11" t="str">
        <f aca="false">IF(C1233="","",ROW()-4)</f>
        <v/>
      </c>
      <c r="B1233" s="12"/>
      <c r="C1233" s="13"/>
      <c r="D1233" s="23" t="str">
        <f aca="false">IF(C1233="","",IFERROR(INDEX(LOTES!$D$5:$D$1004,MATCH(C1233,LOTES!$F$5:$F$1004,0)),"¿Lote?"))</f>
        <v/>
      </c>
      <c r="E1233" s="11" t="str">
        <f aca="false">IF(C1233="","",IFERROR(INDEX(LOTES!$C$5:$C$1004,MATCH(C1233,LOTES!$F$5:$F$1004,0)),""))</f>
        <v/>
      </c>
      <c r="F1233" s="24" t="str">
        <f aca="false">IF(C1233="","",IFERROR(INDEX(LOTES!$B$5:$B$1004,MATCH(C1233,LOTES!$F$5:$F$1004,0)),""))</f>
        <v/>
      </c>
      <c r="G1233" s="15" t="str">
        <f aca="false">IF(OR(B1233="",F1233=""),"",B1233-F1233)</f>
        <v/>
      </c>
      <c r="H1233" s="13"/>
      <c r="I1233" s="13"/>
      <c r="J1233" s="13"/>
      <c r="K1233" s="25"/>
      <c r="L1233" s="25"/>
      <c r="M1233" s="25"/>
      <c r="N1233" s="25"/>
      <c r="O1233" s="26"/>
      <c r="P1233" s="16" t="str">
        <f aca="false">IF(O1233="","",IFERROR(1/(1/(IF(K1233="",INDEX(CONFIG!$F$5:$F$14,MATCH(D1233,CONFIG!$D$5:$D$14,0)),K1233)*IF(M1233="",INDEX(CONFIG!$H$5:$H$14,MATCH(D1233,CONFIG!$D$5:$D$14,0)),M1233))),""))</f>
        <v/>
      </c>
      <c r="Q1233" s="16" t="str">
        <f aca="false">IF(OR(O1233="",P1233=""),"",O1233/P1233)</f>
        <v/>
      </c>
      <c r="R1233" s="16" t="str">
        <f aca="false">IF(Q1233="","",Q1233*0.0980665)</f>
        <v/>
      </c>
      <c r="S1233" s="16" t="str">
        <f aca="false">IF(Q1233="","",IFERROR(Q1233/(1/(1/INDEX(CONFIG!$I$5:$I$14,MATCH(D1233,CONFIG!$D$5:$D$14,0)))),""))</f>
        <v/>
      </c>
      <c r="T1233" s="13"/>
      <c r="U1233" s="13"/>
      <c r="V1233" s="13"/>
      <c r="W1233" s="13"/>
      <c r="X1233" s="22" t="str">
        <f aca="false">IF(Q1233="","",Q1233^2)</f>
        <v/>
      </c>
      <c r="Y1233" s="22" t="str">
        <f aca="false">IF(AND(C1233&lt;&gt;"",C1233=CERTIFICADO!$E$4,OR(CERTIFICADO!$E$5="",B1233=CERTIFICADO!$E$5)),MAX($Y$4:Y1232)+1,"")</f>
        <v/>
      </c>
    </row>
    <row r="1234" customFormat="false" ht="15" hidden="false" customHeight="false" outlineLevel="0" collapsed="false">
      <c r="A1234" s="11" t="str">
        <f aca="false">IF(C1234="","",ROW()-4)</f>
        <v/>
      </c>
      <c r="B1234" s="12"/>
      <c r="C1234" s="13"/>
      <c r="D1234" s="23" t="str">
        <f aca="false">IF(C1234="","",IFERROR(INDEX(LOTES!$D$5:$D$1004,MATCH(C1234,LOTES!$F$5:$F$1004,0)),"¿Lote?"))</f>
        <v/>
      </c>
      <c r="E1234" s="11" t="str">
        <f aca="false">IF(C1234="","",IFERROR(INDEX(LOTES!$C$5:$C$1004,MATCH(C1234,LOTES!$F$5:$F$1004,0)),""))</f>
        <v/>
      </c>
      <c r="F1234" s="24" t="str">
        <f aca="false">IF(C1234="","",IFERROR(INDEX(LOTES!$B$5:$B$1004,MATCH(C1234,LOTES!$F$5:$F$1004,0)),""))</f>
        <v/>
      </c>
      <c r="G1234" s="15" t="str">
        <f aca="false">IF(OR(B1234="",F1234=""),"",B1234-F1234)</f>
        <v/>
      </c>
      <c r="H1234" s="13"/>
      <c r="I1234" s="13"/>
      <c r="J1234" s="13"/>
      <c r="K1234" s="25"/>
      <c r="L1234" s="25"/>
      <c r="M1234" s="25"/>
      <c r="N1234" s="25"/>
      <c r="O1234" s="26"/>
      <c r="P1234" s="16" t="str">
        <f aca="false">IF(O1234="","",IFERROR(1/(1/(IF(K1234="",INDEX(CONFIG!$F$5:$F$14,MATCH(D1234,CONFIG!$D$5:$D$14,0)),K1234)*IF(M1234="",INDEX(CONFIG!$H$5:$H$14,MATCH(D1234,CONFIG!$D$5:$D$14,0)),M1234))),""))</f>
        <v/>
      </c>
      <c r="Q1234" s="16" t="str">
        <f aca="false">IF(OR(O1234="",P1234=""),"",O1234/P1234)</f>
        <v/>
      </c>
      <c r="R1234" s="16" t="str">
        <f aca="false">IF(Q1234="","",Q1234*0.0980665)</f>
        <v/>
      </c>
      <c r="S1234" s="16" t="str">
        <f aca="false">IF(Q1234="","",IFERROR(Q1234/(1/(1/INDEX(CONFIG!$I$5:$I$14,MATCH(D1234,CONFIG!$D$5:$D$14,0)))),""))</f>
        <v/>
      </c>
      <c r="T1234" s="13"/>
      <c r="U1234" s="13"/>
      <c r="V1234" s="13"/>
      <c r="W1234" s="13"/>
      <c r="X1234" s="22" t="str">
        <f aca="false">IF(Q1234="","",Q1234^2)</f>
        <v/>
      </c>
      <c r="Y1234" s="22" t="str">
        <f aca="false">IF(AND(C1234&lt;&gt;"",C1234=CERTIFICADO!$E$4,OR(CERTIFICADO!$E$5="",B1234=CERTIFICADO!$E$5)),MAX($Y$4:Y1233)+1,"")</f>
        <v/>
      </c>
    </row>
    <row r="1235" customFormat="false" ht="15" hidden="false" customHeight="false" outlineLevel="0" collapsed="false">
      <c r="A1235" s="11" t="str">
        <f aca="false">IF(C1235="","",ROW()-4)</f>
        <v/>
      </c>
      <c r="B1235" s="12"/>
      <c r="C1235" s="13"/>
      <c r="D1235" s="23" t="str">
        <f aca="false">IF(C1235="","",IFERROR(INDEX(LOTES!$D$5:$D$1004,MATCH(C1235,LOTES!$F$5:$F$1004,0)),"¿Lote?"))</f>
        <v/>
      </c>
      <c r="E1235" s="11" t="str">
        <f aca="false">IF(C1235="","",IFERROR(INDEX(LOTES!$C$5:$C$1004,MATCH(C1235,LOTES!$F$5:$F$1004,0)),""))</f>
        <v/>
      </c>
      <c r="F1235" s="24" t="str">
        <f aca="false">IF(C1235="","",IFERROR(INDEX(LOTES!$B$5:$B$1004,MATCH(C1235,LOTES!$F$5:$F$1004,0)),""))</f>
        <v/>
      </c>
      <c r="G1235" s="15" t="str">
        <f aca="false">IF(OR(B1235="",F1235=""),"",B1235-F1235)</f>
        <v/>
      </c>
      <c r="H1235" s="13"/>
      <c r="I1235" s="13"/>
      <c r="J1235" s="13"/>
      <c r="K1235" s="25"/>
      <c r="L1235" s="25"/>
      <c r="M1235" s="25"/>
      <c r="N1235" s="25"/>
      <c r="O1235" s="26"/>
      <c r="P1235" s="16" t="str">
        <f aca="false">IF(O1235="","",IFERROR(1/(1/(IF(K1235="",INDEX(CONFIG!$F$5:$F$14,MATCH(D1235,CONFIG!$D$5:$D$14,0)),K1235)*IF(M1235="",INDEX(CONFIG!$H$5:$H$14,MATCH(D1235,CONFIG!$D$5:$D$14,0)),M1235))),""))</f>
        <v/>
      </c>
      <c r="Q1235" s="16" t="str">
        <f aca="false">IF(OR(O1235="",P1235=""),"",O1235/P1235)</f>
        <v/>
      </c>
      <c r="R1235" s="16" t="str">
        <f aca="false">IF(Q1235="","",Q1235*0.0980665)</f>
        <v/>
      </c>
      <c r="S1235" s="16" t="str">
        <f aca="false">IF(Q1235="","",IFERROR(Q1235/(1/(1/INDEX(CONFIG!$I$5:$I$14,MATCH(D1235,CONFIG!$D$5:$D$14,0)))),""))</f>
        <v/>
      </c>
      <c r="T1235" s="13"/>
      <c r="U1235" s="13"/>
      <c r="V1235" s="13"/>
      <c r="W1235" s="13"/>
      <c r="X1235" s="22" t="str">
        <f aca="false">IF(Q1235="","",Q1235^2)</f>
        <v/>
      </c>
      <c r="Y1235" s="22" t="str">
        <f aca="false">IF(AND(C1235&lt;&gt;"",C1235=CERTIFICADO!$E$4,OR(CERTIFICADO!$E$5="",B1235=CERTIFICADO!$E$5)),MAX($Y$4:Y1234)+1,"")</f>
        <v/>
      </c>
    </row>
    <row r="1236" customFormat="false" ht="15" hidden="false" customHeight="false" outlineLevel="0" collapsed="false">
      <c r="A1236" s="11" t="str">
        <f aca="false">IF(C1236="","",ROW()-4)</f>
        <v/>
      </c>
      <c r="B1236" s="12"/>
      <c r="C1236" s="13"/>
      <c r="D1236" s="23" t="str">
        <f aca="false">IF(C1236="","",IFERROR(INDEX(LOTES!$D$5:$D$1004,MATCH(C1236,LOTES!$F$5:$F$1004,0)),"¿Lote?"))</f>
        <v/>
      </c>
      <c r="E1236" s="11" t="str">
        <f aca="false">IF(C1236="","",IFERROR(INDEX(LOTES!$C$5:$C$1004,MATCH(C1236,LOTES!$F$5:$F$1004,0)),""))</f>
        <v/>
      </c>
      <c r="F1236" s="24" t="str">
        <f aca="false">IF(C1236="","",IFERROR(INDEX(LOTES!$B$5:$B$1004,MATCH(C1236,LOTES!$F$5:$F$1004,0)),""))</f>
        <v/>
      </c>
      <c r="G1236" s="15" t="str">
        <f aca="false">IF(OR(B1236="",F1236=""),"",B1236-F1236)</f>
        <v/>
      </c>
      <c r="H1236" s="13"/>
      <c r="I1236" s="13"/>
      <c r="J1236" s="13"/>
      <c r="K1236" s="25"/>
      <c r="L1236" s="25"/>
      <c r="M1236" s="25"/>
      <c r="N1236" s="25"/>
      <c r="O1236" s="26"/>
      <c r="P1236" s="16" t="str">
        <f aca="false">IF(O1236="","",IFERROR(1/(1/(IF(K1236="",INDEX(CONFIG!$F$5:$F$14,MATCH(D1236,CONFIG!$D$5:$D$14,0)),K1236)*IF(M1236="",INDEX(CONFIG!$H$5:$H$14,MATCH(D1236,CONFIG!$D$5:$D$14,0)),M1236))),""))</f>
        <v/>
      </c>
      <c r="Q1236" s="16" t="str">
        <f aca="false">IF(OR(O1236="",P1236=""),"",O1236/P1236)</f>
        <v/>
      </c>
      <c r="R1236" s="16" t="str">
        <f aca="false">IF(Q1236="","",Q1236*0.0980665)</f>
        <v/>
      </c>
      <c r="S1236" s="16" t="str">
        <f aca="false">IF(Q1236="","",IFERROR(Q1236/(1/(1/INDEX(CONFIG!$I$5:$I$14,MATCH(D1236,CONFIG!$D$5:$D$14,0)))),""))</f>
        <v/>
      </c>
      <c r="T1236" s="13"/>
      <c r="U1236" s="13"/>
      <c r="V1236" s="13"/>
      <c r="W1236" s="13"/>
      <c r="X1236" s="22" t="str">
        <f aca="false">IF(Q1236="","",Q1236^2)</f>
        <v/>
      </c>
      <c r="Y1236" s="22" t="str">
        <f aca="false">IF(AND(C1236&lt;&gt;"",C1236=CERTIFICADO!$E$4,OR(CERTIFICADO!$E$5="",B1236=CERTIFICADO!$E$5)),MAX($Y$4:Y1235)+1,"")</f>
        <v/>
      </c>
    </row>
    <row r="1237" customFormat="false" ht="15" hidden="false" customHeight="false" outlineLevel="0" collapsed="false">
      <c r="A1237" s="11" t="str">
        <f aca="false">IF(C1237="","",ROW()-4)</f>
        <v/>
      </c>
      <c r="B1237" s="12"/>
      <c r="C1237" s="13"/>
      <c r="D1237" s="23" t="str">
        <f aca="false">IF(C1237="","",IFERROR(INDEX(LOTES!$D$5:$D$1004,MATCH(C1237,LOTES!$F$5:$F$1004,0)),"¿Lote?"))</f>
        <v/>
      </c>
      <c r="E1237" s="11" t="str">
        <f aca="false">IF(C1237="","",IFERROR(INDEX(LOTES!$C$5:$C$1004,MATCH(C1237,LOTES!$F$5:$F$1004,0)),""))</f>
        <v/>
      </c>
      <c r="F1237" s="24" t="str">
        <f aca="false">IF(C1237="","",IFERROR(INDEX(LOTES!$B$5:$B$1004,MATCH(C1237,LOTES!$F$5:$F$1004,0)),""))</f>
        <v/>
      </c>
      <c r="G1237" s="15" t="str">
        <f aca="false">IF(OR(B1237="",F1237=""),"",B1237-F1237)</f>
        <v/>
      </c>
      <c r="H1237" s="13"/>
      <c r="I1237" s="13"/>
      <c r="J1237" s="13"/>
      <c r="K1237" s="25"/>
      <c r="L1237" s="25"/>
      <c r="M1237" s="25"/>
      <c r="N1237" s="25"/>
      <c r="O1237" s="26"/>
      <c r="P1237" s="16" t="str">
        <f aca="false">IF(O1237="","",IFERROR(1/(1/(IF(K1237="",INDEX(CONFIG!$F$5:$F$14,MATCH(D1237,CONFIG!$D$5:$D$14,0)),K1237)*IF(M1237="",INDEX(CONFIG!$H$5:$H$14,MATCH(D1237,CONFIG!$D$5:$D$14,0)),M1237))),""))</f>
        <v/>
      </c>
      <c r="Q1237" s="16" t="str">
        <f aca="false">IF(OR(O1237="",P1237=""),"",O1237/P1237)</f>
        <v/>
      </c>
      <c r="R1237" s="16" t="str">
        <f aca="false">IF(Q1237="","",Q1237*0.0980665)</f>
        <v/>
      </c>
      <c r="S1237" s="16" t="str">
        <f aca="false">IF(Q1237="","",IFERROR(Q1237/(1/(1/INDEX(CONFIG!$I$5:$I$14,MATCH(D1237,CONFIG!$D$5:$D$14,0)))),""))</f>
        <v/>
      </c>
      <c r="T1237" s="13"/>
      <c r="U1237" s="13"/>
      <c r="V1237" s="13"/>
      <c r="W1237" s="13"/>
      <c r="X1237" s="22" t="str">
        <f aca="false">IF(Q1237="","",Q1237^2)</f>
        <v/>
      </c>
      <c r="Y1237" s="22" t="str">
        <f aca="false">IF(AND(C1237&lt;&gt;"",C1237=CERTIFICADO!$E$4,OR(CERTIFICADO!$E$5="",B1237=CERTIFICADO!$E$5)),MAX($Y$4:Y1236)+1,"")</f>
        <v/>
      </c>
    </row>
    <row r="1238" customFormat="false" ht="15" hidden="false" customHeight="false" outlineLevel="0" collapsed="false">
      <c r="A1238" s="11" t="str">
        <f aca="false">IF(C1238="","",ROW()-4)</f>
        <v/>
      </c>
      <c r="B1238" s="12"/>
      <c r="C1238" s="13"/>
      <c r="D1238" s="23" t="str">
        <f aca="false">IF(C1238="","",IFERROR(INDEX(LOTES!$D$5:$D$1004,MATCH(C1238,LOTES!$F$5:$F$1004,0)),"¿Lote?"))</f>
        <v/>
      </c>
      <c r="E1238" s="11" t="str">
        <f aca="false">IF(C1238="","",IFERROR(INDEX(LOTES!$C$5:$C$1004,MATCH(C1238,LOTES!$F$5:$F$1004,0)),""))</f>
        <v/>
      </c>
      <c r="F1238" s="24" t="str">
        <f aca="false">IF(C1238="","",IFERROR(INDEX(LOTES!$B$5:$B$1004,MATCH(C1238,LOTES!$F$5:$F$1004,0)),""))</f>
        <v/>
      </c>
      <c r="G1238" s="15" t="str">
        <f aca="false">IF(OR(B1238="",F1238=""),"",B1238-F1238)</f>
        <v/>
      </c>
      <c r="H1238" s="13"/>
      <c r="I1238" s="13"/>
      <c r="J1238" s="13"/>
      <c r="K1238" s="25"/>
      <c r="L1238" s="25"/>
      <c r="M1238" s="25"/>
      <c r="N1238" s="25"/>
      <c r="O1238" s="26"/>
      <c r="P1238" s="16" t="str">
        <f aca="false">IF(O1238="","",IFERROR(1/(1/(IF(K1238="",INDEX(CONFIG!$F$5:$F$14,MATCH(D1238,CONFIG!$D$5:$D$14,0)),K1238)*IF(M1238="",INDEX(CONFIG!$H$5:$H$14,MATCH(D1238,CONFIG!$D$5:$D$14,0)),M1238))),""))</f>
        <v/>
      </c>
      <c r="Q1238" s="16" t="str">
        <f aca="false">IF(OR(O1238="",P1238=""),"",O1238/P1238)</f>
        <v/>
      </c>
      <c r="R1238" s="16" t="str">
        <f aca="false">IF(Q1238="","",Q1238*0.0980665)</f>
        <v/>
      </c>
      <c r="S1238" s="16" t="str">
        <f aca="false">IF(Q1238="","",IFERROR(Q1238/(1/(1/INDEX(CONFIG!$I$5:$I$14,MATCH(D1238,CONFIG!$D$5:$D$14,0)))),""))</f>
        <v/>
      </c>
      <c r="T1238" s="13"/>
      <c r="U1238" s="13"/>
      <c r="V1238" s="13"/>
      <c r="W1238" s="13"/>
      <c r="X1238" s="22" t="str">
        <f aca="false">IF(Q1238="","",Q1238^2)</f>
        <v/>
      </c>
      <c r="Y1238" s="22" t="str">
        <f aca="false">IF(AND(C1238&lt;&gt;"",C1238=CERTIFICADO!$E$4,OR(CERTIFICADO!$E$5="",B1238=CERTIFICADO!$E$5)),MAX($Y$4:Y1237)+1,"")</f>
        <v/>
      </c>
    </row>
    <row r="1239" customFormat="false" ht="15" hidden="false" customHeight="false" outlineLevel="0" collapsed="false">
      <c r="A1239" s="11" t="str">
        <f aca="false">IF(C1239="","",ROW()-4)</f>
        <v/>
      </c>
      <c r="B1239" s="12"/>
      <c r="C1239" s="13"/>
      <c r="D1239" s="23" t="str">
        <f aca="false">IF(C1239="","",IFERROR(INDEX(LOTES!$D$5:$D$1004,MATCH(C1239,LOTES!$F$5:$F$1004,0)),"¿Lote?"))</f>
        <v/>
      </c>
      <c r="E1239" s="11" t="str">
        <f aca="false">IF(C1239="","",IFERROR(INDEX(LOTES!$C$5:$C$1004,MATCH(C1239,LOTES!$F$5:$F$1004,0)),""))</f>
        <v/>
      </c>
      <c r="F1239" s="24" t="str">
        <f aca="false">IF(C1239="","",IFERROR(INDEX(LOTES!$B$5:$B$1004,MATCH(C1239,LOTES!$F$5:$F$1004,0)),""))</f>
        <v/>
      </c>
      <c r="G1239" s="15" t="str">
        <f aca="false">IF(OR(B1239="",F1239=""),"",B1239-F1239)</f>
        <v/>
      </c>
      <c r="H1239" s="13"/>
      <c r="I1239" s="13"/>
      <c r="J1239" s="13"/>
      <c r="K1239" s="25"/>
      <c r="L1239" s="25"/>
      <c r="M1239" s="25"/>
      <c r="N1239" s="25"/>
      <c r="O1239" s="26"/>
      <c r="P1239" s="16" t="str">
        <f aca="false">IF(O1239="","",IFERROR(1/(1/(IF(K1239="",INDEX(CONFIG!$F$5:$F$14,MATCH(D1239,CONFIG!$D$5:$D$14,0)),K1239)*IF(M1239="",INDEX(CONFIG!$H$5:$H$14,MATCH(D1239,CONFIG!$D$5:$D$14,0)),M1239))),""))</f>
        <v/>
      </c>
      <c r="Q1239" s="16" t="str">
        <f aca="false">IF(OR(O1239="",P1239=""),"",O1239/P1239)</f>
        <v/>
      </c>
      <c r="R1239" s="16" t="str">
        <f aca="false">IF(Q1239="","",Q1239*0.0980665)</f>
        <v/>
      </c>
      <c r="S1239" s="16" t="str">
        <f aca="false">IF(Q1239="","",IFERROR(Q1239/(1/(1/INDEX(CONFIG!$I$5:$I$14,MATCH(D1239,CONFIG!$D$5:$D$14,0)))),""))</f>
        <v/>
      </c>
      <c r="T1239" s="13"/>
      <c r="U1239" s="13"/>
      <c r="V1239" s="13"/>
      <c r="W1239" s="13"/>
      <c r="X1239" s="22" t="str">
        <f aca="false">IF(Q1239="","",Q1239^2)</f>
        <v/>
      </c>
      <c r="Y1239" s="22" t="str">
        <f aca="false">IF(AND(C1239&lt;&gt;"",C1239=CERTIFICADO!$E$4,OR(CERTIFICADO!$E$5="",B1239=CERTIFICADO!$E$5)),MAX($Y$4:Y1238)+1,"")</f>
        <v/>
      </c>
    </row>
    <row r="1240" customFormat="false" ht="15" hidden="false" customHeight="false" outlineLevel="0" collapsed="false">
      <c r="A1240" s="11" t="str">
        <f aca="false">IF(C1240="","",ROW()-4)</f>
        <v/>
      </c>
      <c r="B1240" s="12"/>
      <c r="C1240" s="13"/>
      <c r="D1240" s="23" t="str">
        <f aca="false">IF(C1240="","",IFERROR(INDEX(LOTES!$D$5:$D$1004,MATCH(C1240,LOTES!$F$5:$F$1004,0)),"¿Lote?"))</f>
        <v/>
      </c>
      <c r="E1240" s="11" t="str">
        <f aca="false">IF(C1240="","",IFERROR(INDEX(LOTES!$C$5:$C$1004,MATCH(C1240,LOTES!$F$5:$F$1004,0)),""))</f>
        <v/>
      </c>
      <c r="F1240" s="24" t="str">
        <f aca="false">IF(C1240="","",IFERROR(INDEX(LOTES!$B$5:$B$1004,MATCH(C1240,LOTES!$F$5:$F$1004,0)),""))</f>
        <v/>
      </c>
      <c r="G1240" s="15" t="str">
        <f aca="false">IF(OR(B1240="",F1240=""),"",B1240-F1240)</f>
        <v/>
      </c>
      <c r="H1240" s="13"/>
      <c r="I1240" s="13"/>
      <c r="J1240" s="13"/>
      <c r="K1240" s="25"/>
      <c r="L1240" s="25"/>
      <c r="M1240" s="25"/>
      <c r="N1240" s="25"/>
      <c r="O1240" s="26"/>
      <c r="P1240" s="16" t="str">
        <f aca="false">IF(O1240="","",IFERROR(1/(1/(IF(K1240="",INDEX(CONFIG!$F$5:$F$14,MATCH(D1240,CONFIG!$D$5:$D$14,0)),K1240)*IF(M1240="",INDEX(CONFIG!$H$5:$H$14,MATCH(D1240,CONFIG!$D$5:$D$14,0)),M1240))),""))</f>
        <v/>
      </c>
      <c r="Q1240" s="16" t="str">
        <f aca="false">IF(OR(O1240="",P1240=""),"",O1240/P1240)</f>
        <v/>
      </c>
      <c r="R1240" s="16" t="str">
        <f aca="false">IF(Q1240="","",Q1240*0.0980665)</f>
        <v/>
      </c>
      <c r="S1240" s="16" t="str">
        <f aca="false">IF(Q1240="","",IFERROR(Q1240/(1/(1/INDEX(CONFIG!$I$5:$I$14,MATCH(D1240,CONFIG!$D$5:$D$14,0)))),""))</f>
        <v/>
      </c>
      <c r="T1240" s="13"/>
      <c r="U1240" s="13"/>
      <c r="V1240" s="13"/>
      <c r="W1240" s="13"/>
      <c r="X1240" s="22" t="str">
        <f aca="false">IF(Q1240="","",Q1240^2)</f>
        <v/>
      </c>
      <c r="Y1240" s="22" t="str">
        <f aca="false">IF(AND(C1240&lt;&gt;"",C1240=CERTIFICADO!$E$4,OR(CERTIFICADO!$E$5="",B1240=CERTIFICADO!$E$5)),MAX($Y$4:Y1239)+1,"")</f>
        <v/>
      </c>
    </row>
    <row r="1241" customFormat="false" ht="15" hidden="false" customHeight="false" outlineLevel="0" collapsed="false">
      <c r="A1241" s="11" t="str">
        <f aca="false">IF(C1241="","",ROW()-4)</f>
        <v/>
      </c>
      <c r="B1241" s="12"/>
      <c r="C1241" s="13"/>
      <c r="D1241" s="23" t="str">
        <f aca="false">IF(C1241="","",IFERROR(INDEX(LOTES!$D$5:$D$1004,MATCH(C1241,LOTES!$F$5:$F$1004,0)),"¿Lote?"))</f>
        <v/>
      </c>
      <c r="E1241" s="11" t="str">
        <f aca="false">IF(C1241="","",IFERROR(INDEX(LOTES!$C$5:$C$1004,MATCH(C1241,LOTES!$F$5:$F$1004,0)),""))</f>
        <v/>
      </c>
      <c r="F1241" s="24" t="str">
        <f aca="false">IF(C1241="","",IFERROR(INDEX(LOTES!$B$5:$B$1004,MATCH(C1241,LOTES!$F$5:$F$1004,0)),""))</f>
        <v/>
      </c>
      <c r="G1241" s="15" t="str">
        <f aca="false">IF(OR(B1241="",F1241=""),"",B1241-F1241)</f>
        <v/>
      </c>
      <c r="H1241" s="13"/>
      <c r="I1241" s="13"/>
      <c r="J1241" s="13"/>
      <c r="K1241" s="25"/>
      <c r="L1241" s="25"/>
      <c r="M1241" s="25"/>
      <c r="N1241" s="25"/>
      <c r="O1241" s="26"/>
      <c r="P1241" s="16" t="str">
        <f aca="false">IF(O1241="","",IFERROR(1/(1/(IF(K1241="",INDEX(CONFIG!$F$5:$F$14,MATCH(D1241,CONFIG!$D$5:$D$14,0)),K1241)*IF(M1241="",INDEX(CONFIG!$H$5:$H$14,MATCH(D1241,CONFIG!$D$5:$D$14,0)),M1241))),""))</f>
        <v/>
      </c>
      <c r="Q1241" s="16" t="str">
        <f aca="false">IF(OR(O1241="",P1241=""),"",O1241/P1241)</f>
        <v/>
      </c>
      <c r="R1241" s="16" t="str">
        <f aca="false">IF(Q1241="","",Q1241*0.0980665)</f>
        <v/>
      </c>
      <c r="S1241" s="16" t="str">
        <f aca="false">IF(Q1241="","",IFERROR(Q1241/(1/(1/INDEX(CONFIG!$I$5:$I$14,MATCH(D1241,CONFIG!$D$5:$D$14,0)))),""))</f>
        <v/>
      </c>
      <c r="T1241" s="13"/>
      <c r="U1241" s="13"/>
      <c r="V1241" s="13"/>
      <c r="W1241" s="13"/>
      <c r="X1241" s="22" t="str">
        <f aca="false">IF(Q1241="","",Q1241^2)</f>
        <v/>
      </c>
      <c r="Y1241" s="22" t="str">
        <f aca="false">IF(AND(C1241&lt;&gt;"",C1241=CERTIFICADO!$E$4,OR(CERTIFICADO!$E$5="",B1241=CERTIFICADO!$E$5)),MAX($Y$4:Y1240)+1,"")</f>
        <v/>
      </c>
    </row>
    <row r="1242" customFormat="false" ht="15" hidden="false" customHeight="false" outlineLevel="0" collapsed="false">
      <c r="A1242" s="11" t="str">
        <f aca="false">IF(C1242="","",ROW()-4)</f>
        <v/>
      </c>
      <c r="B1242" s="12"/>
      <c r="C1242" s="13"/>
      <c r="D1242" s="23" t="str">
        <f aca="false">IF(C1242="","",IFERROR(INDEX(LOTES!$D$5:$D$1004,MATCH(C1242,LOTES!$F$5:$F$1004,0)),"¿Lote?"))</f>
        <v/>
      </c>
      <c r="E1242" s="11" t="str">
        <f aca="false">IF(C1242="","",IFERROR(INDEX(LOTES!$C$5:$C$1004,MATCH(C1242,LOTES!$F$5:$F$1004,0)),""))</f>
        <v/>
      </c>
      <c r="F1242" s="24" t="str">
        <f aca="false">IF(C1242="","",IFERROR(INDEX(LOTES!$B$5:$B$1004,MATCH(C1242,LOTES!$F$5:$F$1004,0)),""))</f>
        <v/>
      </c>
      <c r="G1242" s="15" t="str">
        <f aca="false">IF(OR(B1242="",F1242=""),"",B1242-F1242)</f>
        <v/>
      </c>
      <c r="H1242" s="13"/>
      <c r="I1242" s="13"/>
      <c r="J1242" s="13"/>
      <c r="K1242" s="25"/>
      <c r="L1242" s="25"/>
      <c r="M1242" s="25"/>
      <c r="N1242" s="25"/>
      <c r="O1242" s="26"/>
      <c r="P1242" s="16" t="str">
        <f aca="false">IF(O1242="","",IFERROR(1/(1/(IF(K1242="",INDEX(CONFIG!$F$5:$F$14,MATCH(D1242,CONFIG!$D$5:$D$14,0)),K1242)*IF(M1242="",INDEX(CONFIG!$H$5:$H$14,MATCH(D1242,CONFIG!$D$5:$D$14,0)),M1242))),""))</f>
        <v/>
      </c>
      <c r="Q1242" s="16" t="str">
        <f aca="false">IF(OR(O1242="",P1242=""),"",O1242/P1242)</f>
        <v/>
      </c>
      <c r="R1242" s="16" t="str">
        <f aca="false">IF(Q1242="","",Q1242*0.0980665)</f>
        <v/>
      </c>
      <c r="S1242" s="16" t="str">
        <f aca="false">IF(Q1242="","",IFERROR(Q1242/(1/(1/INDEX(CONFIG!$I$5:$I$14,MATCH(D1242,CONFIG!$D$5:$D$14,0)))),""))</f>
        <v/>
      </c>
      <c r="T1242" s="13"/>
      <c r="U1242" s="13"/>
      <c r="V1242" s="13"/>
      <c r="W1242" s="13"/>
      <c r="X1242" s="22" t="str">
        <f aca="false">IF(Q1242="","",Q1242^2)</f>
        <v/>
      </c>
      <c r="Y1242" s="22" t="str">
        <f aca="false">IF(AND(C1242&lt;&gt;"",C1242=CERTIFICADO!$E$4,OR(CERTIFICADO!$E$5="",B1242=CERTIFICADO!$E$5)),MAX($Y$4:Y1241)+1,"")</f>
        <v/>
      </c>
    </row>
    <row r="1243" customFormat="false" ht="15" hidden="false" customHeight="false" outlineLevel="0" collapsed="false">
      <c r="A1243" s="11" t="str">
        <f aca="false">IF(C1243="","",ROW()-4)</f>
        <v/>
      </c>
      <c r="B1243" s="12"/>
      <c r="C1243" s="13"/>
      <c r="D1243" s="23" t="str">
        <f aca="false">IF(C1243="","",IFERROR(INDEX(LOTES!$D$5:$D$1004,MATCH(C1243,LOTES!$F$5:$F$1004,0)),"¿Lote?"))</f>
        <v/>
      </c>
      <c r="E1243" s="11" t="str">
        <f aca="false">IF(C1243="","",IFERROR(INDEX(LOTES!$C$5:$C$1004,MATCH(C1243,LOTES!$F$5:$F$1004,0)),""))</f>
        <v/>
      </c>
      <c r="F1243" s="24" t="str">
        <f aca="false">IF(C1243="","",IFERROR(INDEX(LOTES!$B$5:$B$1004,MATCH(C1243,LOTES!$F$5:$F$1004,0)),""))</f>
        <v/>
      </c>
      <c r="G1243" s="15" t="str">
        <f aca="false">IF(OR(B1243="",F1243=""),"",B1243-F1243)</f>
        <v/>
      </c>
      <c r="H1243" s="13"/>
      <c r="I1243" s="13"/>
      <c r="J1243" s="13"/>
      <c r="K1243" s="25"/>
      <c r="L1243" s="25"/>
      <c r="M1243" s="25"/>
      <c r="N1243" s="25"/>
      <c r="O1243" s="26"/>
      <c r="P1243" s="16" t="str">
        <f aca="false">IF(O1243="","",IFERROR(1/(1/(IF(K1243="",INDEX(CONFIG!$F$5:$F$14,MATCH(D1243,CONFIG!$D$5:$D$14,0)),K1243)*IF(M1243="",INDEX(CONFIG!$H$5:$H$14,MATCH(D1243,CONFIG!$D$5:$D$14,0)),M1243))),""))</f>
        <v/>
      </c>
      <c r="Q1243" s="16" t="str">
        <f aca="false">IF(OR(O1243="",P1243=""),"",O1243/P1243)</f>
        <v/>
      </c>
      <c r="R1243" s="16" t="str">
        <f aca="false">IF(Q1243="","",Q1243*0.0980665)</f>
        <v/>
      </c>
      <c r="S1243" s="16" t="str">
        <f aca="false">IF(Q1243="","",IFERROR(Q1243/(1/(1/INDEX(CONFIG!$I$5:$I$14,MATCH(D1243,CONFIG!$D$5:$D$14,0)))),""))</f>
        <v/>
      </c>
      <c r="T1243" s="13"/>
      <c r="U1243" s="13"/>
      <c r="V1243" s="13"/>
      <c r="W1243" s="13"/>
      <c r="X1243" s="22" t="str">
        <f aca="false">IF(Q1243="","",Q1243^2)</f>
        <v/>
      </c>
      <c r="Y1243" s="22" t="str">
        <f aca="false">IF(AND(C1243&lt;&gt;"",C1243=CERTIFICADO!$E$4,OR(CERTIFICADO!$E$5="",B1243=CERTIFICADO!$E$5)),MAX($Y$4:Y1242)+1,"")</f>
        <v/>
      </c>
    </row>
    <row r="1244" customFormat="false" ht="15" hidden="false" customHeight="false" outlineLevel="0" collapsed="false">
      <c r="A1244" s="11" t="str">
        <f aca="false">IF(C1244="","",ROW()-4)</f>
        <v/>
      </c>
      <c r="B1244" s="12"/>
      <c r="C1244" s="13"/>
      <c r="D1244" s="23" t="str">
        <f aca="false">IF(C1244="","",IFERROR(INDEX(LOTES!$D$5:$D$1004,MATCH(C1244,LOTES!$F$5:$F$1004,0)),"¿Lote?"))</f>
        <v/>
      </c>
      <c r="E1244" s="11" t="str">
        <f aca="false">IF(C1244="","",IFERROR(INDEX(LOTES!$C$5:$C$1004,MATCH(C1244,LOTES!$F$5:$F$1004,0)),""))</f>
        <v/>
      </c>
      <c r="F1244" s="24" t="str">
        <f aca="false">IF(C1244="","",IFERROR(INDEX(LOTES!$B$5:$B$1004,MATCH(C1244,LOTES!$F$5:$F$1004,0)),""))</f>
        <v/>
      </c>
      <c r="G1244" s="15" t="str">
        <f aca="false">IF(OR(B1244="",F1244=""),"",B1244-F1244)</f>
        <v/>
      </c>
      <c r="H1244" s="13"/>
      <c r="I1244" s="13"/>
      <c r="J1244" s="13"/>
      <c r="K1244" s="25"/>
      <c r="L1244" s="25"/>
      <c r="M1244" s="25"/>
      <c r="N1244" s="25"/>
      <c r="O1244" s="26"/>
      <c r="P1244" s="16" t="str">
        <f aca="false">IF(O1244="","",IFERROR(1/(1/(IF(K1244="",INDEX(CONFIG!$F$5:$F$14,MATCH(D1244,CONFIG!$D$5:$D$14,0)),K1244)*IF(M1244="",INDEX(CONFIG!$H$5:$H$14,MATCH(D1244,CONFIG!$D$5:$D$14,0)),M1244))),""))</f>
        <v/>
      </c>
      <c r="Q1244" s="16" t="str">
        <f aca="false">IF(OR(O1244="",P1244=""),"",O1244/P1244)</f>
        <v/>
      </c>
      <c r="R1244" s="16" t="str">
        <f aca="false">IF(Q1244="","",Q1244*0.0980665)</f>
        <v/>
      </c>
      <c r="S1244" s="16" t="str">
        <f aca="false">IF(Q1244="","",IFERROR(Q1244/(1/(1/INDEX(CONFIG!$I$5:$I$14,MATCH(D1244,CONFIG!$D$5:$D$14,0)))),""))</f>
        <v/>
      </c>
      <c r="T1244" s="13"/>
      <c r="U1244" s="13"/>
      <c r="V1244" s="13"/>
      <c r="W1244" s="13"/>
      <c r="X1244" s="22" t="str">
        <f aca="false">IF(Q1244="","",Q1244^2)</f>
        <v/>
      </c>
      <c r="Y1244" s="22" t="str">
        <f aca="false">IF(AND(C1244&lt;&gt;"",C1244=CERTIFICADO!$E$4,OR(CERTIFICADO!$E$5="",B1244=CERTIFICADO!$E$5)),MAX($Y$4:Y1243)+1,"")</f>
        <v/>
      </c>
    </row>
    <row r="1245" customFormat="false" ht="15" hidden="false" customHeight="false" outlineLevel="0" collapsed="false">
      <c r="A1245" s="11" t="str">
        <f aca="false">IF(C1245="","",ROW()-4)</f>
        <v/>
      </c>
      <c r="B1245" s="12"/>
      <c r="C1245" s="13"/>
      <c r="D1245" s="23" t="str">
        <f aca="false">IF(C1245="","",IFERROR(INDEX(LOTES!$D$5:$D$1004,MATCH(C1245,LOTES!$F$5:$F$1004,0)),"¿Lote?"))</f>
        <v/>
      </c>
      <c r="E1245" s="11" t="str">
        <f aca="false">IF(C1245="","",IFERROR(INDEX(LOTES!$C$5:$C$1004,MATCH(C1245,LOTES!$F$5:$F$1004,0)),""))</f>
        <v/>
      </c>
      <c r="F1245" s="24" t="str">
        <f aca="false">IF(C1245="","",IFERROR(INDEX(LOTES!$B$5:$B$1004,MATCH(C1245,LOTES!$F$5:$F$1004,0)),""))</f>
        <v/>
      </c>
      <c r="G1245" s="15" t="str">
        <f aca="false">IF(OR(B1245="",F1245=""),"",B1245-F1245)</f>
        <v/>
      </c>
      <c r="H1245" s="13"/>
      <c r="I1245" s="13"/>
      <c r="J1245" s="13"/>
      <c r="K1245" s="25"/>
      <c r="L1245" s="25"/>
      <c r="M1245" s="25"/>
      <c r="N1245" s="25"/>
      <c r="O1245" s="26"/>
      <c r="P1245" s="16" t="str">
        <f aca="false">IF(O1245="","",IFERROR(1/(1/(IF(K1245="",INDEX(CONFIG!$F$5:$F$14,MATCH(D1245,CONFIG!$D$5:$D$14,0)),K1245)*IF(M1245="",INDEX(CONFIG!$H$5:$H$14,MATCH(D1245,CONFIG!$D$5:$D$14,0)),M1245))),""))</f>
        <v/>
      </c>
      <c r="Q1245" s="16" t="str">
        <f aca="false">IF(OR(O1245="",P1245=""),"",O1245/P1245)</f>
        <v/>
      </c>
      <c r="R1245" s="16" t="str">
        <f aca="false">IF(Q1245="","",Q1245*0.0980665)</f>
        <v/>
      </c>
      <c r="S1245" s="16" t="str">
        <f aca="false">IF(Q1245="","",IFERROR(Q1245/(1/(1/INDEX(CONFIG!$I$5:$I$14,MATCH(D1245,CONFIG!$D$5:$D$14,0)))),""))</f>
        <v/>
      </c>
      <c r="T1245" s="13"/>
      <c r="U1245" s="13"/>
      <c r="V1245" s="13"/>
      <c r="W1245" s="13"/>
      <c r="X1245" s="22" t="str">
        <f aca="false">IF(Q1245="","",Q1245^2)</f>
        <v/>
      </c>
      <c r="Y1245" s="22" t="str">
        <f aca="false">IF(AND(C1245&lt;&gt;"",C1245=CERTIFICADO!$E$4,OR(CERTIFICADO!$E$5="",B1245=CERTIFICADO!$E$5)),MAX($Y$4:Y1244)+1,"")</f>
        <v/>
      </c>
    </row>
    <row r="1246" customFormat="false" ht="15" hidden="false" customHeight="false" outlineLevel="0" collapsed="false">
      <c r="A1246" s="11" t="str">
        <f aca="false">IF(C1246="","",ROW()-4)</f>
        <v/>
      </c>
      <c r="B1246" s="12"/>
      <c r="C1246" s="13"/>
      <c r="D1246" s="23" t="str">
        <f aca="false">IF(C1246="","",IFERROR(INDEX(LOTES!$D$5:$D$1004,MATCH(C1246,LOTES!$F$5:$F$1004,0)),"¿Lote?"))</f>
        <v/>
      </c>
      <c r="E1246" s="11" t="str">
        <f aca="false">IF(C1246="","",IFERROR(INDEX(LOTES!$C$5:$C$1004,MATCH(C1246,LOTES!$F$5:$F$1004,0)),""))</f>
        <v/>
      </c>
      <c r="F1246" s="24" t="str">
        <f aca="false">IF(C1246="","",IFERROR(INDEX(LOTES!$B$5:$B$1004,MATCH(C1246,LOTES!$F$5:$F$1004,0)),""))</f>
        <v/>
      </c>
      <c r="G1246" s="15" t="str">
        <f aca="false">IF(OR(B1246="",F1246=""),"",B1246-F1246)</f>
        <v/>
      </c>
      <c r="H1246" s="13"/>
      <c r="I1246" s="13"/>
      <c r="J1246" s="13"/>
      <c r="K1246" s="25"/>
      <c r="L1246" s="25"/>
      <c r="M1246" s="25"/>
      <c r="N1246" s="25"/>
      <c r="O1246" s="26"/>
      <c r="P1246" s="16" t="str">
        <f aca="false">IF(O1246="","",IFERROR(1/(1/(IF(K1246="",INDEX(CONFIG!$F$5:$F$14,MATCH(D1246,CONFIG!$D$5:$D$14,0)),K1246)*IF(M1246="",INDEX(CONFIG!$H$5:$H$14,MATCH(D1246,CONFIG!$D$5:$D$14,0)),M1246))),""))</f>
        <v/>
      </c>
      <c r="Q1246" s="16" t="str">
        <f aca="false">IF(OR(O1246="",P1246=""),"",O1246/P1246)</f>
        <v/>
      </c>
      <c r="R1246" s="16" t="str">
        <f aca="false">IF(Q1246="","",Q1246*0.0980665)</f>
        <v/>
      </c>
      <c r="S1246" s="16" t="str">
        <f aca="false">IF(Q1246="","",IFERROR(Q1246/(1/(1/INDEX(CONFIG!$I$5:$I$14,MATCH(D1246,CONFIG!$D$5:$D$14,0)))),""))</f>
        <v/>
      </c>
      <c r="T1246" s="13"/>
      <c r="U1246" s="13"/>
      <c r="V1246" s="13"/>
      <c r="W1246" s="13"/>
      <c r="X1246" s="22" t="str">
        <f aca="false">IF(Q1246="","",Q1246^2)</f>
        <v/>
      </c>
      <c r="Y1246" s="22" t="str">
        <f aca="false">IF(AND(C1246&lt;&gt;"",C1246=CERTIFICADO!$E$4,OR(CERTIFICADO!$E$5="",B1246=CERTIFICADO!$E$5)),MAX($Y$4:Y1245)+1,"")</f>
        <v/>
      </c>
    </row>
    <row r="1247" customFormat="false" ht="15" hidden="false" customHeight="false" outlineLevel="0" collapsed="false">
      <c r="A1247" s="11" t="str">
        <f aca="false">IF(C1247="","",ROW()-4)</f>
        <v/>
      </c>
      <c r="B1247" s="12"/>
      <c r="C1247" s="13"/>
      <c r="D1247" s="23" t="str">
        <f aca="false">IF(C1247="","",IFERROR(INDEX(LOTES!$D$5:$D$1004,MATCH(C1247,LOTES!$F$5:$F$1004,0)),"¿Lote?"))</f>
        <v/>
      </c>
      <c r="E1247" s="11" t="str">
        <f aca="false">IF(C1247="","",IFERROR(INDEX(LOTES!$C$5:$C$1004,MATCH(C1247,LOTES!$F$5:$F$1004,0)),""))</f>
        <v/>
      </c>
      <c r="F1247" s="24" t="str">
        <f aca="false">IF(C1247="","",IFERROR(INDEX(LOTES!$B$5:$B$1004,MATCH(C1247,LOTES!$F$5:$F$1004,0)),""))</f>
        <v/>
      </c>
      <c r="G1247" s="15" t="str">
        <f aca="false">IF(OR(B1247="",F1247=""),"",B1247-F1247)</f>
        <v/>
      </c>
      <c r="H1247" s="13"/>
      <c r="I1247" s="13"/>
      <c r="J1247" s="13"/>
      <c r="K1247" s="25"/>
      <c r="L1247" s="25"/>
      <c r="M1247" s="25"/>
      <c r="N1247" s="25"/>
      <c r="O1247" s="26"/>
      <c r="P1247" s="16" t="str">
        <f aca="false">IF(O1247="","",IFERROR(1/(1/(IF(K1247="",INDEX(CONFIG!$F$5:$F$14,MATCH(D1247,CONFIG!$D$5:$D$14,0)),K1247)*IF(M1247="",INDEX(CONFIG!$H$5:$H$14,MATCH(D1247,CONFIG!$D$5:$D$14,0)),M1247))),""))</f>
        <v/>
      </c>
      <c r="Q1247" s="16" t="str">
        <f aca="false">IF(OR(O1247="",P1247=""),"",O1247/P1247)</f>
        <v/>
      </c>
      <c r="R1247" s="16" t="str">
        <f aca="false">IF(Q1247="","",Q1247*0.0980665)</f>
        <v/>
      </c>
      <c r="S1247" s="16" t="str">
        <f aca="false">IF(Q1247="","",IFERROR(Q1247/(1/(1/INDEX(CONFIG!$I$5:$I$14,MATCH(D1247,CONFIG!$D$5:$D$14,0)))),""))</f>
        <v/>
      </c>
      <c r="T1247" s="13"/>
      <c r="U1247" s="13"/>
      <c r="V1247" s="13"/>
      <c r="W1247" s="13"/>
      <c r="X1247" s="22" t="str">
        <f aca="false">IF(Q1247="","",Q1247^2)</f>
        <v/>
      </c>
      <c r="Y1247" s="22" t="str">
        <f aca="false">IF(AND(C1247&lt;&gt;"",C1247=CERTIFICADO!$E$4,OR(CERTIFICADO!$E$5="",B1247=CERTIFICADO!$E$5)),MAX($Y$4:Y1246)+1,"")</f>
        <v/>
      </c>
    </row>
    <row r="1248" customFormat="false" ht="15" hidden="false" customHeight="false" outlineLevel="0" collapsed="false">
      <c r="A1248" s="11" t="str">
        <f aca="false">IF(C1248="","",ROW()-4)</f>
        <v/>
      </c>
      <c r="B1248" s="12"/>
      <c r="C1248" s="13"/>
      <c r="D1248" s="23" t="str">
        <f aca="false">IF(C1248="","",IFERROR(INDEX(LOTES!$D$5:$D$1004,MATCH(C1248,LOTES!$F$5:$F$1004,0)),"¿Lote?"))</f>
        <v/>
      </c>
      <c r="E1248" s="11" t="str">
        <f aca="false">IF(C1248="","",IFERROR(INDEX(LOTES!$C$5:$C$1004,MATCH(C1248,LOTES!$F$5:$F$1004,0)),""))</f>
        <v/>
      </c>
      <c r="F1248" s="24" t="str">
        <f aca="false">IF(C1248="","",IFERROR(INDEX(LOTES!$B$5:$B$1004,MATCH(C1248,LOTES!$F$5:$F$1004,0)),""))</f>
        <v/>
      </c>
      <c r="G1248" s="15" t="str">
        <f aca="false">IF(OR(B1248="",F1248=""),"",B1248-F1248)</f>
        <v/>
      </c>
      <c r="H1248" s="13"/>
      <c r="I1248" s="13"/>
      <c r="J1248" s="13"/>
      <c r="K1248" s="25"/>
      <c r="L1248" s="25"/>
      <c r="M1248" s="25"/>
      <c r="N1248" s="25"/>
      <c r="O1248" s="26"/>
      <c r="P1248" s="16" t="str">
        <f aca="false">IF(O1248="","",IFERROR(1/(1/(IF(K1248="",INDEX(CONFIG!$F$5:$F$14,MATCH(D1248,CONFIG!$D$5:$D$14,0)),K1248)*IF(M1248="",INDEX(CONFIG!$H$5:$H$14,MATCH(D1248,CONFIG!$D$5:$D$14,0)),M1248))),""))</f>
        <v/>
      </c>
      <c r="Q1248" s="16" t="str">
        <f aca="false">IF(OR(O1248="",P1248=""),"",O1248/P1248)</f>
        <v/>
      </c>
      <c r="R1248" s="16" t="str">
        <f aca="false">IF(Q1248="","",Q1248*0.0980665)</f>
        <v/>
      </c>
      <c r="S1248" s="16" t="str">
        <f aca="false">IF(Q1248="","",IFERROR(Q1248/(1/(1/INDEX(CONFIG!$I$5:$I$14,MATCH(D1248,CONFIG!$D$5:$D$14,0)))),""))</f>
        <v/>
      </c>
      <c r="T1248" s="13"/>
      <c r="U1248" s="13"/>
      <c r="V1248" s="13"/>
      <c r="W1248" s="13"/>
      <c r="X1248" s="22" t="str">
        <f aca="false">IF(Q1248="","",Q1248^2)</f>
        <v/>
      </c>
      <c r="Y1248" s="22" t="str">
        <f aca="false">IF(AND(C1248&lt;&gt;"",C1248=CERTIFICADO!$E$4,OR(CERTIFICADO!$E$5="",B1248=CERTIFICADO!$E$5)),MAX($Y$4:Y1247)+1,"")</f>
        <v/>
      </c>
    </row>
    <row r="1249" customFormat="false" ht="15" hidden="false" customHeight="false" outlineLevel="0" collapsed="false">
      <c r="A1249" s="11" t="str">
        <f aca="false">IF(C1249="","",ROW()-4)</f>
        <v/>
      </c>
      <c r="B1249" s="12"/>
      <c r="C1249" s="13"/>
      <c r="D1249" s="23" t="str">
        <f aca="false">IF(C1249="","",IFERROR(INDEX(LOTES!$D$5:$D$1004,MATCH(C1249,LOTES!$F$5:$F$1004,0)),"¿Lote?"))</f>
        <v/>
      </c>
      <c r="E1249" s="11" t="str">
        <f aca="false">IF(C1249="","",IFERROR(INDEX(LOTES!$C$5:$C$1004,MATCH(C1249,LOTES!$F$5:$F$1004,0)),""))</f>
        <v/>
      </c>
      <c r="F1249" s="24" t="str">
        <f aca="false">IF(C1249="","",IFERROR(INDEX(LOTES!$B$5:$B$1004,MATCH(C1249,LOTES!$F$5:$F$1004,0)),""))</f>
        <v/>
      </c>
      <c r="G1249" s="15" t="str">
        <f aca="false">IF(OR(B1249="",F1249=""),"",B1249-F1249)</f>
        <v/>
      </c>
      <c r="H1249" s="13"/>
      <c r="I1249" s="13"/>
      <c r="J1249" s="13"/>
      <c r="K1249" s="25"/>
      <c r="L1249" s="25"/>
      <c r="M1249" s="25"/>
      <c r="N1249" s="25"/>
      <c r="O1249" s="26"/>
      <c r="P1249" s="16" t="str">
        <f aca="false">IF(O1249="","",IFERROR(1/(1/(IF(K1249="",INDEX(CONFIG!$F$5:$F$14,MATCH(D1249,CONFIG!$D$5:$D$14,0)),K1249)*IF(M1249="",INDEX(CONFIG!$H$5:$H$14,MATCH(D1249,CONFIG!$D$5:$D$14,0)),M1249))),""))</f>
        <v/>
      </c>
      <c r="Q1249" s="16" t="str">
        <f aca="false">IF(OR(O1249="",P1249=""),"",O1249/P1249)</f>
        <v/>
      </c>
      <c r="R1249" s="16" t="str">
        <f aca="false">IF(Q1249="","",Q1249*0.0980665)</f>
        <v/>
      </c>
      <c r="S1249" s="16" t="str">
        <f aca="false">IF(Q1249="","",IFERROR(Q1249/(1/(1/INDEX(CONFIG!$I$5:$I$14,MATCH(D1249,CONFIG!$D$5:$D$14,0)))),""))</f>
        <v/>
      </c>
      <c r="T1249" s="13"/>
      <c r="U1249" s="13"/>
      <c r="V1249" s="13"/>
      <c r="W1249" s="13"/>
      <c r="X1249" s="22" t="str">
        <f aca="false">IF(Q1249="","",Q1249^2)</f>
        <v/>
      </c>
      <c r="Y1249" s="22" t="str">
        <f aca="false">IF(AND(C1249&lt;&gt;"",C1249=CERTIFICADO!$E$4,OR(CERTIFICADO!$E$5="",B1249=CERTIFICADO!$E$5)),MAX($Y$4:Y1248)+1,"")</f>
        <v/>
      </c>
    </row>
    <row r="1250" customFormat="false" ht="15" hidden="false" customHeight="false" outlineLevel="0" collapsed="false">
      <c r="A1250" s="11" t="str">
        <f aca="false">IF(C1250="","",ROW()-4)</f>
        <v/>
      </c>
      <c r="B1250" s="12"/>
      <c r="C1250" s="13"/>
      <c r="D1250" s="23" t="str">
        <f aca="false">IF(C1250="","",IFERROR(INDEX(LOTES!$D$5:$D$1004,MATCH(C1250,LOTES!$F$5:$F$1004,0)),"¿Lote?"))</f>
        <v/>
      </c>
      <c r="E1250" s="11" t="str">
        <f aca="false">IF(C1250="","",IFERROR(INDEX(LOTES!$C$5:$C$1004,MATCH(C1250,LOTES!$F$5:$F$1004,0)),""))</f>
        <v/>
      </c>
      <c r="F1250" s="24" t="str">
        <f aca="false">IF(C1250="","",IFERROR(INDEX(LOTES!$B$5:$B$1004,MATCH(C1250,LOTES!$F$5:$F$1004,0)),""))</f>
        <v/>
      </c>
      <c r="G1250" s="15" t="str">
        <f aca="false">IF(OR(B1250="",F1250=""),"",B1250-F1250)</f>
        <v/>
      </c>
      <c r="H1250" s="13"/>
      <c r="I1250" s="13"/>
      <c r="J1250" s="13"/>
      <c r="K1250" s="25"/>
      <c r="L1250" s="25"/>
      <c r="M1250" s="25"/>
      <c r="N1250" s="25"/>
      <c r="O1250" s="26"/>
      <c r="P1250" s="16" t="str">
        <f aca="false">IF(O1250="","",IFERROR(1/(1/(IF(K1250="",INDEX(CONFIG!$F$5:$F$14,MATCH(D1250,CONFIG!$D$5:$D$14,0)),K1250)*IF(M1250="",INDEX(CONFIG!$H$5:$H$14,MATCH(D1250,CONFIG!$D$5:$D$14,0)),M1250))),""))</f>
        <v/>
      </c>
      <c r="Q1250" s="16" t="str">
        <f aca="false">IF(OR(O1250="",P1250=""),"",O1250/P1250)</f>
        <v/>
      </c>
      <c r="R1250" s="16" t="str">
        <f aca="false">IF(Q1250="","",Q1250*0.0980665)</f>
        <v/>
      </c>
      <c r="S1250" s="16" t="str">
        <f aca="false">IF(Q1250="","",IFERROR(Q1250/(1/(1/INDEX(CONFIG!$I$5:$I$14,MATCH(D1250,CONFIG!$D$5:$D$14,0)))),""))</f>
        <v/>
      </c>
      <c r="T1250" s="13"/>
      <c r="U1250" s="13"/>
      <c r="V1250" s="13"/>
      <c r="W1250" s="13"/>
      <c r="X1250" s="22" t="str">
        <f aca="false">IF(Q1250="","",Q1250^2)</f>
        <v/>
      </c>
      <c r="Y1250" s="22" t="str">
        <f aca="false">IF(AND(C1250&lt;&gt;"",C1250=CERTIFICADO!$E$4,OR(CERTIFICADO!$E$5="",B1250=CERTIFICADO!$E$5)),MAX($Y$4:Y1249)+1,"")</f>
        <v/>
      </c>
    </row>
    <row r="1251" customFormat="false" ht="15" hidden="false" customHeight="false" outlineLevel="0" collapsed="false">
      <c r="A1251" s="11" t="str">
        <f aca="false">IF(C1251="","",ROW()-4)</f>
        <v/>
      </c>
      <c r="B1251" s="12"/>
      <c r="C1251" s="13"/>
      <c r="D1251" s="23" t="str">
        <f aca="false">IF(C1251="","",IFERROR(INDEX(LOTES!$D$5:$D$1004,MATCH(C1251,LOTES!$F$5:$F$1004,0)),"¿Lote?"))</f>
        <v/>
      </c>
      <c r="E1251" s="11" t="str">
        <f aca="false">IF(C1251="","",IFERROR(INDEX(LOTES!$C$5:$C$1004,MATCH(C1251,LOTES!$F$5:$F$1004,0)),""))</f>
        <v/>
      </c>
      <c r="F1251" s="24" t="str">
        <f aca="false">IF(C1251="","",IFERROR(INDEX(LOTES!$B$5:$B$1004,MATCH(C1251,LOTES!$F$5:$F$1004,0)),""))</f>
        <v/>
      </c>
      <c r="G1251" s="15" t="str">
        <f aca="false">IF(OR(B1251="",F1251=""),"",B1251-F1251)</f>
        <v/>
      </c>
      <c r="H1251" s="13"/>
      <c r="I1251" s="13"/>
      <c r="J1251" s="13"/>
      <c r="K1251" s="25"/>
      <c r="L1251" s="25"/>
      <c r="M1251" s="25"/>
      <c r="N1251" s="25"/>
      <c r="O1251" s="26"/>
      <c r="P1251" s="16" t="str">
        <f aca="false">IF(O1251="","",IFERROR(1/(1/(IF(K1251="",INDEX(CONFIG!$F$5:$F$14,MATCH(D1251,CONFIG!$D$5:$D$14,0)),K1251)*IF(M1251="",INDEX(CONFIG!$H$5:$H$14,MATCH(D1251,CONFIG!$D$5:$D$14,0)),M1251))),""))</f>
        <v/>
      </c>
      <c r="Q1251" s="16" t="str">
        <f aca="false">IF(OR(O1251="",P1251=""),"",O1251/P1251)</f>
        <v/>
      </c>
      <c r="R1251" s="16" t="str">
        <f aca="false">IF(Q1251="","",Q1251*0.0980665)</f>
        <v/>
      </c>
      <c r="S1251" s="16" t="str">
        <f aca="false">IF(Q1251="","",IFERROR(Q1251/(1/(1/INDEX(CONFIG!$I$5:$I$14,MATCH(D1251,CONFIG!$D$5:$D$14,0)))),""))</f>
        <v/>
      </c>
      <c r="T1251" s="13"/>
      <c r="U1251" s="13"/>
      <c r="V1251" s="13"/>
      <c r="W1251" s="13"/>
      <c r="X1251" s="22" t="str">
        <f aca="false">IF(Q1251="","",Q1251^2)</f>
        <v/>
      </c>
      <c r="Y1251" s="22" t="str">
        <f aca="false">IF(AND(C1251&lt;&gt;"",C1251=CERTIFICADO!$E$4,OR(CERTIFICADO!$E$5="",B1251=CERTIFICADO!$E$5)),MAX($Y$4:Y1250)+1,"")</f>
        <v/>
      </c>
    </row>
    <row r="1252" customFormat="false" ht="15" hidden="false" customHeight="false" outlineLevel="0" collapsed="false">
      <c r="A1252" s="11" t="str">
        <f aca="false">IF(C1252="","",ROW()-4)</f>
        <v/>
      </c>
      <c r="B1252" s="12"/>
      <c r="C1252" s="13"/>
      <c r="D1252" s="23" t="str">
        <f aca="false">IF(C1252="","",IFERROR(INDEX(LOTES!$D$5:$D$1004,MATCH(C1252,LOTES!$F$5:$F$1004,0)),"¿Lote?"))</f>
        <v/>
      </c>
      <c r="E1252" s="11" t="str">
        <f aca="false">IF(C1252="","",IFERROR(INDEX(LOTES!$C$5:$C$1004,MATCH(C1252,LOTES!$F$5:$F$1004,0)),""))</f>
        <v/>
      </c>
      <c r="F1252" s="24" t="str">
        <f aca="false">IF(C1252="","",IFERROR(INDEX(LOTES!$B$5:$B$1004,MATCH(C1252,LOTES!$F$5:$F$1004,0)),""))</f>
        <v/>
      </c>
      <c r="G1252" s="15" t="str">
        <f aca="false">IF(OR(B1252="",F1252=""),"",B1252-F1252)</f>
        <v/>
      </c>
      <c r="H1252" s="13"/>
      <c r="I1252" s="13"/>
      <c r="J1252" s="13"/>
      <c r="K1252" s="25"/>
      <c r="L1252" s="25"/>
      <c r="M1252" s="25"/>
      <c r="N1252" s="25"/>
      <c r="O1252" s="26"/>
      <c r="P1252" s="16" t="str">
        <f aca="false">IF(O1252="","",IFERROR(1/(1/(IF(K1252="",INDEX(CONFIG!$F$5:$F$14,MATCH(D1252,CONFIG!$D$5:$D$14,0)),K1252)*IF(M1252="",INDEX(CONFIG!$H$5:$H$14,MATCH(D1252,CONFIG!$D$5:$D$14,0)),M1252))),""))</f>
        <v/>
      </c>
      <c r="Q1252" s="16" t="str">
        <f aca="false">IF(OR(O1252="",P1252=""),"",O1252/P1252)</f>
        <v/>
      </c>
      <c r="R1252" s="16" t="str">
        <f aca="false">IF(Q1252="","",Q1252*0.0980665)</f>
        <v/>
      </c>
      <c r="S1252" s="16" t="str">
        <f aca="false">IF(Q1252="","",IFERROR(Q1252/(1/(1/INDEX(CONFIG!$I$5:$I$14,MATCH(D1252,CONFIG!$D$5:$D$14,0)))),""))</f>
        <v/>
      </c>
      <c r="T1252" s="13"/>
      <c r="U1252" s="13"/>
      <c r="V1252" s="13"/>
      <c r="W1252" s="13"/>
      <c r="X1252" s="22" t="str">
        <f aca="false">IF(Q1252="","",Q1252^2)</f>
        <v/>
      </c>
      <c r="Y1252" s="22" t="str">
        <f aca="false">IF(AND(C1252&lt;&gt;"",C1252=CERTIFICADO!$E$4,OR(CERTIFICADO!$E$5="",B1252=CERTIFICADO!$E$5)),MAX($Y$4:Y1251)+1,"")</f>
        <v/>
      </c>
    </row>
    <row r="1253" customFormat="false" ht="15" hidden="false" customHeight="false" outlineLevel="0" collapsed="false">
      <c r="A1253" s="11" t="str">
        <f aca="false">IF(C1253="","",ROW()-4)</f>
        <v/>
      </c>
      <c r="B1253" s="12"/>
      <c r="C1253" s="13"/>
      <c r="D1253" s="23" t="str">
        <f aca="false">IF(C1253="","",IFERROR(INDEX(LOTES!$D$5:$D$1004,MATCH(C1253,LOTES!$F$5:$F$1004,0)),"¿Lote?"))</f>
        <v/>
      </c>
      <c r="E1253" s="11" t="str">
        <f aca="false">IF(C1253="","",IFERROR(INDEX(LOTES!$C$5:$C$1004,MATCH(C1253,LOTES!$F$5:$F$1004,0)),""))</f>
        <v/>
      </c>
      <c r="F1253" s="24" t="str">
        <f aca="false">IF(C1253="","",IFERROR(INDEX(LOTES!$B$5:$B$1004,MATCH(C1253,LOTES!$F$5:$F$1004,0)),""))</f>
        <v/>
      </c>
      <c r="G1253" s="15" t="str">
        <f aca="false">IF(OR(B1253="",F1253=""),"",B1253-F1253)</f>
        <v/>
      </c>
      <c r="H1253" s="13"/>
      <c r="I1253" s="13"/>
      <c r="J1253" s="13"/>
      <c r="K1253" s="25"/>
      <c r="L1253" s="25"/>
      <c r="M1253" s="25"/>
      <c r="N1253" s="25"/>
      <c r="O1253" s="26"/>
      <c r="P1253" s="16" t="str">
        <f aca="false">IF(O1253="","",IFERROR(1/(1/(IF(K1253="",INDEX(CONFIG!$F$5:$F$14,MATCH(D1253,CONFIG!$D$5:$D$14,0)),K1253)*IF(M1253="",INDEX(CONFIG!$H$5:$H$14,MATCH(D1253,CONFIG!$D$5:$D$14,0)),M1253))),""))</f>
        <v/>
      </c>
      <c r="Q1253" s="16" t="str">
        <f aca="false">IF(OR(O1253="",P1253=""),"",O1253/P1253)</f>
        <v/>
      </c>
      <c r="R1253" s="16" t="str">
        <f aca="false">IF(Q1253="","",Q1253*0.0980665)</f>
        <v/>
      </c>
      <c r="S1253" s="16" t="str">
        <f aca="false">IF(Q1253="","",IFERROR(Q1253/(1/(1/INDEX(CONFIG!$I$5:$I$14,MATCH(D1253,CONFIG!$D$5:$D$14,0)))),""))</f>
        <v/>
      </c>
      <c r="T1253" s="13"/>
      <c r="U1253" s="13"/>
      <c r="V1253" s="13"/>
      <c r="W1253" s="13"/>
      <c r="X1253" s="22" t="str">
        <f aca="false">IF(Q1253="","",Q1253^2)</f>
        <v/>
      </c>
      <c r="Y1253" s="22" t="str">
        <f aca="false">IF(AND(C1253&lt;&gt;"",C1253=CERTIFICADO!$E$4,OR(CERTIFICADO!$E$5="",B1253=CERTIFICADO!$E$5)),MAX($Y$4:Y1252)+1,"")</f>
        <v/>
      </c>
    </row>
    <row r="1254" customFormat="false" ht="15" hidden="false" customHeight="false" outlineLevel="0" collapsed="false">
      <c r="A1254" s="11" t="str">
        <f aca="false">IF(C1254="","",ROW()-4)</f>
        <v/>
      </c>
      <c r="B1254" s="12"/>
      <c r="C1254" s="13"/>
      <c r="D1254" s="23" t="str">
        <f aca="false">IF(C1254="","",IFERROR(INDEX(LOTES!$D$5:$D$1004,MATCH(C1254,LOTES!$F$5:$F$1004,0)),"¿Lote?"))</f>
        <v/>
      </c>
      <c r="E1254" s="11" t="str">
        <f aca="false">IF(C1254="","",IFERROR(INDEX(LOTES!$C$5:$C$1004,MATCH(C1254,LOTES!$F$5:$F$1004,0)),""))</f>
        <v/>
      </c>
      <c r="F1254" s="24" t="str">
        <f aca="false">IF(C1254="","",IFERROR(INDEX(LOTES!$B$5:$B$1004,MATCH(C1254,LOTES!$F$5:$F$1004,0)),""))</f>
        <v/>
      </c>
      <c r="G1254" s="15" t="str">
        <f aca="false">IF(OR(B1254="",F1254=""),"",B1254-F1254)</f>
        <v/>
      </c>
      <c r="H1254" s="13"/>
      <c r="I1254" s="13"/>
      <c r="J1254" s="13"/>
      <c r="K1254" s="25"/>
      <c r="L1254" s="25"/>
      <c r="M1254" s="25"/>
      <c r="N1254" s="25"/>
      <c r="O1254" s="26"/>
      <c r="P1254" s="16" t="str">
        <f aca="false">IF(O1254="","",IFERROR(1/(1/(IF(K1254="",INDEX(CONFIG!$F$5:$F$14,MATCH(D1254,CONFIG!$D$5:$D$14,0)),K1254)*IF(M1254="",INDEX(CONFIG!$H$5:$H$14,MATCH(D1254,CONFIG!$D$5:$D$14,0)),M1254))),""))</f>
        <v/>
      </c>
      <c r="Q1254" s="16" t="str">
        <f aca="false">IF(OR(O1254="",P1254=""),"",O1254/P1254)</f>
        <v/>
      </c>
      <c r="R1254" s="16" t="str">
        <f aca="false">IF(Q1254="","",Q1254*0.0980665)</f>
        <v/>
      </c>
      <c r="S1254" s="16" t="str">
        <f aca="false">IF(Q1254="","",IFERROR(Q1254/(1/(1/INDEX(CONFIG!$I$5:$I$14,MATCH(D1254,CONFIG!$D$5:$D$14,0)))),""))</f>
        <v/>
      </c>
      <c r="T1254" s="13"/>
      <c r="U1254" s="13"/>
      <c r="V1254" s="13"/>
      <c r="W1254" s="13"/>
      <c r="X1254" s="22" t="str">
        <f aca="false">IF(Q1254="","",Q1254^2)</f>
        <v/>
      </c>
      <c r="Y1254" s="22" t="str">
        <f aca="false">IF(AND(C1254&lt;&gt;"",C1254=CERTIFICADO!$E$4,OR(CERTIFICADO!$E$5="",B1254=CERTIFICADO!$E$5)),MAX($Y$4:Y1253)+1,"")</f>
        <v/>
      </c>
    </row>
    <row r="1255" customFormat="false" ht="15" hidden="false" customHeight="false" outlineLevel="0" collapsed="false">
      <c r="A1255" s="11" t="str">
        <f aca="false">IF(C1255="","",ROW()-4)</f>
        <v/>
      </c>
      <c r="B1255" s="12"/>
      <c r="C1255" s="13"/>
      <c r="D1255" s="23" t="str">
        <f aca="false">IF(C1255="","",IFERROR(INDEX(LOTES!$D$5:$D$1004,MATCH(C1255,LOTES!$F$5:$F$1004,0)),"¿Lote?"))</f>
        <v/>
      </c>
      <c r="E1255" s="11" t="str">
        <f aca="false">IF(C1255="","",IFERROR(INDEX(LOTES!$C$5:$C$1004,MATCH(C1255,LOTES!$F$5:$F$1004,0)),""))</f>
        <v/>
      </c>
      <c r="F1255" s="24" t="str">
        <f aca="false">IF(C1255="","",IFERROR(INDEX(LOTES!$B$5:$B$1004,MATCH(C1255,LOTES!$F$5:$F$1004,0)),""))</f>
        <v/>
      </c>
      <c r="G1255" s="15" t="str">
        <f aca="false">IF(OR(B1255="",F1255=""),"",B1255-F1255)</f>
        <v/>
      </c>
      <c r="H1255" s="13"/>
      <c r="I1255" s="13"/>
      <c r="J1255" s="13"/>
      <c r="K1255" s="25"/>
      <c r="L1255" s="25"/>
      <c r="M1255" s="25"/>
      <c r="N1255" s="25"/>
      <c r="O1255" s="26"/>
      <c r="P1255" s="16" t="str">
        <f aca="false">IF(O1255="","",IFERROR(1/(1/(IF(K1255="",INDEX(CONFIG!$F$5:$F$14,MATCH(D1255,CONFIG!$D$5:$D$14,0)),K1255)*IF(M1255="",INDEX(CONFIG!$H$5:$H$14,MATCH(D1255,CONFIG!$D$5:$D$14,0)),M1255))),""))</f>
        <v/>
      </c>
      <c r="Q1255" s="16" t="str">
        <f aca="false">IF(OR(O1255="",P1255=""),"",O1255/P1255)</f>
        <v/>
      </c>
      <c r="R1255" s="16" t="str">
        <f aca="false">IF(Q1255="","",Q1255*0.0980665)</f>
        <v/>
      </c>
      <c r="S1255" s="16" t="str">
        <f aca="false">IF(Q1255="","",IFERROR(Q1255/(1/(1/INDEX(CONFIG!$I$5:$I$14,MATCH(D1255,CONFIG!$D$5:$D$14,0)))),""))</f>
        <v/>
      </c>
      <c r="T1255" s="13"/>
      <c r="U1255" s="13"/>
      <c r="V1255" s="13"/>
      <c r="W1255" s="13"/>
      <c r="X1255" s="22" t="str">
        <f aca="false">IF(Q1255="","",Q1255^2)</f>
        <v/>
      </c>
      <c r="Y1255" s="22" t="str">
        <f aca="false">IF(AND(C1255&lt;&gt;"",C1255=CERTIFICADO!$E$4,OR(CERTIFICADO!$E$5="",B1255=CERTIFICADO!$E$5)),MAX($Y$4:Y1254)+1,"")</f>
        <v/>
      </c>
    </row>
    <row r="1256" customFormat="false" ht="15" hidden="false" customHeight="false" outlineLevel="0" collapsed="false">
      <c r="A1256" s="11" t="str">
        <f aca="false">IF(C1256="","",ROW()-4)</f>
        <v/>
      </c>
      <c r="B1256" s="12"/>
      <c r="C1256" s="13"/>
      <c r="D1256" s="23" t="str">
        <f aca="false">IF(C1256="","",IFERROR(INDEX(LOTES!$D$5:$D$1004,MATCH(C1256,LOTES!$F$5:$F$1004,0)),"¿Lote?"))</f>
        <v/>
      </c>
      <c r="E1256" s="11" t="str">
        <f aca="false">IF(C1256="","",IFERROR(INDEX(LOTES!$C$5:$C$1004,MATCH(C1256,LOTES!$F$5:$F$1004,0)),""))</f>
        <v/>
      </c>
      <c r="F1256" s="24" t="str">
        <f aca="false">IF(C1256="","",IFERROR(INDEX(LOTES!$B$5:$B$1004,MATCH(C1256,LOTES!$F$5:$F$1004,0)),""))</f>
        <v/>
      </c>
      <c r="G1256" s="15" t="str">
        <f aca="false">IF(OR(B1256="",F1256=""),"",B1256-F1256)</f>
        <v/>
      </c>
      <c r="H1256" s="13"/>
      <c r="I1256" s="13"/>
      <c r="J1256" s="13"/>
      <c r="K1256" s="25"/>
      <c r="L1256" s="25"/>
      <c r="M1256" s="25"/>
      <c r="N1256" s="25"/>
      <c r="O1256" s="26"/>
      <c r="P1256" s="16" t="str">
        <f aca="false">IF(O1256="","",IFERROR(1/(1/(IF(K1256="",INDEX(CONFIG!$F$5:$F$14,MATCH(D1256,CONFIG!$D$5:$D$14,0)),K1256)*IF(M1256="",INDEX(CONFIG!$H$5:$H$14,MATCH(D1256,CONFIG!$D$5:$D$14,0)),M1256))),""))</f>
        <v/>
      </c>
      <c r="Q1256" s="16" t="str">
        <f aca="false">IF(OR(O1256="",P1256=""),"",O1256/P1256)</f>
        <v/>
      </c>
      <c r="R1256" s="16" t="str">
        <f aca="false">IF(Q1256="","",Q1256*0.0980665)</f>
        <v/>
      </c>
      <c r="S1256" s="16" t="str">
        <f aca="false">IF(Q1256="","",IFERROR(Q1256/(1/(1/INDEX(CONFIG!$I$5:$I$14,MATCH(D1256,CONFIG!$D$5:$D$14,0)))),""))</f>
        <v/>
      </c>
      <c r="T1256" s="13"/>
      <c r="U1256" s="13"/>
      <c r="V1256" s="13"/>
      <c r="W1256" s="13"/>
      <c r="X1256" s="22" t="str">
        <f aca="false">IF(Q1256="","",Q1256^2)</f>
        <v/>
      </c>
      <c r="Y1256" s="22" t="str">
        <f aca="false">IF(AND(C1256&lt;&gt;"",C1256=CERTIFICADO!$E$4,OR(CERTIFICADO!$E$5="",B1256=CERTIFICADO!$E$5)),MAX($Y$4:Y1255)+1,"")</f>
        <v/>
      </c>
    </row>
    <row r="1257" customFormat="false" ht="15" hidden="false" customHeight="false" outlineLevel="0" collapsed="false">
      <c r="A1257" s="11" t="str">
        <f aca="false">IF(C1257="","",ROW()-4)</f>
        <v/>
      </c>
      <c r="B1257" s="12"/>
      <c r="C1257" s="13"/>
      <c r="D1257" s="23" t="str">
        <f aca="false">IF(C1257="","",IFERROR(INDEX(LOTES!$D$5:$D$1004,MATCH(C1257,LOTES!$F$5:$F$1004,0)),"¿Lote?"))</f>
        <v/>
      </c>
      <c r="E1257" s="11" t="str">
        <f aca="false">IF(C1257="","",IFERROR(INDEX(LOTES!$C$5:$C$1004,MATCH(C1257,LOTES!$F$5:$F$1004,0)),""))</f>
        <v/>
      </c>
      <c r="F1257" s="24" t="str">
        <f aca="false">IF(C1257="","",IFERROR(INDEX(LOTES!$B$5:$B$1004,MATCH(C1257,LOTES!$F$5:$F$1004,0)),""))</f>
        <v/>
      </c>
      <c r="G1257" s="15" t="str">
        <f aca="false">IF(OR(B1257="",F1257=""),"",B1257-F1257)</f>
        <v/>
      </c>
      <c r="H1257" s="13"/>
      <c r="I1257" s="13"/>
      <c r="J1257" s="13"/>
      <c r="K1257" s="25"/>
      <c r="L1257" s="25"/>
      <c r="M1257" s="25"/>
      <c r="N1257" s="25"/>
      <c r="O1257" s="26"/>
      <c r="P1257" s="16" t="str">
        <f aca="false">IF(O1257="","",IFERROR(1/(1/(IF(K1257="",INDEX(CONFIG!$F$5:$F$14,MATCH(D1257,CONFIG!$D$5:$D$14,0)),K1257)*IF(M1257="",INDEX(CONFIG!$H$5:$H$14,MATCH(D1257,CONFIG!$D$5:$D$14,0)),M1257))),""))</f>
        <v/>
      </c>
      <c r="Q1257" s="16" t="str">
        <f aca="false">IF(OR(O1257="",P1257=""),"",O1257/P1257)</f>
        <v/>
      </c>
      <c r="R1257" s="16" t="str">
        <f aca="false">IF(Q1257="","",Q1257*0.0980665)</f>
        <v/>
      </c>
      <c r="S1257" s="16" t="str">
        <f aca="false">IF(Q1257="","",IFERROR(Q1257/(1/(1/INDEX(CONFIG!$I$5:$I$14,MATCH(D1257,CONFIG!$D$5:$D$14,0)))),""))</f>
        <v/>
      </c>
      <c r="T1257" s="13"/>
      <c r="U1257" s="13"/>
      <c r="V1257" s="13"/>
      <c r="W1257" s="13"/>
      <c r="X1257" s="22" t="str">
        <f aca="false">IF(Q1257="","",Q1257^2)</f>
        <v/>
      </c>
      <c r="Y1257" s="22" t="str">
        <f aca="false">IF(AND(C1257&lt;&gt;"",C1257=CERTIFICADO!$E$4,OR(CERTIFICADO!$E$5="",B1257=CERTIFICADO!$E$5)),MAX($Y$4:Y1256)+1,"")</f>
        <v/>
      </c>
    </row>
    <row r="1258" customFormat="false" ht="15" hidden="false" customHeight="false" outlineLevel="0" collapsed="false">
      <c r="A1258" s="11" t="str">
        <f aca="false">IF(C1258="","",ROW()-4)</f>
        <v/>
      </c>
      <c r="B1258" s="12"/>
      <c r="C1258" s="13"/>
      <c r="D1258" s="23" t="str">
        <f aca="false">IF(C1258="","",IFERROR(INDEX(LOTES!$D$5:$D$1004,MATCH(C1258,LOTES!$F$5:$F$1004,0)),"¿Lote?"))</f>
        <v/>
      </c>
      <c r="E1258" s="11" t="str">
        <f aca="false">IF(C1258="","",IFERROR(INDEX(LOTES!$C$5:$C$1004,MATCH(C1258,LOTES!$F$5:$F$1004,0)),""))</f>
        <v/>
      </c>
      <c r="F1258" s="24" t="str">
        <f aca="false">IF(C1258="","",IFERROR(INDEX(LOTES!$B$5:$B$1004,MATCH(C1258,LOTES!$F$5:$F$1004,0)),""))</f>
        <v/>
      </c>
      <c r="G1258" s="15" t="str">
        <f aca="false">IF(OR(B1258="",F1258=""),"",B1258-F1258)</f>
        <v/>
      </c>
      <c r="H1258" s="13"/>
      <c r="I1258" s="13"/>
      <c r="J1258" s="13"/>
      <c r="K1258" s="25"/>
      <c r="L1258" s="25"/>
      <c r="M1258" s="25"/>
      <c r="N1258" s="25"/>
      <c r="O1258" s="26"/>
      <c r="P1258" s="16" t="str">
        <f aca="false">IF(O1258="","",IFERROR(1/(1/(IF(K1258="",INDEX(CONFIG!$F$5:$F$14,MATCH(D1258,CONFIG!$D$5:$D$14,0)),K1258)*IF(M1258="",INDEX(CONFIG!$H$5:$H$14,MATCH(D1258,CONFIG!$D$5:$D$14,0)),M1258))),""))</f>
        <v/>
      </c>
      <c r="Q1258" s="16" t="str">
        <f aca="false">IF(OR(O1258="",P1258=""),"",O1258/P1258)</f>
        <v/>
      </c>
      <c r="R1258" s="16" t="str">
        <f aca="false">IF(Q1258="","",Q1258*0.0980665)</f>
        <v/>
      </c>
      <c r="S1258" s="16" t="str">
        <f aca="false">IF(Q1258="","",IFERROR(Q1258/(1/(1/INDEX(CONFIG!$I$5:$I$14,MATCH(D1258,CONFIG!$D$5:$D$14,0)))),""))</f>
        <v/>
      </c>
      <c r="T1258" s="13"/>
      <c r="U1258" s="13"/>
      <c r="V1258" s="13"/>
      <c r="W1258" s="13"/>
      <c r="X1258" s="22" t="str">
        <f aca="false">IF(Q1258="","",Q1258^2)</f>
        <v/>
      </c>
      <c r="Y1258" s="22" t="str">
        <f aca="false">IF(AND(C1258&lt;&gt;"",C1258=CERTIFICADO!$E$4,OR(CERTIFICADO!$E$5="",B1258=CERTIFICADO!$E$5)),MAX($Y$4:Y1257)+1,"")</f>
        <v/>
      </c>
    </row>
    <row r="1259" customFormat="false" ht="15" hidden="false" customHeight="false" outlineLevel="0" collapsed="false">
      <c r="A1259" s="11" t="str">
        <f aca="false">IF(C1259="","",ROW()-4)</f>
        <v/>
      </c>
      <c r="B1259" s="12"/>
      <c r="C1259" s="13"/>
      <c r="D1259" s="23" t="str">
        <f aca="false">IF(C1259="","",IFERROR(INDEX(LOTES!$D$5:$D$1004,MATCH(C1259,LOTES!$F$5:$F$1004,0)),"¿Lote?"))</f>
        <v/>
      </c>
      <c r="E1259" s="11" t="str">
        <f aca="false">IF(C1259="","",IFERROR(INDEX(LOTES!$C$5:$C$1004,MATCH(C1259,LOTES!$F$5:$F$1004,0)),""))</f>
        <v/>
      </c>
      <c r="F1259" s="24" t="str">
        <f aca="false">IF(C1259="","",IFERROR(INDEX(LOTES!$B$5:$B$1004,MATCH(C1259,LOTES!$F$5:$F$1004,0)),""))</f>
        <v/>
      </c>
      <c r="G1259" s="15" t="str">
        <f aca="false">IF(OR(B1259="",F1259=""),"",B1259-F1259)</f>
        <v/>
      </c>
      <c r="H1259" s="13"/>
      <c r="I1259" s="13"/>
      <c r="J1259" s="13"/>
      <c r="K1259" s="25"/>
      <c r="L1259" s="25"/>
      <c r="M1259" s="25"/>
      <c r="N1259" s="25"/>
      <c r="O1259" s="26"/>
      <c r="P1259" s="16" t="str">
        <f aca="false">IF(O1259="","",IFERROR(1/(1/(IF(K1259="",INDEX(CONFIG!$F$5:$F$14,MATCH(D1259,CONFIG!$D$5:$D$14,0)),K1259)*IF(M1259="",INDEX(CONFIG!$H$5:$H$14,MATCH(D1259,CONFIG!$D$5:$D$14,0)),M1259))),""))</f>
        <v/>
      </c>
      <c r="Q1259" s="16" t="str">
        <f aca="false">IF(OR(O1259="",P1259=""),"",O1259/P1259)</f>
        <v/>
      </c>
      <c r="R1259" s="16" t="str">
        <f aca="false">IF(Q1259="","",Q1259*0.0980665)</f>
        <v/>
      </c>
      <c r="S1259" s="16" t="str">
        <f aca="false">IF(Q1259="","",IFERROR(Q1259/(1/(1/INDEX(CONFIG!$I$5:$I$14,MATCH(D1259,CONFIG!$D$5:$D$14,0)))),""))</f>
        <v/>
      </c>
      <c r="T1259" s="13"/>
      <c r="U1259" s="13"/>
      <c r="V1259" s="13"/>
      <c r="W1259" s="13"/>
      <c r="X1259" s="22" t="str">
        <f aca="false">IF(Q1259="","",Q1259^2)</f>
        <v/>
      </c>
      <c r="Y1259" s="22" t="str">
        <f aca="false">IF(AND(C1259&lt;&gt;"",C1259=CERTIFICADO!$E$4,OR(CERTIFICADO!$E$5="",B1259=CERTIFICADO!$E$5)),MAX($Y$4:Y1258)+1,"")</f>
        <v/>
      </c>
    </row>
    <row r="1260" customFormat="false" ht="15" hidden="false" customHeight="false" outlineLevel="0" collapsed="false">
      <c r="A1260" s="11" t="str">
        <f aca="false">IF(C1260="","",ROW()-4)</f>
        <v/>
      </c>
      <c r="B1260" s="12"/>
      <c r="C1260" s="13"/>
      <c r="D1260" s="23" t="str">
        <f aca="false">IF(C1260="","",IFERROR(INDEX(LOTES!$D$5:$D$1004,MATCH(C1260,LOTES!$F$5:$F$1004,0)),"¿Lote?"))</f>
        <v/>
      </c>
      <c r="E1260" s="11" t="str">
        <f aca="false">IF(C1260="","",IFERROR(INDEX(LOTES!$C$5:$C$1004,MATCH(C1260,LOTES!$F$5:$F$1004,0)),""))</f>
        <v/>
      </c>
      <c r="F1260" s="24" t="str">
        <f aca="false">IF(C1260="","",IFERROR(INDEX(LOTES!$B$5:$B$1004,MATCH(C1260,LOTES!$F$5:$F$1004,0)),""))</f>
        <v/>
      </c>
      <c r="G1260" s="15" t="str">
        <f aca="false">IF(OR(B1260="",F1260=""),"",B1260-F1260)</f>
        <v/>
      </c>
      <c r="H1260" s="13"/>
      <c r="I1260" s="13"/>
      <c r="J1260" s="13"/>
      <c r="K1260" s="25"/>
      <c r="L1260" s="25"/>
      <c r="M1260" s="25"/>
      <c r="N1260" s="25"/>
      <c r="O1260" s="26"/>
      <c r="P1260" s="16" t="str">
        <f aca="false">IF(O1260="","",IFERROR(1/(1/(IF(K1260="",INDEX(CONFIG!$F$5:$F$14,MATCH(D1260,CONFIG!$D$5:$D$14,0)),K1260)*IF(M1260="",INDEX(CONFIG!$H$5:$H$14,MATCH(D1260,CONFIG!$D$5:$D$14,0)),M1260))),""))</f>
        <v/>
      </c>
      <c r="Q1260" s="16" t="str">
        <f aca="false">IF(OR(O1260="",P1260=""),"",O1260/P1260)</f>
        <v/>
      </c>
      <c r="R1260" s="16" t="str">
        <f aca="false">IF(Q1260="","",Q1260*0.0980665)</f>
        <v/>
      </c>
      <c r="S1260" s="16" t="str">
        <f aca="false">IF(Q1260="","",IFERROR(Q1260/(1/(1/INDEX(CONFIG!$I$5:$I$14,MATCH(D1260,CONFIG!$D$5:$D$14,0)))),""))</f>
        <v/>
      </c>
      <c r="T1260" s="13"/>
      <c r="U1260" s="13"/>
      <c r="V1260" s="13"/>
      <c r="W1260" s="13"/>
      <c r="X1260" s="22" t="str">
        <f aca="false">IF(Q1260="","",Q1260^2)</f>
        <v/>
      </c>
      <c r="Y1260" s="22" t="str">
        <f aca="false">IF(AND(C1260&lt;&gt;"",C1260=CERTIFICADO!$E$4,OR(CERTIFICADO!$E$5="",B1260=CERTIFICADO!$E$5)),MAX($Y$4:Y1259)+1,"")</f>
        <v/>
      </c>
    </row>
    <row r="1261" customFormat="false" ht="15" hidden="false" customHeight="false" outlineLevel="0" collapsed="false">
      <c r="A1261" s="11" t="str">
        <f aca="false">IF(C1261="","",ROW()-4)</f>
        <v/>
      </c>
      <c r="B1261" s="12"/>
      <c r="C1261" s="13"/>
      <c r="D1261" s="23" t="str">
        <f aca="false">IF(C1261="","",IFERROR(INDEX(LOTES!$D$5:$D$1004,MATCH(C1261,LOTES!$F$5:$F$1004,0)),"¿Lote?"))</f>
        <v/>
      </c>
      <c r="E1261" s="11" t="str">
        <f aca="false">IF(C1261="","",IFERROR(INDEX(LOTES!$C$5:$C$1004,MATCH(C1261,LOTES!$F$5:$F$1004,0)),""))</f>
        <v/>
      </c>
      <c r="F1261" s="24" t="str">
        <f aca="false">IF(C1261="","",IFERROR(INDEX(LOTES!$B$5:$B$1004,MATCH(C1261,LOTES!$F$5:$F$1004,0)),""))</f>
        <v/>
      </c>
      <c r="G1261" s="15" t="str">
        <f aca="false">IF(OR(B1261="",F1261=""),"",B1261-F1261)</f>
        <v/>
      </c>
      <c r="H1261" s="13"/>
      <c r="I1261" s="13"/>
      <c r="J1261" s="13"/>
      <c r="K1261" s="25"/>
      <c r="L1261" s="25"/>
      <c r="M1261" s="25"/>
      <c r="N1261" s="25"/>
      <c r="O1261" s="26"/>
      <c r="P1261" s="16" t="str">
        <f aca="false">IF(O1261="","",IFERROR(1/(1/(IF(K1261="",INDEX(CONFIG!$F$5:$F$14,MATCH(D1261,CONFIG!$D$5:$D$14,0)),K1261)*IF(M1261="",INDEX(CONFIG!$H$5:$H$14,MATCH(D1261,CONFIG!$D$5:$D$14,0)),M1261))),""))</f>
        <v/>
      </c>
      <c r="Q1261" s="16" t="str">
        <f aca="false">IF(OR(O1261="",P1261=""),"",O1261/P1261)</f>
        <v/>
      </c>
      <c r="R1261" s="16" t="str">
        <f aca="false">IF(Q1261="","",Q1261*0.0980665)</f>
        <v/>
      </c>
      <c r="S1261" s="16" t="str">
        <f aca="false">IF(Q1261="","",IFERROR(Q1261/(1/(1/INDEX(CONFIG!$I$5:$I$14,MATCH(D1261,CONFIG!$D$5:$D$14,0)))),""))</f>
        <v/>
      </c>
      <c r="T1261" s="13"/>
      <c r="U1261" s="13"/>
      <c r="V1261" s="13"/>
      <c r="W1261" s="13"/>
      <c r="X1261" s="22" t="str">
        <f aca="false">IF(Q1261="","",Q1261^2)</f>
        <v/>
      </c>
      <c r="Y1261" s="22" t="str">
        <f aca="false">IF(AND(C1261&lt;&gt;"",C1261=CERTIFICADO!$E$4,OR(CERTIFICADO!$E$5="",B1261=CERTIFICADO!$E$5)),MAX($Y$4:Y1260)+1,"")</f>
        <v/>
      </c>
    </row>
    <row r="1262" customFormat="false" ht="15" hidden="false" customHeight="false" outlineLevel="0" collapsed="false">
      <c r="A1262" s="11" t="str">
        <f aca="false">IF(C1262="","",ROW()-4)</f>
        <v/>
      </c>
      <c r="B1262" s="12"/>
      <c r="C1262" s="13"/>
      <c r="D1262" s="23" t="str">
        <f aca="false">IF(C1262="","",IFERROR(INDEX(LOTES!$D$5:$D$1004,MATCH(C1262,LOTES!$F$5:$F$1004,0)),"¿Lote?"))</f>
        <v/>
      </c>
      <c r="E1262" s="11" t="str">
        <f aca="false">IF(C1262="","",IFERROR(INDEX(LOTES!$C$5:$C$1004,MATCH(C1262,LOTES!$F$5:$F$1004,0)),""))</f>
        <v/>
      </c>
      <c r="F1262" s="24" t="str">
        <f aca="false">IF(C1262="","",IFERROR(INDEX(LOTES!$B$5:$B$1004,MATCH(C1262,LOTES!$F$5:$F$1004,0)),""))</f>
        <v/>
      </c>
      <c r="G1262" s="15" t="str">
        <f aca="false">IF(OR(B1262="",F1262=""),"",B1262-F1262)</f>
        <v/>
      </c>
      <c r="H1262" s="13"/>
      <c r="I1262" s="13"/>
      <c r="J1262" s="13"/>
      <c r="K1262" s="25"/>
      <c r="L1262" s="25"/>
      <c r="M1262" s="25"/>
      <c r="N1262" s="25"/>
      <c r="O1262" s="26"/>
      <c r="P1262" s="16" t="str">
        <f aca="false">IF(O1262="","",IFERROR(1/(1/(IF(K1262="",INDEX(CONFIG!$F$5:$F$14,MATCH(D1262,CONFIG!$D$5:$D$14,0)),K1262)*IF(M1262="",INDEX(CONFIG!$H$5:$H$14,MATCH(D1262,CONFIG!$D$5:$D$14,0)),M1262))),""))</f>
        <v/>
      </c>
      <c r="Q1262" s="16" t="str">
        <f aca="false">IF(OR(O1262="",P1262=""),"",O1262/P1262)</f>
        <v/>
      </c>
      <c r="R1262" s="16" t="str">
        <f aca="false">IF(Q1262="","",Q1262*0.0980665)</f>
        <v/>
      </c>
      <c r="S1262" s="16" t="str">
        <f aca="false">IF(Q1262="","",IFERROR(Q1262/(1/(1/INDEX(CONFIG!$I$5:$I$14,MATCH(D1262,CONFIG!$D$5:$D$14,0)))),""))</f>
        <v/>
      </c>
      <c r="T1262" s="13"/>
      <c r="U1262" s="13"/>
      <c r="V1262" s="13"/>
      <c r="W1262" s="13"/>
      <c r="X1262" s="22" t="str">
        <f aca="false">IF(Q1262="","",Q1262^2)</f>
        <v/>
      </c>
      <c r="Y1262" s="22" t="str">
        <f aca="false">IF(AND(C1262&lt;&gt;"",C1262=CERTIFICADO!$E$4,OR(CERTIFICADO!$E$5="",B1262=CERTIFICADO!$E$5)),MAX($Y$4:Y1261)+1,"")</f>
        <v/>
      </c>
    </row>
    <row r="1263" customFormat="false" ht="15" hidden="false" customHeight="false" outlineLevel="0" collapsed="false">
      <c r="A1263" s="11" t="str">
        <f aca="false">IF(C1263="","",ROW()-4)</f>
        <v/>
      </c>
      <c r="B1263" s="12"/>
      <c r="C1263" s="13"/>
      <c r="D1263" s="23" t="str">
        <f aca="false">IF(C1263="","",IFERROR(INDEX(LOTES!$D$5:$D$1004,MATCH(C1263,LOTES!$F$5:$F$1004,0)),"¿Lote?"))</f>
        <v/>
      </c>
      <c r="E1263" s="11" t="str">
        <f aca="false">IF(C1263="","",IFERROR(INDEX(LOTES!$C$5:$C$1004,MATCH(C1263,LOTES!$F$5:$F$1004,0)),""))</f>
        <v/>
      </c>
      <c r="F1263" s="24" t="str">
        <f aca="false">IF(C1263="","",IFERROR(INDEX(LOTES!$B$5:$B$1004,MATCH(C1263,LOTES!$F$5:$F$1004,0)),""))</f>
        <v/>
      </c>
      <c r="G1263" s="15" t="str">
        <f aca="false">IF(OR(B1263="",F1263=""),"",B1263-F1263)</f>
        <v/>
      </c>
      <c r="H1263" s="13"/>
      <c r="I1263" s="13"/>
      <c r="J1263" s="13"/>
      <c r="K1263" s="25"/>
      <c r="L1263" s="25"/>
      <c r="M1263" s="25"/>
      <c r="N1263" s="25"/>
      <c r="O1263" s="26"/>
      <c r="P1263" s="16" t="str">
        <f aca="false">IF(O1263="","",IFERROR(1/(1/(IF(K1263="",INDEX(CONFIG!$F$5:$F$14,MATCH(D1263,CONFIG!$D$5:$D$14,0)),K1263)*IF(M1263="",INDEX(CONFIG!$H$5:$H$14,MATCH(D1263,CONFIG!$D$5:$D$14,0)),M1263))),""))</f>
        <v/>
      </c>
      <c r="Q1263" s="16" t="str">
        <f aca="false">IF(OR(O1263="",P1263=""),"",O1263/P1263)</f>
        <v/>
      </c>
      <c r="R1263" s="16" t="str">
        <f aca="false">IF(Q1263="","",Q1263*0.0980665)</f>
        <v/>
      </c>
      <c r="S1263" s="16" t="str">
        <f aca="false">IF(Q1263="","",IFERROR(Q1263/(1/(1/INDEX(CONFIG!$I$5:$I$14,MATCH(D1263,CONFIG!$D$5:$D$14,0)))),""))</f>
        <v/>
      </c>
      <c r="T1263" s="13"/>
      <c r="U1263" s="13"/>
      <c r="V1263" s="13"/>
      <c r="W1263" s="13"/>
      <c r="X1263" s="22" t="str">
        <f aca="false">IF(Q1263="","",Q1263^2)</f>
        <v/>
      </c>
      <c r="Y1263" s="22" t="str">
        <f aca="false">IF(AND(C1263&lt;&gt;"",C1263=CERTIFICADO!$E$4,OR(CERTIFICADO!$E$5="",B1263=CERTIFICADO!$E$5)),MAX($Y$4:Y1262)+1,"")</f>
        <v/>
      </c>
    </row>
    <row r="1264" customFormat="false" ht="15" hidden="false" customHeight="false" outlineLevel="0" collapsed="false">
      <c r="A1264" s="11" t="str">
        <f aca="false">IF(C1264="","",ROW()-4)</f>
        <v/>
      </c>
      <c r="B1264" s="12"/>
      <c r="C1264" s="13"/>
      <c r="D1264" s="23" t="str">
        <f aca="false">IF(C1264="","",IFERROR(INDEX(LOTES!$D$5:$D$1004,MATCH(C1264,LOTES!$F$5:$F$1004,0)),"¿Lote?"))</f>
        <v/>
      </c>
      <c r="E1264" s="11" t="str">
        <f aca="false">IF(C1264="","",IFERROR(INDEX(LOTES!$C$5:$C$1004,MATCH(C1264,LOTES!$F$5:$F$1004,0)),""))</f>
        <v/>
      </c>
      <c r="F1264" s="24" t="str">
        <f aca="false">IF(C1264="","",IFERROR(INDEX(LOTES!$B$5:$B$1004,MATCH(C1264,LOTES!$F$5:$F$1004,0)),""))</f>
        <v/>
      </c>
      <c r="G1264" s="15" t="str">
        <f aca="false">IF(OR(B1264="",F1264=""),"",B1264-F1264)</f>
        <v/>
      </c>
      <c r="H1264" s="13"/>
      <c r="I1264" s="13"/>
      <c r="J1264" s="13"/>
      <c r="K1264" s="25"/>
      <c r="L1264" s="25"/>
      <c r="M1264" s="25"/>
      <c r="N1264" s="25"/>
      <c r="O1264" s="26"/>
      <c r="P1264" s="16" t="str">
        <f aca="false">IF(O1264="","",IFERROR(1/(1/(IF(K1264="",INDEX(CONFIG!$F$5:$F$14,MATCH(D1264,CONFIG!$D$5:$D$14,0)),K1264)*IF(M1264="",INDEX(CONFIG!$H$5:$H$14,MATCH(D1264,CONFIG!$D$5:$D$14,0)),M1264))),""))</f>
        <v/>
      </c>
      <c r="Q1264" s="16" t="str">
        <f aca="false">IF(OR(O1264="",P1264=""),"",O1264/P1264)</f>
        <v/>
      </c>
      <c r="R1264" s="16" t="str">
        <f aca="false">IF(Q1264="","",Q1264*0.0980665)</f>
        <v/>
      </c>
      <c r="S1264" s="16" t="str">
        <f aca="false">IF(Q1264="","",IFERROR(Q1264/(1/(1/INDEX(CONFIG!$I$5:$I$14,MATCH(D1264,CONFIG!$D$5:$D$14,0)))),""))</f>
        <v/>
      </c>
      <c r="T1264" s="13"/>
      <c r="U1264" s="13"/>
      <c r="V1264" s="13"/>
      <c r="W1264" s="13"/>
      <c r="X1264" s="22" t="str">
        <f aca="false">IF(Q1264="","",Q1264^2)</f>
        <v/>
      </c>
      <c r="Y1264" s="22" t="str">
        <f aca="false">IF(AND(C1264&lt;&gt;"",C1264=CERTIFICADO!$E$4,OR(CERTIFICADO!$E$5="",B1264=CERTIFICADO!$E$5)),MAX($Y$4:Y1263)+1,"")</f>
        <v/>
      </c>
    </row>
    <row r="1265" customFormat="false" ht="15" hidden="false" customHeight="false" outlineLevel="0" collapsed="false">
      <c r="A1265" s="11" t="str">
        <f aca="false">IF(C1265="","",ROW()-4)</f>
        <v/>
      </c>
      <c r="B1265" s="12"/>
      <c r="C1265" s="13"/>
      <c r="D1265" s="23" t="str">
        <f aca="false">IF(C1265="","",IFERROR(INDEX(LOTES!$D$5:$D$1004,MATCH(C1265,LOTES!$F$5:$F$1004,0)),"¿Lote?"))</f>
        <v/>
      </c>
      <c r="E1265" s="11" t="str">
        <f aca="false">IF(C1265="","",IFERROR(INDEX(LOTES!$C$5:$C$1004,MATCH(C1265,LOTES!$F$5:$F$1004,0)),""))</f>
        <v/>
      </c>
      <c r="F1265" s="24" t="str">
        <f aca="false">IF(C1265="","",IFERROR(INDEX(LOTES!$B$5:$B$1004,MATCH(C1265,LOTES!$F$5:$F$1004,0)),""))</f>
        <v/>
      </c>
      <c r="G1265" s="15" t="str">
        <f aca="false">IF(OR(B1265="",F1265=""),"",B1265-F1265)</f>
        <v/>
      </c>
      <c r="H1265" s="13"/>
      <c r="I1265" s="13"/>
      <c r="J1265" s="13"/>
      <c r="K1265" s="25"/>
      <c r="L1265" s="25"/>
      <c r="M1265" s="25"/>
      <c r="N1265" s="25"/>
      <c r="O1265" s="26"/>
      <c r="P1265" s="16" t="str">
        <f aca="false">IF(O1265="","",IFERROR(1/(1/(IF(K1265="",INDEX(CONFIG!$F$5:$F$14,MATCH(D1265,CONFIG!$D$5:$D$14,0)),K1265)*IF(M1265="",INDEX(CONFIG!$H$5:$H$14,MATCH(D1265,CONFIG!$D$5:$D$14,0)),M1265))),""))</f>
        <v/>
      </c>
      <c r="Q1265" s="16" t="str">
        <f aca="false">IF(OR(O1265="",P1265=""),"",O1265/P1265)</f>
        <v/>
      </c>
      <c r="R1265" s="16" t="str">
        <f aca="false">IF(Q1265="","",Q1265*0.0980665)</f>
        <v/>
      </c>
      <c r="S1265" s="16" t="str">
        <f aca="false">IF(Q1265="","",IFERROR(Q1265/(1/(1/INDEX(CONFIG!$I$5:$I$14,MATCH(D1265,CONFIG!$D$5:$D$14,0)))),""))</f>
        <v/>
      </c>
      <c r="T1265" s="13"/>
      <c r="U1265" s="13"/>
      <c r="V1265" s="13"/>
      <c r="W1265" s="13"/>
      <c r="X1265" s="22" t="str">
        <f aca="false">IF(Q1265="","",Q1265^2)</f>
        <v/>
      </c>
      <c r="Y1265" s="22" t="str">
        <f aca="false">IF(AND(C1265&lt;&gt;"",C1265=CERTIFICADO!$E$4,OR(CERTIFICADO!$E$5="",B1265=CERTIFICADO!$E$5)),MAX($Y$4:Y1264)+1,"")</f>
        <v/>
      </c>
    </row>
    <row r="1266" customFormat="false" ht="15" hidden="false" customHeight="false" outlineLevel="0" collapsed="false">
      <c r="A1266" s="11" t="str">
        <f aca="false">IF(C1266="","",ROW()-4)</f>
        <v/>
      </c>
      <c r="B1266" s="12"/>
      <c r="C1266" s="13"/>
      <c r="D1266" s="23" t="str">
        <f aca="false">IF(C1266="","",IFERROR(INDEX(LOTES!$D$5:$D$1004,MATCH(C1266,LOTES!$F$5:$F$1004,0)),"¿Lote?"))</f>
        <v/>
      </c>
      <c r="E1266" s="11" t="str">
        <f aca="false">IF(C1266="","",IFERROR(INDEX(LOTES!$C$5:$C$1004,MATCH(C1266,LOTES!$F$5:$F$1004,0)),""))</f>
        <v/>
      </c>
      <c r="F1266" s="24" t="str">
        <f aca="false">IF(C1266="","",IFERROR(INDEX(LOTES!$B$5:$B$1004,MATCH(C1266,LOTES!$F$5:$F$1004,0)),""))</f>
        <v/>
      </c>
      <c r="G1266" s="15" t="str">
        <f aca="false">IF(OR(B1266="",F1266=""),"",B1266-F1266)</f>
        <v/>
      </c>
      <c r="H1266" s="13"/>
      <c r="I1266" s="13"/>
      <c r="J1266" s="13"/>
      <c r="K1266" s="25"/>
      <c r="L1266" s="25"/>
      <c r="M1266" s="25"/>
      <c r="N1266" s="25"/>
      <c r="O1266" s="26"/>
      <c r="P1266" s="16" t="str">
        <f aca="false">IF(O1266="","",IFERROR(1/(1/(IF(K1266="",INDEX(CONFIG!$F$5:$F$14,MATCH(D1266,CONFIG!$D$5:$D$14,0)),K1266)*IF(M1266="",INDEX(CONFIG!$H$5:$H$14,MATCH(D1266,CONFIG!$D$5:$D$14,0)),M1266))),""))</f>
        <v/>
      </c>
      <c r="Q1266" s="16" t="str">
        <f aca="false">IF(OR(O1266="",P1266=""),"",O1266/P1266)</f>
        <v/>
      </c>
      <c r="R1266" s="16" t="str">
        <f aca="false">IF(Q1266="","",Q1266*0.0980665)</f>
        <v/>
      </c>
      <c r="S1266" s="16" t="str">
        <f aca="false">IF(Q1266="","",IFERROR(Q1266/(1/(1/INDEX(CONFIG!$I$5:$I$14,MATCH(D1266,CONFIG!$D$5:$D$14,0)))),""))</f>
        <v/>
      </c>
      <c r="T1266" s="13"/>
      <c r="U1266" s="13"/>
      <c r="V1266" s="13"/>
      <c r="W1266" s="13"/>
      <c r="X1266" s="22" t="str">
        <f aca="false">IF(Q1266="","",Q1266^2)</f>
        <v/>
      </c>
      <c r="Y1266" s="22" t="str">
        <f aca="false">IF(AND(C1266&lt;&gt;"",C1266=CERTIFICADO!$E$4,OR(CERTIFICADO!$E$5="",B1266=CERTIFICADO!$E$5)),MAX($Y$4:Y1265)+1,"")</f>
        <v/>
      </c>
    </row>
    <row r="1267" customFormat="false" ht="15" hidden="false" customHeight="false" outlineLevel="0" collapsed="false">
      <c r="A1267" s="11" t="str">
        <f aca="false">IF(C1267="","",ROW()-4)</f>
        <v/>
      </c>
      <c r="B1267" s="12"/>
      <c r="C1267" s="13"/>
      <c r="D1267" s="23" t="str">
        <f aca="false">IF(C1267="","",IFERROR(INDEX(LOTES!$D$5:$D$1004,MATCH(C1267,LOTES!$F$5:$F$1004,0)),"¿Lote?"))</f>
        <v/>
      </c>
      <c r="E1267" s="11" t="str">
        <f aca="false">IF(C1267="","",IFERROR(INDEX(LOTES!$C$5:$C$1004,MATCH(C1267,LOTES!$F$5:$F$1004,0)),""))</f>
        <v/>
      </c>
      <c r="F1267" s="24" t="str">
        <f aca="false">IF(C1267="","",IFERROR(INDEX(LOTES!$B$5:$B$1004,MATCH(C1267,LOTES!$F$5:$F$1004,0)),""))</f>
        <v/>
      </c>
      <c r="G1267" s="15" t="str">
        <f aca="false">IF(OR(B1267="",F1267=""),"",B1267-F1267)</f>
        <v/>
      </c>
      <c r="H1267" s="13"/>
      <c r="I1267" s="13"/>
      <c r="J1267" s="13"/>
      <c r="K1267" s="25"/>
      <c r="L1267" s="25"/>
      <c r="M1267" s="25"/>
      <c r="N1267" s="25"/>
      <c r="O1267" s="26"/>
      <c r="P1267" s="16" t="str">
        <f aca="false">IF(O1267="","",IFERROR(1/(1/(IF(K1267="",INDEX(CONFIG!$F$5:$F$14,MATCH(D1267,CONFIG!$D$5:$D$14,0)),K1267)*IF(M1267="",INDEX(CONFIG!$H$5:$H$14,MATCH(D1267,CONFIG!$D$5:$D$14,0)),M1267))),""))</f>
        <v/>
      </c>
      <c r="Q1267" s="16" t="str">
        <f aca="false">IF(OR(O1267="",P1267=""),"",O1267/P1267)</f>
        <v/>
      </c>
      <c r="R1267" s="16" t="str">
        <f aca="false">IF(Q1267="","",Q1267*0.0980665)</f>
        <v/>
      </c>
      <c r="S1267" s="16" t="str">
        <f aca="false">IF(Q1267="","",IFERROR(Q1267/(1/(1/INDEX(CONFIG!$I$5:$I$14,MATCH(D1267,CONFIG!$D$5:$D$14,0)))),""))</f>
        <v/>
      </c>
      <c r="T1267" s="13"/>
      <c r="U1267" s="13"/>
      <c r="V1267" s="13"/>
      <c r="W1267" s="13"/>
      <c r="X1267" s="22" t="str">
        <f aca="false">IF(Q1267="","",Q1267^2)</f>
        <v/>
      </c>
      <c r="Y1267" s="22" t="str">
        <f aca="false">IF(AND(C1267&lt;&gt;"",C1267=CERTIFICADO!$E$4,OR(CERTIFICADO!$E$5="",B1267=CERTIFICADO!$E$5)),MAX($Y$4:Y1266)+1,"")</f>
        <v/>
      </c>
    </row>
    <row r="1268" customFormat="false" ht="15" hidden="false" customHeight="false" outlineLevel="0" collapsed="false">
      <c r="A1268" s="11" t="str">
        <f aca="false">IF(C1268="","",ROW()-4)</f>
        <v/>
      </c>
      <c r="B1268" s="12"/>
      <c r="C1268" s="13"/>
      <c r="D1268" s="23" t="str">
        <f aca="false">IF(C1268="","",IFERROR(INDEX(LOTES!$D$5:$D$1004,MATCH(C1268,LOTES!$F$5:$F$1004,0)),"¿Lote?"))</f>
        <v/>
      </c>
      <c r="E1268" s="11" t="str">
        <f aca="false">IF(C1268="","",IFERROR(INDEX(LOTES!$C$5:$C$1004,MATCH(C1268,LOTES!$F$5:$F$1004,0)),""))</f>
        <v/>
      </c>
      <c r="F1268" s="24" t="str">
        <f aca="false">IF(C1268="","",IFERROR(INDEX(LOTES!$B$5:$B$1004,MATCH(C1268,LOTES!$F$5:$F$1004,0)),""))</f>
        <v/>
      </c>
      <c r="G1268" s="15" t="str">
        <f aca="false">IF(OR(B1268="",F1268=""),"",B1268-F1268)</f>
        <v/>
      </c>
      <c r="H1268" s="13"/>
      <c r="I1268" s="13"/>
      <c r="J1268" s="13"/>
      <c r="K1268" s="25"/>
      <c r="L1268" s="25"/>
      <c r="M1268" s="25"/>
      <c r="N1268" s="25"/>
      <c r="O1268" s="26"/>
      <c r="P1268" s="16" t="str">
        <f aca="false">IF(O1268="","",IFERROR(1/(1/(IF(K1268="",INDEX(CONFIG!$F$5:$F$14,MATCH(D1268,CONFIG!$D$5:$D$14,0)),K1268)*IF(M1268="",INDEX(CONFIG!$H$5:$H$14,MATCH(D1268,CONFIG!$D$5:$D$14,0)),M1268))),""))</f>
        <v/>
      </c>
      <c r="Q1268" s="16" t="str">
        <f aca="false">IF(OR(O1268="",P1268=""),"",O1268/P1268)</f>
        <v/>
      </c>
      <c r="R1268" s="16" t="str">
        <f aca="false">IF(Q1268="","",Q1268*0.0980665)</f>
        <v/>
      </c>
      <c r="S1268" s="16" t="str">
        <f aca="false">IF(Q1268="","",IFERROR(Q1268/(1/(1/INDEX(CONFIG!$I$5:$I$14,MATCH(D1268,CONFIG!$D$5:$D$14,0)))),""))</f>
        <v/>
      </c>
      <c r="T1268" s="13"/>
      <c r="U1268" s="13"/>
      <c r="V1268" s="13"/>
      <c r="W1268" s="13"/>
      <c r="X1268" s="22" t="str">
        <f aca="false">IF(Q1268="","",Q1268^2)</f>
        <v/>
      </c>
      <c r="Y1268" s="22" t="str">
        <f aca="false">IF(AND(C1268&lt;&gt;"",C1268=CERTIFICADO!$E$4,OR(CERTIFICADO!$E$5="",B1268=CERTIFICADO!$E$5)),MAX($Y$4:Y1267)+1,"")</f>
        <v/>
      </c>
    </row>
    <row r="1269" customFormat="false" ht="15" hidden="false" customHeight="false" outlineLevel="0" collapsed="false">
      <c r="A1269" s="11" t="str">
        <f aca="false">IF(C1269="","",ROW()-4)</f>
        <v/>
      </c>
      <c r="B1269" s="12"/>
      <c r="C1269" s="13"/>
      <c r="D1269" s="23" t="str">
        <f aca="false">IF(C1269="","",IFERROR(INDEX(LOTES!$D$5:$D$1004,MATCH(C1269,LOTES!$F$5:$F$1004,0)),"¿Lote?"))</f>
        <v/>
      </c>
      <c r="E1269" s="11" t="str">
        <f aca="false">IF(C1269="","",IFERROR(INDEX(LOTES!$C$5:$C$1004,MATCH(C1269,LOTES!$F$5:$F$1004,0)),""))</f>
        <v/>
      </c>
      <c r="F1269" s="24" t="str">
        <f aca="false">IF(C1269="","",IFERROR(INDEX(LOTES!$B$5:$B$1004,MATCH(C1269,LOTES!$F$5:$F$1004,0)),""))</f>
        <v/>
      </c>
      <c r="G1269" s="15" t="str">
        <f aca="false">IF(OR(B1269="",F1269=""),"",B1269-F1269)</f>
        <v/>
      </c>
      <c r="H1269" s="13"/>
      <c r="I1269" s="13"/>
      <c r="J1269" s="13"/>
      <c r="K1269" s="25"/>
      <c r="L1269" s="25"/>
      <c r="M1269" s="25"/>
      <c r="N1269" s="25"/>
      <c r="O1269" s="26"/>
      <c r="P1269" s="16" t="str">
        <f aca="false">IF(O1269="","",IFERROR(1/(1/(IF(K1269="",INDEX(CONFIG!$F$5:$F$14,MATCH(D1269,CONFIG!$D$5:$D$14,0)),K1269)*IF(M1269="",INDEX(CONFIG!$H$5:$H$14,MATCH(D1269,CONFIG!$D$5:$D$14,0)),M1269))),""))</f>
        <v/>
      </c>
      <c r="Q1269" s="16" t="str">
        <f aca="false">IF(OR(O1269="",P1269=""),"",O1269/P1269)</f>
        <v/>
      </c>
      <c r="R1269" s="16" t="str">
        <f aca="false">IF(Q1269="","",Q1269*0.0980665)</f>
        <v/>
      </c>
      <c r="S1269" s="16" t="str">
        <f aca="false">IF(Q1269="","",IFERROR(Q1269/(1/(1/INDEX(CONFIG!$I$5:$I$14,MATCH(D1269,CONFIG!$D$5:$D$14,0)))),""))</f>
        <v/>
      </c>
      <c r="T1269" s="13"/>
      <c r="U1269" s="13"/>
      <c r="V1269" s="13"/>
      <c r="W1269" s="13"/>
      <c r="X1269" s="22" t="str">
        <f aca="false">IF(Q1269="","",Q1269^2)</f>
        <v/>
      </c>
      <c r="Y1269" s="22" t="str">
        <f aca="false">IF(AND(C1269&lt;&gt;"",C1269=CERTIFICADO!$E$4,OR(CERTIFICADO!$E$5="",B1269=CERTIFICADO!$E$5)),MAX($Y$4:Y1268)+1,"")</f>
        <v/>
      </c>
    </row>
    <row r="1270" customFormat="false" ht="15" hidden="false" customHeight="false" outlineLevel="0" collapsed="false">
      <c r="A1270" s="11" t="str">
        <f aca="false">IF(C1270="","",ROW()-4)</f>
        <v/>
      </c>
      <c r="B1270" s="12"/>
      <c r="C1270" s="13"/>
      <c r="D1270" s="23" t="str">
        <f aca="false">IF(C1270="","",IFERROR(INDEX(LOTES!$D$5:$D$1004,MATCH(C1270,LOTES!$F$5:$F$1004,0)),"¿Lote?"))</f>
        <v/>
      </c>
      <c r="E1270" s="11" t="str">
        <f aca="false">IF(C1270="","",IFERROR(INDEX(LOTES!$C$5:$C$1004,MATCH(C1270,LOTES!$F$5:$F$1004,0)),""))</f>
        <v/>
      </c>
      <c r="F1270" s="24" t="str">
        <f aca="false">IF(C1270="","",IFERROR(INDEX(LOTES!$B$5:$B$1004,MATCH(C1270,LOTES!$F$5:$F$1004,0)),""))</f>
        <v/>
      </c>
      <c r="G1270" s="15" t="str">
        <f aca="false">IF(OR(B1270="",F1270=""),"",B1270-F1270)</f>
        <v/>
      </c>
      <c r="H1270" s="13"/>
      <c r="I1270" s="13"/>
      <c r="J1270" s="13"/>
      <c r="K1270" s="25"/>
      <c r="L1270" s="25"/>
      <c r="M1270" s="25"/>
      <c r="N1270" s="25"/>
      <c r="O1270" s="26"/>
      <c r="P1270" s="16" t="str">
        <f aca="false">IF(O1270="","",IFERROR(1/(1/(IF(K1270="",INDEX(CONFIG!$F$5:$F$14,MATCH(D1270,CONFIG!$D$5:$D$14,0)),K1270)*IF(M1270="",INDEX(CONFIG!$H$5:$H$14,MATCH(D1270,CONFIG!$D$5:$D$14,0)),M1270))),""))</f>
        <v/>
      </c>
      <c r="Q1270" s="16" t="str">
        <f aca="false">IF(OR(O1270="",P1270=""),"",O1270/P1270)</f>
        <v/>
      </c>
      <c r="R1270" s="16" t="str">
        <f aca="false">IF(Q1270="","",Q1270*0.0980665)</f>
        <v/>
      </c>
      <c r="S1270" s="16" t="str">
        <f aca="false">IF(Q1270="","",IFERROR(Q1270/(1/(1/INDEX(CONFIG!$I$5:$I$14,MATCH(D1270,CONFIG!$D$5:$D$14,0)))),""))</f>
        <v/>
      </c>
      <c r="T1270" s="13"/>
      <c r="U1270" s="13"/>
      <c r="V1270" s="13"/>
      <c r="W1270" s="13"/>
      <c r="X1270" s="22" t="str">
        <f aca="false">IF(Q1270="","",Q1270^2)</f>
        <v/>
      </c>
      <c r="Y1270" s="22" t="str">
        <f aca="false">IF(AND(C1270&lt;&gt;"",C1270=CERTIFICADO!$E$4,OR(CERTIFICADO!$E$5="",B1270=CERTIFICADO!$E$5)),MAX($Y$4:Y1269)+1,"")</f>
        <v/>
      </c>
    </row>
    <row r="1271" customFormat="false" ht="15" hidden="false" customHeight="false" outlineLevel="0" collapsed="false">
      <c r="A1271" s="11" t="str">
        <f aca="false">IF(C1271="","",ROW()-4)</f>
        <v/>
      </c>
      <c r="B1271" s="12"/>
      <c r="C1271" s="13"/>
      <c r="D1271" s="23" t="str">
        <f aca="false">IF(C1271="","",IFERROR(INDEX(LOTES!$D$5:$D$1004,MATCH(C1271,LOTES!$F$5:$F$1004,0)),"¿Lote?"))</f>
        <v/>
      </c>
      <c r="E1271" s="11" t="str">
        <f aca="false">IF(C1271="","",IFERROR(INDEX(LOTES!$C$5:$C$1004,MATCH(C1271,LOTES!$F$5:$F$1004,0)),""))</f>
        <v/>
      </c>
      <c r="F1271" s="24" t="str">
        <f aca="false">IF(C1271="","",IFERROR(INDEX(LOTES!$B$5:$B$1004,MATCH(C1271,LOTES!$F$5:$F$1004,0)),""))</f>
        <v/>
      </c>
      <c r="G1271" s="15" t="str">
        <f aca="false">IF(OR(B1271="",F1271=""),"",B1271-F1271)</f>
        <v/>
      </c>
      <c r="H1271" s="13"/>
      <c r="I1271" s="13"/>
      <c r="J1271" s="13"/>
      <c r="K1271" s="25"/>
      <c r="L1271" s="25"/>
      <c r="M1271" s="25"/>
      <c r="N1271" s="25"/>
      <c r="O1271" s="26"/>
      <c r="P1271" s="16" t="str">
        <f aca="false">IF(O1271="","",IFERROR(1/(1/(IF(K1271="",INDEX(CONFIG!$F$5:$F$14,MATCH(D1271,CONFIG!$D$5:$D$14,0)),K1271)*IF(M1271="",INDEX(CONFIG!$H$5:$H$14,MATCH(D1271,CONFIG!$D$5:$D$14,0)),M1271))),""))</f>
        <v/>
      </c>
      <c r="Q1271" s="16" t="str">
        <f aca="false">IF(OR(O1271="",P1271=""),"",O1271/P1271)</f>
        <v/>
      </c>
      <c r="R1271" s="16" t="str">
        <f aca="false">IF(Q1271="","",Q1271*0.0980665)</f>
        <v/>
      </c>
      <c r="S1271" s="16" t="str">
        <f aca="false">IF(Q1271="","",IFERROR(Q1271/(1/(1/INDEX(CONFIG!$I$5:$I$14,MATCH(D1271,CONFIG!$D$5:$D$14,0)))),""))</f>
        <v/>
      </c>
      <c r="T1271" s="13"/>
      <c r="U1271" s="13"/>
      <c r="V1271" s="13"/>
      <c r="W1271" s="13"/>
      <c r="X1271" s="22" t="str">
        <f aca="false">IF(Q1271="","",Q1271^2)</f>
        <v/>
      </c>
      <c r="Y1271" s="22" t="str">
        <f aca="false">IF(AND(C1271&lt;&gt;"",C1271=CERTIFICADO!$E$4,OR(CERTIFICADO!$E$5="",B1271=CERTIFICADO!$E$5)),MAX($Y$4:Y1270)+1,"")</f>
        <v/>
      </c>
    </row>
    <row r="1272" customFormat="false" ht="15" hidden="false" customHeight="false" outlineLevel="0" collapsed="false">
      <c r="A1272" s="11" t="str">
        <f aca="false">IF(C1272="","",ROW()-4)</f>
        <v/>
      </c>
      <c r="B1272" s="12"/>
      <c r="C1272" s="13"/>
      <c r="D1272" s="23" t="str">
        <f aca="false">IF(C1272="","",IFERROR(INDEX(LOTES!$D$5:$D$1004,MATCH(C1272,LOTES!$F$5:$F$1004,0)),"¿Lote?"))</f>
        <v/>
      </c>
      <c r="E1272" s="11" t="str">
        <f aca="false">IF(C1272="","",IFERROR(INDEX(LOTES!$C$5:$C$1004,MATCH(C1272,LOTES!$F$5:$F$1004,0)),""))</f>
        <v/>
      </c>
      <c r="F1272" s="24" t="str">
        <f aca="false">IF(C1272="","",IFERROR(INDEX(LOTES!$B$5:$B$1004,MATCH(C1272,LOTES!$F$5:$F$1004,0)),""))</f>
        <v/>
      </c>
      <c r="G1272" s="15" t="str">
        <f aca="false">IF(OR(B1272="",F1272=""),"",B1272-F1272)</f>
        <v/>
      </c>
      <c r="H1272" s="13"/>
      <c r="I1272" s="13"/>
      <c r="J1272" s="13"/>
      <c r="K1272" s="25"/>
      <c r="L1272" s="25"/>
      <c r="M1272" s="25"/>
      <c r="N1272" s="25"/>
      <c r="O1272" s="26"/>
      <c r="P1272" s="16" t="str">
        <f aca="false">IF(O1272="","",IFERROR(1/(1/(IF(K1272="",INDEX(CONFIG!$F$5:$F$14,MATCH(D1272,CONFIG!$D$5:$D$14,0)),K1272)*IF(M1272="",INDEX(CONFIG!$H$5:$H$14,MATCH(D1272,CONFIG!$D$5:$D$14,0)),M1272))),""))</f>
        <v/>
      </c>
      <c r="Q1272" s="16" t="str">
        <f aca="false">IF(OR(O1272="",P1272=""),"",O1272/P1272)</f>
        <v/>
      </c>
      <c r="R1272" s="16" t="str">
        <f aca="false">IF(Q1272="","",Q1272*0.0980665)</f>
        <v/>
      </c>
      <c r="S1272" s="16" t="str">
        <f aca="false">IF(Q1272="","",IFERROR(Q1272/(1/(1/INDEX(CONFIG!$I$5:$I$14,MATCH(D1272,CONFIG!$D$5:$D$14,0)))),""))</f>
        <v/>
      </c>
      <c r="T1272" s="13"/>
      <c r="U1272" s="13"/>
      <c r="V1272" s="13"/>
      <c r="W1272" s="13"/>
      <c r="X1272" s="22" t="str">
        <f aca="false">IF(Q1272="","",Q1272^2)</f>
        <v/>
      </c>
      <c r="Y1272" s="22" t="str">
        <f aca="false">IF(AND(C1272&lt;&gt;"",C1272=CERTIFICADO!$E$4,OR(CERTIFICADO!$E$5="",B1272=CERTIFICADO!$E$5)),MAX($Y$4:Y1271)+1,"")</f>
        <v/>
      </c>
    </row>
    <row r="1273" customFormat="false" ht="15" hidden="false" customHeight="false" outlineLevel="0" collapsed="false">
      <c r="A1273" s="11" t="str">
        <f aca="false">IF(C1273="","",ROW()-4)</f>
        <v/>
      </c>
      <c r="B1273" s="12"/>
      <c r="C1273" s="13"/>
      <c r="D1273" s="23" t="str">
        <f aca="false">IF(C1273="","",IFERROR(INDEX(LOTES!$D$5:$D$1004,MATCH(C1273,LOTES!$F$5:$F$1004,0)),"¿Lote?"))</f>
        <v/>
      </c>
      <c r="E1273" s="11" t="str">
        <f aca="false">IF(C1273="","",IFERROR(INDEX(LOTES!$C$5:$C$1004,MATCH(C1273,LOTES!$F$5:$F$1004,0)),""))</f>
        <v/>
      </c>
      <c r="F1273" s="24" t="str">
        <f aca="false">IF(C1273="","",IFERROR(INDEX(LOTES!$B$5:$B$1004,MATCH(C1273,LOTES!$F$5:$F$1004,0)),""))</f>
        <v/>
      </c>
      <c r="G1273" s="15" t="str">
        <f aca="false">IF(OR(B1273="",F1273=""),"",B1273-F1273)</f>
        <v/>
      </c>
      <c r="H1273" s="13"/>
      <c r="I1273" s="13"/>
      <c r="J1273" s="13"/>
      <c r="K1273" s="25"/>
      <c r="L1273" s="25"/>
      <c r="M1273" s="25"/>
      <c r="N1273" s="25"/>
      <c r="O1273" s="26"/>
      <c r="P1273" s="16" t="str">
        <f aca="false">IF(O1273="","",IFERROR(1/(1/(IF(K1273="",INDEX(CONFIG!$F$5:$F$14,MATCH(D1273,CONFIG!$D$5:$D$14,0)),K1273)*IF(M1273="",INDEX(CONFIG!$H$5:$H$14,MATCH(D1273,CONFIG!$D$5:$D$14,0)),M1273))),""))</f>
        <v/>
      </c>
      <c r="Q1273" s="16" t="str">
        <f aca="false">IF(OR(O1273="",P1273=""),"",O1273/P1273)</f>
        <v/>
      </c>
      <c r="R1273" s="16" t="str">
        <f aca="false">IF(Q1273="","",Q1273*0.0980665)</f>
        <v/>
      </c>
      <c r="S1273" s="16" t="str">
        <f aca="false">IF(Q1273="","",IFERROR(Q1273/(1/(1/INDEX(CONFIG!$I$5:$I$14,MATCH(D1273,CONFIG!$D$5:$D$14,0)))),""))</f>
        <v/>
      </c>
      <c r="T1273" s="13"/>
      <c r="U1273" s="13"/>
      <c r="V1273" s="13"/>
      <c r="W1273" s="13"/>
      <c r="X1273" s="22" t="str">
        <f aca="false">IF(Q1273="","",Q1273^2)</f>
        <v/>
      </c>
      <c r="Y1273" s="22" t="str">
        <f aca="false">IF(AND(C1273&lt;&gt;"",C1273=CERTIFICADO!$E$4,OR(CERTIFICADO!$E$5="",B1273=CERTIFICADO!$E$5)),MAX($Y$4:Y1272)+1,"")</f>
        <v/>
      </c>
    </row>
    <row r="1274" customFormat="false" ht="15" hidden="false" customHeight="false" outlineLevel="0" collapsed="false">
      <c r="A1274" s="11" t="str">
        <f aca="false">IF(C1274="","",ROW()-4)</f>
        <v/>
      </c>
      <c r="B1274" s="12"/>
      <c r="C1274" s="13"/>
      <c r="D1274" s="23" t="str">
        <f aca="false">IF(C1274="","",IFERROR(INDEX(LOTES!$D$5:$D$1004,MATCH(C1274,LOTES!$F$5:$F$1004,0)),"¿Lote?"))</f>
        <v/>
      </c>
      <c r="E1274" s="11" t="str">
        <f aca="false">IF(C1274="","",IFERROR(INDEX(LOTES!$C$5:$C$1004,MATCH(C1274,LOTES!$F$5:$F$1004,0)),""))</f>
        <v/>
      </c>
      <c r="F1274" s="24" t="str">
        <f aca="false">IF(C1274="","",IFERROR(INDEX(LOTES!$B$5:$B$1004,MATCH(C1274,LOTES!$F$5:$F$1004,0)),""))</f>
        <v/>
      </c>
      <c r="G1274" s="15" t="str">
        <f aca="false">IF(OR(B1274="",F1274=""),"",B1274-F1274)</f>
        <v/>
      </c>
      <c r="H1274" s="13"/>
      <c r="I1274" s="13"/>
      <c r="J1274" s="13"/>
      <c r="K1274" s="25"/>
      <c r="L1274" s="25"/>
      <c r="M1274" s="25"/>
      <c r="N1274" s="25"/>
      <c r="O1274" s="26"/>
      <c r="P1274" s="16" t="str">
        <f aca="false">IF(O1274="","",IFERROR(1/(1/(IF(K1274="",INDEX(CONFIG!$F$5:$F$14,MATCH(D1274,CONFIG!$D$5:$D$14,0)),K1274)*IF(M1274="",INDEX(CONFIG!$H$5:$H$14,MATCH(D1274,CONFIG!$D$5:$D$14,0)),M1274))),""))</f>
        <v/>
      </c>
      <c r="Q1274" s="16" t="str">
        <f aca="false">IF(OR(O1274="",P1274=""),"",O1274/P1274)</f>
        <v/>
      </c>
      <c r="R1274" s="16" t="str">
        <f aca="false">IF(Q1274="","",Q1274*0.0980665)</f>
        <v/>
      </c>
      <c r="S1274" s="16" t="str">
        <f aca="false">IF(Q1274="","",IFERROR(Q1274/(1/(1/INDEX(CONFIG!$I$5:$I$14,MATCH(D1274,CONFIG!$D$5:$D$14,0)))),""))</f>
        <v/>
      </c>
      <c r="T1274" s="13"/>
      <c r="U1274" s="13"/>
      <c r="V1274" s="13"/>
      <c r="W1274" s="13"/>
      <c r="X1274" s="22" t="str">
        <f aca="false">IF(Q1274="","",Q1274^2)</f>
        <v/>
      </c>
      <c r="Y1274" s="22" t="str">
        <f aca="false">IF(AND(C1274&lt;&gt;"",C1274=CERTIFICADO!$E$4,OR(CERTIFICADO!$E$5="",B1274=CERTIFICADO!$E$5)),MAX($Y$4:Y1273)+1,"")</f>
        <v/>
      </c>
    </row>
    <row r="1275" customFormat="false" ht="15" hidden="false" customHeight="false" outlineLevel="0" collapsed="false">
      <c r="A1275" s="11" t="str">
        <f aca="false">IF(C1275="","",ROW()-4)</f>
        <v/>
      </c>
      <c r="B1275" s="12"/>
      <c r="C1275" s="13"/>
      <c r="D1275" s="23" t="str">
        <f aca="false">IF(C1275="","",IFERROR(INDEX(LOTES!$D$5:$D$1004,MATCH(C1275,LOTES!$F$5:$F$1004,0)),"¿Lote?"))</f>
        <v/>
      </c>
      <c r="E1275" s="11" t="str">
        <f aca="false">IF(C1275="","",IFERROR(INDEX(LOTES!$C$5:$C$1004,MATCH(C1275,LOTES!$F$5:$F$1004,0)),""))</f>
        <v/>
      </c>
      <c r="F1275" s="24" t="str">
        <f aca="false">IF(C1275="","",IFERROR(INDEX(LOTES!$B$5:$B$1004,MATCH(C1275,LOTES!$F$5:$F$1004,0)),""))</f>
        <v/>
      </c>
      <c r="G1275" s="15" t="str">
        <f aca="false">IF(OR(B1275="",F1275=""),"",B1275-F1275)</f>
        <v/>
      </c>
      <c r="H1275" s="13"/>
      <c r="I1275" s="13"/>
      <c r="J1275" s="13"/>
      <c r="K1275" s="25"/>
      <c r="L1275" s="25"/>
      <c r="M1275" s="25"/>
      <c r="N1275" s="25"/>
      <c r="O1275" s="26"/>
      <c r="P1275" s="16" t="str">
        <f aca="false">IF(O1275="","",IFERROR(1/(1/(IF(K1275="",INDEX(CONFIG!$F$5:$F$14,MATCH(D1275,CONFIG!$D$5:$D$14,0)),K1275)*IF(M1275="",INDEX(CONFIG!$H$5:$H$14,MATCH(D1275,CONFIG!$D$5:$D$14,0)),M1275))),""))</f>
        <v/>
      </c>
      <c r="Q1275" s="16" t="str">
        <f aca="false">IF(OR(O1275="",P1275=""),"",O1275/P1275)</f>
        <v/>
      </c>
      <c r="R1275" s="16" t="str">
        <f aca="false">IF(Q1275="","",Q1275*0.0980665)</f>
        <v/>
      </c>
      <c r="S1275" s="16" t="str">
        <f aca="false">IF(Q1275="","",IFERROR(Q1275/(1/(1/INDEX(CONFIG!$I$5:$I$14,MATCH(D1275,CONFIG!$D$5:$D$14,0)))),""))</f>
        <v/>
      </c>
      <c r="T1275" s="13"/>
      <c r="U1275" s="13"/>
      <c r="V1275" s="13"/>
      <c r="W1275" s="13"/>
      <c r="X1275" s="22" t="str">
        <f aca="false">IF(Q1275="","",Q1275^2)</f>
        <v/>
      </c>
      <c r="Y1275" s="22" t="str">
        <f aca="false">IF(AND(C1275&lt;&gt;"",C1275=CERTIFICADO!$E$4,OR(CERTIFICADO!$E$5="",B1275=CERTIFICADO!$E$5)),MAX($Y$4:Y1274)+1,"")</f>
        <v/>
      </c>
    </row>
    <row r="1276" customFormat="false" ht="15" hidden="false" customHeight="false" outlineLevel="0" collapsed="false">
      <c r="A1276" s="11" t="str">
        <f aca="false">IF(C1276="","",ROW()-4)</f>
        <v/>
      </c>
      <c r="B1276" s="12"/>
      <c r="C1276" s="13"/>
      <c r="D1276" s="23" t="str">
        <f aca="false">IF(C1276="","",IFERROR(INDEX(LOTES!$D$5:$D$1004,MATCH(C1276,LOTES!$F$5:$F$1004,0)),"¿Lote?"))</f>
        <v/>
      </c>
      <c r="E1276" s="11" t="str">
        <f aca="false">IF(C1276="","",IFERROR(INDEX(LOTES!$C$5:$C$1004,MATCH(C1276,LOTES!$F$5:$F$1004,0)),""))</f>
        <v/>
      </c>
      <c r="F1276" s="24" t="str">
        <f aca="false">IF(C1276="","",IFERROR(INDEX(LOTES!$B$5:$B$1004,MATCH(C1276,LOTES!$F$5:$F$1004,0)),""))</f>
        <v/>
      </c>
      <c r="G1276" s="15" t="str">
        <f aca="false">IF(OR(B1276="",F1276=""),"",B1276-F1276)</f>
        <v/>
      </c>
      <c r="H1276" s="13"/>
      <c r="I1276" s="13"/>
      <c r="J1276" s="13"/>
      <c r="K1276" s="25"/>
      <c r="L1276" s="25"/>
      <c r="M1276" s="25"/>
      <c r="N1276" s="25"/>
      <c r="O1276" s="26"/>
      <c r="P1276" s="16" t="str">
        <f aca="false">IF(O1276="","",IFERROR(1/(1/(IF(K1276="",INDEX(CONFIG!$F$5:$F$14,MATCH(D1276,CONFIG!$D$5:$D$14,0)),K1276)*IF(M1276="",INDEX(CONFIG!$H$5:$H$14,MATCH(D1276,CONFIG!$D$5:$D$14,0)),M1276))),""))</f>
        <v/>
      </c>
      <c r="Q1276" s="16" t="str">
        <f aca="false">IF(OR(O1276="",P1276=""),"",O1276/P1276)</f>
        <v/>
      </c>
      <c r="R1276" s="16" t="str">
        <f aca="false">IF(Q1276="","",Q1276*0.0980665)</f>
        <v/>
      </c>
      <c r="S1276" s="16" t="str">
        <f aca="false">IF(Q1276="","",IFERROR(Q1276/(1/(1/INDEX(CONFIG!$I$5:$I$14,MATCH(D1276,CONFIG!$D$5:$D$14,0)))),""))</f>
        <v/>
      </c>
      <c r="T1276" s="13"/>
      <c r="U1276" s="13"/>
      <c r="V1276" s="13"/>
      <c r="W1276" s="13"/>
      <c r="X1276" s="22" t="str">
        <f aca="false">IF(Q1276="","",Q1276^2)</f>
        <v/>
      </c>
      <c r="Y1276" s="22" t="str">
        <f aca="false">IF(AND(C1276&lt;&gt;"",C1276=CERTIFICADO!$E$4,OR(CERTIFICADO!$E$5="",B1276=CERTIFICADO!$E$5)),MAX($Y$4:Y1275)+1,"")</f>
        <v/>
      </c>
    </row>
    <row r="1277" customFormat="false" ht="15" hidden="false" customHeight="false" outlineLevel="0" collapsed="false">
      <c r="A1277" s="11" t="str">
        <f aca="false">IF(C1277="","",ROW()-4)</f>
        <v/>
      </c>
      <c r="B1277" s="12"/>
      <c r="C1277" s="13"/>
      <c r="D1277" s="23" t="str">
        <f aca="false">IF(C1277="","",IFERROR(INDEX(LOTES!$D$5:$D$1004,MATCH(C1277,LOTES!$F$5:$F$1004,0)),"¿Lote?"))</f>
        <v/>
      </c>
      <c r="E1277" s="11" t="str">
        <f aca="false">IF(C1277="","",IFERROR(INDEX(LOTES!$C$5:$C$1004,MATCH(C1277,LOTES!$F$5:$F$1004,0)),""))</f>
        <v/>
      </c>
      <c r="F1277" s="24" t="str">
        <f aca="false">IF(C1277="","",IFERROR(INDEX(LOTES!$B$5:$B$1004,MATCH(C1277,LOTES!$F$5:$F$1004,0)),""))</f>
        <v/>
      </c>
      <c r="G1277" s="15" t="str">
        <f aca="false">IF(OR(B1277="",F1277=""),"",B1277-F1277)</f>
        <v/>
      </c>
      <c r="H1277" s="13"/>
      <c r="I1277" s="13"/>
      <c r="J1277" s="13"/>
      <c r="K1277" s="25"/>
      <c r="L1277" s="25"/>
      <c r="M1277" s="25"/>
      <c r="N1277" s="25"/>
      <c r="O1277" s="26"/>
      <c r="P1277" s="16" t="str">
        <f aca="false">IF(O1277="","",IFERROR(1/(1/(IF(K1277="",INDEX(CONFIG!$F$5:$F$14,MATCH(D1277,CONFIG!$D$5:$D$14,0)),K1277)*IF(M1277="",INDEX(CONFIG!$H$5:$H$14,MATCH(D1277,CONFIG!$D$5:$D$14,0)),M1277))),""))</f>
        <v/>
      </c>
      <c r="Q1277" s="16" t="str">
        <f aca="false">IF(OR(O1277="",P1277=""),"",O1277/P1277)</f>
        <v/>
      </c>
      <c r="R1277" s="16" t="str">
        <f aca="false">IF(Q1277="","",Q1277*0.0980665)</f>
        <v/>
      </c>
      <c r="S1277" s="16" t="str">
        <f aca="false">IF(Q1277="","",IFERROR(Q1277/(1/(1/INDEX(CONFIG!$I$5:$I$14,MATCH(D1277,CONFIG!$D$5:$D$14,0)))),""))</f>
        <v/>
      </c>
      <c r="T1277" s="13"/>
      <c r="U1277" s="13"/>
      <c r="V1277" s="13"/>
      <c r="W1277" s="13"/>
      <c r="X1277" s="22" t="str">
        <f aca="false">IF(Q1277="","",Q1277^2)</f>
        <v/>
      </c>
      <c r="Y1277" s="22" t="str">
        <f aca="false">IF(AND(C1277&lt;&gt;"",C1277=CERTIFICADO!$E$4,OR(CERTIFICADO!$E$5="",B1277=CERTIFICADO!$E$5)),MAX($Y$4:Y1276)+1,"")</f>
        <v/>
      </c>
    </row>
    <row r="1278" customFormat="false" ht="15" hidden="false" customHeight="false" outlineLevel="0" collapsed="false">
      <c r="A1278" s="11" t="str">
        <f aca="false">IF(C1278="","",ROW()-4)</f>
        <v/>
      </c>
      <c r="B1278" s="12"/>
      <c r="C1278" s="13"/>
      <c r="D1278" s="23" t="str">
        <f aca="false">IF(C1278="","",IFERROR(INDEX(LOTES!$D$5:$D$1004,MATCH(C1278,LOTES!$F$5:$F$1004,0)),"¿Lote?"))</f>
        <v/>
      </c>
      <c r="E1278" s="11" t="str">
        <f aca="false">IF(C1278="","",IFERROR(INDEX(LOTES!$C$5:$C$1004,MATCH(C1278,LOTES!$F$5:$F$1004,0)),""))</f>
        <v/>
      </c>
      <c r="F1278" s="24" t="str">
        <f aca="false">IF(C1278="","",IFERROR(INDEX(LOTES!$B$5:$B$1004,MATCH(C1278,LOTES!$F$5:$F$1004,0)),""))</f>
        <v/>
      </c>
      <c r="G1278" s="15" t="str">
        <f aca="false">IF(OR(B1278="",F1278=""),"",B1278-F1278)</f>
        <v/>
      </c>
      <c r="H1278" s="13"/>
      <c r="I1278" s="13"/>
      <c r="J1278" s="13"/>
      <c r="K1278" s="25"/>
      <c r="L1278" s="25"/>
      <c r="M1278" s="25"/>
      <c r="N1278" s="25"/>
      <c r="O1278" s="26"/>
      <c r="P1278" s="16" t="str">
        <f aca="false">IF(O1278="","",IFERROR(1/(1/(IF(K1278="",INDEX(CONFIG!$F$5:$F$14,MATCH(D1278,CONFIG!$D$5:$D$14,0)),K1278)*IF(M1278="",INDEX(CONFIG!$H$5:$H$14,MATCH(D1278,CONFIG!$D$5:$D$14,0)),M1278))),""))</f>
        <v/>
      </c>
      <c r="Q1278" s="16" t="str">
        <f aca="false">IF(OR(O1278="",P1278=""),"",O1278/P1278)</f>
        <v/>
      </c>
      <c r="R1278" s="16" t="str">
        <f aca="false">IF(Q1278="","",Q1278*0.0980665)</f>
        <v/>
      </c>
      <c r="S1278" s="16" t="str">
        <f aca="false">IF(Q1278="","",IFERROR(Q1278/(1/(1/INDEX(CONFIG!$I$5:$I$14,MATCH(D1278,CONFIG!$D$5:$D$14,0)))),""))</f>
        <v/>
      </c>
      <c r="T1278" s="13"/>
      <c r="U1278" s="13"/>
      <c r="V1278" s="13"/>
      <c r="W1278" s="13"/>
      <c r="X1278" s="22" t="str">
        <f aca="false">IF(Q1278="","",Q1278^2)</f>
        <v/>
      </c>
      <c r="Y1278" s="22" t="str">
        <f aca="false">IF(AND(C1278&lt;&gt;"",C1278=CERTIFICADO!$E$4,OR(CERTIFICADO!$E$5="",B1278=CERTIFICADO!$E$5)),MAX($Y$4:Y1277)+1,"")</f>
        <v/>
      </c>
    </row>
    <row r="1279" customFormat="false" ht="15" hidden="false" customHeight="false" outlineLevel="0" collapsed="false">
      <c r="A1279" s="11" t="str">
        <f aca="false">IF(C1279="","",ROW()-4)</f>
        <v/>
      </c>
      <c r="B1279" s="12"/>
      <c r="C1279" s="13"/>
      <c r="D1279" s="23" t="str">
        <f aca="false">IF(C1279="","",IFERROR(INDEX(LOTES!$D$5:$D$1004,MATCH(C1279,LOTES!$F$5:$F$1004,0)),"¿Lote?"))</f>
        <v/>
      </c>
      <c r="E1279" s="11" t="str">
        <f aca="false">IF(C1279="","",IFERROR(INDEX(LOTES!$C$5:$C$1004,MATCH(C1279,LOTES!$F$5:$F$1004,0)),""))</f>
        <v/>
      </c>
      <c r="F1279" s="24" t="str">
        <f aca="false">IF(C1279="","",IFERROR(INDEX(LOTES!$B$5:$B$1004,MATCH(C1279,LOTES!$F$5:$F$1004,0)),""))</f>
        <v/>
      </c>
      <c r="G1279" s="15" t="str">
        <f aca="false">IF(OR(B1279="",F1279=""),"",B1279-F1279)</f>
        <v/>
      </c>
      <c r="H1279" s="13"/>
      <c r="I1279" s="13"/>
      <c r="J1279" s="13"/>
      <c r="K1279" s="25"/>
      <c r="L1279" s="25"/>
      <c r="M1279" s="25"/>
      <c r="N1279" s="25"/>
      <c r="O1279" s="26"/>
      <c r="P1279" s="16" t="str">
        <f aca="false">IF(O1279="","",IFERROR(1/(1/(IF(K1279="",INDEX(CONFIG!$F$5:$F$14,MATCH(D1279,CONFIG!$D$5:$D$14,0)),K1279)*IF(M1279="",INDEX(CONFIG!$H$5:$H$14,MATCH(D1279,CONFIG!$D$5:$D$14,0)),M1279))),""))</f>
        <v/>
      </c>
      <c r="Q1279" s="16" t="str">
        <f aca="false">IF(OR(O1279="",P1279=""),"",O1279/P1279)</f>
        <v/>
      </c>
      <c r="R1279" s="16" t="str">
        <f aca="false">IF(Q1279="","",Q1279*0.0980665)</f>
        <v/>
      </c>
      <c r="S1279" s="16" t="str">
        <f aca="false">IF(Q1279="","",IFERROR(Q1279/(1/(1/INDEX(CONFIG!$I$5:$I$14,MATCH(D1279,CONFIG!$D$5:$D$14,0)))),""))</f>
        <v/>
      </c>
      <c r="T1279" s="13"/>
      <c r="U1279" s="13"/>
      <c r="V1279" s="13"/>
      <c r="W1279" s="13"/>
      <c r="X1279" s="22" t="str">
        <f aca="false">IF(Q1279="","",Q1279^2)</f>
        <v/>
      </c>
      <c r="Y1279" s="22" t="str">
        <f aca="false">IF(AND(C1279&lt;&gt;"",C1279=CERTIFICADO!$E$4,OR(CERTIFICADO!$E$5="",B1279=CERTIFICADO!$E$5)),MAX($Y$4:Y1278)+1,"")</f>
        <v/>
      </c>
    </row>
    <row r="1280" customFormat="false" ht="15" hidden="false" customHeight="false" outlineLevel="0" collapsed="false">
      <c r="A1280" s="11" t="str">
        <f aca="false">IF(C1280="","",ROW()-4)</f>
        <v/>
      </c>
      <c r="B1280" s="12"/>
      <c r="C1280" s="13"/>
      <c r="D1280" s="23" t="str">
        <f aca="false">IF(C1280="","",IFERROR(INDEX(LOTES!$D$5:$D$1004,MATCH(C1280,LOTES!$F$5:$F$1004,0)),"¿Lote?"))</f>
        <v/>
      </c>
      <c r="E1280" s="11" t="str">
        <f aca="false">IF(C1280="","",IFERROR(INDEX(LOTES!$C$5:$C$1004,MATCH(C1280,LOTES!$F$5:$F$1004,0)),""))</f>
        <v/>
      </c>
      <c r="F1280" s="24" t="str">
        <f aca="false">IF(C1280="","",IFERROR(INDEX(LOTES!$B$5:$B$1004,MATCH(C1280,LOTES!$F$5:$F$1004,0)),""))</f>
        <v/>
      </c>
      <c r="G1280" s="15" t="str">
        <f aca="false">IF(OR(B1280="",F1280=""),"",B1280-F1280)</f>
        <v/>
      </c>
      <c r="H1280" s="13"/>
      <c r="I1280" s="13"/>
      <c r="J1280" s="13"/>
      <c r="K1280" s="25"/>
      <c r="L1280" s="25"/>
      <c r="M1280" s="25"/>
      <c r="N1280" s="25"/>
      <c r="O1280" s="26"/>
      <c r="P1280" s="16" t="str">
        <f aca="false">IF(O1280="","",IFERROR(1/(1/(IF(K1280="",INDEX(CONFIG!$F$5:$F$14,MATCH(D1280,CONFIG!$D$5:$D$14,0)),K1280)*IF(M1280="",INDEX(CONFIG!$H$5:$H$14,MATCH(D1280,CONFIG!$D$5:$D$14,0)),M1280))),""))</f>
        <v/>
      </c>
      <c r="Q1280" s="16" t="str">
        <f aca="false">IF(OR(O1280="",P1280=""),"",O1280/P1280)</f>
        <v/>
      </c>
      <c r="R1280" s="16" t="str">
        <f aca="false">IF(Q1280="","",Q1280*0.0980665)</f>
        <v/>
      </c>
      <c r="S1280" s="16" t="str">
        <f aca="false">IF(Q1280="","",IFERROR(Q1280/(1/(1/INDEX(CONFIG!$I$5:$I$14,MATCH(D1280,CONFIG!$D$5:$D$14,0)))),""))</f>
        <v/>
      </c>
      <c r="T1280" s="13"/>
      <c r="U1280" s="13"/>
      <c r="V1280" s="13"/>
      <c r="W1280" s="13"/>
      <c r="X1280" s="22" t="str">
        <f aca="false">IF(Q1280="","",Q1280^2)</f>
        <v/>
      </c>
      <c r="Y1280" s="22" t="str">
        <f aca="false">IF(AND(C1280&lt;&gt;"",C1280=CERTIFICADO!$E$4,OR(CERTIFICADO!$E$5="",B1280=CERTIFICADO!$E$5)),MAX($Y$4:Y1279)+1,"")</f>
        <v/>
      </c>
    </row>
    <row r="1281" customFormat="false" ht="15" hidden="false" customHeight="false" outlineLevel="0" collapsed="false">
      <c r="A1281" s="11" t="str">
        <f aca="false">IF(C1281="","",ROW()-4)</f>
        <v/>
      </c>
      <c r="B1281" s="12"/>
      <c r="C1281" s="13"/>
      <c r="D1281" s="23" t="str">
        <f aca="false">IF(C1281="","",IFERROR(INDEX(LOTES!$D$5:$D$1004,MATCH(C1281,LOTES!$F$5:$F$1004,0)),"¿Lote?"))</f>
        <v/>
      </c>
      <c r="E1281" s="11" t="str">
        <f aca="false">IF(C1281="","",IFERROR(INDEX(LOTES!$C$5:$C$1004,MATCH(C1281,LOTES!$F$5:$F$1004,0)),""))</f>
        <v/>
      </c>
      <c r="F1281" s="24" t="str">
        <f aca="false">IF(C1281="","",IFERROR(INDEX(LOTES!$B$5:$B$1004,MATCH(C1281,LOTES!$F$5:$F$1004,0)),""))</f>
        <v/>
      </c>
      <c r="G1281" s="15" t="str">
        <f aca="false">IF(OR(B1281="",F1281=""),"",B1281-F1281)</f>
        <v/>
      </c>
      <c r="H1281" s="13"/>
      <c r="I1281" s="13"/>
      <c r="J1281" s="13"/>
      <c r="K1281" s="25"/>
      <c r="L1281" s="25"/>
      <c r="M1281" s="25"/>
      <c r="N1281" s="25"/>
      <c r="O1281" s="26"/>
      <c r="P1281" s="16" t="str">
        <f aca="false">IF(O1281="","",IFERROR(1/(1/(IF(K1281="",INDEX(CONFIG!$F$5:$F$14,MATCH(D1281,CONFIG!$D$5:$D$14,0)),K1281)*IF(M1281="",INDEX(CONFIG!$H$5:$H$14,MATCH(D1281,CONFIG!$D$5:$D$14,0)),M1281))),""))</f>
        <v/>
      </c>
      <c r="Q1281" s="16" t="str">
        <f aca="false">IF(OR(O1281="",P1281=""),"",O1281/P1281)</f>
        <v/>
      </c>
      <c r="R1281" s="16" t="str">
        <f aca="false">IF(Q1281="","",Q1281*0.0980665)</f>
        <v/>
      </c>
      <c r="S1281" s="16" t="str">
        <f aca="false">IF(Q1281="","",IFERROR(Q1281/(1/(1/INDEX(CONFIG!$I$5:$I$14,MATCH(D1281,CONFIG!$D$5:$D$14,0)))),""))</f>
        <v/>
      </c>
      <c r="T1281" s="13"/>
      <c r="U1281" s="13"/>
      <c r="V1281" s="13"/>
      <c r="W1281" s="13"/>
      <c r="X1281" s="22" t="str">
        <f aca="false">IF(Q1281="","",Q1281^2)</f>
        <v/>
      </c>
      <c r="Y1281" s="22" t="str">
        <f aca="false">IF(AND(C1281&lt;&gt;"",C1281=CERTIFICADO!$E$4,OR(CERTIFICADO!$E$5="",B1281=CERTIFICADO!$E$5)),MAX($Y$4:Y1280)+1,"")</f>
        <v/>
      </c>
    </row>
    <row r="1282" customFormat="false" ht="15" hidden="false" customHeight="false" outlineLevel="0" collapsed="false">
      <c r="A1282" s="11" t="str">
        <f aca="false">IF(C1282="","",ROW()-4)</f>
        <v/>
      </c>
      <c r="B1282" s="12"/>
      <c r="C1282" s="13"/>
      <c r="D1282" s="23" t="str">
        <f aca="false">IF(C1282="","",IFERROR(INDEX(LOTES!$D$5:$D$1004,MATCH(C1282,LOTES!$F$5:$F$1004,0)),"¿Lote?"))</f>
        <v/>
      </c>
      <c r="E1282" s="11" t="str">
        <f aca="false">IF(C1282="","",IFERROR(INDEX(LOTES!$C$5:$C$1004,MATCH(C1282,LOTES!$F$5:$F$1004,0)),""))</f>
        <v/>
      </c>
      <c r="F1282" s="24" t="str">
        <f aca="false">IF(C1282="","",IFERROR(INDEX(LOTES!$B$5:$B$1004,MATCH(C1282,LOTES!$F$5:$F$1004,0)),""))</f>
        <v/>
      </c>
      <c r="G1282" s="15" t="str">
        <f aca="false">IF(OR(B1282="",F1282=""),"",B1282-F1282)</f>
        <v/>
      </c>
      <c r="H1282" s="13"/>
      <c r="I1282" s="13"/>
      <c r="J1282" s="13"/>
      <c r="K1282" s="25"/>
      <c r="L1282" s="25"/>
      <c r="M1282" s="25"/>
      <c r="N1282" s="25"/>
      <c r="O1282" s="26"/>
      <c r="P1282" s="16" t="str">
        <f aca="false">IF(O1282="","",IFERROR(1/(1/(IF(K1282="",INDEX(CONFIG!$F$5:$F$14,MATCH(D1282,CONFIG!$D$5:$D$14,0)),K1282)*IF(M1282="",INDEX(CONFIG!$H$5:$H$14,MATCH(D1282,CONFIG!$D$5:$D$14,0)),M1282))),""))</f>
        <v/>
      </c>
      <c r="Q1282" s="16" t="str">
        <f aca="false">IF(OR(O1282="",P1282=""),"",O1282/P1282)</f>
        <v/>
      </c>
      <c r="R1282" s="16" t="str">
        <f aca="false">IF(Q1282="","",Q1282*0.0980665)</f>
        <v/>
      </c>
      <c r="S1282" s="16" t="str">
        <f aca="false">IF(Q1282="","",IFERROR(Q1282/(1/(1/INDEX(CONFIG!$I$5:$I$14,MATCH(D1282,CONFIG!$D$5:$D$14,0)))),""))</f>
        <v/>
      </c>
      <c r="T1282" s="13"/>
      <c r="U1282" s="13"/>
      <c r="V1282" s="13"/>
      <c r="W1282" s="13"/>
      <c r="X1282" s="22" t="str">
        <f aca="false">IF(Q1282="","",Q1282^2)</f>
        <v/>
      </c>
      <c r="Y1282" s="22" t="str">
        <f aca="false">IF(AND(C1282&lt;&gt;"",C1282=CERTIFICADO!$E$4,OR(CERTIFICADO!$E$5="",B1282=CERTIFICADO!$E$5)),MAX($Y$4:Y1281)+1,"")</f>
        <v/>
      </c>
    </row>
    <row r="1283" customFormat="false" ht="15" hidden="false" customHeight="false" outlineLevel="0" collapsed="false">
      <c r="A1283" s="11" t="str">
        <f aca="false">IF(C1283="","",ROW()-4)</f>
        <v/>
      </c>
      <c r="B1283" s="12"/>
      <c r="C1283" s="13"/>
      <c r="D1283" s="23" t="str">
        <f aca="false">IF(C1283="","",IFERROR(INDEX(LOTES!$D$5:$D$1004,MATCH(C1283,LOTES!$F$5:$F$1004,0)),"¿Lote?"))</f>
        <v/>
      </c>
      <c r="E1283" s="11" t="str">
        <f aca="false">IF(C1283="","",IFERROR(INDEX(LOTES!$C$5:$C$1004,MATCH(C1283,LOTES!$F$5:$F$1004,0)),""))</f>
        <v/>
      </c>
      <c r="F1283" s="24" t="str">
        <f aca="false">IF(C1283="","",IFERROR(INDEX(LOTES!$B$5:$B$1004,MATCH(C1283,LOTES!$F$5:$F$1004,0)),""))</f>
        <v/>
      </c>
      <c r="G1283" s="15" t="str">
        <f aca="false">IF(OR(B1283="",F1283=""),"",B1283-F1283)</f>
        <v/>
      </c>
      <c r="H1283" s="13"/>
      <c r="I1283" s="13"/>
      <c r="J1283" s="13"/>
      <c r="K1283" s="25"/>
      <c r="L1283" s="25"/>
      <c r="M1283" s="25"/>
      <c r="N1283" s="25"/>
      <c r="O1283" s="26"/>
      <c r="P1283" s="16" t="str">
        <f aca="false">IF(O1283="","",IFERROR(1/(1/(IF(K1283="",INDEX(CONFIG!$F$5:$F$14,MATCH(D1283,CONFIG!$D$5:$D$14,0)),K1283)*IF(M1283="",INDEX(CONFIG!$H$5:$H$14,MATCH(D1283,CONFIG!$D$5:$D$14,0)),M1283))),""))</f>
        <v/>
      </c>
      <c r="Q1283" s="16" t="str">
        <f aca="false">IF(OR(O1283="",P1283=""),"",O1283/P1283)</f>
        <v/>
      </c>
      <c r="R1283" s="16" t="str">
        <f aca="false">IF(Q1283="","",Q1283*0.0980665)</f>
        <v/>
      </c>
      <c r="S1283" s="16" t="str">
        <f aca="false">IF(Q1283="","",IFERROR(Q1283/(1/(1/INDEX(CONFIG!$I$5:$I$14,MATCH(D1283,CONFIG!$D$5:$D$14,0)))),""))</f>
        <v/>
      </c>
      <c r="T1283" s="13"/>
      <c r="U1283" s="13"/>
      <c r="V1283" s="13"/>
      <c r="W1283" s="13"/>
      <c r="X1283" s="22" t="str">
        <f aca="false">IF(Q1283="","",Q1283^2)</f>
        <v/>
      </c>
      <c r="Y1283" s="22" t="str">
        <f aca="false">IF(AND(C1283&lt;&gt;"",C1283=CERTIFICADO!$E$4,OR(CERTIFICADO!$E$5="",B1283=CERTIFICADO!$E$5)),MAX($Y$4:Y1282)+1,"")</f>
        <v/>
      </c>
    </row>
    <row r="1284" customFormat="false" ht="15" hidden="false" customHeight="false" outlineLevel="0" collapsed="false">
      <c r="A1284" s="11" t="str">
        <f aca="false">IF(C1284="","",ROW()-4)</f>
        <v/>
      </c>
      <c r="B1284" s="12"/>
      <c r="C1284" s="13"/>
      <c r="D1284" s="23" t="str">
        <f aca="false">IF(C1284="","",IFERROR(INDEX(LOTES!$D$5:$D$1004,MATCH(C1284,LOTES!$F$5:$F$1004,0)),"¿Lote?"))</f>
        <v/>
      </c>
      <c r="E1284" s="11" t="str">
        <f aca="false">IF(C1284="","",IFERROR(INDEX(LOTES!$C$5:$C$1004,MATCH(C1284,LOTES!$F$5:$F$1004,0)),""))</f>
        <v/>
      </c>
      <c r="F1284" s="24" t="str">
        <f aca="false">IF(C1284="","",IFERROR(INDEX(LOTES!$B$5:$B$1004,MATCH(C1284,LOTES!$F$5:$F$1004,0)),""))</f>
        <v/>
      </c>
      <c r="G1284" s="15" t="str">
        <f aca="false">IF(OR(B1284="",F1284=""),"",B1284-F1284)</f>
        <v/>
      </c>
      <c r="H1284" s="13"/>
      <c r="I1284" s="13"/>
      <c r="J1284" s="13"/>
      <c r="K1284" s="25"/>
      <c r="L1284" s="25"/>
      <c r="M1284" s="25"/>
      <c r="N1284" s="25"/>
      <c r="O1284" s="26"/>
      <c r="P1284" s="16" t="str">
        <f aca="false">IF(O1284="","",IFERROR(1/(1/(IF(K1284="",INDEX(CONFIG!$F$5:$F$14,MATCH(D1284,CONFIG!$D$5:$D$14,0)),K1284)*IF(M1284="",INDEX(CONFIG!$H$5:$H$14,MATCH(D1284,CONFIG!$D$5:$D$14,0)),M1284))),""))</f>
        <v/>
      </c>
      <c r="Q1284" s="16" t="str">
        <f aca="false">IF(OR(O1284="",P1284=""),"",O1284/P1284)</f>
        <v/>
      </c>
      <c r="R1284" s="16" t="str">
        <f aca="false">IF(Q1284="","",Q1284*0.0980665)</f>
        <v/>
      </c>
      <c r="S1284" s="16" t="str">
        <f aca="false">IF(Q1284="","",IFERROR(Q1284/(1/(1/INDEX(CONFIG!$I$5:$I$14,MATCH(D1284,CONFIG!$D$5:$D$14,0)))),""))</f>
        <v/>
      </c>
      <c r="T1284" s="13"/>
      <c r="U1284" s="13"/>
      <c r="V1284" s="13"/>
      <c r="W1284" s="13"/>
      <c r="X1284" s="22" t="str">
        <f aca="false">IF(Q1284="","",Q1284^2)</f>
        <v/>
      </c>
      <c r="Y1284" s="22" t="str">
        <f aca="false">IF(AND(C1284&lt;&gt;"",C1284=CERTIFICADO!$E$4,OR(CERTIFICADO!$E$5="",B1284=CERTIFICADO!$E$5)),MAX($Y$4:Y1283)+1,"")</f>
        <v/>
      </c>
    </row>
    <row r="1285" customFormat="false" ht="15" hidden="false" customHeight="false" outlineLevel="0" collapsed="false">
      <c r="A1285" s="11" t="str">
        <f aca="false">IF(C1285="","",ROW()-4)</f>
        <v/>
      </c>
      <c r="B1285" s="12"/>
      <c r="C1285" s="13"/>
      <c r="D1285" s="23" t="str">
        <f aca="false">IF(C1285="","",IFERROR(INDEX(LOTES!$D$5:$D$1004,MATCH(C1285,LOTES!$F$5:$F$1004,0)),"¿Lote?"))</f>
        <v/>
      </c>
      <c r="E1285" s="11" t="str">
        <f aca="false">IF(C1285="","",IFERROR(INDEX(LOTES!$C$5:$C$1004,MATCH(C1285,LOTES!$F$5:$F$1004,0)),""))</f>
        <v/>
      </c>
      <c r="F1285" s="24" t="str">
        <f aca="false">IF(C1285="","",IFERROR(INDEX(LOTES!$B$5:$B$1004,MATCH(C1285,LOTES!$F$5:$F$1004,0)),""))</f>
        <v/>
      </c>
      <c r="G1285" s="15" t="str">
        <f aca="false">IF(OR(B1285="",F1285=""),"",B1285-F1285)</f>
        <v/>
      </c>
      <c r="H1285" s="13"/>
      <c r="I1285" s="13"/>
      <c r="J1285" s="13"/>
      <c r="K1285" s="25"/>
      <c r="L1285" s="25"/>
      <c r="M1285" s="25"/>
      <c r="N1285" s="25"/>
      <c r="O1285" s="26"/>
      <c r="P1285" s="16" t="str">
        <f aca="false">IF(O1285="","",IFERROR(1/(1/(IF(K1285="",INDEX(CONFIG!$F$5:$F$14,MATCH(D1285,CONFIG!$D$5:$D$14,0)),K1285)*IF(M1285="",INDEX(CONFIG!$H$5:$H$14,MATCH(D1285,CONFIG!$D$5:$D$14,0)),M1285))),""))</f>
        <v/>
      </c>
      <c r="Q1285" s="16" t="str">
        <f aca="false">IF(OR(O1285="",P1285=""),"",O1285/P1285)</f>
        <v/>
      </c>
      <c r="R1285" s="16" t="str">
        <f aca="false">IF(Q1285="","",Q1285*0.0980665)</f>
        <v/>
      </c>
      <c r="S1285" s="16" t="str">
        <f aca="false">IF(Q1285="","",IFERROR(Q1285/(1/(1/INDEX(CONFIG!$I$5:$I$14,MATCH(D1285,CONFIG!$D$5:$D$14,0)))),""))</f>
        <v/>
      </c>
      <c r="T1285" s="13"/>
      <c r="U1285" s="13"/>
      <c r="V1285" s="13"/>
      <c r="W1285" s="13"/>
      <c r="X1285" s="22" t="str">
        <f aca="false">IF(Q1285="","",Q1285^2)</f>
        <v/>
      </c>
      <c r="Y1285" s="22" t="str">
        <f aca="false">IF(AND(C1285&lt;&gt;"",C1285=CERTIFICADO!$E$4,OR(CERTIFICADO!$E$5="",B1285=CERTIFICADO!$E$5)),MAX($Y$4:Y1284)+1,"")</f>
        <v/>
      </c>
    </row>
    <row r="1286" customFormat="false" ht="15" hidden="false" customHeight="false" outlineLevel="0" collapsed="false">
      <c r="A1286" s="11" t="str">
        <f aca="false">IF(C1286="","",ROW()-4)</f>
        <v/>
      </c>
      <c r="B1286" s="12"/>
      <c r="C1286" s="13"/>
      <c r="D1286" s="23" t="str">
        <f aca="false">IF(C1286="","",IFERROR(INDEX(LOTES!$D$5:$D$1004,MATCH(C1286,LOTES!$F$5:$F$1004,0)),"¿Lote?"))</f>
        <v/>
      </c>
      <c r="E1286" s="11" t="str">
        <f aca="false">IF(C1286="","",IFERROR(INDEX(LOTES!$C$5:$C$1004,MATCH(C1286,LOTES!$F$5:$F$1004,0)),""))</f>
        <v/>
      </c>
      <c r="F1286" s="24" t="str">
        <f aca="false">IF(C1286="","",IFERROR(INDEX(LOTES!$B$5:$B$1004,MATCH(C1286,LOTES!$F$5:$F$1004,0)),""))</f>
        <v/>
      </c>
      <c r="G1286" s="15" t="str">
        <f aca="false">IF(OR(B1286="",F1286=""),"",B1286-F1286)</f>
        <v/>
      </c>
      <c r="H1286" s="13"/>
      <c r="I1286" s="13"/>
      <c r="J1286" s="13"/>
      <c r="K1286" s="25"/>
      <c r="L1286" s="25"/>
      <c r="M1286" s="25"/>
      <c r="N1286" s="25"/>
      <c r="O1286" s="26"/>
      <c r="P1286" s="16" t="str">
        <f aca="false">IF(O1286="","",IFERROR(1/(1/(IF(K1286="",INDEX(CONFIG!$F$5:$F$14,MATCH(D1286,CONFIG!$D$5:$D$14,0)),K1286)*IF(M1286="",INDEX(CONFIG!$H$5:$H$14,MATCH(D1286,CONFIG!$D$5:$D$14,0)),M1286))),""))</f>
        <v/>
      </c>
      <c r="Q1286" s="16" t="str">
        <f aca="false">IF(OR(O1286="",P1286=""),"",O1286/P1286)</f>
        <v/>
      </c>
      <c r="R1286" s="16" t="str">
        <f aca="false">IF(Q1286="","",Q1286*0.0980665)</f>
        <v/>
      </c>
      <c r="S1286" s="16" t="str">
        <f aca="false">IF(Q1286="","",IFERROR(Q1286/(1/(1/INDEX(CONFIG!$I$5:$I$14,MATCH(D1286,CONFIG!$D$5:$D$14,0)))),""))</f>
        <v/>
      </c>
      <c r="T1286" s="13"/>
      <c r="U1286" s="13"/>
      <c r="V1286" s="13"/>
      <c r="W1286" s="13"/>
      <c r="X1286" s="22" t="str">
        <f aca="false">IF(Q1286="","",Q1286^2)</f>
        <v/>
      </c>
      <c r="Y1286" s="22" t="str">
        <f aca="false">IF(AND(C1286&lt;&gt;"",C1286=CERTIFICADO!$E$4,OR(CERTIFICADO!$E$5="",B1286=CERTIFICADO!$E$5)),MAX($Y$4:Y1285)+1,"")</f>
        <v/>
      </c>
    </row>
    <row r="1287" customFormat="false" ht="15" hidden="false" customHeight="false" outlineLevel="0" collapsed="false">
      <c r="A1287" s="11" t="str">
        <f aca="false">IF(C1287="","",ROW()-4)</f>
        <v/>
      </c>
      <c r="B1287" s="12"/>
      <c r="C1287" s="13"/>
      <c r="D1287" s="23" t="str">
        <f aca="false">IF(C1287="","",IFERROR(INDEX(LOTES!$D$5:$D$1004,MATCH(C1287,LOTES!$F$5:$F$1004,0)),"¿Lote?"))</f>
        <v/>
      </c>
      <c r="E1287" s="11" t="str">
        <f aca="false">IF(C1287="","",IFERROR(INDEX(LOTES!$C$5:$C$1004,MATCH(C1287,LOTES!$F$5:$F$1004,0)),""))</f>
        <v/>
      </c>
      <c r="F1287" s="24" t="str">
        <f aca="false">IF(C1287="","",IFERROR(INDEX(LOTES!$B$5:$B$1004,MATCH(C1287,LOTES!$F$5:$F$1004,0)),""))</f>
        <v/>
      </c>
      <c r="G1287" s="15" t="str">
        <f aca="false">IF(OR(B1287="",F1287=""),"",B1287-F1287)</f>
        <v/>
      </c>
      <c r="H1287" s="13"/>
      <c r="I1287" s="13"/>
      <c r="J1287" s="13"/>
      <c r="K1287" s="25"/>
      <c r="L1287" s="25"/>
      <c r="M1287" s="25"/>
      <c r="N1287" s="25"/>
      <c r="O1287" s="26"/>
      <c r="P1287" s="16" t="str">
        <f aca="false">IF(O1287="","",IFERROR(1/(1/(IF(K1287="",INDEX(CONFIG!$F$5:$F$14,MATCH(D1287,CONFIG!$D$5:$D$14,0)),K1287)*IF(M1287="",INDEX(CONFIG!$H$5:$H$14,MATCH(D1287,CONFIG!$D$5:$D$14,0)),M1287))),""))</f>
        <v/>
      </c>
      <c r="Q1287" s="16" t="str">
        <f aca="false">IF(OR(O1287="",P1287=""),"",O1287/P1287)</f>
        <v/>
      </c>
      <c r="R1287" s="16" t="str">
        <f aca="false">IF(Q1287="","",Q1287*0.0980665)</f>
        <v/>
      </c>
      <c r="S1287" s="16" t="str">
        <f aca="false">IF(Q1287="","",IFERROR(Q1287/(1/(1/INDEX(CONFIG!$I$5:$I$14,MATCH(D1287,CONFIG!$D$5:$D$14,0)))),""))</f>
        <v/>
      </c>
      <c r="T1287" s="13"/>
      <c r="U1287" s="13"/>
      <c r="V1287" s="13"/>
      <c r="W1287" s="13"/>
      <c r="X1287" s="22" t="str">
        <f aca="false">IF(Q1287="","",Q1287^2)</f>
        <v/>
      </c>
      <c r="Y1287" s="22" t="str">
        <f aca="false">IF(AND(C1287&lt;&gt;"",C1287=CERTIFICADO!$E$4,OR(CERTIFICADO!$E$5="",B1287=CERTIFICADO!$E$5)),MAX($Y$4:Y1286)+1,"")</f>
        <v/>
      </c>
    </row>
    <row r="1288" customFormat="false" ht="15" hidden="false" customHeight="false" outlineLevel="0" collapsed="false">
      <c r="A1288" s="11" t="str">
        <f aca="false">IF(C1288="","",ROW()-4)</f>
        <v/>
      </c>
      <c r="B1288" s="12"/>
      <c r="C1288" s="13"/>
      <c r="D1288" s="23" t="str">
        <f aca="false">IF(C1288="","",IFERROR(INDEX(LOTES!$D$5:$D$1004,MATCH(C1288,LOTES!$F$5:$F$1004,0)),"¿Lote?"))</f>
        <v/>
      </c>
      <c r="E1288" s="11" t="str">
        <f aca="false">IF(C1288="","",IFERROR(INDEX(LOTES!$C$5:$C$1004,MATCH(C1288,LOTES!$F$5:$F$1004,0)),""))</f>
        <v/>
      </c>
      <c r="F1288" s="24" t="str">
        <f aca="false">IF(C1288="","",IFERROR(INDEX(LOTES!$B$5:$B$1004,MATCH(C1288,LOTES!$F$5:$F$1004,0)),""))</f>
        <v/>
      </c>
      <c r="G1288" s="15" t="str">
        <f aca="false">IF(OR(B1288="",F1288=""),"",B1288-F1288)</f>
        <v/>
      </c>
      <c r="H1288" s="13"/>
      <c r="I1288" s="13"/>
      <c r="J1288" s="13"/>
      <c r="K1288" s="25"/>
      <c r="L1288" s="25"/>
      <c r="M1288" s="25"/>
      <c r="N1288" s="25"/>
      <c r="O1288" s="26"/>
      <c r="P1288" s="16" t="str">
        <f aca="false">IF(O1288="","",IFERROR(1/(1/(IF(K1288="",INDEX(CONFIG!$F$5:$F$14,MATCH(D1288,CONFIG!$D$5:$D$14,0)),K1288)*IF(M1288="",INDEX(CONFIG!$H$5:$H$14,MATCH(D1288,CONFIG!$D$5:$D$14,0)),M1288))),""))</f>
        <v/>
      </c>
      <c r="Q1288" s="16" t="str">
        <f aca="false">IF(OR(O1288="",P1288=""),"",O1288/P1288)</f>
        <v/>
      </c>
      <c r="R1288" s="16" t="str">
        <f aca="false">IF(Q1288="","",Q1288*0.0980665)</f>
        <v/>
      </c>
      <c r="S1288" s="16" t="str">
        <f aca="false">IF(Q1288="","",IFERROR(Q1288/(1/(1/INDEX(CONFIG!$I$5:$I$14,MATCH(D1288,CONFIG!$D$5:$D$14,0)))),""))</f>
        <v/>
      </c>
      <c r="T1288" s="13"/>
      <c r="U1288" s="13"/>
      <c r="V1288" s="13"/>
      <c r="W1288" s="13"/>
      <c r="X1288" s="22" t="str">
        <f aca="false">IF(Q1288="","",Q1288^2)</f>
        <v/>
      </c>
      <c r="Y1288" s="22" t="str">
        <f aca="false">IF(AND(C1288&lt;&gt;"",C1288=CERTIFICADO!$E$4,OR(CERTIFICADO!$E$5="",B1288=CERTIFICADO!$E$5)),MAX($Y$4:Y1287)+1,"")</f>
        <v/>
      </c>
    </row>
    <row r="1289" customFormat="false" ht="15" hidden="false" customHeight="false" outlineLevel="0" collapsed="false">
      <c r="A1289" s="11" t="str">
        <f aca="false">IF(C1289="","",ROW()-4)</f>
        <v/>
      </c>
      <c r="B1289" s="12"/>
      <c r="C1289" s="13"/>
      <c r="D1289" s="23" t="str">
        <f aca="false">IF(C1289="","",IFERROR(INDEX(LOTES!$D$5:$D$1004,MATCH(C1289,LOTES!$F$5:$F$1004,0)),"¿Lote?"))</f>
        <v/>
      </c>
      <c r="E1289" s="11" t="str">
        <f aca="false">IF(C1289="","",IFERROR(INDEX(LOTES!$C$5:$C$1004,MATCH(C1289,LOTES!$F$5:$F$1004,0)),""))</f>
        <v/>
      </c>
      <c r="F1289" s="24" t="str">
        <f aca="false">IF(C1289="","",IFERROR(INDEX(LOTES!$B$5:$B$1004,MATCH(C1289,LOTES!$F$5:$F$1004,0)),""))</f>
        <v/>
      </c>
      <c r="G1289" s="15" t="str">
        <f aca="false">IF(OR(B1289="",F1289=""),"",B1289-F1289)</f>
        <v/>
      </c>
      <c r="H1289" s="13"/>
      <c r="I1289" s="13"/>
      <c r="J1289" s="13"/>
      <c r="K1289" s="25"/>
      <c r="L1289" s="25"/>
      <c r="M1289" s="25"/>
      <c r="N1289" s="25"/>
      <c r="O1289" s="26"/>
      <c r="P1289" s="16" t="str">
        <f aca="false">IF(O1289="","",IFERROR(1/(1/(IF(K1289="",INDEX(CONFIG!$F$5:$F$14,MATCH(D1289,CONFIG!$D$5:$D$14,0)),K1289)*IF(M1289="",INDEX(CONFIG!$H$5:$H$14,MATCH(D1289,CONFIG!$D$5:$D$14,0)),M1289))),""))</f>
        <v/>
      </c>
      <c r="Q1289" s="16" t="str">
        <f aca="false">IF(OR(O1289="",P1289=""),"",O1289/P1289)</f>
        <v/>
      </c>
      <c r="R1289" s="16" t="str">
        <f aca="false">IF(Q1289="","",Q1289*0.0980665)</f>
        <v/>
      </c>
      <c r="S1289" s="16" t="str">
        <f aca="false">IF(Q1289="","",IFERROR(Q1289/(1/(1/INDEX(CONFIG!$I$5:$I$14,MATCH(D1289,CONFIG!$D$5:$D$14,0)))),""))</f>
        <v/>
      </c>
      <c r="T1289" s="13"/>
      <c r="U1289" s="13"/>
      <c r="V1289" s="13"/>
      <c r="W1289" s="13"/>
      <c r="X1289" s="22" t="str">
        <f aca="false">IF(Q1289="","",Q1289^2)</f>
        <v/>
      </c>
      <c r="Y1289" s="22" t="str">
        <f aca="false">IF(AND(C1289&lt;&gt;"",C1289=CERTIFICADO!$E$4,OR(CERTIFICADO!$E$5="",B1289=CERTIFICADO!$E$5)),MAX($Y$4:Y1288)+1,"")</f>
        <v/>
      </c>
    </row>
    <row r="1290" customFormat="false" ht="15" hidden="false" customHeight="false" outlineLevel="0" collapsed="false">
      <c r="A1290" s="11" t="str">
        <f aca="false">IF(C1290="","",ROW()-4)</f>
        <v/>
      </c>
      <c r="B1290" s="12"/>
      <c r="C1290" s="13"/>
      <c r="D1290" s="23" t="str">
        <f aca="false">IF(C1290="","",IFERROR(INDEX(LOTES!$D$5:$D$1004,MATCH(C1290,LOTES!$F$5:$F$1004,0)),"¿Lote?"))</f>
        <v/>
      </c>
      <c r="E1290" s="11" t="str">
        <f aca="false">IF(C1290="","",IFERROR(INDEX(LOTES!$C$5:$C$1004,MATCH(C1290,LOTES!$F$5:$F$1004,0)),""))</f>
        <v/>
      </c>
      <c r="F1290" s="24" t="str">
        <f aca="false">IF(C1290="","",IFERROR(INDEX(LOTES!$B$5:$B$1004,MATCH(C1290,LOTES!$F$5:$F$1004,0)),""))</f>
        <v/>
      </c>
      <c r="G1290" s="15" t="str">
        <f aca="false">IF(OR(B1290="",F1290=""),"",B1290-F1290)</f>
        <v/>
      </c>
      <c r="H1290" s="13"/>
      <c r="I1290" s="13"/>
      <c r="J1290" s="13"/>
      <c r="K1290" s="25"/>
      <c r="L1290" s="25"/>
      <c r="M1290" s="25"/>
      <c r="N1290" s="25"/>
      <c r="O1290" s="26"/>
      <c r="P1290" s="16" t="str">
        <f aca="false">IF(O1290="","",IFERROR(1/(1/(IF(K1290="",INDEX(CONFIG!$F$5:$F$14,MATCH(D1290,CONFIG!$D$5:$D$14,0)),K1290)*IF(M1290="",INDEX(CONFIG!$H$5:$H$14,MATCH(D1290,CONFIG!$D$5:$D$14,0)),M1290))),""))</f>
        <v/>
      </c>
      <c r="Q1290" s="16" t="str">
        <f aca="false">IF(OR(O1290="",P1290=""),"",O1290/P1290)</f>
        <v/>
      </c>
      <c r="R1290" s="16" t="str">
        <f aca="false">IF(Q1290="","",Q1290*0.0980665)</f>
        <v/>
      </c>
      <c r="S1290" s="16" t="str">
        <f aca="false">IF(Q1290="","",IFERROR(Q1290/(1/(1/INDEX(CONFIG!$I$5:$I$14,MATCH(D1290,CONFIG!$D$5:$D$14,0)))),""))</f>
        <v/>
      </c>
      <c r="T1290" s="13"/>
      <c r="U1290" s="13"/>
      <c r="V1290" s="13"/>
      <c r="W1290" s="13"/>
      <c r="X1290" s="22" t="str">
        <f aca="false">IF(Q1290="","",Q1290^2)</f>
        <v/>
      </c>
      <c r="Y1290" s="22" t="str">
        <f aca="false">IF(AND(C1290&lt;&gt;"",C1290=CERTIFICADO!$E$4,OR(CERTIFICADO!$E$5="",B1290=CERTIFICADO!$E$5)),MAX($Y$4:Y1289)+1,"")</f>
        <v/>
      </c>
    </row>
    <row r="1291" customFormat="false" ht="15" hidden="false" customHeight="false" outlineLevel="0" collapsed="false">
      <c r="A1291" s="11" t="str">
        <f aca="false">IF(C1291="","",ROW()-4)</f>
        <v/>
      </c>
      <c r="B1291" s="12"/>
      <c r="C1291" s="13"/>
      <c r="D1291" s="23" t="str">
        <f aca="false">IF(C1291="","",IFERROR(INDEX(LOTES!$D$5:$D$1004,MATCH(C1291,LOTES!$F$5:$F$1004,0)),"¿Lote?"))</f>
        <v/>
      </c>
      <c r="E1291" s="11" t="str">
        <f aca="false">IF(C1291="","",IFERROR(INDEX(LOTES!$C$5:$C$1004,MATCH(C1291,LOTES!$F$5:$F$1004,0)),""))</f>
        <v/>
      </c>
      <c r="F1291" s="24" t="str">
        <f aca="false">IF(C1291="","",IFERROR(INDEX(LOTES!$B$5:$B$1004,MATCH(C1291,LOTES!$F$5:$F$1004,0)),""))</f>
        <v/>
      </c>
      <c r="G1291" s="15" t="str">
        <f aca="false">IF(OR(B1291="",F1291=""),"",B1291-F1291)</f>
        <v/>
      </c>
      <c r="H1291" s="13"/>
      <c r="I1291" s="13"/>
      <c r="J1291" s="13"/>
      <c r="K1291" s="25"/>
      <c r="L1291" s="25"/>
      <c r="M1291" s="25"/>
      <c r="N1291" s="25"/>
      <c r="O1291" s="26"/>
      <c r="P1291" s="16" t="str">
        <f aca="false">IF(O1291="","",IFERROR(1/(1/(IF(K1291="",INDEX(CONFIG!$F$5:$F$14,MATCH(D1291,CONFIG!$D$5:$D$14,0)),K1291)*IF(M1291="",INDEX(CONFIG!$H$5:$H$14,MATCH(D1291,CONFIG!$D$5:$D$14,0)),M1291))),""))</f>
        <v/>
      </c>
      <c r="Q1291" s="16" t="str">
        <f aca="false">IF(OR(O1291="",P1291=""),"",O1291/P1291)</f>
        <v/>
      </c>
      <c r="R1291" s="16" t="str">
        <f aca="false">IF(Q1291="","",Q1291*0.0980665)</f>
        <v/>
      </c>
      <c r="S1291" s="16" t="str">
        <f aca="false">IF(Q1291="","",IFERROR(Q1291/(1/(1/INDEX(CONFIG!$I$5:$I$14,MATCH(D1291,CONFIG!$D$5:$D$14,0)))),""))</f>
        <v/>
      </c>
      <c r="T1291" s="13"/>
      <c r="U1291" s="13"/>
      <c r="V1291" s="13"/>
      <c r="W1291" s="13"/>
      <c r="X1291" s="22" t="str">
        <f aca="false">IF(Q1291="","",Q1291^2)</f>
        <v/>
      </c>
      <c r="Y1291" s="22" t="str">
        <f aca="false">IF(AND(C1291&lt;&gt;"",C1291=CERTIFICADO!$E$4,OR(CERTIFICADO!$E$5="",B1291=CERTIFICADO!$E$5)),MAX($Y$4:Y1290)+1,"")</f>
        <v/>
      </c>
    </row>
    <row r="1292" customFormat="false" ht="15" hidden="false" customHeight="false" outlineLevel="0" collapsed="false">
      <c r="A1292" s="11" t="str">
        <f aca="false">IF(C1292="","",ROW()-4)</f>
        <v/>
      </c>
      <c r="B1292" s="12"/>
      <c r="C1292" s="13"/>
      <c r="D1292" s="23" t="str">
        <f aca="false">IF(C1292="","",IFERROR(INDEX(LOTES!$D$5:$D$1004,MATCH(C1292,LOTES!$F$5:$F$1004,0)),"¿Lote?"))</f>
        <v/>
      </c>
      <c r="E1292" s="11" t="str">
        <f aca="false">IF(C1292="","",IFERROR(INDEX(LOTES!$C$5:$C$1004,MATCH(C1292,LOTES!$F$5:$F$1004,0)),""))</f>
        <v/>
      </c>
      <c r="F1292" s="24" t="str">
        <f aca="false">IF(C1292="","",IFERROR(INDEX(LOTES!$B$5:$B$1004,MATCH(C1292,LOTES!$F$5:$F$1004,0)),""))</f>
        <v/>
      </c>
      <c r="G1292" s="15" t="str">
        <f aca="false">IF(OR(B1292="",F1292=""),"",B1292-F1292)</f>
        <v/>
      </c>
      <c r="H1292" s="13"/>
      <c r="I1292" s="13"/>
      <c r="J1292" s="13"/>
      <c r="K1292" s="25"/>
      <c r="L1292" s="25"/>
      <c r="M1292" s="25"/>
      <c r="N1292" s="25"/>
      <c r="O1292" s="26"/>
      <c r="P1292" s="16" t="str">
        <f aca="false">IF(O1292="","",IFERROR(1/(1/(IF(K1292="",INDEX(CONFIG!$F$5:$F$14,MATCH(D1292,CONFIG!$D$5:$D$14,0)),K1292)*IF(M1292="",INDEX(CONFIG!$H$5:$H$14,MATCH(D1292,CONFIG!$D$5:$D$14,0)),M1292))),""))</f>
        <v/>
      </c>
      <c r="Q1292" s="16" t="str">
        <f aca="false">IF(OR(O1292="",P1292=""),"",O1292/P1292)</f>
        <v/>
      </c>
      <c r="R1292" s="16" t="str">
        <f aca="false">IF(Q1292="","",Q1292*0.0980665)</f>
        <v/>
      </c>
      <c r="S1292" s="16" t="str">
        <f aca="false">IF(Q1292="","",IFERROR(Q1292/(1/(1/INDEX(CONFIG!$I$5:$I$14,MATCH(D1292,CONFIG!$D$5:$D$14,0)))),""))</f>
        <v/>
      </c>
      <c r="T1292" s="13"/>
      <c r="U1292" s="13"/>
      <c r="V1292" s="13"/>
      <c r="W1292" s="13"/>
      <c r="X1292" s="22" t="str">
        <f aca="false">IF(Q1292="","",Q1292^2)</f>
        <v/>
      </c>
      <c r="Y1292" s="22" t="str">
        <f aca="false">IF(AND(C1292&lt;&gt;"",C1292=CERTIFICADO!$E$4,OR(CERTIFICADO!$E$5="",B1292=CERTIFICADO!$E$5)),MAX($Y$4:Y1291)+1,"")</f>
        <v/>
      </c>
    </row>
    <row r="1293" customFormat="false" ht="15" hidden="false" customHeight="false" outlineLevel="0" collapsed="false">
      <c r="A1293" s="11" t="str">
        <f aca="false">IF(C1293="","",ROW()-4)</f>
        <v/>
      </c>
      <c r="B1293" s="12"/>
      <c r="C1293" s="13"/>
      <c r="D1293" s="23" t="str">
        <f aca="false">IF(C1293="","",IFERROR(INDEX(LOTES!$D$5:$D$1004,MATCH(C1293,LOTES!$F$5:$F$1004,0)),"¿Lote?"))</f>
        <v/>
      </c>
      <c r="E1293" s="11" t="str">
        <f aca="false">IF(C1293="","",IFERROR(INDEX(LOTES!$C$5:$C$1004,MATCH(C1293,LOTES!$F$5:$F$1004,0)),""))</f>
        <v/>
      </c>
      <c r="F1293" s="24" t="str">
        <f aca="false">IF(C1293="","",IFERROR(INDEX(LOTES!$B$5:$B$1004,MATCH(C1293,LOTES!$F$5:$F$1004,0)),""))</f>
        <v/>
      </c>
      <c r="G1293" s="15" t="str">
        <f aca="false">IF(OR(B1293="",F1293=""),"",B1293-F1293)</f>
        <v/>
      </c>
      <c r="H1293" s="13"/>
      <c r="I1293" s="13"/>
      <c r="J1293" s="13"/>
      <c r="K1293" s="25"/>
      <c r="L1293" s="25"/>
      <c r="M1293" s="25"/>
      <c r="N1293" s="25"/>
      <c r="O1293" s="26"/>
      <c r="P1293" s="16" t="str">
        <f aca="false">IF(O1293="","",IFERROR(1/(1/(IF(K1293="",INDEX(CONFIG!$F$5:$F$14,MATCH(D1293,CONFIG!$D$5:$D$14,0)),K1293)*IF(M1293="",INDEX(CONFIG!$H$5:$H$14,MATCH(D1293,CONFIG!$D$5:$D$14,0)),M1293))),""))</f>
        <v/>
      </c>
      <c r="Q1293" s="16" t="str">
        <f aca="false">IF(OR(O1293="",P1293=""),"",O1293/P1293)</f>
        <v/>
      </c>
      <c r="R1293" s="16" t="str">
        <f aca="false">IF(Q1293="","",Q1293*0.0980665)</f>
        <v/>
      </c>
      <c r="S1293" s="16" t="str">
        <f aca="false">IF(Q1293="","",IFERROR(Q1293/(1/(1/INDEX(CONFIG!$I$5:$I$14,MATCH(D1293,CONFIG!$D$5:$D$14,0)))),""))</f>
        <v/>
      </c>
      <c r="T1293" s="13"/>
      <c r="U1293" s="13"/>
      <c r="V1293" s="13"/>
      <c r="W1293" s="13"/>
      <c r="X1293" s="22" t="str">
        <f aca="false">IF(Q1293="","",Q1293^2)</f>
        <v/>
      </c>
      <c r="Y1293" s="22" t="str">
        <f aca="false">IF(AND(C1293&lt;&gt;"",C1293=CERTIFICADO!$E$4,OR(CERTIFICADO!$E$5="",B1293=CERTIFICADO!$E$5)),MAX($Y$4:Y1292)+1,"")</f>
        <v/>
      </c>
    </row>
    <row r="1294" customFormat="false" ht="15" hidden="false" customHeight="false" outlineLevel="0" collapsed="false">
      <c r="A1294" s="11" t="str">
        <f aca="false">IF(C1294="","",ROW()-4)</f>
        <v/>
      </c>
      <c r="B1294" s="12"/>
      <c r="C1294" s="13"/>
      <c r="D1294" s="23" t="str">
        <f aca="false">IF(C1294="","",IFERROR(INDEX(LOTES!$D$5:$D$1004,MATCH(C1294,LOTES!$F$5:$F$1004,0)),"¿Lote?"))</f>
        <v/>
      </c>
      <c r="E1294" s="11" t="str">
        <f aca="false">IF(C1294="","",IFERROR(INDEX(LOTES!$C$5:$C$1004,MATCH(C1294,LOTES!$F$5:$F$1004,0)),""))</f>
        <v/>
      </c>
      <c r="F1294" s="24" t="str">
        <f aca="false">IF(C1294="","",IFERROR(INDEX(LOTES!$B$5:$B$1004,MATCH(C1294,LOTES!$F$5:$F$1004,0)),""))</f>
        <v/>
      </c>
      <c r="G1294" s="15" t="str">
        <f aca="false">IF(OR(B1294="",F1294=""),"",B1294-F1294)</f>
        <v/>
      </c>
      <c r="H1294" s="13"/>
      <c r="I1294" s="13"/>
      <c r="J1294" s="13"/>
      <c r="K1294" s="25"/>
      <c r="L1294" s="25"/>
      <c r="M1294" s="25"/>
      <c r="N1294" s="25"/>
      <c r="O1294" s="26"/>
      <c r="P1294" s="16" t="str">
        <f aca="false">IF(O1294="","",IFERROR(1/(1/(IF(K1294="",INDEX(CONFIG!$F$5:$F$14,MATCH(D1294,CONFIG!$D$5:$D$14,0)),K1294)*IF(M1294="",INDEX(CONFIG!$H$5:$H$14,MATCH(D1294,CONFIG!$D$5:$D$14,0)),M1294))),""))</f>
        <v/>
      </c>
      <c r="Q1294" s="16" t="str">
        <f aca="false">IF(OR(O1294="",P1294=""),"",O1294/P1294)</f>
        <v/>
      </c>
      <c r="R1294" s="16" t="str">
        <f aca="false">IF(Q1294="","",Q1294*0.0980665)</f>
        <v/>
      </c>
      <c r="S1294" s="16" t="str">
        <f aca="false">IF(Q1294="","",IFERROR(Q1294/(1/(1/INDEX(CONFIG!$I$5:$I$14,MATCH(D1294,CONFIG!$D$5:$D$14,0)))),""))</f>
        <v/>
      </c>
      <c r="T1294" s="13"/>
      <c r="U1294" s="13"/>
      <c r="V1294" s="13"/>
      <c r="W1294" s="13"/>
      <c r="X1294" s="22" t="str">
        <f aca="false">IF(Q1294="","",Q1294^2)</f>
        <v/>
      </c>
      <c r="Y1294" s="22" t="str">
        <f aca="false">IF(AND(C1294&lt;&gt;"",C1294=CERTIFICADO!$E$4,OR(CERTIFICADO!$E$5="",B1294=CERTIFICADO!$E$5)),MAX($Y$4:Y1293)+1,"")</f>
        <v/>
      </c>
    </row>
    <row r="1295" customFormat="false" ht="15" hidden="false" customHeight="false" outlineLevel="0" collapsed="false">
      <c r="A1295" s="11" t="str">
        <f aca="false">IF(C1295="","",ROW()-4)</f>
        <v/>
      </c>
      <c r="B1295" s="12"/>
      <c r="C1295" s="13"/>
      <c r="D1295" s="23" t="str">
        <f aca="false">IF(C1295="","",IFERROR(INDEX(LOTES!$D$5:$D$1004,MATCH(C1295,LOTES!$F$5:$F$1004,0)),"¿Lote?"))</f>
        <v/>
      </c>
      <c r="E1295" s="11" t="str">
        <f aca="false">IF(C1295="","",IFERROR(INDEX(LOTES!$C$5:$C$1004,MATCH(C1295,LOTES!$F$5:$F$1004,0)),""))</f>
        <v/>
      </c>
      <c r="F1295" s="24" t="str">
        <f aca="false">IF(C1295="","",IFERROR(INDEX(LOTES!$B$5:$B$1004,MATCH(C1295,LOTES!$F$5:$F$1004,0)),""))</f>
        <v/>
      </c>
      <c r="G1295" s="15" t="str">
        <f aca="false">IF(OR(B1295="",F1295=""),"",B1295-F1295)</f>
        <v/>
      </c>
      <c r="H1295" s="13"/>
      <c r="I1295" s="13"/>
      <c r="J1295" s="13"/>
      <c r="K1295" s="25"/>
      <c r="L1295" s="25"/>
      <c r="M1295" s="25"/>
      <c r="N1295" s="25"/>
      <c r="O1295" s="26"/>
      <c r="P1295" s="16" t="str">
        <f aca="false">IF(O1295="","",IFERROR(1/(1/(IF(K1295="",INDEX(CONFIG!$F$5:$F$14,MATCH(D1295,CONFIG!$D$5:$D$14,0)),K1295)*IF(M1295="",INDEX(CONFIG!$H$5:$H$14,MATCH(D1295,CONFIG!$D$5:$D$14,0)),M1295))),""))</f>
        <v/>
      </c>
      <c r="Q1295" s="16" t="str">
        <f aca="false">IF(OR(O1295="",P1295=""),"",O1295/P1295)</f>
        <v/>
      </c>
      <c r="R1295" s="16" t="str">
        <f aca="false">IF(Q1295="","",Q1295*0.0980665)</f>
        <v/>
      </c>
      <c r="S1295" s="16" t="str">
        <f aca="false">IF(Q1295="","",IFERROR(Q1295/(1/(1/INDEX(CONFIG!$I$5:$I$14,MATCH(D1295,CONFIG!$D$5:$D$14,0)))),""))</f>
        <v/>
      </c>
      <c r="T1295" s="13"/>
      <c r="U1295" s="13"/>
      <c r="V1295" s="13"/>
      <c r="W1295" s="13"/>
      <c r="X1295" s="22" t="str">
        <f aca="false">IF(Q1295="","",Q1295^2)</f>
        <v/>
      </c>
      <c r="Y1295" s="22" t="str">
        <f aca="false">IF(AND(C1295&lt;&gt;"",C1295=CERTIFICADO!$E$4,OR(CERTIFICADO!$E$5="",B1295=CERTIFICADO!$E$5)),MAX($Y$4:Y1294)+1,"")</f>
        <v/>
      </c>
    </row>
    <row r="1296" customFormat="false" ht="15" hidden="false" customHeight="false" outlineLevel="0" collapsed="false">
      <c r="A1296" s="11" t="str">
        <f aca="false">IF(C1296="","",ROW()-4)</f>
        <v/>
      </c>
      <c r="B1296" s="12"/>
      <c r="C1296" s="13"/>
      <c r="D1296" s="23" t="str">
        <f aca="false">IF(C1296="","",IFERROR(INDEX(LOTES!$D$5:$D$1004,MATCH(C1296,LOTES!$F$5:$F$1004,0)),"¿Lote?"))</f>
        <v/>
      </c>
      <c r="E1296" s="11" t="str">
        <f aca="false">IF(C1296="","",IFERROR(INDEX(LOTES!$C$5:$C$1004,MATCH(C1296,LOTES!$F$5:$F$1004,0)),""))</f>
        <v/>
      </c>
      <c r="F1296" s="24" t="str">
        <f aca="false">IF(C1296="","",IFERROR(INDEX(LOTES!$B$5:$B$1004,MATCH(C1296,LOTES!$F$5:$F$1004,0)),""))</f>
        <v/>
      </c>
      <c r="G1296" s="15" t="str">
        <f aca="false">IF(OR(B1296="",F1296=""),"",B1296-F1296)</f>
        <v/>
      </c>
      <c r="H1296" s="13"/>
      <c r="I1296" s="13"/>
      <c r="J1296" s="13"/>
      <c r="K1296" s="25"/>
      <c r="L1296" s="25"/>
      <c r="M1296" s="25"/>
      <c r="N1296" s="25"/>
      <c r="O1296" s="26"/>
      <c r="P1296" s="16" t="str">
        <f aca="false">IF(O1296="","",IFERROR(1/(1/(IF(K1296="",INDEX(CONFIG!$F$5:$F$14,MATCH(D1296,CONFIG!$D$5:$D$14,0)),K1296)*IF(M1296="",INDEX(CONFIG!$H$5:$H$14,MATCH(D1296,CONFIG!$D$5:$D$14,0)),M1296))),""))</f>
        <v/>
      </c>
      <c r="Q1296" s="16" t="str">
        <f aca="false">IF(OR(O1296="",P1296=""),"",O1296/P1296)</f>
        <v/>
      </c>
      <c r="R1296" s="16" t="str">
        <f aca="false">IF(Q1296="","",Q1296*0.0980665)</f>
        <v/>
      </c>
      <c r="S1296" s="16" t="str">
        <f aca="false">IF(Q1296="","",IFERROR(Q1296/(1/(1/INDEX(CONFIG!$I$5:$I$14,MATCH(D1296,CONFIG!$D$5:$D$14,0)))),""))</f>
        <v/>
      </c>
      <c r="T1296" s="13"/>
      <c r="U1296" s="13"/>
      <c r="V1296" s="13"/>
      <c r="W1296" s="13"/>
      <c r="X1296" s="22" t="str">
        <f aca="false">IF(Q1296="","",Q1296^2)</f>
        <v/>
      </c>
      <c r="Y1296" s="22" t="str">
        <f aca="false">IF(AND(C1296&lt;&gt;"",C1296=CERTIFICADO!$E$4,OR(CERTIFICADO!$E$5="",B1296=CERTIFICADO!$E$5)),MAX($Y$4:Y1295)+1,"")</f>
        <v/>
      </c>
    </row>
    <row r="1297" customFormat="false" ht="15" hidden="false" customHeight="false" outlineLevel="0" collapsed="false">
      <c r="A1297" s="11" t="str">
        <f aca="false">IF(C1297="","",ROW()-4)</f>
        <v/>
      </c>
      <c r="B1297" s="12"/>
      <c r="C1297" s="13"/>
      <c r="D1297" s="23" t="str">
        <f aca="false">IF(C1297="","",IFERROR(INDEX(LOTES!$D$5:$D$1004,MATCH(C1297,LOTES!$F$5:$F$1004,0)),"¿Lote?"))</f>
        <v/>
      </c>
      <c r="E1297" s="11" t="str">
        <f aca="false">IF(C1297="","",IFERROR(INDEX(LOTES!$C$5:$C$1004,MATCH(C1297,LOTES!$F$5:$F$1004,0)),""))</f>
        <v/>
      </c>
      <c r="F1297" s="24" t="str">
        <f aca="false">IF(C1297="","",IFERROR(INDEX(LOTES!$B$5:$B$1004,MATCH(C1297,LOTES!$F$5:$F$1004,0)),""))</f>
        <v/>
      </c>
      <c r="G1297" s="15" t="str">
        <f aca="false">IF(OR(B1297="",F1297=""),"",B1297-F1297)</f>
        <v/>
      </c>
      <c r="H1297" s="13"/>
      <c r="I1297" s="13"/>
      <c r="J1297" s="13"/>
      <c r="K1297" s="25"/>
      <c r="L1297" s="25"/>
      <c r="M1297" s="25"/>
      <c r="N1297" s="25"/>
      <c r="O1297" s="26"/>
      <c r="P1297" s="16" t="str">
        <f aca="false">IF(O1297="","",IFERROR(1/(1/(IF(K1297="",INDEX(CONFIG!$F$5:$F$14,MATCH(D1297,CONFIG!$D$5:$D$14,0)),K1297)*IF(M1297="",INDEX(CONFIG!$H$5:$H$14,MATCH(D1297,CONFIG!$D$5:$D$14,0)),M1297))),""))</f>
        <v/>
      </c>
      <c r="Q1297" s="16" t="str">
        <f aca="false">IF(OR(O1297="",P1297=""),"",O1297/P1297)</f>
        <v/>
      </c>
      <c r="R1297" s="16" t="str">
        <f aca="false">IF(Q1297="","",Q1297*0.0980665)</f>
        <v/>
      </c>
      <c r="S1297" s="16" t="str">
        <f aca="false">IF(Q1297="","",IFERROR(Q1297/(1/(1/INDEX(CONFIG!$I$5:$I$14,MATCH(D1297,CONFIG!$D$5:$D$14,0)))),""))</f>
        <v/>
      </c>
      <c r="T1297" s="13"/>
      <c r="U1297" s="13"/>
      <c r="V1297" s="13"/>
      <c r="W1297" s="13"/>
      <c r="X1297" s="22" t="str">
        <f aca="false">IF(Q1297="","",Q1297^2)</f>
        <v/>
      </c>
      <c r="Y1297" s="22" t="str">
        <f aca="false">IF(AND(C1297&lt;&gt;"",C1297=CERTIFICADO!$E$4,OR(CERTIFICADO!$E$5="",B1297=CERTIFICADO!$E$5)),MAX($Y$4:Y1296)+1,"")</f>
        <v/>
      </c>
    </row>
    <row r="1298" customFormat="false" ht="15" hidden="false" customHeight="false" outlineLevel="0" collapsed="false">
      <c r="A1298" s="11" t="str">
        <f aca="false">IF(C1298="","",ROW()-4)</f>
        <v/>
      </c>
      <c r="B1298" s="12"/>
      <c r="C1298" s="13"/>
      <c r="D1298" s="23" t="str">
        <f aca="false">IF(C1298="","",IFERROR(INDEX(LOTES!$D$5:$D$1004,MATCH(C1298,LOTES!$F$5:$F$1004,0)),"¿Lote?"))</f>
        <v/>
      </c>
      <c r="E1298" s="11" t="str">
        <f aca="false">IF(C1298="","",IFERROR(INDEX(LOTES!$C$5:$C$1004,MATCH(C1298,LOTES!$F$5:$F$1004,0)),""))</f>
        <v/>
      </c>
      <c r="F1298" s="24" t="str">
        <f aca="false">IF(C1298="","",IFERROR(INDEX(LOTES!$B$5:$B$1004,MATCH(C1298,LOTES!$F$5:$F$1004,0)),""))</f>
        <v/>
      </c>
      <c r="G1298" s="15" t="str">
        <f aca="false">IF(OR(B1298="",F1298=""),"",B1298-F1298)</f>
        <v/>
      </c>
      <c r="H1298" s="13"/>
      <c r="I1298" s="13"/>
      <c r="J1298" s="13"/>
      <c r="K1298" s="25"/>
      <c r="L1298" s="25"/>
      <c r="M1298" s="25"/>
      <c r="N1298" s="25"/>
      <c r="O1298" s="26"/>
      <c r="P1298" s="16" t="str">
        <f aca="false">IF(O1298="","",IFERROR(1/(1/(IF(K1298="",INDEX(CONFIG!$F$5:$F$14,MATCH(D1298,CONFIG!$D$5:$D$14,0)),K1298)*IF(M1298="",INDEX(CONFIG!$H$5:$H$14,MATCH(D1298,CONFIG!$D$5:$D$14,0)),M1298))),""))</f>
        <v/>
      </c>
      <c r="Q1298" s="16" t="str">
        <f aca="false">IF(OR(O1298="",P1298=""),"",O1298/P1298)</f>
        <v/>
      </c>
      <c r="R1298" s="16" t="str">
        <f aca="false">IF(Q1298="","",Q1298*0.0980665)</f>
        <v/>
      </c>
      <c r="S1298" s="16" t="str">
        <f aca="false">IF(Q1298="","",IFERROR(Q1298/(1/(1/INDEX(CONFIG!$I$5:$I$14,MATCH(D1298,CONFIG!$D$5:$D$14,0)))),""))</f>
        <v/>
      </c>
      <c r="T1298" s="13"/>
      <c r="U1298" s="13"/>
      <c r="V1298" s="13"/>
      <c r="W1298" s="13"/>
      <c r="X1298" s="22" t="str">
        <f aca="false">IF(Q1298="","",Q1298^2)</f>
        <v/>
      </c>
      <c r="Y1298" s="22" t="str">
        <f aca="false">IF(AND(C1298&lt;&gt;"",C1298=CERTIFICADO!$E$4,OR(CERTIFICADO!$E$5="",B1298=CERTIFICADO!$E$5)),MAX($Y$4:Y1297)+1,"")</f>
        <v/>
      </c>
    </row>
    <row r="1299" customFormat="false" ht="15" hidden="false" customHeight="false" outlineLevel="0" collapsed="false">
      <c r="A1299" s="11" t="str">
        <f aca="false">IF(C1299="","",ROW()-4)</f>
        <v/>
      </c>
      <c r="B1299" s="12"/>
      <c r="C1299" s="13"/>
      <c r="D1299" s="23" t="str">
        <f aca="false">IF(C1299="","",IFERROR(INDEX(LOTES!$D$5:$D$1004,MATCH(C1299,LOTES!$F$5:$F$1004,0)),"¿Lote?"))</f>
        <v/>
      </c>
      <c r="E1299" s="11" t="str">
        <f aca="false">IF(C1299="","",IFERROR(INDEX(LOTES!$C$5:$C$1004,MATCH(C1299,LOTES!$F$5:$F$1004,0)),""))</f>
        <v/>
      </c>
      <c r="F1299" s="24" t="str">
        <f aca="false">IF(C1299="","",IFERROR(INDEX(LOTES!$B$5:$B$1004,MATCH(C1299,LOTES!$F$5:$F$1004,0)),""))</f>
        <v/>
      </c>
      <c r="G1299" s="15" t="str">
        <f aca="false">IF(OR(B1299="",F1299=""),"",B1299-F1299)</f>
        <v/>
      </c>
      <c r="H1299" s="13"/>
      <c r="I1299" s="13"/>
      <c r="J1299" s="13"/>
      <c r="K1299" s="25"/>
      <c r="L1299" s="25"/>
      <c r="M1299" s="25"/>
      <c r="N1299" s="25"/>
      <c r="O1299" s="26"/>
      <c r="P1299" s="16" t="str">
        <f aca="false">IF(O1299="","",IFERROR(1/(1/(IF(K1299="",INDEX(CONFIG!$F$5:$F$14,MATCH(D1299,CONFIG!$D$5:$D$14,0)),K1299)*IF(M1299="",INDEX(CONFIG!$H$5:$H$14,MATCH(D1299,CONFIG!$D$5:$D$14,0)),M1299))),""))</f>
        <v/>
      </c>
      <c r="Q1299" s="16" t="str">
        <f aca="false">IF(OR(O1299="",P1299=""),"",O1299/P1299)</f>
        <v/>
      </c>
      <c r="R1299" s="16" t="str">
        <f aca="false">IF(Q1299="","",Q1299*0.0980665)</f>
        <v/>
      </c>
      <c r="S1299" s="16" t="str">
        <f aca="false">IF(Q1299="","",IFERROR(Q1299/(1/(1/INDEX(CONFIG!$I$5:$I$14,MATCH(D1299,CONFIG!$D$5:$D$14,0)))),""))</f>
        <v/>
      </c>
      <c r="T1299" s="13"/>
      <c r="U1299" s="13"/>
      <c r="V1299" s="13"/>
      <c r="W1299" s="13"/>
      <c r="X1299" s="22" t="str">
        <f aca="false">IF(Q1299="","",Q1299^2)</f>
        <v/>
      </c>
      <c r="Y1299" s="22" t="str">
        <f aca="false">IF(AND(C1299&lt;&gt;"",C1299=CERTIFICADO!$E$4,OR(CERTIFICADO!$E$5="",B1299=CERTIFICADO!$E$5)),MAX($Y$4:Y1298)+1,"")</f>
        <v/>
      </c>
    </row>
    <row r="1300" customFormat="false" ht="15" hidden="false" customHeight="false" outlineLevel="0" collapsed="false">
      <c r="A1300" s="11" t="str">
        <f aca="false">IF(C1300="","",ROW()-4)</f>
        <v/>
      </c>
      <c r="B1300" s="12"/>
      <c r="C1300" s="13"/>
      <c r="D1300" s="23" t="str">
        <f aca="false">IF(C1300="","",IFERROR(INDEX(LOTES!$D$5:$D$1004,MATCH(C1300,LOTES!$F$5:$F$1004,0)),"¿Lote?"))</f>
        <v/>
      </c>
      <c r="E1300" s="11" t="str">
        <f aca="false">IF(C1300="","",IFERROR(INDEX(LOTES!$C$5:$C$1004,MATCH(C1300,LOTES!$F$5:$F$1004,0)),""))</f>
        <v/>
      </c>
      <c r="F1300" s="24" t="str">
        <f aca="false">IF(C1300="","",IFERROR(INDEX(LOTES!$B$5:$B$1004,MATCH(C1300,LOTES!$F$5:$F$1004,0)),""))</f>
        <v/>
      </c>
      <c r="G1300" s="15" t="str">
        <f aca="false">IF(OR(B1300="",F1300=""),"",B1300-F1300)</f>
        <v/>
      </c>
      <c r="H1300" s="13"/>
      <c r="I1300" s="13"/>
      <c r="J1300" s="13"/>
      <c r="K1300" s="25"/>
      <c r="L1300" s="25"/>
      <c r="M1300" s="25"/>
      <c r="N1300" s="25"/>
      <c r="O1300" s="26"/>
      <c r="P1300" s="16" t="str">
        <f aca="false">IF(O1300="","",IFERROR(1/(1/(IF(K1300="",INDEX(CONFIG!$F$5:$F$14,MATCH(D1300,CONFIG!$D$5:$D$14,0)),K1300)*IF(M1300="",INDEX(CONFIG!$H$5:$H$14,MATCH(D1300,CONFIG!$D$5:$D$14,0)),M1300))),""))</f>
        <v/>
      </c>
      <c r="Q1300" s="16" t="str">
        <f aca="false">IF(OR(O1300="",P1300=""),"",O1300/P1300)</f>
        <v/>
      </c>
      <c r="R1300" s="16" t="str">
        <f aca="false">IF(Q1300="","",Q1300*0.0980665)</f>
        <v/>
      </c>
      <c r="S1300" s="16" t="str">
        <f aca="false">IF(Q1300="","",IFERROR(Q1300/(1/(1/INDEX(CONFIG!$I$5:$I$14,MATCH(D1300,CONFIG!$D$5:$D$14,0)))),""))</f>
        <v/>
      </c>
      <c r="T1300" s="13"/>
      <c r="U1300" s="13"/>
      <c r="V1300" s="13"/>
      <c r="W1300" s="13"/>
      <c r="X1300" s="22" t="str">
        <f aca="false">IF(Q1300="","",Q1300^2)</f>
        <v/>
      </c>
      <c r="Y1300" s="22" t="str">
        <f aca="false">IF(AND(C1300&lt;&gt;"",C1300=CERTIFICADO!$E$4,OR(CERTIFICADO!$E$5="",B1300=CERTIFICADO!$E$5)),MAX($Y$4:Y1299)+1,"")</f>
        <v/>
      </c>
    </row>
    <row r="1301" customFormat="false" ht="15" hidden="false" customHeight="false" outlineLevel="0" collapsed="false">
      <c r="A1301" s="11" t="str">
        <f aca="false">IF(C1301="","",ROW()-4)</f>
        <v/>
      </c>
      <c r="B1301" s="12"/>
      <c r="C1301" s="13"/>
      <c r="D1301" s="23" t="str">
        <f aca="false">IF(C1301="","",IFERROR(INDEX(LOTES!$D$5:$D$1004,MATCH(C1301,LOTES!$F$5:$F$1004,0)),"¿Lote?"))</f>
        <v/>
      </c>
      <c r="E1301" s="11" t="str">
        <f aca="false">IF(C1301="","",IFERROR(INDEX(LOTES!$C$5:$C$1004,MATCH(C1301,LOTES!$F$5:$F$1004,0)),""))</f>
        <v/>
      </c>
      <c r="F1301" s="24" t="str">
        <f aca="false">IF(C1301="","",IFERROR(INDEX(LOTES!$B$5:$B$1004,MATCH(C1301,LOTES!$F$5:$F$1004,0)),""))</f>
        <v/>
      </c>
      <c r="G1301" s="15" t="str">
        <f aca="false">IF(OR(B1301="",F1301=""),"",B1301-F1301)</f>
        <v/>
      </c>
      <c r="H1301" s="13"/>
      <c r="I1301" s="13"/>
      <c r="J1301" s="13"/>
      <c r="K1301" s="25"/>
      <c r="L1301" s="25"/>
      <c r="M1301" s="25"/>
      <c r="N1301" s="25"/>
      <c r="O1301" s="26"/>
      <c r="P1301" s="16" t="str">
        <f aca="false">IF(O1301="","",IFERROR(1/(1/(IF(K1301="",INDEX(CONFIG!$F$5:$F$14,MATCH(D1301,CONFIG!$D$5:$D$14,0)),K1301)*IF(M1301="",INDEX(CONFIG!$H$5:$H$14,MATCH(D1301,CONFIG!$D$5:$D$14,0)),M1301))),""))</f>
        <v/>
      </c>
      <c r="Q1301" s="16" t="str">
        <f aca="false">IF(OR(O1301="",P1301=""),"",O1301/P1301)</f>
        <v/>
      </c>
      <c r="R1301" s="16" t="str">
        <f aca="false">IF(Q1301="","",Q1301*0.0980665)</f>
        <v/>
      </c>
      <c r="S1301" s="16" t="str">
        <f aca="false">IF(Q1301="","",IFERROR(Q1301/(1/(1/INDEX(CONFIG!$I$5:$I$14,MATCH(D1301,CONFIG!$D$5:$D$14,0)))),""))</f>
        <v/>
      </c>
      <c r="T1301" s="13"/>
      <c r="U1301" s="13"/>
      <c r="V1301" s="13"/>
      <c r="W1301" s="13"/>
      <c r="X1301" s="22" t="str">
        <f aca="false">IF(Q1301="","",Q1301^2)</f>
        <v/>
      </c>
      <c r="Y1301" s="22" t="str">
        <f aca="false">IF(AND(C1301&lt;&gt;"",C1301=CERTIFICADO!$E$4,OR(CERTIFICADO!$E$5="",B1301=CERTIFICADO!$E$5)),MAX($Y$4:Y1300)+1,"")</f>
        <v/>
      </c>
    </row>
    <row r="1302" customFormat="false" ht="15" hidden="false" customHeight="false" outlineLevel="0" collapsed="false">
      <c r="A1302" s="11" t="str">
        <f aca="false">IF(C1302="","",ROW()-4)</f>
        <v/>
      </c>
      <c r="B1302" s="12"/>
      <c r="C1302" s="13"/>
      <c r="D1302" s="23" t="str">
        <f aca="false">IF(C1302="","",IFERROR(INDEX(LOTES!$D$5:$D$1004,MATCH(C1302,LOTES!$F$5:$F$1004,0)),"¿Lote?"))</f>
        <v/>
      </c>
      <c r="E1302" s="11" t="str">
        <f aca="false">IF(C1302="","",IFERROR(INDEX(LOTES!$C$5:$C$1004,MATCH(C1302,LOTES!$F$5:$F$1004,0)),""))</f>
        <v/>
      </c>
      <c r="F1302" s="24" t="str">
        <f aca="false">IF(C1302="","",IFERROR(INDEX(LOTES!$B$5:$B$1004,MATCH(C1302,LOTES!$F$5:$F$1004,0)),""))</f>
        <v/>
      </c>
      <c r="G1302" s="15" t="str">
        <f aca="false">IF(OR(B1302="",F1302=""),"",B1302-F1302)</f>
        <v/>
      </c>
      <c r="H1302" s="13"/>
      <c r="I1302" s="13"/>
      <c r="J1302" s="13"/>
      <c r="K1302" s="25"/>
      <c r="L1302" s="25"/>
      <c r="M1302" s="25"/>
      <c r="N1302" s="25"/>
      <c r="O1302" s="26"/>
      <c r="P1302" s="16" t="str">
        <f aca="false">IF(O1302="","",IFERROR(1/(1/(IF(K1302="",INDEX(CONFIG!$F$5:$F$14,MATCH(D1302,CONFIG!$D$5:$D$14,0)),K1302)*IF(M1302="",INDEX(CONFIG!$H$5:$H$14,MATCH(D1302,CONFIG!$D$5:$D$14,0)),M1302))),""))</f>
        <v/>
      </c>
      <c r="Q1302" s="16" t="str">
        <f aca="false">IF(OR(O1302="",P1302=""),"",O1302/P1302)</f>
        <v/>
      </c>
      <c r="R1302" s="16" t="str">
        <f aca="false">IF(Q1302="","",Q1302*0.0980665)</f>
        <v/>
      </c>
      <c r="S1302" s="16" t="str">
        <f aca="false">IF(Q1302="","",IFERROR(Q1302/(1/(1/INDEX(CONFIG!$I$5:$I$14,MATCH(D1302,CONFIG!$D$5:$D$14,0)))),""))</f>
        <v/>
      </c>
      <c r="T1302" s="13"/>
      <c r="U1302" s="13"/>
      <c r="V1302" s="13"/>
      <c r="W1302" s="13"/>
      <c r="X1302" s="22" t="str">
        <f aca="false">IF(Q1302="","",Q1302^2)</f>
        <v/>
      </c>
      <c r="Y1302" s="22" t="str">
        <f aca="false">IF(AND(C1302&lt;&gt;"",C1302=CERTIFICADO!$E$4,OR(CERTIFICADO!$E$5="",B1302=CERTIFICADO!$E$5)),MAX($Y$4:Y1301)+1,"")</f>
        <v/>
      </c>
    </row>
    <row r="1303" customFormat="false" ht="15" hidden="false" customHeight="false" outlineLevel="0" collapsed="false">
      <c r="A1303" s="11" t="str">
        <f aca="false">IF(C1303="","",ROW()-4)</f>
        <v/>
      </c>
      <c r="B1303" s="12"/>
      <c r="C1303" s="13"/>
      <c r="D1303" s="23" t="str">
        <f aca="false">IF(C1303="","",IFERROR(INDEX(LOTES!$D$5:$D$1004,MATCH(C1303,LOTES!$F$5:$F$1004,0)),"¿Lote?"))</f>
        <v/>
      </c>
      <c r="E1303" s="11" t="str">
        <f aca="false">IF(C1303="","",IFERROR(INDEX(LOTES!$C$5:$C$1004,MATCH(C1303,LOTES!$F$5:$F$1004,0)),""))</f>
        <v/>
      </c>
      <c r="F1303" s="24" t="str">
        <f aca="false">IF(C1303="","",IFERROR(INDEX(LOTES!$B$5:$B$1004,MATCH(C1303,LOTES!$F$5:$F$1004,0)),""))</f>
        <v/>
      </c>
      <c r="G1303" s="15" t="str">
        <f aca="false">IF(OR(B1303="",F1303=""),"",B1303-F1303)</f>
        <v/>
      </c>
      <c r="H1303" s="13"/>
      <c r="I1303" s="13"/>
      <c r="J1303" s="13"/>
      <c r="K1303" s="25"/>
      <c r="L1303" s="25"/>
      <c r="M1303" s="25"/>
      <c r="N1303" s="25"/>
      <c r="O1303" s="26"/>
      <c r="P1303" s="16" t="str">
        <f aca="false">IF(O1303="","",IFERROR(1/(1/(IF(K1303="",INDEX(CONFIG!$F$5:$F$14,MATCH(D1303,CONFIG!$D$5:$D$14,0)),K1303)*IF(M1303="",INDEX(CONFIG!$H$5:$H$14,MATCH(D1303,CONFIG!$D$5:$D$14,0)),M1303))),""))</f>
        <v/>
      </c>
      <c r="Q1303" s="16" t="str">
        <f aca="false">IF(OR(O1303="",P1303=""),"",O1303/P1303)</f>
        <v/>
      </c>
      <c r="R1303" s="16" t="str">
        <f aca="false">IF(Q1303="","",Q1303*0.0980665)</f>
        <v/>
      </c>
      <c r="S1303" s="16" t="str">
        <f aca="false">IF(Q1303="","",IFERROR(Q1303/(1/(1/INDEX(CONFIG!$I$5:$I$14,MATCH(D1303,CONFIG!$D$5:$D$14,0)))),""))</f>
        <v/>
      </c>
      <c r="T1303" s="13"/>
      <c r="U1303" s="13"/>
      <c r="V1303" s="13"/>
      <c r="W1303" s="13"/>
      <c r="X1303" s="22" t="str">
        <f aca="false">IF(Q1303="","",Q1303^2)</f>
        <v/>
      </c>
      <c r="Y1303" s="22" t="str">
        <f aca="false">IF(AND(C1303&lt;&gt;"",C1303=CERTIFICADO!$E$4,OR(CERTIFICADO!$E$5="",B1303=CERTIFICADO!$E$5)),MAX($Y$4:Y1302)+1,"")</f>
        <v/>
      </c>
    </row>
    <row r="1304" customFormat="false" ht="15" hidden="false" customHeight="false" outlineLevel="0" collapsed="false">
      <c r="A1304" s="11" t="str">
        <f aca="false">IF(C1304="","",ROW()-4)</f>
        <v/>
      </c>
      <c r="B1304" s="12"/>
      <c r="C1304" s="13"/>
      <c r="D1304" s="23" t="str">
        <f aca="false">IF(C1304="","",IFERROR(INDEX(LOTES!$D$5:$D$1004,MATCH(C1304,LOTES!$F$5:$F$1004,0)),"¿Lote?"))</f>
        <v/>
      </c>
      <c r="E1304" s="11" t="str">
        <f aca="false">IF(C1304="","",IFERROR(INDEX(LOTES!$C$5:$C$1004,MATCH(C1304,LOTES!$F$5:$F$1004,0)),""))</f>
        <v/>
      </c>
      <c r="F1304" s="24" t="str">
        <f aca="false">IF(C1304="","",IFERROR(INDEX(LOTES!$B$5:$B$1004,MATCH(C1304,LOTES!$F$5:$F$1004,0)),""))</f>
        <v/>
      </c>
      <c r="G1304" s="15" t="str">
        <f aca="false">IF(OR(B1304="",F1304=""),"",B1304-F1304)</f>
        <v/>
      </c>
      <c r="H1304" s="13"/>
      <c r="I1304" s="13"/>
      <c r="J1304" s="13"/>
      <c r="K1304" s="25"/>
      <c r="L1304" s="25"/>
      <c r="M1304" s="25"/>
      <c r="N1304" s="25"/>
      <c r="O1304" s="26"/>
      <c r="P1304" s="16" t="str">
        <f aca="false">IF(O1304="","",IFERROR(1/(1/(IF(K1304="",INDEX(CONFIG!$F$5:$F$14,MATCH(D1304,CONFIG!$D$5:$D$14,0)),K1304)*IF(M1304="",INDEX(CONFIG!$H$5:$H$14,MATCH(D1304,CONFIG!$D$5:$D$14,0)),M1304))),""))</f>
        <v/>
      </c>
      <c r="Q1304" s="16" t="str">
        <f aca="false">IF(OR(O1304="",P1304=""),"",O1304/P1304)</f>
        <v/>
      </c>
      <c r="R1304" s="16" t="str">
        <f aca="false">IF(Q1304="","",Q1304*0.0980665)</f>
        <v/>
      </c>
      <c r="S1304" s="16" t="str">
        <f aca="false">IF(Q1304="","",IFERROR(Q1304/(1/(1/INDEX(CONFIG!$I$5:$I$14,MATCH(D1304,CONFIG!$D$5:$D$14,0)))),""))</f>
        <v/>
      </c>
      <c r="T1304" s="13"/>
      <c r="U1304" s="13"/>
      <c r="V1304" s="13"/>
      <c r="W1304" s="13"/>
      <c r="X1304" s="22" t="str">
        <f aca="false">IF(Q1304="","",Q1304^2)</f>
        <v/>
      </c>
      <c r="Y1304" s="22" t="str">
        <f aca="false">IF(AND(C1304&lt;&gt;"",C1304=CERTIFICADO!$E$4,OR(CERTIFICADO!$E$5="",B1304=CERTIFICADO!$E$5)),MAX($Y$4:Y1303)+1,"")</f>
        <v/>
      </c>
    </row>
    <row r="1305" customFormat="false" ht="15" hidden="false" customHeight="false" outlineLevel="0" collapsed="false">
      <c r="A1305" s="11" t="str">
        <f aca="false">IF(C1305="","",ROW()-4)</f>
        <v/>
      </c>
      <c r="B1305" s="12"/>
      <c r="C1305" s="13"/>
      <c r="D1305" s="23" t="str">
        <f aca="false">IF(C1305="","",IFERROR(INDEX(LOTES!$D$5:$D$1004,MATCH(C1305,LOTES!$F$5:$F$1004,0)),"¿Lote?"))</f>
        <v/>
      </c>
      <c r="E1305" s="11" t="str">
        <f aca="false">IF(C1305="","",IFERROR(INDEX(LOTES!$C$5:$C$1004,MATCH(C1305,LOTES!$F$5:$F$1004,0)),""))</f>
        <v/>
      </c>
      <c r="F1305" s="24" t="str">
        <f aca="false">IF(C1305="","",IFERROR(INDEX(LOTES!$B$5:$B$1004,MATCH(C1305,LOTES!$F$5:$F$1004,0)),""))</f>
        <v/>
      </c>
      <c r="G1305" s="15" t="str">
        <f aca="false">IF(OR(B1305="",F1305=""),"",B1305-F1305)</f>
        <v/>
      </c>
      <c r="H1305" s="13"/>
      <c r="I1305" s="13"/>
      <c r="J1305" s="13"/>
      <c r="K1305" s="25"/>
      <c r="L1305" s="25"/>
      <c r="M1305" s="25"/>
      <c r="N1305" s="25"/>
      <c r="O1305" s="26"/>
      <c r="P1305" s="16" t="str">
        <f aca="false">IF(O1305="","",IFERROR(1/(1/(IF(K1305="",INDEX(CONFIG!$F$5:$F$14,MATCH(D1305,CONFIG!$D$5:$D$14,0)),K1305)*IF(M1305="",INDEX(CONFIG!$H$5:$H$14,MATCH(D1305,CONFIG!$D$5:$D$14,0)),M1305))),""))</f>
        <v/>
      </c>
      <c r="Q1305" s="16" t="str">
        <f aca="false">IF(OR(O1305="",P1305=""),"",O1305/P1305)</f>
        <v/>
      </c>
      <c r="R1305" s="16" t="str">
        <f aca="false">IF(Q1305="","",Q1305*0.0980665)</f>
        <v/>
      </c>
      <c r="S1305" s="16" t="str">
        <f aca="false">IF(Q1305="","",IFERROR(Q1305/(1/(1/INDEX(CONFIG!$I$5:$I$14,MATCH(D1305,CONFIG!$D$5:$D$14,0)))),""))</f>
        <v/>
      </c>
      <c r="T1305" s="13"/>
      <c r="U1305" s="13"/>
      <c r="V1305" s="13"/>
      <c r="W1305" s="13"/>
      <c r="X1305" s="22" t="str">
        <f aca="false">IF(Q1305="","",Q1305^2)</f>
        <v/>
      </c>
      <c r="Y1305" s="22" t="str">
        <f aca="false">IF(AND(C1305&lt;&gt;"",C1305=CERTIFICADO!$E$4,OR(CERTIFICADO!$E$5="",B1305=CERTIFICADO!$E$5)),MAX($Y$4:Y1304)+1,"")</f>
        <v/>
      </c>
    </row>
    <row r="1306" customFormat="false" ht="15" hidden="false" customHeight="false" outlineLevel="0" collapsed="false">
      <c r="A1306" s="11" t="str">
        <f aca="false">IF(C1306="","",ROW()-4)</f>
        <v/>
      </c>
      <c r="B1306" s="12"/>
      <c r="C1306" s="13"/>
      <c r="D1306" s="23" t="str">
        <f aca="false">IF(C1306="","",IFERROR(INDEX(LOTES!$D$5:$D$1004,MATCH(C1306,LOTES!$F$5:$F$1004,0)),"¿Lote?"))</f>
        <v/>
      </c>
      <c r="E1306" s="11" t="str">
        <f aca="false">IF(C1306="","",IFERROR(INDEX(LOTES!$C$5:$C$1004,MATCH(C1306,LOTES!$F$5:$F$1004,0)),""))</f>
        <v/>
      </c>
      <c r="F1306" s="24" t="str">
        <f aca="false">IF(C1306="","",IFERROR(INDEX(LOTES!$B$5:$B$1004,MATCH(C1306,LOTES!$F$5:$F$1004,0)),""))</f>
        <v/>
      </c>
      <c r="G1306" s="15" t="str">
        <f aca="false">IF(OR(B1306="",F1306=""),"",B1306-F1306)</f>
        <v/>
      </c>
      <c r="H1306" s="13"/>
      <c r="I1306" s="13"/>
      <c r="J1306" s="13"/>
      <c r="K1306" s="25"/>
      <c r="L1306" s="25"/>
      <c r="M1306" s="25"/>
      <c r="N1306" s="25"/>
      <c r="O1306" s="26"/>
      <c r="P1306" s="16" t="str">
        <f aca="false">IF(O1306="","",IFERROR(1/(1/(IF(K1306="",INDEX(CONFIG!$F$5:$F$14,MATCH(D1306,CONFIG!$D$5:$D$14,0)),K1306)*IF(M1306="",INDEX(CONFIG!$H$5:$H$14,MATCH(D1306,CONFIG!$D$5:$D$14,0)),M1306))),""))</f>
        <v/>
      </c>
      <c r="Q1306" s="16" t="str">
        <f aca="false">IF(OR(O1306="",P1306=""),"",O1306/P1306)</f>
        <v/>
      </c>
      <c r="R1306" s="16" t="str">
        <f aca="false">IF(Q1306="","",Q1306*0.0980665)</f>
        <v/>
      </c>
      <c r="S1306" s="16" t="str">
        <f aca="false">IF(Q1306="","",IFERROR(Q1306/(1/(1/INDEX(CONFIG!$I$5:$I$14,MATCH(D1306,CONFIG!$D$5:$D$14,0)))),""))</f>
        <v/>
      </c>
      <c r="T1306" s="13"/>
      <c r="U1306" s="13"/>
      <c r="V1306" s="13"/>
      <c r="W1306" s="13"/>
      <c r="X1306" s="22" t="str">
        <f aca="false">IF(Q1306="","",Q1306^2)</f>
        <v/>
      </c>
      <c r="Y1306" s="22" t="str">
        <f aca="false">IF(AND(C1306&lt;&gt;"",C1306=CERTIFICADO!$E$4,OR(CERTIFICADO!$E$5="",B1306=CERTIFICADO!$E$5)),MAX($Y$4:Y1305)+1,"")</f>
        <v/>
      </c>
    </row>
    <row r="1307" customFormat="false" ht="15" hidden="false" customHeight="false" outlineLevel="0" collapsed="false">
      <c r="A1307" s="11" t="str">
        <f aca="false">IF(C1307="","",ROW()-4)</f>
        <v/>
      </c>
      <c r="B1307" s="12"/>
      <c r="C1307" s="13"/>
      <c r="D1307" s="23" t="str">
        <f aca="false">IF(C1307="","",IFERROR(INDEX(LOTES!$D$5:$D$1004,MATCH(C1307,LOTES!$F$5:$F$1004,0)),"¿Lote?"))</f>
        <v/>
      </c>
      <c r="E1307" s="11" t="str">
        <f aca="false">IF(C1307="","",IFERROR(INDEX(LOTES!$C$5:$C$1004,MATCH(C1307,LOTES!$F$5:$F$1004,0)),""))</f>
        <v/>
      </c>
      <c r="F1307" s="24" t="str">
        <f aca="false">IF(C1307="","",IFERROR(INDEX(LOTES!$B$5:$B$1004,MATCH(C1307,LOTES!$F$5:$F$1004,0)),""))</f>
        <v/>
      </c>
      <c r="G1307" s="15" t="str">
        <f aca="false">IF(OR(B1307="",F1307=""),"",B1307-F1307)</f>
        <v/>
      </c>
      <c r="H1307" s="13"/>
      <c r="I1307" s="13"/>
      <c r="J1307" s="13"/>
      <c r="K1307" s="25"/>
      <c r="L1307" s="25"/>
      <c r="M1307" s="25"/>
      <c r="N1307" s="25"/>
      <c r="O1307" s="26"/>
      <c r="P1307" s="16" t="str">
        <f aca="false">IF(O1307="","",IFERROR(1/(1/(IF(K1307="",INDEX(CONFIG!$F$5:$F$14,MATCH(D1307,CONFIG!$D$5:$D$14,0)),K1307)*IF(M1307="",INDEX(CONFIG!$H$5:$H$14,MATCH(D1307,CONFIG!$D$5:$D$14,0)),M1307))),""))</f>
        <v/>
      </c>
      <c r="Q1307" s="16" t="str">
        <f aca="false">IF(OR(O1307="",P1307=""),"",O1307/P1307)</f>
        <v/>
      </c>
      <c r="R1307" s="16" t="str">
        <f aca="false">IF(Q1307="","",Q1307*0.0980665)</f>
        <v/>
      </c>
      <c r="S1307" s="16" t="str">
        <f aca="false">IF(Q1307="","",IFERROR(Q1307/(1/(1/INDEX(CONFIG!$I$5:$I$14,MATCH(D1307,CONFIG!$D$5:$D$14,0)))),""))</f>
        <v/>
      </c>
      <c r="T1307" s="13"/>
      <c r="U1307" s="13"/>
      <c r="V1307" s="13"/>
      <c r="W1307" s="13"/>
      <c r="X1307" s="22" t="str">
        <f aca="false">IF(Q1307="","",Q1307^2)</f>
        <v/>
      </c>
      <c r="Y1307" s="22" t="str">
        <f aca="false">IF(AND(C1307&lt;&gt;"",C1307=CERTIFICADO!$E$4,OR(CERTIFICADO!$E$5="",B1307=CERTIFICADO!$E$5)),MAX($Y$4:Y1306)+1,"")</f>
        <v/>
      </c>
    </row>
    <row r="1308" customFormat="false" ht="15" hidden="false" customHeight="false" outlineLevel="0" collapsed="false">
      <c r="A1308" s="11" t="str">
        <f aca="false">IF(C1308="","",ROW()-4)</f>
        <v/>
      </c>
      <c r="B1308" s="12"/>
      <c r="C1308" s="13"/>
      <c r="D1308" s="23" t="str">
        <f aca="false">IF(C1308="","",IFERROR(INDEX(LOTES!$D$5:$D$1004,MATCH(C1308,LOTES!$F$5:$F$1004,0)),"¿Lote?"))</f>
        <v/>
      </c>
      <c r="E1308" s="11" t="str">
        <f aca="false">IF(C1308="","",IFERROR(INDEX(LOTES!$C$5:$C$1004,MATCH(C1308,LOTES!$F$5:$F$1004,0)),""))</f>
        <v/>
      </c>
      <c r="F1308" s="24" t="str">
        <f aca="false">IF(C1308="","",IFERROR(INDEX(LOTES!$B$5:$B$1004,MATCH(C1308,LOTES!$F$5:$F$1004,0)),""))</f>
        <v/>
      </c>
      <c r="G1308" s="15" t="str">
        <f aca="false">IF(OR(B1308="",F1308=""),"",B1308-F1308)</f>
        <v/>
      </c>
      <c r="H1308" s="13"/>
      <c r="I1308" s="13"/>
      <c r="J1308" s="13"/>
      <c r="K1308" s="25"/>
      <c r="L1308" s="25"/>
      <c r="M1308" s="25"/>
      <c r="N1308" s="25"/>
      <c r="O1308" s="26"/>
      <c r="P1308" s="16" t="str">
        <f aca="false">IF(O1308="","",IFERROR(1/(1/(IF(K1308="",INDEX(CONFIG!$F$5:$F$14,MATCH(D1308,CONFIG!$D$5:$D$14,0)),K1308)*IF(M1308="",INDEX(CONFIG!$H$5:$H$14,MATCH(D1308,CONFIG!$D$5:$D$14,0)),M1308))),""))</f>
        <v/>
      </c>
      <c r="Q1308" s="16" t="str">
        <f aca="false">IF(OR(O1308="",P1308=""),"",O1308/P1308)</f>
        <v/>
      </c>
      <c r="R1308" s="16" t="str">
        <f aca="false">IF(Q1308="","",Q1308*0.0980665)</f>
        <v/>
      </c>
      <c r="S1308" s="16" t="str">
        <f aca="false">IF(Q1308="","",IFERROR(Q1308/(1/(1/INDEX(CONFIG!$I$5:$I$14,MATCH(D1308,CONFIG!$D$5:$D$14,0)))),""))</f>
        <v/>
      </c>
      <c r="T1308" s="13"/>
      <c r="U1308" s="13"/>
      <c r="V1308" s="13"/>
      <c r="W1308" s="13"/>
      <c r="X1308" s="22" t="str">
        <f aca="false">IF(Q1308="","",Q1308^2)</f>
        <v/>
      </c>
      <c r="Y1308" s="22" t="str">
        <f aca="false">IF(AND(C1308&lt;&gt;"",C1308=CERTIFICADO!$E$4,OR(CERTIFICADO!$E$5="",B1308=CERTIFICADO!$E$5)),MAX($Y$4:Y1307)+1,"")</f>
        <v/>
      </c>
    </row>
    <row r="1309" customFormat="false" ht="15" hidden="false" customHeight="false" outlineLevel="0" collapsed="false">
      <c r="A1309" s="11" t="str">
        <f aca="false">IF(C1309="","",ROW()-4)</f>
        <v/>
      </c>
      <c r="B1309" s="12"/>
      <c r="C1309" s="13"/>
      <c r="D1309" s="23" t="str">
        <f aca="false">IF(C1309="","",IFERROR(INDEX(LOTES!$D$5:$D$1004,MATCH(C1309,LOTES!$F$5:$F$1004,0)),"¿Lote?"))</f>
        <v/>
      </c>
      <c r="E1309" s="11" t="str">
        <f aca="false">IF(C1309="","",IFERROR(INDEX(LOTES!$C$5:$C$1004,MATCH(C1309,LOTES!$F$5:$F$1004,0)),""))</f>
        <v/>
      </c>
      <c r="F1309" s="24" t="str">
        <f aca="false">IF(C1309="","",IFERROR(INDEX(LOTES!$B$5:$B$1004,MATCH(C1309,LOTES!$F$5:$F$1004,0)),""))</f>
        <v/>
      </c>
      <c r="G1309" s="15" t="str">
        <f aca="false">IF(OR(B1309="",F1309=""),"",B1309-F1309)</f>
        <v/>
      </c>
      <c r="H1309" s="13"/>
      <c r="I1309" s="13"/>
      <c r="J1309" s="13"/>
      <c r="K1309" s="25"/>
      <c r="L1309" s="25"/>
      <c r="M1309" s="25"/>
      <c r="N1309" s="25"/>
      <c r="O1309" s="26"/>
      <c r="P1309" s="16" t="str">
        <f aca="false">IF(O1309="","",IFERROR(1/(1/(IF(K1309="",INDEX(CONFIG!$F$5:$F$14,MATCH(D1309,CONFIG!$D$5:$D$14,0)),K1309)*IF(M1309="",INDEX(CONFIG!$H$5:$H$14,MATCH(D1309,CONFIG!$D$5:$D$14,0)),M1309))),""))</f>
        <v/>
      </c>
      <c r="Q1309" s="16" t="str">
        <f aca="false">IF(OR(O1309="",P1309=""),"",O1309/P1309)</f>
        <v/>
      </c>
      <c r="R1309" s="16" t="str">
        <f aca="false">IF(Q1309="","",Q1309*0.0980665)</f>
        <v/>
      </c>
      <c r="S1309" s="16" t="str">
        <f aca="false">IF(Q1309="","",IFERROR(Q1309/(1/(1/INDEX(CONFIG!$I$5:$I$14,MATCH(D1309,CONFIG!$D$5:$D$14,0)))),""))</f>
        <v/>
      </c>
      <c r="T1309" s="13"/>
      <c r="U1309" s="13"/>
      <c r="V1309" s="13"/>
      <c r="W1309" s="13"/>
      <c r="X1309" s="22" t="str">
        <f aca="false">IF(Q1309="","",Q1309^2)</f>
        <v/>
      </c>
      <c r="Y1309" s="22" t="str">
        <f aca="false">IF(AND(C1309&lt;&gt;"",C1309=CERTIFICADO!$E$4,OR(CERTIFICADO!$E$5="",B1309=CERTIFICADO!$E$5)),MAX($Y$4:Y1308)+1,"")</f>
        <v/>
      </c>
    </row>
    <row r="1310" customFormat="false" ht="15" hidden="false" customHeight="false" outlineLevel="0" collapsed="false">
      <c r="A1310" s="11" t="str">
        <f aca="false">IF(C1310="","",ROW()-4)</f>
        <v/>
      </c>
      <c r="B1310" s="12"/>
      <c r="C1310" s="13"/>
      <c r="D1310" s="23" t="str">
        <f aca="false">IF(C1310="","",IFERROR(INDEX(LOTES!$D$5:$D$1004,MATCH(C1310,LOTES!$F$5:$F$1004,0)),"¿Lote?"))</f>
        <v/>
      </c>
      <c r="E1310" s="11" t="str">
        <f aca="false">IF(C1310="","",IFERROR(INDEX(LOTES!$C$5:$C$1004,MATCH(C1310,LOTES!$F$5:$F$1004,0)),""))</f>
        <v/>
      </c>
      <c r="F1310" s="24" t="str">
        <f aca="false">IF(C1310="","",IFERROR(INDEX(LOTES!$B$5:$B$1004,MATCH(C1310,LOTES!$F$5:$F$1004,0)),""))</f>
        <v/>
      </c>
      <c r="G1310" s="15" t="str">
        <f aca="false">IF(OR(B1310="",F1310=""),"",B1310-F1310)</f>
        <v/>
      </c>
      <c r="H1310" s="13"/>
      <c r="I1310" s="13"/>
      <c r="J1310" s="13"/>
      <c r="K1310" s="25"/>
      <c r="L1310" s="25"/>
      <c r="M1310" s="25"/>
      <c r="N1310" s="25"/>
      <c r="O1310" s="26"/>
      <c r="P1310" s="16" t="str">
        <f aca="false">IF(O1310="","",IFERROR(1/(1/(IF(K1310="",INDEX(CONFIG!$F$5:$F$14,MATCH(D1310,CONFIG!$D$5:$D$14,0)),K1310)*IF(M1310="",INDEX(CONFIG!$H$5:$H$14,MATCH(D1310,CONFIG!$D$5:$D$14,0)),M1310))),""))</f>
        <v/>
      </c>
      <c r="Q1310" s="16" t="str">
        <f aca="false">IF(OR(O1310="",P1310=""),"",O1310/P1310)</f>
        <v/>
      </c>
      <c r="R1310" s="16" t="str">
        <f aca="false">IF(Q1310="","",Q1310*0.0980665)</f>
        <v/>
      </c>
      <c r="S1310" s="16" t="str">
        <f aca="false">IF(Q1310="","",IFERROR(Q1310/(1/(1/INDEX(CONFIG!$I$5:$I$14,MATCH(D1310,CONFIG!$D$5:$D$14,0)))),""))</f>
        <v/>
      </c>
      <c r="T1310" s="13"/>
      <c r="U1310" s="13"/>
      <c r="V1310" s="13"/>
      <c r="W1310" s="13"/>
      <c r="X1310" s="22" t="str">
        <f aca="false">IF(Q1310="","",Q1310^2)</f>
        <v/>
      </c>
      <c r="Y1310" s="22" t="str">
        <f aca="false">IF(AND(C1310&lt;&gt;"",C1310=CERTIFICADO!$E$4,OR(CERTIFICADO!$E$5="",B1310=CERTIFICADO!$E$5)),MAX($Y$4:Y1309)+1,"")</f>
        <v/>
      </c>
    </row>
    <row r="1311" customFormat="false" ht="15" hidden="false" customHeight="false" outlineLevel="0" collapsed="false">
      <c r="A1311" s="11" t="str">
        <f aca="false">IF(C1311="","",ROW()-4)</f>
        <v/>
      </c>
      <c r="B1311" s="12"/>
      <c r="C1311" s="13"/>
      <c r="D1311" s="23" t="str">
        <f aca="false">IF(C1311="","",IFERROR(INDEX(LOTES!$D$5:$D$1004,MATCH(C1311,LOTES!$F$5:$F$1004,0)),"¿Lote?"))</f>
        <v/>
      </c>
      <c r="E1311" s="11" t="str">
        <f aca="false">IF(C1311="","",IFERROR(INDEX(LOTES!$C$5:$C$1004,MATCH(C1311,LOTES!$F$5:$F$1004,0)),""))</f>
        <v/>
      </c>
      <c r="F1311" s="24" t="str">
        <f aca="false">IF(C1311="","",IFERROR(INDEX(LOTES!$B$5:$B$1004,MATCH(C1311,LOTES!$F$5:$F$1004,0)),""))</f>
        <v/>
      </c>
      <c r="G1311" s="15" t="str">
        <f aca="false">IF(OR(B1311="",F1311=""),"",B1311-F1311)</f>
        <v/>
      </c>
      <c r="H1311" s="13"/>
      <c r="I1311" s="13"/>
      <c r="J1311" s="13"/>
      <c r="K1311" s="25"/>
      <c r="L1311" s="25"/>
      <c r="M1311" s="25"/>
      <c r="N1311" s="25"/>
      <c r="O1311" s="26"/>
      <c r="P1311" s="16" t="str">
        <f aca="false">IF(O1311="","",IFERROR(1/(1/(IF(K1311="",INDEX(CONFIG!$F$5:$F$14,MATCH(D1311,CONFIG!$D$5:$D$14,0)),K1311)*IF(M1311="",INDEX(CONFIG!$H$5:$H$14,MATCH(D1311,CONFIG!$D$5:$D$14,0)),M1311))),""))</f>
        <v/>
      </c>
      <c r="Q1311" s="16" t="str">
        <f aca="false">IF(OR(O1311="",P1311=""),"",O1311/P1311)</f>
        <v/>
      </c>
      <c r="R1311" s="16" t="str">
        <f aca="false">IF(Q1311="","",Q1311*0.0980665)</f>
        <v/>
      </c>
      <c r="S1311" s="16" t="str">
        <f aca="false">IF(Q1311="","",IFERROR(Q1311/(1/(1/INDEX(CONFIG!$I$5:$I$14,MATCH(D1311,CONFIG!$D$5:$D$14,0)))),""))</f>
        <v/>
      </c>
      <c r="T1311" s="13"/>
      <c r="U1311" s="13"/>
      <c r="V1311" s="13"/>
      <c r="W1311" s="13"/>
      <c r="X1311" s="22" t="str">
        <f aca="false">IF(Q1311="","",Q1311^2)</f>
        <v/>
      </c>
      <c r="Y1311" s="22" t="str">
        <f aca="false">IF(AND(C1311&lt;&gt;"",C1311=CERTIFICADO!$E$4,OR(CERTIFICADO!$E$5="",B1311=CERTIFICADO!$E$5)),MAX($Y$4:Y1310)+1,"")</f>
        <v/>
      </c>
    </row>
    <row r="1312" customFormat="false" ht="15" hidden="false" customHeight="false" outlineLevel="0" collapsed="false">
      <c r="A1312" s="11" t="str">
        <f aca="false">IF(C1312="","",ROW()-4)</f>
        <v/>
      </c>
      <c r="B1312" s="12"/>
      <c r="C1312" s="13"/>
      <c r="D1312" s="23" t="str">
        <f aca="false">IF(C1312="","",IFERROR(INDEX(LOTES!$D$5:$D$1004,MATCH(C1312,LOTES!$F$5:$F$1004,0)),"¿Lote?"))</f>
        <v/>
      </c>
      <c r="E1312" s="11" t="str">
        <f aca="false">IF(C1312="","",IFERROR(INDEX(LOTES!$C$5:$C$1004,MATCH(C1312,LOTES!$F$5:$F$1004,0)),""))</f>
        <v/>
      </c>
      <c r="F1312" s="24" t="str">
        <f aca="false">IF(C1312="","",IFERROR(INDEX(LOTES!$B$5:$B$1004,MATCH(C1312,LOTES!$F$5:$F$1004,0)),""))</f>
        <v/>
      </c>
      <c r="G1312" s="15" t="str">
        <f aca="false">IF(OR(B1312="",F1312=""),"",B1312-F1312)</f>
        <v/>
      </c>
      <c r="H1312" s="13"/>
      <c r="I1312" s="13"/>
      <c r="J1312" s="13"/>
      <c r="K1312" s="25"/>
      <c r="L1312" s="25"/>
      <c r="M1312" s="25"/>
      <c r="N1312" s="25"/>
      <c r="O1312" s="26"/>
      <c r="P1312" s="16" t="str">
        <f aca="false">IF(O1312="","",IFERROR(1/(1/(IF(K1312="",INDEX(CONFIG!$F$5:$F$14,MATCH(D1312,CONFIG!$D$5:$D$14,0)),K1312)*IF(M1312="",INDEX(CONFIG!$H$5:$H$14,MATCH(D1312,CONFIG!$D$5:$D$14,0)),M1312))),""))</f>
        <v/>
      </c>
      <c r="Q1312" s="16" t="str">
        <f aca="false">IF(OR(O1312="",P1312=""),"",O1312/P1312)</f>
        <v/>
      </c>
      <c r="R1312" s="16" t="str">
        <f aca="false">IF(Q1312="","",Q1312*0.0980665)</f>
        <v/>
      </c>
      <c r="S1312" s="16" t="str">
        <f aca="false">IF(Q1312="","",IFERROR(Q1312/(1/(1/INDEX(CONFIG!$I$5:$I$14,MATCH(D1312,CONFIG!$D$5:$D$14,0)))),""))</f>
        <v/>
      </c>
      <c r="T1312" s="13"/>
      <c r="U1312" s="13"/>
      <c r="V1312" s="13"/>
      <c r="W1312" s="13"/>
      <c r="X1312" s="22" t="str">
        <f aca="false">IF(Q1312="","",Q1312^2)</f>
        <v/>
      </c>
      <c r="Y1312" s="22" t="str">
        <f aca="false">IF(AND(C1312&lt;&gt;"",C1312=CERTIFICADO!$E$4,OR(CERTIFICADO!$E$5="",B1312=CERTIFICADO!$E$5)),MAX($Y$4:Y1311)+1,"")</f>
        <v/>
      </c>
    </row>
    <row r="1313" customFormat="false" ht="15" hidden="false" customHeight="false" outlineLevel="0" collapsed="false">
      <c r="A1313" s="11" t="str">
        <f aca="false">IF(C1313="","",ROW()-4)</f>
        <v/>
      </c>
      <c r="B1313" s="12"/>
      <c r="C1313" s="13"/>
      <c r="D1313" s="23" t="str">
        <f aca="false">IF(C1313="","",IFERROR(INDEX(LOTES!$D$5:$D$1004,MATCH(C1313,LOTES!$F$5:$F$1004,0)),"¿Lote?"))</f>
        <v/>
      </c>
      <c r="E1313" s="11" t="str">
        <f aca="false">IF(C1313="","",IFERROR(INDEX(LOTES!$C$5:$C$1004,MATCH(C1313,LOTES!$F$5:$F$1004,0)),""))</f>
        <v/>
      </c>
      <c r="F1313" s="24" t="str">
        <f aca="false">IF(C1313="","",IFERROR(INDEX(LOTES!$B$5:$B$1004,MATCH(C1313,LOTES!$F$5:$F$1004,0)),""))</f>
        <v/>
      </c>
      <c r="G1313" s="15" t="str">
        <f aca="false">IF(OR(B1313="",F1313=""),"",B1313-F1313)</f>
        <v/>
      </c>
      <c r="H1313" s="13"/>
      <c r="I1313" s="13"/>
      <c r="J1313" s="13"/>
      <c r="K1313" s="25"/>
      <c r="L1313" s="25"/>
      <c r="M1313" s="25"/>
      <c r="N1313" s="25"/>
      <c r="O1313" s="26"/>
      <c r="P1313" s="16" t="str">
        <f aca="false">IF(O1313="","",IFERROR(1/(1/(IF(K1313="",INDEX(CONFIG!$F$5:$F$14,MATCH(D1313,CONFIG!$D$5:$D$14,0)),K1313)*IF(M1313="",INDEX(CONFIG!$H$5:$H$14,MATCH(D1313,CONFIG!$D$5:$D$14,0)),M1313))),""))</f>
        <v/>
      </c>
      <c r="Q1313" s="16" t="str">
        <f aca="false">IF(OR(O1313="",P1313=""),"",O1313/P1313)</f>
        <v/>
      </c>
      <c r="R1313" s="16" t="str">
        <f aca="false">IF(Q1313="","",Q1313*0.0980665)</f>
        <v/>
      </c>
      <c r="S1313" s="16" t="str">
        <f aca="false">IF(Q1313="","",IFERROR(Q1313/(1/(1/INDEX(CONFIG!$I$5:$I$14,MATCH(D1313,CONFIG!$D$5:$D$14,0)))),""))</f>
        <v/>
      </c>
      <c r="T1313" s="13"/>
      <c r="U1313" s="13"/>
      <c r="V1313" s="13"/>
      <c r="W1313" s="13"/>
      <c r="X1313" s="22" t="str">
        <f aca="false">IF(Q1313="","",Q1313^2)</f>
        <v/>
      </c>
      <c r="Y1313" s="22" t="str">
        <f aca="false">IF(AND(C1313&lt;&gt;"",C1313=CERTIFICADO!$E$4,OR(CERTIFICADO!$E$5="",B1313=CERTIFICADO!$E$5)),MAX($Y$4:Y1312)+1,"")</f>
        <v/>
      </c>
    </row>
    <row r="1314" customFormat="false" ht="15" hidden="false" customHeight="false" outlineLevel="0" collapsed="false">
      <c r="A1314" s="11" t="str">
        <f aca="false">IF(C1314="","",ROW()-4)</f>
        <v/>
      </c>
      <c r="B1314" s="12"/>
      <c r="C1314" s="13"/>
      <c r="D1314" s="23" t="str">
        <f aca="false">IF(C1314="","",IFERROR(INDEX(LOTES!$D$5:$D$1004,MATCH(C1314,LOTES!$F$5:$F$1004,0)),"¿Lote?"))</f>
        <v/>
      </c>
      <c r="E1314" s="11" t="str">
        <f aca="false">IF(C1314="","",IFERROR(INDEX(LOTES!$C$5:$C$1004,MATCH(C1314,LOTES!$F$5:$F$1004,0)),""))</f>
        <v/>
      </c>
      <c r="F1314" s="24" t="str">
        <f aca="false">IF(C1314="","",IFERROR(INDEX(LOTES!$B$5:$B$1004,MATCH(C1314,LOTES!$F$5:$F$1004,0)),""))</f>
        <v/>
      </c>
      <c r="G1314" s="15" t="str">
        <f aca="false">IF(OR(B1314="",F1314=""),"",B1314-F1314)</f>
        <v/>
      </c>
      <c r="H1314" s="13"/>
      <c r="I1314" s="13"/>
      <c r="J1314" s="13"/>
      <c r="K1314" s="25"/>
      <c r="L1314" s="25"/>
      <c r="M1314" s="25"/>
      <c r="N1314" s="25"/>
      <c r="O1314" s="26"/>
      <c r="P1314" s="16" t="str">
        <f aca="false">IF(O1314="","",IFERROR(1/(1/(IF(K1314="",INDEX(CONFIG!$F$5:$F$14,MATCH(D1314,CONFIG!$D$5:$D$14,0)),K1314)*IF(M1314="",INDEX(CONFIG!$H$5:$H$14,MATCH(D1314,CONFIG!$D$5:$D$14,0)),M1314))),""))</f>
        <v/>
      </c>
      <c r="Q1314" s="16" t="str">
        <f aca="false">IF(OR(O1314="",P1314=""),"",O1314/P1314)</f>
        <v/>
      </c>
      <c r="R1314" s="16" t="str">
        <f aca="false">IF(Q1314="","",Q1314*0.0980665)</f>
        <v/>
      </c>
      <c r="S1314" s="16" t="str">
        <f aca="false">IF(Q1314="","",IFERROR(Q1314/(1/(1/INDEX(CONFIG!$I$5:$I$14,MATCH(D1314,CONFIG!$D$5:$D$14,0)))),""))</f>
        <v/>
      </c>
      <c r="T1314" s="13"/>
      <c r="U1314" s="13"/>
      <c r="V1314" s="13"/>
      <c r="W1314" s="13"/>
      <c r="X1314" s="22" t="str">
        <f aca="false">IF(Q1314="","",Q1314^2)</f>
        <v/>
      </c>
      <c r="Y1314" s="22" t="str">
        <f aca="false">IF(AND(C1314&lt;&gt;"",C1314=CERTIFICADO!$E$4,OR(CERTIFICADO!$E$5="",B1314=CERTIFICADO!$E$5)),MAX($Y$4:Y1313)+1,"")</f>
        <v/>
      </c>
    </row>
    <row r="1315" customFormat="false" ht="15" hidden="false" customHeight="false" outlineLevel="0" collapsed="false">
      <c r="A1315" s="11" t="str">
        <f aca="false">IF(C1315="","",ROW()-4)</f>
        <v/>
      </c>
      <c r="B1315" s="12"/>
      <c r="C1315" s="13"/>
      <c r="D1315" s="23" t="str">
        <f aca="false">IF(C1315="","",IFERROR(INDEX(LOTES!$D$5:$D$1004,MATCH(C1315,LOTES!$F$5:$F$1004,0)),"¿Lote?"))</f>
        <v/>
      </c>
      <c r="E1315" s="11" t="str">
        <f aca="false">IF(C1315="","",IFERROR(INDEX(LOTES!$C$5:$C$1004,MATCH(C1315,LOTES!$F$5:$F$1004,0)),""))</f>
        <v/>
      </c>
      <c r="F1315" s="24" t="str">
        <f aca="false">IF(C1315="","",IFERROR(INDEX(LOTES!$B$5:$B$1004,MATCH(C1315,LOTES!$F$5:$F$1004,0)),""))</f>
        <v/>
      </c>
      <c r="G1315" s="15" t="str">
        <f aca="false">IF(OR(B1315="",F1315=""),"",B1315-F1315)</f>
        <v/>
      </c>
      <c r="H1315" s="13"/>
      <c r="I1315" s="13"/>
      <c r="J1315" s="13"/>
      <c r="K1315" s="25"/>
      <c r="L1315" s="25"/>
      <c r="M1315" s="25"/>
      <c r="N1315" s="25"/>
      <c r="O1315" s="26"/>
      <c r="P1315" s="16" t="str">
        <f aca="false">IF(O1315="","",IFERROR(1/(1/(IF(K1315="",INDEX(CONFIG!$F$5:$F$14,MATCH(D1315,CONFIG!$D$5:$D$14,0)),K1315)*IF(M1315="",INDEX(CONFIG!$H$5:$H$14,MATCH(D1315,CONFIG!$D$5:$D$14,0)),M1315))),""))</f>
        <v/>
      </c>
      <c r="Q1315" s="16" t="str">
        <f aca="false">IF(OR(O1315="",P1315=""),"",O1315/P1315)</f>
        <v/>
      </c>
      <c r="R1315" s="16" t="str">
        <f aca="false">IF(Q1315="","",Q1315*0.0980665)</f>
        <v/>
      </c>
      <c r="S1315" s="16" t="str">
        <f aca="false">IF(Q1315="","",IFERROR(Q1315/(1/(1/INDEX(CONFIG!$I$5:$I$14,MATCH(D1315,CONFIG!$D$5:$D$14,0)))),""))</f>
        <v/>
      </c>
      <c r="T1315" s="13"/>
      <c r="U1315" s="13"/>
      <c r="V1315" s="13"/>
      <c r="W1315" s="13"/>
      <c r="X1315" s="22" t="str">
        <f aca="false">IF(Q1315="","",Q1315^2)</f>
        <v/>
      </c>
      <c r="Y1315" s="22" t="str">
        <f aca="false">IF(AND(C1315&lt;&gt;"",C1315=CERTIFICADO!$E$4,OR(CERTIFICADO!$E$5="",B1315=CERTIFICADO!$E$5)),MAX($Y$4:Y1314)+1,"")</f>
        <v/>
      </c>
    </row>
    <row r="1316" customFormat="false" ht="15" hidden="false" customHeight="false" outlineLevel="0" collapsed="false">
      <c r="A1316" s="11" t="str">
        <f aca="false">IF(C1316="","",ROW()-4)</f>
        <v/>
      </c>
      <c r="B1316" s="12"/>
      <c r="C1316" s="13"/>
      <c r="D1316" s="23" t="str">
        <f aca="false">IF(C1316="","",IFERROR(INDEX(LOTES!$D$5:$D$1004,MATCH(C1316,LOTES!$F$5:$F$1004,0)),"¿Lote?"))</f>
        <v/>
      </c>
      <c r="E1316" s="11" t="str">
        <f aca="false">IF(C1316="","",IFERROR(INDEX(LOTES!$C$5:$C$1004,MATCH(C1316,LOTES!$F$5:$F$1004,0)),""))</f>
        <v/>
      </c>
      <c r="F1316" s="24" t="str">
        <f aca="false">IF(C1316="","",IFERROR(INDEX(LOTES!$B$5:$B$1004,MATCH(C1316,LOTES!$F$5:$F$1004,0)),""))</f>
        <v/>
      </c>
      <c r="G1316" s="15" t="str">
        <f aca="false">IF(OR(B1316="",F1316=""),"",B1316-F1316)</f>
        <v/>
      </c>
      <c r="H1316" s="13"/>
      <c r="I1316" s="13"/>
      <c r="J1316" s="13"/>
      <c r="K1316" s="25"/>
      <c r="L1316" s="25"/>
      <c r="M1316" s="25"/>
      <c r="N1316" s="25"/>
      <c r="O1316" s="26"/>
      <c r="P1316" s="16" t="str">
        <f aca="false">IF(O1316="","",IFERROR(1/(1/(IF(K1316="",INDEX(CONFIG!$F$5:$F$14,MATCH(D1316,CONFIG!$D$5:$D$14,0)),K1316)*IF(M1316="",INDEX(CONFIG!$H$5:$H$14,MATCH(D1316,CONFIG!$D$5:$D$14,0)),M1316))),""))</f>
        <v/>
      </c>
      <c r="Q1316" s="16" t="str">
        <f aca="false">IF(OR(O1316="",P1316=""),"",O1316/P1316)</f>
        <v/>
      </c>
      <c r="R1316" s="16" t="str">
        <f aca="false">IF(Q1316="","",Q1316*0.0980665)</f>
        <v/>
      </c>
      <c r="S1316" s="16" t="str">
        <f aca="false">IF(Q1316="","",IFERROR(Q1316/(1/(1/INDEX(CONFIG!$I$5:$I$14,MATCH(D1316,CONFIG!$D$5:$D$14,0)))),""))</f>
        <v/>
      </c>
      <c r="T1316" s="13"/>
      <c r="U1316" s="13"/>
      <c r="V1316" s="13"/>
      <c r="W1316" s="13"/>
      <c r="X1316" s="22" t="str">
        <f aca="false">IF(Q1316="","",Q1316^2)</f>
        <v/>
      </c>
      <c r="Y1316" s="22" t="str">
        <f aca="false">IF(AND(C1316&lt;&gt;"",C1316=CERTIFICADO!$E$4,OR(CERTIFICADO!$E$5="",B1316=CERTIFICADO!$E$5)),MAX($Y$4:Y1315)+1,"")</f>
        <v/>
      </c>
    </row>
    <row r="1317" customFormat="false" ht="15" hidden="false" customHeight="false" outlineLevel="0" collapsed="false">
      <c r="A1317" s="11" t="str">
        <f aca="false">IF(C1317="","",ROW()-4)</f>
        <v/>
      </c>
      <c r="B1317" s="12"/>
      <c r="C1317" s="13"/>
      <c r="D1317" s="23" t="str">
        <f aca="false">IF(C1317="","",IFERROR(INDEX(LOTES!$D$5:$D$1004,MATCH(C1317,LOTES!$F$5:$F$1004,0)),"¿Lote?"))</f>
        <v/>
      </c>
      <c r="E1317" s="11" t="str">
        <f aca="false">IF(C1317="","",IFERROR(INDEX(LOTES!$C$5:$C$1004,MATCH(C1317,LOTES!$F$5:$F$1004,0)),""))</f>
        <v/>
      </c>
      <c r="F1317" s="24" t="str">
        <f aca="false">IF(C1317="","",IFERROR(INDEX(LOTES!$B$5:$B$1004,MATCH(C1317,LOTES!$F$5:$F$1004,0)),""))</f>
        <v/>
      </c>
      <c r="G1317" s="15" t="str">
        <f aca="false">IF(OR(B1317="",F1317=""),"",B1317-F1317)</f>
        <v/>
      </c>
      <c r="H1317" s="13"/>
      <c r="I1317" s="13"/>
      <c r="J1317" s="13"/>
      <c r="K1317" s="25"/>
      <c r="L1317" s="25"/>
      <c r="M1317" s="25"/>
      <c r="N1317" s="25"/>
      <c r="O1317" s="26"/>
      <c r="P1317" s="16" t="str">
        <f aca="false">IF(O1317="","",IFERROR(1/(1/(IF(K1317="",INDEX(CONFIG!$F$5:$F$14,MATCH(D1317,CONFIG!$D$5:$D$14,0)),K1317)*IF(M1317="",INDEX(CONFIG!$H$5:$H$14,MATCH(D1317,CONFIG!$D$5:$D$14,0)),M1317))),""))</f>
        <v/>
      </c>
      <c r="Q1317" s="16" t="str">
        <f aca="false">IF(OR(O1317="",P1317=""),"",O1317/P1317)</f>
        <v/>
      </c>
      <c r="R1317" s="16" t="str">
        <f aca="false">IF(Q1317="","",Q1317*0.0980665)</f>
        <v/>
      </c>
      <c r="S1317" s="16" t="str">
        <f aca="false">IF(Q1317="","",IFERROR(Q1317/(1/(1/INDEX(CONFIG!$I$5:$I$14,MATCH(D1317,CONFIG!$D$5:$D$14,0)))),""))</f>
        <v/>
      </c>
      <c r="T1317" s="13"/>
      <c r="U1317" s="13"/>
      <c r="V1317" s="13"/>
      <c r="W1317" s="13"/>
      <c r="X1317" s="22" t="str">
        <f aca="false">IF(Q1317="","",Q1317^2)</f>
        <v/>
      </c>
      <c r="Y1317" s="22" t="str">
        <f aca="false">IF(AND(C1317&lt;&gt;"",C1317=CERTIFICADO!$E$4,OR(CERTIFICADO!$E$5="",B1317=CERTIFICADO!$E$5)),MAX($Y$4:Y1316)+1,"")</f>
        <v/>
      </c>
    </row>
    <row r="1318" customFormat="false" ht="15" hidden="false" customHeight="false" outlineLevel="0" collapsed="false">
      <c r="A1318" s="11" t="str">
        <f aca="false">IF(C1318="","",ROW()-4)</f>
        <v/>
      </c>
      <c r="B1318" s="12"/>
      <c r="C1318" s="13"/>
      <c r="D1318" s="23" t="str">
        <f aca="false">IF(C1318="","",IFERROR(INDEX(LOTES!$D$5:$D$1004,MATCH(C1318,LOTES!$F$5:$F$1004,0)),"¿Lote?"))</f>
        <v/>
      </c>
      <c r="E1318" s="11" t="str">
        <f aca="false">IF(C1318="","",IFERROR(INDEX(LOTES!$C$5:$C$1004,MATCH(C1318,LOTES!$F$5:$F$1004,0)),""))</f>
        <v/>
      </c>
      <c r="F1318" s="24" t="str">
        <f aca="false">IF(C1318="","",IFERROR(INDEX(LOTES!$B$5:$B$1004,MATCH(C1318,LOTES!$F$5:$F$1004,0)),""))</f>
        <v/>
      </c>
      <c r="G1318" s="15" t="str">
        <f aca="false">IF(OR(B1318="",F1318=""),"",B1318-F1318)</f>
        <v/>
      </c>
      <c r="H1318" s="13"/>
      <c r="I1318" s="13"/>
      <c r="J1318" s="13"/>
      <c r="K1318" s="25"/>
      <c r="L1318" s="25"/>
      <c r="M1318" s="25"/>
      <c r="N1318" s="25"/>
      <c r="O1318" s="26"/>
      <c r="P1318" s="16" t="str">
        <f aca="false">IF(O1318="","",IFERROR(1/(1/(IF(K1318="",INDEX(CONFIG!$F$5:$F$14,MATCH(D1318,CONFIG!$D$5:$D$14,0)),K1318)*IF(M1318="",INDEX(CONFIG!$H$5:$H$14,MATCH(D1318,CONFIG!$D$5:$D$14,0)),M1318))),""))</f>
        <v/>
      </c>
      <c r="Q1318" s="16" t="str">
        <f aca="false">IF(OR(O1318="",P1318=""),"",O1318/P1318)</f>
        <v/>
      </c>
      <c r="R1318" s="16" t="str">
        <f aca="false">IF(Q1318="","",Q1318*0.0980665)</f>
        <v/>
      </c>
      <c r="S1318" s="16" t="str">
        <f aca="false">IF(Q1318="","",IFERROR(Q1318/(1/(1/INDEX(CONFIG!$I$5:$I$14,MATCH(D1318,CONFIG!$D$5:$D$14,0)))),""))</f>
        <v/>
      </c>
      <c r="T1318" s="13"/>
      <c r="U1318" s="13"/>
      <c r="V1318" s="13"/>
      <c r="W1318" s="13"/>
      <c r="X1318" s="22" t="str">
        <f aca="false">IF(Q1318="","",Q1318^2)</f>
        <v/>
      </c>
      <c r="Y1318" s="22" t="str">
        <f aca="false">IF(AND(C1318&lt;&gt;"",C1318=CERTIFICADO!$E$4,OR(CERTIFICADO!$E$5="",B1318=CERTIFICADO!$E$5)),MAX($Y$4:Y1317)+1,"")</f>
        <v/>
      </c>
    </row>
    <row r="1319" customFormat="false" ht="15" hidden="false" customHeight="false" outlineLevel="0" collapsed="false">
      <c r="A1319" s="11" t="str">
        <f aca="false">IF(C1319="","",ROW()-4)</f>
        <v/>
      </c>
      <c r="B1319" s="12"/>
      <c r="C1319" s="13"/>
      <c r="D1319" s="23" t="str">
        <f aca="false">IF(C1319="","",IFERROR(INDEX(LOTES!$D$5:$D$1004,MATCH(C1319,LOTES!$F$5:$F$1004,0)),"¿Lote?"))</f>
        <v/>
      </c>
      <c r="E1319" s="11" t="str">
        <f aca="false">IF(C1319="","",IFERROR(INDEX(LOTES!$C$5:$C$1004,MATCH(C1319,LOTES!$F$5:$F$1004,0)),""))</f>
        <v/>
      </c>
      <c r="F1319" s="24" t="str">
        <f aca="false">IF(C1319="","",IFERROR(INDEX(LOTES!$B$5:$B$1004,MATCH(C1319,LOTES!$F$5:$F$1004,0)),""))</f>
        <v/>
      </c>
      <c r="G1319" s="15" t="str">
        <f aca="false">IF(OR(B1319="",F1319=""),"",B1319-F1319)</f>
        <v/>
      </c>
      <c r="H1319" s="13"/>
      <c r="I1319" s="13"/>
      <c r="J1319" s="13"/>
      <c r="K1319" s="25"/>
      <c r="L1319" s="25"/>
      <c r="M1319" s="25"/>
      <c r="N1319" s="25"/>
      <c r="O1319" s="26"/>
      <c r="P1319" s="16" t="str">
        <f aca="false">IF(O1319="","",IFERROR(1/(1/(IF(K1319="",INDEX(CONFIG!$F$5:$F$14,MATCH(D1319,CONFIG!$D$5:$D$14,0)),K1319)*IF(M1319="",INDEX(CONFIG!$H$5:$H$14,MATCH(D1319,CONFIG!$D$5:$D$14,0)),M1319))),""))</f>
        <v/>
      </c>
      <c r="Q1319" s="16" t="str">
        <f aca="false">IF(OR(O1319="",P1319=""),"",O1319/P1319)</f>
        <v/>
      </c>
      <c r="R1319" s="16" t="str">
        <f aca="false">IF(Q1319="","",Q1319*0.0980665)</f>
        <v/>
      </c>
      <c r="S1319" s="16" t="str">
        <f aca="false">IF(Q1319="","",IFERROR(Q1319/(1/(1/INDEX(CONFIG!$I$5:$I$14,MATCH(D1319,CONFIG!$D$5:$D$14,0)))),""))</f>
        <v/>
      </c>
      <c r="T1319" s="13"/>
      <c r="U1319" s="13"/>
      <c r="V1319" s="13"/>
      <c r="W1319" s="13"/>
      <c r="X1319" s="22" t="str">
        <f aca="false">IF(Q1319="","",Q1319^2)</f>
        <v/>
      </c>
      <c r="Y1319" s="22" t="str">
        <f aca="false">IF(AND(C1319&lt;&gt;"",C1319=CERTIFICADO!$E$4,OR(CERTIFICADO!$E$5="",B1319=CERTIFICADO!$E$5)),MAX($Y$4:Y1318)+1,"")</f>
        <v/>
      </c>
    </row>
    <row r="1320" customFormat="false" ht="15" hidden="false" customHeight="false" outlineLevel="0" collapsed="false">
      <c r="A1320" s="11" t="str">
        <f aca="false">IF(C1320="","",ROW()-4)</f>
        <v/>
      </c>
      <c r="B1320" s="12"/>
      <c r="C1320" s="13"/>
      <c r="D1320" s="23" t="str">
        <f aca="false">IF(C1320="","",IFERROR(INDEX(LOTES!$D$5:$D$1004,MATCH(C1320,LOTES!$F$5:$F$1004,0)),"¿Lote?"))</f>
        <v/>
      </c>
      <c r="E1320" s="11" t="str">
        <f aca="false">IF(C1320="","",IFERROR(INDEX(LOTES!$C$5:$C$1004,MATCH(C1320,LOTES!$F$5:$F$1004,0)),""))</f>
        <v/>
      </c>
      <c r="F1320" s="24" t="str">
        <f aca="false">IF(C1320="","",IFERROR(INDEX(LOTES!$B$5:$B$1004,MATCH(C1320,LOTES!$F$5:$F$1004,0)),""))</f>
        <v/>
      </c>
      <c r="G1320" s="15" t="str">
        <f aca="false">IF(OR(B1320="",F1320=""),"",B1320-F1320)</f>
        <v/>
      </c>
      <c r="H1320" s="13"/>
      <c r="I1320" s="13"/>
      <c r="J1320" s="13"/>
      <c r="K1320" s="25"/>
      <c r="L1320" s="25"/>
      <c r="M1320" s="25"/>
      <c r="N1320" s="25"/>
      <c r="O1320" s="26"/>
      <c r="P1320" s="16" t="str">
        <f aca="false">IF(O1320="","",IFERROR(1/(1/(IF(K1320="",INDEX(CONFIG!$F$5:$F$14,MATCH(D1320,CONFIG!$D$5:$D$14,0)),K1320)*IF(M1320="",INDEX(CONFIG!$H$5:$H$14,MATCH(D1320,CONFIG!$D$5:$D$14,0)),M1320))),""))</f>
        <v/>
      </c>
      <c r="Q1320" s="16" t="str">
        <f aca="false">IF(OR(O1320="",P1320=""),"",O1320/P1320)</f>
        <v/>
      </c>
      <c r="R1320" s="16" t="str">
        <f aca="false">IF(Q1320="","",Q1320*0.0980665)</f>
        <v/>
      </c>
      <c r="S1320" s="16" t="str">
        <f aca="false">IF(Q1320="","",IFERROR(Q1320/(1/(1/INDEX(CONFIG!$I$5:$I$14,MATCH(D1320,CONFIG!$D$5:$D$14,0)))),""))</f>
        <v/>
      </c>
      <c r="T1320" s="13"/>
      <c r="U1320" s="13"/>
      <c r="V1320" s="13"/>
      <c r="W1320" s="13"/>
      <c r="X1320" s="22" t="str">
        <f aca="false">IF(Q1320="","",Q1320^2)</f>
        <v/>
      </c>
      <c r="Y1320" s="22" t="str">
        <f aca="false">IF(AND(C1320&lt;&gt;"",C1320=CERTIFICADO!$E$4,OR(CERTIFICADO!$E$5="",B1320=CERTIFICADO!$E$5)),MAX($Y$4:Y1319)+1,"")</f>
        <v/>
      </c>
    </row>
    <row r="1321" customFormat="false" ht="15" hidden="false" customHeight="false" outlineLevel="0" collapsed="false">
      <c r="A1321" s="11" t="str">
        <f aca="false">IF(C1321="","",ROW()-4)</f>
        <v/>
      </c>
      <c r="B1321" s="12"/>
      <c r="C1321" s="13"/>
      <c r="D1321" s="23" t="str">
        <f aca="false">IF(C1321="","",IFERROR(INDEX(LOTES!$D$5:$D$1004,MATCH(C1321,LOTES!$F$5:$F$1004,0)),"¿Lote?"))</f>
        <v/>
      </c>
      <c r="E1321" s="11" t="str">
        <f aca="false">IF(C1321="","",IFERROR(INDEX(LOTES!$C$5:$C$1004,MATCH(C1321,LOTES!$F$5:$F$1004,0)),""))</f>
        <v/>
      </c>
      <c r="F1321" s="24" t="str">
        <f aca="false">IF(C1321="","",IFERROR(INDEX(LOTES!$B$5:$B$1004,MATCH(C1321,LOTES!$F$5:$F$1004,0)),""))</f>
        <v/>
      </c>
      <c r="G1321" s="15" t="str">
        <f aca="false">IF(OR(B1321="",F1321=""),"",B1321-F1321)</f>
        <v/>
      </c>
      <c r="H1321" s="13"/>
      <c r="I1321" s="13"/>
      <c r="J1321" s="13"/>
      <c r="K1321" s="25"/>
      <c r="L1321" s="25"/>
      <c r="M1321" s="25"/>
      <c r="N1321" s="25"/>
      <c r="O1321" s="26"/>
      <c r="P1321" s="16" t="str">
        <f aca="false">IF(O1321="","",IFERROR(1/(1/(IF(K1321="",INDEX(CONFIG!$F$5:$F$14,MATCH(D1321,CONFIG!$D$5:$D$14,0)),K1321)*IF(M1321="",INDEX(CONFIG!$H$5:$H$14,MATCH(D1321,CONFIG!$D$5:$D$14,0)),M1321))),""))</f>
        <v/>
      </c>
      <c r="Q1321" s="16" t="str">
        <f aca="false">IF(OR(O1321="",P1321=""),"",O1321/P1321)</f>
        <v/>
      </c>
      <c r="R1321" s="16" t="str">
        <f aca="false">IF(Q1321="","",Q1321*0.0980665)</f>
        <v/>
      </c>
      <c r="S1321" s="16" t="str">
        <f aca="false">IF(Q1321="","",IFERROR(Q1321/(1/(1/INDEX(CONFIG!$I$5:$I$14,MATCH(D1321,CONFIG!$D$5:$D$14,0)))),""))</f>
        <v/>
      </c>
      <c r="T1321" s="13"/>
      <c r="U1321" s="13"/>
      <c r="V1321" s="13"/>
      <c r="W1321" s="13"/>
      <c r="X1321" s="22" t="str">
        <f aca="false">IF(Q1321="","",Q1321^2)</f>
        <v/>
      </c>
      <c r="Y1321" s="22" t="str">
        <f aca="false">IF(AND(C1321&lt;&gt;"",C1321=CERTIFICADO!$E$4,OR(CERTIFICADO!$E$5="",B1321=CERTIFICADO!$E$5)),MAX($Y$4:Y1320)+1,"")</f>
        <v/>
      </c>
    </row>
    <row r="1322" customFormat="false" ht="15" hidden="false" customHeight="false" outlineLevel="0" collapsed="false">
      <c r="A1322" s="11" t="str">
        <f aca="false">IF(C1322="","",ROW()-4)</f>
        <v/>
      </c>
      <c r="B1322" s="12"/>
      <c r="C1322" s="13"/>
      <c r="D1322" s="23" t="str">
        <f aca="false">IF(C1322="","",IFERROR(INDEX(LOTES!$D$5:$D$1004,MATCH(C1322,LOTES!$F$5:$F$1004,0)),"¿Lote?"))</f>
        <v/>
      </c>
      <c r="E1322" s="11" t="str">
        <f aca="false">IF(C1322="","",IFERROR(INDEX(LOTES!$C$5:$C$1004,MATCH(C1322,LOTES!$F$5:$F$1004,0)),""))</f>
        <v/>
      </c>
      <c r="F1322" s="24" t="str">
        <f aca="false">IF(C1322="","",IFERROR(INDEX(LOTES!$B$5:$B$1004,MATCH(C1322,LOTES!$F$5:$F$1004,0)),""))</f>
        <v/>
      </c>
      <c r="G1322" s="15" t="str">
        <f aca="false">IF(OR(B1322="",F1322=""),"",B1322-F1322)</f>
        <v/>
      </c>
      <c r="H1322" s="13"/>
      <c r="I1322" s="13"/>
      <c r="J1322" s="13"/>
      <c r="K1322" s="25"/>
      <c r="L1322" s="25"/>
      <c r="M1322" s="25"/>
      <c r="N1322" s="25"/>
      <c r="O1322" s="26"/>
      <c r="P1322" s="16" t="str">
        <f aca="false">IF(O1322="","",IFERROR(1/(1/(IF(K1322="",INDEX(CONFIG!$F$5:$F$14,MATCH(D1322,CONFIG!$D$5:$D$14,0)),K1322)*IF(M1322="",INDEX(CONFIG!$H$5:$H$14,MATCH(D1322,CONFIG!$D$5:$D$14,0)),M1322))),""))</f>
        <v/>
      </c>
      <c r="Q1322" s="16" t="str">
        <f aca="false">IF(OR(O1322="",P1322=""),"",O1322/P1322)</f>
        <v/>
      </c>
      <c r="R1322" s="16" t="str">
        <f aca="false">IF(Q1322="","",Q1322*0.0980665)</f>
        <v/>
      </c>
      <c r="S1322" s="16" t="str">
        <f aca="false">IF(Q1322="","",IFERROR(Q1322/(1/(1/INDEX(CONFIG!$I$5:$I$14,MATCH(D1322,CONFIG!$D$5:$D$14,0)))),""))</f>
        <v/>
      </c>
      <c r="T1322" s="13"/>
      <c r="U1322" s="13"/>
      <c r="V1322" s="13"/>
      <c r="W1322" s="13"/>
      <c r="X1322" s="22" t="str">
        <f aca="false">IF(Q1322="","",Q1322^2)</f>
        <v/>
      </c>
      <c r="Y1322" s="22" t="str">
        <f aca="false">IF(AND(C1322&lt;&gt;"",C1322=CERTIFICADO!$E$4,OR(CERTIFICADO!$E$5="",B1322=CERTIFICADO!$E$5)),MAX($Y$4:Y1321)+1,"")</f>
        <v/>
      </c>
    </row>
    <row r="1323" customFormat="false" ht="15" hidden="false" customHeight="false" outlineLevel="0" collapsed="false">
      <c r="A1323" s="11" t="str">
        <f aca="false">IF(C1323="","",ROW()-4)</f>
        <v/>
      </c>
      <c r="B1323" s="12"/>
      <c r="C1323" s="13"/>
      <c r="D1323" s="23" t="str">
        <f aca="false">IF(C1323="","",IFERROR(INDEX(LOTES!$D$5:$D$1004,MATCH(C1323,LOTES!$F$5:$F$1004,0)),"¿Lote?"))</f>
        <v/>
      </c>
      <c r="E1323" s="11" t="str">
        <f aca="false">IF(C1323="","",IFERROR(INDEX(LOTES!$C$5:$C$1004,MATCH(C1323,LOTES!$F$5:$F$1004,0)),""))</f>
        <v/>
      </c>
      <c r="F1323" s="24" t="str">
        <f aca="false">IF(C1323="","",IFERROR(INDEX(LOTES!$B$5:$B$1004,MATCH(C1323,LOTES!$F$5:$F$1004,0)),""))</f>
        <v/>
      </c>
      <c r="G1323" s="15" t="str">
        <f aca="false">IF(OR(B1323="",F1323=""),"",B1323-F1323)</f>
        <v/>
      </c>
      <c r="H1323" s="13"/>
      <c r="I1323" s="13"/>
      <c r="J1323" s="13"/>
      <c r="K1323" s="25"/>
      <c r="L1323" s="25"/>
      <c r="M1323" s="25"/>
      <c r="N1323" s="25"/>
      <c r="O1323" s="26"/>
      <c r="P1323" s="16" t="str">
        <f aca="false">IF(O1323="","",IFERROR(1/(1/(IF(K1323="",INDEX(CONFIG!$F$5:$F$14,MATCH(D1323,CONFIG!$D$5:$D$14,0)),K1323)*IF(M1323="",INDEX(CONFIG!$H$5:$H$14,MATCH(D1323,CONFIG!$D$5:$D$14,0)),M1323))),""))</f>
        <v/>
      </c>
      <c r="Q1323" s="16" t="str">
        <f aca="false">IF(OR(O1323="",P1323=""),"",O1323/P1323)</f>
        <v/>
      </c>
      <c r="R1323" s="16" t="str">
        <f aca="false">IF(Q1323="","",Q1323*0.0980665)</f>
        <v/>
      </c>
      <c r="S1323" s="16" t="str">
        <f aca="false">IF(Q1323="","",IFERROR(Q1323/(1/(1/INDEX(CONFIG!$I$5:$I$14,MATCH(D1323,CONFIG!$D$5:$D$14,0)))),""))</f>
        <v/>
      </c>
      <c r="T1323" s="13"/>
      <c r="U1323" s="13"/>
      <c r="V1323" s="13"/>
      <c r="W1323" s="13"/>
      <c r="X1323" s="22" t="str">
        <f aca="false">IF(Q1323="","",Q1323^2)</f>
        <v/>
      </c>
      <c r="Y1323" s="22" t="str">
        <f aca="false">IF(AND(C1323&lt;&gt;"",C1323=CERTIFICADO!$E$4,OR(CERTIFICADO!$E$5="",B1323=CERTIFICADO!$E$5)),MAX($Y$4:Y1322)+1,"")</f>
        <v/>
      </c>
    </row>
    <row r="1324" customFormat="false" ht="15" hidden="false" customHeight="false" outlineLevel="0" collapsed="false">
      <c r="A1324" s="11" t="str">
        <f aca="false">IF(C1324="","",ROW()-4)</f>
        <v/>
      </c>
      <c r="B1324" s="12"/>
      <c r="C1324" s="13"/>
      <c r="D1324" s="23" t="str">
        <f aca="false">IF(C1324="","",IFERROR(INDEX(LOTES!$D$5:$D$1004,MATCH(C1324,LOTES!$F$5:$F$1004,0)),"¿Lote?"))</f>
        <v/>
      </c>
      <c r="E1324" s="11" t="str">
        <f aca="false">IF(C1324="","",IFERROR(INDEX(LOTES!$C$5:$C$1004,MATCH(C1324,LOTES!$F$5:$F$1004,0)),""))</f>
        <v/>
      </c>
      <c r="F1324" s="24" t="str">
        <f aca="false">IF(C1324="","",IFERROR(INDEX(LOTES!$B$5:$B$1004,MATCH(C1324,LOTES!$F$5:$F$1004,0)),""))</f>
        <v/>
      </c>
      <c r="G1324" s="15" t="str">
        <f aca="false">IF(OR(B1324="",F1324=""),"",B1324-F1324)</f>
        <v/>
      </c>
      <c r="H1324" s="13"/>
      <c r="I1324" s="13"/>
      <c r="J1324" s="13"/>
      <c r="K1324" s="25"/>
      <c r="L1324" s="25"/>
      <c r="M1324" s="25"/>
      <c r="N1324" s="25"/>
      <c r="O1324" s="26"/>
      <c r="P1324" s="16" t="str">
        <f aca="false">IF(O1324="","",IFERROR(1/(1/(IF(K1324="",INDEX(CONFIG!$F$5:$F$14,MATCH(D1324,CONFIG!$D$5:$D$14,0)),K1324)*IF(M1324="",INDEX(CONFIG!$H$5:$H$14,MATCH(D1324,CONFIG!$D$5:$D$14,0)),M1324))),""))</f>
        <v/>
      </c>
      <c r="Q1324" s="16" t="str">
        <f aca="false">IF(OR(O1324="",P1324=""),"",O1324/P1324)</f>
        <v/>
      </c>
      <c r="R1324" s="16" t="str">
        <f aca="false">IF(Q1324="","",Q1324*0.0980665)</f>
        <v/>
      </c>
      <c r="S1324" s="16" t="str">
        <f aca="false">IF(Q1324="","",IFERROR(Q1324/(1/(1/INDEX(CONFIG!$I$5:$I$14,MATCH(D1324,CONFIG!$D$5:$D$14,0)))),""))</f>
        <v/>
      </c>
      <c r="T1324" s="13"/>
      <c r="U1324" s="13"/>
      <c r="V1324" s="13"/>
      <c r="W1324" s="13"/>
      <c r="X1324" s="22" t="str">
        <f aca="false">IF(Q1324="","",Q1324^2)</f>
        <v/>
      </c>
      <c r="Y1324" s="22" t="str">
        <f aca="false">IF(AND(C1324&lt;&gt;"",C1324=CERTIFICADO!$E$4,OR(CERTIFICADO!$E$5="",B1324=CERTIFICADO!$E$5)),MAX($Y$4:Y1323)+1,"")</f>
        <v/>
      </c>
    </row>
    <row r="1325" customFormat="false" ht="15" hidden="false" customHeight="false" outlineLevel="0" collapsed="false">
      <c r="A1325" s="11" t="str">
        <f aca="false">IF(C1325="","",ROW()-4)</f>
        <v/>
      </c>
      <c r="B1325" s="12"/>
      <c r="C1325" s="13"/>
      <c r="D1325" s="23" t="str">
        <f aca="false">IF(C1325="","",IFERROR(INDEX(LOTES!$D$5:$D$1004,MATCH(C1325,LOTES!$F$5:$F$1004,0)),"¿Lote?"))</f>
        <v/>
      </c>
      <c r="E1325" s="11" t="str">
        <f aca="false">IF(C1325="","",IFERROR(INDEX(LOTES!$C$5:$C$1004,MATCH(C1325,LOTES!$F$5:$F$1004,0)),""))</f>
        <v/>
      </c>
      <c r="F1325" s="24" t="str">
        <f aca="false">IF(C1325="","",IFERROR(INDEX(LOTES!$B$5:$B$1004,MATCH(C1325,LOTES!$F$5:$F$1004,0)),""))</f>
        <v/>
      </c>
      <c r="G1325" s="15" t="str">
        <f aca="false">IF(OR(B1325="",F1325=""),"",B1325-F1325)</f>
        <v/>
      </c>
      <c r="H1325" s="13"/>
      <c r="I1325" s="13"/>
      <c r="J1325" s="13"/>
      <c r="K1325" s="25"/>
      <c r="L1325" s="25"/>
      <c r="M1325" s="25"/>
      <c r="N1325" s="25"/>
      <c r="O1325" s="26"/>
      <c r="P1325" s="16" t="str">
        <f aca="false">IF(O1325="","",IFERROR(1/(1/(IF(K1325="",INDEX(CONFIG!$F$5:$F$14,MATCH(D1325,CONFIG!$D$5:$D$14,0)),K1325)*IF(M1325="",INDEX(CONFIG!$H$5:$H$14,MATCH(D1325,CONFIG!$D$5:$D$14,0)),M1325))),""))</f>
        <v/>
      </c>
      <c r="Q1325" s="16" t="str">
        <f aca="false">IF(OR(O1325="",P1325=""),"",O1325/P1325)</f>
        <v/>
      </c>
      <c r="R1325" s="16" t="str">
        <f aca="false">IF(Q1325="","",Q1325*0.0980665)</f>
        <v/>
      </c>
      <c r="S1325" s="16" t="str">
        <f aca="false">IF(Q1325="","",IFERROR(Q1325/(1/(1/INDEX(CONFIG!$I$5:$I$14,MATCH(D1325,CONFIG!$D$5:$D$14,0)))),""))</f>
        <v/>
      </c>
      <c r="T1325" s="13"/>
      <c r="U1325" s="13"/>
      <c r="V1325" s="13"/>
      <c r="W1325" s="13"/>
      <c r="X1325" s="22" t="str">
        <f aca="false">IF(Q1325="","",Q1325^2)</f>
        <v/>
      </c>
      <c r="Y1325" s="22" t="str">
        <f aca="false">IF(AND(C1325&lt;&gt;"",C1325=CERTIFICADO!$E$4,OR(CERTIFICADO!$E$5="",B1325=CERTIFICADO!$E$5)),MAX($Y$4:Y1324)+1,"")</f>
        <v/>
      </c>
    </row>
    <row r="1326" customFormat="false" ht="15" hidden="false" customHeight="false" outlineLevel="0" collapsed="false">
      <c r="A1326" s="11" t="str">
        <f aca="false">IF(C1326="","",ROW()-4)</f>
        <v/>
      </c>
      <c r="B1326" s="12"/>
      <c r="C1326" s="13"/>
      <c r="D1326" s="23" t="str">
        <f aca="false">IF(C1326="","",IFERROR(INDEX(LOTES!$D$5:$D$1004,MATCH(C1326,LOTES!$F$5:$F$1004,0)),"¿Lote?"))</f>
        <v/>
      </c>
      <c r="E1326" s="11" t="str">
        <f aca="false">IF(C1326="","",IFERROR(INDEX(LOTES!$C$5:$C$1004,MATCH(C1326,LOTES!$F$5:$F$1004,0)),""))</f>
        <v/>
      </c>
      <c r="F1326" s="24" t="str">
        <f aca="false">IF(C1326="","",IFERROR(INDEX(LOTES!$B$5:$B$1004,MATCH(C1326,LOTES!$F$5:$F$1004,0)),""))</f>
        <v/>
      </c>
      <c r="G1326" s="15" t="str">
        <f aca="false">IF(OR(B1326="",F1326=""),"",B1326-F1326)</f>
        <v/>
      </c>
      <c r="H1326" s="13"/>
      <c r="I1326" s="13"/>
      <c r="J1326" s="13"/>
      <c r="K1326" s="25"/>
      <c r="L1326" s="25"/>
      <c r="M1326" s="25"/>
      <c r="N1326" s="25"/>
      <c r="O1326" s="26"/>
      <c r="P1326" s="16" t="str">
        <f aca="false">IF(O1326="","",IFERROR(1/(1/(IF(K1326="",INDEX(CONFIG!$F$5:$F$14,MATCH(D1326,CONFIG!$D$5:$D$14,0)),K1326)*IF(M1326="",INDEX(CONFIG!$H$5:$H$14,MATCH(D1326,CONFIG!$D$5:$D$14,0)),M1326))),""))</f>
        <v/>
      </c>
      <c r="Q1326" s="16" t="str">
        <f aca="false">IF(OR(O1326="",P1326=""),"",O1326/P1326)</f>
        <v/>
      </c>
      <c r="R1326" s="16" t="str">
        <f aca="false">IF(Q1326="","",Q1326*0.0980665)</f>
        <v/>
      </c>
      <c r="S1326" s="16" t="str">
        <f aca="false">IF(Q1326="","",IFERROR(Q1326/(1/(1/INDEX(CONFIG!$I$5:$I$14,MATCH(D1326,CONFIG!$D$5:$D$14,0)))),""))</f>
        <v/>
      </c>
      <c r="T1326" s="13"/>
      <c r="U1326" s="13"/>
      <c r="V1326" s="13"/>
      <c r="W1326" s="13"/>
      <c r="X1326" s="22" t="str">
        <f aca="false">IF(Q1326="","",Q1326^2)</f>
        <v/>
      </c>
      <c r="Y1326" s="22" t="str">
        <f aca="false">IF(AND(C1326&lt;&gt;"",C1326=CERTIFICADO!$E$4,OR(CERTIFICADO!$E$5="",B1326=CERTIFICADO!$E$5)),MAX($Y$4:Y1325)+1,"")</f>
        <v/>
      </c>
    </row>
    <row r="1327" customFormat="false" ht="15" hidden="false" customHeight="false" outlineLevel="0" collapsed="false">
      <c r="A1327" s="11" t="str">
        <f aca="false">IF(C1327="","",ROW()-4)</f>
        <v/>
      </c>
      <c r="B1327" s="12"/>
      <c r="C1327" s="13"/>
      <c r="D1327" s="23" t="str">
        <f aca="false">IF(C1327="","",IFERROR(INDEX(LOTES!$D$5:$D$1004,MATCH(C1327,LOTES!$F$5:$F$1004,0)),"¿Lote?"))</f>
        <v/>
      </c>
      <c r="E1327" s="11" t="str">
        <f aca="false">IF(C1327="","",IFERROR(INDEX(LOTES!$C$5:$C$1004,MATCH(C1327,LOTES!$F$5:$F$1004,0)),""))</f>
        <v/>
      </c>
      <c r="F1327" s="24" t="str">
        <f aca="false">IF(C1327="","",IFERROR(INDEX(LOTES!$B$5:$B$1004,MATCH(C1327,LOTES!$F$5:$F$1004,0)),""))</f>
        <v/>
      </c>
      <c r="G1327" s="15" t="str">
        <f aca="false">IF(OR(B1327="",F1327=""),"",B1327-F1327)</f>
        <v/>
      </c>
      <c r="H1327" s="13"/>
      <c r="I1327" s="13"/>
      <c r="J1327" s="13"/>
      <c r="K1327" s="25"/>
      <c r="L1327" s="25"/>
      <c r="M1327" s="25"/>
      <c r="N1327" s="25"/>
      <c r="O1327" s="26"/>
      <c r="P1327" s="16" t="str">
        <f aca="false">IF(O1327="","",IFERROR(1/(1/(IF(K1327="",INDEX(CONFIG!$F$5:$F$14,MATCH(D1327,CONFIG!$D$5:$D$14,0)),K1327)*IF(M1327="",INDEX(CONFIG!$H$5:$H$14,MATCH(D1327,CONFIG!$D$5:$D$14,0)),M1327))),""))</f>
        <v/>
      </c>
      <c r="Q1327" s="16" t="str">
        <f aca="false">IF(OR(O1327="",P1327=""),"",O1327/P1327)</f>
        <v/>
      </c>
      <c r="R1327" s="16" t="str">
        <f aca="false">IF(Q1327="","",Q1327*0.0980665)</f>
        <v/>
      </c>
      <c r="S1327" s="16" t="str">
        <f aca="false">IF(Q1327="","",IFERROR(Q1327/(1/(1/INDEX(CONFIG!$I$5:$I$14,MATCH(D1327,CONFIG!$D$5:$D$14,0)))),""))</f>
        <v/>
      </c>
      <c r="T1327" s="13"/>
      <c r="U1327" s="13"/>
      <c r="V1327" s="13"/>
      <c r="W1327" s="13"/>
      <c r="X1327" s="22" t="str">
        <f aca="false">IF(Q1327="","",Q1327^2)</f>
        <v/>
      </c>
      <c r="Y1327" s="22" t="str">
        <f aca="false">IF(AND(C1327&lt;&gt;"",C1327=CERTIFICADO!$E$4,OR(CERTIFICADO!$E$5="",B1327=CERTIFICADO!$E$5)),MAX($Y$4:Y1326)+1,"")</f>
        <v/>
      </c>
    </row>
    <row r="1328" customFormat="false" ht="15" hidden="false" customHeight="false" outlineLevel="0" collapsed="false">
      <c r="A1328" s="11" t="str">
        <f aca="false">IF(C1328="","",ROW()-4)</f>
        <v/>
      </c>
      <c r="B1328" s="12"/>
      <c r="C1328" s="13"/>
      <c r="D1328" s="23" t="str">
        <f aca="false">IF(C1328="","",IFERROR(INDEX(LOTES!$D$5:$D$1004,MATCH(C1328,LOTES!$F$5:$F$1004,0)),"¿Lote?"))</f>
        <v/>
      </c>
      <c r="E1328" s="11" t="str">
        <f aca="false">IF(C1328="","",IFERROR(INDEX(LOTES!$C$5:$C$1004,MATCH(C1328,LOTES!$F$5:$F$1004,0)),""))</f>
        <v/>
      </c>
      <c r="F1328" s="24" t="str">
        <f aca="false">IF(C1328="","",IFERROR(INDEX(LOTES!$B$5:$B$1004,MATCH(C1328,LOTES!$F$5:$F$1004,0)),""))</f>
        <v/>
      </c>
      <c r="G1328" s="15" t="str">
        <f aca="false">IF(OR(B1328="",F1328=""),"",B1328-F1328)</f>
        <v/>
      </c>
      <c r="H1328" s="13"/>
      <c r="I1328" s="13"/>
      <c r="J1328" s="13"/>
      <c r="K1328" s="25"/>
      <c r="L1328" s="25"/>
      <c r="M1328" s="25"/>
      <c r="N1328" s="25"/>
      <c r="O1328" s="26"/>
      <c r="P1328" s="16" t="str">
        <f aca="false">IF(O1328="","",IFERROR(1/(1/(IF(K1328="",INDEX(CONFIG!$F$5:$F$14,MATCH(D1328,CONFIG!$D$5:$D$14,0)),K1328)*IF(M1328="",INDEX(CONFIG!$H$5:$H$14,MATCH(D1328,CONFIG!$D$5:$D$14,0)),M1328))),""))</f>
        <v/>
      </c>
      <c r="Q1328" s="16" t="str">
        <f aca="false">IF(OR(O1328="",P1328=""),"",O1328/P1328)</f>
        <v/>
      </c>
      <c r="R1328" s="16" t="str">
        <f aca="false">IF(Q1328="","",Q1328*0.0980665)</f>
        <v/>
      </c>
      <c r="S1328" s="16" t="str">
        <f aca="false">IF(Q1328="","",IFERROR(Q1328/(1/(1/INDEX(CONFIG!$I$5:$I$14,MATCH(D1328,CONFIG!$D$5:$D$14,0)))),""))</f>
        <v/>
      </c>
      <c r="T1328" s="13"/>
      <c r="U1328" s="13"/>
      <c r="V1328" s="13"/>
      <c r="W1328" s="13"/>
      <c r="X1328" s="22" t="str">
        <f aca="false">IF(Q1328="","",Q1328^2)</f>
        <v/>
      </c>
      <c r="Y1328" s="22" t="str">
        <f aca="false">IF(AND(C1328&lt;&gt;"",C1328=CERTIFICADO!$E$4,OR(CERTIFICADO!$E$5="",B1328=CERTIFICADO!$E$5)),MAX($Y$4:Y1327)+1,"")</f>
        <v/>
      </c>
    </row>
    <row r="1329" customFormat="false" ht="15" hidden="false" customHeight="false" outlineLevel="0" collapsed="false">
      <c r="A1329" s="11" t="str">
        <f aca="false">IF(C1329="","",ROW()-4)</f>
        <v/>
      </c>
      <c r="B1329" s="12"/>
      <c r="C1329" s="13"/>
      <c r="D1329" s="23" t="str">
        <f aca="false">IF(C1329="","",IFERROR(INDEX(LOTES!$D$5:$D$1004,MATCH(C1329,LOTES!$F$5:$F$1004,0)),"¿Lote?"))</f>
        <v/>
      </c>
      <c r="E1329" s="11" t="str">
        <f aca="false">IF(C1329="","",IFERROR(INDEX(LOTES!$C$5:$C$1004,MATCH(C1329,LOTES!$F$5:$F$1004,0)),""))</f>
        <v/>
      </c>
      <c r="F1329" s="24" t="str">
        <f aca="false">IF(C1329="","",IFERROR(INDEX(LOTES!$B$5:$B$1004,MATCH(C1329,LOTES!$F$5:$F$1004,0)),""))</f>
        <v/>
      </c>
      <c r="G1329" s="15" t="str">
        <f aca="false">IF(OR(B1329="",F1329=""),"",B1329-F1329)</f>
        <v/>
      </c>
      <c r="H1329" s="13"/>
      <c r="I1329" s="13"/>
      <c r="J1329" s="13"/>
      <c r="K1329" s="25"/>
      <c r="L1329" s="25"/>
      <c r="M1329" s="25"/>
      <c r="N1329" s="25"/>
      <c r="O1329" s="26"/>
      <c r="P1329" s="16" t="str">
        <f aca="false">IF(O1329="","",IFERROR(1/(1/(IF(K1329="",INDEX(CONFIG!$F$5:$F$14,MATCH(D1329,CONFIG!$D$5:$D$14,0)),K1329)*IF(M1329="",INDEX(CONFIG!$H$5:$H$14,MATCH(D1329,CONFIG!$D$5:$D$14,0)),M1329))),""))</f>
        <v/>
      </c>
      <c r="Q1329" s="16" t="str">
        <f aca="false">IF(OR(O1329="",P1329=""),"",O1329/P1329)</f>
        <v/>
      </c>
      <c r="R1329" s="16" t="str">
        <f aca="false">IF(Q1329="","",Q1329*0.0980665)</f>
        <v/>
      </c>
      <c r="S1329" s="16" t="str">
        <f aca="false">IF(Q1329="","",IFERROR(Q1329/(1/(1/INDEX(CONFIG!$I$5:$I$14,MATCH(D1329,CONFIG!$D$5:$D$14,0)))),""))</f>
        <v/>
      </c>
      <c r="T1329" s="13"/>
      <c r="U1329" s="13"/>
      <c r="V1329" s="13"/>
      <c r="W1329" s="13"/>
      <c r="X1329" s="22" t="str">
        <f aca="false">IF(Q1329="","",Q1329^2)</f>
        <v/>
      </c>
      <c r="Y1329" s="22" t="str">
        <f aca="false">IF(AND(C1329&lt;&gt;"",C1329=CERTIFICADO!$E$4,OR(CERTIFICADO!$E$5="",B1329=CERTIFICADO!$E$5)),MAX($Y$4:Y1328)+1,"")</f>
        <v/>
      </c>
    </row>
    <row r="1330" customFormat="false" ht="15" hidden="false" customHeight="false" outlineLevel="0" collapsed="false">
      <c r="A1330" s="11" t="str">
        <f aca="false">IF(C1330="","",ROW()-4)</f>
        <v/>
      </c>
      <c r="B1330" s="12"/>
      <c r="C1330" s="13"/>
      <c r="D1330" s="23" t="str">
        <f aca="false">IF(C1330="","",IFERROR(INDEX(LOTES!$D$5:$D$1004,MATCH(C1330,LOTES!$F$5:$F$1004,0)),"¿Lote?"))</f>
        <v/>
      </c>
      <c r="E1330" s="11" t="str">
        <f aca="false">IF(C1330="","",IFERROR(INDEX(LOTES!$C$5:$C$1004,MATCH(C1330,LOTES!$F$5:$F$1004,0)),""))</f>
        <v/>
      </c>
      <c r="F1330" s="24" t="str">
        <f aca="false">IF(C1330="","",IFERROR(INDEX(LOTES!$B$5:$B$1004,MATCH(C1330,LOTES!$F$5:$F$1004,0)),""))</f>
        <v/>
      </c>
      <c r="G1330" s="15" t="str">
        <f aca="false">IF(OR(B1330="",F1330=""),"",B1330-F1330)</f>
        <v/>
      </c>
      <c r="H1330" s="13"/>
      <c r="I1330" s="13"/>
      <c r="J1330" s="13"/>
      <c r="K1330" s="25"/>
      <c r="L1330" s="25"/>
      <c r="M1330" s="25"/>
      <c r="N1330" s="25"/>
      <c r="O1330" s="26"/>
      <c r="P1330" s="16" t="str">
        <f aca="false">IF(O1330="","",IFERROR(1/(1/(IF(K1330="",INDEX(CONFIG!$F$5:$F$14,MATCH(D1330,CONFIG!$D$5:$D$14,0)),K1330)*IF(M1330="",INDEX(CONFIG!$H$5:$H$14,MATCH(D1330,CONFIG!$D$5:$D$14,0)),M1330))),""))</f>
        <v/>
      </c>
      <c r="Q1330" s="16" t="str">
        <f aca="false">IF(OR(O1330="",P1330=""),"",O1330/P1330)</f>
        <v/>
      </c>
      <c r="R1330" s="16" t="str">
        <f aca="false">IF(Q1330="","",Q1330*0.0980665)</f>
        <v/>
      </c>
      <c r="S1330" s="16" t="str">
        <f aca="false">IF(Q1330="","",IFERROR(Q1330/(1/(1/INDEX(CONFIG!$I$5:$I$14,MATCH(D1330,CONFIG!$D$5:$D$14,0)))),""))</f>
        <v/>
      </c>
      <c r="T1330" s="13"/>
      <c r="U1330" s="13"/>
      <c r="V1330" s="13"/>
      <c r="W1330" s="13"/>
      <c r="X1330" s="22" t="str">
        <f aca="false">IF(Q1330="","",Q1330^2)</f>
        <v/>
      </c>
      <c r="Y1330" s="22" t="str">
        <f aca="false">IF(AND(C1330&lt;&gt;"",C1330=CERTIFICADO!$E$4,OR(CERTIFICADO!$E$5="",B1330=CERTIFICADO!$E$5)),MAX($Y$4:Y1329)+1,"")</f>
        <v/>
      </c>
    </row>
    <row r="1331" customFormat="false" ht="15" hidden="false" customHeight="false" outlineLevel="0" collapsed="false">
      <c r="A1331" s="11" t="str">
        <f aca="false">IF(C1331="","",ROW()-4)</f>
        <v/>
      </c>
      <c r="B1331" s="12"/>
      <c r="C1331" s="13"/>
      <c r="D1331" s="23" t="str">
        <f aca="false">IF(C1331="","",IFERROR(INDEX(LOTES!$D$5:$D$1004,MATCH(C1331,LOTES!$F$5:$F$1004,0)),"¿Lote?"))</f>
        <v/>
      </c>
      <c r="E1331" s="11" t="str">
        <f aca="false">IF(C1331="","",IFERROR(INDEX(LOTES!$C$5:$C$1004,MATCH(C1331,LOTES!$F$5:$F$1004,0)),""))</f>
        <v/>
      </c>
      <c r="F1331" s="24" t="str">
        <f aca="false">IF(C1331="","",IFERROR(INDEX(LOTES!$B$5:$B$1004,MATCH(C1331,LOTES!$F$5:$F$1004,0)),""))</f>
        <v/>
      </c>
      <c r="G1331" s="15" t="str">
        <f aca="false">IF(OR(B1331="",F1331=""),"",B1331-F1331)</f>
        <v/>
      </c>
      <c r="H1331" s="13"/>
      <c r="I1331" s="13"/>
      <c r="J1331" s="13"/>
      <c r="K1331" s="25"/>
      <c r="L1331" s="25"/>
      <c r="M1331" s="25"/>
      <c r="N1331" s="25"/>
      <c r="O1331" s="26"/>
      <c r="P1331" s="16" t="str">
        <f aca="false">IF(O1331="","",IFERROR(1/(1/(IF(K1331="",INDEX(CONFIG!$F$5:$F$14,MATCH(D1331,CONFIG!$D$5:$D$14,0)),K1331)*IF(M1331="",INDEX(CONFIG!$H$5:$H$14,MATCH(D1331,CONFIG!$D$5:$D$14,0)),M1331))),""))</f>
        <v/>
      </c>
      <c r="Q1331" s="16" t="str">
        <f aca="false">IF(OR(O1331="",P1331=""),"",O1331/P1331)</f>
        <v/>
      </c>
      <c r="R1331" s="16" t="str">
        <f aca="false">IF(Q1331="","",Q1331*0.0980665)</f>
        <v/>
      </c>
      <c r="S1331" s="16" t="str">
        <f aca="false">IF(Q1331="","",IFERROR(Q1331/(1/(1/INDEX(CONFIG!$I$5:$I$14,MATCH(D1331,CONFIG!$D$5:$D$14,0)))),""))</f>
        <v/>
      </c>
      <c r="T1331" s="13"/>
      <c r="U1331" s="13"/>
      <c r="V1331" s="13"/>
      <c r="W1331" s="13"/>
      <c r="X1331" s="22" t="str">
        <f aca="false">IF(Q1331="","",Q1331^2)</f>
        <v/>
      </c>
      <c r="Y1331" s="22" t="str">
        <f aca="false">IF(AND(C1331&lt;&gt;"",C1331=CERTIFICADO!$E$4,OR(CERTIFICADO!$E$5="",B1331=CERTIFICADO!$E$5)),MAX($Y$4:Y1330)+1,"")</f>
        <v/>
      </c>
    </row>
    <row r="1332" customFormat="false" ht="15" hidden="false" customHeight="false" outlineLevel="0" collapsed="false">
      <c r="A1332" s="11" t="str">
        <f aca="false">IF(C1332="","",ROW()-4)</f>
        <v/>
      </c>
      <c r="B1332" s="12"/>
      <c r="C1332" s="13"/>
      <c r="D1332" s="23" t="str">
        <f aca="false">IF(C1332="","",IFERROR(INDEX(LOTES!$D$5:$D$1004,MATCH(C1332,LOTES!$F$5:$F$1004,0)),"¿Lote?"))</f>
        <v/>
      </c>
      <c r="E1332" s="11" t="str">
        <f aca="false">IF(C1332="","",IFERROR(INDEX(LOTES!$C$5:$C$1004,MATCH(C1332,LOTES!$F$5:$F$1004,0)),""))</f>
        <v/>
      </c>
      <c r="F1332" s="24" t="str">
        <f aca="false">IF(C1332="","",IFERROR(INDEX(LOTES!$B$5:$B$1004,MATCH(C1332,LOTES!$F$5:$F$1004,0)),""))</f>
        <v/>
      </c>
      <c r="G1332" s="15" t="str">
        <f aca="false">IF(OR(B1332="",F1332=""),"",B1332-F1332)</f>
        <v/>
      </c>
      <c r="H1332" s="13"/>
      <c r="I1332" s="13"/>
      <c r="J1332" s="13"/>
      <c r="K1332" s="25"/>
      <c r="L1332" s="25"/>
      <c r="M1332" s="25"/>
      <c r="N1332" s="25"/>
      <c r="O1332" s="26"/>
      <c r="P1332" s="16" t="str">
        <f aca="false">IF(O1332="","",IFERROR(1/(1/(IF(K1332="",INDEX(CONFIG!$F$5:$F$14,MATCH(D1332,CONFIG!$D$5:$D$14,0)),K1332)*IF(M1332="",INDEX(CONFIG!$H$5:$H$14,MATCH(D1332,CONFIG!$D$5:$D$14,0)),M1332))),""))</f>
        <v/>
      </c>
      <c r="Q1332" s="16" t="str">
        <f aca="false">IF(OR(O1332="",P1332=""),"",O1332/P1332)</f>
        <v/>
      </c>
      <c r="R1332" s="16" t="str">
        <f aca="false">IF(Q1332="","",Q1332*0.0980665)</f>
        <v/>
      </c>
      <c r="S1332" s="16" t="str">
        <f aca="false">IF(Q1332="","",IFERROR(Q1332/(1/(1/INDEX(CONFIG!$I$5:$I$14,MATCH(D1332,CONFIG!$D$5:$D$14,0)))),""))</f>
        <v/>
      </c>
      <c r="T1332" s="13"/>
      <c r="U1332" s="13"/>
      <c r="V1332" s="13"/>
      <c r="W1332" s="13"/>
      <c r="X1332" s="22" t="str">
        <f aca="false">IF(Q1332="","",Q1332^2)</f>
        <v/>
      </c>
      <c r="Y1332" s="22" t="str">
        <f aca="false">IF(AND(C1332&lt;&gt;"",C1332=CERTIFICADO!$E$4,OR(CERTIFICADO!$E$5="",B1332=CERTIFICADO!$E$5)),MAX($Y$4:Y1331)+1,"")</f>
        <v/>
      </c>
    </row>
    <row r="1333" customFormat="false" ht="15" hidden="false" customHeight="false" outlineLevel="0" collapsed="false">
      <c r="A1333" s="11" t="str">
        <f aca="false">IF(C1333="","",ROW()-4)</f>
        <v/>
      </c>
      <c r="B1333" s="12"/>
      <c r="C1333" s="13"/>
      <c r="D1333" s="23" t="str">
        <f aca="false">IF(C1333="","",IFERROR(INDEX(LOTES!$D$5:$D$1004,MATCH(C1333,LOTES!$F$5:$F$1004,0)),"¿Lote?"))</f>
        <v/>
      </c>
      <c r="E1333" s="11" t="str">
        <f aca="false">IF(C1333="","",IFERROR(INDEX(LOTES!$C$5:$C$1004,MATCH(C1333,LOTES!$F$5:$F$1004,0)),""))</f>
        <v/>
      </c>
      <c r="F1333" s="24" t="str">
        <f aca="false">IF(C1333="","",IFERROR(INDEX(LOTES!$B$5:$B$1004,MATCH(C1333,LOTES!$F$5:$F$1004,0)),""))</f>
        <v/>
      </c>
      <c r="G1333" s="15" t="str">
        <f aca="false">IF(OR(B1333="",F1333=""),"",B1333-F1333)</f>
        <v/>
      </c>
      <c r="H1333" s="13"/>
      <c r="I1333" s="13"/>
      <c r="J1333" s="13"/>
      <c r="K1333" s="25"/>
      <c r="L1333" s="25"/>
      <c r="M1333" s="25"/>
      <c r="N1333" s="25"/>
      <c r="O1333" s="26"/>
      <c r="P1333" s="16" t="str">
        <f aca="false">IF(O1333="","",IFERROR(1/(1/(IF(K1333="",INDEX(CONFIG!$F$5:$F$14,MATCH(D1333,CONFIG!$D$5:$D$14,0)),K1333)*IF(M1333="",INDEX(CONFIG!$H$5:$H$14,MATCH(D1333,CONFIG!$D$5:$D$14,0)),M1333))),""))</f>
        <v/>
      </c>
      <c r="Q1333" s="16" t="str">
        <f aca="false">IF(OR(O1333="",P1333=""),"",O1333/P1333)</f>
        <v/>
      </c>
      <c r="R1333" s="16" t="str">
        <f aca="false">IF(Q1333="","",Q1333*0.0980665)</f>
        <v/>
      </c>
      <c r="S1333" s="16" t="str">
        <f aca="false">IF(Q1333="","",IFERROR(Q1333/(1/(1/INDEX(CONFIG!$I$5:$I$14,MATCH(D1333,CONFIG!$D$5:$D$14,0)))),""))</f>
        <v/>
      </c>
      <c r="T1333" s="13"/>
      <c r="U1333" s="13"/>
      <c r="V1333" s="13"/>
      <c r="W1333" s="13"/>
      <c r="X1333" s="22" t="str">
        <f aca="false">IF(Q1333="","",Q1333^2)</f>
        <v/>
      </c>
      <c r="Y1333" s="22" t="str">
        <f aca="false">IF(AND(C1333&lt;&gt;"",C1333=CERTIFICADO!$E$4,OR(CERTIFICADO!$E$5="",B1333=CERTIFICADO!$E$5)),MAX($Y$4:Y1332)+1,"")</f>
        <v/>
      </c>
    </row>
    <row r="1334" customFormat="false" ht="15" hidden="false" customHeight="false" outlineLevel="0" collapsed="false">
      <c r="A1334" s="11" t="str">
        <f aca="false">IF(C1334="","",ROW()-4)</f>
        <v/>
      </c>
      <c r="B1334" s="12"/>
      <c r="C1334" s="13"/>
      <c r="D1334" s="23" t="str">
        <f aca="false">IF(C1334="","",IFERROR(INDEX(LOTES!$D$5:$D$1004,MATCH(C1334,LOTES!$F$5:$F$1004,0)),"¿Lote?"))</f>
        <v/>
      </c>
      <c r="E1334" s="11" t="str">
        <f aca="false">IF(C1334="","",IFERROR(INDEX(LOTES!$C$5:$C$1004,MATCH(C1334,LOTES!$F$5:$F$1004,0)),""))</f>
        <v/>
      </c>
      <c r="F1334" s="24" t="str">
        <f aca="false">IF(C1334="","",IFERROR(INDEX(LOTES!$B$5:$B$1004,MATCH(C1334,LOTES!$F$5:$F$1004,0)),""))</f>
        <v/>
      </c>
      <c r="G1334" s="15" t="str">
        <f aca="false">IF(OR(B1334="",F1334=""),"",B1334-F1334)</f>
        <v/>
      </c>
      <c r="H1334" s="13"/>
      <c r="I1334" s="13"/>
      <c r="J1334" s="13"/>
      <c r="K1334" s="25"/>
      <c r="L1334" s="25"/>
      <c r="M1334" s="25"/>
      <c r="N1334" s="25"/>
      <c r="O1334" s="26"/>
      <c r="P1334" s="16" t="str">
        <f aca="false">IF(O1334="","",IFERROR(1/(1/(IF(K1334="",INDEX(CONFIG!$F$5:$F$14,MATCH(D1334,CONFIG!$D$5:$D$14,0)),K1334)*IF(M1334="",INDEX(CONFIG!$H$5:$H$14,MATCH(D1334,CONFIG!$D$5:$D$14,0)),M1334))),""))</f>
        <v/>
      </c>
      <c r="Q1334" s="16" t="str">
        <f aca="false">IF(OR(O1334="",P1334=""),"",O1334/P1334)</f>
        <v/>
      </c>
      <c r="R1334" s="16" t="str">
        <f aca="false">IF(Q1334="","",Q1334*0.0980665)</f>
        <v/>
      </c>
      <c r="S1334" s="16" t="str">
        <f aca="false">IF(Q1334="","",IFERROR(Q1334/(1/(1/INDEX(CONFIG!$I$5:$I$14,MATCH(D1334,CONFIG!$D$5:$D$14,0)))),""))</f>
        <v/>
      </c>
      <c r="T1334" s="13"/>
      <c r="U1334" s="13"/>
      <c r="V1334" s="13"/>
      <c r="W1334" s="13"/>
      <c r="X1334" s="22" t="str">
        <f aca="false">IF(Q1334="","",Q1334^2)</f>
        <v/>
      </c>
      <c r="Y1334" s="22" t="str">
        <f aca="false">IF(AND(C1334&lt;&gt;"",C1334=CERTIFICADO!$E$4,OR(CERTIFICADO!$E$5="",B1334=CERTIFICADO!$E$5)),MAX($Y$4:Y1333)+1,"")</f>
        <v/>
      </c>
    </row>
    <row r="1335" customFormat="false" ht="15" hidden="false" customHeight="false" outlineLevel="0" collapsed="false">
      <c r="A1335" s="11" t="str">
        <f aca="false">IF(C1335="","",ROW()-4)</f>
        <v/>
      </c>
      <c r="B1335" s="12"/>
      <c r="C1335" s="13"/>
      <c r="D1335" s="23" t="str">
        <f aca="false">IF(C1335="","",IFERROR(INDEX(LOTES!$D$5:$D$1004,MATCH(C1335,LOTES!$F$5:$F$1004,0)),"¿Lote?"))</f>
        <v/>
      </c>
      <c r="E1335" s="11" t="str">
        <f aca="false">IF(C1335="","",IFERROR(INDEX(LOTES!$C$5:$C$1004,MATCH(C1335,LOTES!$F$5:$F$1004,0)),""))</f>
        <v/>
      </c>
      <c r="F1335" s="24" t="str">
        <f aca="false">IF(C1335="","",IFERROR(INDEX(LOTES!$B$5:$B$1004,MATCH(C1335,LOTES!$F$5:$F$1004,0)),""))</f>
        <v/>
      </c>
      <c r="G1335" s="15" t="str">
        <f aca="false">IF(OR(B1335="",F1335=""),"",B1335-F1335)</f>
        <v/>
      </c>
      <c r="H1335" s="13"/>
      <c r="I1335" s="13"/>
      <c r="J1335" s="13"/>
      <c r="K1335" s="25"/>
      <c r="L1335" s="25"/>
      <c r="M1335" s="25"/>
      <c r="N1335" s="25"/>
      <c r="O1335" s="26"/>
      <c r="P1335" s="16" t="str">
        <f aca="false">IF(O1335="","",IFERROR(1/(1/(IF(K1335="",INDEX(CONFIG!$F$5:$F$14,MATCH(D1335,CONFIG!$D$5:$D$14,0)),K1335)*IF(M1335="",INDEX(CONFIG!$H$5:$H$14,MATCH(D1335,CONFIG!$D$5:$D$14,0)),M1335))),""))</f>
        <v/>
      </c>
      <c r="Q1335" s="16" t="str">
        <f aca="false">IF(OR(O1335="",P1335=""),"",O1335/P1335)</f>
        <v/>
      </c>
      <c r="R1335" s="16" t="str">
        <f aca="false">IF(Q1335="","",Q1335*0.0980665)</f>
        <v/>
      </c>
      <c r="S1335" s="16" t="str">
        <f aca="false">IF(Q1335="","",IFERROR(Q1335/(1/(1/INDEX(CONFIG!$I$5:$I$14,MATCH(D1335,CONFIG!$D$5:$D$14,0)))),""))</f>
        <v/>
      </c>
      <c r="T1335" s="13"/>
      <c r="U1335" s="13"/>
      <c r="V1335" s="13"/>
      <c r="W1335" s="13"/>
      <c r="X1335" s="22" t="str">
        <f aca="false">IF(Q1335="","",Q1335^2)</f>
        <v/>
      </c>
      <c r="Y1335" s="22" t="str">
        <f aca="false">IF(AND(C1335&lt;&gt;"",C1335=CERTIFICADO!$E$4,OR(CERTIFICADO!$E$5="",B1335=CERTIFICADO!$E$5)),MAX($Y$4:Y1334)+1,"")</f>
        <v/>
      </c>
    </row>
    <row r="1336" customFormat="false" ht="15" hidden="false" customHeight="false" outlineLevel="0" collapsed="false">
      <c r="A1336" s="11" t="str">
        <f aca="false">IF(C1336="","",ROW()-4)</f>
        <v/>
      </c>
      <c r="B1336" s="12"/>
      <c r="C1336" s="13"/>
      <c r="D1336" s="23" t="str">
        <f aca="false">IF(C1336="","",IFERROR(INDEX(LOTES!$D$5:$D$1004,MATCH(C1336,LOTES!$F$5:$F$1004,0)),"¿Lote?"))</f>
        <v/>
      </c>
      <c r="E1336" s="11" t="str">
        <f aca="false">IF(C1336="","",IFERROR(INDEX(LOTES!$C$5:$C$1004,MATCH(C1336,LOTES!$F$5:$F$1004,0)),""))</f>
        <v/>
      </c>
      <c r="F1336" s="24" t="str">
        <f aca="false">IF(C1336="","",IFERROR(INDEX(LOTES!$B$5:$B$1004,MATCH(C1336,LOTES!$F$5:$F$1004,0)),""))</f>
        <v/>
      </c>
      <c r="G1336" s="15" t="str">
        <f aca="false">IF(OR(B1336="",F1336=""),"",B1336-F1336)</f>
        <v/>
      </c>
      <c r="H1336" s="13"/>
      <c r="I1336" s="13"/>
      <c r="J1336" s="13"/>
      <c r="K1336" s="25"/>
      <c r="L1336" s="25"/>
      <c r="M1336" s="25"/>
      <c r="N1336" s="25"/>
      <c r="O1336" s="26"/>
      <c r="P1336" s="16" t="str">
        <f aca="false">IF(O1336="","",IFERROR(1/(1/(IF(K1336="",INDEX(CONFIG!$F$5:$F$14,MATCH(D1336,CONFIG!$D$5:$D$14,0)),K1336)*IF(M1336="",INDEX(CONFIG!$H$5:$H$14,MATCH(D1336,CONFIG!$D$5:$D$14,0)),M1336))),""))</f>
        <v/>
      </c>
      <c r="Q1336" s="16" t="str">
        <f aca="false">IF(OR(O1336="",P1336=""),"",O1336/P1336)</f>
        <v/>
      </c>
      <c r="R1336" s="16" t="str">
        <f aca="false">IF(Q1336="","",Q1336*0.0980665)</f>
        <v/>
      </c>
      <c r="S1336" s="16" t="str">
        <f aca="false">IF(Q1336="","",IFERROR(Q1336/(1/(1/INDEX(CONFIG!$I$5:$I$14,MATCH(D1336,CONFIG!$D$5:$D$14,0)))),""))</f>
        <v/>
      </c>
      <c r="T1336" s="13"/>
      <c r="U1336" s="13"/>
      <c r="V1336" s="13"/>
      <c r="W1336" s="13"/>
      <c r="X1336" s="22" t="str">
        <f aca="false">IF(Q1336="","",Q1336^2)</f>
        <v/>
      </c>
      <c r="Y1336" s="22" t="str">
        <f aca="false">IF(AND(C1336&lt;&gt;"",C1336=CERTIFICADO!$E$4,OR(CERTIFICADO!$E$5="",B1336=CERTIFICADO!$E$5)),MAX($Y$4:Y1335)+1,"")</f>
        <v/>
      </c>
    </row>
    <row r="1337" customFormat="false" ht="15" hidden="false" customHeight="false" outlineLevel="0" collapsed="false">
      <c r="A1337" s="11" t="str">
        <f aca="false">IF(C1337="","",ROW()-4)</f>
        <v/>
      </c>
      <c r="B1337" s="12"/>
      <c r="C1337" s="13"/>
      <c r="D1337" s="23" t="str">
        <f aca="false">IF(C1337="","",IFERROR(INDEX(LOTES!$D$5:$D$1004,MATCH(C1337,LOTES!$F$5:$F$1004,0)),"¿Lote?"))</f>
        <v/>
      </c>
      <c r="E1337" s="11" t="str">
        <f aca="false">IF(C1337="","",IFERROR(INDEX(LOTES!$C$5:$C$1004,MATCH(C1337,LOTES!$F$5:$F$1004,0)),""))</f>
        <v/>
      </c>
      <c r="F1337" s="24" t="str">
        <f aca="false">IF(C1337="","",IFERROR(INDEX(LOTES!$B$5:$B$1004,MATCH(C1337,LOTES!$F$5:$F$1004,0)),""))</f>
        <v/>
      </c>
      <c r="G1337" s="15" t="str">
        <f aca="false">IF(OR(B1337="",F1337=""),"",B1337-F1337)</f>
        <v/>
      </c>
      <c r="H1337" s="13"/>
      <c r="I1337" s="13"/>
      <c r="J1337" s="13"/>
      <c r="K1337" s="25"/>
      <c r="L1337" s="25"/>
      <c r="M1337" s="25"/>
      <c r="N1337" s="25"/>
      <c r="O1337" s="26"/>
      <c r="P1337" s="16" t="str">
        <f aca="false">IF(O1337="","",IFERROR(1/(1/(IF(K1337="",INDEX(CONFIG!$F$5:$F$14,MATCH(D1337,CONFIG!$D$5:$D$14,0)),K1337)*IF(M1337="",INDEX(CONFIG!$H$5:$H$14,MATCH(D1337,CONFIG!$D$5:$D$14,0)),M1337))),""))</f>
        <v/>
      </c>
      <c r="Q1337" s="16" t="str">
        <f aca="false">IF(OR(O1337="",P1337=""),"",O1337/P1337)</f>
        <v/>
      </c>
      <c r="R1337" s="16" t="str">
        <f aca="false">IF(Q1337="","",Q1337*0.0980665)</f>
        <v/>
      </c>
      <c r="S1337" s="16" t="str">
        <f aca="false">IF(Q1337="","",IFERROR(Q1337/(1/(1/INDEX(CONFIG!$I$5:$I$14,MATCH(D1337,CONFIG!$D$5:$D$14,0)))),""))</f>
        <v/>
      </c>
      <c r="T1337" s="13"/>
      <c r="U1337" s="13"/>
      <c r="V1337" s="13"/>
      <c r="W1337" s="13"/>
      <c r="X1337" s="22" t="str">
        <f aca="false">IF(Q1337="","",Q1337^2)</f>
        <v/>
      </c>
      <c r="Y1337" s="22" t="str">
        <f aca="false">IF(AND(C1337&lt;&gt;"",C1337=CERTIFICADO!$E$4,OR(CERTIFICADO!$E$5="",B1337=CERTIFICADO!$E$5)),MAX($Y$4:Y1336)+1,"")</f>
        <v/>
      </c>
    </row>
    <row r="1338" customFormat="false" ht="15" hidden="false" customHeight="false" outlineLevel="0" collapsed="false">
      <c r="A1338" s="11" t="str">
        <f aca="false">IF(C1338="","",ROW()-4)</f>
        <v/>
      </c>
      <c r="B1338" s="12"/>
      <c r="C1338" s="13"/>
      <c r="D1338" s="23" t="str">
        <f aca="false">IF(C1338="","",IFERROR(INDEX(LOTES!$D$5:$D$1004,MATCH(C1338,LOTES!$F$5:$F$1004,0)),"¿Lote?"))</f>
        <v/>
      </c>
      <c r="E1338" s="11" t="str">
        <f aca="false">IF(C1338="","",IFERROR(INDEX(LOTES!$C$5:$C$1004,MATCH(C1338,LOTES!$F$5:$F$1004,0)),""))</f>
        <v/>
      </c>
      <c r="F1338" s="24" t="str">
        <f aca="false">IF(C1338="","",IFERROR(INDEX(LOTES!$B$5:$B$1004,MATCH(C1338,LOTES!$F$5:$F$1004,0)),""))</f>
        <v/>
      </c>
      <c r="G1338" s="15" t="str">
        <f aca="false">IF(OR(B1338="",F1338=""),"",B1338-F1338)</f>
        <v/>
      </c>
      <c r="H1338" s="13"/>
      <c r="I1338" s="13"/>
      <c r="J1338" s="13"/>
      <c r="K1338" s="25"/>
      <c r="L1338" s="25"/>
      <c r="M1338" s="25"/>
      <c r="N1338" s="25"/>
      <c r="O1338" s="26"/>
      <c r="P1338" s="16" t="str">
        <f aca="false">IF(O1338="","",IFERROR(1/(1/(IF(K1338="",INDEX(CONFIG!$F$5:$F$14,MATCH(D1338,CONFIG!$D$5:$D$14,0)),K1338)*IF(M1338="",INDEX(CONFIG!$H$5:$H$14,MATCH(D1338,CONFIG!$D$5:$D$14,0)),M1338))),""))</f>
        <v/>
      </c>
      <c r="Q1338" s="16" t="str">
        <f aca="false">IF(OR(O1338="",P1338=""),"",O1338/P1338)</f>
        <v/>
      </c>
      <c r="R1338" s="16" t="str">
        <f aca="false">IF(Q1338="","",Q1338*0.0980665)</f>
        <v/>
      </c>
      <c r="S1338" s="16" t="str">
        <f aca="false">IF(Q1338="","",IFERROR(Q1338/(1/(1/INDEX(CONFIG!$I$5:$I$14,MATCH(D1338,CONFIG!$D$5:$D$14,0)))),""))</f>
        <v/>
      </c>
      <c r="T1338" s="13"/>
      <c r="U1338" s="13"/>
      <c r="V1338" s="13"/>
      <c r="W1338" s="13"/>
      <c r="X1338" s="22" t="str">
        <f aca="false">IF(Q1338="","",Q1338^2)</f>
        <v/>
      </c>
      <c r="Y1338" s="22" t="str">
        <f aca="false">IF(AND(C1338&lt;&gt;"",C1338=CERTIFICADO!$E$4,OR(CERTIFICADO!$E$5="",B1338=CERTIFICADO!$E$5)),MAX($Y$4:Y1337)+1,"")</f>
        <v/>
      </c>
    </row>
    <row r="1339" customFormat="false" ht="15" hidden="false" customHeight="false" outlineLevel="0" collapsed="false">
      <c r="A1339" s="11" t="str">
        <f aca="false">IF(C1339="","",ROW()-4)</f>
        <v/>
      </c>
      <c r="B1339" s="12"/>
      <c r="C1339" s="13"/>
      <c r="D1339" s="23" t="str">
        <f aca="false">IF(C1339="","",IFERROR(INDEX(LOTES!$D$5:$D$1004,MATCH(C1339,LOTES!$F$5:$F$1004,0)),"¿Lote?"))</f>
        <v/>
      </c>
      <c r="E1339" s="11" t="str">
        <f aca="false">IF(C1339="","",IFERROR(INDEX(LOTES!$C$5:$C$1004,MATCH(C1339,LOTES!$F$5:$F$1004,0)),""))</f>
        <v/>
      </c>
      <c r="F1339" s="24" t="str">
        <f aca="false">IF(C1339="","",IFERROR(INDEX(LOTES!$B$5:$B$1004,MATCH(C1339,LOTES!$F$5:$F$1004,0)),""))</f>
        <v/>
      </c>
      <c r="G1339" s="15" t="str">
        <f aca="false">IF(OR(B1339="",F1339=""),"",B1339-F1339)</f>
        <v/>
      </c>
      <c r="H1339" s="13"/>
      <c r="I1339" s="13"/>
      <c r="J1339" s="13"/>
      <c r="K1339" s="25"/>
      <c r="L1339" s="25"/>
      <c r="M1339" s="25"/>
      <c r="N1339" s="25"/>
      <c r="O1339" s="26"/>
      <c r="P1339" s="16" t="str">
        <f aca="false">IF(O1339="","",IFERROR(1/(1/(IF(K1339="",INDEX(CONFIG!$F$5:$F$14,MATCH(D1339,CONFIG!$D$5:$D$14,0)),K1339)*IF(M1339="",INDEX(CONFIG!$H$5:$H$14,MATCH(D1339,CONFIG!$D$5:$D$14,0)),M1339))),""))</f>
        <v/>
      </c>
      <c r="Q1339" s="16" t="str">
        <f aca="false">IF(OR(O1339="",P1339=""),"",O1339/P1339)</f>
        <v/>
      </c>
      <c r="R1339" s="16" t="str">
        <f aca="false">IF(Q1339="","",Q1339*0.0980665)</f>
        <v/>
      </c>
      <c r="S1339" s="16" t="str">
        <f aca="false">IF(Q1339="","",IFERROR(Q1339/(1/(1/INDEX(CONFIG!$I$5:$I$14,MATCH(D1339,CONFIG!$D$5:$D$14,0)))),""))</f>
        <v/>
      </c>
      <c r="T1339" s="13"/>
      <c r="U1339" s="13"/>
      <c r="V1339" s="13"/>
      <c r="W1339" s="13"/>
      <c r="X1339" s="22" t="str">
        <f aca="false">IF(Q1339="","",Q1339^2)</f>
        <v/>
      </c>
      <c r="Y1339" s="22" t="str">
        <f aca="false">IF(AND(C1339&lt;&gt;"",C1339=CERTIFICADO!$E$4,OR(CERTIFICADO!$E$5="",B1339=CERTIFICADO!$E$5)),MAX($Y$4:Y1338)+1,"")</f>
        <v/>
      </c>
    </row>
    <row r="1340" customFormat="false" ht="15" hidden="false" customHeight="false" outlineLevel="0" collapsed="false">
      <c r="A1340" s="11" t="str">
        <f aca="false">IF(C1340="","",ROW()-4)</f>
        <v/>
      </c>
      <c r="B1340" s="12"/>
      <c r="C1340" s="13"/>
      <c r="D1340" s="23" t="str">
        <f aca="false">IF(C1340="","",IFERROR(INDEX(LOTES!$D$5:$D$1004,MATCH(C1340,LOTES!$F$5:$F$1004,0)),"¿Lote?"))</f>
        <v/>
      </c>
      <c r="E1340" s="11" t="str">
        <f aca="false">IF(C1340="","",IFERROR(INDEX(LOTES!$C$5:$C$1004,MATCH(C1340,LOTES!$F$5:$F$1004,0)),""))</f>
        <v/>
      </c>
      <c r="F1340" s="24" t="str">
        <f aca="false">IF(C1340="","",IFERROR(INDEX(LOTES!$B$5:$B$1004,MATCH(C1340,LOTES!$F$5:$F$1004,0)),""))</f>
        <v/>
      </c>
      <c r="G1340" s="15" t="str">
        <f aca="false">IF(OR(B1340="",F1340=""),"",B1340-F1340)</f>
        <v/>
      </c>
      <c r="H1340" s="13"/>
      <c r="I1340" s="13"/>
      <c r="J1340" s="13"/>
      <c r="K1340" s="25"/>
      <c r="L1340" s="25"/>
      <c r="M1340" s="25"/>
      <c r="N1340" s="25"/>
      <c r="O1340" s="26"/>
      <c r="P1340" s="16" t="str">
        <f aca="false">IF(O1340="","",IFERROR(1/(1/(IF(K1340="",INDEX(CONFIG!$F$5:$F$14,MATCH(D1340,CONFIG!$D$5:$D$14,0)),K1340)*IF(M1340="",INDEX(CONFIG!$H$5:$H$14,MATCH(D1340,CONFIG!$D$5:$D$14,0)),M1340))),""))</f>
        <v/>
      </c>
      <c r="Q1340" s="16" t="str">
        <f aca="false">IF(OR(O1340="",P1340=""),"",O1340/P1340)</f>
        <v/>
      </c>
      <c r="R1340" s="16" t="str">
        <f aca="false">IF(Q1340="","",Q1340*0.0980665)</f>
        <v/>
      </c>
      <c r="S1340" s="16" t="str">
        <f aca="false">IF(Q1340="","",IFERROR(Q1340/(1/(1/INDEX(CONFIG!$I$5:$I$14,MATCH(D1340,CONFIG!$D$5:$D$14,0)))),""))</f>
        <v/>
      </c>
      <c r="T1340" s="13"/>
      <c r="U1340" s="13"/>
      <c r="V1340" s="13"/>
      <c r="W1340" s="13"/>
      <c r="X1340" s="22" t="str">
        <f aca="false">IF(Q1340="","",Q1340^2)</f>
        <v/>
      </c>
      <c r="Y1340" s="22" t="str">
        <f aca="false">IF(AND(C1340&lt;&gt;"",C1340=CERTIFICADO!$E$4,OR(CERTIFICADO!$E$5="",B1340=CERTIFICADO!$E$5)),MAX($Y$4:Y1339)+1,"")</f>
        <v/>
      </c>
    </row>
    <row r="1341" customFormat="false" ht="15" hidden="false" customHeight="false" outlineLevel="0" collapsed="false">
      <c r="A1341" s="11" t="str">
        <f aca="false">IF(C1341="","",ROW()-4)</f>
        <v/>
      </c>
      <c r="B1341" s="12"/>
      <c r="C1341" s="13"/>
      <c r="D1341" s="23" t="str">
        <f aca="false">IF(C1341="","",IFERROR(INDEX(LOTES!$D$5:$D$1004,MATCH(C1341,LOTES!$F$5:$F$1004,0)),"¿Lote?"))</f>
        <v/>
      </c>
      <c r="E1341" s="11" t="str">
        <f aca="false">IF(C1341="","",IFERROR(INDEX(LOTES!$C$5:$C$1004,MATCH(C1341,LOTES!$F$5:$F$1004,0)),""))</f>
        <v/>
      </c>
      <c r="F1341" s="24" t="str">
        <f aca="false">IF(C1341="","",IFERROR(INDEX(LOTES!$B$5:$B$1004,MATCH(C1341,LOTES!$F$5:$F$1004,0)),""))</f>
        <v/>
      </c>
      <c r="G1341" s="15" t="str">
        <f aca="false">IF(OR(B1341="",F1341=""),"",B1341-F1341)</f>
        <v/>
      </c>
      <c r="H1341" s="13"/>
      <c r="I1341" s="13"/>
      <c r="J1341" s="13"/>
      <c r="K1341" s="25"/>
      <c r="L1341" s="25"/>
      <c r="M1341" s="25"/>
      <c r="N1341" s="25"/>
      <c r="O1341" s="26"/>
      <c r="P1341" s="16" t="str">
        <f aca="false">IF(O1341="","",IFERROR(1/(1/(IF(K1341="",INDEX(CONFIG!$F$5:$F$14,MATCH(D1341,CONFIG!$D$5:$D$14,0)),K1341)*IF(M1341="",INDEX(CONFIG!$H$5:$H$14,MATCH(D1341,CONFIG!$D$5:$D$14,0)),M1341))),""))</f>
        <v/>
      </c>
      <c r="Q1341" s="16" t="str">
        <f aca="false">IF(OR(O1341="",P1341=""),"",O1341/P1341)</f>
        <v/>
      </c>
      <c r="R1341" s="16" t="str">
        <f aca="false">IF(Q1341="","",Q1341*0.0980665)</f>
        <v/>
      </c>
      <c r="S1341" s="16" t="str">
        <f aca="false">IF(Q1341="","",IFERROR(Q1341/(1/(1/INDEX(CONFIG!$I$5:$I$14,MATCH(D1341,CONFIG!$D$5:$D$14,0)))),""))</f>
        <v/>
      </c>
      <c r="T1341" s="13"/>
      <c r="U1341" s="13"/>
      <c r="V1341" s="13"/>
      <c r="W1341" s="13"/>
      <c r="X1341" s="22" t="str">
        <f aca="false">IF(Q1341="","",Q1341^2)</f>
        <v/>
      </c>
      <c r="Y1341" s="22" t="str">
        <f aca="false">IF(AND(C1341&lt;&gt;"",C1341=CERTIFICADO!$E$4,OR(CERTIFICADO!$E$5="",B1341=CERTIFICADO!$E$5)),MAX($Y$4:Y1340)+1,"")</f>
        <v/>
      </c>
    </row>
    <row r="1342" customFormat="false" ht="15" hidden="false" customHeight="false" outlineLevel="0" collapsed="false">
      <c r="A1342" s="11" t="str">
        <f aca="false">IF(C1342="","",ROW()-4)</f>
        <v/>
      </c>
      <c r="B1342" s="12"/>
      <c r="C1342" s="13"/>
      <c r="D1342" s="23" t="str">
        <f aca="false">IF(C1342="","",IFERROR(INDEX(LOTES!$D$5:$D$1004,MATCH(C1342,LOTES!$F$5:$F$1004,0)),"¿Lote?"))</f>
        <v/>
      </c>
      <c r="E1342" s="11" t="str">
        <f aca="false">IF(C1342="","",IFERROR(INDEX(LOTES!$C$5:$C$1004,MATCH(C1342,LOTES!$F$5:$F$1004,0)),""))</f>
        <v/>
      </c>
      <c r="F1342" s="24" t="str">
        <f aca="false">IF(C1342="","",IFERROR(INDEX(LOTES!$B$5:$B$1004,MATCH(C1342,LOTES!$F$5:$F$1004,0)),""))</f>
        <v/>
      </c>
      <c r="G1342" s="15" t="str">
        <f aca="false">IF(OR(B1342="",F1342=""),"",B1342-F1342)</f>
        <v/>
      </c>
      <c r="H1342" s="13"/>
      <c r="I1342" s="13"/>
      <c r="J1342" s="13"/>
      <c r="K1342" s="25"/>
      <c r="L1342" s="25"/>
      <c r="M1342" s="25"/>
      <c r="N1342" s="25"/>
      <c r="O1342" s="26"/>
      <c r="P1342" s="16" t="str">
        <f aca="false">IF(O1342="","",IFERROR(1/(1/(IF(K1342="",INDEX(CONFIG!$F$5:$F$14,MATCH(D1342,CONFIG!$D$5:$D$14,0)),K1342)*IF(M1342="",INDEX(CONFIG!$H$5:$H$14,MATCH(D1342,CONFIG!$D$5:$D$14,0)),M1342))),""))</f>
        <v/>
      </c>
      <c r="Q1342" s="16" t="str">
        <f aca="false">IF(OR(O1342="",P1342=""),"",O1342/P1342)</f>
        <v/>
      </c>
      <c r="R1342" s="16" t="str">
        <f aca="false">IF(Q1342="","",Q1342*0.0980665)</f>
        <v/>
      </c>
      <c r="S1342" s="16" t="str">
        <f aca="false">IF(Q1342="","",IFERROR(Q1342/(1/(1/INDEX(CONFIG!$I$5:$I$14,MATCH(D1342,CONFIG!$D$5:$D$14,0)))),""))</f>
        <v/>
      </c>
      <c r="T1342" s="13"/>
      <c r="U1342" s="13"/>
      <c r="V1342" s="13"/>
      <c r="W1342" s="13"/>
      <c r="X1342" s="22" t="str">
        <f aca="false">IF(Q1342="","",Q1342^2)</f>
        <v/>
      </c>
      <c r="Y1342" s="22" t="str">
        <f aca="false">IF(AND(C1342&lt;&gt;"",C1342=CERTIFICADO!$E$4,OR(CERTIFICADO!$E$5="",B1342=CERTIFICADO!$E$5)),MAX($Y$4:Y1341)+1,"")</f>
        <v/>
      </c>
    </row>
    <row r="1343" customFormat="false" ht="15" hidden="false" customHeight="false" outlineLevel="0" collapsed="false">
      <c r="A1343" s="11" t="str">
        <f aca="false">IF(C1343="","",ROW()-4)</f>
        <v/>
      </c>
      <c r="B1343" s="12"/>
      <c r="C1343" s="13"/>
      <c r="D1343" s="23" t="str">
        <f aca="false">IF(C1343="","",IFERROR(INDEX(LOTES!$D$5:$D$1004,MATCH(C1343,LOTES!$F$5:$F$1004,0)),"¿Lote?"))</f>
        <v/>
      </c>
      <c r="E1343" s="11" t="str">
        <f aca="false">IF(C1343="","",IFERROR(INDEX(LOTES!$C$5:$C$1004,MATCH(C1343,LOTES!$F$5:$F$1004,0)),""))</f>
        <v/>
      </c>
      <c r="F1343" s="24" t="str">
        <f aca="false">IF(C1343="","",IFERROR(INDEX(LOTES!$B$5:$B$1004,MATCH(C1343,LOTES!$F$5:$F$1004,0)),""))</f>
        <v/>
      </c>
      <c r="G1343" s="15" t="str">
        <f aca="false">IF(OR(B1343="",F1343=""),"",B1343-F1343)</f>
        <v/>
      </c>
      <c r="H1343" s="13"/>
      <c r="I1343" s="13"/>
      <c r="J1343" s="13"/>
      <c r="K1343" s="25"/>
      <c r="L1343" s="25"/>
      <c r="M1343" s="25"/>
      <c r="N1343" s="25"/>
      <c r="O1343" s="26"/>
      <c r="P1343" s="16" t="str">
        <f aca="false">IF(O1343="","",IFERROR(1/(1/(IF(K1343="",INDEX(CONFIG!$F$5:$F$14,MATCH(D1343,CONFIG!$D$5:$D$14,0)),K1343)*IF(M1343="",INDEX(CONFIG!$H$5:$H$14,MATCH(D1343,CONFIG!$D$5:$D$14,0)),M1343))),""))</f>
        <v/>
      </c>
      <c r="Q1343" s="16" t="str">
        <f aca="false">IF(OR(O1343="",P1343=""),"",O1343/P1343)</f>
        <v/>
      </c>
      <c r="R1343" s="16" t="str">
        <f aca="false">IF(Q1343="","",Q1343*0.0980665)</f>
        <v/>
      </c>
      <c r="S1343" s="16" t="str">
        <f aca="false">IF(Q1343="","",IFERROR(Q1343/(1/(1/INDEX(CONFIG!$I$5:$I$14,MATCH(D1343,CONFIG!$D$5:$D$14,0)))),""))</f>
        <v/>
      </c>
      <c r="T1343" s="13"/>
      <c r="U1343" s="13"/>
      <c r="V1343" s="13"/>
      <c r="W1343" s="13"/>
      <c r="X1343" s="22" t="str">
        <f aca="false">IF(Q1343="","",Q1343^2)</f>
        <v/>
      </c>
      <c r="Y1343" s="22" t="str">
        <f aca="false">IF(AND(C1343&lt;&gt;"",C1343=CERTIFICADO!$E$4,OR(CERTIFICADO!$E$5="",B1343=CERTIFICADO!$E$5)),MAX($Y$4:Y1342)+1,"")</f>
        <v/>
      </c>
    </row>
    <row r="1344" customFormat="false" ht="15" hidden="false" customHeight="false" outlineLevel="0" collapsed="false">
      <c r="A1344" s="11" t="str">
        <f aca="false">IF(C1344="","",ROW()-4)</f>
        <v/>
      </c>
      <c r="B1344" s="12"/>
      <c r="C1344" s="13"/>
      <c r="D1344" s="23" t="str">
        <f aca="false">IF(C1344="","",IFERROR(INDEX(LOTES!$D$5:$D$1004,MATCH(C1344,LOTES!$F$5:$F$1004,0)),"¿Lote?"))</f>
        <v/>
      </c>
      <c r="E1344" s="11" t="str">
        <f aca="false">IF(C1344="","",IFERROR(INDEX(LOTES!$C$5:$C$1004,MATCH(C1344,LOTES!$F$5:$F$1004,0)),""))</f>
        <v/>
      </c>
      <c r="F1344" s="24" t="str">
        <f aca="false">IF(C1344="","",IFERROR(INDEX(LOTES!$B$5:$B$1004,MATCH(C1344,LOTES!$F$5:$F$1004,0)),""))</f>
        <v/>
      </c>
      <c r="G1344" s="15" t="str">
        <f aca="false">IF(OR(B1344="",F1344=""),"",B1344-F1344)</f>
        <v/>
      </c>
      <c r="H1344" s="13"/>
      <c r="I1344" s="13"/>
      <c r="J1344" s="13"/>
      <c r="K1344" s="25"/>
      <c r="L1344" s="25"/>
      <c r="M1344" s="25"/>
      <c r="N1344" s="25"/>
      <c r="O1344" s="26"/>
      <c r="P1344" s="16" t="str">
        <f aca="false">IF(O1344="","",IFERROR(1/(1/(IF(K1344="",INDEX(CONFIG!$F$5:$F$14,MATCH(D1344,CONFIG!$D$5:$D$14,0)),K1344)*IF(M1344="",INDEX(CONFIG!$H$5:$H$14,MATCH(D1344,CONFIG!$D$5:$D$14,0)),M1344))),""))</f>
        <v/>
      </c>
      <c r="Q1344" s="16" t="str">
        <f aca="false">IF(OR(O1344="",P1344=""),"",O1344/P1344)</f>
        <v/>
      </c>
      <c r="R1344" s="16" t="str">
        <f aca="false">IF(Q1344="","",Q1344*0.0980665)</f>
        <v/>
      </c>
      <c r="S1344" s="16" t="str">
        <f aca="false">IF(Q1344="","",IFERROR(Q1344/(1/(1/INDEX(CONFIG!$I$5:$I$14,MATCH(D1344,CONFIG!$D$5:$D$14,0)))),""))</f>
        <v/>
      </c>
      <c r="T1344" s="13"/>
      <c r="U1344" s="13"/>
      <c r="V1344" s="13"/>
      <c r="W1344" s="13"/>
      <c r="X1344" s="22" t="str">
        <f aca="false">IF(Q1344="","",Q1344^2)</f>
        <v/>
      </c>
      <c r="Y1344" s="22" t="str">
        <f aca="false">IF(AND(C1344&lt;&gt;"",C1344=CERTIFICADO!$E$4,OR(CERTIFICADO!$E$5="",B1344=CERTIFICADO!$E$5)),MAX($Y$4:Y1343)+1,"")</f>
        <v/>
      </c>
    </row>
    <row r="1345" customFormat="false" ht="15" hidden="false" customHeight="false" outlineLevel="0" collapsed="false">
      <c r="A1345" s="11" t="str">
        <f aca="false">IF(C1345="","",ROW()-4)</f>
        <v/>
      </c>
      <c r="B1345" s="12"/>
      <c r="C1345" s="13"/>
      <c r="D1345" s="23" t="str">
        <f aca="false">IF(C1345="","",IFERROR(INDEX(LOTES!$D$5:$D$1004,MATCH(C1345,LOTES!$F$5:$F$1004,0)),"¿Lote?"))</f>
        <v/>
      </c>
      <c r="E1345" s="11" t="str">
        <f aca="false">IF(C1345="","",IFERROR(INDEX(LOTES!$C$5:$C$1004,MATCH(C1345,LOTES!$F$5:$F$1004,0)),""))</f>
        <v/>
      </c>
      <c r="F1345" s="24" t="str">
        <f aca="false">IF(C1345="","",IFERROR(INDEX(LOTES!$B$5:$B$1004,MATCH(C1345,LOTES!$F$5:$F$1004,0)),""))</f>
        <v/>
      </c>
      <c r="G1345" s="15" t="str">
        <f aca="false">IF(OR(B1345="",F1345=""),"",B1345-F1345)</f>
        <v/>
      </c>
      <c r="H1345" s="13"/>
      <c r="I1345" s="13"/>
      <c r="J1345" s="13"/>
      <c r="K1345" s="25"/>
      <c r="L1345" s="25"/>
      <c r="M1345" s="25"/>
      <c r="N1345" s="25"/>
      <c r="O1345" s="26"/>
      <c r="P1345" s="16" t="str">
        <f aca="false">IF(O1345="","",IFERROR(1/(1/(IF(K1345="",INDEX(CONFIG!$F$5:$F$14,MATCH(D1345,CONFIG!$D$5:$D$14,0)),K1345)*IF(M1345="",INDEX(CONFIG!$H$5:$H$14,MATCH(D1345,CONFIG!$D$5:$D$14,0)),M1345))),""))</f>
        <v/>
      </c>
      <c r="Q1345" s="16" t="str">
        <f aca="false">IF(OR(O1345="",P1345=""),"",O1345/P1345)</f>
        <v/>
      </c>
      <c r="R1345" s="16" t="str">
        <f aca="false">IF(Q1345="","",Q1345*0.0980665)</f>
        <v/>
      </c>
      <c r="S1345" s="16" t="str">
        <f aca="false">IF(Q1345="","",IFERROR(Q1345/(1/(1/INDEX(CONFIG!$I$5:$I$14,MATCH(D1345,CONFIG!$D$5:$D$14,0)))),""))</f>
        <v/>
      </c>
      <c r="T1345" s="13"/>
      <c r="U1345" s="13"/>
      <c r="V1345" s="13"/>
      <c r="W1345" s="13"/>
      <c r="X1345" s="22" t="str">
        <f aca="false">IF(Q1345="","",Q1345^2)</f>
        <v/>
      </c>
      <c r="Y1345" s="22" t="str">
        <f aca="false">IF(AND(C1345&lt;&gt;"",C1345=CERTIFICADO!$E$4,OR(CERTIFICADO!$E$5="",B1345=CERTIFICADO!$E$5)),MAX($Y$4:Y1344)+1,"")</f>
        <v/>
      </c>
    </row>
    <row r="1346" customFormat="false" ht="15" hidden="false" customHeight="false" outlineLevel="0" collapsed="false">
      <c r="A1346" s="11" t="str">
        <f aca="false">IF(C1346="","",ROW()-4)</f>
        <v/>
      </c>
      <c r="B1346" s="12"/>
      <c r="C1346" s="13"/>
      <c r="D1346" s="23" t="str">
        <f aca="false">IF(C1346="","",IFERROR(INDEX(LOTES!$D$5:$D$1004,MATCH(C1346,LOTES!$F$5:$F$1004,0)),"¿Lote?"))</f>
        <v/>
      </c>
      <c r="E1346" s="11" t="str">
        <f aca="false">IF(C1346="","",IFERROR(INDEX(LOTES!$C$5:$C$1004,MATCH(C1346,LOTES!$F$5:$F$1004,0)),""))</f>
        <v/>
      </c>
      <c r="F1346" s="24" t="str">
        <f aca="false">IF(C1346="","",IFERROR(INDEX(LOTES!$B$5:$B$1004,MATCH(C1346,LOTES!$F$5:$F$1004,0)),""))</f>
        <v/>
      </c>
      <c r="G1346" s="15" t="str">
        <f aca="false">IF(OR(B1346="",F1346=""),"",B1346-F1346)</f>
        <v/>
      </c>
      <c r="H1346" s="13"/>
      <c r="I1346" s="13"/>
      <c r="J1346" s="13"/>
      <c r="K1346" s="25"/>
      <c r="L1346" s="25"/>
      <c r="M1346" s="25"/>
      <c r="N1346" s="25"/>
      <c r="O1346" s="26"/>
      <c r="P1346" s="16" t="str">
        <f aca="false">IF(O1346="","",IFERROR(1/(1/(IF(K1346="",INDEX(CONFIG!$F$5:$F$14,MATCH(D1346,CONFIG!$D$5:$D$14,0)),K1346)*IF(M1346="",INDEX(CONFIG!$H$5:$H$14,MATCH(D1346,CONFIG!$D$5:$D$14,0)),M1346))),""))</f>
        <v/>
      </c>
      <c r="Q1346" s="16" t="str">
        <f aca="false">IF(OR(O1346="",P1346=""),"",O1346/P1346)</f>
        <v/>
      </c>
      <c r="R1346" s="16" t="str">
        <f aca="false">IF(Q1346="","",Q1346*0.0980665)</f>
        <v/>
      </c>
      <c r="S1346" s="16" t="str">
        <f aca="false">IF(Q1346="","",IFERROR(Q1346/(1/(1/INDEX(CONFIG!$I$5:$I$14,MATCH(D1346,CONFIG!$D$5:$D$14,0)))),""))</f>
        <v/>
      </c>
      <c r="T1346" s="13"/>
      <c r="U1346" s="13"/>
      <c r="V1346" s="13"/>
      <c r="W1346" s="13"/>
      <c r="X1346" s="22" t="str">
        <f aca="false">IF(Q1346="","",Q1346^2)</f>
        <v/>
      </c>
      <c r="Y1346" s="22" t="str">
        <f aca="false">IF(AND(C1346&lt;&gt;"",C1346=CERTIFICADO!$E$4,OR(CERTIFICADO!$E$5="",B1346=CERTIFICADO!$E$5)),MAX($Y$4:Y1345)+1,"")</f>
        <v/>
      </c>
    </row>
    <row r="1347" customFormat="false" ht="15" hidden="false" customHeight="false" outlineLevel="0" collapsed="false">
      <c r="A1347" s="11" t="str">
        <f aca="false">IF(C1347="","",ROW()-4)</f>
        <v/>
      </c>
      <c r="B1347" s="12"/>
      <c r="C1347" s="13"/>
      <c r="D1347" s="23" t="str">
        <f aca="false">IF(C1347="","",IFERROR(INDEX(LOTES!$D$5:$D$1004,MATCH(C1347,LOTES!$F$5:$F$1004,0)),"¿Lote?"))</f>
        <v/>
      </c>
      <c r="E1347" s="11" t="str">
        <f aca="false">IF(C1347="","",IFERROR(INDEX(LOTES!$C$5:$C$1004,MATCH(C1347,LOTES!$F$5:$F$1004,0)),""))</f>
        <v/>
      </c>
      <c r="F1347" s="24" t="str">
        <f aca="false">IF(C1347="","",IFERROR(INDEX(LOTES!$B$5:$B$1004,MATCH(C1347,LOTES!$F$5:$F$1004,0)),""))</f>
        <v/>
      </c>
      <c r="G1347" s="15" t="str">
        <f aca="false">IF(OR(B1347="",F1347=""),"",B1347-F1347)</f>
        <v/>
      </c>
      <c r="H1347" s="13"/>
      <c r="I1347" s="13"/>
      <c r="J1347" s="13"/>
      <c r="K1347" s="25"/>
      <c r="L1347" s="25"/>
      <c r="M1347" s="25"/>
      <c r="N1347" s="25"/>
      <c r="O1347" s="26"/>
      <c r="P1347" s="16" t="str">
        <f aca="false">IF(O1347="","",IFERROR(1/(1/(IF(K1347="",INDEX(CONFIG!$F$5:$F$14,MATCH(D1347,CONFIG!$D$5:$D$14,0)),K1347)*IF(M1347="",INDEX(CONFIG!$H$5:$H$14,MATCH(D1347,CONFIG!$D$5:$D$14,0)),M1347))),""))</f>
        <v/>
      </c>
      <c r="Q1347" s="16" t="str">
        <f aca="false">IF(OR(O1347="",P1347=""),"",O1347/P1347)</f>
        <v/>
      </c>
      <c r="R1347" s="16" t="str">
        <f aca="false">IF(Q1347="","",Q1347*0.0980665)</f>
        <v/>
      </c>
      <c r="S1347" s="16" t="str">
        <f aca="false">IF(Q1347="","",IFERROR(Q1347/(1/(1/INDEX(CONFIG!$I$5:$I$14,MATCH(D1347,CONFIG!$D$5:$D$14,0)))),""))</f>
        <v/>
      </c>
      <c r="T1347" s="13"/>
      <c r="U1347" s="13"/>
      <c r="V1347" s="13"/>
      <c r="W1347" s="13"/>
      <c r="X1347" s="22" t="str">
        <f aca="false">IF(Q1347="","",Q1347^2)</f>
        <v/>
      </c>
      <c r="Y1347" s="22" t="str">
        <f aca="false">IF(AND(C1347&lt;&gt;"",C1347=CERTIFICADO!$E$4,OR(CERTIFICADO!$E$5="",B1347=CERTIFICADO!$E$5)),MAX($Y$4:Y1346)+1,"")</f>
        <v/>
      </c>
    </row>
    <row r="1348" customFormat="false" ht="15" hidden="false" customHeight="false" outlineLevel="0" collapsed="false">
      <c r="A1348" s="11" t="str">
        <f aca="false">IF(C1348="","",ROW()-4)</f>
        <v/>
      </c>
      <c r="B1348" s="12"/>
      <c r="C1348" s="13"/>
      <c r="D1348" s="23" t="str">
        <f aca="false">IF(C1348="","",IFERROR(INDEX(LOTES!$D$5:$D$1004,MATCH(C1348,LOTES!$F$5:$F$1004,0)),"¿Lote?"))</f>
        <v/>
      </c>
      <c r="E1348" s="11" t="str">
        <f aca="false">IF(C1348="","",IFERROR(INDEX(LOTES!$C$5:$C$1004,MATCH(C1348,LOTES!$F$5:$F$1004,0)),""))</f>
        <v/>
      </c>
      <c r="F1348" s="24" t="str">
        <f aca="false">IF(C1348="","",IFERROR(INDEX(LOTES!$B$5:$B$1004,MATCH(C1348,LOTES!$F$5:$F$1004,0)),""))</f>
        <v/>
      </c>
      <c r="G1348" s="15" t="str">
        <f aca="false">IF(OR(B1348="",F1348=""),"",B1348-F1348)</f>
        <v/>
      </c>
      <c r="H1348" s="13"/>
      <c r="I1348" s="13"/>
      <c r="J1348" s="13"/>
      <c r="K1348" s="25"/>
      <c r="L1348" s="25"/>
      <c r="M1348" s="25"/>
      <c r="N1348" s="25"/>
      <c r="O1348" s="26"/>
      <c r="P1348" s="16" t="str">
        <f aca="false">IF(O1348="","",IFERROR(1/(1/(IF(K1348="",INDEX(CONFIG!$F$5:$F$14,MATCH(D1348,CONFIG!$D$5:$D$14,0)),K1348)*IF(M1348="",INDEX(CONFIG!$H$5:$H$14,MATCH(D1348,CONFIG!$D$5:$D$14,0)),M1348))),""))</f>
        <v/>
      </c>
      <c r="Q1348" s="16" t="str">
        <f aca="false">IF(OR(O1348="",P1348=""),"",O1348/P1348)</f>
        <v/>
      </c>
      <c r="R1348" s="16" t="str">
        <f aca="false">IF(Q1348="","",Q1348*0.0980665)</f>
        <v/>
      </c>
      <c r="S1348" s="16" t="str">
        <f aca="false">IF(Q1348="","",IFERROR(Q1348/(1/(1/INDEX(CONFIG!$I$5:$I$14,MATCH(D1348,CONFIG!$D$5:$D$14,0)))),""))</f>
        <v/>
      </c>
      <c r="T1348" s="13"/>
      <c r="U1348" s="13"/>
      <c r="V1348" s="13"/>
      <c r="W1348" s="13"/>
      <c r="X1348" s="22" t="str">
        <f aca="false">IF(Q1348="","",Q1348^2)</f>
        <v/>
      </c>
      <c r="Y1348" s="22" t="str">
        <f aca="false">IF(AND(C1348&lt;&gt;"",C1348=CERTIFICADO!$E$4,OR(CERTIFICADO!$E$5="",B1348=CERTIFICADO!$E$5)),MAX($Y$4:Y1347)+1,"")</f>
        <v/>
      </c>
    </row>
    <row r="1349" customFormat="false" ht="15" hidden="false" customHeight="false" outlineLevel="0" collapsed="false">
      <c r="A1349" s="11" t="str">
        <f aca="false">IF(C1349="","",ROW()-4)</f>
        <v/>
      </c>
      <c r="B1349" s="12"/>
      <c r="C1349" s="13"/>
      <c r="D1349" s="23" t="str">
        <f aca="false">IF(C1349="","",IFERROR(INDEX(LOTES!$D$5:$D$1004,MATCH(C1349,LOTES!$F$5:$F$1004,0)),"¿Lote?"))</f>
        <v/>
      </c>
      <c r="E1349" s="11" t="str">
        <f aca="false">IF(C1349="","",IFERROR(INDEX(LOTES!$C$5:$C$1004,MATCH(C1349,LOTES!$F$5:$F$1004,0)),""))</f>
        <v/>
      </c>
      <c r="F1349" s="24" t="str">
        <f aca="false">IF(C1349="","",IFERROR(INDEX(LOTES!$B$5:$B$1004,MATCH(C1349,LOTES!$F$5:$F$1004,0)),""))</f>
        <v/>
      </c>
      <c r="G1349" s="15" t="str">
        <f aca="false">IF(OR(B1349="",F1349=""),"",B1349-F1349)</f>
        <v/>
      </c>
      <c r="H1349" s="13"/>
      <c r="I1349" s="13"/>
      <c r="J1349" s="13"/>
      <c r="K1349" s="25"/>
      <c r="L1349" s="25"/>
      <c r="M1349" s="25"/>
      <c r="N1349" s="25"/>
      <c r="O1349" s="26"/>
      <c r="P1349" s="16" t="str">
        <f aca="false">IF(O1349="","",IFERROR(1/(1/(IF(K1349="",INDEX(CONFIG!$F$5:$F$14,MATCH(D1349,CONFIG!$D$5:$D$14,0)),K1349)*IF(M1349="",INDEX(CONFIG!$H$5:$H$14,MATCH(D1349,CONFIG!$D$5:$D$14,0)),M1349))),""))</f>
        <v/>
      </c>
      <c r="Q1349" s="16" t="str">
        <f aca="false">IF(OR(O1349="",P1349=""),"",O1349/P1349)</f>
        <v/>
      </c>
      <c r="R1349" s="16" t="str">
        <f aca="false">IF(Q1349="","",Q1349*0.0980665)</f>
        <v/>
      </c>
      <c r="S1349" s="16" t="str">
        <f aca="false">IF(Q1349="","",IFERROR(Q1349/(1/(1/INDEX(CONFIG!$I$5:$I$14,MATCH(D1349,CONFIG!$D$5:$D$14,0)))),""))</f>
        <v/>
      </c>
      <c r="T1349" s="13"/>
      <c r="U1349" s="13"/>
      <c r="V1349" s="13"/>
      <c r="W1349" s="13"/>
      <c r="X1349" s="22" t="str">
        <f aca="false">IF(Q1349="","",Q1349^2)</f>
        <v/>
      </c>
      <c r="Y1349" s="22" t="str">
        <f aca="false">IF(AND(C1349&lt;&gt;"",C1349=CERTIFICADO!$E$4,OR(CERTIFICADO!$E$5="",B1349=CERTIFICADO!$E$5)),MAX($Y$4:Y1348)+1,"")</f>
        <v/>
      </c>
    </row>
    <row r="1350" customFormat="false" ht="15" hidden="false" customHeight="false" outlineLevel="0" collapsed="false">
      <c r="A1350" s="11" t="str">
        <f aca="false">IF(C1350="","",ROW()-4)</f>
        <v/>
      </c>
      <c r="B1350" s="12"/>
      <c r="C1350" s="13"/>
      <c r="D1350" s="23" t="str">
        <f aca="false">IF(C1350="","",IFERROR(INDEX(LOTES!$D$5:$D$1004,MATCH(C1350,LOTES!$F$5:$F$1004,0)),"¿Lote?"))</f>
        <v/>
      </c>
      <c r="E1350" s="11" t="str">
        <f aca="false">IF(C1350="","",IFERROR(INDEX(LOTES!$C$5:$C$1004,MATCH(C1350,LOTES!$F$5:$F$1004,0)),""))</f>
        <v/>
      </c>
      <c r="F1350" s="24" t="str">
        <f aca="false">IF(C1350="","",IFERROR(INDEX(LOTES!$B$5:$B$1004,MATCH(C1350,LOTES!$F$5:$F$1004,0)),""))</f>
        <v/>
      </c>
      <c r="G1350" s="15" t="str">
        <f aca="false">IF(OR(B1350="",F1350=""),"",B1350-F1350)</f>
        <v/>
      </c>
      <c r="H1350" s="13"/>
      <c r="I1350" s="13"/>
      <c r="J1350" s="13"/>
      <c r="K1350" s="25"/>
      <c r="L1350" s="25"/>
      <c r="M1350" s="25"/>
      <c r="N1350" s="25"/>
      <c r="O1350" s="26"/>
      <c r="P1350" s="16" t="str">
        <f aca="false">IF(O1350="","",IFERROR(1/(1/(IF(K1350="",INDEX(CONFIG!$F$5:$F$14,MATCH(D1350,CONFIG!$D$5:$D$14,0)),K1350)*IF(M1350="",INDEX(CONFIG!$H$5:$H$14,MATCH(D1350,CONFIG!$D$5:$D$14,0)),M1350))),""))</f>
        <v/>
      </c>
      <c r="Q1350" s="16" t="str">
        <f aca="false">IF(OR(O1350="",P1350=""),"",O1350/P1350)</f>
        <v/>
      </c>
      <c r="R1350" s="16" t="str">
        <f aca="false">IF(Q1350="","",Q1350*0.0980665)</f>
        <v/>
      </c>
      <c r="S1350" s="16" t="str">
        <f aca="false">IF(Q1350="","",IFERROR(Q1350/(1/(1/INDEX(CONFIG!$I$5:$I$14,MATCH(D1350,CONFIG!$D$5:$D$14,0)))),""))</f>
        <v/>
      </c>
      <c r="T1350" s="13"/>
      <c r="U1350" s="13"/>
      <c r="V1350" s="13"/>
      <c r="W1350" s="13"/>
      <c r="X1350" s="22" t="str">
        <f aca="false">IF(Q1350="","",Q1350^2)</f>
        <v/>
      </c>
      <c r="Y1350" s="22" t="str">
        <f aca="false">IF(AND(C1350&lt;&gt;"",C1350=CERTIFICADO!$E$4,OR(CERTIFICADO!$E$5="",B1350=CERTIFICADO!$E$5)),MAX($Y$4:Y1349)+1,"")</f>
        <v/>
      </c>
    </row>
    <row r="1351" customFormat="false" ht="15" hidden="false" customHeight="false" outlineLevel="0" collapsed="false">
      <c r="A1351" s="11" t="str">
        <f aca="false">IF(C1351="","",ROW()-4)</f>
        <v/>
      </c>
      <c r="B1351" s="12"/>
      <c r="C1351" s="13"/>
      <c r="D1351" s="23" t="str">
        <f aca="false">IF(C1351="","",IFERROR(INDEX(LOTES!$D$5:$D$1004,MATCH(C1351,LOTES!$F$5:$F$1004,0)),"¿Lote?"))</f>
        <v/>
      </c>
      <c r="E1351" s="11" t="str">
        <f aca="false">IF(C1351="","",IFERROR(INDEX(LOTES!$C$5:$C$1004,MATCH(C1351,LOTES!$F$5:$F$1004,0)),""))</f>
        <v/>
      </c>
      <c r="F1351" s="24" t="str">
        <f aca="false">IF(C1351="","",IFERROR(INDEX(LOTES!$B$5:$B$1004,MATCH(C1351,LOTES!$F$5:$F$1004,0)),""))</f>
        <v/>
      </c>
      <c r="G1351" s="15" t="str">
        <f aca="false">IF(OR(B1351="",F1351=""),"",B1351-F1351)</f>
        <v/>
      </c>
      <c r="H1351" s="13"/>
      <c r="I1351" s="13"/>
      <c r="J1351" s="13"/>
      <c r="K1351" s="25"/>
      <c r="L1351" s="25"/>
      <c r="M1351" s="25"/>
      <c r="N1351" s="25"/>
      <c r="O1351" s="26"/>
      <c r="P1351" s="16" t="str">
        <f aca="false">IF(O1351="","",IFERROR(1/(1/(IF(K1351="",INDEX(CONFIG!$F$5:$F$14,MATCH(D1351,CONFIG!$D$5:$D$14,0)),K1351)*IF(M1351="",INDEX(CONFIG!$H$5:$H$14,MATCH(D1351,CONFIG!$D$5:$D$14,0)),M1351))),""))</f>
        <v/>
      </c>
      <c r="Q1351" s="16" t="str">
        <f aca="false">IF(OR(O1351="",P1351=""),"",O1351/P1351)</f>
        <v/>
      </c>
      <c r="R1351" s="16" t="str">
        <f aca="false">IF(Q1351="","",Q1351*0.0980665)</f>
        <v/>
      </c>
      <c r="S1351" s="16" t="str">
        <f aca="false">IF(Q1351="","",IFERROR(Q1351/(1/(1/INDEX(CONFIG!$I$5:$I$14,MATCH(D1351,CONFIG!$D$5:$D$14,0)))),""))</f>
        <v/>
      </c>
      <c r="T1351" s="13"/>
      <c r="U1351" s="13"/>
      <c r="V1351" s="13"/>
      <c r="W1351" s="13"/>
      <c r="X1351" s="22" t="str">
        <f aca="false">IF(Q1351="","",Q1351^2)</f>
        <v/>
      </c>
      <c r="Y1351" s="22" t="str">
        <f aca="false">IF(AND(C1351&lt;&gt;"",C1351=CERTIFICADO!$E$4,OR(CERTIFICADO!$E$5="",B1351=CERTIFICADO!$E$5)),MAX($Y$4:Y1350)+1,"")</f>
        <v/>
      </c>
    </row>
    <row r="1352" customFormat="false" ht="15" hidden="false" customHeight="false" outlineLevel="0" collapsed="false">
      <c r="A1352" s="11" t="str">
        <f aca="false">IF(C1352="","",ROW()-4)</f>
        <v/>
      </c>
      <c r="B1352" s="12"/>
      <c r="C1352" s="13"/>
      <c r="D1352" s="23" t="str">
        <f aca="false">IF(C1352="","",IFERROR(INDEX(LOTES!$D$5:$D$1004,MATCH(C1352,LOTES!$F$5:$F$1004,0)),"¿Lote?"))</f>
        <v/>
      </c>
      <c r="E1352" s="11" t="str">
        <f aca="false">IF(C1352="","",IFERROR(INDEX(LOTES!$C$5:$C$1004,MATCH(C1352,LOTES!$F$5:$F$1004,0)),""))</f>
        <v/>
      </c>
      <c r="F1352" s="24" t="str">
        <f aca="false">IF(C1352="","",IFERROR(INDEX(LOTES!$B$5:$B$1004,MATCH(C1352,LOTES!$F$5:$F$1004,0)),""))</f>
        <v/>
      </c>
      <c r="G1352" s="15" t="str">
        <f aca="false">IF(OR(B1352="",F1352=""),"",B1352-F1352)</f>
        <v/>
      </c>
      <c r="H1352" s="13"/>
      <c r="I1352" s="13"/>
      <c r="J1352" s="13"/>
      <c r="K1352" s="25"/>
      <c r="L1352" s="25"/>
      <c r="M1352" s="25"/>
      <c r="N1352" s="25"/>
      <c r="O1352" s="26"/>
      <c r="P1352" s="16" t="str">
        <f aca="false">IF(O1352="","",IFERROR(1/(1/(IF(K1352="",INDEX(CONFIG!$F$5:$F$14,MATCH(D1352,CONFIG!$D$5:$D$14,0)),K1352)*IF(M1352="",INDEX(CONFIG!$H$5:$H$14,MATCH(D1352,CONFIG!$D$5:$D$14,0)),M1352))),""))</f>
        <v/>
      </c>
      <c r="Q1352" s="16" t="str">
        <f aca="false">IF(OR(O1352="",P1352=""),"",O1352/P1352)</f>
        <v/>
      </c>
      <c r="R1352" s="16" t="str">
        <f aca="false">IF(Q1352="","",Q1352*0.0980665)</f>
        <v/>
      </c>
      <c r="S1352" s="16" t="str">
        <f aca="false">IF(Q1352="","",IFERROR(Q1352/(1/(1/INDEX(CONFIG!$I$5:$I$14,MATCH(D1352,CONFIG!$D$5:$D$14,0)))),""))</f>
        <v/>
      </c>
      <c r="T1352" s="13"/>
      <c r="U1352" s="13"/>
      <c r="V1352" s="13"/>
      <c r="W1352" s="13"/>
      <c r="X1352" s="22" t="str">
        <f aca="false">IF(Q1352="","",Q1352^2)</f>
        <v/>
      </c>
      <c r="Y1352" s="22" t="str">
        <f aca="false">IF(AND(C1352&lt;&gt;"",C1352=CERTIFICADO!$E$4,OR(CERTIFICADO!$E$5="",B1352=CERTIFICADO!$E$5)),MAX($Y$4:Y1351)+1,"")</f>
        <v/>
      </c>
    </row>
    <row r="1353" customFormat="false" ht="15" hidden="false" customHeight="false" outlineLevel="0" collapsed="false">
      <c r="A1353" s="11" t="str">
        <f aca="false">IF(C1353="","",ROW()-4)</f>
        <v/>
      </c>
      <c r="B1353" s="12"/>
      <c r="C1353" s="13"/>
      <c r="D1353" s="23" t="str">
        <f aca="false">IF(C1353="","",IFERROR(INDEX(LOTES!$D$5:$D$1004,MATCH(C1353,LOTES!$F$5:$F$1004,0)),"¿Lote?"))</f>
        <v/>
      </c>
      <c r="E1353" s="11" t="str">
        <f aca="false">IF(C1353="","",IFERROR(INDEX(LOTES!$C$5:$C$1004,MATCH(C1353,LOTES!$F$5:$F$1004,0)),""))</f>
        <v/>
      </c>
      <c r="F1353" s="24" t="str">
        <f aca="false">IF(C1353="","",IFERROR(INDEX(LOTES!$B$5:$B$1004,MATCH(C1353,LOTES!$F$5:$F$1004,0)),""))</f>
        <v/>
      </c>
      <c r="G1353" s="15" t="str">
        <f aca="false">IF(OR(B1353="",F1353=""),"",B1353-F1353)</f>
        <v/>
      </c>
      <c r="H1353" s="13"/>
      <c r="I1353" s="13"/>
      <c r="J1353" s="13"/>
      <c r="K1353" s="25"/>
      <c r="L1353" s="25"/>
      <c r="M1353" s="25"/>
      <c r="N1353" s="25"/>
      <c r="O1353" s="26"/>
      <c r="P1353" s="16" t="str">
        <f aca="false">IF(O1353="","",IFERROR(1/(1/(IF(K1353="",INDEX(CONFIG!$F$5:$F$14,MATCH(D1353,CONFIG!$D$5:$D$14,0)),K1353)*IF(M1353="",INDEX(CONFIG!$H$5:$H$14,MATCH(D1353,CONFIG!$D$5:$D$14,0)),M1353))),""))</f>
        <v/>
      </c>
      <c r="Q1353" s="16" t="str">
        <f aca="false">IF(OR(O1353="",P1353=""),"",O1353/P1353)</f>
        <v/>
      </c>
      <c r="R1353" s="16" t="str">
        <f aca="false">IF(Q1353="","",Q1353*0.0980665)</f>
        <v/>
      </c>
      <c r="S1353" s="16" t="str">
        <f aca="false">IF(Q1353="","",IFERROR(Q1353/(1/(1/INDEX(CONFIG!$I$5:$I$14,MATCH(D1353,CONFIG!$D$5:$D$14,0)))),""))</f>
        <v/>
      </c>
      <c r="T1353" s="13"/>
      <c r="U1353" s="13"/>
      <c r="V1353" s="13"/>
      <c r="W1353" s="13"/>
      <c r="X1353" s="22" t="str">
        <f aca="false">IF(Q1353="","",Q1353^2)</f>
        <v/>
      </c>
      <c r="Y1353" s="22" t="str">
        <f aca="false">IF(AND(C1353&lt;&gt;"",C1353=CERTIFICADO!$E$4,OR(CERTIFICADO!$E$5="",B1353=CERTIFICADO!$E$5)),MAX($Y$4:Y1352)+1,"")</f>
        <v/>
      </c>
    </row>
    <row r="1354" customFormat="false" ht="15" hidden="false" customHeight="false" outlineLevel="0" collapsed="false">
      <c r="A1354" s="11" t="str">
        <f aca="false">IF(C1354="","",ROW()-4)</f>
        <v/>
      </c>
      <c r="B1354" s="12"/>
      <c r="C1354" s="13"/>
      <c r="D1354" s="23" t="str">
        <f aca="false">IF(C1354="","",IFERROR(INDEX(LOTES!$D$5:$D$1004,MATCH(C1354,LOTES!$F$5:$F$1004,0)),"¿Lote?"))</f>
        <v/>
      </c>
      <c r="E1354" s="11" t="str">
        <f aca="false">IF(C1354="","",IFERROR(INDEX(LOTES!$C$5:$C$1004,MATCH(C1354,LOTES!$F$5:$F$1004,0)),""))</f>
        <v/>
      </c>
      <c r="F1354" s="24" t="str">
        <f aca="false">IF(C1354="","",IFERROR(INDEX(LOTES!$B$5:$B$1004,MATCH(C1354,LOTES!$F$5:$F$1004,0)),""))</f>
        <v/>
      </c>
      <c r="G1354" s="15" t="str">
        <f aca="false">IF(OR(B1354="",F1354=""),"",B1354-F1354)</f>
        <v/>
      </c>
      <c r="H1354" s="13"/>
      <c r="I1354" s="13"/>
      <c r="J1354" s="13"/>
      <c r="K1354" s="25"/>
      <c r="L1354" s="25"/>
      <c r="M1354" s="25"/>
      <c r="N1354" s="25"/>
      <c r="O1354" s="26"/>
      <c r="P1354" s="16" t="str">
        <f aca="false">IF(O1354="","",IFERROR(1/(1/(IF(K1354="",INDEX(CONFIG!$F$5:$F$14,MATCH(D1354,CONFIG!$D$5:$D$14,0)),K1354)*IF(M1354="",INDEX(CONFIG!$H$5:$H$14,MATCH(D1354,CONFIG!$D$5:$D$14,0)),M1354))),""))</f>
        <v/>
      </c>
      <c r="Q1354" s="16" t="str">
        <f aca="false">IF(OR(O1354="",P1354=""),"",O1354/P1354)</f>
        <v/>
      </c>
      <c r="R1354" s="16" t="str">
        <f aca="false">IF(Q1354="","",Q1354*0.0980665)</f>
        <v/>
      </c>
      <c r="S1354" s="16" t="str">
        <f aca="false">IF(Q1354="","",IFERROR(Q1354/(1/(1/INDEX(CONFIG!$I$5:$I$14,MATCH(D1354,CONFIG!$D$5:$D$14,0)))),""))</f>
        <v/>
      </c>
      <c r="T1354" s="13"/>
      <c r="U1354" s="13"/>
      <c r="V1354" s="13"/>
      <c r="W1354" s="13"/>
      <c r="X1354" s="22" t="str">
        <f aca="false">IF(Q1354="","",Q1354^2)</f>
        <v/>
      </c>
      <c r="Y1354" s="22" t="str">
        <f aca="false">IF(AND(C1354&lt;&gt;"",C1354=CERTIFICADO!$E$4,OR(CERTIFICADO!$E$5="",B1354=CERTIFICADO!$E$5)),MAX($Y$4:Y1353)+1,"")</f>
        <v/>
      </c>
    </row>
    <row r="1355" customFormat="false" ht="15" hidden="false" customHeight="false" outlineLevel="0" collapsed="false">
      <c r="A1355" s="11" t="str">
        <f aca="false">IF(C1355="","",ROW()-4)</f>
        <v/>
      </c>
      <c r="B1355" s="12"/>
      <c r="C1355" s="13"/>
      <c r="D1355" s="23" t="str">
        <f aca="false">IF(C1355="","",IFERROR(INDEX(LOTES!$D$5:$D$1004,MATCH(C1355,LOTES!$F$5:$F$1004,0)),"¿Lote?"))</f>
        <v/>
      </c>
      <c r="E1355" s="11" t="str">
        <f aca="false">IF(C1355="","",IFERROR(INDEX(LOTES!$C$5:$C$1004,MATCH(C1355,LOTES!$F$5:$F$1004,0)),""))</f>
        <v/>
      </c>
      <c r="F1355" s="24" t="str">
        <f aca="false">IF(C1355="","",IFERROR(INDEX(LOTES!$B$5:$B$1004,MATCH(C1355,LOTES!$F$5:$F$1004,0)),""))</f>
        <v/>
      </c>
      <c r="G1355" s="15" t="str">
        <f aca="false">IF(OR(B1355="",F1355=""),"",B1355-F1355)</f>
        <v/>
      </c>
      <c r="H1355" s="13"/>
      <c r="I1355" s="13"/>
      <c r="J1355" s="13"/>
      <c r="K1355" s="25"/>
      <c r="L1355" s="25"/>
      <c r="M1355" s="25"/>
      <c r="N1355" s="25"/>
      <c r="O1355" s="26"/>
      <c r="P1355" s="16" t="str">
        <f aca="false">IF(O1355="","",IFERROR(1/(1/(IF(K1355="",INDEX(CONFIG!$F$5:$F$14,MATCH(D1355,CONFIG!$D$5:$D$14,0)),K1355)*IF(M1355="",INDEX(CONFIG!$H$5:$H$14,MATCH(D1355,CONFIG!$D$5:$D$14,0)),M1355))),""))</f>
        <v/>
      </c>
      <c r="Q1355" s="16" t="str">
        <f aca="false">IF(OR(O1355="",P1355=""),"",O1355/P1355)</f>
        <v/>
      </c>
      <c r="R1355" s="16" t="str">
        <f aca="false">IF(Q1355="","",Q1355*0.0980665)</f>
        <v/>
      </c>
      <c r="S1355" s="16" t="str">
        <f aca="false">IF(Q1355="","",IFERROR(Q1355/(1/(1/INDEX(CONFIG!$I$5:$I$14,MATCH(D1355,CONFIG!$D$5:$D$14,0)))),""))</f>
        <v/>
      </c>
      <c r="T1355" s="13"/>
      <c r="U1355" s="13"/>
      <c r="V1355" s="13"/>
      <c r="W1355" s="13"/>
      <c r="X1355" s="22" t="str">
        <f aca="false">IF(Q1355="","",Q1355^2)</f>
        <v/>
      </c>
      <c r="Y1355" s="22" t="str">
        <f aca="false">IF(AND(C1355&lt;&gt;"",C1355=CERTIFICADO!$E$4,OR(CERTIFICADO!$E$5="",B1355=CERTIFICADO!$E$5)),MAX($Y$4:Y1354)+1,"")</f>
        <v/>
      </c>
    </row>
    <row r="1356" customFormat="false" ht="15" hidden="false" customHeight="false" outlineLevel="0" collapsed="false">
      <c r="A1356" s="11" t="str">
        <f aca="false">IF(C1356="","",ROW()-4)</f>
        <v/>
      </c>
      <c r="B1356" s="12"/>
      <c r="C1356" s="13"/>
      <c r="D1356" s="23" t="str">
        <f aca="false">IF(C1356="","",IFERROR(INDEX(LOTES!$D$5:$D$1004,MATCH(C1356,LOTES!$F$5:$F$1004,0)),"¿Lote?"))</f>
        <v/>
      </c>
      <c r="E1356" s="11" t="str">
        <f aca="false">IF(C1356="","",IFERROR(INDEX(LOTES!$C$5:$C$1004,MATCH(C1356,LOTES!$F$5:$F$1004,0)),""))</f>
        <v/>
      </c>
      <c r="F1356" s="24" t="str">
        <f aca="false">IF(C1356="","",IFERROR(INDEX(LOTES!$B$5:$B$1004,MATCH(C1356,LOTES!$F$5:$F$1004,0)),""))</f>
        <v/>
      </c>
      <c r="G1356" s="15" t="str">
        <f aca="false">IF(OR(B1356="",F1356=""),"",B1356-F1356)</f>
        <v/>
      </c>
      <c r="H1356" s="13"/>
      <c r="I1356" s="13"/>
      <c r="J1356" s="13"/>
      <c r="K1356" s="25"/>
      <c r="L1356" s="25"/>
      <c r="M1356" s="25"/>
      <c r="N1356" s="25"/>
      <c r="O1356" s="26"/>
      <c r="P1356" s="16" t="str">
        <f aca="false">IF(O1356="","",IFERROR(1/(1/(IF(K1356="",INDEX(CONFIG!$F$5:$F$14,MATCH(D1356,CONFIG!$D$5:$D$14,0)),K1356)*IF(M1356="",INDEX(CONFIG!$H$5:$H$14,MATCH(D1356,CONFIG!$D$5:$D$14,0)),M1356))),""))</f>
        <v/>
      </c>
      <c r="Q1356" s="16" t="str">
        <f aca="false">IF(OR(O1356="",P1356=""),"",O1356/P1356)</f>
        <v/>
      </c>
      <c r="R1356" s="16" t="str">
        <f aca="false">IF(Q1356="","",Q1356*0.0980665)</f>
        <v/>
      </c>
      <c r="S1356" s="16" t="str">
        <f aca="false">IF(Q1356="","",IFERROR(Q1356/(1/(1/INDEX(CONFIG!$I$5:$I$14,MATCH(D1356,CONFIG!$D$5:$D$14,0)))),""))</f>
        <v/>
      </c>
      <c r="T1356" s="13"/>
      <c r="U1356" s="13"/>
      <c r="V1356" s="13"/>
      <c r="W1356" s="13"/>
      <c r="X1356" s="22" t="str">
        <f aca="false">IF(Q1356="","",Q1356^2)</f>
        <v/>
      </c>
      <c r="Y1356" s="22" t="str">
        <f aca="false">IF(AND(C1356&lt;&gt;"",C1356=CERTIFICADO!$E$4,OR(CERTIFICADO!$E$5="",B1356=CERTIFICADO!$E$5)),MAX($Y$4:Y1355)+1,"")</f>
        <v/>
      </c>
    </row>
    <row r="1357" customFormat="false" ht="15" hidden="false" customHeight="false" outlineLevel="0" collapsed="false">
      <c r="A1357" s="11" t="str">
        <f aca="false">IF(C1357="","",ROW()-4)</f>
        <v/>
      </c>
      <c r="B1357" s="12"/>
      <c r="C1357" s="13"/>
      <c r="D1357" s="23" t="str">
        <f aca="false">IF(C1357="","",IFERROR(INDEX(LOTES!$D$5:$D$1004,MATCH(C1357,LOTES!$F$5:$F$1004,0)),"¿Lote?"))</f>
        <v/>
      </c>
      <c r="E1357" s="11" t="str">
        <f aca="false">IF(C1357="","",IFERROR(INDEX(LOTES!$C$5:$C$1004,MATCH(C1357,LOTES!$F$5:$F$1004,0)),""))</f>
        <v/>
      </c>
      <c r="F1357" s="24" t="str">
        <f aca="false">IF(C1357="","",IFERROR(INDEX(LOTES!$B$5:$B$1004,MATCH(C1357,LOTES!$F$5:$F$1004,0)),""))</f>
        <v/>
      </c>
      <c r="G1357" s="15" t="str">
        <f aca="false">IF(OR(B1357="",F1357=""),"",B1357-F1357)</f>
        <v/>
      </c>
      <c r="H1357" s="13"/>
      <c r="I1357" s="13"/>
      <c r="J1357" s="13"/>
      <c r="K1357" s="25"/>
      <c r="L1357" s="25"/>
      <c r="M1357" s="25"/>
      <c r="N1357" s="25"/>
      <c r="O1357" s="26"/>
      <c r="P1357" s="16" t="str">
        <f aca="false">IF(O1357="","",IFERROR(1/(1/(IF(K1357="",INDEX(CONFIG!$F$5:$F$14,MATCH(D1357,CONFIG!$D$5:$D$14,0)),K1357)*IF(M1357="",INDEX(CONFIG!$H$5:$H$14,MATCH(D1357,CONFIG!$D$5:$D$14,0)),M1357))),""))</f>
        <v/>
      </c>
      <c r="Q1357" s="16" t="str">
        <f aca="false">IF(OR(O1357="",P1357=""),"",O1357/P1357)</f>
        <v/>
      </c>
      <c r="R1357" s="16" t="str">
        <f aca="false">IF(Q1357="","",Q1357*0.0980665)</f>
        <v/>
      </c>
      <c r="S1357" s="16" t="str">
        <f aca="false">IF(Q1357="","",IFERROR(Q1357/(1/(1/INDEX(CONFIG!$I$5:$I$14,MATCH(D1357,CONFIG!$D$5:$D$14,0)))),""))</f>
        <v/>
      </c>
      <c r="T1357" s="13"/>
      <c r="U1357" s="13"/>
      <c r="V1357" s="13"/>
      <c r="W1357" s="13"/>
      <c r="X1357" s="22" t="str">
        <f aca="false">IF(Q1357="","",Q1357^2)</f>
        <v/>
      </c>
      <c r="Y1357" s="22" t="str">
        <f aca="false">IF(AND(C1357&lt;&gt;"",C1357=CERTIFICADO!$E$4,OR(CERTIFICADO!$E$5="",B1357=CERTIFICADO!$E$5)),MAX($Y$4:Y1356)+1,"")</f>
        <v/>
      </c>
    </row>
    <row r="1358" customFormat="false" ht="15" hidden="false" customHeight="false" outlineLevel="0" collapsed="false">
      <c r="A1358" s="11" t="str">
        <f aca="false">IF(C1358="","",ROW()-4)</f>
        <v/>
      </c>
      <c r="B1358" s="12"/>
      <c r="C1358" s="13"/>
      <c r="D1358" s="23" t="str">
        <f aca="false">IF(C1358="","",IFERROR(INDEX(LOTES!$D$5:$D$1004,MATCH(C1358,LOTES!$F$5:$F$1004,0)),"¿Lote?"))</f>
        <v/>
      </c>
      <c r="E1358" s="11" t="str">
        <f aca="false">IF(C1358="","",IFERROR(INDEX(LOTES!$C$5:$C$1004,MATCH(C1358,LOTES!$F$5:$F$1004,0)),""))</f>
        <v/>
      </c>
      <c r="F1358" s="24" t="str">
        <f aca="false">IF(C1358="","",IFERROR(INDEX(LOTES!$B$5:$B$1004,MATCH(C1358,LOTES!$F$5:$F$1004,0)),""))</f>
        <v/>
      </c>
      <c r="G1358" s="15" t="str">
        <f aca="false">IF(OR(B1358="",F1358=""),"",B1358-F1358)</f>
        <v/>
      </c>
      <c r="H1358" s="13"/>
      <c r="I1358" s="13"/>
      <c r="J1358" s="13"/>
      <c r="K1358" s="25"/>
      <c r="L1358" s="25"/>
      <c r="M1358" s="25"/>
      <c r="N1358" s="25"/>
      <c r="O1358" s="26"/>
      <c r="P1358" s="16" t="str">
        <f aca="false">IF(O1358="","",IFERROR(1/(1/(IF(K1358="",INDEX(CONFIG!$F$5:$F$14,MATCH(D1358,CONFIG!$D$5:$D$14,0)),K1358)*IF(M1358="",INDEX(CONFIG!$H$5:$H$14,MATCH(D1358,CONFIG!$D$5:$D$14,0)),M1358))),""))</f>
        <v/>
      </c>
      <c r="Q1358" s="16" t="str">
        <f aca="false">IF(OR(O1358="",P1358=""),"",O1358/P1358)</f>
        <v/>
      </c>
      <c r="R1358" s="16" t="str">
        <f aca="false">IF(Q1358="","",Q1358*0.0980665)</f>
        <v/>
      </c>
      <c r="S1358" s="16" t="str">
        <f aca="false">IF(Q1358="","",IFERROR(Q1358/(1/(1/INDEX(CONFIG!$I$5:$I$14,MATCH(D1358,CONFIG!$D$5:$D$14,0)))),""))</f>
        <v/>
      </c>
      <c r="T1358" s="13"/>
      <c r="U1358" s="13"/>
      <c r="V1358" s="13"/>
      <c r="W1358" s="13"/>
      <c r="X1358" s="22" t="str">
        <f aca="false">IF(Q1358="","",Q1358^2)</f>
        <v/>
      </c>
      <c r="Y1358" s="22" t="str">
        <f aca="false">IF(AND(C1358&lt;&gt;"",C1358=CERTIFICADO!$E$4,OR(CERTIFICADO!$E$5="",B1358=CERTIFICADO!$E$5)),MAX($Y$4:Y1357)+1,"")</f>
        <v/>
      </c>
    </row>
    <row r="1359" customFormat="false" ht="15" hidden="false" customHeight="false" outlineLevel="0" collapsed="false">
      <c r="A1359" s="11" t="str">
        <f aca="false">IF(C1359="","",ROW()-4)</f>
        <v/>
      </c>
      <c r="B1359" s="12"/>
      <c r="C1359" s="13"/>
      <c r="D1359" s="23" t="str">
        <f aca="false">IF(C1359="","",IFERROR(INDEX(LOTES!$D$5:$D$1004,MATCH(C1359,LOTES!$F$5:$F$1004,0)),"¿Lote?"))</f>
        <v/>
      </c>
      <c r="E1359" s="11" t="str">
        <f aca="false">IF(C1359="","",IFERROR(INDEX(LOTES!$C$5:$C$1004,MATCH(C1359,LOTES!$F$5:$F$1004,0)),""))</f>
        <v/>
      </c>
      <c r="F1359" s="24" t="str">
        <f aca="false">IF(C1359="","",IFERROR(INDEX(LOTES!$B$5:$B$1004,MATCH(C1359,LOTES!$F$5:$F$1004,0)),""))</f>
        <v/>
      </c>
      <c r="G1359" s="15" t="str">
        <f aca="false">IF(OR(B1359="",F1359=""),"",B1359-F1359)</f>
        <v/>
      </c>
      <c r="H1359" s="13"/>
      <c r="I1359" s="13"/>
      <c r="J1359" s="13"/>
      <c r="K1359" s="25"/>
      <c r="L1359" s="25"/>
      <c r="M1359" s="25"/>
      <c r="N1359" s="25"/>
      <c r="O1359" s="26"/>
      <c r="P1359" s="16" t="str">
        <f aca="false">IF(O1359="","",IFERROR(1/(1/(IF(K1359="",INDEX(CONFIG!$F$5:$F$14,MATCH(D1359,CONFIG!$D$5:$D$14,0)),K1359)*IF(M1359="",INDEX(CONFIG!$H$5:$H$14,MATCH(D1359,CONFIG!$D$5:$D$14,0)),M1359))),""))</f>
        <v/>
      </c>
      <c r="Q1359" s="16" t="str">
        <f aca="false">IF(OR(O1359="",P1359=""),"",O1359/P1359)</f>
        <v/>
      </c>
      <c r="R1359" s="16" t="str">
        <f aca="false">IF(Q1359="","",Q1359*0.0980665)</f>
        <v/>
      </c>
      <c r="S1359" s="16" t="str">
        <f aca="false">IF(Q1359="","",IFERROR(Q1359/(1/(1/INDEX(CONFIG!$I$5:$I$14,MATCH(D1359,CONFIG!$D$5:$D$14,0)))),""))</f>
        <v/>
      </c>
      <c r="T1359" s="13"/>
      <c r="U1359" s="13"/>
      <c r="V1359" s="13"/>
      <c r="W1359" s="13"/>
      <c r="X1359" s="22" t="str">
        <f aca="false">IF(Q1359="","",Q1359^2)</f>
        <v/>
      </c>
      <c r="Y1359" s="22" t="str">
        <f aca="false">IF(AND(C1359&lt;&gt;"",C1359=CERTIFICADO!$E$4,OR(CERTIFICADO!$E$5="",B1359=CERTIFICADO!$E$5)),MAX($Y$4:Y1358)+1,"")</f>
        <v/>
      </c>
    </row>
    <row r="1360" customFormat="false" ht="15" hidden="false" customHeight="false" outlineLevel="0" collapsed="false">
      <c r="A1360" s="11" t="str">
        <f aca="false">IF(C1360="","",ROW()-4)</f>
        <v/>
      </c>
      <c r="B1360" s="12"/>
      <c r="C1360" s="13"/>
      <c r="D1360" s="23" t="str">
        <f aca="false">IF(C1360="","",IFERROR(INDEX(LOTES!$D$5:$D$1004,MATCH(C1360,LOTES!$F$5:$F$1004,0)),"¿Lote?"))</f>
        <v/>
      </c>
      <c r="E1360" s="11" t="str">
        <f aca="false">IF(C1360="","",IFERROR(INDEX(LOTES!$C$5:$C$1004,MATCH(C1360,LOTES!$F$5:$F$1004,0)),""))</f>
        <v/>
      </c>
      <c r="F1360" s="24" t="str">
        <f aca="false">IF(C1360="","",IFERROR(INDEX(LOTES!$B$5:$B$1004,MATCH(C1360,LOTES!$F$5:$F$1004,0)),""))</f>
        <v/>
      </c>
      <c r="G1360" s="15" t="str">
        <f aca="false">IF(OR(B1360="",F1360=""),"",B1360-F1360)</f>
        <v/>
      </c>
      <c r="H1360" s="13"/>
      <c r="I1360" s="13"/>
      <c r="J1360" s="13"/>
      <c r="K1360" s="25"/>
      <c r="L1360" s="25"/>
      <c r="M1360" s="25"/>
      <c r="N1360" s="25"/>
      <c r="O1360" s="26"/>
      <c r="P1360" s="16" t="str">
        <f aca="false">IF(O1360="","",IFERROR(1/(1/(IF(K1360="",INDEX(CONFIG!$F$5:$F$14,MATCH(D1360,CONFIG!$D$5:$D$14,0)),K1360)*IF(M1360="",INDEX(CONFIG!$H$5:$H$14,MATCH(D1360,CONFIG!$D$5:$D$14,0)),M1360))),""))</f>
        <v/>
      </c>
      <c r="Q1360" s="16" t="str">
        <f aca="false">IF(OR(O1360="",P1360=""),"",O1360/P1360)</f>
        <v/>
      </c>
      <c r="R1360" s="16" t="str">
        <f aca="false">IF(Q1360="","",Q1360*0.0980665)</f>
        <v/>
      </c>
      <c r="S1360" s="16" t="str">
        <f aca="false">IF(Q1360="","",IFERROR(Q1360/(1/(1/INDEX(CONFIG!$I$5:$I$14,MATCH(D1360,CONFIG!$D$5:$D$14,0)))),""))</f>
        <v/>
      </c>
      <c r="T1360" s="13"/>
      <c r="U1360" s="13"/>
      <c r="V1360" s="13"/>
      <c r="W1360" s="13"/>
      <c r="X1360" s="22" t="str">
        <f aca="false">IF(Q1360="","",Q1360^2)</f>
        <v/>
      </c>
      <c r="Y1360" s="22" t="str">
        <f aca="false">IF(AND(C1360&lt;&gt;"",C1360=CERTIFICADO!$E$4,OR(CERTIFICADO!$E$5="",B1360=CERTIFICADO!$E$5)),MAX($Y$4:Y1359)+1,"")</f>
        <v/>
      </c>
    </row>
    <row r="1361" customFormat="false" ht="15" hidden="false" customHeight="false" outlineLevel="0" collapsed="false">
      <c r="A1361" s="11" t="str">
        <f aca="false">IF(C1361="","",ROW()-4)</f>
        <v/>
      </c>
      <c r="B1361" s="12"/>
      <c r="C1361" s="13"/>
      <c r="D1361" s="23" t="str">
        <f aca="false">IF(C1361="","",IFERROR(INDEX(LOTES!$D$5:$D$1004,MATCH(C1361,LOTES!$F$5:$F$1004,0)),"¿Lote?"))</f>
        <v/>
      </c>
      <c r="E1361" s="11" t="str">
        <f aca="false">IF(C1361="","",IFERROR(INDEX(LOTES!$C$5:$C$1004,MATCH(C1361,LOTES!$F$5:$F$1004,0)),""))</f>
        <v/>
      </c>
      <c r="F1361" s="24" t="str">
        <f aca="false">IF(C1361="","",IFERROR(INDEX(LOTES!$B$5:$B$1004,MATCH(C1361,LOTES!$F$5:$F$1004,0)),""))</f>
        <v/>
      </c>
      <c r="G1361" s="15" t="str">
        <f aca="false">IF(OR(B1361="",F1361=""),"",B1361-F1361)</f>
        <v/>
      </c>
      <c r="H1361" s="13"/>
      <c r="I1361" s="13"/>
      <c r="J1361" s="13"/>
      <c r="K1361" s="25"/>
      <c r="L1361" s="25"/>
      <c r="M1361" s="25"/>
      <c r="N1361" s="25"/>
      <c r="O1361" s="26"/>
      <c r="P1361" s="16" t="str">
        <f aca="false">IF(O1361="","",IFERROR(1/(1/(IF(K1361="",INDEX(CONFIG!$F$5:$F$14,MATCH(D1361,CONFIG!$D$5:$D$14,0)),K1361)*IF(M1361="",INDEX(CONFIG!$H$5:$H$14,MATCH(D1361,CONFIG!$D$5:$D$14,0)),M1361))),""))</f>
        <v/>
      </c>
      <c r="Q1361" s="16" t="str">
        <f aca="false">IF(OR(O1361="",P1361=""),"",O1361/P1361)</f>
        <v/>
      </c>
      <c r="R1361" s="16" t="str">
        <f aca="false">IF(Q1361="","",Q1361*0.0980665)</f>
        <v/>
      </c>
      <c r="S1361" s="16" t="str">
        <f aca="false">IF(Q1361="","",IFERROR(Q1361/(1/(1/INDEX(CONFIG!$I$5:$I$14,MATCH(D1361,CONFIG!$D$5:$D$14,0)))),""))</f>
        <v/>
      </c>
      <c r="T1361" s="13"/>
      <c r="U1361" s="13"/>
      <c r="V1361" s="13"/>
      <c r="W1361" s="13"/>
      <c r="X1361" s="22" t="str">
        <f aca="false">IF(Q1361="","",Q1361^2)</f>
        <v/>
      </c>
      <c r="Y1361" s="22" t="str">
        <f aca="false">IF(AND(C1361&lt;&gt;"",C1361=CERTIFICADO!$E$4,OR(CERTIFICADO!$E$5="",B1361=CERTIFICADO!$E$5)),MAX($Y$4:Y1360)+1,"")</f>
        <v/>
      </c>
    </row>
    <row r="1362" customFormat="false" ht="15" hidden="false" customHeight="false" outlineLevel="0" collapsed="false">
      <c r="A1362" s="11" t="str">
        <f aca="false">IF(C1362="","",ROW()-4)</f>
        <v/>
      </c>
      <c r="B1362" s="12"/>
      <c r="C1362" s="13"/>
      <c r="D1362" s="23" t="str">
        <f aca="false">IF(C1362="","",IFERROR(INDEX(LOTES!$D$5:$D$1004,MATCH(C1362,LOTES!$F$5:$F$1004,0)),"¿Lote?"))</f>
        <v/>
      </c>
      <c r="E1362" s="11" t="str">
        <f aca="false">IF(C1362="","",IFERROR(INDEX(LOTES!$C$5:$C$1004,MATCH(C1362,LOTES!$F$5:$F$1004,0)),""))</f>
        <v/>
      </c>
      <c r="F1362" s="24" t="str">
        <f aca="false">IF(C1362="","",IFERROR(INDEX(LOTES!$B$5:$B$1004,MATCH(C1362,LOTES!$F$5:$F$1004,0)),""))</f>
        <v/>
      </c>
      <c r="G1362" s="15" t="str">
        <f aca="false">IF(OR(B1362="",F1362=""),"",B1362-F1362)</f>
        <v/>
      </c>
      <c r="H1362" s="13"/>
      <c r="I1362" s="13"/>
      <c r="J1362" s="13"/>
      <c r="K1362" s="25"/>
      <c r="L1362" s="25"/>
      <c r="M1362" s="25"/>
      <c r="N1362" s="25"/>
      <c r="O1362" s="26"/>
      <c r="P1362" s="16" t="str">
        <f aca="false">IF(O1362="","",IFERROR(1/(1/(IF(K1362="",INDEX(CONFIG!$F$5:$F$14,MATCH(D1362,CONFIG!$D$5:$D$14,0)),K1362)*IF(M1362="",INDEX(CONFIG!$H$5:$H$14,MATCH(D1362,CONFIG!$D$5:$D$14,0)),M1362))),""))</f>
        <v/>
      </c>
      <c r="Q1362" s="16" t="str">
        <f aca="false">IF(OR(O1362="",P1362=""),"",O1362/P1362)</f>
        <v/>
      </c>
      <c r="R1362" s="16" t="str">
        <f aca="false">IF(Q1362="","",Q1362*0.0980665)</f>
        <v/>
      </c>
      <c r="S1362" s="16" t="str">
        <f aca="false">IF(Q1362="","",IFERROR(Q1362/(1/(1/INDEX(CONFIG!$I$5:$I$14,MATCH(D1362,CONFIG!$D$5:$D$14,0)))),""))</f>
        <v/>
      </c>
      <c r="T1362" s="13"/>
      <c r="U1362" s="13"/>
      <c r="V1362" s="13"/>
      <c r="W1362" s="13"/>
      <c r="X1362" s="22" t="str">
        <f aca="false">IF(Q1362="","",Q1362^2)</f>
        <v/>
      </c>
      <c r="Y1362" s="22" t="str">
        <f aca="false">IF(AND(C1362&lt;&gt;"",C1362=CERTIFICADO!$E$4,OR(CERTIFICADO!$E$5="",B1362=CERTIFICADO!$E$5)),MAX($Y$4:Y1361)+1,"")</f>
        <v/>
      </c>
    </row>
    <row r="1363" customFormat="false" ht="15" hidden="false" customHeight="false" outlineLevel="0" collapsed="false">
      <c r="A1363" s="11" t="str">
        <f aca="false">IF(C1363="","",ROW()-4)</f>
        <v/>
      </c>
      <c r="B1363" s="12"/>
      <c r="C1363" s="13"/>
      <c r="D1363" s="23" t="str">
        <f aca="false">IF(C1363="","",IFERROR(INDEX(LOTES!$D$5:$D$1004,MATCH(C1363,LOTES!$F$5:$F$1004,0)),"¿Lote?"))</f>
        <v/>
      </c>
      <c r="E1363" s="11" t="str">
        <f aca="false">IF(C1363="","",IFERROR(INDEX(LOTES!$C$5:$C$1004,MATCH(C1363,LOTES!$F$5:$F$1004,0)),""))</f>
        <v/>
      </c>
      <c r="F1363" s="24" t="str">
        <f aca="false">IF(C1363="","",IFERROR(INDEX(LOTES!$B$5:$B$1004,MATCH(C1363,LOTES!$F$5:$F$1004,0)),""))</f>
        <v/>
      </c>
      <c r="G1363" s="15" t="str">
        <f aca="false">IF(OR(B1363="",F1363=""),"",B1363-F1363)</f>
        <v/>
      </c>
      <c r="H1363" s="13"/>
      <c r="I1363" s="13"/>
      <c r="J1363" s="13"/>
      <c r="K1363" s="25"/>
      <c r="L1363" s="25"/>
      <c r="M1363" s="25"/>
      <c r="N1363" s="25"/>
      <c r="O1363" s="26"/>
      <c r="P1363" s="16" t="str">
        <f aca="false">IF(O1363="","",IFERROR(1/(1/(IF(K1363="",INDEX(CONFIG!$F$5:$F$14,MATCH(D1363,CONFIG!$D$5:$D$14,0)),K1363)*IF(M1363="",INDEX(CONFIG!$H$5:$H$14,MATCH(D1363,CONFIG!$D$5:$D$14,0)),M1363))),""))</f>
        <v/>
      </c>
      <c r="Q1363" s="16" t="str">
        <f aca="false">IF(OR(O1363="",P1363=""),"",O1363/P1363)</f>
        <v/>
      </c>
      <c r="R1363" s="16" t="str">
        <f aca="false">IF(Q1363="","",Q1363*0.0980665)</f>
        <v/>
      </c>
      <c r="S1363" s="16" t="str">
        <f aca="false">IF(Q1363="","",IFERROR(Q1363/(1/(1/INDEX(CONFIG!$I$5:$I$14,MATCH(D1363,CONFIG!$D$5:$D$14,0)))),""))</f>
        <v/>
      </c>
      <c r="T1363" s="13"/>
      <c r="U1363" s="13"/>
      <c r="V1363" s="13"/>
      <c r="W1363" s="13"/>
      <c r="X1363" s="22" t="str">
        <f aca="false">IF(Q1363="","",Q1363^2)</f>
        <v/>
      </c>
      <c r="Y1363" s="22" t="str">
        <f aca="false">IF(AND(C1363&lt;&gt;"",C1363=CERTIFICADO!$E$4,OR(CERTIFICADO!$E$5="",B1363=CERTIFICADO!$E$5)),MAX($Y$4:Y1362)+1,"")</f>
        <v/>
      </c>
    </row>
    <row r="1364" customFormat="false" ht="15" hidden="false" customHeight="false" outlineLevel="0" collapsed="false">
      <c r="A1364" s="11" t="str">
        <f aca="false">IF(C1364="","",ROW()-4)</f>
        <v/>
      </c>
      <c r="B1364" s="12"/>
      <c r="C1364" s="13"/>
      <c r="D1364" s="23" t="str">
        <f aca="false">IF(C1364="","",IFERROR(INDEX(LOTES!$D$5:$D$1004,MATCH(C1364,LOTES!$F$5:$F$1004,0)),"¿Lote?"))</f>
        <v/>
      </c>
      <c r="E1364" s="11" t="str">
        <f aca="false">IF(C1364="","",IFERROR(INDEX(LOTES!$C$5:$C$1004,MATCH(C1364,LOTES!$F$5:$F$1004,0)),""))</f>
        <v/>
      </c>
      <c r="F1364" s="24" t="str">
        <f aca="false">IF(C1364="","",IFERROR(INDEX(LOTES!$B$5:$B$1004,MATCH(C1364,LOTES!$F$5:$F$1004,0)),""))</f>
        <v/>
      </c>
      <c r="G1364" s="15" t="str">
        <f aca="false">IF(OR(B1364="",F1364=""),"",B1364-F1364)</f>
        <v/>
      </c>
      <c r="H1364" s="13"/>
      <c r="I1364" s="13"/>
      <c r="J1364" s="13"/>
      <c r="K1364" s="25"/>
      <c r="L1364" s="25"/>
      <c r="M1364" s="25"/>
      <c r="N1364" s="25"/>
      <c r="O1364" s="26"/>
      <c r="P1364" s="16" t="str">
        <f aca="false">IF(O1364="","",IFERROR(1/(1/(IF(K1364="",INDEX(CONFIG!$F$5:$F$14,MATCH(D1364,CONFIG!$D$5:$D$14,0)),K1364)*IF(M1364="",INDEX(CONFIG!$H$5:$H$14,MATCH(D1364,CONFIG!$D$5:$D$14,0)),M1364))),""))</f>
        <v/>
      </c>
      <c r="Q1364" s="16" t="str">
        <f aca="false">IF(OR(O1364="",P1364=""),"",O1364/P1364)</f>
        <v/>
      </c>
      <c r="R1364" s="16" t="str">
        <f aca="false">IF(Q1364="","",Q1364*0.0980665)</f>
        <v/>
      </c>
      <c r="S1364" s="16" t="str">
        <f aca="false">IF(Q1364="","",IFERROR(Q1364/(1/(1/INDEX(CONFIG!$I$5:$I$14,MATCH(D1364,CONFIG!$D$5:$D$14,0)))),""))</f>
        <v/>
      </c>
      <c r="T1364" s="13"/>
      <c r="U1364" s="13"/>
      <c r="V1364" s="13"/>
      <c r="W1364" s="13"/>
      <c r="X1364" s="22" t="str">
        <f aca="false">IF(Q1364="","",Q1364^2)</f>
        <v/>
      </c>
      <c r="Y1364" s="22" t="str">
        <f aca="false">IF(AND(C1364&lt;&gt;"",C1364=CERTIFICADO!$E$4,OR(CERTIFICADO!$E$5="",B1364=CERTIFICADO!$E$5)),MAX($Y$4:Y1363)+1,"")</f>
        <v/>
      </c>
    </row>
    <row r="1365" customFormat="false" ht="15" hidden="false" customHeight="false" outlineLevel="0" collapsed="false">
      <c r="A1365" s="11" t="str">
        <f aca="false">IF(C1365="","",ROW()-4)</f>
        <v/>
      </c>
      <c r="B1365" s="12"/>
      <c r="C1365" s="13"/>
      <c r="D1365" s="23" t="str">
        <f aca="false">IF(C1365="","",IFERROR(INDEX(LOTES!$D$5:$D$1004,MATCH(C1365,LOTES!$F$5:$F$1004,0)),"¿Lote?"))</f>
        <v/>
      </c>
      <c r="E1365" s="11" t="str">
        <f aca="false">IF(C1365="","",IFERROR(INDEX(LOTES!$C$5:$C$1004,MATCH(C1365,LOTES!$F$5:$F$1004,0)),""))</f>
        <v/>
      </c>
      <c r="F1365" s="24" t="str">
        <f aca="false">IF(C1365="","",IFERROR(INDEX(LOTES!$B$5:$B$1004,MATCH(C1365,LOTES!$F$5:$F$1004,0)),""))</f>
        <v/>
      </c>
      <c r="G1365" s="15" t="str">
        <f aca="false">IF(OR(B1365="",F1365=""),"",B1365-F1365)</f>
        <v/>
      </c>
      <c r="H1365" s="13"/>
      <c r="I1365" s="13"/>
      <c r="J1365" s="13"/>
      <c r="K1365" s="25"/>
      <c r="L1365" s="25"/>
      <c r="M1365" s="25"/>
      <c r="N1365" s="25"/>
      <c r="O1365" s="26"/>
      <c r="P1365" s="16" t="str">
        <f aca="false">IF(O1365="","",IFERROR(1/(1/(IF(K1365="",INDEX(CONFIG!$F$5:$F$14,MATCH(D1365,CONFIG!$D$5:$D$14,0)),K1365)*IF(M1365="",INDEX(CONFIG!$H$5:$H$14,MATCH(D1365,CONFIG!$D$5:$D$14,0)),M1365))),""))</f>
        <v/>
      </c>
      <c r="Q1365" s="16" t="str">
        <f aca="false">IF(OR(O1365="",P1365=""),"",O1365/P1365)</f>
        <v/>
      </c>
      <c r="R1365" s="16" t="str">
        <f aca="false">IF(Q1365="","",Q1365*0.0980665)</f>
        <v/>
      </c>
      <c r="S1365" s="16" t="str">
        <f aca="false">IF(Q1365="","",IFERROR(Q1365/(1/(1/INDEX(CONFIG!$I$5:$I$14,MATCH(D1365,CONFIG!$D$5:$D$14,0)))),""))</f>
        <v/>
      </c>
      <c r="T1365" s="13"/>
      <c r="U1365" s="13"/>
      <c r="V1365" s="13"/>
      <c r="W1365" s="13"/>
      <c r="X1365" s="22" t="str">
        <f aca="false">IF(Q1365="","",Q1365^2)</f>
        <v/>
      </c>
      <c r="Y1365" s="22" t="str">
        <f aca="false">IF(AND(C1365&lt;&gt;"",C1365=CERTIFICADO!$E$4,OR(CERTIFICADO!$E$5="",B1365=CERTIFICADO!$E$5)),MAX($Y$4:Y1364)+1,"")</f>
        <v/>
      </c>
    </row>
    <row r="1366" customFormat="false" ht="15" hidden="false" customHeight="false" outlineLevel="0" collapsed="false">
      <c r="A1366" s="11" t="str">
        <f aca="false">IF(C1366="","",ROW()-4)</f>
        <v/>
      </c>
      <c r="B1366" s="12"/>
      <c r="C1366" s="13"/>
      <c r="D1366" s="23" t="str">
        <f aca="false">IF(C1366="","",IFERROR(INDEX(LOTES!$D$5:$D$1004,MATCH(C1366,LOTES!$F$5:$F$1004,0)),"¿Lote?"))</f>
        <v/>
      </c>
      <c r="E1366" s="11" t="str">
        <f aca="false">IF(C1366="","",IFERROR(INDEX(LOTES!$C$5:$C$1004,MATCH(C1366,LOTES!$F$5:$F$1004,0)),""))</f>
        <v/>
      </c>
      <c r="F1366" s="24" t="str">
        <f aca="false">IF(C1366="","",IFERROR(INDEX(LOTES!$B$5:$B$1004,MATCH(C1366,LOTES!$F$5:$F$1004,0)),""))</f>
        <v/>
      </c>
      <c r="G1366" s="15" t="str">
        <f aca="false">IF(OR(B1366="",F1366=""),"",B1366-F1366)</f>
        <v/>
      </c>
      <c r="H1366" s="13"/>
      <c r="I1366" s="13"/>
      <c r="J1366" s="13"/>
      <c r="K1366" s="25"/>
      <c r="L1366" s="25"/>
      <c r="M1366" s="25"/>
      <c r="N1366" s="25"/>
      <c r="O1366" s="26"/>
      <c r="P1366" s="16" t="str">
        <f aca="false">IF(O1366="","",IFERROR(1/(1/(IF(K1366="",INDEX(CONFIG!$F$5:$F$14,MATCH(D1366,CONFIG!$D$5:$D$14,0)),K1366)*IF(M1366="",INDEX(CONFIG!$H$5:$H$14,MATCH(D1366,CONFIG!$D$5:$D$14,0)),M1366))),""))</f>
        <v/>
      </c>
      <c r="Q1366" s="16" t="str">
        <f aca="false">IF(OR(O1366="",P1366=""),"",O1366/P1366)</f>
        <v/>
      </c>
      <c r="R1366" s="16" t="str">
        <f aca="false">IF(Q1366="","",Q1366*0.0980665)</f>
        <v/>
      </c>
      <c r="S1366" s="16" t="str">
        <f aca="false">IF(Q1366="","",IFERROR(Q1366/(1/(1/INDEX(CONFIG!$I$5:$I$14,MATCH(D1366,CONFIG!$D$5:$D$14,0)))),""))</f>
        <v/>
      </c>
      <c r="T1366" s="13"/>
      <c r="U1366" s="13"/>
      <c r="V1366" s="13"/>
      <c r="W1366" s="13"/>
      <c r="X1366" s="22" t="str">
        <f aca="false">IF(Q1366="","",Q1366^2)</f>
        <v/>
      </c>
      <c r="Y1366" s="22" t="str">
        <f aca="false">IF(AND(C1366&lt;&gt;"",C1366=CERTIFICADO!$E$4,OR(CERTIFICADO!$E$5="",B1366=CERTIFICADO!$E$5)),MAX($Y$4:Y1365)+1,"")</f>
        <v/>
      </c>
    </row>
    <row r="1367" customFormat="false" ht="15" hidden="false" customHeight="false" outlineLevel="0" collapsed="false">
      <c r="A1367" s="11" t="str">
        <f aca="false">IF(C1367="","",ROW()-4)</f>
        <v/>
      </c>
      <c r="B1367" s="12"/>
      <c r="C1367" s="13"/>
      <c r="D1367" s="23" t="str">
        <f aca="false">IF(C1367="","",IFERROR(INDEX(LOTES!$D$5:$D$1004,MATCH(C1367,LOTES!$F$5:$F$1004,0)),"¿Lote?"))</f>
        <v/>
      </c>
      <c r="E1367" s="11" t="str">
        <f aca="false">IF(C1367="","",IFERROR(INDEX(LOTES!$C$5:$C$1004,MATCH(C1367,LOTES!$F$5:$F$1004,0)),""))</f>
        <v/>
      </c>
      <c r="F1367" s="24" t="str">
        <f aca="false">IF(C1367="","",IFERROR(INDEX(LOTES!$B$5:$B$1004,MATCH(C1367,LOTES!$F$5:$F$1004,0)),""))</f>
        <v/>
      </c>
      <c r="G1367" s="15" t="str">
        <f aca="false">IF(OR(B1367="",F1367=""),"",B1367-F1367)</f>
        <v/>
      </c>
      <c r="H1367" s="13"/>
      <c r="I1367" s="13"/>
      <c r="J1367" s="13"/>
      <c r="K1367" s="25"/>
      <c r="L1367" s="25"/>
      <c r="M1367" s="25"/>
      <c r="N1367" s="25"/>
      <c r="O1367" s="26"/>
      <c r="P1367" s="16" t="str">
        <f aca="false">IF(O1367="","",IFERROR(1/(1/(IF(K1367="",INDEX(CONFIG!$F$5:$F$14,MATCH(D1367,CONFIG!$D$5:$D$14,0)),K1367)*IF(M1367="",INDEX(CONFIG!$H$5:$H$14,MATCH(D1367,CONFIG!$D$5:$D$14,0)),M1367))),""))</f>
        <v/>
      </c>
      <c r="Q1367" s="16" t="str">
        <f aca="false">IF(OR(O1367="",P1367=""),"",O1367/P1367)</f>
        <v/>
      </c>
      <c r="R1367" s="16" t="str">
        <f aca="false">IF(Q1367="","",Q1367*0.0980665)</f>
        <v/>
      </c>
      <c r="S1367" s="16" t="str">
        <f aca="false">IF(Q1367="","",IFERROR(Q1367/(1/(1/INDEX(CONFIG!$I$5:$I$14,MATCH(D1367,CONFIG!$D$5:$D$14,0)))),""))</f>
        <v/>
      </c>
      <c r="T1367" s="13"/>
      <c r="U1367" s="13"/>
      <c r="V1367" s="13"/>
      <c r="W1367" s="13"/>
      <c r="X1367" s="22" t="str">
        <f aca="false">IF(Q1367="","",Q1367^2)</f>
        <v/>
      </c>
      <c r="Y1367" s="22" t="str">
        <f aca="false">IF(AND(C1367&lt;&gt;"",C1367=CERTIFICADO!$E$4,OR(CERTIFICADO!$E$5="",B1367=CERTIFICADO!$E$5)),MAX($Y$4:Y1366)+1,"")</f>
        <v/>
      </c>
    </row>
    <row r="1368" customFormat="false" ht="15" hidden="false" customHeight="false" outlineLevel="0" collapsed="false">
      <c r="A1368" s="11" t="str">
        <f aca="false">IF(C1368="","",ROW()-4)</f>
        <v/>
      </c>
      <c r="B1368" s="12"/>
      <c r="C1368" s="13"/>
      <c r="D1368" s="23" t="str">
        <f aca="false">IF(C1368="","",IFERROR(INDEX(LOTES!$D$5:$D$1004,MATCH(C1368,LOTES!$F$5:$F$1004,0)),"¿Lote?"))</f>
        <v/>
      </c>
      <c r="E1368" s="11" t="str">
        <f aca="false">IF(C1368="","",IFERROR(INDEX(LOTES!$C$5:$C$1004,MATCH(C1368,LOTES!$F$5:$F$1004,0)),""))</f>
        <v/>
      </c>
      <c r="F1368" s="24" t="str">
        <f aca="false">IF(C1368="","",IFERROR(INDEX(LOTES!$B$5:$B$1004,MATCH(C1368,LOTES!$F$5:$F$1004,0)),""))</f>
        <v/>
      </c>
      <c r="G1368" s="15" t="str">
        <f aca="false">IF(OR(B1368="",F1368=""),"",B1368-F1368)</f>
        <v/>
      </c>
      <c r="H1368" s="13"/>
      <c r="I1368" s="13"/>
      <c r="J1368" s="13"/>
      <c r="K1368" s="25"/>
      <c r="L1368" s="25"/>
      <c r="M1368" s="25"/>
      <c r="N1368" s="25"/>
      <c r="O1368" s="26"/>
      <c r="P1368" s="16" t="str">
        <f aca="false">IF(O1368="","",IFERROR(1/(1/(IF(K1368="",INDEX(CONFIG!$F$5:$F$14,MATCH(D1368,CONFIG!$D$5:$D$14,0)),K1368)*IF(M1368="",INDEX(CONFIG!$H$5:$H$14,MATCH(D1368,CONFIG!$D$5:$D$14,0)),M1368))),""))</f>
        <v/>
      </c>
      <c r="Q1368" s="16" t="str">
        <f aca="false">IF(OR(O1368="",P1368=""),"",O1368/P1368)</f>
        <v/>
      </c>
      <c r="R1368" s="16" t="str">
        <f aca="false">IF(Q1368="","",Q1368*0.0980665)</f>
        <v/>
      </c>
      <c r="S1368" s="16" t="str">
        <f aca="false">IF(Q1368="","",IFERROR(Q1368/(1/(1/INDEX(CONFIG!$I$5:$I$14,MATCH(D1368,CONFIG!$D$5:$D$14,0)))),""))</f>
        <v/>
      </c>
      <c r="T1368" s="13"/>
      <c r="U1368" s="13"/>
      <c r="V1368" s="13"/>
      <c r="W1368" s="13"/>
      <c r="X1368" s="22" t="str">
        <f aca="false">IF(Q1368="","",Q1368^2)</f>
        <v/>
      </c>
      <c r="Y1368" s="22" t="str">
        <f aca="false">IF(AND(C1368&lt;&gt;"",C1368=CERTIFICADO!$E$4,OR(CERTIFICADO!$E$5="",B1368=CERTIFICADO!$E$5)),MAX($Y$4:Y1367)+1,"")</f>
        <v/>
      </c>
    </row>
    <row r="1369" customFormat="false" ht="15" hidden="false" customHeight="false" outlineLevel="0" collapsed="false">
      <c r="A1369" s="11" t="str">
        <f aca="false">IF(C1369="","",ROW()-4)</f>
        <v/>
      </c>
      <c r="B1369" s="12"/>
      <c r="C1369" s="13"/>
      <c r="D1369" s="23" t="str">
        <f aca="false">IF(C1369="","",IFERROR(INDEX(LOTES!$D$5:$D$1004,MATCH(C1369,LOTES!$F$5:$F$1004,0)),"¿Lote?"))</f>
        <v/>
      </c>
      <c r="E1369" s="11" t="str">
        <f aca="false">IF(C1369="","",IFERROR(INDEX(LOTES!$C$5:$C$1004,MATCH(C1369,LOTES!$F$5:$F$1004,0)),""))</f>
        <v/>
      </c>
      <c r="F1369" s="24" t="str">
        <f aca="false">IF(C1369="","",IFERROR(INDEX(LOTES!$B$5:$B$1004,MATCH(C1369,LOTES!$F$5:$F$1004,0)),""))</f>
        <v/>
      </c>
      <c r="G1369" s="15" t="str">
        <f aca="false">IF(OR(B1369="",F1369=""),"",B1369-F1369)</f>
        <v/>
      </c>
      <c r="H1369" s="13"/>
      <c r="I1369" s="13"/>
      <c r="J1369" s="13"/>
      <c r="K1369" s="25"/>
      <c r="L1369" s="25"/>
      <c r="M1369" s="25"/>
      <c r="N1369" s="25"/>
      <c r="O1369" s="26"/>
      <c r="P1369" s="16" t="str">
        <f aca="false">IF(O1369="","",IFERROR(1/(1/(IF(K1369="",INDEX(CONFIG!$F$5:$F$14,MATCH(D1369,CONFIG!$D$5:$D$14,0)),K1369)*IF(M1369="",INDEX(CONFIG!$H$5:$H$14,MATCH(D1369,CONFIG!$D$5:$D$14,0)),M1369))),""))</f>
        <v/>
      </c>
      <c r="Q1369" s="16" t="str">
        <f aca="false">IF(OR(O1369="",P1369=""),"",O1369/P1369)</f>
        <v/>
      </c>
      <c r="R1369" s="16" t="str">
        <f aca="false">IF(Q1369="","",Q1369*0.0980665)</f>
        <v/>
      </c>
      <c r="S1369" s="16" t="str">
        <f aca="false">IF(Q1369="","",IFERROR(Q1369/(1/(1/INDEX(CONFIG!$I$5:$I$14,MATCH(D1369,CONFIG!$D$5:$D$14,0)))),""))</f>
        <v/>
      </c>
      <c r="T1369" s="13"/>
      <c r="U1369" s="13"/>
      <c r="V1369" s="13"/>
      <c r="W1369" s="13"/>
      <c r="X1369" s="22" t="str">
        <f aca="false">IF(Q1369="","",Q1369^2)</f>
        <v/>
      </c>
      <c r="Y1369" s="22" t="str">
        <f aca="false">IF(AND(C1369&lt;&gt;"",C1369=CERTIFICADO!$E$4,OR(CERTIFICADO!$E$5="",B1369=CERTIFICADO!$E$5)),MAX($Y$4:Y1368)+1,"")</f>
        <v/>
      </c>
    </row>
    <row r="1370" customFormat="false" ht="15" hidden="false" customHeight="false" outlineLevel="0" collapsed="false">
      <c r="A1370" s="11" t="str">
        <f aca="false">IF(C1370="","",ROW()-4)</f>
        <v/>
      </c>
      <c r="B1370" s="12"/>
      <c r="C1370" s="13"/>
      <c r="D1370" s="23" t="str">
        <f aca="false">IF(C1370="","",IFERROR(INDEX(LOTES!$D$5:$D$1004,MATCH(C1370,LOTES!$F$5:$F$1004,0)),"¿Lote?"))</f>
        <v/>
      </c>
      <c r="E1370" s="11" t="str">
        <f aca="false">IF(C1370="","",IFERROR(INDEX(LOTES!$C$5:$C$1004,MATCH(C1370,LOTES!$F$5:$F$1004,0)),""))</f>
        <v/>
      </c>
      <c r="F1370" s="24" t="str">
        <f aca="false">IF(C1370="","",IFERROR(INDEX(LOTES!$B$5:$B$1004,MATCH(C1370,LOTES!$F$5:$F$1004,0)),""))</f>
        <v/>
      </c>
      <c r="G1370" s="15" t="str">
        <f aca="false">IF(OR(B1370="",F1370=""),"",B1370-F1370)</f>
        <v/>
      </c>
      <c r="H1370" s="13"/>
      <c r="I1370" s="13"/>
      <c r="J1370" s="13"/>
      <c r="K1370" s="25"/>
      <c r="L1370" s="25"/>
      <c r="M1370" s="25"/>
      <c r="N1370" s="25"/>
      <c r="O1370" s="26"/>
      <c r="P1370" s="16" t="str">
        <f aca="false">IF(O1370="","",IFERROR(1/(1/(IF(K1370="",INDEX(CONFIG!$F$5:$F$14,MATCH(D1370,CONFIG!$D$5:$D$14,0)),K1370)*IF(M1370="",INDEX(CONFIG!$H$5:$H$14,MATCH(D1370,CONFIG!$D$5:$D$14,0)),M1370))),""))</f>
        <v/>
      </c>
      <c r="Q1370" s="16" t="str">
        <f aca="false">IF(OR(O1370="",P1370=""),"",O1370/P1370)</f>
        <v/>
      </c>
      <c r="R1370" s="16" t="str">
        <f aca="false">IF(Q1370="","",Q1370*0.0980665)</f>
        <v/>
      </c>
      <c r="S1370" s="16" t="str">
        <f aca="false">IF(Q1370="","",IFERROR(Q1370/(1/(1/INDEX(CONFIG!$I$5:$I$14,MATCH(D1370,CONFIG!$D$5:$D$14,0)))),""))</f>
        <v/>
      </c>
      <c r="T1370" s="13"/>
      <c r="U1370" s="13"/>
      <c r="V1370" s="13"/>
      <c r="W1370" s="13"/>
      <c r="X1370" s="22" t="str">
        <f aca="false">IF(Q1370="","",Q1370^2)</f>
        <v/>
      </c>
      <c r="Y1370" s="22" t="str">
        <f aca="false">IF(AND(C1370&lt;&gt;"",C1370=CERTIFICADO!$E$4,OR(CERTIFICADO!$E$5="",B1370=CERTIFICADO!$E$5)),MAX($Y$4:Y1369)+1,"")</f>
        <v/>
      </c>
    </row>
    <row r="1371" customFormat="false" ht="15" hidden="false" customHeight="false" outlineLevel="0" collapsed="false">
      <c r="A1371" s="11" t="str">
        <f aca="false">IF(C1371="","",ROW()-4)</f>
        <v/>
      </c>
      <c r="B1371" s="12"/>
      <c r="C1371" s="13"/>
      <c r="D1371" s="23" t="str">
        <f aca="false">IF(C1371="","",IFERROR(INDEX(LOTES!$D$5:$D$1004,MATCH(C1371,LOTES!$F$5:$F$1004,0)),"¿Lote?"))</f>
        <v/>
      </c>
      <c r="E1371" s="11" t="str">
        <f aca="false">IF(C1371="","",IFERROR(INDEX(LOTES!$C$5:$C$1004,MATCH(C1371,LOTES!$F$5:$F$1004,0)),""))</f>
        <v/>
      </c>
      <c r="F1371" s="24" t="str">
        <f aca="false">IF(C1371="","",IFERROR(INDEX(LOTES!$B$5:$B$1004,MATCH(C1371,LOTES!$F$5:$F$1004,0)),""))</f>
        <v/>
      </c>
      <c r="G1371" s="15" t="str">
        <f aca="false">IF(OR(B1371="",F1371=""),"",B1371-F1371)</f>
        <v/>
      </c>
      <c r="H1371" s="13"/>
      <c r="I1371" s="13"/>
      <c r="J1371" s="13"/>
      <c r="K1371" s="25"/>
      <c r="L1371" s="25"/>
      <c r="M1371" s="25"/>
      <c r="N1371" s="25"/>
      <c r="O1371" s="26"/>
      <c r="P1371" s="16" t="str">
        <f aca="false">IF(O1371="","",IFERROR(1/(1/(IF(K1371="",INDEX(CONFIG!$F$5:$F$14,MATCH(D1371,CONFIG!$D$5:$D$14,0)),K1371)*IF(M1371="",INDEX(CONFIG!$H$5:$H$14,MATCH(D1371,CONFIG!$D$5:$D$14,0)),M1371))),""))</f>
        <v/>
      </c>
      <c r="Q1371" s="16" t="str">
        <f aca="false">IF(OR(O1371="",P1371=""),"",O1371/P1371)</f>
        <v/>
      </c>
      <c r="R1371" s="16" t="str">
        <f aca="false">IF(Q1371="","",Q1371*0.0980665)</f>
        <v/>
      </c>
      <c r="S1371" s="16" t="str">
        <f aca="false">IF(Q1371="","",IFERROR(Q1371/(1/(1/INDEX(CONFIG!$I$5:$I$14,MATCH(D1371,CONFIG!$D$5:$D$14,0)))),""))</f>
        <v/>
      </c>
      <c r="T1371" s="13"/>
      <c r="U1371" s="13"/>
      <c r="V1371" s="13"/>
      <c r="W1371" s="13"/>
      <c r="X1371" s="22" t="str">
        <f aca="false">IF(Q1371="","",Q1371^2)</f>
        <v/>
      </c>
      <c r="Y1371" s="22" t="str">
        <f aca="false">IF(AND(C1371&lt;&gt;"",C1371=CERTIFICADO!$E$4,OR(CERTIFICADO!$E$5="",B1371=CERTIFICADO!$E$5)),MAX($Y$4:Y1370)+1,"")</f>
        <v/>
      </c>
    </row>
    <row r="1372" customFormat="false" ht="15" hidden="false" customHeight="false" outlineLevel="0" collapsed="false">
      <c r="A1372" s="11" t="str">
        <f aca="false">IF(C1372="","",ROW()-4)</f>
        <v/>
      </c>
      <c r="B1372" s="12"/>
      <c r="C1372" s="13"/>
      <c r="D1372" s="23" t="str">
        <f aca="false">IF(C1372="","",IFERROR(INDEX(LOTES!$D$5:$D$1004,MATCH(C1372,LOTES!$F$5:$F$1004,0)),"¿Lote?"))</f>
        <v/>
      </c>
      <c r="E1372" s="11" t="str">
        <f aca="false">IF(C1372="","",IFERROR(INDEX(LOTES!$C$5:$C$1004,MATCH(C1372,LOTES!$F$5:$F$1004,0)),""))</f>
        <v/>
      </c>
      <c r="F1372" s="24" t="str">
        <f aca="false">IF(C1372="","",IFERROR(INDEX(LOTES!$B$5:$B$1004,MATCH(C1372,LOTES!$F$5:$F$1004,0)),""))</f>
        <v/>
      </c>
      <c r="G1372" s="15" t="str">
        <f aca="false">IF(OR(B1372="",F1372=""),"",B1372-F1372)</f>
        <v/>
      </c>
      <c r="H1372" s="13"/>
      <c r="I1372" s="13"/>
      <c r="J1372" s="13"/>
      <c r="K1372" s="25"/>
      <c r="L1372" s="25"/>
      <c r="M1372" s="25"/>
      <c r="N1372" s="25"/>
      <c r="O1372" s="26"/>
      <c r="P1372" s="16" t="str">
        <f aca="false">IF(O1372="","",IFERROR(1/(1/(IF(K1372="",INDEX(CONFIG!$F$5:$F$14,MATCH(D1372,CONFIG!$D$5:$D$14,0)),K1372)*IF(M1372="",INDEX(CONFIG!$H$5:$H$14,MATCH(D1372,CONFIG!$D$5:$D$14,0)),M1372))),""))</f>
        <v/>
      </c>
      <c r="Q1372" s="16" t="str">
        <f aca="false">IF(OR(O1372="",P1372=""),"",O1372/P1372)</f>
        <v/>
      </c>
      <c r="R1372" s="16" t="str">
        <f aca="false">IF(Q1372="","",Q1372*0.0980665)</f>
        <v/>
      </c>
      <c r="S1372" s="16" t="str">
        <f aca="false">IF(Q1372="","",IFERROR(Q1372/(1/(1/INDEX(CONFIG!$I$5:$I$14,MATCH(D1372,CONFIG!$D$5:$D$14,0)))),""))</f>
        <v/>
      </c>
      <c r="T1372" s="13"/>
      <c r="U1372" s="13"/>
      <c r="V1372" s="13"/>
      <c r="W1372" s="13"/>
      <c r="X1372" s="22" t="str">
        <f aca="false">IF(Q1372="","",Q1372^2)</f>
        <v/>
      </c>
      <c r="Y1372" s="22" t="str">
        <f aca="false">IF(AND(C1372&lt;&gt;"",C1372=CERTIFICADO!$E$4,OR(CERTIFICADO!$E$5="",B1372=CERTIFICADO!$E$5)),MAX($Y$4:Y1371)+1,"")</f>
        <v/>
      </c>
    </row>
    <row r="1373" customFormat="false" ht="15" hidden="false" customHeight="false" outlineLevel="0" collapsed="false">
      <c r="A1373" s="11" t="str">
        <f aca="false">IF(C1373="","",ROW()-4)</f>
        <v/>
      </c>
      <c r="B1373" s="12"/>
      <c r="C1373" s="13"/>
      <c r="D1373" s="23" t="str">
        <f aca="false">IF(C1373="","",IFERROR(INDEX(LOTES!$D$5:$D$1004,MATCH(C1373,LOTES!$F$5:$F$1004,0)),"¿Lote?"))</f>
        <v/>
      </c>
      <c r="E1373" s="11" t="str">
        <f aca="false">IF(C1373="","",IFERROR(INDEX(LOTES!$C$5:$C$1004,MATCH(C1373,LOTES!$F$5:$F$1004,0)),""))</f>
        <v/>
      </c>
      <c r="F1373" s="24" t="str">
        <f aca="false">IF(C1373="","",IFERROR(INDEX(LOTES!$B$5:$B$1004,MATCH(C1373,LOTES!$F$5:$F$1004,0)),""))</f>
        <v/>
      </c>
      <c r="G1373" s="15" t="str">
        <f aca="false">IF(OR(B1373="",F1373=""),"",B1373-F1373)</f>
        <v/>
      </c>
      <c r="H1373" s="13"/>
      <c r="I1373" s="13"/>
      <c r="J1373" s="13"/>
      <c r="K1373" s="25"/>
      <c r="L1373" s="25"/>
      <c r="M1373" s="25"/>
      <c r="N1373" s="25"/>
      <c r="O1373" s="26"/>
      <c r="P1373" s="16" t="str">
        <f aca="false">IF(O1373="","",IFERROR(1/(1/(IF(K1373="",INDEX(CONFIG!$F$5:$F$14,MATCH(D1373,CONFIG!$D$5:$D$14,0)),K1373)*IF(M1373="",INDEX(CONFIG!$H$5:$H$14,MATCH(D1373,CONFIG!$D$5:$D$14,0)),M1373))),""))</f>
        <v/>
      </c>
      <c r="Q1373" s="16" t="str">
        <f aca="false">IF(OR(O1373="",P1373=""),"",O1373/P1373)</f>
        <v/>
      </c>
      <c r="R1373" s="16" t="str">
        <f aca="false">IF(Q1373="","",Q1373*0.0980665)</f>
        <v/>
      </c>
      <c r="S1373" s="16" t="str">
        <f aca="false">IF(Q1373="","",IFERROR(Q1373/(1/(1/INDEX(CONFIG!$I$5:$I$14,MATCH(D1373,CONFIG!$D$5:$D$14,0)))),""))</f>
        <v/>
      </c>
      <c r="T1373" s="13"/>
      <c r="U1373" s="13"/>
      <c r="V1373" s="13"/>
      <c r="W1373" s="13"/>
      <c r="X1373" s="22" t="str">
        <f aca="false">IF(Q1373="","",Q1373^2)</f>
        <v/>
      </c>
      <c r="Y1373" s="22" t="str">
        <f aca="false">IF(AND(C1373&lt;&gt;"",C1373=CERTIFICADO!$E$4,OR(CERTIFICADO!$E$5="",B1373=CERTIFICADO!$E$5)),MAX($Y$4:Y1372)+1,"")</f>
        <v/>
      </c>
    </row>
    <row r="1374" customFormat="false" ht="15" hidden="false" customHeight="false" outlineLevel="0" collapsed="false">
      <c r="A1374" s="11" t="str">
        <f aca="false">IF(C1374="","",ROW()-4)</f>
        <v/>
      </c>
      <c r="B1374" s="12"/>
      <c r="C1374" s="13"/>
      <c r="D1374" s="23" t="str">
        <f aca="false">IF(C1374="","",IFERROR(INDEX(LOTES!$D$5:$D$1004,MATCH(C1374,LOTES!$F$5:$F$1004,0)),"¿Lote?"))</f>
        <v/>
      </c>
      <c r="E1374" s="11" t="str">
        <f aca="false">IF(C1374="","",IFERROR(INDEX(LOTES!$C$5:$C$1004,MATCH(C1374,LOTES!$F$5:$F$1004,0)),""))</f>
        <v/>
      </c>
      <c r="F1374" s="24" t="str">
        <f aca="false">IF(C1374="","",IFERROR(INDEX(LOTES!$B$5:$B$1004,MATCH(C1374,LOTES!$F$5:$F$1004,0)),""))</f>
        <v/>
      </c>
      <c r="G1374" s="15" t="str">
        <f aca="false">IF(OR(B1374="",F1374=""),"",B1374-F1374)</f>
        <v/>
      </c>
      <c r="H1374" s="13"/>
      <c r="I1374" s="13"/>
      <c r="J1374" s="13"/>
      <c r="K1374" s="25"/>
      <c r="L1374" s="25"/>
      <c r="M1374" s="25"/>
      <c r="N1374" s="25"/>
      <c r="O1374" s="26"/>
      <c r="P1374" s="16" t="str">
        <f aca="false">IF(O1374="","",IFERROR(1/(1/(IF(K1374="",INDEX(CONFIG!$F$5:$F$14,MATCH(D1374,CONFIG!$D$5:$D$14,0)),K1374)*IF(M1374="",INDEX(CONFIG!$H$5:$H$14,MATCH(D1374,CONFIG!$D$5:$D$14,0)),M1374))),""))</f>
        <v/>
      </c>
      <c r="Q1374" s="16" t="str">
        <f aca="false">IF(OR(O1374="",P1374=""),"",O1374/P1374)</f>
        <v/>
      </c>
      <c r="R1374" s="16" t="str">
        <f aca="false">IF(Q1374="","",Q1374*0.0980665)</f>
        <v/>
      </c>
      <c r="S1374" s="16" t="str">
        <f aca="false">IF(Q1374="","",IFERROR(Q1374/(1/(1/INDEX(CONFIG!$I$5:$I$14,MATCH(D1374,CONFIG!$D$5:$D$14,0)))),""))</f>
        <v/>
      </c>
      <c r="T1374" s="13"/>
      <c r="U1374" s="13"/>
      <c r="V1374" s="13"/>
      <c r="W1374" s="13"/>
      <c r="X1374" s="22" t="str">
        <f aca="false">IF(Q1374="","",Q1374^2)</f>
        <v/>
      </c>
      <c r="Y1374" s="22" t="str">
        <f aca="false">IF(AND(C1374&lt;&gt;"",C1374=CERTIFICADO!$E$4,OR(CERTIFICADO!$E$5="",B1374=CERTIFICADO!$E$5)),MAX($Y$4:Y1373)+1,"")</f>
        <v/>
      </c>
    </row>
    <row r="1375" customFormat="false" ht="15" hidden="false" customHeight="false" outlineLevel="0" collapsed="false">
      <c r="A1375" s="11" t="str">
        <f aca="false">IF(C1375="","",ROW()-4)</f>
        <v/>
      </c>
      <c r="B1375" s="12"/>
      <c r="C1375" s="13"/>
      <c r="D1375" s="23" t="str">
        <f aca="false">IF(C1375="","",IFERROR(INDEX(LOTES!$D$5:$D$1004,MATCH(C1375,LOTES!$F$5:$F$1004,0)),"¿Lote?"))</f>
        <v/>
      </c>
      <c r="E1375" s="11" t="str">
        <f aca="false">IF(C1375="","",IFERROR(INDEX(LOTES!$C$5:$C$1004,MATCH(C1375,LOTES!$F$5:$F$1004,0)),""))</f>
        <v/>
      </c>
      <c r="F1375" s="24" t="str">
        <f aca="false">IF(C1375="","",IFERROR(INDEX(LOTES!$B$5:$B$1004,MATCH(C1375,LOTES!$F$5:$F$1004,0)),""))</f>
        <v/>
      </c>
      <c r="G1375" s="15" t="str">
        <f aca="false">IF(OR(B1375="",F1375=""),"",B1375-F1375)</f>
        <v/>
      </c>
      <c r="H1375" s="13"/>
      <c r="I1375" s="13"/>
      <c r="J1375" s="13"/>
      <c r="K1375" s="25"/>
      <c r="L1375" s="25"/>
      <c r="M1375" s="25"/>
      <c r="N1375" s="25"/>
      <c r="O1375" s="26"/>
      <c r="P1375" s="16" t="str">
        <f aca="false">IF(O1375="","",IFERROR(1/(1/(IF(K1375="",INDEX(CONFIG!$F$5:$F$14,MATCH(D1375,CONFIG!$D$5:$D$14,0)),K1375)*IF(M1375="",INDEX(CONFIG!$H$5:$H$14,MATCH(D1375,CONFIG!$D$5:$D$14,0)),M1375))),""))</f>
        <v/>
      </c>
      <c r="Q1375" s="16" t="str">
        <f aca="false">IF(OR(O1375="",P1375=""),"",O1375/P1375)</f>
        <v/>
      </c>
      <c r="R1375" s="16" t="str">
        <f aca="false">IF(Q1375="","",Q1375*0.0980665)</f>
        <v/>
      </c>
      <c r="S1375" s="16" t="str">
        <f aca="false">IF(Q1375="","",IFERROR(Q1375/(1/(1/INDEX(CONFIG!$I$5:$I$14,MATCH(D1375,CONFIG!$D$5:$D$14,0)))),""))</f>
        <v/>
      </c>
      <c r="T1375" s="13"/>
      <c r="U1375" s="13"/>
      <c r="V1375" s="13"/>
      <c r="W1375" s="13"/>
      <c r="X1375" s="22" t="str">
        <f aca="false">IF(Q1375="","",Q1375^2)</f>
        <v/>
      </c>
      <c r="Y1375" s="22" t="str">
        <f aca="false">IF(AND(C1375&lt;&gt;"",C1375=CERTIFICADO!$E$4,OR(CERTIFICADO!$E$5="",B1375=CERTIFICADO!$E$5)),MAX($Y$4:Y1374)+1,"")</f>
        <v/>
      </c>
    </row>
    <row r="1376" customFormat="false" ht="15" hidden="false" customHeight="false" outlineLevel="0" collapsed="false">
      <c r="A1376" s="11" t="str">
        <f aca="false">IF(C1376="","",ROW()-4)</f>
        <v/>
      </c>
      <c r="B1376" s="12"/>
      <c r="C1376" s="13"/>
      <c r="D1376" s="23" t="str">
        <f aca="false">IF(C1376="","",IFERROR(INDEX(LOTES!$D$5:$D$1004,MATCH(C1376,LOTES!$F$5:$F$1004,0)),"¿Lote?"))</f>
        <v/>
      </c>
      <c r="E1376" s="11" t="str">
        <f aca="false">IF(C1376="","",IFERROR(INDEX(LOTES!$C$5:$C$1004,MATCH(C1376,LOTES!$F$5:$F$1004,0)),""))</f>
        <v/>
      </c>
      <c r="F1376" s="24" t="str">
        <f aca="false">IF(C1376="","",IFERROR(INDEX(LOTES!$B$5:$B$1004,MATCH(C1376,LOTES!$F$5:$F$1004,0)),""))</f>
        <v/>
      </c>
      <c r="G1376" s="15" t="str">
        <f aca="false">IF(OR(B1376="",F1376=""),"",B1376-F1376)</f>
        <v/>
      </c>
      <c r="H1376" s="13"/>
      <c r="I1376" s="13"/>
      <c r="J1376" s="13"/>
      <c r="K1376" s="25"/>
      <c r="L1376" s="25"/>
      <c r="M1376" s="25"/>
      <c r="N1376" s="25"/>
      <c r="O1376" s="26"/>
      <c r="P1376" s="16" t="str">
        <f aca="false">IF(O1376="","",IFERROR(1/(1/(IF(K1376="",INDEX(CONFIG!$F$5:$F$14,MATCH(D1376,CONFIG!$D$5:$D$14,0)),K1376)*IF(M1376="",INDEX(CONFIG!$H$5:$H$14,MATCH(D1376,CONFIG!$D$5:$D$14,0)),M1376))),""))</f>
        <v/>
      </c>
      <c r="Q1376" s="16" t="str">
        <f aca="false">IF(OR(O1376="",P1376=""),"",O1376/P1376)</f>
        <v/>
      </c>
      <c r="R1376" s="16" t="str">
        <f aca="false">IF(Q1376="","",Q1376*0.0980665)</f>
        <v/>
      </c>
      <c r="S1376" s="16" t="str">
        <f aca="false">IF(Q1376="","",IFERROR(Q1376/(1/(1/INDEX(CONFIG!$I$5:$I$14,MATCH(D1376,CONFIG!$D$5:$D$14,0)))),""))</f>
        <v/>
      </c>
      <c r="T1376" s="13"/>
      <c r="U1376" s="13"/>
      <c r="V1376" s="13"/>
      <c r="W1376" s="13"/>
      <c r="X1376" s="22" t="str">
        <f aca="false">IF(Q1376="","",Q1376^2)</f>
        <v/>
      </c>
      <c r="Y1376" s="22" t="str">
        <f aca="false">IF(AND(C1376&lt;&gt;"",C1376=CERTIFICADO!$E$4,OR(CERTIFICADO!$E$5="",B1376=CERTIFICADO!$E$5)),MAX($Y$4:Y1375)+1,"")</f>
        <v/>
      </c>
    </row>
    <row r="1377" customFormat="false" ht="15" hidden="false" customHeight="false" outlineLevel="0" collapsed="false">
      <c r="A1377" s="11" t="str">
        <f aca="false">IF(C1377="","",ROW()-4)</f>
        <v/>
      </c>
      <c r="B1377" s="12"/>
      <c r="C1377" s="13"/>
      <c r="D1377" s="23" t="str">
        <f aca="false">IF(C1377="","",IFERROR(INDEX(LOTES!$D$5:$D$1004,MATCH(C1377,LOTES!$F$5:$F$1004,0)),"¿Lote?"))</f>
        <v/>
      </c>
      <c r="E1377" s="11" t="str">
        <f aca="false">IF(C1377="","",IFERROR(INDEX(LOTES!$C$5:$C$1004,MATCH(C1377,LOTES!$F$5:$F$1004,0)),""))</f>
        <v/>
      </c>
      <c r="F1377" s="24" t="str">
        <f aca="false">IF(C1377="","",IFERROR(INDEX(LOTES!$B$5:$B$1004,MATCH(C1377,LOTES!$F$5:$F$1004,0)),""))</f>
        <v/>
      </c>
      <c r="G1377" s="15" t="str">
        <f aca="false">IF(OR(B1377="",F1377=""),"",B1377-F1377)</f>
        <v/>
      </c>
      <c r="H1377" s="13"/>
      <c r="I1377" s="13"/>
      <c r="J1377" s="13"/>
      <c r="K1377" s="25"/>
      <c r="L1377" s="25"/>
      <c r="M1377" s="25"/>
      <c r="N1377" s="25"/>
      <c r="O1377" s="26"/>
      <c r="P1377" s="16" t="str">
        <f aca="false">IF(O1377="","",IFERROR(1/(1/(IF(K1377="",INDEX(CONFIG!$F$5:$F$14,MATCH(D1377,CONFIG!$D$5:$D$14,0)),K1377)*IF(M1377="",INDEX(CONFIG!$H$5:$H$14,MATCH(D1377,CONFIG!$D$5:$D$14,0)),M1377))),""))</f>
        <v/>
      </c>
      <c r="Q1377" s="16" t="str">
        <f aca="false">IF(OR(O1377="",P1377=""),"",O1377/P1377)</f>
        <v/>
      </c>
      <c r="R1377" s="16" t="str">
        <f aca="false">IF(Q1377="","",Q1377*0.0980665)</f>
        <v/>
      </c>
      <c r="S1377" s="16" t="str">
        <f aca="false">IF(Q1377="","",IFERROR(Q1377/(1/(1/INDEX(CONFIG!$I$5:$I$14,MATCH(D1377,CONFIG!$D$5:$D$14,0)))),""))</f>
        <v/>
      </c>
      <c r="T1377" s="13"/>
      <c r="U1377" s="13"/>
      <c r="V1377" s="13"/>
      <c r="W1377" s="13"/>
      <c r="X1377" s="22" t="str">
        <f aca="false">IF(Q1377="","",Q1377^2)</f>
        <v/>
      </c>
      <c r="Y1377" s="22" t="str">
        <f aca="false">IF(AND(C1377&lt;&gt;"",C1377=CERTIFICADO!$E$4,OR(CERTIFICADO!$E$5="",B1377=CERTIFICADO!$E$5)),MAX($Y$4:Y1376)+1,"")</f>
        <v/>
      </c>
    </row>
    <row r="1378" customFormat="false" ht="15" hidden="false" customHeight="false" outlineLevel="0" collapsed="false">
      <c r="A1378" s="11" t="str">
        <f aca="false">IF(C1378="","",ROW()-4)</f>
        <v/>
      </c>
      <c r="B1378" s="12"/>
      <c r="C1378" s="13"/>
      <c r="D1378" s="23" t="str">
        <f aca="false">IF(C1378="","",IFERROR(INDEX(LOTES!$D$5:$D$1004,MATCH(C1378,LOTES!$F$5:$F$1004,0)),"¿Lote?"))</f>
        <v/>
      </c>
      <c r="E1378" s="11" t="str">
        <f aca="false">IF(C1378="","",IFERROR(INDEX(LOTES!$C$5:$C$1004,MATCH(C1378,LOTES!$F$5:$F$1004,0)),""))</f>
        <v/>
      </c>
      <c r="F1378" s="24" t="str">
        <f aca="false">IF(C1378="","",IFERROR(INDEX(LOTES!$B$5:$B$1004,MATCH(C1378,LOTES!$F$5:$F$1004,0)),""))</f>
        <v/>
      </c>
      <c r="G1378" s="15" t="str">
        <f aca="false">IF(OR(B1378="",F1378=""),"",B1378-F1378)</f>
        <v/>
      </c>
      <c r="H1378" s="13"/>
      <c r="I1378" s="13"/>
      <c r="J1378" s="13"/>
      <c r="K1378" s="25"/>
      <c r="L1378" s="25"/>
      <c r="M1378" s="25"/>
      <c r="N1378" s="25"/>
      <c r="O1378" s="26"/>
      <c r="P1378" s="16" t="str">
        <f aca="false">IF(O1378="","",IFERROR(1/(1/(IF(K1378="",INDEX(CONFIG!$F$5:$F$14,MATCH(D1378,CONFIG!$D$5:$D$14,0)),K1378)*IF(M1378="",INDEX(CONFIG!$H$5:$H$14,MATCH(D1378,CONFIG!$D$5:$D$14,0)),M1378))),""))</f>
        <v/>
      </c>
      <c r="Q1378" s="16" t="str">
        <f aca="false">IF(OR(O1378="",P1378=""),"",O1378/P1378)</f>
        <v/>
      </c>
      <c r="R1378" s="16" t="str">
        <f aca="false">IF(Q1378="","",Q1378*0.0980665)</f>
        <v/>
      </c>
      <c r="S1378" s="16" t="str">
        <f aca="false">IF(Q1378="","",IFERROR(Q1378/(1/(1/INDEX(CONFIG!$I$5:$I$14,MATCH(D1378,CONFIG!$D$5:$D$14,0)))),""))</f>
        <v/>
      </c>
      <c r="T1378" s="13"/>
      <c r="U1378" s="13"/>
      <c r="V1378" s="13"/>
      <c r="W1378" s="13"/>
      <c r="X1378" s="22" t="str">
        <f aca="false">IF(Q1378="","",Q1378^2)</f>
        <v/>
      </c>
      <c r="Y1378" s="22" t="str">
        <f aca="false">IF(AND(C1378&lt;&gt;"",C1378=CERTIFICADO!$E$4,OR(CERTIFICADO!$E$5="",B1378=CERTIFICADO!$E$5)),MAX($Y$4:Y1377)+1,"")</f>
        <v/>
      </c>
    </row>
    <row r="1379" customFormat="false" ht="15" hidden="false" customHeight="false" outlineLevel="0" collapsed="false">
      <c r="A1379" s="11" t="str">
        <f aca="false">IF(C1379="","",ROW()-4)</f>
        <v/>
      </c>
      <c r="B1379" s="12"/>
      <c r="C1379" s="13"/>
      <c r="D1379" s="23" t="str">
        <f aca="false">IF(C1379="","",IFERROR(INDEX(LOTES!$D$5:$D$1004,MATCH(C1379,LOTES!$F$5:$F$1004,0)),"¿Lote?"))</f>
        <v/>
      </c>
      <c r="E1379" s="11" t="str">
        <f aca="false">IF(C1379="","",IFERROR(INDEX(LOTES!$C$5:$C$1004,MATCH(C1379,LOTES!$F$5:$F$1004,0)),""))</f>
        <v/>
      </c>
      <c r="F1379" s="24" t="str">
        <f aca="false">IF(C1379="","",IFERROR(INDEX(LOTES!$B$5:$B$1004,MATCH(C1379,LOTES!$F$5:$F$1004,0)),""))</f>
        <v/>
      </c>
      <c r="G1379" s="15" t="str">
        <f aca="false">IF(OR(B1379="",F1379=""),"",B1379-F1379)</f>
        <v/>
      </c>
      <c r="H1379" s="13"/>
      <c r="I1379" s="13"/>
      <c r="J1379" s="13"/>
      <c r="K1379" s="25"/>
      <c r="L1379" s="25"/>
      <c r="M1379" s="25"/>
      <c r="N1379" s="25"/>
      <c r="O1379" s="26"/>
      <c r="P1379" s="16" t="str">
        <f aca="false">IF(O1379="","",IFERROR(1/(1/(IF(K1379="",INDEX(CONFIG!$F$5:$F$14,MATCH(D1379,CONFIG!$D$5:$D$14,0)),K1379)*IF(M1379="",INDEX(CONFIG!$H$5:$H$14,MATCH(D1379,CONFIG!$D$5:$D$14,0)),M1379))),""))</f>
        <v/>
      </c>
      <c r="Q1379" s="16" t="str">
        <f aca="false">IF(OR(O1379="",P1379=""),"",O1379/P1379)</f>
        <v/>
      </c>
      <c r="R1379" s="16" t="str">
        <f aca="false">IF(Q1379="","",Q1379*0.0980665)</f>
        <v/>
      </c>
      <c r="S1379" s="16" t="str">
        <f aca="false">IF(Q1379="","",IFERROR(Q1379/(1/(1/INDEX(CONFIG!$I$5:$I$14,MATCH(D1379,CONFIG!$D$5:$D$14,0)))),""))</f>
        <v/>
      </c>
      <c r="T1379" s="13"/>
      <c r="U1379" s="13"/>
      <c r="V1379" s="13"/>
      <c r="W1379" s="13"/>
      <c r="X1379" s="22" t="str">
        <f aca="false">IF(Q1379="","",Q1379^2)</f>
        <v/>
      </c>
      <c r="Y1379" s="22" t="str">
        <f aca="false">IF(AND(C1379&lt;&gt;"",C1379=CERTIFICADO!$E$4,OR(CERTIFICADO!$E$5="",B1379=CERTIFICADO!$E$5)),MAX($Y$4:Y1378)+1,"")</f>
        <v/>
      </c>
    </row>
    <row r="1380" customFormat="false" ht="15" hidden="false" customHeight="false" outlineLevel="0" collapsed="false">
      <c r="A1380" s="11" t="str">
        <f aca="false">IF(C1380="","",ROW()-4)</f>
        <v/>
      </c>
      <c r="B1380" s="12"/>
      <c r="C1380" s="13"/>
      <c r="D1380" s="23" t="str">
        <f aca="false">IF(C1380="","",IFERROR(INDEX(LOTES!$D$5:$D$1004,MATCH(C1380,LOTES!$F$5:$F$1004,0)),"¿Lote?"))</f>
        <v/>
      </c>
      <c r="E1380" s="11" t="str">
        <f aca="false">IF(C1380="","",IFERROR(INDEX(LOTES!$C$5:$C$1004,MATCH(C1380,LOTES!$F$5:$F$1004,0)),""))</f>
        <v/>
      </c>
      <c r="F1380" s="24" t="str">
        <f aca="false">IF(C1380="","",IFERROR(INDEX(LOTES!$B$5:$B$1004,MATCH(C1380,LOTES!$F$5:$F$1004,0)),""))</f>
        <v/>
      </c>
      <c r="G1380" s="15" t="str">
        <f aca="false">IF(OR(B1380="",F1380=""),"",B1380-F1380)</f>
        <v/>
      </c>
      <c r="H1380" s="13"/>
      <c r="I1380" s="13"/>
      <c r="J1380" s="13"/>
      <c r="K1380" s="25"/>
      <c r="L1380" s="25"/>
      <c r="M1380" s="25"/>
      <c r="N1380" s="25"/>
      <c r="O1380" s="26"/>
      <c r="P1380" s="16" t="str">
        <f aca="false">IF(O1380="","",IFERROR(1/(1/(IF(K1380="",INDEX(CONFIG!$F$5:$F$14,MATCH(D1380,CONFIG!$D$5:$D$14,0)),K1380)*IF(M1380="",INDEX(CONFIG!$H$5:$H$14,MATCH(D1380,CONFIG!$D$5:$D$14,0)),M1380))),""))</f>
        <v/>
      </c>
      <c r="Q1380" s="16" t="str">
        <f aca="false">IF(OR(O1380="",P1380=""),"",O1380/P1380)</f>
        <v/>
      </c>
      <c r="R1380" s="16" t="str">
        <f aca="false">IF(Q1380="","",Q1380*0.0980665)</f>
        <v/>
      </c>
      <c r="S1380" s="16" t="str">
        <f aca="false">IF(Q1380="","",IFERROR(Q1380/(1/(1/INDEX(CONFIG!$I$5:$I$14,MATCH(D1380,CONFIG!$D$5:$D$14,0)))),""))</f>
        <v/>
      </c>
      <c r="T1380" s="13"/>
      <c r="U1380" s="13"/>
      <c r="V1380" s="13"/>
      <c r="W1380" s="13"/>
      <c r="X1380" s="22" t="str">
        <f aca="false">IF(Q1380="","",Q1380^2)</f>
        <v/>
      </c>
      <c r="Y1380" s="22" t="str">
        <f aca="false">IF(AND(C1380&lt;&gt;"",C1380=CERTIFICADO!$E$4,OR(CERTIFICADO!$E$5="",B1380=CERTIFICADO!$E$5)),MAX($Y$4:Y1379)+1,"")</f>
        <v/>
      </c>
    </row>
    <row r="1381" customFormat="false" ht="15" hidden="false" customHeight="false" outlineLevel="0" collapsed="false">
      <c r="A1381" s="11" t="str">
        <f aca="false">IF(C1381="","",ROW()-4)</f>
        <v/>
      </c>
      <c r="B1381" s="12"/>
      <c r="C1381" s="13"/>
      <c r="D1381" s="23" t="str">
        <f aca="false">IF(C1381="","",IFERROR(INDEX(LOTES!$D$5:$D$1004,MATCH(C1381,LOTES!$F$5:$F$1004,0)),"¿Lote?"))</f>
        <v/>
      </c>
      <c r="E1381" s="11" t="str">
        <f aca="false">IF(C1381="","",IFERROR(INDEX(LOTES!$C$5:$C$1004,MATCH(C1381,LOTES!$F$5:$F$1004,0)),""))</f>
        <v/>
      </c>
      <c r="F1381" s="24" t="str">
        <f aca="false">IF(C1381="","",IFERROR(INDEX(LOTES!$B$5:$B$1004,MATCH(C1381,LOTES!$F$5:$F$1004,0)),""))</f>
        <v/>
      </c>
      <c r="G1381" s="15" t="str">
        <f aca="false">IF(OR(B1381="",F1381=""),"",B1381-F1381)</f>
        <v/>
      </c>
      <c r="H1381" s="13"/>
      <c r="I1381" s="13"/>
      <c r="J1381" s="13"/>
      <c r="K1381" s="25"/>
      <c r="L1381" s="25"/>
      <c r="M1381" s="25"/>
      <c r="N1381" s="25"/>
      <c r="O1381" s="26"/>
      <c r="P1381" s="16" t="str">
        <f aca="false">IF(O1381="","",IFERROR(1/(1/(IF(K1381="",INDEX(CONFIG!$F$5:$F$14,MATCH(D1381,CONFIG!$D$5:$D$14,0)),K1381)*IF(M1381="",INDEX(CONFIG!$H$5:$H$14,MATCH(D1381,CONFIG!$D$5:$D$14,0)),M1381))),""))</f>
        <v/>
      </c>
      <c r="Q1381" s="16" t="str">
        <f aca="false">IF(OR(O1381="",P1381=""),"",O1381/P1381)</f>
        <v/>
      </c>
      <c r="R1381" s="16" t="str">
        <f aca="false">IF(Q1381="","",Q1381*0.0980665)</f>
        <v/>
      </c>
      <c r="S1381" s="16" t="str">
        <f aca="false">IF(Q1381="","",IFERROR(Q1381/(1/(1/INDEX(CONFIG!$I$5:$I$14,MATCH(D1381,CONFIG!$D$5:$D$14,0)))),""))</f>
        <v/>
      </c>
      <c r="T1381" s="13"/>
      <c r="U1381" s="13"/>
      <c r="V1381" s="13"/>
      <c r="W1381" s="13"/>
      <c r="X1381" s="22" t="str">
        <f aca="false">IF(Q1381="","",Q1381^2)</f>
        <v/>
      </c>
      <c r="Y1381" s="22" t="str">
        <f aca="false">IF(AND(C1381&lt;&gt;"",C1381=CERTIFICADO!$E$4,OR(CERTIFICADO!$E$5="",B1381=CERTIFICADO!$E$5)),MAX($Y$4:Y1380)+1,"")</f>
        <v/>
      </c>
    </row>
    <row r="1382" customFormat="false" ht="15" hidden="false" customHeight="false" outlineLevel="0" collapsed="false">
      <c r="A1382" s="11" t="str">
        <f aca="false">IF(C1382="","",ROW()-4)</f>
        <v/>
      </c>
      <c r="B1382" s="12"/>
      <c r="C1382" s="13"/>
      <c r="D1382" s="23" t="str">
        <f aca="false">IF(C1382="","",IFERROR(INDEX(LOTES!$D$5:$D$1004,MATCH(C1382,LOTES!$F$5:$F$1004,0)),"¿Lote?"))</f>
        <v/>
      </c>
      <c r="E1382" s="11" t="str">
        <f aca="false">IF(C1382="","",IFERROR(INDEX(LOTES!$C$5:$C$1004,MATCH(C1382,LOTES!$F$5:$F$1004,0)),""))</f>
        <v/>
      </c>
      <c r="F1382" s="24" t="str">
        <f aca="false">IF(C1382="","",IFERROR(INDEX(LOTES!$B$5:$B$1004,MATCH(C1382,LOTES!$F$5:$F$1004,0)),""))</f>
        <v/>
      </c>
      <c r="G1382" s="15" t="str">
        <f aca="false">IF(OR(B1382="",F1382=""),"",B1382-F1382)</f>
        <v/>
      </c>
      <c r="H1382" s="13"/>
      <c r="I1382" s="13"/>
      <c r="J1382" s="13"/>
      <c r="K1382" s="25"/>
      <c r="L1382" s="25"/>
      <c r="M1382" s="25"/>
      <c r="N1382" s="25"/>
      <c r="O1382" s="26"/>
      <c r="P1382" s="16" t="str">
        <f aca="false">IF(O1382="","",IFERROR(1/(1/(IF(K1382="",INDEX(CONFIG!$F$5:$F$14,MATCH(D1382,CONFIG!$D$5:$D$14,0)),K1382)*IF(M1382="",INDEX(CONFIG!$H$5:$H$14,MATCH(D1382,CONFIG!$D$5:$D$14,0)),M1382))),""))</f>
        <v/>
      </c>
      <c r="Q1382" s="16" t="str">
        <f aca="false">IF(OR(O1382="",P1382=""),"",O1382/P1382)</f>
        <v/>
      </c>
      <c r="R1382" s="16" t="str">
        <f aca="false">IF(Q1382="","",Q1382*0.0980665)</f>
        <v/>
      </c>
      <c r="S1382" s="16" t="str">
        <f aca="false">IF(Q1382="","",IFERROR(Q1382/(1/(1/INDEX(CONFIG!$I$5:$I$14,MATCH(D1382,CONFIG!$D$5:$D$14,0)))),""))</f>
        <v/>
      </c>
      <c r="T1382" s="13"/>
      <c r="U1382" s="13"/>
      <c r="V1382" s="13"/>
      <c r="W1382" s="13"/>
      <c r="X1382" s="22" t="str">
        <f aca="false">IF(Q1382="","",Q1382^2)</f>
        <v/>
      </c>
      <c r="Y1382" s="22" t="str">
        <f aca="false">IF(AND(C1382&lt;&gt;"",C1382=CERTIFICADO!$E$4,OR(CERTIFICADO!$E$5="",B1382=CERTIFICADO!$E$5)),MAX($Y$4:Y1381)+1,"")</f>
        <v/>
      </c>
    </row>
    <row r="1383" customFormat="false" ht="15" hidden="false" customHeight="false" outlineLevel="0" collapsed="false">
      <c r="A1383" s="11" t="str">
        <f aca="false">IF(C1383="","",ROW()-4)</f>
        <v/>
      </c>
      <c r="B1383" s="12"/>
      <c r="C1383" s="13"/>
      <c r="D1383" s="23" t="str">
        <f aca="false">IF(C1383="","",IFERROR(INDEX(LOTES!$D$5:$D$1004,MATCH(C1383,LOTES!$F$5:$F$1004,0)),"¿Lote?"))</f>
        <v/>
      </c>
      <c r="E1383" s="11" t="str">
        <f aca="false">IF(C1383="","",IFERROR(INDEX(LOTES!$C$5:$C$1004,MATCH(C1383,LOTES!$F$5:$F$1004,0)),""))</f>
        <v/>
      </c>
      <c r="F1383" s="24" t="str">
        <f aca="false">IF(C1383="","",IFERROR(INDEX(LOTES!$B$5:$B$1004,MATCH(C1383,LOTES!$F$5:$F$1004,0)),""))</f>
        <v/>
      </c>
      <c r="G1383" s="15" t="str">
        <f aca="false">IF(OR(B1383="",F1383=""),"",B1383-F1383)</f>
        <v/>
      </c>
      <c r="H1383" s="13"/>
      <c r="I1383" s="13"/>
      <c r="J1383" s="13"/>
      <c r="K1383" s="25"/>
      <c r="L1383" s="25"/>
      <c r="M1383" s="25"/>
      <c r="N1383" s="25"/>
      <c r="O1383" s="26"/>
      <c r="P1383" s="16" t="str">
        <f aca="false">IF(O1383="","",IFERROR(1/(1/(IF(K1383="",INDEX(CONFIG!$F$5:$F$14,MATCH(D1383,CONFIG!$D$5:$D$14,0)),K1383)*IF(M1383="",INDEX(CONFIG!$H$5:$H$14,MATCH(D1383,CONFIG!$D$5:$D$14,0)),M1383))),""))</f>
        <v/>
      </c>
      <c r="Q1383" s="16" t="str">
        <f aca="false">IF(OR(O1383="",P1383=""),"",O1383/P1383)</f>
        <v/>
      </c>
      <c r="R1383" s="16" t="str">
        <f aca="false">IF(Q1383="","",Q1383*0.0980665)</f>
        <v/>
      </c>
      <c r="S1383" s="16" t="str">
        <f aca="false">IF(Q1383="","",IFERROR(Q1383/(1/(1/INDEX(CONFIG!$I$5:$I$14,MATCH(D1383,CONFIG!$D$5:$D$14,0)))),""))</f>
        <v/>
      </c>
      <c r="T1383" s="13"/>
      <c r="U1383" s="13"/>
      <c r="V1383" s="13"/>
      <c r="W1383" s="13"/>
      <c r="X1383" s="22" t="str">
        <f aca="false">IF(Q1383="","",Q1383^2)</f>
        <v/>
      </c>
      <c r="Y1383" s="22" t="str">
        <f aca="false">IF(AND(C1383&lt;&gt;"",C1383=CERTIFICADO!$E$4,OR(CERTIFICADO!$E$5="",B1383=CERTIFICADO!$E$5)),MAX($Y$4:Y1382)+1,"")</f>
        <v/>
      </c>
    </row>
    <row r="1384" customFormat="false" ht="15" hidden="false" customHeight="false" outlineLevel="0" collapsed="false">
      <c r="A1384" s="11" t="str">
        <f aca="false">IF(C1384="","",ROW()-4)</f>
        <v/>
      </c>
      <c r="B1384" s="12"/>
      <c r="C1384" s="13"/>
      <c r="D1384" s="23" t="str">
        <f aca="false">IF(C1384="","",IFERROR(INDEX(LOTES!$D$5:$D$1004,MATCH(C1384,LOTES!$F$5:$F$1004,0)),"¿Lote?"))</f>
        <v/>
      </c>
      <c r="E1384" s="11" t="str">
        <f aca="false">IF(C1384="","",IFERROR(INDEX(LOTES!$C$5:$C$1004,MATCH(C1384,LOTES!$F$5:$F$1004,0)),""))</f>
        <v/>
      </c>
      <c r="F1384" s="24" t="str">
        <f aca="false">IF(C1384="","",IFERROR(INDEX(LOTES!$B$5:$B$1004,MATCH(C1384,LOTES!$F$5:$F$1004,0)),""))</f>
        <v/>
      </c>
      <c r="G1384" s="15" t="str">
        <f aca="false">IF(OR(B1384="",F1384=""),"",B1384-F1384)</f>
        <v/>
      </c>
      <c r="H1384" s="13"/>
      <c r="I1384" s="13"/>
      <c r="J1384" s="13"/>
      <c r="K1384" s="25"/>
      <c r="L1384" s="25"/>
      <c r="M1384" s="25"/>
      <c r="N1384" s="25"/>
      <c r="O1384" s="26"/>
      <c r="P1384" s="16" t="str">
        <f aca="false">IF(O1384="","",IFERROR(1/(1/(IF(K1384="",INDEX(CONFIG!$F$5:$F$14,MATCH(D1384,CONFIG!$D$5:$D$14,0)),K1384)*IF(M1384="",INDEX(CONFIG!$H$5:$H$14,MATCH(D1384,CONFIG!$D$5:$D$14,0)),M1384))),""))</f>
        <v/>
      </c>
      <c r="Q1384" s="16" t="str">
        <f aca="false">IF(OR(O1384="",P1384=""),"",O1384/P1384)</f>
        <v/>
      </c>
      <c r="R1384" s="16" t="str">
        <f aca="false">IF(Q1384="","",Q1384*0.0980665)</f>
        <v/>
      </c>
      <c r="S1384" s="16" t="str">
        <f aca="false">IF(Q1384="","",IFERROR(Q1384/(1/(1/INDEX(CONFIG!$I$5:$I$14,MATCH(D1384,CONFIG!$D$5:$D$14,0)))),""))</f>
        <v/>
      </c>
      <c r="T1384" s="13"/>
      <c r="U1384" s="13"/>
      <c r="V1384" s="13"/>
      <c r="W1384" s="13"/>
      <c r="X1384" s="22" t="str">
        <f aca="false">IF(Q1384="","",Q1384^2)</f>
        <v/>
      </c>
      <c r="Y1384" s="22" t="str">
        <f aca="false">IF(AND(C1384&lt;&gt;"",C1384=CERTIFICADO!$E$4,OR(CERTIFICADO!$E$5="",B1384=CERTIFICADO!$E$5)),MAX($Y$4:Y1383)+1,"")</f>
        <v/>
      </c>
    </row>
    <row r="1385" customFormat="false" ht="15" hidden="false" customHeight="false" outlineLevel="0" collapsed="false">
      <c r="A1385" s="11" t="str">
        <f aca="false">IF(C1385="","",ROW()-4)</f>
        <v/>
      </c>
      <c r="B1385" s="12"/>
      <c r="C1385" s="13"/>
      <c r="D1385" s="23" t="str">
        <f aca="false">IF(C1385="","",IFERROR(INDEX(LOTES!$D$5:$D$1004,MATCH(C1385,LOTES!$F$5:$F$1004,0)),"¿Lote?"))</f>
        <v/>
      </c>
      <c r="E1385" s="11" t="str">
        <f aca="false">IF(C1385="","",IFERROR(INDEX(LOTES!$C$5:$C$1004,MATCH(C1385,LOTES!$F$5:$F$1004,0)),""))</f>
        <v/>
      </c>
      <c r="F1385" s="24" t="str">
        <f aca="false">IF(C1385="","",IFERROR(INDEX(LOTES!$B$5:$B$1004,MATCH(C1385,LOTES!$F$5:$F$1004,0)),""))</f>
        <v/>
      </c>
      <c r="G1385" s="15" t="str">
        <f aca="false">IF(OR(B1385="",F1385=""),"",B1385-F1385)</f>
        <v/>
      </c>
      <c r="H1385" s="13"/>
      <c r="I1385" s="13"/>
      <c r="J1385" s="13"/>
      <c r="K1385" s="25"/>
      <c r="L1385" s="25"/>
      <c r="M1385" s="25"/>
      <c r="N1385" s="25"/>
      <c r="O1385" s="26"/>
      <c r="P1385" s="16" t="str">
        <f aca="false">IF(O1385="","",IFERROR(1/(1/(IF(K1385="",INDEX(CONFIG!$F$5:$F$14,MATCH(D1385,CONFIG!$D$5:$D$14,0)),K1385)*IF(M1385="",INDEX(CONFIG!$H$5:$H$14,MATCH(D1385,CONFIG!$D$5:$D$14,0)),M1385))),""))</f>
        <v/>
      </c>
      <c r="Q1385" s="16" t="str">
        <f aca="false">IF(OR(O1385="",P1385=""),"",O1385/P1385)</f>
        <v/>
      </c>
      <c r="R1385" s="16" t="str">
        <f aca="false">IF(Q1385="","",Q1385*0.0980665)</f>
        <v/>
      </c>
      <c r="S1385" s="16" t="str">
        <f aca="false">IF(Q1385="","",IFERROR(Q1385/(1/(1/INDEX(CONFIG!$I$5:$I$14,MATCH(D1385,CONFIG!$D$5:$D$14,0)))),""))</f>
        <v/>
      </c>
      <c r="T1385" s="13"/>
      <c r="U1385" s="13"/>
      <c r="V1385" s="13"/>
      <c r="W1385" s="13"/>
      <c r="X1385" s="22" t="str">
        <f aca="false">IF(Q1385="","",Q1385^2)</f>
        <v/>
      </c>
      <c r="Y1385" s="22" t="str">
        <f aca="false">IF(AND(C1385&lt;&gt;"",C1385=CERTIFICADO!$E$4,OR(CERTIFICADO!$E$5="",B1385=CERTIFICADO!$E$5)),MAX($Y$4:Y1384)+1,"")</f>
        <v/>
      </c>
    </row>
    <row r="1386" customFormat="false" ht="15" hidden="false" customHeight="false" outlineLevel="0" collapsed="false">
      <c r="A1386" s="11" t="str">
        <f aca="false">IF(C1386="","",ROW()-4)</f>
        <v/>
      </c>
      <c r="B1386" s="12"/>
      <c r="C1386" s="13"/>
      <c r="D1386" s="23" t="str">
        <f aca="false">IF(C1386="","",IFERROR(INDEX(LOTES!$D$5:$D$1004,MATCH(C1386,LOTES!$F$5:$F$1004,0)),"¿Lote?"))</f>
        <v/>
      </c>
      <c r="E1386" s="11" t="str">
        <f aca="false">IF(C1386="","",IFERROR(INDEX(LOTES!$C$5:$C$1004,MATCH(C1386,LOTES!$F$5:$F$1004,0)),""))</f>
        <v/>
      </c>
      <c r="F1386" s="24" t="str">
        <f aca="false">IF(C1386="","",IFERROR(INDEX(LOTES!$B$5:$B$1004,MATCH(C1386,LOTES!$F$5:$F$1004,0)),""))</f>
        <v/>
      </c>
      <c r="G1386" s="15" t="str">
        <f aca="false">IF(OR(B1386="",F1386=""),"",B1386-F1386)</f>
        <v/>
      </c>
      <c r="H1386" s="13"/>
      <c r="I1386" s="13"/>
      <c r="J1386" s="13"/>
      <c r="K1386" s="25"/>
      <c r="L1386" s="25"/>
      <c r="M1386" s="25"/>
      <c r="N1386" s="25"/>
      <c r="O1386" s="26"/>
      <c r="P1386" s="16" t="str">
        <f aca="false">IF(O1386="","",IFERROR(1/(1/(IF(K1386="",INDEX(CONFIG!$F$5:$F$14,MATCH(D1386,CONFIG!$D$5:$D$14,0)),K1386)*IF(M1386="",INDEX(CONFIG!$H$5:$H$14,MATCH(D1386,CONFIG!$D$5:$D$14,0)),M1386))),""))</f>
        <v/>
      </c>
      <c r="Q1386" s="16" t="str">
        <f aca="false">IF(OR(O1386="",P1386=""),"",O1386/P1386)</f>
        <v/>
      </c>
      <c r="R1386" s="16" t="str">
        <f aca="false">IF(Q1386="","",Q1386*0.0980665)</f>
        <v/>
      </c>
      <c r="S1386" s="16" t="str">
        <f aca="false">IF(Q1386="","",IFERROR(Q1386/(1/(1/INDEX(CONFIG!$I$5:$I$14,MATCH(D1386,CONFIG!$D$5:$D$14,0)))),""))</f>
        <v/>
      </c>
      <c r="T1386" s="13"/>
      <c r="U1386" s="13"/>
      <c r="V1386" s="13"/>
      <c r="W1386" s="13"/>
      <c r="X1386" s="22" t="str">
        <f aca="false">IF(Q1386="","",Q1386^2)</f>
        <v/>
      </c>
      <c r="Y1386" s="22" t="str">
        <f aca="false">IF(AND(C1386&lt;&gt;"",C1386=CERTIFICADO!$E$4,OR(CERTIFICADO!$E$5="",B1386=CERTIFICADO!$E$5)),MAX($Y$4:Y1385)+1,"")</f>
        <v/>
      </c>
    </row>
    <row r="1387" customFormat="false" ht="15" hidden="false" customHeight="false" outlineLevel="0" collapsed="false">
      <c r="A1387" s="11" t="str">
        <f aca="false">IF(C1387="","",ROW()-4)</f>
        <v/>
      </c>
      <c r="B1387" s="12"/>
      <c r="C1387" s="13"/>
      <c r="D1387" s="23" t="str">
        <f aca="false">IF(C1387="","",IFERROR(INDEX(LOTES!$D$5:$D$1004,MATCH(C1387,LOTES!$F$5:$F$1004,0)),"¿Lote?"))</f>
        <v/>
      </c>
      <c r="E1387" s="11" t="str">
        <f aca="false">IF(C1387="","",IFERROR(INDEX(LOTES!$C$5:$C$1004,MATCH(C1387,LOTES!$F$5:$F$1004,0)),""))</f>
        <v/>
      </c>
      <c r="F1387" s="24" t="str">
        <f aca="false">IF(C1387="","",IFERROR(INDEX(LOTES!$B$5:$B$1004,MATCH(C1387,LOTES!$F$5:$F$1004,0)),""))</f>
        <v/>
      </c>
      <c r="G1387" s="15" t="str">
        <f aca="false">IF(OR(B1387="",F1387=""),"",B1387-F1387)</f>
        <v/>
      </c>
      <c r="H1387" s="13"/>
      <c r="I1387" s="13"/>
      <c r="J1387" s="13"/>
      <c r="K1387" s="25"/>
      <c r="L1387" s="25"/>
      <c r="M1387" s="25"/>
      <c r="N1387" s="25"/>
      <c r="O1387" s="26"/>
      <c r="P1387" s="16" t="str">
        <f aca="false">IF(O1387="","",IFERROR(1/(1/(IF(K1387="",INDEX(CONFIG!$F$5:$F$14,MATCH(D1387,CONFIG!$D$5:$D$14,0)),K1387)*IF(M1387="",INDEX(CONFIG!$H$5:$H$14,MATCH(D1387,CONFIG!$D$5:$D$14,0)),M1387))),""))</f>
        <v/>
      </c>
      <c r="Q1387" s="16" t="str">
        <f aca="false">IF(OR(O1387="",P1387=""),"",O1387/P1387)</f>
        <v/>
      </c>
      <c r="R1387" s="16" t="str">
        <f aca="false">IF(Q1387="","",Q1387*0.0980665)</f>
        <v/>
      </c>
      <c r="S1387" s="16" t="str">
        <f aca="false">IF(Q1387="","",IFERROR(Q1387/(1/(1/INDEX(CONFIG!$I$5:$I$14,MATCH(D1387,CONFIG!$D$5:$D$14,0)))),""))</f>
        <v/>
      </c>
      <c r="T1387" s="13"/>
      <c r="U1387" s="13"/>
      <c r="V1387" s="13"/>
      <c r="W1387" s="13"/>
      <c r="X1387" s="22" t="str">
        <f aca="false">IF(Q1387="","",Q1387^2)</f>
        <v/>
      </c>
      <c r="Y1387" s="22" t="str">
        <f aca="false">IF(AND(C1387&lt;&gt;"",C1387=CERTIFICADO!$E$4,OR(CERTIFICADO!$E$5="",B1387=CERTIFICADO!$E$5)),MAX($Y$4:Y1386)+1,"")</f>
        <v/>
      </c>
    </row>
    <row r="1388" customFormat="false" ht="15" hidden="false" customHeight="false" outlineLevel="0" collapsed="false">
      <c r="A1388" s="11" t="str">
        <f aca="false">IF(C1388="","",ROW()-4)</f>
        <v/>
      </c>
      <c r="B1388" s="12"/>
      <c r="C1388" s="13"/>
      <c r="D1388" s="23" t="str">
        <f aca="false">IF(C1388="","",IFERROR(INDEX(LOTES!$D$5:$D$1004,MATCH(C1388,LOTES!$F$5:$F$1004,0)),"¿Lote?"))</f>
        <v/>
      </c>
      <c r="E1388" s="11" t="str">
        <f aca="false">IF(C1388="","",IFERROR(INDEX(LOTES!$C$5:$C$1004,MATCH(C1388,LOTES!$F$5:$F$1004,0)),""))</f>
        <v/>
      </c>
      <c r="F1388" s="24" t="str">
        <f aca="false">IF(C1388="","",IFERROR(INDEX(LOTES!$B$5:$B$1004,MATCH(C1388,LOTES!$F$5:$F$1004,0)),""))</f>
        <v/>
      </c>
      <c r="G1388" s="15" t="str">
        <f aca="false">IF(OR(B1388="",F1388=""),"",B1388-F1388)</f>
        <v/>
      </c>
      <c r="H1388" s="13"/>
      <c r="I1388" s="13"/>
      <c r="J1388" s="13"/>
      <c r="K1388" s="25"/>
      <c r="L1388" s="25"/>
      <c r="M1388" s="25"/>
      <c r="N1388" s="25"/>
      <c r="O1388" s="26"/>
      <c r="P1388" s="16" t="str">
        <f aca="false">IF(O1388="","",IFERROR(1/(1/(IF(K1388="",INDEX(CONFIG!$F$5:$F$14,MATCH(D1388,CONFIG!$D$5:$D$14,0)),K1388)*IF(M1388="",INDEX(CONFIG!$H$5:$H$14,MATCH(D1388,CONFIG!$D$5:$D$14,0)),M1388))),""))</f>
        <v/>
      </c>
      <c r="Q1388" s="16" t="str">
        <f aca="false">IF(OR(O1388="",P1388=""),"",O1388/P1388)</f>
        <v/>
      </c>
      <c r="R1388" s="16" t="str">
        <f aca="false">IF(Q1388="","",Q1388*0.0980665)</f>
        <v/>
      </c>
      <c r="S1388" s="16" t="str">
        <f aca="false">IF(Q1388="","",IFERROR(Q1388/(1/(1/INDEX(CONFIG!$I$5:$I$14,MATCH(D1388,CONFIG!$D$5:$D$14,0)))),""))</f>
        <v/>
      </c>
      <c r="T1388" s="13"/>
      <c r="U1388" s="13"/>
      <c r="V1388" s="13"/>
      <c r="W1388" s="13"/>
      <c r="X1388" s="22" t="str">
        <f aca="false">IF(Q1388="","",Q1388^2)</f>
        <v/>
      </c>
      <c r="Y1388" s="22" t="str">
        <f aca="false">IF(AND(C1388&lt;&gt;"",C1388=CERTIFICADO!$E$4,OR(CERTIFICADO!$E$5="",B1388=CERTIFICADO!$E$5)),MAX($Y$4:Y1387)+1,"")</f>
        <v/>
      </c>
    </row>
    <row r="1389" customFormat="false" ht="15" hidden="false" customHeight="false" outlineLevel="0" collapsed="false">
      <c r="A1389" s="11" t="str">
        <f aca="false">IF(C1389="","",ROW()-4)</f>
        <v/>
      </c>
      <c r="B1389" s="12"/>
      <c r="C1389" s="13"/>
      <c r="D1389" s="23" t="str">
        <f aca="false">IF(C1389="","",IFERROR(INDEX(LOTES!$D$5:$D$1004,MATCH(C1389,LOTES!$F$5:$F$1004,0)),"¿Lote?"))</f>
        <v/>
      </c>
      <c r="E1389" s="11" t="str">
        <f aca="false">IF(C1389="","",IFERROR(INDEX(LOTES!$C$5:$C$1004,MATCH(C1389,LOTES!$F$5:$F$1004,0)),""))</f>
        <v/>
      </c>
      <c r="F1389" s="24" t="str">
        <f aca="false">IF(C1389="","",IFERROR(INDEX(LOTES!$B$5:$B$1004,MATCH(C1389,LOTES!$F$5:$F$1004,0)),""))</f>
        <v/>
      </c>
      <c r="G1389" s="15" t="str">
        <f aca="false">IF(OR(B1389="",F1389=""),"",B1389-F1389)</f>
        <v/>
      </c>
      <c r="H1389" s="13"/>
      <c r="I1389" s="13"/>
      <c r="J1389" s="13"/>
      <c r="K1389" s="25"/>
      <c r="L1389" s="25"/>
      <c r="M1389" s="25"/>
      <c r="N1389" s="25"/>
      <c r="O1389" s="26"/>
      <c r="P1389" s="16" t="str">
        <f aca="false">IF(O1389="","",IFERROR(1/(1/(IF(K1389="",INDEX(CONFIG!$F$5:$F$14,MATCH(D1389,CONFIG!$D$5:$D$14,0)),K1389)*IF(M1389="",INDEX(CONFIG!$H$5:$H$14,MATCH(D1389,CONFIG!$D$5:$D$14,0)),M1389))),""))</f>
        <v/>
      </c>
      <c r="Q1389" s="16" t="str">
        <f aca="false">IF(OR(O1389="",P1389=""),"",O1389/P1389)</f>
        <v/>
      </c>
      <c r="R1389" s="16" t="str">
        <f aca="false">IF(Q1389="","",Q1389*0.0980665)</f>
        <v/>
      </c>
      <c r="S1389" s="16" t="str">
        <f aca="false">IF(Q1389="","",IFERROR(Q1389/(1/(1/INDEX(CONFIG!$I$5:$I$14,MATCH(D1389,CONFIG!$D$5:$D$14,0)))),""))</f>
        <v/>
      </c>
      <c r="T1389" s="13"/>
      <c r="U1389" s="13"/>
      <c r="V1389" s="13"/>
      <c r="W1389" s="13"/>
      <c r="X1389" s="22" t="str">
        <f aca="false">IF(Q1389="","",Q1389^2)</f>
        <v/>
      </c>
      <c r="Y1389" s="22" t="str">
        <f aca="false">IF(AND(C1389&lt;&gt;"",C1389=CERTIFICADO!$E$4,OR(CERTIFICADO!$E$5="",B1389=CERTIFICADO!$E$5)),MAX($Y$4:Y1388)+1,"")</f>
        <v/>
      </c>
    </row>
    <row r="1390" customFormat="false" ht="15" hidden="false" customHeight="false" outlineLevel="0" collapsed="false">
      <c r="A1390" s="11" t="str">
        <f aca="false">IF(C1390="","",ROW()-4)</f>
        <v/>
      </c>
      <c r="B1390" s="12"/>
      <c r="C1390" s="13"/>
      <c r="D1390" s="23" t="str">
        <f aca="false">IF(C1390="","",IFERROR(INDEX(LOTES!$D$5:$D$1004,MATCH(C1390,LOTES!$F$5:$F$1004,0)),"¿Lote?"))</f>
        <v/>
      </c>
      <c r="E1390" s="11" t="str">
        <f aca="false">IF(C1390="","",IFERROR(INDEX(LOTES!$C$5:$C$1004,MATCH(C1390,LOTES!$F$5:$F$1004,0)),""))</f>
        <v/>
      </c>
      <c r="F1390" s="24" t="str">
        <f aca="false">IF(C1390="","",IFERROR(INDEX(LOTES!$B$5:$B$1004,MATCH(C1390,LOTES!$F$5:$F$1004,0)),""))</f>
        <v/>
      </c>
      <c r="G1390" s="15" t="str">
        <f aca="false">IF(OR(B1390="",F1390=""),"",B1390-F1390)</f>
        <v/>
      </c>
      <c r="H1390" s="13"/>
      <c r="I1390" s="13"/>
      <c r="J1390" s="13"/>
      <c r="K1390" s="25"/>
      <c r="L1390" s="25"/>
      <c r="M1390" s="25"/>
      <c r="N1390" s="25"/>
      <c r="O1390" s="26"/>
      <c r="P1390" s="16" t="str">
        <f aca="false">IF(O1390="","",IFERROR(1/(1/(IF(K1390="",INDEX(CONFIG!$F$5:$F$14,MATCH(D1390,CONFIG!$D$5:$D$14,0)),K1390)*IF(M1390="",INDEX(CONFIG!$H$5:$H$14,MATCH(D1390,CONFIG!$D$5:$D$14,0)),M1390))),""))</f>
        <v/>
      </c>
      <c r="Q1390" s="16" t="str">
        <f aca="false">IF(OR(O1390="",P1390=""),"",O1390/P1390)</f>
        <v/>
      </c>
      <c r="R1390" s="16" t="str">
        <f aca="false">IF(Q1390="","",Q1390*0.0980665)</f>
        <v/>
      </c>
      <c r="S1390" s="16" t="str">
        <f aca="false">IF(Q1390="","",IFERROR(Q1390/(1/(1/INDEX(CONFIG!$I$5:$I$14,MATCH(D1390,CONFIG!$D$5:$D$14,0)))),""))</f>
        <v/>
      </c>
      <c r="T1390" s="13"/>
      <c r="U1390" s="13"/>
      <c r="V1390" s="13"/>
      <c r="W1390" s="13"/>
      <c r="X1390" s="22" t="str">
        <f aca="false">IF(Q1390="","",Q1390^2)</f>
        <v/>
      </c>
      <c r="Y1390" s="22" t="str">
        <f aca="false">IF(AND(C1390&lt;&gt;"",C1390=CERTIFICADO!$E$4,OR(CERTIFICADO!$E$5="",B1390=CERTIFICADO!$E$5)),MAX($Y$4:Y1389)+1,"")</f>
        <v/>
      </c>
    </row>
    <row r="1391" customFormat="false" ht="15" hidden="false" customHeight="false" outlineLevel="0" collapsed="false">
      <c r="A1391" s="11" t="str">
        <f aca="false">IF(C1391="","",ROW()-4)</f>
        <v/>
      </c>
      <c r="B1391" s="12"/>
      <c r="C1391" s="13"/>
      <c r="D1391" s="23" t="str">
        <f aca="false">IF(C1391="","",IFERROR(INDEX(LOTES!$D$5:$D$1004,MATCH(C1391,LOTES!$F$5:$F$1004,0)),"¿Lote?"))</f>
        <v/>
      </c>
      <c r="E1391" s="11" t="str">
        <f aca="false">IF(C1391="","",IFERROR(INDEX(LOTES!$C$5:$C$1004,MATCH(C1391,LOTES!$F$5:$F$1004,0)),""))</f>
        <v/>
      </c>
      <c r="F1391" s="24" t="str">
        <f aca="false">IF(C1391="","",IFERROR(INDEX(LOTES!$B$5:$B$1004,MATCH(C1391,LOTES!$F$5:$F$1004,0)),""))</f>
        <v/>
      </c>
      <c r="G1391" s="15" t="str">
        <f aca="false">IF(OR(B1391="",F1391=""),"",B1391-F1391)</f>
        <v/>
      </c>
      <c r="H1391" s="13"/>
      <c r="I1391" s="13"/>
      <c r="J1391" s="13"/>
      <c r="K1391" s="25"/>
      <c r="L1391" s="25"/>
      <c r="M1391" s="25"/>
      <c r="N1391" s="25"/>
      <c r="O1391" s="26"/>
      <c r="P1391" s="16" t="str">
        <f aca="false">IF(O1391="","",IFERROR(1/(1/(IF(K1391="",INDEX(CONFIG!$F$5:$F$14,MATCH(D1391,CONFIG!$D$5:$D$14,0)),K1391)*IF(M1391="",INDEX(CONFIG!$H$5:$H$14,MATCH(D1391,CONFIG!$D$5:$D$14,0)),M1391))),""))</f>
        <v/>
      </c>
      <c r="Q1391" s="16" t="str">
        <f aca="false">IF(OR(O1391="",P1391=""),"",O1391/P1391)</f>
        <v/>
      </c>
      <c r="R1391" s="16" t="str">
        <f aca="false">IF(Q1391="","",Q1391*0.0980665)</f>
        <v/>
      </c>
      <c r="S1391" s="16" t="str">
        <f aca="false">IF(Q1391="","",IFERROR(Q1391/(1/(1/INDEX(CONFIG!$I$5:$I$14,MATCH(D1391,CONFIG!$D$5:$D$14,0)))),""))</f>
        <v/>
      </c>
      <c r="T1391" s="13"/>
      <c r="U1391" s="13"/>
      <c r="V1391" s="13"/>
      <c r="W1391" s="13"/>
      <c r="X1391" s="22" t="str">
        <f aca="false">IF(Q1391="","",Q1391^2)</f>
        <v/>
      </c>
      <c r="Y1391" s="22" t="str">
        <f aca="false">IF(AND(C1391&lt;&gt;"",C1391=CERTIFICADO!$E$4,OR(CERTIFICADO!$E$5="",B1391=CERTIFICADO!$E$5)),MAX($Y$4:Y1390)+1,"")</f>
        <v/>
      </c>
    </row>
    <row r="1392" customFormat="false" ht="15" hidden="false" customHeight="false" outlineLevel="0" collapsed="false">
      <c r="A1392" s="11" t="str">
        <f aca="false">IF(C1392="","",ROW()-4)</f>
        <v/>
      </c>
      <c r="B1392" s="12"/>
      <c r="C1392" s="13"/>
      <c r="D1392" s="23" t="str">
        <f aca="false">IF(C1392="","",IFERROR(INDEX(LOTES!$D$5:$D$1004,MATCH(C1392,LOTES!$F$5:$F$1004,0)),"¿Lote?"))</f>
        <v/>
      </c>
      <c r="E1392" s="11" t="str">
        <f aca="false">IF(C1392="","",IFERROR(INDEX(LOTES!$C$5:$C$1004,MATCH(C1392,LOTES!$F$5:$F$1004,0)),""))</f>
        <v/>
      </c>
      <c r="F1392" s="24" t="str">
        <f aca="false">IF(C1392="","",IFERROR(INDEX(LOTES!$B$5:$B$1004,MATCH(C1392,LOTES!$F$5:$F$1004,0)),""))</f>
        <v/>
      </c>
      <c r="G1392" s="15" t="str">
        <f aca="false">IF(OR(B1392="",F1392=""),"",B1392-F1392)</f>
        <v/>
      </c>
      <c r="H1392" s="13"/>
      <c r="I1392" s="13"/>
      <c r="J1392" s="13"/>
      <c r="K1392" s="25"/>
      <c r="L1392" s="25"/>
      <c r="M1392" s="25"/>
      <c r="N1392" s="25"/>
      <c r="O1392" s="26"/>
      <c r="P1392" s="16" t="str">
        <f aca="false">IF(O1392="","",IFERROR(1/(1/(IF(K1392="",INDEX(CONFIG!$F$5:$F$14,MATCH(D1392,CONFIG!$D$5:$D$14,0)),K1392)*IF(M1392="",INDEX(CONFIG!$H$5:$H$14,MATCH(D1392,CONFIG!$D$5:$D$14,0)),M1392))),""))</f>
        <v/>
      </c>
      <c r="Q1392" s="16" t="str">
        <f aca="false">IF(OR(O1392="",P1392=""),"",O1392/P1392)</f>
        <v/>
      </c>
      <c r="R1392" s="16" t="str">
        <f aca="false">IF(Q1392="","",Q1392*0.0980665)</f>
        <v/>
      </c>
      <c r="S1392" s="16" t="str">
        <f aca="false">IF(Q1392="","",IFERROR(Q1392/(1/(1/INDEX(CONFIG!$I$5:$I$14,MATCH(D1392,CONFIG!$D$5:$D$14,0)))),""))</f>
        <v/>
      </c>
      <c r="T1392" s="13"/>
      <c r="U1392" s="13"/>
      <c r="V1392" s="13"/>
      <c r="W1392" s="13"/>
      <c r="X1392" s="22" t="str">
        <f aca="false">IF(Q1392="","",Q1392^2)</f>
        <v/>
      </c>
      <c r="Y1392" s="22" t="str">
        <f aca="false">IF(AND(C1392&lt;&gt;"",C1392=CERTIFICADO!$E$4,OR(CERTIFICADO!$E$5="",B1392=CERTIFICADO!$E$5)),MAX($Y$4:Y1391)+1,"")</f>
        <v/>
      </c>
    </row>
    <row r="1393" customFormat="false" ht="15" hidden="false" customHeight="false" outlineLevel="0" collapsed="false">
      <c r="A1393" s="11" t="str">
        <f aca="false">IF(C1393="","",ROW()-4)</f>
        <v/>
      </c>
      <c r="B1393" s="12"/>
      <c r="C1393" s="13"/>
      <c r="D1393" s="23" t="str">
        <f aca="false">IF(C1393="","",IFERROR(INDEX(LOTES!$D$5:$D$1004,MATCH(C1393,LOTES!$F$5:$F$1004,0)),"¿Lote?"))</f>
        <v/>
      </c>
      <c r="E1393" s="11" t="str">
        <f aca="false">IF(C1393="","",IFERROR(INDEX(LOTES!$C$5:$C$1004,MATCH(C1393,LOTES!$F$5:$F$1004,0)),""))</f>
        <v/>
      </c>
      <c r="F1393" s="24" t="str">
        <f aca="false">IF(C1393="","",IFERROR(INDEX(LOTES!$B$5:$B$1004,MATCH(C1393,LOTES!$F$5:$F$1004,0)),""))</f>
        <v/>
      </c>
      <c r="G1393" s="15" t="str">
        <f aca="false">IF(OR(B1393="",F1393=""),"",B1393-F1393)</f>
        <v/>
      </c>
      <c r="H1393" s="13"/>
      <c r="I1393" s="13"/>
      <c r="J1393" s="13"/>
      <c r="K1393" s="25"/>
      <c r="L1393" s="25"/>
      <c r="M1393" s="25"/>
      <c r="N1393" s="25"/>
      <c r="O1393" s="26"/>
      <c r="P1393" s="16" t="str">
        <f aca="false">IF(O1393="","",IFERROR(1/(1/(IF(K1393="",INDEX(CONFIG!$F$5:$F$14,MATCH(D1393,CONFIG!$D$5:$D$14,0)),K1393)*IF(M1393="",INDEX(CONFIG!$H$5:$H$14,MATCH(D1393,CONFIG!$D$5:$D$14,0)),M1393))),""))</f>
        <v/>
      </c>
      <c r="Q1393" s="16" t="str">
        <f aca="false">IF(OR(O1393="",P1393=""),"",O1393/P1393)</f>
        <v/>
      </c>
      <c r="R1393" s="16" t="str">
        <f aca="false">IF(Q1393="","",Q1393*0.0980665)</f>
        <v/>
      </c>
      <c r="S1393" s="16" t="str">
        <f aca="false">IF(Q1393="","",IFERROR(Q1393/(1/(1/INDEX(CONFIG!$I$5:$I$14,MATCH(D1393,CONFIG!$D$5:$D$14,0)))),""))</f>
        <v/>
      </c>
      <c r="T1393" s="13"/>
      <c r="U1393" s="13"/>
      <c r="V1393" s="13"/>
      <c r="W1393" s="13"/>
      <c r="X1393" s="22" t="str">
        <f aca="false">IF(Q1393="","",Q1393^2)</f>
        <v/>
      </c>
      <c r="Y1393" s="22" t="str">
        <f aca="false">IF(AND(C1393&lt;&gt;"",C1393=CERTIFICADO!$E$4,OR(CERTIFICADO!$E$5="",B1393=CERTIFICADO!$E$5)),MAX($Y$4:Y1392)+1,"")</f>
        <v/>
      </c>
    </row>
    <row r="1394" customFormat="false" ht="15" hidden="false" customHeight="false" outlineLevel="0" collapsed="false">
      <c r="A1394" s="11" t="str">
        <f aca="false">IF(C1394="","",ROW()-4)</f>
        <v/>
      </c>
      <c r="B1394" s="12"/>
      <c r="C1394" s="13"/>
      <c r="D1394" s="23" t="str">
        <f aca="false">IF(C1394="","",IFERROR(INDEX(LOTES!$D$5:$D$1004,MATCH(C1394,LOTES!$F$5:$F$1004,0)),"¿Lote?"))</f>
        <v/>
      </c>
      <c r="E1394" s="11" t="str">
        <f aca="false">IF(C1394="","",IFERROR(INDEX(LOTES!$C$5:$C$1004,MATCH(C1394,LOTES!$F$5:$F$1004,0)),""))</f>
        <v/>
      </c>
      <c r="F1394" s="24" t="str">
        <f aca="false">IF(C1394="","",IFERROR(INDEX(LOTES!$B$5:$B$1004,MATCH(C1394,LOTES!$F$5:$F$1004,0)),""))</f>
        <v/>
      </c>
      <c r="G1394" s="15" t="str">
        <f aca="false">IF(OR(B1394="",F1394=""),"",B1394-F1394)</f>
        <v/>
      </c>
      <c r="H1394" s="13"/>
      <c r="I1394" s="13"/>
      <c r="J1394" s="13"/>
      <c r="K1394" s="25"/>
      <c r="L1394" s="25"/>
      <c r="M1394" s="25"/>
      <c r="N1394" s="25"/>
      <c r="O1394" s="26"/>
      <c r="P1394" s="16" t="str">
        <f aca="false">IF(O1394="","",IFERROR(1/(1/(IF(K1394="",INDEX(CONFIG!$F$5:$F$14,MATCH(D1394,CONFIG!$D$5:$D$14,0)),K1394)*IF(M1394="",INDEX(CONFIG!$H$5:$H$14,MATCH(D1394,CONFIG!$D$5:$D$14,0)),M1394))),""))</f>
        <v/>
      </c>
      <c r="Q1394" s="16" t="str">
        <f aca="false">IF(OR(O1394="",P1394=""),"",O1394/P1394)</f>
        <v/>
      </c>
      <c r="R1394" s="16" t="str">
        <f aca="false">IF(Q1394="","",Q1394*0.0980665)</f>
        <v/>
      </c>
      <c r="S1394" s="16" t="str">
        <f aca="false">IF(Q1394="","",IFERROR(Q1394/(1/(1/INDEX(CONFIG!$I$5:$I$14,MATCH(D1394,CONFIG!$D$5:$D$14,0)))),""))</f>
        <v/>
      </c>
      <c r="T1394" s="13"/>
      <c r="U1394" s="13"/>
      <c r="V1394" s="13"/>
      <c r="W1394" s="13"/>
      <c r="X1394" s="22" t="str">
        <f aca="false">IF(Q1394="","",Q1394^2)</f>
        <v/>
      </c>
      <c r="Y1394" s="22" t="str">
        <f aca="false">IF(AND(C1394&lt;&gt;"",C1394=CERTIFICADO!$E$4,OR(CERTIFICADO!$E$5="",B1394=CERTIFICADO!$E$5)),MAX($Y$4:Y1393)+1,"")</f>
        <v/>
      </c>
    </row>
    <row r="1395" customFormat="false" ht="15" hidden="false" customHeight="false" outlineLevel="0" collapsed="false">
      <c r="A1395" s="11" t="str">
        <f aca="false">IF(C1395="","",ROW()-4)</f>
        <v/>
      </c>
      <c r="B1395" s="12"/>
      <c r="C1395" s="13"/>
      <c r="D1395" s="23" t="str">
        <f aca="false">IF(C1395="","",IFERROR(INDEX(LOTES!$D$5:$D$1004,MATCH(C1395,LOTES!$F$5:$F$1004,0)),"¿Lote?"))</f>
        <v/>
      </c>
      <c r="E1395" s="11" t="str">
        <f aca="false">IF(C1395="","",IFERROR(INDEX(LOTES!$C$5:$C$1004,MATCH(C1395,LOTES!$F$5:$F$1004,0)),""))</f>
        <v/>
      </c>
      <c r="F1395" s="24" t="str">
        <f aca="false">IF(C1395="","",IFERROR(INDEX(LOTES!$B$5:$B$1004,MATCH(C1395,LOTES!$F$5:$F$1004,0)),""))</f>
        <v/>
      </c>
      <c r="G1395" s="15" t="str">
        <f aca="false">IF(OR(B1395="",F1395=""),"",B1395-F1395)</f>
        <v/>
      </c>
      <c r="H1395" s="13"/>
      <c r="I1395" s="13"/>
      <c r="J1395" s="13"/>
      <c r="K1395" s="25"/>
      <c r="L1395" s="25"/>
      <c r="M1395" s="25"/>
      <c r="N1395" s="25"/>
      <c r="O1395" s="26"/>
      <c r="P1395" s="16" t="str">
        <f aca="false">IF(O1395="","",IFERROR(1/(1/(IF(K1395="",INDEX(CONFIG!$F$5:$F$14,MATCH(D1395,CONFIG!$D$5:$D$14,0)),K1395)*IF(M1395="",INDEX(CONFIG!$H$5:$H$14,MATCH(D1395,CONFIG!$D$5:$D$14,0)),M1395))),""))</f>
        <v/>
      </c>
      <c r="Q1395" s="16" t="str">
        <f aca="false">IF(OR(O1395="",P1395=""),"",O1395/P1395)</f>
        <v/>
      </c>
      <c r="R1395" s="16" t="str">
        <f aca="false">IF(Q1395="","",Q1395*0.0980665)</f>
        <v/>
      </c>
      <c r="S1395" s="16" t="str">
        <f aca="false">IF(Q1395="","",IFERROR(Q1395/(1/(1/INDEX(CONFIG!$I$5:$I$14,MATCH(D1395,CONFIG!$D$5:$D$14,0)))),""))</f>
        <v/>
      </c>
      <c r="T1395" s="13"/>
      <c r="U1395" s="13"/>
      <c r="V1395" s="13"/>
      <c r="W1395" s="13"/>
      <c r="X1395" s="22" t="str">
        <f aca="false">IF(Q1395="","",Q1395^2)</f>
        <v/>
      </c>
      <c r="Y1395" s="22" t="str">
        <f aca="false">IF(AND(C1395&lt;&gt;"",C1395=CERTIFICADO!$E$4,OR(CERTIFICADO!$E$5="",B1395=CERTIFICADO!$E$5)),MAX($Y$4:Y1394)+1,"")</f>
        <v/>
      </c>
    </row>
    <row r="1396" customFormat="false" ht="15" hidden="false" customHeight="false" outlineLevel="0" collapsed="false">
      <c r="A1396" s="11" t="str">
        <f aca="false">IF(C1396="","",ROW()-4)</f>
        <v/>
      </c>
      <c r="B1396" s="12"/>
      <c r="C1396" s="13"/>
      <c r="D1396" s="23" t="str">
        <f aca="false">IF(C1396="","",IFERROR(INDEX(LOTES!$D$5:$D$1004,MATCH(C1396,LOTES!$F$5:$F$1004,0)),"¿Lote?"))</f>
        <v/>
      </c>
      <c r="E1396" s="11" t="str">
        <f aca="false">IF(C1396="","",IFERROR(INDEX(LOTES!$C$5:$C$1004,MATCH(C1396,LOTES!$F$5:$F$1004,0)),""))</f>
        <v/>
      </c>
      <c r="F1396" s="24" t="str">
        <f aca="false">IF(C1396="","",IFERROR(INDEX(LOTES!$B$5:$B$1004,MATCH(C1396,LOTES!$F$5:$F$1004,0)),""))</f>
        <v/>
      </c>
      <c r="G1396" s="15" t="str">
        <f aca="false">IF(OR(B1396="",F1396=""),"",B1396-F1396)</f>
        <v/>
      </c>
      <c r="H1396" s="13"/>
      <c r="I1396" s="13"/>
      <c r="J1396" s="13"/>
      <c r="K1396" s="25"/>
      <c r="L1396" s="25"/>
      <c r="M1396" s="25"/>
      <c r="N1396" s="25"/>
      <c r="O1396" s="26"/>
      <c r="P1396" s="16" t="str">
        <f aca="false">IF(O1396="","",IFERROR(1/(1/(IF(K1396="",INDEX(CONFIG!$F$5:$F$14,MATCH(D1396,CONFIG!$D$5:$D$14,0)),K1396)*IF(M1396="",INDEX(CONFIG!$H$5:$H$14,MATCH(D1396,CONFIG!$D$5:$D$14,0)),M1396))),""))</f>
        <v/>
      </c>
      <c r="Q1396" s="16" t="str">
        <f aca="false">IF(OR(O1396="",P1396=""),"",O1396/P1396)</f>
        <v/>
      </c>
      <c r="R1396" s="16" t="str">
        <f aca="false">IF(Q1396="","",Q1396*0.0980665)</f>
        <v/>
      </c>
      <c r="S1396" s="16" t="str">
        <f aca="false">IF(Q1396="","",IFERROR(Q1396/(1/(1/INDEX(CONFIG!$I$5:$I$14,MATCH(D1396,CONFIG!$D$5:$D$14,0)))),""))</f>
        <v/>
      </c>
      <c r="T1396" s="13"/>
      <c r="U1396" s="13"/>
      <c r="V1396" s="13"/>
      <c r="W1396" s="13"/>
      <c r="X1396" s="22" t="str">
        <f aca="false">IF(Q1396="","",Q1396^2)</f>
        <v/>
      </c>
      <c r="Y1396" s="22" t="str">
        <f aca="false">IF(AND(C1396&lt;&gt;"",C1396=CERTIFICADO!$E$4,OR(CERTIFICADO!$E$5="",B1396=CERTIFICADO!$E$5)),MAX($Y$4:Y1395)+1,"")</f>
        <v/>
      </c>
    </row>
    <row r="1397" customFormat="false" ht="15" hidden="false" customHeight="false" outlineLevel="0" collapsed="false">
      <c r="A1397" s="11" t="str">
        <f aca="false">IF(C1397="","",ROW()-4)</f>
        <v/>
      </c>
      <c r="B1397" s="12"/>
      <c r="C1397" s="13"/>
      <c r="D1397" s="23" t="str">
        <f aca="false">IF(C1397="","",IFERROR(INDEX(LOTES!$D$5:$D$1004,MATCH(C1397,LOTES!$F$5:$F$1004,0)),"¿Lote?"))</f>
        <v/>
      </c>
      <c r="E1397" s="11" t="str">
        <f aca="false">IF(C1397="","",IFERROR(INDEX(LOTES!$C$5:$C$1004,MATCH(C1397,LOTES!$F$5:$F$1004,0)),""))</f>
        <v/>
      </c>
      <c r="F1397" s="24" t="str">
        <f aca="false">IF(C1397="","",IFERROR(INDEX(LOTES!$B$5:$B$1004,MATCH(C1397,LOTES!$F$5:$F$1004,0)),""))</f>
        <v/>
      </c>
      <c r="G1397" s="15" t="str">
        <f aca="false">IF(OR(B1397="",F1397=""),"",B1397-F1397)</f>
        <v/>
      </c>
      <c r="H1397" s="13"/>
      <c r="I1397" s="13"/>
      <c r="J1397" s="13"/>
      <c r="K1397" s="25"/>
      <c r="L1397" s="25"/>
      <c r="M1397" s="25"/>
      <c r="N1397" s="25"/>
      <c r="O1397" s="26"/>
      <c r="P1397" s="16" t="str">
        <f aca="false">IF(O1397="","",IFERROR(1/(1/(IF(K1397="",INDEX(CONFIG!$F$5:$F$14,MATCH(D1397,CONFIG!$D$5:$D$14,0)),K1397)*IF(M1397="",INDEX(CONFIG!$H$5:$H$14,MATCH(D1397,CONFIG!$D$5:$D$14,0)),M1397))),""))</f>
        <v/>
      </c>
      <c r="Q1397" s="16" t="str">
        <f aca="false">IF(OR(O1397="",P1397=""),"",O1397/P1397)</f>
        <v/>
      </c>
      <c r="R1397" s="16" t="str">
        <f aca="false">IF(Q1397="","",Q1397*0.0980665)</f>
        <v/>
      </c>
      <c r="S1397" s="16" t="str">
        <f aca="false">IF(Q1397="","",IFERROR(Q1397/(1/(1/INDEX(CONFIG!$I$5:$I$14,MATCH(D1397,CONFIG!$D$5:$D$14,0)))),""))</f>
        <v/>
      </c>
      <c r="T1397" s="13"/>
      <c r="U1397" s="13"/>
      <c r="V1397" s="13"/>
      <c r="W1397" s="13"/>
      <c r="X1397" s="22" t="str">
        <f aca="false">IF(Q1397="","",Q1397^2)</f>
        <v/>
      </c>
      <c r="Y1397" s="22" t="str">
        <f aca="false">IF(AND(C1397&lt;&gt;"",C1397=CERTIFICADO!$E$4,OR(CERTIFICADO!$E$5="",B1397=CERTIFICADO!$E$5)),MAX($Y$4:Y1396)+1,"")</f>
        <v/>
      </c>
    </row>
    <row r="1398" customFormat="false" ht="15" hidden="false" customHeight="false" outlineLevel="0" collapsed="false">
      <c r="A1398" s="11" t="str">
        <f aca="false">IF(C1398="","",ROW()-4)</f>
        <v/>
      </c>
      <c r="B1398" s="12"/>
      <c r="C1398" s="13"/>
      <c r="D1398" s="23" t="str">
        <f aca="false">IF(C1398="","",IFERROR(INDEX(LOTES!$D$5:$D$1004,MATCH(C1398,LOTES!$F$5:$F$1004,0)),"¿Lote?"))</f>
        <v/>
      </c>
      <c r="E1398" s="11" t="str">
        <f aca="false">IF(C1398="","",IFERROR(INDEX(LOTES!$C$5:$C$1004,MATCH(C1398,LOTES!$F$5:$F$1004,0)),""))</f>
        <v/>
      </c>
      <c r="F1398" s="24" t="str">
        <f aca="false">IF(C1398="","",IFERROR(INDEX(LOTES!$B$5:$B$1004,MATCH(C1398,LOTES!$F$5:$F$1004,0)),""))</f>
        <v/>
      </c>
      <c r="G1398" s="15" t="str">
        <f aca="false">IF(OR(B1398="",F1398=""),"",B1398-F1398)</f>
        <v/>
      </c>
      <c r="H1398" s="13"/>
      <c r="I1398" s="13"/>
      <c r="J1398" s="13"/>
      <c r="K1398" s="25"/>
      <c r="L1398" s="25"/>
      <c r="M1398" s="25"/>
      <c r="N1398" s="25"/>
      <c r="O1398" s="26"/>
      <c r="P1398" s="16" t="str">
        <f aca="false">IF(O1398="","",IFERROR(1/(1/(IF(K1398="",INDEX(CONFIG!$F$5:$F$14,MATCH(D1398,CONFIG!$D$5:$D$14,0)),K1398)*IF(M1398="",INDEX(CONFIG!$H$5:$H$14,MATCH(D1398,CONFIG!$D$5:$D$14,0)),M1398))),""))</f>
        <v/>
      </c>
      <c r="Q1398" s="16" t="str">
        <f aca="false">IF(OR(O1398="",P1398=""),"",O1398/P1398)</f>
        <v/>
      </c>
      <c r="R1398" s="16" t="str">
        <f aca="false">IF(Q1398="","",Q1398*0.0980665)</f>
        <v/>
      </c>
      <c r="S1398" s="16" t="str">
        <f aca="false">IF(Q1398="","",IFERROR(Q1398/(1/(1/INDEX(CONFIG!$I$5:$I$14,MATCH(D1398,CONFIG!$D$5:$D$14,0)))),""))</f>
        <v/>
      </c>
      <c r="T1398" s="13"/>
      <c r="U1398" s="13"/>
      <c r="V1398" s="13"/>
      <c r="W1398" s="13"/>
      <c r="X1398" s="22" t="str">
        <f aca="false">IF(Q1398="","",Q1398^2)</f>
        <v/>
      </c>
      <c r="Y1398" s="22" t="str">
        <f aca="false">IF(AND(C1398&lt;&gt;"",C1398=CERTIFICADO!$E$4,OR(CERTIFICADO!$E$5="",B1398=CERTIFICADO!$E$5)),MAX($Y$4:Y1397)+1,"")</f>
        <v/>
      </c>
    </row>
    <row r="1399" customFormat="false" ht="15" hidden="false" customHeight="false" outlineLevel="0" collapsed="false">
      <c r="A1399" s="11" t="str">
        <f aca="false">IF(C1399="","",ROW()-4)</f>
        <v/>
      </c>
      <c r="B1399" s="12"/>
      <c r="C1399" s="13"/>
      <c r="D1399" s="23" t="str">
        <f aca="false">IF(C1399="","",IFERROR(INDEX(LOTES!$D$5:$D$1004,MATCH(C1399,LOTES!$F$5:$F$1004,0)),"¿Lote?"))</f>
        <v/>
      </c>
      <c r="E1399" s="11" t="str">
        <f aca="false">IF(C1399="","",IFERROR(INDEX(LOTES!$C$5:$C$1004,MATCH(C1399,LOTES!$F$5:$F$1004,0)),""))</f>
        <v/>
      </c>
      <c r="F1399" s="24" t="str">
        <f aca="false">IF(C1399="","",IFERROR(INDEX(LOTES!$B$5:$B$1004,MATCH(C1399,LOTES!$F$5:$F$1004,0)),""))</f>
        <v/>
      </c>
      <c r="G1399" s="15" t="str">
        <f aca="false">IF(OR(B1399="",F1399=""),"",B1399-F1399)</f>
        <v/>
      </c>
      <c r="H1399" s="13"/>
      <c r="I1399" s="13"/>
      <c r="J1399" s="13"/>
      <c r="K1399" s="25"/>
      <c r="L1399" s="25"/>
      <c r="M1399" s="25"/>
      <c r="N1399" s="25"/>
      <c r="O1399" s="26"/>
      <c r="P1399" s="16" t="str">
        <f aca="false">IF(O1399="","",IFERROR(1/(1/(IF(K1399="",INDEX(CONFIG!$F$5:$F$14,MATCH(D1399,CONFIG!$D$5:$D$14,0)),K1399)*IF(M1399="",INDEX(CONFIG!$H$5:$H$14,MATCH(D1399,CONFIG!$D$5:$D$14,0)),M1399))),""))</f>
        <v/>
      </c>
      <c r="Q1399" s="16" t="str">
        <f aca="false">IF(OR(O1399="",P1399=""),"",O1399/P1399)</f>
        <v/>
      </c>
      <c r="R1399" s="16" t="str">
        <f aca="false">IF(Q1399="","",Q1399*0.0980665)</f>
        <v/>
      </c>
      <c r="S1399" s="16" t="str">
        <f aca="false">IF(Q1399="","",IFERROR(Q1399/(1/(1/INDEX(CONFIG!$I$5:$I$14,MATCH(D1399,CONFIG!$D$5:$D$14,0)))),""))</f>
        <v/>
      </c>
      <c r="T1399" s="13"/>
      <c r="U1399" s="13"/>
      <c r="V1399" s="13"/>
      <c r="W1399" s="13"/>
      <c r="X1399" s="22" t="str">
        <f aca="false">IF(Q1399="","",Q1399^2)</f>
        <v/>
      </c>
      <c r="Y1399" s="22" t="str">
        <f aca="false">IF(AND(C1399&lt;&gt;"",C1399=CERTIFICADO!$E$4,OR(CERTIFICADO!$E$5="",B1399=CERTIFICADO!$E$5)),MAX($Y$4:Y1398)+1,"")</f>
        <v/>
      </c>
    </row>
    <row r="1400" customFormat="false" ht="15" hidden="false" customHeight="false" outlineLevel="0" collapsed="false">
      <c r="A1400" s="11" t="str">
        <f aca="false">IF(C1400="","",ROW()-4)</f>
        <v/>
      </c>
      <c r="B1400" s="12"/>
      <c r="C1400" s="13"/>
      <c r="D1400" s="23" t="str">
        <f aca="false">IF(C1400="","",IFERROR(INDEX(LOTES!$D$5:$D$1004,MATCH(C1400,LOTES!$F$5:$F$1004,0)),"¿Lote?"))</f>
        <v/>
      </c>
      <c r="E1400" s="11" t="str">
        <f aca="false">IF(C1400="","",IFERROR(INDEX(LOTES!$C$5:$C$1004,MATCH(C1400,LOTES!$F$5:$F$1004,0)),""))</f>
        <v/>
      </c>
      <c r="F1400" s="24" t="str">
        <f aca="false">IF(C1400="","",IFERROR(INDEX(LOTES!$B$5:$B$1004,MATCH(C1400,LOTES!$F$5:$F$1004,0)),""))</f>
        <v/>
      </c>
      <c r="G1400" s="15" t="str">
        <f aca="false">IF(OR(B1400="",F1400=""),"",B1400-F1400)</f>
        <v/>
      </c>
      <c r="H1400" s="13"/>
      <c r="I1400" s="13"/>
      <c r="J1400" s="13"/>
      <c r="K1400" s="25"/>
      <c r="L1400" s="25"/>
      <c r="M1400" s="25"/>
      <c r="N1400" s="25"/>
      <c r="O1400" s="26"/>
      <c r="P1400" s="16" t="str">
        <f aca="false">IF(O1400="","",IFERROR(1/(1/(IF(K1400="",INDEX(CONFIG!$F$5:$F$14,MATCH(D1400,CONFIG!$D$5:$D$14,0)),K1400)*IF(M1400="",INDEX(CONFIG!$H$5:$H$14,MATCH(D1400,CONFIG!$D$5:$D$14,0)),M1400))),""))</f>
        <v/>
      </c>
      <c r="Q1400" s="16" t="str">
        <f aca="false">IF(OR(O1400="",P1400=""),"",O1400/P1400)</f>
        <v/>
      </c>
      <c r="R1400" s="16" t="str">
        <f aca="false">IF(Q1400="","",Q1400*0.0980665)</f>
        <v/>
      </c>
      <c r="S1400" s="16" t="str">
        <f aca="false">IF(Q1400="","",IFERROR(Q1400/(1/(1/INDEX(CONFIG!$I$5:$I$14,MATCH(D1400,CONFIG!$D$5:$D$14,0)))),""))</f>
        <v/>
      </c>
      <c r="T1400" s="13"/>
      <c r="U1400" s="13"/>
      <c r="V1400" s="13"/>
      <c r="W1400" s="13"/>
      <c r="X1400" s="22" t="str">
        <f aca="false">IF(Q1400="","",Q1400^2)</f>
        <v/>
      </c>
      <c r="Y1400" s="22" t="str">
        <f aca="false">IF(AND(C1400&lt;&gt;"",C1400=CERTIFICADO!$E$4,OR(CERTIFICADO!$E$5="",B1400=CERTIFICADO!$E$5)),MAX($Y$4:Y1399)+1,"")</f>
        <v/>
      </c>
    </row>
    <row r="1401" customFormat="false" ht="15" hidden="false" customHeight="false" outlineLevel="0" collapsed="false">
      <c r="A1401" s="11" t="str">
        <f aca="false">IF(C1401="","",ROW()-4)</f>
        <v/>
      </c>
      <c r="B1401" s="12"/>
      <c r="C1401" s="13"/>
      <c r="D1401" s="23" t="str">
        <f aca="false">IF(C1401="","",IFERROR(INDEX(LOTES!$D$5:$D$1004,MATCH(C1401,LOTES!$F$5:$F$1004,0)),"¿Lote?"))</f>
        <v/>
      </c>
      <c r="E1401" s="11" t="str">
        <f aca="false">IF(C1401="","",IFERROR(INDEX(LOTES!$C$5:$C$1004,MATCH(C1401,LOTES!$F$5:$F$1004,0)),""))</f>
        <v/>
      </c>
      <c r="F1401" s="24" t="str">
        <f aca="false">IF(C1401="","",IFERROR(INDEX(LOTES!$B$5:$B$1004,MATCH(C1401,LOTES!$F$5:$F$1004,0)),""))</f>
        <v/>
      </c>
      <c r="G1401" s="15" t="str">
        <f aca="false">IF(OR(B1401="",F1401=""),"",B1401-F1401)</f>
        <v/>
      </c>
      <c r="H1401" s="13"/>
      <c r="I1401" s="13"/>
      <c r="J1401" s="13"/>
      <c r="K1401" s="25"/>
      <c r="L1401" s="25"/>
      <c r="M1401" s="25"/>
      <c r="N1401" s="25"/>
      <c r="O1401" s="26"/>
      <c r="P1401" s="16" t="str">
        <f aca="false">IF(O1401="","",IFERROR(1/(1/(IF(K1401="",INDEX(CONFIG!$F$5:$F$14,MATCH(D1401,CONFIG!$D$5:$D$14,0)),K1401)*IF(M1401="",INDEX(CONFIG!$H$5:$H$14,MATCH(D1401,CONFIG!$D$5:$D$14,0)),M1401))),""))</f>
        <v/>
      </c>
      <c r="Q1401" s="16" t="str">
        <f aca="false">IF(OR(O1401="",P1401=""),"",O1401/P1401)</f>
        <v/>
      </c>
      <c r="R1401" s="16" t="str">
        <f aca="false">IF(Q1401="","",Q1401*0.0980665)</f>
        <v/>
      </c>
      <c r="S1401" s="16" t="str">
        <f aca="false">IF(Q1401="","",IFERROR(Q1401/(1/(1/INDEX(CONFIG!$I$5:$I$14,MATCH(D1401,CONFIG!$D$5:$D$14,0)))),""))</f>
        <v/>
      </c>
      <c r="T1401" s="13"/>
      <c r="U1401" s="13"/>
      <c r="V1401" s="13"/>
      <c r="W1401" s="13"/>
      <c r="X1401" s="22" t="str">
        <f aca="false">IF(Q1401="","",Q1401^2)</f>
        <v/>
      </c>
      <c r="Y1401" s="22" t="str">
        <f aca="false">IF(AND(C1401&lt;&gt;"",C1401=CERTIFICADO!$E$4,OR(CERTIFICADO!$E$5="",B1401=CERTIFICADO!$E$5)),MAX($Y$4:Y1400)+1,"")</f>
        <v/>
      </c>
    </row>
    <row r="1402" customFormat="false" ht="15" hidden="false" customHeight="false" outlineLevel="0" collapsed="false">
      <c r="A1402" s="11" t="str">
        <f aca="false">IF(C1402="","",ROW()-4)</f>
        <v/>
      </c>
      <c r="B1402" s="12"/>
      <c r="C1402" s="13"/>
      <c r="D1402" s="23" t="str">
        <f aca="false">IF(C1402="","",IFERROR(INDEX(LOTES!$D$5:$D$1004,MATCH(C1402,LOTES!$F$5:$F$1004,0)),"¿Lote?"))</f>
        <v/>
      </c>
      <c r="E1402" s="11" t="str">
        <f aca="false">IF(C1402="","",IFERROR(INDEX(LOTES!$C$5:$C$1004,MATCH(C1402,LOTES!$F$5:$F$1004,0)),""))</f>
        <v/>
      </c>
      <c r="F1402" s="24" t="str">
        <f aca="false">IF(C1402="","",IFERROR(INDEX(LOTES!$B$5:$B$1004,MATCH(C1402,LOTES!$F$5:$F$1004,0)),""))</f>
        <v/>
      </c>
      <c r="G1402" s="15" t="str">
        <f aca="false">IF(OR(B1402="",F1402=""),"",B1402-F1402)</f>
        <v/>
      </c>
      <c r="H1402" s="13"/>
      <c r="I1402" s="13"/>
      <c r="J1402" s="13"/>
      <c r="K1402" s="25"/>
      <c r="L1402" s="25"/>
      <c r="M1402" s="25"/>
      <c r="N1402" s="25"/>
      <c r="O1402" s="26"/>
      <c r="P1402" s="16" t="str">
        <f aca="false">IF(O1402="","",IFERROR(1/(1/(IF(K1402="",INDEX(CONFIG!$F$5:$F$14,MATCH(D1402,CONFIG!$D$5:$D$14,0)),K1402)*IF(M1402="",INDEX(CONFIG!$H$5:$H$14,MATCH(D1402,CONFIG!$D$5:$D$14,0)),M1402))),""))</f>
        <v/>
      </c>
      <c r="Q1402" s="16" t="str">
        <f aca="false">IF(OR(O1402="",P1402=""),"",O1402/P1402)</f>
        <v/>
      </c>
      <c r="R1402" s="16" t="str">
        <f aca="false">IF(Q1402="","",Q1402*0.0980665)</f>
        <v/>
      </c>
      <c r="S1402" s="16" t="str">
        <f aca="false">IF(Q1402="","",IFERROR(Q1402/(1/(1/INDEX(CONFIG!$I$5:$I$14,MATCH(D1402,CONFIG!$D$5:$D$14,0)))),""))</f>
        <v/>
      </c>
      <c r="T1402" s="13"/>
      <c r="U1402" s="13"/>
      <c r="V1402" s="13"/>
      <c r="W1402" s="13"/>
      <c r="X1402" s="22" t="str">
        <f aca="false">IF(Q1402="","",Q1402^2)</f>
        <v/>
      </c>
      <c r="Y1402" s="22" t="str">
        <f aca="false">IF(AND(C1402&lt;&gt;"",C1402=CERTIFICADO!$E$4,OR(CERTIFICADO!$E$5="",B1402=CERTIFICADO!$E$5)),MAX($Y$4:Y1401)+1,"")</f>
        <v/>
      </c>
    </row>
    <row r="1403" customFormat="false" ht="15" hidden="false" customHeight="false" outlineLevel="0" collapsed="false">
      <c r="A1403" s="11" t="str">
        <f aca="false">IF(C1403="","",ROW()-4)</f>
        <v/>
      </c>
      <c r="B1403" s="12"/>
      <c r="C1403" s="13"/>
      <c r="D1403" s="23" t="str">
        <f aca="false">IF(C1403="","",IFERROR(INDEX(LOTES!$D$5:$D$1004,MATCH(C1403,LOTES!$F$5:$F$1004,0)),"¿Lote?"))</f>
        <v/>
      </c>
      <c r="E1403" s="11" t="str">
        <f aca="false">IF(C1403="","",IFERROR(INDEX(LOTES!$C$5:$C$1004,MATCH(C1403,LOTES!$F$5:$F$1004,0)),""))</f>
        <v/>
      </c>
      <c r="F1403" s="24" t="str">
        <f aca="false">IF(C1403="","",IFERROR(INDEX(LOTES!$B$5:$B$1004,MATCH(C1403,LOTES!$F$5:$F$1004,0)),""))</f>
        <v/>
      </c>
      <c r="G1403" s="15" t="str">
        <f aca="false">IF(OR(B1403="",F1403=""),"",B1403-F1403)</f>
        <v/>
      </c>
      <c r="H1403" s="13"/>
      <c r="I1403" s="13"/>
      <c r="J1403" s="13"/>
      <c r="K1403" s="25"/>
      <c r="L1403" s="25"/>
      <c r="M1403" s="25"/>
      <c r="N1403" s="25"/>
      <c r="O1403" s="26"/>
      <c r="P1403" s="16" t="str">
        <f aca="false">IF(O1403="","",IFERROR(1/(1/(IF(K1403="",INDEX(CONFIG!$F$5:$F$14,MATCH(D1403,CONFIG!$D$5:$D$14,0)),K1403)*IF(M1403="",INDEX(CONFIG!$H$5:$H$14,MATCH(D1403,CONFIG!$D$5:$D$14,0)),M1403))),""))</f>
        <v/>
      </c>
      <c r="Q1403" s="16" t="str">
        <f aca="false">IF(OR(O1403="",P1403=""),"",O1403/P1403)</f>
        <v/>
      </c>
      <c r="R1403" s="16" t="str">
        <f aca="false">IF(Q1403="","",Q1403*0.0980665)</f>
        <v/>
      </c>
      <c r="S1403" s="16" t="str">
        <f aca="false">IF(Q1403="","",IFERROR(Q1403/(1/(1/INDEX(CONFIG!$I$5:$I$14,MATCH(D1403,CONFIG!$D$5:$D$14,0)))),""))</f>
        <v/>
      </c>
      <c r="T1403" s="13"/>
      <c r="U1403" s="13"/>
      <c r="V1403" s="13"/>
      <c r="W1403" s="13"/>
      <c r="X1403" s="22" t="str">
        <f aca="false">IF(Q1403="","",Q1403^2)</f>
        <v/>
      </c>
      <c r="Y1403" s="22" t="str">
        <f aca="false">IF(AND(C1403&lt;&gt;"",C1403=CERTIFICADO!$E$4,OR(CERTIFICADO!$E$5="",B1403=CERTIFICADO!$E$5)),MAX($Y$4:Y1402)+1,"")</f>
        <v/>
      </c>
    </row>
    <row r="1404" customFormat="false" ht="15" hidden="false" customHeight="false" outlineLevel="0" collapsed="false">
      <c r="A1404" s="11" t="str">
        <f aca="false">IF(C1404="","",ROW()-4)</f>
        <v/>
      </c>
      <c r="B1404" s="12"/>
      <c r="C1404" s="13"/>
      <c r="D1404" s="23" t="str">
        <f aca="false">IF(C1404="","",IFERROR(INDEX(LOTES!$D$5:$D$1004,MATCH(C1404,LOTES!$F$5:$F$1004,0)),"¿Lote?"))</f>
        <v/>
      </c>
      <c r="E1404" s="11" t="str">
        <f aca="false">IF(C1404="","",IFERROR(INDEX(LOTES!$C$5:$C$1004,MATCH(C1404,LOTES!$F$5:$F$1004,0)),""))</f>
        <v/>
      </c>
      <c r="F1404" s="24" t="str">
        <f aca="false">IF(C1404="","",IFERROR(INDEX(LOTES!$B$5:$B$1004,MATCH(C1404,LOTES!$F$5:$F$1004,0)),""))</f>
        <v/>
      </c>
      <c r="G1404" s="15" t="str">
        <f aca="false">IF(OR(B1404="",F1404=""),"",B1404-F1404)</f>
        <v/>
      </c>
      <c r="H1404" s="13"/>
      <c r="I1404" s="13"/>
      <c r="J1404" s="13"/>
      <c r="K1404" s="25"/>
      <c r="L1404" s="25"/>
      <c r="M1404" s="25"/>
      <c r="N1404" s="25"/>
      <c r="O1404" s="26"/>
      <c r="P1404" s="16" t="str">
        <f aca="false">IF(O1404="","",IFERROR(1/(1/(IF(K1404="",INDEX(CONFIG!$F$5:$F$14,MATCH(D1404,CONFIG!$D$5:$D$14,0)),K1404)*IF(M1404="",INDEX(CONFIG!$H$5:$H$14,MATCH(D1404,CONFIG!$D$5:$D$14,0)),M1404))),""))</f>
        <v/>
      </c>
      <c r="Q1404" s="16" t="str">
        <f aca="false">IF(OR(O1404="",P1404=""),"",O1404/P1404)</f>
        <v/>
      </c>
      <c r="R1404" s="16" t="str">
        <f aca="false">IF(Q1404="","",Q1404*0.0980665)</f>
        <v/>
      </c>
      <c r="S1404" s="16" t="str">
        <f aca="false">IF(Q1404="","",IFERROR(Q1404/(1/(1/INDEX(CONFIG!$I$5:$I$14,MATCH(D1404,CONFIG!$D$5:$D$14,0)))),""))</f>
        <v/>
      </c>
      <c r="T1404" s="13"/>
      <c r="U1404" s="13"/>
      <c r="V1404" s="13"/>
      <c r="W1404" s="13"/>
      <c r="X1404" s="22" t="str">
        <f aca="false">IF(Q1404="","",Q1404^2)</f>
        <v/>
      </c>
      <c r="Y1404" s="22" t="str">
        <f aca="false">IF(AND(C1404&lt;&gt;"",C1404=CERTIFICADO!$E$4,OR(CERTIFICADO!$E$5="",B1404=CERTIFICADO!$E$5)),MAX($Y$4:Y1403)+1,"")</f>
        <v/>
      </c>
    </row>
    <row r="1405" customFormat="false" ht="15" hidden="false" customHeight="false" outlineLevel="0" collapsed="false">
      <c r="A1405" s="11" t="str">
        <f aca="false">IF(C1405="","",ROW()-4)</f>
        <v/>
      </c>
      <c r="B1405" s="12"/>
      <c r="C1405" s="13"/>
      <c r="D1405" s="23" t="str">
        <f aca="false">IF(C1405="","",IFERROR(INDEX(LOTES!$D$5:$D$1004,MATCH(C1405,LOTES!$F$5:$F$1004,0)),"¿Lote?"))</f>
        <v/>
      </c>
      <c r="E1405" s="11" t="str">
        <f aca="false">IF(C1405="","",IFERROR(INDEX(LOTES!$C$5:$C$1004,MATCH(C1405,LOTES!$F$5:$F$1004,0)),""))</f>
        <v/>
      </c>
      <c r="F1405" s="24" t="str">
        <f aca="false">IF(C1405="","",IFERROR(INDEX(LOTES!$B$5:$B$1004,MATCH(C1405,LOTES!$F$5:$F$1004,0)),""))</f>
        <v/>
      </c>
      <c r="G1405" s="15" t="str">
        <f aca="false">IF(OR(B1405="",F1405=""),"",B1405-F1405)</f>
        <v/>
      </c>
      <c r="H1405" s="13"/>
      <c r="I1405" s="13"/>
      <c r="J1405" s="13"/>
      <c r="K1405" s="25"/>
      <c r="L1405" s="25"/>
      <c r="M1405" s="25"/>
      <c r="N1405" s="25"/>
      <c r="O1405" s="26"/>
      <c r="P1405" s="16" t="str">
        <f aca="false">IF(O1405="","",IFERROR(1/(1/(IF(K1405="",INDEX(CONFIG!$F$5:$F$14,MATCH(D1405,CONFIG!$D$5:$D$14,0)),K1405)*IF(M1405="",INDEX(CONFIG!$H$5:$H$14,MATCH(D1405,CONFIG!$D$5:$D$14,0)),M1405))),""))</f>
        <v/>
      </c>
      <c r="Q1405" s="16" t="str">
        <f aca="false">IF(OR(O1405="",P1405=""),"",O1405/P1405)</f>
        <v/>
      </c>
      <c r="R1405" s="16" t="str">
        <f aca="false">IF(Q1405="","",Q1405*0.0980665)</f>
        <v/>
      </c>
      <c r="S1405" s="16" t="str">
        <f aca="false">IF(Q1405="","",IFERROR(Q1405/(1/(1/INDEX(CONFIG!$I$5:$I$14,MATCH(D1405,CONFIG!$D$5:$D$14,0)))),""))</f>
        <v/>
      </c>
      <c r="T1405" s="13"/>
      <c r="U1405" s="13"/>
      <c r="V1405" s="13"/>
      <c r="W1405" s="13"/>
      <c r="X1405" s="22" t="str">
        <f aca="false">IF(Q1405="","",Q1405^2)</f>
        <v/>
      </c>
      <c r="Y1405" s="22" t="str">
        <f aca="false">IF(AND(C1405&lt;&gt;"",C1405=CERTIFICADO!$E$4,OR(CERTIFICADO!$E$5="",B1405=CERTIFICADO!$E$5)),MAX($Y$4:Y1404)+1,"")</f>
        <v/>
      </c>
    </row>
    <row r="1406" customFormat="false" ht="15" hidden="false" customHeight="false" outlineLevel="0" collapsed="false">
      <c r="A1406" s="11" t="str">
        <f aca="false">IF(C1406="","",ROW()-4)</f>
        <v/>
      </c>
      <c r="B1406" s="12"/>
      <c r="C1406" s="13"/>
      <c r="D1406" s="23" t="str">
        <f aca="false">IF(C1406="","",IFERROR(INDEX(LOTES!$D$5:$D$1004,MATCH(C1406,LOTES!$F$5:$F$1004,0)),"¿Lote?"))</f>
        <v/>
      </c>
      <c r="E1406" s="11" t="str">
        <f aca="false">IF(C1406="","",IFERROR(INDEX(LOTES!$C$5:$C$1004,MATCH(C1406,LOTES!$F$5:$F$1004,0)),""))</f>
        <v/>
      </c>
      <c r="F1406" s="24" t="str">
        <f aca="false">IF(C1406="","",IFERROR(INDEX(LOTES!$B$5:$B$1004,MATCH(C1406,LOTES!$F$5:$F$1004,0)),""))</f>
        <v/>
      </c>
      <c r="G1406" s="15" t="str">
        <f aca="false">IF(OR(B1406="",F1406=""),"",B1406-F1406)</f>
        <v/>
      </c>
      <c r="H1406" s="13"/>
      <c r="I1406" s="13"/>
      <c r="J1406" s="13"/>
      <c r="K1406" s="25"/>
      <c r="L1406" s="25"/>
      <c r="M1406" s="25"/>
      <c r="N1406" s="25"/>
      <c r="O1406" s="26"/>
      <c r="P1406" s="16" t="str">
        <f aca="false">IF(O1406="","",IFERROR(1/(1/(IF(K1406="",INDEX(CONFIG!$F$5:$F$14,MATCH(D1406,CONFIG!$D$5:$D$14,0)),K1406)*IF(M1406="",INDEX(CONFIG!$H$5:$H$14,MATCH(D1406,CONFIG!$D$5:$D$14,0)),M1406))),""))</f>
        <v/>
      </c>
      <c r="Q1406" s="16" t="str">
        <f aca="false">IF(OR(O1406="",P1406=""),"",O1406/P1406)</f>
        <v/>
      </c>
      <c r="R1406" s="16" t="str">
        <f aca="false">IF(Q1406="","",Q1406*0.0980665)</f>
        <v/>
      </c>
      <c r="S1406" s="16" t="str">
        <f aca="false">IF(Q1406="","",IFERROR(Q1406/(1/(1/INDEX(CONFIG!$I$5:$I$14,MATCH(D1406,CONFIG!$D$5:$D$14,0)))),""))</f>
        <v/>
      </c>
      <c r="T1406" s="13"/>
      <c r="U1406" s="13"/>
      <c r="V1406" s="13"/>
      <c r="W1406" s="13"/>
      <c r="X1406" s="22" t="str">
        <f aca="false">IF(Q1406="","",Q1406^2)</f>
        <v/>
      </c>
      <c r="Y1406" s="22" t="str">
        <f aca="false">IF(AND(C1406&lt;&gt;"",C1406=CERTIFICADO!$E$4,OR(CERTIFICADO!$E$5="",B1406=CERTIFICADO!$E$5)),MAX($Y$4:Y1405)+1,"")</f>
        <v/>
      </c>
    </row>
    <row r="1407" customFormat="false" ht="15" hidden="false" customHeight="false" outlineLevel="0" collapsed="false">
      <c r="A1407" s="11" t="str">
        <f aca="false">IF(C1407="","",ROW()-4)</f>
        <v/>
      </c>
      <c r="B1407" s="12"/>
      <c r="C1407" s="13"/>
      <c r="D1407" s="23" t="str">
        <f aca="false">IF(C1407="","",IFERROR(INDEX(LOTES!$D$5:$D$1004,MATCH(C1407,LOTES!$F$5:$F$1004,0)),"¿Lote?"))</f>
        <v/>
      </c>
      <c r="E1407" s="11" t="str">
        <f aca="false">IF(C1407="","",IFERROR(INDEX(LOTES!$C$5:$C$1004,MATCH(C1407,LOTES!$F$5:$F$1004,0)),""))</f>
        <v/>
      </c>
      <c r="F1407" s="24" t="str">
        <f aca="false">IF(C1407="","",IFERROR(INDEX(LOTES!$B$5:$B$1004,MATCH(C1407,LOTES!$F$5:$F$1004,0)),""))</f>
        <v/>
      </c>
      <c r="G1407" s="15" t="str">
        <f aca="false">IF(OR(B1407="",F1407=""),"",B1407-F1407)</f>
        <v/>
      </c>
      <c r="H1407" s="13"/>
      <c r="I1407" s="13"/>
      <c r="J1407" s="13"/>
      <c r="K1407" s="25"/>
      <c r="L1407" s="25"/>
      <c r="M1407" s="25"/>
      <c r="N1407" s="25"/>
      <c r="O1407" s="26"/>
      <c r="P1407" s="16" t="str">
        <f aca="false">IF(O1407="","",IFERROR(1/(1/(IF(K1407="",INDEX(CONFIG!$F$5:$F$14,MATCH(D1407,CONFIG!$D$5:$D$14,0)),K1407)*IF(M1407="",INDEX(CONFIG!$H$5:$H$14,MATCH(D1407,CONFIG!$D$5:$D$14,0)),M1407))),""))</f>
        <v/>
      </c>
      <c r="Q1407" s="16" t="str">
        <f aca="false">IF(OR(O1407="",P1407=""),"",O1407/P1407)</f>
        <v/>
      </c>
      <c r="R1407" s="16" t="str">
        <f aca="false">IF(Q1407="","",Q1407*0.0980665)</f>
        <v/>
      </c>
      <c r="S1407" s="16" t="str">
        <f aca="false">IF(Q1407="","",IFERROR(Q1407/(1/(1/INDEX(CONFIG!$I$5:$I$14,MATCH(D1407,CONFIG!$D$5:$D$14,0)))),""))</f>
        <v/>
      </c>
      <c r="T1407" s="13"/>
      <c r="U1407" s="13"/>
      <c r="V1407" s="13"/>
      <c r="W1407" s="13"/>
      <c r="X1407" s="22" t="str">
        <f aca="false">IF(Q1407="","",Q1407^2)</f>
        <v/>
      </c>
      <c r="Y1407" s="22" t="str">
        <f aca="false">IF(AND(C1407&lt;&gt;"",C1407=CERTIFICADO!$E$4,OR(CERTIFICADO!$E$5="",B1407=CERTIFICADO!$E$5)),MAX($Y$4:Y1406)+1,"")</f>
        <v/>
      </c>
    </row>
    <row r="1408" customFormat="false" ht="15" hidden="false" customHeight="false" outlineLevel="0" collapsed="false">
      <c r="A1408" s="11" t="str">
        <f aca="false">IF(C1408="","",ROW()-4)</f>
        <v/>
      </c>
      <c r="B1408" s="12"/>
      <c r="C1408" s="13"/>
      <c r="D1408" s="23" t="str">
        <f aca="false">IF(C1408="","",IFERROR(INDEX(LOTES!$D$5:$D$1004,MATCH(C1408,LOTES!$F$5:$F$1004,0)),"¿Lote?"))</f>
        <v/>
      </c>
      <c r="E1408" s="11" t="str">
        <f aca="false">IF(C1408="","",IFERROR(INDEX(LOTES!$C$5:$C$1004,MATCH(C1408,LOTES!$F$5:$F$1004,0)),""))</f>
        <v/>
      </c>
      <c r="F1408" s="24" t="str">
        <f aca="false">IF(C1408="","",IFERROR(INDEX(LOTES!$B$5:$B$1004,MATCH(C1408,LOTES!$F$5:$F$1004,0)),""))</f>
        <v/>
      </c>
      <c r="G1408" s="15" t="str">
        <f aca="false">IF(OR(B1408="",F1408=""),"",B1408-F1408)</f>
        <v/>
      </c>
      <c r="H1408" s="13"/>
      <c r="I1408" s="13"/>
      <c r="J1408" s="13"/>
      <c r="K1408" s="25"/>
      <c r="L1408" s="25"/>
      <c r="M1408" s="25"/>
      <c r="N1408" s="25"/>
      <c r="O1408" s="26"/>
      <c r="P1408" s="16" t="str">
        <f aca="false">IF(O1408="","",IFERROR(1/(1/(IF(K1408="",INDEX(CONFIG!$F$5:$F$14,MATCH(D1408,CONFIG!$D$5:$D$14,0)),K1408)*IF(M1408="",INDEX(CONFIG!$H$5:$H$14,MATCH(D1408,CONFIG!$D$5:$D$14,0)),M1408))),""))</f>
        <v/>
      </c>
      <c r="Q1408" s="16" t="str">
        <f aca="false">IF(OR(O1408="",P1408=""),"",O1408/P1408)</f>
        <v/>
      </c>
      <c r="R1408" s="16" t="str">
        <f aca="false">IF(Q1408="","",Q1408*0.0980665)</f>
        <v/>
      </c>
      <c r="S1408" s="16" t="str">
        <f aca="false">IF(Q1408="","",IFERROR(Q1408/(1/(1/INDEX(CONFIG!$I$5:$I$14,MATCH(D1408,CONFIG!$D$5:$D$14,0)))),""))</f>
        <v/>
      </c>
      <c r="T1408" s="13"/>
      <c r="U1408" s="13"/>
      <c r="V1408" s="13"/>
      <c r="W1408" s="13"/>
      <c r="X1408" s="22" t="str">
        <f aca="false">IF(Q1408="","",Q1408^2)</f>
        <v/>
      </c>
      <c r="Y1408" s="22" t="str">
        <f aca="false">IF(AND(C1408&lt;&gt;"",C1408=CERTIFICADO!$E$4,OR(CERTIFICADO!$E$5="",B1408=CERTIFICADO!$E$5)),MAX($Y$4:Y1407)+1,"")</f>
        <v/>
      </c>
    </row>
    <row r="1409" customFormat="false" ht="15" hidden="false" customHeight="false" outlineLevel="0" collapsed="false">
      <c r="A1409" s="11" t="str">
        <f aca="false">IF(C1409="","",ROW()-4)</f>
        <v/>
      </c>
      <c r="B1409" s="12"/>
      <c r="C1409" s="13"/>
      <c r="D1409" s="23" t="str">
        <f aca="false">IF(C1409="","",IFERROR(INDEX(LOTES!$D$5:$D$1004,MATCH(C1409,LOTES!$F$5:$F$1004,0)),"¿Lote?"))</f>
        <v/>
      </c>
      <c r="E1409" s="11" t="str">
        <f aca="false">IF(C1409="","",IFERROR(INDEX(LOTES!$C$5:$C$1004,MATCH(C1409,LOTES!$F$5:$F$1004,0)),""))</f>
        <v/>
      </c>
      <c r="F1409" s="24" t="str">
        <f aca="false">IF(C1409="","",IFERROR(INDEX(LOTES!$B$5:$B$1004,MATCH(C1409,LOTES!$F$5:$F$1004,0)),""))</f>
        <v/>
      </c>
      <c r="G1409" s="15" t="str">
        <f aca="false">IF(OR(B1409="",F1409=""),"",B1409-F1409)</f>
        <v/>
      </c>
      <c r="H1409" s="13"/>
      <c r="I1409" s="13"/>
      <c r="J1409" s="13"/>
      <c r="K1409" s="25"/>
      <c r="L1409" s="25"/>
      <c r="M1409" s="25"/>
      <c r="N1409" s="25"/>
      <c r="O1409" s="26"/>
      <c r="P1409" s="16" t="str">
        <f aca="false">IF(O1409="","",IFERROR(1/(1/(IF(K1409="",INDEX(CONFIG!$F$5:$F$14,MATCH(D1409,CONFIG!$D$5:$D$14,0)),K1409)*IF(M1409="",INDEX(CONFIG!$H$5:$H$14,MATCH(D1409,CONFIG!$D$5:$D$14,0)),M1409))),""))</f>
        <v/>
      </c>
      <c r="Q1409" s="16" t="str">
        <f aca="false">IF(OR(O1409="",P1409=""),"",O1409/P1409)</f>
        <v/>
      </c>
      <c r="R1409" s="16" t="str">
        <f aca="false">IF(Q1409="","",Q1409*0.0980665)</f>
        <v/>
      </c>
      <c r="S1409" s="16" t="str">
        <f aca="false">IF(Q1409="","",IFERROR(Q1409/(1/(1/INDEX(CONFIG!$I$5:$I$14,MATCH(D1409,CONFIG!$D$5:$D$14,0)))),""))</f>
        <v/>
      </c>
      <c r="T1409" s="13"/>
      <c r="U1409" s="13"/>
      <c r="V1409" s="13"/>
      <c r="W1409" s="13"/>
      <c r="X1409" s="22" t="str">
        <f aca="false">IF(Q1409="","",Q1409^2)</f>
        <v/>
      </c>
      <c r="Y1409" s="22" t="str">
        <f aca="false">IF(AND(C1409&lt;&gt;"",C1409=CERTIFICADO!$E$4,OR(CERTIFICADO!$E$5="",B1409=CERTIFICADO!$E$5)),MAX($Y$4:Y1408)+1,"")</f>
        <v/>
      </c>
    </row>
    <row r="1410" customFormat="false" ht="15" hidden="false" customHeight="false" outlineLevel="0" collapsed="false">
      <c r="A1410" s="11" t="str">
        <f aca="false">IF(C1410="","",ROW()-4)</f>
        <v/>
      </c>
      <c r="B1410" s="12"/>
      <c r="C1410" s="13"/>
      <c r="D1410" s="23" t="str">
        <f aca="false">IF(C1410="","",IFERROR(INDEX(LOTES!$D$5:$D$1004,MATCH(C1410,LOTES!$F$5:$F$1004,0)),"¿Lote?"))</f>
        <v/>
      </c>
      <c r="E1410" s="11" t="str">
        <f aca="false">IF(C1410="","",IFERROR(INDEX(LOTES!$C$5:$C$1004,MATCH(C1410,LOTES!$F$5:$F$1004,0)),""))</f>
        <v/>
      </c>
      <c r="F1410" s="24" t="str">
        <f aca="false">IF(C1410="","",IFERROR(INDEX(LOTES!$B$5:$B$1004,MATCH(C1410,LOTES!$F$5:$F$1004,0)),""))</f>
        <v/>
      </c>
      <c r="G1410" s="15" t="str">
        <f aca="false">IF(OR(B1410="",F1410=""),"",B1410-F1410)</f>
        <v/>
      </c>
      <c r="H1410" s="13"/>
      <c r="I1410" s="13"/>
      <c r="J1410" s="13"/>
      <c r="K1410" s="25"/>
      <c r="L1410" s="25"/>
      <c r="M1410" s="25"/>
      <c r="N1410" s="25"/>
      <c r="O1410" s="26"/>
      <c r="P1410" s="16" t="str">
        <f aca="false">IF(O1410="","",IFERROR(1/(1/(IF(K1410="",INDEX(CONFIG!$F$5:$F$14,MATCH(D1410,CONFIG!$D$5:$D$14,0)),K1410)*IF(M1410="",INDEX(CONFIG!$H$5:$H$14,MATCH(D1410,CONFIG!$D$5:$D$14,0)),M1410))),""))</f>
        <v/>
      </c>
      <c r="Q1410" s="16" t="str">
        <f aca="false">IF(OR(O1410="",P1410=""),"",O1410/P1410)</f>
        <v/>
      </c>
      <c r="R1410" s="16" t="str">
        <f aca="false">IF(Q1410="","",Q1410*0.0980665)</f>
        <v/>
      </c>
      <c r="S1410" s="16" t="str">
        <f aca="false">IF(Q1410="","",IFERROR(Q1410/(1/(1/INDEX(CONFIG!$I$5:$I$14,MATCH(D1410,CONFIG!$D$5:$D$14,0)))),""))</f>
        <v/>
      </c>
      <c r="T1410" s="13"/>
      <c r="U1410" s="13"/>
      <c r="V1410" s="13"/>
      <c r="W1410" s="13"/>
      <c r="X1410" s="22" t="str">
        <f aca="false">IF(Q1410="","",Q1410^2)</f>
        <v/>
      </c>
      <c r="Y1410" s="22" t="str">
        <f aca="false">IF(AND(C1410&lt;&gt;"",C1410=CERTIFICADO!$E$4,OR(CERTIFICADO!$E$5="",B1410=CERTIFICADO!$E$5)),MAX($Y$4:Y1409)+1,"")</f>
        <v/>
      </c>
    </row>
    <row r="1411" customFormat="false" ht="15" hidden="false" customHeight="false" outlineLevel="0" collapsed="false">
      <c r="A1411" s="11" t="str">
        <f aca="false">IF(C1411="","",ROW()-4)</f>
        <v/>
      </c>
      <c r="B1411" s="12"/>
      <c r="C1411" s="13"/>
      <c r="D1411" s="23" t="str">
        <f aca="false">IF(C1411="","",IFERROR(INDEX(LOTES!$D$5:$D$1004,MATCH(C1411,LOTES!$F$5:$F$1004,0)),"¿Lote?"))</f>
        <v/>
      </c>
      <c r="E1411" s="11" t="str">
        <f aca="false">IF(C1411="","",IFERROR(INDEX(LOTES!$C$5:$C$1004,MATCH(C1411,LOTES!$F$5:$F$1004,0)),""))</f>
        <v/>
      </c>
      <c r="F1411" s="24" t="str">
        <f aca="false">IF(C1411="","",IFERROR(INDEX(LOTES!$B$5:$B$1004,MATCH(C1411,LOTES!$F$5:$F$1004,0)),""))</f>
        <v/>
      </c>
      <c r="G1411" s="15" t="str">
        <f aca="false">IF(OR(B1411="",F1411=""),"",B1411-F1411)</f>
        <v/>
      </c>
      <c r="H1411" s="13"/>
      <c r="I1411" s="13"/>
      <c r="J1411" s="13"/>
      <c r="K1411" s="25"/>
      <c r="L1411" s="25"/>
      <c r="M1411" s="25"/>
      <c r="N1411" s="25"/>
      <c r="O1411" s="26"/>
      <c r="P1411" s="16" t="str">
        <f aca="false">IF(O1411="","",IFERROR(1/(1/(IF(K1411="",INDEX(CONFIG!$F$5:$F$14,MATCH(D1411,CONFIG!$D$5:$D$14,0)),K1411)*IF(M1411="",INDEX(CONFIG!$H$5:$H$14,MATCH(D1411,CONFIG!$D$5:$D$14,0)),M1411))),""))</f>
        <v/>
      </c>
      <c r="Q1411" s="16" t="str">
        <f aca="false">IF(OR(O1411="",P1411=""),"",O1411/P1411)</f>
        <v/>
      </c>
      <c r="R1411" s="16" t="str">
        <f aca="false">IF(Q1411="","",Q1411*0.0980665)</f>
        <v/>
      </c>
      <c r="S1411" s="16" t="str">
        <f aca="false">IF(Q1411="","",IFERROR(Q1411/(1/(1/INDEX(CONFIG!$I$5:$I$14,MATCH(D1411,CONFIG!$D$5:$D$14,0)))),""))</f>
        <v/>
      </c>
      <c r="T1411" s="13"/>
      <c r="U1411" s="13"/>
      <c r="V1411" s="13"/>
      <c r="W1411" s="13"/>
      <c r="X1411" s="22" t="str">
        <f aca="false">IF(Q1411="","",Q1411^2)</f>
        <v/>
      </c>
      <c r="Y1411" s="22" t="str">
        <f aca="false">IF(AND(C1411&lt;&gt;"",C1411=CERTIFICADO!$E$4,OR(CERTIFICADO!$E$5="",B1411=CERTIFICADO!$E$5)),MAX($Y$4:Y1410)+1,"")</f>
        <v/>
      </c>
    </row>
    <row r="1412" customFormat="false" ht="15" hidden="false" customHeight="false" outlineLevel="0" collapsed="false">
      <c r="A1412" s="11" t="str">
        <f aca="false">IF(C1412="","",ROW()-4)</f>
        <v/>
      </c>
      <c r="B1412" s="12"/>
      <c r="C1412" s="13"/>
      <c r="D1412" s="23" t="str">
        <f aca="false">IF(C1412="","",IFERROR(INDEX(LOTES!$D$5:$D$1004,MATCH(C1412,LOTES!$F$5:$F$1004,0)),"¿Lote?"))</f>
        <v/>
      </c>
      <c r="E1412" s="11" t="str">
        <f aca="false">IF(C1412="","",IFERROR(INDEX(LOTES!$C$5:$C$1004,MATCH(C1412,LOTES!$F$5:$F$1004,0)),""))</f>
        <v/>
      </c>
      <c r="F1412" s="24" t="str">
        <f aca="false">IF(C1412="","",IFERROR(INDEX(LOTES!$B$5:$B$1004,MATCH(C1412,LOTES!$F$5:$F$1004,0)),""))</f>
        <v/>
      </c>
      <c r="G1412" s="15" t="str">
        <f aca="false">IF(OR(B1412="",F1412=""),"",B1412-F1412)</f>
        <v/>
      </c>
      <c r="H1412" s="13"/>
      <c r="I1412" s="13"/>
      <c r="J1412" s="13"/>
      <c r="K1412" s="25"/>
      <c r="L1412" s="25"/>
      <c r="M1412" s="25"/>
      <c r="N1412" s="25"/>
      <c r="O1412" s="26"/>
      <c r="P1412" s="16" t="str">
        <f aca="false">IF(O1412="","",IFERROR(1/(1/(IF(K1412="",INDEX(CONFIG!$F$5:$F$14,MATCH(D1412,CONFIG!$D$5:$D$14,0)),K1412)*IF(M1412="",INDEX(CONFIG!$H$5:$H$14,MATCH(D1412,CONFIG!$D$5:$D$14,0)),M1412))),""))</f>
        <v/>
      </c>
      <c r="Q1412" s="16" t="str">
        <f aca="false">IF(OR(O1412="",P1412=""),"",O1412/P1412)</f>
        <v/>
      </c>
      <c r="R1412" s="16" t="str">
        <f aca="false">IF(Q1412="","",Q1412*0.0980665)</f>
        <v/>
      </c>
      <c r="S1412" s="16" t="str">
        <f aca="false">IF(Q1412="","",IFERROR(Q1412/(1/(1/INDEX(CONFIG!$I$5:$I$14,MATCH(D1412,CONFIG!$D$5:$D$14,0)))),""))</f>
        <v/>
      </c>
      <c r="T1412" s="13"/>
      <c r="U1412" s="13"/>
      <c r="V1412" s="13"/>
      <c r="W1412" s="13"/>
      <c r="X1412" s="22" t="str">
        <f aca="false">IF(Q1412="","",Q1412^2)</f>
        <v/>
      </c>
      <c r="Y1412" s="22" t="str">
        <f aca="false">IF(AND(C1412&lt;&gt;"",C1412=CERTIFICADO!$E$4,OR(CERTIFICADO!$E$5="",B1412=CERTIFICADO!$E$5)),MAX($Y$4:Y1411)+1,"")</f>
        <v/>
      </c>
    </row>
    <row r="1413" customFormat="false" ht="15" hidden="false" customHeight="false" outlineLevel="0" collapsed="false">
      <c r="A1413" s="11" t="str">
        <f aca="false">IF(C1413="","",ROW()-4)</f>
        <v/>
      </c>
      <c r="B1413" s="12"/>
      <c r="C1413" s="13"/>
      <c r="D1413" s="23" t="str">
        <f aca="false">IF(C1413="","",IFERROR(INDEX(LOTES!$D$5:$D$1004,MATCH(C1413,LOTES!$F$5:$F$1004,0)),"¿Lote?"))</f>
        <v/>
      </c>
      <c r="E1413" s="11" t="str">
        <f aca="false">IF(C1413="","",IFERROR(INDEX(LOTES!$C$5:$C$1004,MATCH(C1413,LOTES!$F$5:$F$1004,0)),""))</f>
        <v/>
      </c>
      <c r="F1413" s="24" t="str">
        <f aca="false">IF(C1413="","",IFERROR(INDEX(LOTES!$B$5:$B$1004,MATCH(C1413,LOTES!$F$5:$F$1004,0)),""))</f>
        <v/>
      </c>
      <c r="G1413" s="15" t="str">
        <f aca="false">IF(OR(B1413="",F1413=""),"",B1413-F1413)</f>
        <v/>
      </c>
      <c r="H1413" s="13"/>
      <c r="I1413" s="13"/>
      <c r="J1413" s="13"/>
      <c r="K1413" s="25"/>
      <c r="L1413" s="25"/>
      <c r="M1413" s="25"/>
      <c r="N1413" s="25"/>
      <c r="O1413" s="26"/>
      <c r="P1413" s="16" t="str">
        <f aca="false">IF(O1413="","",IFERROR(1/(1/(IF(K1413="",INDEX(CONFIG!$F$5:$F$14,MATCH(D1413,CONFIG!$D$5:$D$14,0)),K1413)*IF(M1413="",INDEX(CONFIG!$H$5:$H$14,MATCH(D1413,CONFIG!$D$5:$D$14,0)),M1413))),""))</f>
        <v/>
      </c>
      <c r="Q1413" s="16" t="str">
        <f aca="false">IF(OR(O1413="",P1413=""),"",O1413/P1413)</f>
        <v/>
      </c>
      <c r="R1413" s="16" t="str">
        <f aca="false">IF(Q1413="","",Q1413*0.0980665)</f>
        <v/>
      </c>
      <c r="S1413" s="16" t="str">
        <f aca="false">IF(Q1413="","",IFERROR(Q1413/(1/(1/INDEX(CONFIG!$I$5:$I$14,MATCH(D1413,CONFIG!$D$5:$D$14,0)))),""))</f>
        <v/>
      </c>
      <c r="T1413" s="13"/>
      <c r="U1413" s="13"/>
      <c r="V1413" s="13"/>
      <c r="W1413" s="13"/>
      <c r="X1413" s="22" t="str">
        <f aca="false">IF(Q1413="","",Q1413^2)</f>
        <v/>
      </c>
      <c r="Y1413" s="22" t="str">
        <f aca="false">IF(AND(C1413&lt;&gt;"",C1413=CERTIFICADO!$E$4,OR(CERTIFICADO!$E$5="",B1413=CERTIFICADO!$E$5)),MAX($Y$4:Y1412)+1,"")</f>
        <v/>
      </c>
    </row>
    <row r="1414" customFormat="false" ht="15" hidden="false" customHeight="false" outlineLevel="0" collapsed="false">
      <c r="A1414" s="11" t="str">
        <f aca="false">IF(C1414="","",ROW()-4)</f>
        <v/>
      </c>
      <c r="B1414" s="12"/>
      <c r="C1414" s="13"/>
      <c r="D1414" s="23" t="str">
        <f aca="false">IF(C1414="","",IFERROR(INDEX(LOTES!$D$5:$D$1004,MATCH(C1414,LOTES!$F$5:$F$1004,0)),"¿Lote?"))</f>
        <v/>
      </c>
      <c r="E1414" s="11" t="str">
        <f aca="false">IF(C1414="","",IFERROR(INDEX(LOTES!$C$5:$C$1004,MATCH(C1414,LOTES!$F$5:$F$1004,0)),""))</f>
        <v/>
      </c>
      <c r="F1414" s="24" t="str">
        <f aca="false">IF(C1414="","",IFERROR(INDEX(LOTES!$B$5:$B$1004,MATCH(C1414,LOTES!$F$5:$F$1004,0)),""))</f>
        <v/>
      </c>
      <c r="G1414" s="15" t="str">
        <f aca="false">IF(OR(B1414="",F1414=""),"",B1414-F1414)</f>
        <v/>
      </c>
      <c r="H1414" s="13"/>
      <c r="I1414" s="13"/>
      <c r="J1414" s="13"/>
      <c r="K1414" s="25"/>
      <c r="L1414" s="25"/>
      <c r="M1414" s="25"/>
      <c r="N1414" s="25"/>
      <c r="O1414" s="26"/>
      <c r="P1414" s="16" t="str">
        <f aca="false">IF(O1414="","",IFERROR(1/(1/(IF(K1414="",INDEX(CONFIG!$F$5:$F$14,MATCH(D1414,CONFIG!$D$5:$D$14,0)),K1414)*IF(M1414="",INDEX(CONFIG!$H$5:$H$14,MATCH(D1414,CONFIG!$D$5:$D$14,0)),M1414))),""))</f>
        <v/>
      </c>
      <c r="Q1414" s="16" t="str">
        <f aca="false">IF(OR(O1414="",P1414=""),"",O1414/P1414)</f>
        <v/>
      </c>
      <c r="R1414" s="16" t="str">
        <f aca="false">IF(Q1414="","",Q1414*0.0980665)</f>
        <v/>
      </c>
      <c r="S1414" s="16" t="str">
        <f aca="false">IF(Q1414="","",IFERROR(Q1414/(1/(1/INDEX(CONFIG!$I$5:$I$14,MATCH(D1414,CONFIG!$D$5:$D$14,0)))),""))</f>
        <v/>
      </c>
      <c r="T1414" s="13"/>
      <c r="U1414" s="13"/>
      <c r="V1414" s="13"/>
      <c r="W1414" s="13"/>
      <c r="X1414" s="22" t="str">
        <f aca="false">IF(Q1414="","",Q1414^2)</f>
        <v/>
      </c>
      <c r="Y1414" s="22" t="str">
        <f aca="false">IF(AND(C1414&lt;&gt;"",C1414=CERTIFICADO!$E$4,OR(CERTIFICADO!$E$5="",B1414=CERTIFICADO!$E$5)),MAX($Y$4:Y1413)+1,"")</f>
        <v/>
      </c>
    </row>
    <row r="1415" customFormat="false" ht="15" hidden="false" customHeight="false" outlineLevel="0" collapsed="false">
      <c r="A1415" s="11" t="str">
        <f aca="false">IF(C1415="","",ROW()-4)</f>
        <v/>
      </c>
      <c r="B1415" s="12"/>
      <c r="C1415" s="13"/>
      <c r="D1415" s="23" t="str">
        <f aca="false">IF(C1415="","",IFERROR(INDEX(LOTES!$D$5:$D$1004,MATCH(C1415,LOTES!$F$5:$F$1004,0)),"¿Lote?"))</f>
        <v/>
      </c>
      <c r="E1415" s="11" t="str">
        <f aca="false">IF(C1415="","",IFERROR(INDEX(LOTES!$C$5:$C$1004,MATCH(C1415,LOTES!$F$5:$F$1004,0)),""))</f>
        <v/>
      </c>
      <c r="F1415" s="24" t="str">
        <f aca="false">IF(C1415="","",IFERROR(INDEX(LOTES!$B$5:$B$1004,MATCH(C1415,LOTES!$F$5:$F$1004,0)),""))</f>
        <v/>
      </c>
      <c r="G1415" s="15" t="str">
        <f aca="false">IF(OR(B1415="",F1415=""),"",B1415-F1415)</f>
        <v/>
      </c>
      <c r="H1415" s="13"/>
      <c r="I1415" s="13"/>
      <c r="J1415" s="13"/>
      <c r="K1415" s="25"/>
      <c r="L1415" s="25"/>
      <c r="M1415" s="25"/>
      <c r="N1415" s="25"/>
      <c r="O1415" s="26"/>
      <c r="P1415" s="16" t="str">
        <f aca="false">IF(O1415="","",IFERROR(1/(1/(IF(K1415="",INDEX(CONFIG!$F$5:$F$14,MATCH(D1415,CONFIG!$D$5:$D$14,0)),K1415)*IF(M1415="",INDEX(CONFIG!$H$5:$H$14,MATCH(D1415,CONFIG!$D$5:$D$14,0)),M1415))),""))</f>
        <v/>
      </c>
      <c r="Q1415" s="16" t="str">
        <f aca="false">IF(OR(O1415="",P1415=""),"",O1415/P1415)</f>
        <v/>
      </c>
      <c r="R1415" s="16" t="str">
        <f aca="false">IF(Q1415="","",Q1415*0.0980665)</f>
        <v/>
      </c>
      <c r="S1415" s="16" t="str">
        <f aca="false">IF(Q1415="","",IFERROR(Q1415/(1/(1/INDEX(CONFIG!$I$5:$I$14,MATCH(D1415,CONFIG!$D$5:$D$14,0)))),""))</f>
        <v/>
      </c>
      <c r="T1415" s="13"/>
      <c r="U1415" s="13"/>
      <c r="V1415" s="13"/>
      <c r="W1415" s="13"/>
      <c r="X1415" s="22" t="str">
        <f aca="false">IF(Q1415="","",Q1415^2)</f>
        <v/>
      </c>
      <c r="Y1415" s="22" t="str">
        <f aca="false">IF(AND(C1415&lt;&gt;"",C1415=CERTIFICADO!$E$4,OR(CERTIFICADO!$E$5="",B1415=CERTIFICADO!$E$5)),MAX($Y$4:Y1414)+1,"")</f>
        <v/>
      </c>
    </row>
    <row r="1416" customFormat="false" ht="15" hidden="false" customHeight="false" outlineLevel="0" collapsed="false">
      <c r="A1416" s="11" t="str">
        <f aca="false">IF(C1416="","",ROW()-4)</f>
        <v/>
      </c>
      <c r="B1416" s="12"/>
      <c r="C1416" s="13"/>
      <c r="D1416" s="23" t="str">
        <f aca="false">IF(C1416="","",IFERROR(INDEX(LOTES!$D$5:$D$1004,MATCH(C1416,LOTES!$F$5:$F$1004,0)),"¿Lote?"))</f>
        <v/>
      </c>
      <c r="E1416" s="11" t="str">
        <f aca="false">IF(C1416="","",IFERROR(INDEX(LOTES!$C$5:$C$1004,MATCH(C1416,LOTES!$F$5:$F$1004,0)),""))</f>
        <v/>
      </c>
      <c r="F1416" s="24" t="str">
        <f aca="false">IF(C1416="","",IFERROR(INDEX(LOTES!$B$5:$B$1004,MATCH(C1416,LOTES!$F$5:$F$1004,0)),""))</f>
        <v/>
      </c>
      <c r="G1416" s="15" t="str">
        <f aca="false">IF(OR(B1416="",F1416=""),"",B1416-F1416)</f>
        <v/>
      </c>
      <c r="H1416" s="13"/>
      <c r="I1416" s="13"/>
      <c r="J1416" s="13"/>
      <c r="K1416" s="25"/>
      <c r="L1416" s="25"/>
      <c r="M1416" s="25"/>
      <c r="N1416" s="25"/>
      <c r="O1416" s="26"/>
      <c r="P1416" s="16" t="str">
        <f aca="false">IF(O1416="","",IFERROR(1/(1/(IF(K1416="",INDEX(CONFIG!$F$5:$F$14,MATCH(D1416,CONFIG!$D$5:$D$14,0)),K1416)*IF(M1416="",INDEX(CONFIG!$H$5:$H$14,MATCH(D1416,CONFIG!$D$5:$D$14,0)),M1416))),""))</f>
        <v/>
      </c>
      <c r="Q1416" s="16" t="str">
        <f aca="false">IF(OR(O1416="",P1416=""),"",O1416/P1416)</f>
        <v/>
      </c>
      <c r="R1416" s="16" t="str">
        <f aca="false">IF(Q1416="","",Q1416*0.0980665)</f>
        <v/>
      </c>
      <c r="S1416" s="16" t="str">
        <f aca="false">IF(Q1416="","",IFERROR(Q1416/(1/(1/INDEX(CONFIG!$I$5:$I$14,MATCH(D1416,CONFIG!$D$5:$D$14,0)))),""))</f>
        <v/>
      </c>
      <c r="T1416" s="13"/>
      <c r="U1416" s="13"/>
      <c r="V1416" s="13"/>
      <c r="W1416" s="13"/>
      <c r="X1416" s="22" t="str">
        <f aca="false">IF(Q1416="","",Q1416^2)</f>
        <v/>
      </c>
      <c r="Y1416" s="22" t="str">
        <f aca="false">IF(AND(C1416&lt;&gt;"",C1416=CERTIFICADO!$E$4,OR(CERTIFICADO!$E$5="",B1416=CERTIFICADO!$E$5)),MAX($Y$4:Y1415)+1,"")</f>
        <v/>
      </c>
    </row>
    <row r="1417" customFormat="false" ht="15" hidden="false" customHeight="false" outlineLevel="0" collapsed="false">
      <c r="A1417" s="11" t="str">
        <f aca="false">IF(C1417="","",ROW()-4)</f>
        <v/>
      </c>
      <c r="B1417" s="12"/>
      <c r="C1417" s="13"/>
      <c r="D1417" s="23" t="str">
        <f aca="false">IF(C1417="","",IFERROR(INDEX(LOTES!$D$5:$D$1004,MATCH(C1417,LOTES!$F$5:$F$1004,0)),"¿Lote?"))</f>
        <v/>
      </c>
      <c r="E1417" s="11" t="str">
        <f aca="false">IF(C1417="","",IFERROR(INDEX(LOTES!$C$5:$C$1004,MATCH(C1417,LOTES!$F$5:$F$1004,0)),""))</f>
        <v/>
      </c>
      <c r="F1417" s="24" t="str">
        <f aca="false">IF(C1417="","",IFERROR(INDEX(LOTES!$B$5:$B$1004,MATCH(C1417,LOTES!$F$5:$F$1004,0)),""))</f>
        <v/>
      </c>
      <c r="G1417" s="15" t="str">
        <f aca="false">IF(OR(B1417="",F1417=""),"",B1417-F1417)</f>
        <v/>
      </c>
      <c r="H1417" s="13"/>
      <c r="I1417" s="13"/>
      <c r="J1417" s="13"/>
      <c r="K1417" s="25"/>
      <c r="L1417" s="25"/>
      <c r="M1417" s="25"/>
      <c r="N1417" s="25"/>
      <c r="O1417" s="26"/>
      <c r="P1417" s="16" t="str">
        <f aca="false">IF(O1417="","",IFERROR(1/(1/(IF(K1417="",INDEX(CONFIG!$F$5:$F$14,MATCH(D1417,CONFIG!$D$5:$D$14,0)),K1417)*IF(M1417="",INDEX(CONFIG!$H$5:$H$14,MATCH(D1417,CONFIG!$D$5:$D$14,0)),M1417))),""))</f>
        <v/>
      </c>
      <c r="Q1417" s="16" t="str">
        <f aca="false">IF(OR(O1417="",P1417=""),"",O1417/P1417)</f>
        <v/>
      </c>
      <c r="R1417" s="16" t="str">
        <f aca="false">IF(Q1417="","",Q1417*0.0980665)</f>
        <v/>
      </c>
      <c r="S1417" s="16" t="str">
        <f aca="false">IF(Q1417="","",IFERROR(Q1417/(1/(1/INDEX(CONFIG!$I$5:$I$14,MATCH(D1417,CONFIG!$D$5:$D$14,0)))),""))</f>
        <v/>
      </c>
      <c r="T1417" s="13"/>
      <c r="U1417" s="13"/>
      <c r="V1417" s="13"/>
      <c r="W1417" s="13"/>
      <c r="X1417" s="22" t="str">
        <f aca="false">IF(Q1417="","",Q1417^2)</f>
        <v/>
      </c>
      <c r="Y1417" s="22" t="str">
        <f aca="false">IF(AND(C1417&lt;&gt;"",C1417=CERTIFICADO!$E$4,OR(CERTIFICADO!$E$5="",B1417=CERTIFICADO!$E$5)),MAX($Y$4:Y1416)+1,"")</f>
        <v/>
      </c>
    </row>
    <row r="1418" customFormat="false" ht="15" hidden="false" customHeight="false" outlineLevel="0" collapsed="false">
      <c r="A1418" s="11" t="str">
        <f aca="false">IF(C1418="","",ROW()-4)</f>
        <v/>
      </c>
      <c r="B1418" s="12"/>
      <c r="C1418" s="13"/>
      <c r="D1418" s="23" t="str">
        <f aca="false">IF(C1418="","",IFERROR(INDEX(LOTES!$D$5:$D$1004,MATCH(C1418,LOTES!$F$5:$F$1004,0)),"¿Lote?"))</f>
        <v/>
      </c>
      <c r="E1418" s="11" t="str">
        <f aca="false">IF(C1418="","",IFERROR(INDEX(LOTES!$C$5:$C$1004,MATCH(C1418,LOTES!$F$5:$F$1004,0)),""))</f>
        <v/>
      </c>
      <c r="F1418" s="24" t="str">
        <f aca="false">IF(C1418="","",IFERROR(INDEX(LOTES!$B$5:$B$1004,MATCH(C1418,LOTES!$F$5:$F$1004,0)),""))</f>
        <v/>
      </c>
      <c r="G1418" s="15" t="str">
        <f aca="false">IF(OR(B1418="",F1418=""),"",B1418-F1418)</f>
        <v/>
      </c>
      <c r="H1418" s="13"/>
      <c r="I1418" s="13"/>
      <c r="J1418" s="13"/>
      <c r="K1418" s="25"/>
      <c r="L1418" s="25"/>
      <c r="M1418" s="25"/>
      <c r="N1418" s="25"/>
      <c r="O1418" s="26"/>
      <c r="P1418" s="16" t="str">
        <f aca="false">IF(O1418="","",IFERROR(1/(1/(IF(K1418="",INDEX(CONFIG!$F$5:$F$14,MATCH(D1418,CONFIG!$D$5:$D$14,0)),K1418)*IF(M1418="",INDEX(CONFIG!$H$5:$H$14,MATCH(D1418,CONFIG!$D$5:$D$14,0)),M1418))),""))</f>
        <v/>
      </c>
      <c r="Q1418" s="16" t="str">
        <f aca="false">IF(OR(O1418="",P1418=""),"",O1418/P1418)</f>
        <v/>
      </c>
      <c r="R1418" s="16" t="str">
        <f aca="false">IF(Q1418="","",Q1418*0.0980665)</f>
        <v/>
      </c>
      <c r="S1418" s="16" t="str">
        <f aca="false">IF(Q1418="","",IFERROR(Q1418/(1/(1/INDEX(CONFIG!$I$5:$I$14,MATCH(D1418,CONFIG!$D$5:$D$14,0)))),""))</f>
        <v/>
      </c>
      <c r="T1418" s="13"/>
      <c r="U1418" s="13"/>
      <c r="V1418" s="13"/>
      <c r="W1418" s="13"/>
      <c r="X1418" s="22" t="str">
        <f aca="false">IF(Q1418="","",Q1418^2)</f>
        <v/>
      </c>
      <c r="Y1418" s="22" t="str">
        <f aca="false">IF(AND(C1418&lt;&gt;"",C1418=CERTIFICADO!$E$4,OR(CERTIFICADO!$E$5="",B1418=CERTIFICADO!$E$5)),MAX($Y$4:Y1417)+1,"")</f>
        <v/>
      </c>
    </row>
    <row r="1419" customFormat="false" ht="15" hidden="false" customHeight="false" outlineLevel="0" collapsed="false">
      <c r="A1419" s="11" t="str">
        <f aca="false">IF(C1419="","",ROW()-4)</f>
        <v/>
      </c>
      <c r="B1419" s="12"/>
      <c r="C1419" s="13"/>
      <c r="D1419" s="23" t="str">
        <f aca="false">IF(C1419="","",IFERROR(INDEX(LOTES!$D$5:$D$1004,MATCH(C1419,LOTES!$F$5:$F$1004,0)),"¿Lote?"))</f>
        <v/>
      </c>
      <c r="E1419" s="11" t="str">
        <f aca="false">IF(C1419="","",IFERROR(INDEX(LOTES!$C$5:$C$1004,MATCH(C1419,LOTES!$F$5:$F$1004,0)),""))</f>
        <v/>
      </c>
      <c r="F1419" s="24" t="str">
        <f aca="false">IF(C1419="","",IFERROR(INDEX(LOTES!$B$5:$B$1004,MATCH(C1419,LOTES!$F$5:$F$1004,0)),""))</f>
        <v/>
      </c>
      <c r="G1419" s="15" t="str">
        <f aca="false">IF(OR(B1419="",F1419=""),"",B1419-F1419)</f>
        <v/>
      </c>
      <c r="H1419" s="13"/>
      <c r="I1419" s="13"/>
      <c r="J1419" s="13"/>
      <c r="K1419" s="25"/>
      <c r="L1419" s="25"/>
      <c r="M1419" s="25"/>
      <c r="N1419" s="25"/>
      <c r="O1419" s="26"/>
      <c r="P1419" s="16" t="str">
        <f aca="false">IF(O1419="","",IFERROR(1/(1/(IF(K1419="",INDEX(CONFIG!$F$5:$F$14,MATCH(D1419,CONFIG!$D$5:$D$14,0)),K1419)*IF(M1419="",INDEX(CONFIG!$H$5:$H$14,MATCH(D1419,CONFIG!$D$5:$D$14,0)),M1419))),""))</f>
        <v/>
      </c>
      <c r="Q1419" s="16" t="str">
        <f aca="false">IF(OR(O1419="",P1419=""),"",O1419/P1419)</f>
        <v/>
      </c>
      <c r="R1419" s="16" t="str">
        <f aca="false">IF(Q1419="","",Q1419*0.0980665)</f>
        <v/>
      </c>
      <c r="S1419" s="16" t="str">
        <f aca="false">IF(Q1419="","",IFERROR(Q1419/(1/(1/INDEX(CONFIG!$I$5:$I$14,MATCH(D1419,CONFIG!$D$5:$D$14,0)))),""))</f>
        <v/>
      </c>
      <c r="T1419" s="13"/>
      <c r="U1419" s="13"/>
      <c r="V1419" s="13"/>
      <c r="W1419" s="13"/>
      <c r="X1419" s="22" t="str">
        <f aca="false">IF(Q1419="","",Q1419^2)</f>
        <v/>
      </c>
      <c r="Y1419" s="22" t="str">
        <f aca="false">IF(AND(C1419&lt;&gt;"",C1419=CERTIFICADO!$E$4,OR(CERTIFICADO!$E$5="",B1419=CERTIFICADO!$E$5)),MAX($Y$4:Y1418)+1,"")</f>
        <v/>
      </c>
    </row>
    <row r="1420" customFormat="false" ht="15" hidden="false" customHeight="false" outlineLevel="0" collapsed="false">
      <c r="A1420" s="11" t="str">
        <f aca="false">IF(C1420="","",ROW()-4)</f>
        <v/>
      </c>
      <c r="B1420" s="12"/>
      <c r="C1420" s="13"/>
      <c r="D1420" s="23" t="str">
        <f aca="false">IF(C1420="","",IFERROR(INDEX(LOTES!$D$5:$D$1004,MATCH(C1420,LOTES!$F$5:$F$1004,0)),"¿Lote?"))</f>
        <v/>
      </c>
      <c r="E1420" s="11" t="str">
        <f aca="false">IF(C1420="","",IFERROR(INDEX(LOTES!$C$5:$C$1004,MATCH(C1420,LOTES!$F$5:$F$1004,0)),""))</f>
        <v/>
      </c>
      <c r="F1420" s="24" t="str">
        <f aca="false">IF(C1420="","",IFERROR(INDEX(LOTES!$B$5:$B$1004,MATCH(C1420,LOTES!$F$5:$F$1004,0)),""))</f>
        <v/>
      </c>
      <c r="G1420" s="15" t="str">
        <f aca="false">IF(OR(B1420="",F1420=""),"",B1420-F1420)</f>
        <v/>
      </c>
      <c r="H1420" s="13"/>
      <c r="I1420" s="13"/>
      <c r="J1420" s="13"/>
      <c r="K1420" s="25"/>
      <c r="L1420" s="25"/>
      <c r="M1420" s="25"/>
      <c r="N1420" s="25"/>
      <c r="O1420" s="26"/>
      <c r="P1420" s="16" t="str">
        <f aca="false">IF(O1420="","",IFERROR(1/(1/(IF(K1420="",INDEX(CONFIG!$F$5:$F$14,MATCH(D1420,CONFIG!$D$5:$D$14,0)),K1420)*IF(M1420="",INDEX(CONFIG!$H$5:$H$14,MATCH(D1420,CONFIG!$D$5:$D$14,0)),M1420))),""))</f>
        <v/>
      </c>
      <c r="Q1420" s="16" t="str">
        <f aca="false">IF(OR(O1420="",P1420=""),"",O1420/P1420)</f>
        <v/>
      </c>
      <c r="R1420" s="16" t="str">
        <f aca="false">IF(Q1420="","",Q1420*0.0980665)</f>
        <v/>
      </c>
      <c r="S1420" s="16" t="str">
        <f aca="false">IF(Q1420="","",IFERROR(Q1420/(1/(1/INDEX(CONFIG!$I$5:$I$14,MATCH(D1420,CONFIG!$D$5:$D$14,0)))),""))</f>
        <v/>
      </c>
      <c r="T1420" s="13"/>
      <c r="U1420" s="13"/>
      <c r="V1420" s="13"/>
      <c r="W1420" s="13"/>
      <c r="X1420" s="22" t="str">
        <f aca="false">IF(Q1420="","",Q1420^2)</f>
        <v/>
      </c>
      <c r="Y1420" s="22" t="str">
        <f aca="false">IF(AND(C1420&lt;&gt;"",C1420=CERTIFICADO!$E$4,OR(CERTIFICADO!$E$5="",B1420=CERTIFICADO!$E$5)),MAX($Y$4:Y1419)+1,"")</f>
        <v/>
      </c>
    </row>
    <row r="1421" customFormat="false" ht="15" hidden="false" customHeight="false" outlineLevel="0" collapsed="false">
      <c r="A1421" s="11" t="str">
        <f aca="false">IF(C1421="","",ROW()-4)</f>
        <v/>
      </c>
      <c r="B1421" s="12"/>
      <c r="C1421" s="13"/>
      <c r="D1421" s="23" t="str">
        <f aca="false">IF(C1421="","",IFERROR(INDEX(LOTES!$D$5:$D$1004,MATCH(C1421,LOTES!$F$5:$F$1004,0)),"¿Lote?"))</f>
        <v/>
      </c>
      <c r="E1421" s="11" t="str">
        <f aca="false">IF(C1421="","",IFERROR(INDEX(LOTES!$C$5:$C$1004,MATCH(C1421,LOTES!$F$5:$F$1004,0)),""))</f>
        <v/>
      </c>
      <c r="F1421" s="24" t="str">
        <f aca="false">IF(C1421="","",IFERROR(INDEX(LOTES!$B$5:$B$1004,MATCH(C1421,LOTES!$F$5:$F$1004,0)),""))</f>
        <v/>
      </c>
      <c r="G1421" s="15" t="str">
        <f aca="false">IF(OR(B1421="",F1421=""),"",B1421-F1421)</f>
        <v/>
      </c>
      <c r="H1421" s="13"/>
      <c r="I1421" s="13"/>
      <c r="J1421" s="13"/>
      <c r="K1421" s="25"/>
      <c r="L1421" s="25"/>
      <c r="M1421" s="25"/>
      <c r="N1421" s="25"/>
      <c r="O1421" s="26"/>
      <c r="P1421" s="16" t="str">
        <f aca="false">IF(O1421="","",IFERROR(1/(1/(IF(K1421="",INDEX(CONFIG!$F$5:$F$14,MATCH(D1421,CONFIG!$D$5:$D$14,0)),K1421)*IF(M1421="",INDEX(CONFIG!$H$5:$H$14,MATCH(D1421,CONFIG!$D$5:$D$14,0)),M1421))),""))</f>
        <v/>
      </c>
      <c r="Q1421" s="16" t="str">
        <f aca="false">IF(OR(O1421="",P1421=""),"",O1421/P1421)</f>
        <v/>
      </c>
      <c r="R1421" s="16" t="str">
        <f aca="false">IF(Q1421="","",Q1421*0.0980665)</f>
        <v/>
      </c>
      <c r="S1421" s="16" t="str">
        <f aca="false">IF(Q1421="","",IFERROR(Q1421/(1/(1/INDEX(CONFIG!$I$5:$I$14,MATCH(D1421,CONFIG!$D$5:$D$14,0)))),""))</f>
        <v/>
      </c>
      <c r="T1421" s="13"/>
      <c r="U1421" s="13"/>
      <c r="V1421" s="13"/>
      <c r="W1421" s="13"/>
      <c r="X1421" s="22" t="str">
        <f aca="false">IF(Q1421="","",Q1421^2)</f>
        <v/>
      </c>
      <c r="Y1421" s="22" t="str">
        <f aca="false">IF(AND(C1421&lt;&gt;"",C1421=CERTIFICADO!$E$4,OR(CERTIFICADO!$E$5="",B1421=CERTIFICADO!$E$5)),MAX($Y$4:Y1420)+1,"")</f>
        <v/>
      </c>
    </row>
    <row r="1422" customFormat="false" ht="15" hidden="false" customHeight="false" outlineLevel="0" collapsed="false">
      <c r="A1422" s="11" t="str">
        <f aca="false">IF(C1422="","",ROW()-4)</f>
        <v/>
      </c>
      <c r="B1422" s="12"/>
      <c r="C1422" s="13"/>
      <c r="D1422" s="23" t="str">
        <f aca="false">IF(C1422="","",IFERROR(INDEX(LOTES!$D$5:$D$1004,MATCH(C1422,LOTES!$F$5:$F$1004,0)),"¿Lote?"))</f>
        <v/>
      </c>
      <c r="E1422" s="11" t="str">
        <f aca="false">IF(C1422="","",IFERROR(INDEX(LOTES!$C$5:$C$1004,MATCH(C1422,LOTES!$F$5:$F$1004,0)),""))</f>
        <v/>
      </c>
      <c r="F1422" s="24" t="str">
        <f aca="false">IF(C1422="","",IFERROR(INDEX(LOTES!$B$5:$B$1004,MATCH(C1422,LOTES!$F$5:$F$1004,0)),""))</f>
        <v/>
      </c>
      <c r="G1422" s="15" t="str">
        <f aca="false">IF(OR(B1422="",F1422=""),"",B1422-F1422)</f>
        <v/>
      </c>
      <c r="H1422" s="13"/>
      <c r="I1422" s="13"/>
      <c r="J1422" s="13"/>
      <c r="K1422" s="25"/>
      <c r="L1422" s="25"/>
      <c r="M1422" s="25"/>
      <c r="N1422" s="25"/>
      <c r="O1422" s="26"/>
      <c r="P1422" s="16" t="str">
        <f aca="false">IF(O1422="","",IFERROR(1/(1/(IF(K1422="",INDEX(CONFIG!$F$5:$F$14,MATCH(D1422,CONFIG!$D$5:$D$14,0)),K1422)*IF(M1422="",INDEX(CONFIG!$H$5:$H$14,MATCH(D1422,CONFIG!$D$5:$D$14,0)),M1422))),""))</f>
        <v/>
      </c>
      <c r="Q1422" s="16" t="str">
        <f aca="false">IF(OR(O1422="",P1422=""),"",O1422/P1422)</f>
        <v/>
      </c>
      <c r="R1422" s="16" t="str">
        <f aca="false">IF(Q1422="","",Q1422*0.0980665)</f>
        <v/>
      </c>
      <c r="S1422" s="16" t="str">
        <f aca="false">IF(Q1422="","",IFERROR(Q1422/(1/(1/INDEX(CONFIG!$I$5:$I$14,MATCH(D1422,CONFIG!$D$5:$D$14,0)))),""))</f>
        <v/>
      </c>
      <c r="T1422" s="13"/>
      <c r="U1422" s="13"/>
      <c r="V1422" s="13"/>
      <c r="W1422" s="13"/>
      <c r="X1422" s="22" t="str">
        <f aca="false">IF(Q1422="","",Q1422^2)</f>
        <v/>
      </c>
      <c r="Y1422" s="22" t="str">
        <f aca="false">IF(AND(C1422&lt;&gt;"",C1422=CERTIFICADO!$E$4,OR(CERTIFICADO!$E$5="",B1422=CERTIFICADO!$E$5)),MAX($Y$4:Y1421)+1,"")</f>
        <v/>
      </c>
    </row>
    <row r="1423" customFormat="false" ht="15" hidden="false" customHeight="false" outlineLevel="0" collapsed="false">
      <c r="A1423" s="11" t="str">
        <f aca="false">IF(C1423="","",ROW()-4)</f>
        <v/>
      </c>
      <c r="B1423" s="12"/>
      <c r="C1423" s="13"/>
      <c r="D1423" s="23" t="str">
        <f aca="false">IF(C1423="","",IFERROR(INDEX(LOTES!$D$5:$D$1004,MATCH(C1423,LOTES!$F$5:$F$1004,0)),"¿Lote?"))</f>
        <v/>
      </c>
      <c r="E1423" s="11" t="str">
        <f aca="false">IF(C1423="","",IFERROR(INDEX(LOTES!$C$5:$C$1004,MATCH(C1423,LOTES!$F$5:$F$1004,0)),""))</f>
        <v/>
      </c>
      <c r="F1423" s="24" t="str">
        <f aca="false">IF(C1423="","",IFERROR(INDEX(LOTES!$B$5:$B$1004,MATCH(C1423,LOTES!$F$5:$F$1004,0)),""))</f>
        <v/>
      </c>
      <c r="G1423" s="15" t="str">
        <f aca="false">IF(OR(B1423="",F1423=""),"",B1423-F1423)</f>
        <v/>
      </c>
      <c r="H1423" s="13"/>
      <c r="I1423" s="13"/>
      <c r="J1423" s="13"/>
      <c r="K1423" s="25"/>
      <c r="L1423" s="25"/>
      <c r="M1423" s="25"/>
      <c r="N1423" s="25"/>
      <c r="O1423" s="26"/>
      <c r="P1423" s="16" t="str">
        <f aca="false">IF(O1423="","",IFERROR(1/(1/(IF(K1423="",INDEX(CONFIG!$F$5:$F$14,MATCH(D1423,CONFIG!$D$5:$D$14,0)),K1423)*IF(M1423="",INDEX(CONFIG!$H$5:$H$14,MATCH(D1423,CONFIG!$D$5:$D$14,0)),M1423))),""))</f>
        <v/>
      </c>
      <c r="Q1423" s="16" t="str">
        <f aca="false">IF(OR(O1423="",P1423=""),"",O1423/P1423)</f>
        <v/>
      </c>
      <c r="R1423" s="16" t="str">
        <f aca="false">IF(Q1423="","",Q1423*0.0980665)</f>
        <v/>
      </c>
      <c r="S1423" s="16" t="str">
        <f aca="false">IF(Q1423="","",IFERROR(Q1423/(1/(1/INDEX(CONFIG!$I$5:$I$14,MATCH(D1423,CONFIG!$D$5:$D$14,0)))),""))</f>
        <v/>
      </c>
      <c r="T1423" s="13"/>
      <c r="U1423" s="13"/>
      <c r="V1423" s="13"/>
      <c r="W1423" s="13"/>
      <c r="X1423" s="22" t="str">
        <f aca="false">IF(Q1423="","",Q1423^2)</f>
        <v/>
      </c>
      <c r="Y1423" s="22" t="str">
        <f aca="false">IF(AND(C1423&lt;&gt;"",C1423=CERTIFICADO!$E$4,OR(CERTIFICADO!$E$5="",B1423=CERTIFICADO!$E$5)),MAX($Y$4:Y1422)+1,"")</f>
        <v/>
      </c>
    </row>
    <row r="1424" customFormat="false" ht="15" hidden="false" customHeight="false" outlineLevel="0" collapsed="false">
      <c r="A1424" s="11" t="str">
        <f aca="false">IF(C1424="","",ROW()-4)</f>
        <v/>
      </c>
      <c r="B1424" s="12"/>
      <c r="C1424" s="13"/>
      <c r="D1424" s="23" t="str">
        <f aca="false">IF(C1424="","",IFERROR(INDEX(LOTES!$D$5:$D$1004,MATCH(C1424,LOTES!$F$5:$F$1004,0)),"¿Lote?"))</f>
        <v/>
      </c>
      <c r="E1424" s="11" t="str">
        <f aca="false">IF(C1424="","",IFERROR(INDEX(LOTES!$C$5:$C$1004,MATCH(C1424,LOTES!$F$5:$F$1004,0)),""))</f>
        <v/>
      </c>
      <c r="F1424" s="24" t="str">
        <f aca="false">IF(C1424="","",IFERROR(INDEX(LOTES!$B$5:$B$1004,MATCH(C1424,LOTES!$F$5:$F$1004,0)),""))</f>
        <v/>
      </c>
      <c r="G1424" s="15" t="str">
        <f aca="false">IF(OR(B1424="",F1424=""),"",B1424-F1424)</f>
        <v/>
      </c>
      <c r="H1424" s="13"/>
      <c r="I1424" s="13"/>
      <c r="J1424" s="13"/>
      <c r="K1424" s="25"/>
      <c r="L1424" s="25"/>
      <c r="M1424" s="25"/>
      <c r="N1424" s="25"/>
      <c r="O1424" s="26"/>
      <c r="P1424" s="16" t="str">
        <f aca="false">IF(O1424="","",IFERROR(1/(1/(IF(K1424="",INDEX(CONFIG!$F$5:$F$14,MATCH(D1424,CONFIG!$D$5:$D$14,0)),K1424)*IF(M1424="",INDEX(CONFIG!$H$5:$H$14,MATCH(D1424,CONFIG!$D$5:$D$14,0)),M1424))),""))</f>
        <v/>
      </c>
      <c r="Q1424" s="16" t="str">
        <f aca="false">IF(OR(O1424="",P1424=""),"",O1424/P1424)</f>
        <v/>
      </c>
      <c r="R1424" s="16" t="str">
        <f aca="false">IF(Q1424="","",Q1424*0.0980665)</f>
        <v/>
      </c>
      <c r="S1424" s="16" t="str">
        <f aca="false">IF(Q1424="","",IFERROR(Q1424/(1/(1/INDEX(CONFIG!$I$5:$I$14,MATCH(D1424,CONFIG!$D$5:$D$14,0)))),""))</f>
        <v/>
      </c>
      <c r="T1424" s="13"/>
      <c r="U1424" s="13"/>
      <c r="V1424" s="13"/>
      <c r="W1424" s="13"/>
      <c r="X1424" s="22" t="str">
        <f aca="false">IF(Q1424="","",Q1424^2)</f>
        <v/>
      </c>
      <c r="Y1424" s="22" t="str">
        <f aca="false">IF(AND(C1424&lt;&gt;"",C1424=CERTIFICADO!$E$4,OR(CERTIFICADO!$E$5="",B1424=CERTIFICADO!$E$5)),MAX($Y$4:Y1423)+1,"")</f>
        <v/>
      </c>
    </row>
    <row r="1425" customFormat="false" ht="15" hidden="false" customHeight="false" outlineLevel="0" collapsed="false">
      <c r="A1425" s="11" t="str">
        <f aca="false">IF(C1425="","",ROW()-4)</f>
        <v/>
      </c>
      <c r="B1425" s="12"/>
      <c r="C1425" s="13"/>
      <c r="D1425" s="23" t="str">
        <f aca="false">IF(C1425="","",IFERROR(INDEX(LOTES!$D$5:$D$1004,MATCH(C1425,LOTES!$F$5:$F$1004,0)),"¿Lote?"))</f>
        <v/>
      </c>
      <c r="E1425" s="11" t="str">
        <f aca="false">IF(C1425="","",IFERROR(INDEX(LOTES!$C$5:$C$1004,MATCH(C1425,LOTES!$F$5:$F$1004,0)),""))</f>
        <v/>
      </c>
      <c r="F1425" s="24" t="str">
        <f aca="false">IF(C1425="","",IFERROR(INDEX(LOTES!$B$5:$B$1004,MATCH(C1425,LOTES!$F$5:$F$1004,0)),""))</f>
        <v/>
      </c>
      <c r="G1425" s="15" t="str">
        <f aca="false">IF(OR(B1425="",F1425=""),"",B1425-F1425)</f>
        <v/>
      </c>
      <c r="H1425" s="13"/>
      <c r="I1425" s="13"/>
      <c r="J1425" s="13"/>
      <c r="K1425" s="25"/>
      <c r="L1425" s="25"/>
      <c r="M1425" s="25"/>
      <c r="N1425" s="25"/>
      <c r="O1425" s="26"/>
      <c r="P1425" s="16" t="str">
        <f aca="false">IF(O1425="","",IFERROR(1/(1/(IF(K1425="",INDEX(CONFIG!$F$5:$F$14,MATCH(D1425,CONFIG!$D$5:$D$14,0)),K1425)*IF(M1425="",INDEX(CONFIG!$H$5:$H$14,MATCH(D1425,CONFIG!$D$5:$D$14,0)),M1425))),""))</f>
        <v/>
      </c>
      <c r="Q1425" s="16" t="str">
        <f aca="false">IF(OR(O1425="",P1425=""),"",O1425/P1425)</f>
        <v/>
      </c>
      <c r="R1425" s="16" t="str">
        <f aca="false">IF(Q1425="","",Q1425*0.0980665)</f>
        <v/>
      </c>
      <c r="S1425" s="16" t="str">
        <f aca="false">IF(Q1425="","",IFERROR(Q1425/(1/(1/INDEX(CONFIG!$I$5:$I$14,MATCH(D1425,CONFIG!$D$5:$D$14,0)))),""))</f>
        <v/>
      </c>
      <c r="T1425" s="13"/>
      <c r="U1425" s="13"/>
      <c r="V1425" s="13"/>
      <c r="W1425" s="13"/>
      <c r="X1425" s="22" t="str">
        <f aca="false">IF(Q1425="","",Q1425^2)</f>
        <v/>
      </c>
      <c r="Y1425" s="22" t="str">
        <f aca="false">IF(AND(C1425&lt;&gt;"",C1425=CERTIFICADO!$E$4,OR(CERTIFICADO!$E$5="",B1425=CERTIFICADO!$E$5)),MAX($Y$4:Y1424)+1,"")</f>
        <v/>
      </c>
    </row>
    <row r="1426" customFormat="false" ht="15" hidden="false" customHeight="false" outlineLevel="0" collapsed="false">
      <c r="A1426" s="11" t="str">
        <f aca="false">IF(C1426="","",ROW()-4)</f>
        <v/>
      </c>
      <c r="B1426" s="12"/>
      <c r="C1426" s="13"/>
      <c r="D1426" s="23" t="str">
        <f aca="false">IF(C1426="","",IFERROR(INDEX(LOTES!$D$5:$D$1004,MATCH(C1426,LOTES!$F$5:$F$1004,0)),"¿Lote?"))</f>
        <v/>
      </c>
      <c r="E1426" s="11" t="str">
        <f aca="false">IF(C1426="","",IFERROR(INDEX(LOTES!$C$5:$C$1004,MATCH(C1426,LOTES!$F$5:$F$1004,0)),""))</f>
        <v/>
      </c>
      <c r="F1426" s="24" t="str">
        <f aca="false">IF(C1426="","",IFERROR(INDEX(LOTES!$B$5:$B$1004,MATCH(C1426,LOTES!$F$5:$F$1004,0)),""))</f>
        <v/>
      </c>
      <c r="G1426" s="15" t="str">
        <f aca="false">IF(OR(B1426="",F1426=""),"",B1426-F1426)</f>
        <v/>
      </c>
      <c r="H1426" s="13"/>
      <c r="I1426" s="13"/>
      <c r="J1426" s="13"/>
      <c r="K1426" s="25"/>
      <c r="L1426" s="25"/>
      <c r="M1426" s="25"/>
      <c r="N1426" s="25"/>
      <c r="O1426" s="26"/>
      <c r="P1426" s="16" t="str">
        <f aca="false">IF(O1426="","",IFERROR(1/(1/(IF(K1426="",INDEX(CONFIG!$F$5:$F$14,MATCH(D1426,CONFIG!$D$5:$D$14,0)),K1426)*IF(M1426="",INDEX(CONFIG!$H$5:$H$14,MATCH(D1426,CONFIG!$D$5:$D$14,0)),M1426))),""))</f>
        <v/>
      </c>
      <c r="Q1426" s="16" t="str">
        <f aca="false">IF(OR(O1426="",P1426=""),"",O1426/P1426)</f>
        <v/>
      </c>
      <c r="R1426" s="16" t="str">
        <f aca="false">IF(Q1426="","",Q1426*0.0980665)</f>
        <v/>
      </c>
      <c r="S1426" s="16" t="str">
        <f aca="false">IF(Q1426="","",IFERROR(Q1426/(1/(1/INDEX(CONFIG!$I$5:$I$14,MATCH(D1426,CONFIG!$D$5:$D$14,0)))),""))</f>
        <v/>
      </c>
      <c r="T1426" s="13"/>
      <c r="U1426" s="13"/>
      <c r="V1426" s="13"/>
      <c r="W1426" s="13"/>
      <c r="X1426" s="22" t="str">
        <f aca="false">IF(Q1426="","",Q1426^2)</f>
        <v/>
      </c>
      <c r="Y1426" s="22" t="str">
        <f aca="false">IF(AND(C1426&lt;&gt;"",C1426=CERTIFICADO!$E$4,OR(CERTIFICADO!$E$5="",B1426=CERTIFICADO!$E$5)),MAX($Y$4:Y1425)+1,"")</f>
        <v/>
      </c>
    </row>
    <row r="1427" customFormat="false" ht="15" hidden="false" customHeight="false" outlineLevel="0" collapsed="false">
      <c r="A1427" s="11" t="str">
        <f aca="false">IF(C1427="","",ROW()-4)</f>
        <v/>
      </c>
      <c r="B1427" s="12"/>
      <c r="C1427" s="13"/>
      <c r="D1427" s="23" t="str">
        <f aca="false">IF(C1427="","",IFERROR(INDEX(LOTES!$D$5:$D$1004,MATCH(C1427,LOTES!$F$5:$F$1004,0)),"¿Lote?"))</f>
        <v/>
      </c>
      <c r="E1427" s="11" t="str">
        <f aca="false">IF(C1427="","",IFERROR(INDEX(LOTES!$C$5:$C$1004,MATCH(C1427,LOTES!$F$5:$F$1004,0)),""))</f>
        <v/>
      </c>
      <c r="F1427" s="24" t="str">
        <f aca="false">IF(C1427="","",IFERROR(INDEX(LOTES!$B$5:$B$1004,MATCH(C1427,LOTES!$F$5:$F$1004,0)),""))</f>
        <v/>
      </c>
      <c r="G1427" s="15" t="str">
        <f aca="false">IF(OR(B1427="",F1427=""),"",B1427-F1427)</f>
        <v/>
      </c>
      <c r="H1427" s="13"/>
      <c r="I1427" s="13"/>
      <c r="J1427" s="13"/>
      <c r="K1427" s="25"/>
      <c r="L1427" s="25"/>
      <c r="M1427" s="25"/>
      <c r="N1427" s="25"/>
      <c r="O1427" s="26"/>
      <c r="P1427" s="16" t="str">
        <f aca="false">IF(O1427="","",IFERROR(1/(1/(IF(K1427="",INDEX(CONFIG!$F$5:$F$14,MATCH(D1427,CONFIG!$D$5:$D$14,0)),K1427)*IF(M1427="",INDEX(CONFIG!$H$5:$H$14,MATCH(D1427,CONFIG!$D$5:$D$14,0)),M1427))),""))</f>
        <v/>
      </c>
      <c r="Q1427" s="16" t="str">
        <f aca="false">IF(OR(O1427="",P1427=""),"",O1427/P1427)</f>
        <v/>
      </c>
      <c r="R1427" s="16" t="str">
        <f aca="false">IF(Q1427="","",Q1427*0.0980665)</f>
        <v/>
      </c>
      <c r="S1427" s="16" t="str">
        <f aca="false">IF(Q1427="","",IFERROR(Q1427/(1/(1/INDEX(CONFIG!$I$5:$I$14,MATCH(D1427,CONFIG!$D$5:$D$14,0)))),""))</f>
        <v/>
      </c>
      <c r="T1427" s="13"/>
      <c r="U1427" s="13"/>
      <c r="V1427" s="13"/>
      <c r="W1427" s="13"/>
      <c r="X1427" s="22" t="str">
        <f aca="false">IF(Q1427="","",Q1427^2)</f>
        <v/>
      </c>
      <c r="Y1427" s="22" t="str">
        <f aca="false">IF(AND(C1427&lt;&gt;"",C1427=CERTIFICADO!$E$4,OR(CERTIFICADO!$E$5="",B1427=CERTIFICADO!$E$5)),MAX($Y$4:Y1426)+1,"")</f>
        <v/>
      </c>
    </row>
    <row r="1428" customFormat="false" ht="15" hidden="false" customHeight="false" outlineLevel="0" collapsed="false">
      <c r="A1428" s="11" t="str">
        <f aca="false">IF(C1428="","",ROW()-4)</f>
        <v/>
      </c>
      <c r="B1428" s="12"/>
      <c r="C1428" s="13"/>
      <c r="D1428" s="23" t="str">
        <f aca="false">IF(C1428="","",IFERROR(INDEX(LOTES!$D$5:$D$1004,MATCH(C1428,LOTES!$F$5:$F$1004,0)),"¿Lote?"))</f>
        <v/>
      </c>
      <c r="E1428" s="11" t="str">
        <f aca="false">IF(C1428="","",IFERROR(INDEX(LOTES!$C$5:$C$1004,MATCH(C1428,LOTES!$F$5:$F$1004,0)),""))</f>
        <v/>
      </c>
      <c r="F1428" s="24" t="str">
        <f aca="false">IF(C1428="","",IFERROR(INDEX(LOTES!$B$5:$B$1004,MATCH(C1428,LOTES!$F$5:$F$1004,0)),""))</f>
        <v/>
      </c>
      <c r="G1428" s="15" t="str">
        <f aca="false">IF(OR(B1428="",F1428=""),"",B1428-F1428)</f>
        <v/>
      </c>
      <c r="H1428" s="13"/>
      <c r="I1428" s="13"/>
      <c r="J1428" s="13"/>
      <c r="K1428" s="25"/>
      <c r="L1428" s="25"/>
      <c r="M1428" s="25"/>
      <c r="N1428" s="25"/>
      <c r="O1428" s="26"/>
      <c r="P1428" s="16" t="str">
        <f aca="false">IF(O1428="","",IFERROR(1/(1/(IF(K1428="",INDEX(CONFIG!$F$5:$F$14,MATCH(D1428,CONFIG!$D$5:$D$14,0)),K1428)*IF(M1428="",INDEX(CONFIG!$H$5:$H$14,MATCH(D1428,CONFIG!$D$5:$D$14,0)),M1428))),""))</f>
        <v/>
      </c>
      <c r="Q1428" s="16" t="str">
        <f aca="false">IF(OR(O1428="",P1428=""),"",O1428/P1428)</f>
        <v/>
      </c>
      <c r="R1428" s="16" t="str">
        <f aca="false">IF(Q1428="","",Q1428*0.0980665)</f>
        <v/>
      </c>
      <c r="S1428" s="16" t="str">
        <f aca="false">IF(Q1428="","",IFERROR(Q1428/(1/(1/INDEX(CONFIG!$I$5:$I$14,MATCH(D1428,CONFIG!$D$5:$D$14,0)))),""))</f>
        <v/>
      </c>
      <c r="T1428" s="13"/>
      <c r="U1428" s="13"/>
      <c r="V1428" s="13"/>
      <c r="W1428" s="13"/>
      <c r="X1428" s="22" t="str">
        <f aca="false">IF(Q1428="","",Q1428^2)</f>
        <v/>
      </c>
      <c r="Y1428" s="22" t="str">
        <f aca="false">IF(AND(C1428&lt;&gt;"",C1428=CERTIFICADO!$E$4,OR(CERTIFICADO!$E$5="",B1428=CERTIFICADO!$E$5)),MAX($Y$4:Y1427)+1,"")</f>
        <v/>
      </c>
    </row>
    <row r="1429" customFormat="false" ht="15" hidden="false" customHeight="false" outlineLevel="0" collapsed="false">
      <c r="A1429" s="11" t="str">
        <f aca="false">IF(C1429="","",ROW()-4)</f>
        <v/>
      </c>
      <c r="B1429" s="12"/>
      <c r="C1429" s="13"/>
      <c r="D1429" s="23" t="str">
        <f aca="false">IF(C1429="","",IFERROR(INDEX(LOTES!$D$5:$D$1004,MATCH(C1429,LOTES!$F$5:$F$1004,0)),"¿Lote?"))</f>
        <v/>
      </c>
      <c r="E1429" s="11" t="str">
        <f aca="false">IF(C1429="","",IFERROR(INDEX(LOTES!$C$5:$C$1004,MATCH(C1429,LOTES!$F$5:$F$1004,0)),""))</f>
        <v/>
      </c>
      <c r="F1429" s="24" t="str">
        <f aca="false">IF(C1429="","",IFERROR(INDEX(LOTES!$B$5:$B$1004,MATCH(C1429,LOTES!$F$5:$F$1004,0)),""))</f>
        <v/>
      </c>
      <c r="G1429" s="15" t="str">
        <f aca="false">IF(OR(B1429="",F1429=""),"",B1429-F1429)</f>
        <v/>
      </c>
      <c r="H1429" s="13"/>
      <c r="I1429" s="13"/>
      <c r="J1429" s="13"/>
      <c r="K1429" s="25"/>
      <c r="L1429" s="25"/>
      <c r="M1429" s="25"/>
      <c r="N1429" s="25"/>
      <c r="O1429" s="26"/>
      <c r="P1429" s="16" t="str">
        <f aca="false">IF(O1429="","",IFERROR(1/(1/(IF(K1429="",INDEX(CONFIG!$F$5:$F$14,MATCH(D1429,CONFIG!$D$5:$D$14,0)),K1429)*IF(M1429="",INDEX(CONFIG!$H$5:$H$14,MATCH(D1429,CONFIG!$D$5:$D$14,0)),M1429))),""))</f>
        <v/>
      </c>
      <c r="Q1429" s="16" t="str">
        <f aca="false">IF(OR(O1429="",P1429=""),"",O1429/P1429)</f>
        <v/>
      </c>
      <c r="R1429" s="16" t="str">
        <f aca="false">IF(Q1429="","",Q1429*0.0980665)</f>
        <v/>
      </c>
      <c r="S1429" s="16" t="str">
        <f aca="false">IF(Q1429="","",IFERROR(Q1429/(1/(1/INDEX(CONFIG!$I$5:$I$14,MATCH(D1429,CONFIG!$D$5:$D$14,0)))),""))</f>
        <v/>
      </c>
      <c r="T1429" s="13"/>
      <c r="U1429" s="13"/>
      <c r="V1429" s="13"/>
      <c r="W1429" s="13"/>
      <c r="X1429" s="22" t="str">
        <f aca="false">IF(Q1429="","",Q1429^2)</f>
        <v/>
      </c>
      <c r="Y1429" s="22" t="str">
        <f aca="false">IF(AND(C1429&lt;&gt;"",C1429=CERTIFICADO!$E$4,OR(CERTIFICADO!$E$5="",B1429=CERTIFICADO!$E$5)),MAX($Y$4:Y1428)+1,"")</f>
        <v/>
      </c>
    </row>
    <row r="1430" customFormat="false" ht="15" hidden="false" customHeight="false" outlineLevel="0" collapsed="false">
      <c r="A1430" s="11" t="str">
        <f aca="false">IF(C1430="","",ROW()-4)</f>
        <v/>
      </c>
      <c r="B1430" s="12"/>
      <c r="C1430" s="13"/>
      <c r="D1430" s="23" t="str">
        <f aca="false">IF(C1430="","",IFERROR(INDEX(LOTES!$D$5:$D$1004,MATCH(C1430,LOTES!$F$5:$F$1004,0)),"¿Lote?"))</f>
        <v/>
      </c>
      <c r="E1430" s="11" t="str">
        <f aca="false">IF(C1430="","",IFERROR(INDEX(LOTES!$C$5:$C$1004,MATCH(C1430,LOTES!$F$5:$F$1004,0)),""))</f>
        <v/>
      </c>
      <c r="F1430" s="24" t="str">
        <f aca="false">IF(C1430="","",IFERROR(INDEX(LOTES!$B$5:$B$1004,MATCH(C1430,LOTES!$F$5:$F$1004,0)),""))</f>
        <v/>
      </c>
      <c r="G1430" s="15" t="str">
        <f aca="false">IF(OR(B1430="",F1430=""),"",B1430-F1430)</f>
        <v/>
      </c>
      <c r="H1430" s="13"/>
      <c r="I1430" s="13"/>
      <c r="J1430" s="13"/>
      <c r="K1430" s="25"/>
      <c r="L1430" s="25"/>
      <c r="M1430" s="25"/>
      <c r="N1430" s="25"/>
      <c r="O1430" s="26"/>
      <c r="P1430" s="16" t="str">
        <f aca="false">IF(O1430="","",IFERROR(1/(1/(IF(K1430="",INDEX(CONFIG!$F$5:$F$14,MATCH(D1430,CONFIG!$D$5:$D$14,0)),K1430)*IF(M1430="",INDEX(CONFIG!$H$5:$H$14,MATCH(D1430,CONFIG!$D$5:$D$14,0)),M1430))),""))</f>
        <v/>
      </c>
      <c r="Q1430" s="16" t="str">
        <f aca="false">IF(OR(O1430="",P1430=""),"",O1430/P1430)</f>
        <v/>
      </c>
      <c r="R1430" s="16" t="str">
        <f aca="false">IF(Q1430="","",Q1430*0.0980665)</f>
        <v/>
      </c>
      <c r="S1430" s="16" t="str">
        <f aca="false">IF(Q1430="","",IFERROR(Q1430/(1/(1/INDEX(CONFIG!$I$5:$I$14,MATCH(D1430,CONFIG!$D$5:$D$14,0)))),""))</f>
        <v/>
      </c>
      <c r="T1430" s="13"/>
      <c r="U1430" s="13"/>
      <c r="V1430" s="13"/>
      <c r="W1430" s="13"/>
      <c r="X1430" s="22" t="str">
        <f aca="false">IF(Q1430="","",Q1430^2)</f>
        <v/>
      </c>
      <c r="Y1430" s="22" t="str">
        <f aca="false">IF(AND(C1430&lt;&gt;"",C1430=CERTIFICADO!$E$4,OR(CERTIFICADO!$E$5="",B1430=CERTIFICADO!$E$5)),MAX($Y$4:Y1429)+1,"")</f>
        <v/>
      </c>
    </row>
    <row r="1431" customFormat="false" ht="15" hidden="false" customHeight="false" outlineLevel="0" collapsed="false">
      <c r="A1431" s="11" t="str">
        <f aca="false">IF(C1431="","",ROW()-4)</f>
        <v/>
      </c>
      <c r="B1431" s="12"/>
      <c r="C1431" s="13"/>
      <c r="D1431" s="23" t="str">
        <f aca="false">IF(C1431="","",IFERROR(INDEX(LOTES!$D$5:$D$1004,MATCH(C1431,LOTES!$F$5:$F$1004,0)),"¿Lote?"))</f>
        <v/>
      </c>
      <c r="E1431" s="11" t="str">
        <f aca="false">IF(C1431="","",IFERROR(INDEX(LOTES!$C$5:$C$1004,MATCH(C1431,LOTES!$F$5:$F$1004,0)),""))</f>
        <v/>
      </c>
      <c r="F1431" s="24" t="str">
        <f aca="false">IF(C1431="","",IFERROR(INDEX(LOTES!$B$5:$B$1004,MATCH(C1431,LOTES!$F$5:$F$1004,0)),""))</f>
        <v/>
      </c>
      <c r="G1431" s="15" t="str">
        <f aca="false">IF(OR(B1431="",F1431=""),"",B1431-F1431)</f>
        <v/>
      </c>
      <c r="H1431" s="13"/>
      <c r="I1431" s="13"/>
      <c r="J1431" s="13"/>
      <c r="K1431" s="25"/>
      <c r="L1431" s="25"/>
      <c r="M1431" s="25"/>
      <c r="N1431" s="25"/>
      <c r="O1431" s="26"/>
      <c r="P1431" s="16" t="str">
        <f aca="false">IF(O1431="","",IFERROR(1/(1/(IF(K1431="",INDEX(CONFIG!$F$5:$F$14,MATCH(D1431,CONFIG!$D$5:$D$14,0)),K1431)*IF(M1431="",INDEX(CONFIG!$H$5:$H$14,MATCH(D1431,CONFIG!$D$5:$D$14,0)),M1431))),""))</f>
        <v/>
      </c>
      <c r="Q1431" s="16" t="str">
        <f aca="false">IF(OR(O1431="",P1431=""),"",O1431/P1431)</f>
        <v/>
      </c>
      <c r="R1431" s="16" t="str">
        <f aca="false">IF(Q1431="","",Q1431*0.0980665)</f>
        <v/>
      </c>
      <c r="S1431" s="16" t="str">
        <f aca="false">IF(Q1431="","",IFERROR(Q1431/(1/(1/INDEX(CONFIG!$I$5:$I$14,MATCH(D1431,CONFIG!$D$5:$D$14,0)))),""))</f>
        <v/>
      </c>
      <c r="T1431" s="13"/>
      <c r="U1431" s="13"/>
      <c r="V1431" s="13"/>
      <c r="W1431" s="13"/>
      <c r="X1431" s="22" t="str">
        <f aca="false">IF(Q1431="","",Q1431^2)</f>
        <v/>
      </c>
      <c r="Y1431" s="22" t="str">
        <f aca="false">IF(AND(C1431&lt;&gt;"",C1431=CERTIFICADO!$E$4,OR(CERTIFICADO!$E$5="",B1431=CERTIFICADO!$E$5)),MAX($Y$4:Y1430)+1,"")</f>
        <v/>
      </c>
    </row>
    <row r="1432" customFormat="false" ht="15" hidden="false" customHeight="false" outlineLevel="0" collapsed="false">
      <c r="A1432" s="11" t="str">
        <f aca="false">IF(C1432="","",ROW()-4)</f>
        <v/>
      </c>
      <c r="B1432" s="12"/>
      <c r="C1432" s="13"/>
      <c r="D1432" s="23" t="str">
        <f aca="false">IF(C1432="","",IFERROR(INDEX(LOTES!$D$5:$D$1004,MATCH(C1432,LOTES!$F$5:$F$1004,0)),"¿Lote?"))</f>
        <v/>
      </c>
      <c r="E1432" s="11" t="str">
        <f aca="false">IF(C1432="","",IFERROR(INDEX(LOTES!$C$5:$C$1004,MATCH(C1432,LOTES!$F$5:$F$1004,0)),""))</f>
        <v/>
      </c>
      <c r="F1432" s="24" t="str">
        <f aca="false">IF(C1432="","",IFERROR(INDEX(LOTES!$B$5:$B$1004,MATCH(C1432,LOTES!$F$5:$F$1004,0)),""))</f>
        <v/>
      </c>
      <c r="G1432" s="15" t="str">
        <f aca="false">IF(OR(B1432="",F1432=""),"",B1432-F1432)</f>
        <v/>
      </c>
      <c r="H1432" s="13"/>
      <c r="I1432" s="13"/>
      <c r="J1432" s="13"/>
      <c r="K1432" s="25"/>
      <c r="L1432" s="25"/>
      <c r="M1432" s="25"/>
      <c r="N1432" s="25"/>
      <c r="O1432" s="26"/>
      <c r="P1432" s="16" t="str">
        <f aca="false">IF(O1432="","",IFERROR(1/(1/(IF(K1432="",INDEX(CONFIG!$F$5:$F$14,MATCH(D1432,CONFIG!$D$5:$D$14,0)),K1432)*IF(M1432="",INDEX(CONFIG!$H$5:$H$14,MATCH(D1432,CONFIG!$D$5:$D$14,0)),M1432))),""))</f>
        <v/>
      </c>
      <c r="Q1432" s="16" t="str">
        <f aca="false">IF(OR(O1432="",P1432=""),"",O1432/P1432)</f>
        <v/>
      </c>
      <c r="R1432" s="16" t="str">
        <f aca="false">IF(Q1432="","",Q1432*0.0980665)</f>
        <v/>
      </c>
      <c r="S1432" s="16" t="str">
        <f aca="false">IF(Q1432="","",IFERROR(Q1432/(1/(1/INDEX(CONFIG!$I$5:$I$14,MATCH(D1432,CONFIG!$D$5:$D$14,0)))),""))</f>
        <v/>
      </c>
      <c r="T1432" s="13"/>
      <c r="U1432" s="13"/>
      <c r="V1432" s="13"/>
      <c r="W1432" s="13"/>
      <c r="X1432" s="22" t="str">
        <f aca="false">IF(Q1432="","",Q1432^2)</f>
        <v/>
      </c>
      <c r="Y1432" s="22" t="str">
        <f aca="false">IF(AND(C1432&lt;&gt;"",C1432=CERTIFICADO!$E$4,OR(CERTIFICADO!$E$5="",B1432=CERTIFICADO!$E$5)),MAX($Y$4:Y1431)+1,"")</f>
        <v/>
      </c>
    </row>
    <row r="1433" customFormat="false" ht="15" hidden="false" customHeight="false" outlineLevel="0" collapsed="false">
      <c r="A1433" s="11" t="str">
        <f aca="false">IF(C1433="","",ROW()-4)</f>
        <v/>
      </c>
      <c r="B1433" s="12"/>
      <c r="C1433" s="13"/>
      <c r="D1433" s="23" t="str">
        <f aca="false">IF(C1433="","",IFERROR(INDEX(LOTES!$D$5:$D$1004,MATCH(C1433,LOTES!$F$5:$F$1004,0)),"¿Lote?"))</f>
        <v/>
      </c>
      <c r="E1433" s="11" t="str">
        <f aca="false">IF(C1433="","",IFERROR(INDEX(LOTES!$C$5:$C$1004,MATCH(C1433,LOTES!$F$5:$F$1004,0)),""))</f>
        <v/>
      </c>
      <c r="F1433" s="24" t="str">
        <f aca="false">IF(C1433="","",IFERROR(INDEX(LOTES!$B$5:$B$1004,MATCH(C1433,LOTES!$F$5:$F$1004,0)),""))</f>
        <v/>
      </c>
      <c r="G1433" s="15" t="str">
        <f aca="false">IF(OR(B1433="",F1433=""),"",B1433-F1433)</f>
        <v/>
      </c>
      <c r="H1433" s="13"/>
      <c r="I1433" s="13"/>
      <c r="J1433" s="13"/>
      <c r="K1433" s="25"/>
      <c r="L1433" s="25"/>
      <c r="M1433" s="25"/>
      <c r="N1433" s="25"/>
      <c r="O1433" s="26"/>
      <c r="P1433" s="16" t="str">
        <f aca="false">IF(O1433="","",IFERROR(1/(1/(IF(K1433="",INDEX(CONFIG!$F$5:$F$14,MATCH(D1433,CONFIG!$D$5:$D$14,0)),K1433)*IF(M1433="",INDEX(CONFIG!$H$5:$H$14,MATCH(D1433,CONFIG!$D$5:$D$14,0)),M1433))),""))</f>
        <v/>
      </c>
      <c r="Q1433" s="16" t="str">
        <f aca="false">IF(OR(O1433="",P1433=""),"",O1433/P1433)</f>
        <v/>
      </c>
      <c r="R1433" s="16" t="str">
        <f aca="false">IF(Q1433="","",Q1433*0.0980665)</f>
        <v/>
      </c>
      <c r="S1433" s="16" t="str">
        <f aca="false">IF(Q1433="","",IFERROR(Q1433/(1/(1/INDEX(CONFIG!$I$5:$I$14,MATCH(D1433,CONFIG!$D$5:$D$14,0)))),""))</f>
        <v/>
      </c>
      <c r="T1433" s="13"/>
      <c r="U1433" s="13"/>
      <c r="V1433" s="13"/>
      <c r="W1433" s="13"/>
      <c r="X1433" s="22" t="str">
        <f aca="false">IF(Q1433="","",Q1433^2)</f>
        <v/>
      </c>
      <c r="Y1433" s="22" t="str">
        <f aca="false">IF(AND(C1433&lt;&gt;"",C1433=CERTIFICADO!$E$4,OR(CERTIFICADO!$E$5="",B1433=CERTIFICADO!$E$5)),MAX($Y$4:Y1432)+1,"")</f>
        <v/>
      </c>
    </row>
    <row r="1434" customFormat="false" ht="15" hidden="false" customHeight="false" outlineLevel="0" collapsed="false">
      <c r="A1434" s="11" t="str">
        <f aca="false">IF(C1434="","",ROW()-4)</f>
        <v/>
      </c>
      <c r="B1434" s="12"/>
      <c r="C1434" s="13"/>
      <c r="D1434" s="23" t="str">
        <f aca="false">IF(C1434="","",IFERROR(INDEX(LOTES!$D$5:$D$1004,MATCH(C1434,LOTES!$F$5:$F$1004,0)),"¿Lote?"))</f>
        <v/>
      </c>
      <c r="E1434" s="11" t="str">
        <f aca="false">IF(C1434="","",IFERROR(INDEX(LOTES!$C$5:$C$1004,MATCH(C1434,LOTES!$F$5:$F$1004,0)),""))</f>
        <v/>
      </c>
      <c r="F1434" s="24" t="str">
        <f aca="false">IF(C1434="","",IFERROR(INDEX(LOTES!$B$5:$B$1004,MATCH(C1434,LOTES!$F$5:$F$1004,0)),""))</f>
        <v/>
      </c>
      <c r="G1434" s="15" t="str">
        <f aca="false">IF(OR(B1434="",F1434=""),"",B1434-F1434)</f>
        <v/>
      </c>
      <c r="H1434" s="13"/>
      <c r="I1434" s="13"/>
      <c r="J1434" s="13"/>
      <c r="K1434" s="25"/>
      <c r="L1434" s="25"/>
      <c r="M1434" s="25"/>
      <c r="N1434" s="25"/>
      <c r="O1434" s="26"/>
      <c r="P1434" s="16" t="str">
        <f aca="false">IF(O1434="","",IFERROR(1/(1/(IF(K1434="",INDEX(CONFIG!$F$5:$F$14,MATCH(D1434,CONFIG!$D$5:$D$14,0)),K1434)*IF(M1434="",INDEX(CONFIG!$H$5:$H$14,MATCH(D1434,CONFIG!$D$5:$D$14,0)),M1434))),""))</f>
        <v/>
      </c>
      <c r="Q1434" s="16" t="str">
        <f aca="false">IF(OR(O1434="",P1434=""),"",O1434/P1434)</f>
        <v/>
      </c>
      <c r="R1434" s="16" t="str">
        <f aca="false">IF(Q1434="","",Q1434*0.0980665)</f>
        <v/>
      </c>
      <c r="S1434" s="16" t="str">
        <f aca="false">IF(Q1434="","",IFERROR(Q1434/(1/(1/INDEX(CONFIG!$I$5:$I$14,MATCH(D1434,CONFIG!$D$5:$D$14,0)))),""))</f>
        <v/>
      </c>
      <c r="T1434" s="13"/>
      <c r="U1434" s="13"/>
      <c r="V1434" s="13"/>
      <c r="W1434" s="13"/>
      <c r="X1434" s="22" t="str">
        <f aca="false">IF(Q1434="","",Q1434^2)</f>
        <v/>
      </c>
      <c r="Y1434" s="22" t="str">
        <f aca="false">IF(AND(C1434&lt;&gt;"",C1434=CERTIFICADO!$E$4,OR(CERTIFICADO!$E$5="",B1434=CERTIFICADO!$E$5)),MAX($Y$4:Y1433)+1,"")</f>
        <v/>
      </c>
    </row>
    <row r="1435" customFormat="false" ht="15" hidden="false" customHeight="false" outlineLevel="0" collapsed="false">
      <c r="A1435" s="11" t="str">
        <f aca="false">IF(C1435="","",ROW()-4)</f>
        <v/>
      </c>
      <c r="B1435" s="12"/>
      <c r="C1435" s="13"/>
      <c r="D1435" s="23" t="str">
        <f aca="false">IF(C1435="","",IFERROR(INDEX(LOTES!$D$5:$D$1004,MATCH(C1435,LOTES!$F$5:$F$1004,0)),"¿Lote?"))</f>
        <v/>
      </c>
      <c r="E1435" s="11" t="str">
        <f aca="false">IF(C1435="","",IFERROR(INDEX(LOTES!$C$5:$C$1004,MATCH(C1435,LOTES!$F$5:$F$1004,0)),""))</f>
        <v/>
      </c>
      <c r="F1435" s="24" t="str">
        <f aca="false">IF(C1435="","",IFERROR(INDEX(LOTES!$B$5:$B$1004,MATCH(C1435,LOTES!$F$5:$F$1004,0)),""))</f>
        <v/>
      </c>
      <c r="G1435" s="15" t="str">
        <f aca="false">IF(OR(B1435="",F1435=""),"",B1435-F1435)</f>
        <v/>
      </c>
      <c r="H1435" s="13"/>
      <c r="I1435" s="13"/>
      <c r="J1435" s="13"/>
      <c r="K1435" s="25"/>
      <c r="L1435" s="25"/>
      <c r="M1435" s="25"/>
      <c r="N1435" s="25"/>
      <c r="O1435" s="26"/>
      <c r="P1435" s="16" t="str">
        <f aca="false">IF(O1435="","",IFERROR(1/(1/(IF(K1435="",INDEX(CONFIG!$F$5:$F$14,MATCH(D1435,CONFIG!$D$5:$D$14,0)),K1435)*IF(M1435="",INDEX(CONFIG!$H$5:$H$14,MATCH(D1435,CONFIG!$D$5:$D$14,0)),M1435))),""))</f>
        <v/>
      </c>
      <c r="Q1435" s="16" t="str">
        <f aca="false">IF(OR(O1435="",P1435=""),"",O1435/P1435)</f>
        <v/>
      </c>
      <c r="R1435" s="16" t="str">
        <f aca="false">IF(Q1435="","",Q1435*0.0980665)</f>
        <v/>
      </c>
      <c r="S1435" s="16" t="str">
        <f aca="false">IF(Q1435="","",IFERROR(Q1435/(1/(1/INDEX(CONFIG!$I$5:$I$14,MATCH(D1435,CONFIG!$D$5:$D$14,0)))),""))</f>
        <v/>
      </c>
      <c r="T1435" s="13"/>
      <c r="U1435" s="13"/>
      <c r="V1435" s="13"/>
      <c r="W1435" s="13"/>
      <c r="X1435" s="22" t="str">
        <f aca="false">IF(Q1435="","",Q1435^2)</f>
        <v/>
      </c>
      <c r="Y1435" s="22" t="str">
        <f aca="false">IF(AND(C1435&lt;&gt;"",C1435=CERTIFICADO!$E$4,OR(CERTIFICADO!$E$5="",B1435=CERTIFICADO!$E$5)),MAX($Y$4:Y1434)+1,"")</f>
        <v/>
      </c>
    </row>
    <row r="1436" customFormat="false" ht="15" hidden="false" customHeight="false" outlineLevel="0" collapsed="false">
      <c r="A1436" s="11" t="str">
        <f aca="false">IF(C1436="","",ROW()-4)</f>
        <v/>
      </c>
      <c r="B1436" s="12"/>
      <c r="C1436" s="13"/>
      <c r="D1436" s="23" t="str">
        <f aca="false">IF(C1436="","",IFERROR(INDEX(LOTES!$D$5:$D$1004,MATCH(C1436,LOTES!$F$5:$F$1004,0)),"¿Lote?"))</f>
        <v/>
      </c>
      <c r="E1436" s="11" t="str">
        <f aca="false">IF(C1436="","",IFERROR(INDEX(LOTES!$C$5:$C$1004,MATCH(C1436,LOTES!$F$5:$F$1004,0)),""))</f>
        <v/>
      </c>
      <c r="F1436" s="24" t="str">
        <f aca="false">IF(C1436="","",IFERROR(INDEX(LOTES!$B$5:$B$1004,MATCH(C1436,LOTES!$F$5:$F$1004,0)),""))</f>
        <v/>
      </c>
      <c r="G1436" s="15" t="str">
        <f aca="false">IF(OR(B1436="",F1436=""),"",B1436-F1436)</f>
        <v/>
      </c>
      <c r="H1436" s="13"/>
      <c r="I1436" s="13"/>
      <c r="J1436" s="13"/>
      <c r="K1436" s="25"/>
      <c r="L1436" s="25"/>
      <c r="M1436" s="25"/>
      <c r="N1436" s="25"/>
      <c r="O1436" s="26"/>
      <c r="P1436" s="16" t="str">
        <f aca="false">IF(O1436="","",IFERROR(1/(1/(IF(K1436="",INDEX(CONFIG!$F$5:$F$14,MATCH(D1436,CONFIG!$D$5:$D$14,0)),K1436)*IF(M1436="",INDEX(CONFIG!$H$5:$H$14,MATCH(D1436,CONFIG!$D$5:$D$14,0)),M1436))),""))</f>
        <v/>
      </c>
      <c r="Q1436" s="16" t="str">
        <f aca="false">IF(OR(O1436="",P1436=""),"",O1436/P1436)</f>
        <v/>
      </c>
      <c r="R1436" s="16" t="str">
        <f aca="false">IF(Q1436="","",Q1436*0.0980665)</f>
        <v/>
      </c>
      <c r="S1436" s="16" t="str">
        <f aca="false">IF(Q1436="","",IFERROR(Q1436/(1/(1/INDEX(CONFIG!$I$5:$I$14,MATCH(D1436,CONFIG!$D$5:$D$14,0)))),""))</f>
        <v/>
      </c>
      <c r="T1436" s="13"/>
      <c r="U1436" s="13"/>
      <c r="V1436" s="13"/>
      <c r="W1436" s="13"/>
      <c r="X1436" s="22" t="str">
        <f aca="false">IF(Q1436="","",Q1436^2)</f>
        <v/>
      </c>
      <c r="Y1436" s="22" t="str">
        <f aca="false">IF(AND(C1436&lt;&gt;"",C1436=CERTIFICADO!$E$4,OR(CERTIFICADO!$E$5="",B1436=CERTIFICADO!$E$5)),MAX($Y$4:Y1435)+1,"")</f>
        <v/>
      </c>
    </row>
    <row r="1437" customFormat="false" ht="15" hidden="false" customHeight="false" outlineLevel="0" collapsed="false">
      <c r="A1437" s="11" t="str">
        <f aca="false">IF(C1437="","",ROW()-4)</f>
        <v/>
      </c>
      <c r="B1437" s="12"/>
      <c r="C1437" s="13"/>
      <c r="D1437" s="23" t="str">
        <f aca="false">IF(C1437="","",IFERROR(INDEX(LOTES!$D$5:$D$1004,MATCH(C1437,LOTES!$F$5:$F$1004,0)),"¿Lote?"))</f>
        <v/>
      </c>
      <c r="E1437" s="11" t="str">
        <f aca="false">IF(C1437="","",IFERROR(INDEX(LOTES!$C$5:$C$1004,MATCH(C1437,LOTES!$F$5:$F$1004,0)),""))</f>
        <v/>
      </c>
      <c r="F1437" s="24" t="str">
        <f aca="false">IF(C1437="","",IFERROR(INDEX(LOTES!$B$5:$B$1004,MATCH(C1437,LOTES!$F$5:$F$1004,0)),""))</f>
        <v/>
      </c>
      <c r="G1437" s="15" t="str">
        <f aca="false">IF(OR(B1437="",F1437=""),"",B1437-F1437)</f>
        <v/>
      </c>
      <c r="H1437" s="13"/>
      <c r="I1437" s="13"/>
      <c r="J1437" s="13"/>
      <c r="K1437" s="25"/>
      <c r="L1437" s="25"/>
      <c r="M1437" s="25"/>
      <c r="N1437" s="25"/>
      <c r="O1437" s="26"/>
      <c r="P1437" s="16" t="str">
        <f aca="false">IF(O1437="","",IFERROR(1/(1/(IF(K1437="",INDEX(CONFIG!$F$5:$F$14,MATCH(D1437,CONFIG!$D$5:$D$14,0)),K1437)*IF(M1437="",INDEX(CONFIG!$H$5:$H$14,MATCH(D1437,CONFIG!$D$5:$D$14,0)),M1437))),""))</f>
        <v/>
      </c>
      <c r="Q1437" s="16" t="str">
        <f aca="false">IF(OR(O1437="",P1437=""),"",O1437/P1437)</f>
        <v/>
      </c>
      <c r="R1437" s="16" t="str">
        <f aca="false">IF(Q1437="","",Q1437*0.0980665)</f>
        <v/>
      </c>
      <c r="S1437" s="16" t="str">
        <f aca="false">IF(Q1437="","",IFERROR(Q1437/(1/(1/INDEX(CONFIG!$I$5:$I$14,MATCH(D1437,CONFIG!$D$5:$D$14,0)))),""))</f>
        <v/>
      </c>
      <c r="T1437" s="13"/>
      <c r="U1437" s="13"/>
      <c r="V1437" s="13"/>
      <c r="W1437" s="13"/>
      <c r="X1437" s="22" t="str">
        <f aca="false">IF(Q1437="","",Q1437^2)</f>
        <v/>
      </c>
      <c r="Y1437" s="22" t="str">
        <f aca="false">IF(AND(C1437&lt;&gt;"",C1437=CERTIFICADO!$E$4,OR(CERTIFICADO!$E$5="",B1437=CERTIFICADO!$E$5)),MAX($Y$4:Y1436)+1,"")</f>
        <v/>
      </c>
    </row>
    <row r="1438" customFormat="false" ht="15" hidden="false" customHeight="false" outlineLevel="0" collapsed="false">
      <c r="A1438" s="11" t="str">
        <f aca="false">IF(C1438="","",ROW()-4)</f>
        <v/>
      </c>
      <c r="B1438" s="12"/>
      <c r="C1438" s="13"/>
      <c r="D1438" s="23" t="str">
        <f aca="false">IF(C1438="","",IFERROR(INDEX(LOTES!$D$5:$D$1004,MATCH(C1438,LOTES!$F$5:$F$1004,0)),"¿Lote?"))</f>
        <v/>
      </c>
      <c r="E1438" s="11" t="str">
        <f aca="false">IF(C1438="","",IFERROR(INDEX(LOTES!$C$5:$C$1004,MATCH(C1438,LOTES!$F$5:$F$1004,0)),""))</f>
        <v/>
      </c>
      <c r="F1438" s="24" t="str">
        <f aca="false">IF(C1438="","",IFERROR(INDEX(LOTES!$B$5:$B$1004,MATCH(C1438,LOTES!$F$5:$F$1004,0)),""))</f>
        <v/>
      </c>
      <c r="G1438" s="15" t="str">
        <f aca="false">IF(OR(B1438="",F1438=""),"",B1438-F1438)</f>
        <v/>
      </c>
      <c r="H1438" s="13"/>
      <c r="I1438" s="13"/>
      <c r="J1438" s="13"/>
      <c r="K1438" s="25"/>
      <c r="L1438" s="25"/>
      <c r="M1438" s="25"/>
      <c r="N1438" s="25"/>
      <c r="O1438" s="26"/>
      <c r="P1438" s="16" t="str">
        <f aca="false">IF(O1438="","",IFERROR(1/(1/(IF(K1438="",INDEX(CONFIG!$F$5:$F$14,MATCH(D1438,CONFIG!$D$5:$D$14,0)),K1438)*IF(M1438="",INDEX(CONFIG!$H$5:$H$14,MATCH(D1438,CONFIG!$D$5:$D$14,0)),M1438))),""))</f>
        <v/>
      </c>
      <c r="Q1438" s="16" t="str">
        <f aca="false">IF(OR(O1438="",P1438=""),"",O1438/P1438)</f>
        <v/>
      </c>
      <c r="R1438" s="16" t="str">
        <f aca="false">IF(Q1438="","",Q1438*0.0980665)</f>
        <v/>
      </c>
      <c r="S1438" s="16" t="str">
        <f aca="false">IF(Q1438="","",IFERROR(Q1438/(1/(1/INDEX(CONFIG!$I$5:$I$14,MATCH(D1438,CONFIG!$D$5:$D$14,0)))),""))</f>
        <v/>
      </c>
      <c r="T1438" s="13"/>
      <c r="U1438" s="13"/>
      <c r="V1438" s="13"/>
      <c r="W1438" s="13"/>
      <c r="X1438" s="22" t="str">
        <f aca="false">IF(Q1438="","",Q1438^2)</f>
        <v/>
      </c>
      <c r="Y1438" s="22" t="str">
        <f aca="false">IF(AND(C1438&lt;&gt;"",C1438=CERTIFICADO!$E$4,OR(CERTIFICADO!$E$5="",B1438=CERTIFICADO!$E$5)),MAX($Y$4:Y1437)+1,"")</f>
        <v/>
      </c>
    </row>
    <row r="1439" customFormat="false" ht="15" hidden="false" customHeight="false" outlineLevel="0" collapsed="false">
      <c r="A1439" s="11" t="str">
        <f aca="false">IF(C1439="","",ROW()-4)</f>
        <v/>
      </c>
      <c r="B1439" s="12"/>
      <c r="C1439" s="13"/>
      <c r="D1439" s="23" t="str">
        <f aca="false">IF(C1439="","",IFERROR(INDEX(LOTES!$D$5:$D$1004,MATCH(C1439,LOTES!$F$5:$F$1004,0)),"¿Lote?"))</f>
        <v/>
      </c>
      <c r="E1439" s="11" t="str">
        <f aca="false">IF(C1439="","",IFERROR(INDEX(LOTES!$C$5:$C$1004,MATCH(C1439,LOTES!$F$5:$F$1004,0)),""))</f>
        <v/>
      </c>
      <c r="F1439" s="24" t="str">
        <f aca="false">IF(C1439="","",IFERROR(INDEX(LOTES!$B$5:$B$1004,MATCH(C1439,LOTES!$F$5:$F$1004,0)),""))</f>
        <v/>
      </c>
      <c r="G1439" s="15" t="str">
        <f aca="false">IF(OR(B1439="",F1439=""),"",B1439-F1439)</f>
        <v/>
      </c>
      <c r="H1439" s="13"/>
      <c r="I1439" s="13"/>
      <c r="J1439" s="13"/>
      <c r="K1439" s="25"/>
      <c r="L1439" s="25"/>
      <c r="M1439" s="25"/>
      <c r="N1439" s="25"/>
      <c r="O1439" s="26"/>
      <c r="P1439" s="16" t="str">
        <f aca="false">IF(O1439="","",IFERROR(1/(1/(IF(K1439="",INDEX(CONFIG!$F$5:$F$14,MATCH(D1439,CONFIG!$D$5:$D$14,0)),K1439)*IF(M1439="",INDEX(CONFIG!$H$5:$H$14,MATCH(D1439,CONFIG!$D$5:$D$14,0)),M1439))),""))</f>
        <v/>
      </c>
      <c r="Q1439" s="16" t="str">
        <f aca="false">IF(OR(O1439="",P1439=""),"",O1439/P1439)</f>
        <v/>
      </c>
      <c r="R1439" s="16" t="str">
        <f aca="false">IF(Q1439="","",Q1439*0.0980665)</f>
        <v/>
      </c>
      <c r="S1439" s="16" t="str">
        <f aca="false">IF(Q1439="","",IFERROR(Q1439/(1/(1/INDEX(CONFIG!$I$5:$I$14,MATCH(D1439,CONFIG!$D$5:$D$14,0)))),""))</f>
        <v/>
      </c>
      <c r="T1439" s="13"/>
      <c r="U1439" s="13"/>
      <c r="V1439" s="13"/>
      <c r="W1439" s="13"/>
      <c r="X1439" s="22" t="str">
        <f aca="false">IF(Q1439="","",Q1439^2)</f>
        <v/>
      </c>
      <c r="Y1439" s="22" t="str">
        <f aca="false">IF(AND(C1439&lt;&gt;"",C1439=CERTIFICADO!$E$4,OR(CERTIFICADO!$E$5="",B1439=CERTIFICADO!$E$5)),MAX($Y$4:Y1438)+1,"")</f>
        <v/>
      </c>
    </row>
    <row r="1440" customFormat="false" ht="15" hidden="false" customHeight="false" outlineLevel="0" collapsed="false">
      <c r="A1440" s="11" t="str">
        <f aca="false">IF(C1440="","",ROW()-4)</f>
        <v/>
      </c>
      <c r="B1440" s="12"/>
      <c r="C1440" s="13"/>
      <c r="D1440" s="23" t="str">
        <f aca="false">IF(C1440="","",IFERROR(INDEX(LOTES!$D$5:$D$1004,MATCH(C1440,LOTES!$F$5:$F$1004,0)),"¿Lote?"))</f>
        <v/>
      </c>
      <c r="E1440" s="11" t="str">
        <f aca="false">IF(C1440="","",IFERROR(INDEX(LOTES!$C$5:$C$1004,MATCH(C1440,LOTES!$F$5:$F$1004,0)),""))</f>
        <v/>
      </c>
      <c r="F1440" s="24" t="str">
        <f aca="false">IF(C1440="","",IFERROR(INDEX(LOTES!$B$5:$B$1004,MATCH(C1440,LOTES!$F$5:$F$1004,0)),""))</f>
        <v/>
      </c>
      <c r="G1440" s="15" t="str">
        <f aca="false">IF(OR(B1440="",F1440=""),"",B1440-F1440)</f>
        <v/>
      </c>
      <c r="H1440" s="13"/>
      <c r="I1440" s="13"/>
      <c r="J1440" s="13"/>
      <c r="K1440" s="25"/>
      <c r="L1440" s="25"/>
      <c r="M1440" s="25"/>
      <c r="N1440" s="25"/>
      <c r="O1440" s="26"/>
      <c r="P1440" s="16" t="str">
        <f aca="false">IF(O1440="","",IFERROR(1/(1/(IF(K1440="",INDEX(CONFIG!$F$5:$F$14,MATCH(D1440,CONFIG!$D$5:$D$14,0)),K1440)*IF(M1440="",INDEX(CONFIG!$H$5:$H$14,MATCH(D1440,CONFIG!$D$5:$D$14,0)),M1440))),""))</f>
        <v/>
      </c>
      <c r="Q1440" s="16" t="str">
        <f aca="false">IF(OR(O1440="",P1440=""),"",O1440/P1440)</f>
        <v/>
      </c>
      <c r="R1440" s="16" t="str">
        <f aca="false">IF(Q1440="","",Q1440*0.0980665)</f>
        <v/>
      </c>
      <c r="S1440" s="16" t="str">
        <f aca="false">IF(Q1440="","",IFERROR(Q1440/(1/(1/INDEX(CONFIG!$I$5:$I$14,MATCH(D1440,CONFIG!$D$5:$D$14,0)))),""))</f>
        <v/>
      </c>
      <c r="T1440" s="13"/>
      <c r="U1440" s="13"/>
      <c r="V1440" s="13"/>
      <c r="W1440" s="13"/>
      <c r="X1440" s="22" t="str">
        <f aca="false">IF(Q1440="","",Q1440^2)</f>
        <v/>
      </c>
      <c r="Y1440" s="22" t="str">
        <f aca="false">IF(AND(C1440&lt;&gt;"",C1440=CERTIFICADO!$E$4,OR(CERTIFICADO!$E$5="",B1440=CERTIFICADO!$E$5)),MAX($Y$4:Y1439)+1,"")</f>
        <v/>
      </c>
    </row>
    <row r="1441" customFormat="false" ht="15" hidden="false" customHeight="false" outlineLevel="0" collapsed="false">
      <c r="A1441" s="11" t="str">
        <f aca="false">IF(C1441="","",ROW()-4)</f>
        <v/>
      </c>
      <c r="B1441" s="12"/>
      <c r="C1441" s="13"/>
      <c r="D1441" s="23" t="str">
        <f aca="false">IF(C1441="","",IFERROR(INDEX(LOTES!$D$5:$D$1004,MATCH(C1441,LOTES!$F$5:$F$1004,0)),"¿Lote?"))</f>
        <v/>
      </c>
      <c r="E1441" s="11" t="str">
        <f aca="false">IF(C1441="","",IFERROR(INDEX(LOTES!$C$5:$C$1004,MATCH(C1441,LOTES!$F$5:$F$1004,0)),""))</f>
        <v/>
      </c>
      <c r="F1441" s="24" t="str">
        <f aca="false">IF(C1441="","",IFERROR(INDEX(LOTES!$B$5:$B$1004,MATCH(C1441,LOTES!$F$5:$F$1004,0)),""))</f>
        <v/>
      </c>
      <c r="G1441" s="15" t="str">
        <f aca="false">IF(OR(B1441="",F1441=""),"",B1441-F1441)</f>
        <v/>
      </c>
      <c r="H1441" s="13"/>
      <c r="I1441" s="13"/>
      <c r="J1441" s="13"/>
      <c r="K1441" s="25"/>
      <c r="L1441" s="25"/>
      <c r="M1441" s="25"/>
      <c r="N1441" s="25"/>
      <c r="O1441" s="26"/>
      <c r="P1441" s="16" t="str">
        <f aca="false">IF(O1441="","",IFERROR(1/(1/(IF(K1441="",INDEX(CONFIG!$F$5:$F$14,MATCH(D1441,CONFIG!$D$5:$D$14,0)),K1441)*IF(M1441="",INDEX(CONFIG!$H$5:$H$14,MATCH(D1441,CONFIG!$D$5:$D$14,0)),M1441))),""))</f>
        <v/>
      </c>
      <c r="Q1441" s="16" t="str">
        <f aca="false">IF(OR(O1441="",P1441=""),"",O1441/P1441)</f>
        <v/>
      </c>
      <c r="R1441" s="16" t="str">
        <f aca="false">IF(Q1441="","",Q1441*0.0980665)</f>
        <v/>
      </c>
      <c r="S1441" s="16" t="str">
        <f aca="false">IF(Q1441="","",IFERROR(Q1441/(1/(1/INDEX(CONFIG!$I$5:$I$14,MATCH(D1441,CONFIG!$D$5:$D$14,0)))),""))</f>
        <v/>
      </c>
      <c r="T1441" s="13"/>
      <c r="U1441" s="13"/>
      <c r="V1441" s="13"/>
      <c r="W1441" s="13"/>
      <c r="X1441" s="22" t="str">
        <f aca="false">IF(Q1441="","",Q1441^2)</f>
        <v/>
      </c>
      <c r="Y1441" s="22" t="str">
        <f aca="false">IF(AND(C1441&lt;&gt;"",C1441=CERTIFICADO!$E$4,OR(CERTIFICADO!$E$5="",B1441=CERTIFICADO!$E$5)),MAX($Y$4:Y1440)+1,"")</f>
        <v/>
      </c>
    </row>
    <row r="1442" customFormat="false" ht="15" hidden="false" customHeight="false" outlineLevel="0" collapsed="false">
      <c r="A1442" s="11" t="str">
        <f aca="false">IF(C1442="","",ROW()-4)</f>
        <v/>
      </c>
      <c r="B1442" s="12"/>
      <c r="C1442" s="13"/>
      <c r="D1442" s="23" t="str">
        <f aca="false">IF(C1442="","",IFERROR(INDEX(LOTES!$D$5:$D$1004,MATCH(C1442,LOTES!$F$5:$F$1004,0)),"¿Lote?"))</f>
        <v/>
      </c>
      <c r="E1442" s="11" t="str">
        <f aca="false">IF(C1442="","",IFERROR(INDEX(LOTES!$C$5:$C$1004,MATCH(C1442,LOTES!$F$5:$F$1004,0)),""))</f>
        <v/>
      </c>
      <c r="F1442" s="24" t="str">
        <f aca="false">IF(C1442="","",IFERROR(INDEX(LOTES!$B$5:$B$1004,MATCH(C1442,LOTES!$F$5:$F$1004,0)),""))</f>
        <v/>
      </c>
      <c r="G1442" s="15" t="str">
        <f aca="false">IF(OR(B1442="",F1442=""),"",B1442-F1442)</f>
        <v/>
      </c>
      <c r="H1442" s="13"/>
      <c r="I1442" s="13"/>
      <c r="J1442" s="13"/>
      <c r="K1442" s="25"/>
      <c r="L1442" s="25"/>
      <c r="M1442" s="25"/>
      <c r="N1442" s="25"/>
      <c r="O1442" s="26"/>
      <c r="P1442" s="16" t="str">
        <f aca="false">IF(O1442="","",IFERROR(1/(1/(IF(K1442="",INDEX(CONFIG!$F$5:$F$14,MATCH(D1442,CONFIG!$D$5:$D$14,0)),K1442)*IF(M1442="",INDEX(CONFIG!$H$5:$H$14,MATCH(D1442,CONFIG!$D$5:$D$14,0)),M1442))),""))</f>
        <v/>
      </c>
      <c r="Q1442" s="16" t="str">
        <f aca="false">IF(OR(O1442="",P1442=""),"",O1442/P1442)</f>
        <v/>
      </c>
      <c r="R1442" s="16" t="str">
        <f aca="false">IF(Q1442="","",Q1442*0.0980665)</f>
        <v/>
      </c>
      <c r="S1442" s="16" t="str">
        <f aca="false">IF(Q1442="","",IFERROR(Q1442/(1/(1/INDEX(CONFIG!$I$5:$I$14,MATCH(D1442,CONFIG!$D$5:$D$14,0)))),""))</f>
        <v/>
      </c>
      <c r="T1442" s="13"/>
      <c r="U1442" s="13"/>
      <c r="V1442" s="13"/>
      <c r="W1442" s="13"/>
      <c r="X1442" s="22" t="str">
        <f aca="false">IF(Q1442="","",Q1442^2)</f>
        <v/>
      </c>
      <c r="Y1442" s="22" t="str">
        <f aca="false">IF(AND(C1442&lt;&gt;"",C1442=CERTIFICADO!$E$4,OR(CERTIFICADO!$E$5="",B1442=CERTIFICADO!$E$5)),MAX($Y$4:Y1441)+1,"")</f>
        <v/>
      </c>
    </row>
    <row r="1443" customFormat="false" ht="15" hidden="false" customHeight="false" outlineLevel="0" collapsed="false">
      <c r="A1443" s="11" t="str">
        <f aca="false">IF(C1443="","",ROW()-4)</f>
        <v/>
      </c>
      <c r="B1443" s="12"/>
      <c r="C1443" s="13"/>
      <c r="D1443" s="23" t="str">
        <f aca="false">IF(C1443="","",IFERROR(INDEX(LOTES!$D$5:$D$1004,MATCH(C1443,LOTES!$F$5:$F$1004,0)),"¿Lote?"))</f>
        <v/>
      </c>
      <c r="E1443" s="11" t="str">
        <f aca="false">IF(C1443="","",IFERROR(INDEX(LOTES!$C$5:$C$1004,MATCH(C1443,LOTES!$F$5:$F$1004,0)),""))</f>
        <v/>
      </c>
      <c r="F1443" s="24" t="str">
        <f aca="false">IF(C1443="","",IFERROR(INDEX(LOTES!$B$5:$B$1004,MATCH(C1443,LOTES!$F$5:$F$1004,0)),""))</f>
        <v/>
      </c>
      <c r="G1443" s="15" t="str">
        <f aca="false">IF(OR(B1443="",F1443=""),"",B1443-F1443)</f>
        <v/>
      </c>
      <c r="H1443" s="13"/>
      <c r="I1443" s="13"/>
      <c r="J1443" s="13"/>
      <c r="K1443" s="25"/>
      <c r="L1443" s="25"/>
      <c r="M1443" s="25"/>
      <c r="N1443" s="25"/>
      <c r="O1443" s="26"/>
      <c r="P1443" s="16" t="str">
        <f aca="false">IF(O1443="","",IFERROR(1/(1/(IF(K1443="",INDEX(CONFIG!$F$5:$F$14,MATCH(D1443,CONFIG!$D$5:$D$14,0)),K1443)*IF(M1443="",INDEX(CONFIG!$H$5:$H$14,MATCH(D1443,CONFIG!$D$5:$D$14,0)),M1443))),""))</f>
        <v/>
      </c>
      <c r="Q1443" s="16" t="str">
        <f aca="false">IF(OR(O1443="",P1443=""),"",O1443/P1443)</f>
        <v/>
      </c>
      <c r="R1443" s="16" t="str">
        <f aca="false">IF(Q1443="","",Q1443*0.0980665)</f>
        <v/>
      </c>
      <c r="S1443" s="16" t="str">
        <f aca="false">IF(Q1443="","",IFERROR(Q1443/(1/(1/INDEX(CONFIG!$I$5:$I$14,MATCH(D1443,CONFIG!$D$5:$D$14,0)))),""))</f>
        <v/>
      </c>
      <c r="T1443" s="13"/>
      <c r="U1443" s="13"/>
      <c r="V1443" s="13"/>
      <c r="W1443" s="13"/>
      <c r="X1443" s="22" t="str">
        <f aca="false">IF(Q1443="","",Q1443^2)</f>
        <v/>
      </c>
      <c r="Y1443" s="22" t="str">
        <f aca="false">IF(AND(C1443&lt;&gt;"",C1443=CERTIFICADO!$E$4,OR(CERTIFICADO!$E$5="",B1443=CERTIFICADO!$E$5)),MAX($Y$4:Y1442)+1,"")</f>
        <v/>
      </c>
    </row>
    <row r="1444" customFormat="false" ht="15" hidden="false" customHeight="false" outlineLevel="0" collapsed="false">
      <c r="A1444" s="11" t="str">
        <f aca="false">IF(C1444="","",ROW()-4)</f>
        <v/>
      </c>
      <c r="B1444" s="12"/>
      <c r="C1444" s="13"/>
      <c r="D1444" s="23" t="str">
        <f aca="false">IF(C1444="","",IFERROR(INDEX(LOTES!$D$5:$D$1004,MATCH(C1444,LOTES!$F$5:$F$1004,0)),"¿Lote?"))</f>
        <v/>
      </c>
      <c r="E1444" s="11" t="str">
        <f aca="false">IF(C1444="","",IFERROR(INDEX(LOTES!$C$5:$C$1004,MATCH(C1444,LOTES!$F$5:$F$1004,0)),""))</f>
        <v/>
      </c>
      <c r="F1444" s="24" t="str">
        <f aca="false">IF(C1444="","",IFERROR(INDEX(LOTES!$B$5:$B$1004,MATCH(C1444,LOTES!$F$5:$F$1004,0)),""))</f>
        <v/>
      </c>
      <c r="G1444" s="15" t="str">
        <f aca="false">IF(OR(B1444="",F1444=""),"",B1444-F1444)</f>
        <v/>
      </c>
      <c r="H1444" s="13"/>
      <c r="I1444" s="13"/>
      <c r="J1444" s="13"/>
      <c r="K1444" s="25"/>
      <c r="L1444" s="25"/>
      <c r="M1444" s="25"/>
      <c r="N1444" s="25"/>
      <c r="O1444" s="26"/>
      <c r="P1444" s="16" t="str">
        <f aca="false">IF(O1444="","",IFERROR(1/(1/(IF(K1444="",INDEX(CONFIG!$F$5:$F$14,MATCH(D1444,CONFIG!$D$5:$D$14,0)),K1444)*IF(M1444="",INDEX(CONFIG!$H$5:$H$14,MATCH(D1444,CONFIG!$D$5:$D$14,0)),M1444))),""))</f>
        <v/>
      </c>
      <c r="Q1444" s="16" t="str">
        <f aca="false">IF(OR(O1444="",P1444=""),"",O1444/P1444)</f>
        <v/>
      </c>
      <c r="R1444" s="16" t="str">
        <f aca="false">IF(Q1444="","",Q1444*0.0980665)</f>
        <v/>
      </c>
      <c r="S1444" s="16" t="str">
        <f aca="false">IF(Q1444="","",IFERROR(Q1444/(1/(1/INDEX(CONFIG!$I$5:$I$14,MATCH(D1444,CONFIG!$D$5:$D$14,0)))),""))</f>
        <v/>
      </c>
      <c r="T1444" s="13"/>
      <c r="U1444" s="13"/>
      <c r="V1444" s="13"/>
      <c r="W1444" s="13"/>
      <c r="X1444" s="22" t="str">
        <f aca="false">IF(Q1444="","",Q1444^2)</f>
        <v/>
      </c>
      <c r="Y1444" s="22" t="str">
        <f aca="false">IF(AND(C1444&lt;&gt;"",C1444=CERTIFICADO!$E$4,OR(CERTIFICADO!$E$5="",B1444=CERTIFICADO!$E$5)),MAX($Y$4:Y1443)+1,"")</f>
        <v/>
      </c>
    </row>
    <row r="1445" customFormat="false" ht="15" hidden="false" customHeight="false" outlineLevel="0" collapsed="false">
      <c r="A1445" s="11" t="str">
        <f aca="false">IF(C1445="","",ROW()-4)</f>
        <v/>
      </c>
      <c r="B1445" s="12"/>
      <c r="C1445" s="13"/>
      <c r="D1445" s="23" t="str">
        <f aca="false">IF(C1445="","",IFERROR(INDEX(LOTES!$D$5:$D$1004,MATCH(C1445,LOTES!$F$5:$F$1004,0)),"¿Lote?"))</f>
        <v/>
      </c>
      <c r="E1445" s="11" t="str">
        <f aca="false">IF(C1445="","",IFERROR(INDEX(LOTES!$C$5:$C$1004,MATCH(C1445,LOTES!$F$5:$F$1004,0)),""))</f>
        <v/>
      </c>
      <c r="F1445" s="24" t="str">
        <f aca="false">IF(C1445="","",IFERROR(INDEX(LOTES!$B$5:$B$1004,MATCH(C1445,LOTES!$F$5:$F$1004,0)),""))</f>
        <v/>
      </c>
      <c r="G1445" s="15" t="str">
        <f aca="false">IF(OR(B1445="",F1445=""),"",B1445-F1445)</f>
        <v/>
      </c>
      <c r="H1445" s="13"/>
      <c r="I1445" s="13"/>
      <c r="J1445" s="13"/>
      <c r="K1445" s="25"/>
      <c r="L1445" s="25"/>
      <c r="M1445" s="25"/>
      <c r="N1445" s="25"/>
      <c r="O1445" s="26"/>
      <c r="P1445" s="16" t="str">
        <f aca="false">IF(O1445="","",IFERROR(1/(1/(IF(K1445="",INDEX(CONFIG!$F$5:$F$14,MATCH(D1445,CONFIG!$D$5:$D$14,0)),K1445)*IF(M1445="",INDEX(CONFIG!$H$5:$H$14,MATCH(D1445,CONFIG!$D$5:$D$14,0)),M1445))),""))</f>
        <v/>
      </c>
      <c r="Q1445" s="16" t="str">
        <f aca="false">IF(OR(O1445="",P1445=""),"",O1445/P1445)</f>
        <v/>
      </c>
      <c r="R1445" s="16" t="str">
        <f aca="false">IF(Q1445="","",Q1445*0.0980665)</f>
        <v/>
      </c>
      <c r="S1445" s="16" t="str">
        <f aca="false">IF(Q1445="","",IFERROR(Q1445/(1/(1/INDEX(CONFIG!$I$5:$I$14,MATCH(D1445,CONFIG!$D$5:$D$14,0)))),""))</f>
        <v/>
      </c>
      <c r="T1445" s="13"/>
      <c r="U1445" s="13"/>
      <c r="V1445" s="13"/>
      <c r="W1445" s="13"/>
      <c r="X1445" s="22" t="str">
        <f aca="false">IF(Q1445="","",Q1445^2)</f>
        <v/>
      </c>
      <c r="Y1445" s="22" t="str">
        <f aca="false">IF(AND(C1445&lt;&gt;"",C1445=CERTIFICADO!$E$4,OR(CERTIFICADO!$E$5="",B1445=CERTIFICADO!$E$5)),MAX($Y$4:Y1444)+1,"")</f>
        <v/>
      </c>
    </row>
    <row r="1446" customFormat="false" ht="15" hidden="false" customHeight="false" outlineLevel="0" collapsed="false">
      <c r="A1446" s="11" t="str">
        <f aca="false">IF(C1446="","",ROW()-4)</f>
        <v/>
      </c>
      <c r="B1446" s="12"/>
      <c r="C1446" s="13"/>
      <c r="D1446" s="23" t="str">
        <f aca="false">IF(C1446="","",IFERROR(INDEX(LOTES!$D$5:$D$1004,MATCH(C1446,LOTES!$F$5:$F$1004,0)),"¿Lote?"))</f>
        <v/>
      </c>
      <c r="E1446" s="11" t="str">
        <f aca="false">IF(C1446="","",IFERROR(INDEX(LOTES!$C$5:$C$1004,MATCH(C1446,LOTES!$F$5:$F$1004,0)),""))</f>
        <v/>
      </c>
      <c r="F1446" s="24" t="str">
        <f aca="false">IF(C1446="","",IFERROR(INDEX(LOTES!$B$5:$B$1004,MATCH(C1446,LOTES!$F$5:$F$1004,0)),""))</f>
        <v/>
      </c>
      <c r="G1446" s="15" t="str">
        <f aca="false">IF(OR(B1446="",F1446=""),"",B1446-F1446)</f>
        <v/>
      </c>
      <c r="H1446" s="13"/>
      <c r="I1446" s="13"/>
      <c r="J1446" s="13"/>
      <c r="K1446" s="25"/>
      <c r="L1446" s="25"/>
      <c r="M1446" s="25"/>
      <c r="N1446" s="25"/>
      <c r="O1446" s="26"/>
      <c r="P1446" s="16" t="str">
        <f aca="false">IF(O1446="","",IFERROR(1/(1/(IF(K1446="",INDEX(CONFIG!$F$5:$F$14,MATCH(D1446,CONFIG!$D$5:$D$14,0)),K1446)*IF(M1446="",INDEX(CONFIG!$H$5:$H$14,MATCH(D1446,CONFIG!$D$5:$D$14,0)),M1446))),""))</f>
        <v/>
      </c>
      <c r="Q1446" s="16" t="str">
        <f aca="false">IF(OR(O1446="",P1446=""),"",O1446/P1446)</f>
        <v/>
      </c>
      <c r="R1446" s="16" t="str">
        <f aca="false">IF(Q1446="","",Q1446*0.0980665)</f>
        <v/>
      </c>
      <c r="S1446" s="16" t="str">
        <f aca="false">IF(Q1446="","",IFERROR(Q1446/(1/(1/INDEX(CONFIG!$I$5:$I$14,MATCH(D1446,CONFIG!$D$5:$D$14,0)))),""))</f>
        <v/>
      </c>
      <c r="T1446" s="13"/>
      <c r="U1446" s="13"/>
      <c r="V1446" s="13"/>
      <c r="W1446" s="13"/>
      <c r="X1446" s="22" t="str">
        <f aca="false">IF(Q1446="","",Q1446^2)</f>
        <v/>
      </c>
      <c r="Y1446" s="22" t="str">
        <f aca="false">IF(AND(C1446&lt;&gt;"",C1446=CERTIFICADO!$E$4,OR(CERTIFICADO!$E$5="",B1446=CERTIFICADO!$E$5)),MAX($Y$4:Y1445)+1,"")</f>
        <v/>
      </c>
    </row>
    <row r="1447" customFormat="false" ht="15" hidden="false" customHeight="false" outlineLevel="0" collapsed="false">
      <c r="A1447" s="11" t="str">
        <f aca="false">IF(C1447="","",ROW()-4)</f>
        <v/>
      </c>
      <c r="B1447" s="12"/>
      <c r="C1447" s="13"/>
      <c r="D1447" s="23" t="str">
        <f aca="false">IF(C1447="","",IFERROR(INDEX(LOTES!$D$5:$D$1004,MATCH(C1447,LOTES!$F$5:$F$1004,0)),"¿Lote?"))</f>
        <v/>
      </c>
      <c r="E1447" s="11" t="str">
        <f aca="false">IF(C1447="","",IFERROR(INDEX(LOTES!$C$5:$C$1004,MATCH(C1447,LOTES!$F$5:$F$1004,0)),""))</f>
        <v/>
      </c>
      <c r="F1447" s="24" t="str">
        <f aca="false">IF(C1447="","",IFERROR(INDEX(LOTES!$B$5:$B$1004,MATCH(C1447,LOTES!$F$5:$F$1004,0)),""))</f>
        <v/>
      </c>
      <c r="G1447" s="15" t="str">
        <f aca="false">IF(OR(B1447="",F1447=""),"",B1447-F1447)</f>
        <v/>
      </c>
      <c r="H1447" s="13"/>
      <c r="I1447" s="13"/>
      <c r="J1447" s="13"/>
      <c r="K1447" s="25"/>
      <c r="L1447" s="25"/>
      <c r="M1447" s="25"/>
      <c r="N1447" s="25"/>
      <c r="O1447" s="26"/>
      <c r="P1447" s="16" t="str">
        <f aca="false">IF(O1447="","",IFERROR(1/(1/(IF(K1447="",INDEX(CONFIG!$F$5:$F$14,MATCH(D1447,CONFIG!$D$5:$D$14,0)),K1447)*IF(M1447="",INDEX(CONFIG!$H$5:$H$14,MATCH(D1447,CONFIG!$D$5:$D$14,0)),M1447))),""))</f>
        <v/>
      </c>
      <c r="Q1447" s="16" t="str">
        <f aca="false">IF(OR(O1447="",P1447=""),"",O1447/P1447)</f>
        <v/>
      </c>
      <c r="R1447" s="16" t="str">
        <f aca="false">IF(Q1447="","",Q1447*0.0980665)</f>
        <v/>
      </c>
      <c r="S1447" s="16" t="str">
        <f aca="false">IF(Q1447="","",IFERROR(Q1447/(1/(1/INDEX(CONFIG!$I$5:$I$14,MATCH(D1447,CONFIG!$D$5:$D$14,0)))),""))</f>
        <v/>
      </c>
      <c r="T1447" s="13"/>
      <c r="U1447" s="13"/>
      <c r="V1447" s="13"/>
      <c r="W1447" s="13"/>
      <c r="X1447" s="22" t="str">
        <f aca="false">IF(Q1447="","",Q1447^2)</f>
        <v/>
      </c>
      <c r="Y1447" s="22" t="str">
        <f aca="false">IF(AND(C1447&lt;&gt;"",C1447=CERTIFICADO!$E$4,OR(CERTIFICADO!$E$5="",B1447=CERTIFICADO!$E$5)),MAX($Y$4:Y1446)+1,"")</f>
        <v/>
      </c>
    </row>
    <row r="1448" customFormat="false" ht="15" hidden="false" customHeight="false" outlineLevel="0" collapsed="false">
      <c r="A1448" s="11" t="str">
        <f aca="false">IF(C1448="","",ROW()-4)</f>
        <v/>
      </c>
      <c r="B1448" s="12"/>
      <c r="C1448" s="13"/>
      <c r="D1448" s="23" t="str">
        <f aca="false">IF(C1448="","",IFERROR(INDEX(LOTES!$D$5:$D$1004,MATCH(C1448,LOTES!$F$5:$F$1004,0)),"¿Lote?"))</f>
        <v/>
      </c>
      <c r="E1448" s="11" t="str">
        <f aca="false">IF(C1448="","",IFERROR(INDEX(LOTES!$C$5:$C$1004,MATCH(C1448,LOTES!$F$5:$F$1004,0)),""))</f>
        <v/>
      </c>
      <c r="F1448" s="24" t="str">
        <f aca="false">IF(C1448="","",IFERROR(INDEX(LOTES!$B$5:$B$1004,MATCH(C1448,LOTES!$F$5:$F$1004,0)),""))</f>
        <v/>
      </c>
      <c r="G1448" s="15" t="str">
        <f aca="false">IF(OR(B1448="",F1448=""),"",B1448-F1448)</f>
        <v/>
      </c>
      <c r="H1448" s="13"/>
      <c r="I1448" s="13"/>
      <c r="J1448" s="13"/>
      <c r="K1448" s="25"/>
      <c r="L1448" s="25"/>
      <c r="M1448" s="25"/>
      <c r="N1448" s="25"/>
      <c r="O1448" s="26"/>
      <c r="P1448" s="16" t="str">
        <f aca="false">IF(O1448="","",IFERROR(1/(1/(IF(K1448="",INDEX(CONFIG!$F$5:$F$14,MATCH(D1448,CONFIG!$D$5:$D$14,0)),K1448)*IF(M1448="",INDEX(CONFIG!$H$5:$H$14,MATCH(D1448,CONFIG!$D$5:$D$14,0)),M1448))),""))</f>
        <v/>
      </c>
      <c r="Q1448" s="16" t="str">
        <f aca="false">IF(OR(O1448="",P1448=""),"",O1448/P1448)</f>
        <v/>
      </c>
      <c r="R1448" s="16" t="str">
        <f aca="false">IF(Q1448="","",Q1448*0.0980665)</f>
        <v/>
      </c>
      <c r="S1448" s="16" t="str">
        <f aca="false">IF(Q1448="","",IFERROR(Q1448/(1/(1/INDEX(CONFIG!$I$5:$I$14,MATCH(D1448,CONFIG!$D$5:$D$14,0)))),""))</f>
        <v/>
      </c>
      <c r="T1448" s="13"/>
      <c r="U1448" s="13"/>
      <c r="V1448" s="13"/>
      <c r="W1448" s="13"/>
      <c r="X1448" s="22" t="str">
        <f aca="false">IF(Q1448="","",Q1448^2)</f>
        <v/>
      </c>
      <c r="Y1448" s="22" t="str">
        <f aca="false">IF(AND(C1448&lt;&gt;"",C1448=CERTIFICADO!$E$4,OR(CERTIFICADO!$E$5="",B1448=CERTIFICADO!$E$5)),MAX($Y$4:Y1447)+1,"")</f>
        <v/>
      </c>
    </row>
    <row r="1449" customFormat="false" ht="15" hidden="false" customHeight="false" outlineLevel="0" collapsed="false">
      <c r="A1449" s="11" t="str">
        <f aca="false">IF(C1449="","",ROW()-4)</f>
        <v/>
      </c>
      <c r="B1449" s="12"/>
      <c r="C1449" s="13"/>
      <c r="D1449" s="23" t="str">
        <f aca="false">IF(C1449="","",IFERROR(INDEX(LOTES!$D$5:$D$1004,MATCH(C1449,LOTES!$F$5:$F$1004,0)),"¿Lote?"))</f>
        <v/>
      </c>
      <c r="E1449" s="11" t="str">
        <f aca="false">IF(C1449="","",IFERROR(INDEX(LOTES!$C$5:$C$1004,MATCH(C1449,LOTES!$F$5:$F$1004,0)),""))</f>
        <v/>
      </c>
      <c r="F1449" s="24" t="str">
        <f aca="false">IF(C1449="","",IFERROR(INDEX(LOTES!$B$5:$B$1004,MATCH(C1449,LOTES!$F$5:$F$1004,0)),""))</f>
        <v/>
      </c>
      <c r="G1449" s="15" t="str">
        <f aca="false">IF(OR(B1449="",F1449=""),"",B1449-F1449)</f>
        <v/>
      </c>
      <c r="H1449" s="13"/>
      <c r="I1449" s="13"/>
      <c r="J1449" s="13"/>
      <c r="K1449" s="25"/>
      <c r="L1449" s="25"/>
      <c r="M1449" s="25"/>
      <c r="N1449" s="25"/>
      <c r="O1449" s="26"/>
      <c r="P1449" s="16" t="str">
        <f aca="false">IF(O1449="","",IFERROR(1/(1/(IF(K1449="",INDEX(CONFIG!$F$5:$F$14,MATCH(D1449,CONFIG!$D$5:$D$14,0)),K1449)*IF(M1449="",INDEX(CONFIG!$H$5:$H$14,MATCH(D1449,CONFIG!$D$5:$D$14,0)),M1449))),""))</f>
        <v/>
      </c>
      <c r="Q1449" s="16" t="str">
        <f aca="false">IF(OR(O1449="",P1449=""),"",O1449/P1449)</f>
        <v/>
      </c>
      <c r="R1449" s="16" t="str">
        <f aca="false">IF(Q1449="","",Q1449*0.0980665)</f>
        <v/>
      </c>
      <c r="S1449" s="16" t="str">
        <f aca="false">IF(Q1449="","",IFERROR(Q1449/(1/(1/INDEX(CONFIG!$I$5:$I$14,MATCH(D1449,CONFIG!$D$5:$D$14,0)))),""))</f>
        <v/>
      </c>
      <c r="T1449" s="13"/>
      <c r="U1449" s="13"/>
      <c r="V1449" s="13"/>
      <c r="W1449" s="13"/>
      <c r="X1449" s="22" t="str">
        <f aca="false">IF(Q1449="","",Q1449^2)</f>
        <v/>
      </c>
      <c r="Y1449" s="22" t="str">
        <f aca="false">IF(AND(C1449&lt;&gt;"",C1449=CERTIFICADO!$E$4,OR(CERTIFICADO!$E$5="",B1449=CERTIFICADO!$E$5)),MAX($Y$4:Y1448)+1,"")</f>
        <v/>
      </c>
    </row>
    <row r="1450" customFormat="false" ht="15" hidden="false" customHeight="false" outlineLevel="0" collapsed="false">
      <c r="A1450" s="11" t="str">
        <f aca="false">IF(C1450="","",ROW()-4)</f>
        <v/>
      </c>
      <c r="B1450" s="12"/>
      <c r="C1450" s="13"/>
      <c r="D1450" s="23" t="str">
        <f aca="false">IF(C1450="","",IFERROR(INDEX(LOTES!$D$5:$D$1004,MATCH(C1450,LOTES!$F$5:$F$1004,0)),"¿Lote?"))</f>
        <v/>
      </c>
      <c r="E1450" s="11" t="str">
        <f aca="false">IF(C1450="","",IFERROR(INDEX(LOTES!$C$5:$C$1004,MATCH(C1450,LOTES!$F$5:$F$1004,0)),""))</f>
        <v/>
      </c>
      <c r="F1450" s="24" t="str">
        <f aca="false">IF(C1450="","",IFERROR(INDEX(LOTES!$B$5:$B$1004,MATCH(C1450,LOTES!$F$5:$F$1004,0)),""))</f>
        <v/>
      </c>
      <c r="G1450" s="15" t="str">
        <f aca="false">IF(OR(B1450="",F1450=""),"",B1450-F1450)</f>
        <v/>
      </c>
      <c r="H1450" s="13"/>
      <c r="I1450" s="13"/>
      <c r="J1450" s="13"/>
      <c r="K1450" s="25"/>
      <c r="L1450" s="25"/>
      <c r="M1450" s="25"/>
      <c r="N1450" s="25"/>
      <c r="O1450" s="26"/>
      <c r="P1450" s="16" t="str">
        <f aca="false">IF(O1450="","",IFERROR(1/(1/(IF(K1450="",INDEX(CONFIG!$F$5:$F$14,MATCH(D1450,CONFIG!$D$5:$D$14,0)),K1450)*IF(M1450="",INDEX(CONFIG!$H$5:$H$14,MATCH(D1450,CONFIG!$D$5:$D$14,0)),M1450))),""))</f>
        <v/>
      </c>
      <c r="Q1450" s="16" t="str">
        <f aca="false">IF(OR(O1450="",P1450=""),"",O1450/P1450)</f>
        <v/>
      </c>
      <c r="R1450" s="16" t="str">
        <f aca="false">IF(Q1450="","",Q1450*0.0980665)</f>
        <v/>
      </c>
      <c r="S1450" s="16" t="str">
        <f aca="false">IF(Q1450="","",IFERROR(Q1450/(1/(1/INDEX(CONFIG!$I$5:$I$14,MATCH(D1450,CONFIG!$D$5:$D$14,0)))),""))</f>
        <v/>
      </c>
      <c r="T1450" s="13"/>
      <c r="U1450" s="13"/>
      <c r="V1450" s="13"/>
      <c r="W1450" s="13"/>
      <c r="X1450" s="22" t="str">
        <f aca="false">IF(Q1450="","",Q1450^2)</f>
        <v/>
      </c>
      <c r="Y1450" s="22" t="str">
        <f aca="false">IF(AND(C1450&lt;&gt;"",C1450=CERTIFICADO!$E$4,OR(CERTIFICADO!$E$5="",B1450=CERTIFICADO!$E$5)),MAX($Y$4:Y1449)+1,"")</f>
        <v/>
      </c>
    </row>
    <row r="1451" customFormat="false" ht="15" hidden="false" customHeight="false" outlineLevel="0" collapsed="false">
      <c r="A1451" s="11" t="str">
        <f aca="false">IF(C1451="","",ROW()-4)</f>
        <v/>
      </c>
      <c r="B1451" s="12"/>
      <c r="C1451" s="13"/>
      <c r="D1451" s="23" t="str">
        <f aca="false">IF(C1451="","",IFERROR(INDEX(LOTES!$D$5:$D$1004,MATCH(C1451,LOTES!$F$5:$F$1004,0)),"¿Lote?"))</f>
        <v/>
      </c>
      <c r="E1451" s="11" t="str">
        <f aca="false">IF(C1451="","",IFERROR(INDEX(LOTES!$C$5:$C$1004,MATCH(C1451,LOTES!$F$5:$F$1004,0)),""))</f>
        <v/>
      </c>
      <c r="F1451" s="24" t="str">
        <f aca="false">IF(C1451="","",IFERROR(INDEX(LOTES!$B$5:$B$1004,MATCH(C1451,LOTES!$F$5:$F$1004,0)),""))</f>
        <v/>
      </c>
      <c r="G1451" s="15" t="str">
        <f aca="false">IF(OR(B1451="",F1451=""),"",B1451-F1451)</f>
        <v/>
      </c>
      <c r="H1451" s="13"/>
      <c r="I1451" s="13"/>
      <c r="J1451" s="13"/>
      <c r="K1451" s="25"/>
      <c r="L1451" s="25"/>
      <c r="M1451" s="25"/>
      <c r="N1451" s="25"/>
      <c r="O1451" s="26"/>
      <c r="P1451" s="16" t="str">
        <f aca="false">IF(O1451="","",IFERROR(1/(1/(IF(K1451="",INDEX(CONFIG!$F$5:$F$14,MATCH(D1451,CONFIG!$D$5:$D$14,0)),K1451)*IF(M1451="",INDEX(CONFIG!$H$5:$H$14,MATCH(D1451,CONFIG!$D$5:$D$14,0)),M1451))),""))</f>
        <v/>
      </c>
      <c r="Q1451" s="16" t="str">
        <f aca="false">IF(OR(O1451="",P1451=""),"",O1451/P1451)</f>
        <v/>
      </c>
      <c r="R1451" s="16" t="str">
        <f aca="false">IF(Q1451="","",Q1451*0.0980665)</f>
        <v/>
      </c>
      <c r="S1451" s="16" t="str">
        <f aca="false">IF(Q1451="","",IFERROR(Q1451/(1/(1/INDEX(CONFIG!$I$5:$I$14,MATCH(D1451,CONFIG!$D$5:$D$14,0)))),""))</f>
        <v/>
      </c>
      <c r="T1451" s="13"/>
      <c r="U1451" s="13"/>
      <c r="V1451" s="13"/>
      <c r="W1451" s="13"/>
      <c r="X1451" s="22" t="str">
        <f aca="false">IF(Q1451="","",Q1451^2)</f>
        <v/>
      </c>
      <c r="Y1451" s="22" t="str">
        <f aca="false">IF(AND(C1451&lt;&gt;"",C1451=CERTIFICADO!$E$4,OR(CERTIFICADO!$E$5="",B1451=CERTIFICADO!$E$5)),MAX($Y$4:Y1450)+1,"")</f>
        <v/>
      </c>
    </row>
    <row r="1452" customFormat="false" ht="15" hidden="false" customHeight="false" outlineLevel="0" collapsed="false">
      <c r="A1452" s="11" t="str">
        <f aca="false">IF(C1452="","",ROW()-4)</f>
        <v/>
      </c>
      <c r="B1452" s="12"/>
      <c r="C1452" s="13"/>
      <c r="D1452" s="23" t="str">
        <f aca="false">IF(C1452="","",IFERROR(INDEX(LOTES!$D$5:$D$1004,MATCH(C1452,LOTES!$F$5:$F$1004,0)),"¿Lote?"))</f>
        <v/>
      </c>
      <c r="E1452" s="11" t="str">
        <f aca="false">IF(C1452="","",IFERROR(INDEX(LOTES!$C$5:$C$1004,MATCH(C1452,LOTES!$F$5:$F$1004,0)),""))</f>
        <v/>
      </c>
      <c r="F1452" s="24" t="str">
        <f aca="false">IF(C1452="","",IFERROR(INDEX(LOTES!$B$5:$B$1004,MATCH(C1452,LOTES!$F$5:$F$1004,0)),""))</f>
        <v/>
      </c>
      <c r="G1452" s="15" t="str">
        <f aca="false">IF(OR(B1452="",F1452=""),"",B1452-F1452)</f>
        <v/>
      </c>
      <c r="H1452" s="13"/>
      <c r="I1452" s="13"/>
      <c r="J1452" s="13"/>
      <c r="K1452" s="25"/>
      <c r="L1452" s="25"/>
      <c r="M1452" s="25"/>
      <c r="N1452" s="25"/>
      <c r="O1452" s="26"/>
      <c r="P1452" s="16" t="str">
        <f aca="false">IF(O1452="","",IFERROR(1/(1/(IF(K1452="",INDEX(CONFIG!$F$5:$F$14,MATCH(D1452,CONFIG!$D$5:$D$14,0)),K1452)*IF(M1452="",INDEX(CONFIG!$H$5:$H$14,MATCH(D1452,CONFIG!$D$5:$D$14,0)),M1452))),""))</f>
        <v/>
      </c>
      <c r="Q1452" s="16" t="str">
        <f aca="false">IF(OR(O1452="",P1452=""),"",O1452/P1452)</f>
        <v/>
      </c>
      <c r="R1452" s="16" t="str">
        <f aca="false">IF(Q1452="","",Q1452*0.0980665)</f>
        <v/>
      </c>
      <c r="S1452" s="16" t="str">
        <f aca="false">IF(Q1452="","",IFERROR(Q1452/(1/(1/INDEX(CONFIG!$I$5:$I$14,MATCH(D1452,CONFIG!$D$5:$D$14,0)))),""))</f>
        <v/>
      </c>
      <c r="T1452" s="13"/>
      <c r="U1452" s="13"/>
      <c r="V1452" s="13"/>
      <c r="W1452" s="13"/>
      <c r="X1452" s="22" t="str">
        <f aca="false">IF(Q1452="","",Q1452^2)</f>
        <v/>
      </c>
      <c r="Y1452" s="22" t="str">
        <f aca="false">IF(AND(C1452&lt;&gt;"",C1452=CERTIFICADO!$E$4,OR(CERTIFICADO!$E$5="",B1452=CERTIFICADO!$E$5)),MAX($Y$4:Y1451)+1,"")</f>
        <v/>
      </c>
    </row>
    <row r="1453" customFormat="false" ht="15" hidden="false" customHeight="false" outlineLevel="0" collapsed="false">
      <c r="A1453" s="11" t="str">
        <f aca="false">IF(C1453="","",ROW()-4)</f>
        <v/>
      </c>
      <c r="B1453" s="12"/>
      <c r="C1453" s="13"/>
      <c r="D1453" s="23" t="str">
        <f aca="false">IF(C1453="","",IFERROR(INDEX(LOTES!$D$5:$D$1004,MATCH(C1453,LOTES!$F$5:$F$1004,0)),"¿Lote?"))</f>
        <v/>
      </c>
      <c r="E1453" s="11" t="str">
        <f aca="false">IF(C1453="","",IFERROR(INDEX(LOTES!$C$5:$C$1004,MATCH(C1453,LOTES!$F$5:$F$1004,0)),""))</f>
        <v/>
      </c>
      <c r="F1453" s="24" t="str">
        <f aca="false">IF(C1453="","",IFERROR(INDEX(LOTES!$B$5:$B$1004,MATCH(C1453,LOTES!$F$5:$F$1004,0)),""))</f>
        <v/>
      </c>
      <c r="G1453" s="15" t="str">
        <f aca="false">IF(OR(B1453="",F1453=""),"",B1453-F1453)</f>
        <v/>
      </c>
      <c r="H1453" s="13"/>
      <c r="I1453" s="13"/>
      <c r="J1453" s="13"/>
      <c r="K1453" s="25"/>
      <c r="L1453" s="25"/>
      <c r="M1453" s="25"/>
      <c r="N1453" s="25"/>
      <c r="O1453" s="26"/>
      <c r="P1453" s="16" t="str">
        <f aca="false">IF(O1453="","",IFERROR(1/(1/(IF(K1453="",INDEX(CONFIG!$F$5:$F$14,MATCH(D1453,CONFIG!$D$5:$D$14,0)),K1453)*IF(M1453="",INDEX(CONFIG!$H$5:$H$14,MATCH(D1453,CONFIG!$D$5:$D$14,0)),M1453))),""))</f>
        <v/>
      </c>
      <c r="Q1453" s="16" t="str">
        <f aca="false">IF(OR(O1453="",P1453=""),"",O1453/P1453)</f>
        <v/>
      </c>
      <c r="R1453" s="16" t="str">
        <f aca="false">IF(Q1453="","",Q1453*0.0980665)</f>
        <v/>
      </c>
      <c r="S1453" s="16" t="str">
        <f aca="false">IF(Q1453="","",IFERROR(Q1453/(1/(1/INDEX(CONFIG!$I$5:$I$14,MATCH(D1453,CONFIG!$D$5:$D$14,0)))),""))</f>
        <v/>
      </c>
      <c r="T1453" s="13"/>
      <c r="U1453" s="13"/>
      <c r="V1453" s="13"/>
      <c r="W1453" s="13"/>
      <c r="X1453" s="22" t="str">
        <f aca="false">IF(Q1453="","",Q1453^2)</f>
        <v/>
      </c>
      <c r="Y1453" s="22" t="str">
        <f aca="false">IF(AND(C1453&lt;&gt;"",C1453=CERTIFICADO!$E$4,OR(CERTIFICADO!$E$5="",B1453=CERTIFICADO!$E$5)),MAX($Y$4:Y1452)+1,"")</f>
        <v/>
      </c>
    </row>
    <row r="1454" customFormat="false" ht="15" hidden="false" customHeight="false" outlineLevel="0" collapsed="false">
      <c r="A1454" s="11" t="str">
        <f aca="false">IF(C1454="","",ROW()-4)</f>
        <v/>
      </c>
      <c r="B1454" s="12"/>
      <c r="C1454" s="13"/>
      <c r="D1454" s="23" t="str">
        <f aca="false">IF(C1454="","",IFERROR(INDEX(LOTES!$D$5:$D$1004,MATCH(C1454,LOTES!$F$5:$F$1004,0)),"¿Lote?"))</f>
        <v/>
      </c>
      <c r="E1454" s="11" t="str">
        <f aca="false">IF(C1454="","",IFERROR(INDEX(LOTES!$C$5:$C$1004,MATCH(C1454,LOTES!$F$5:$F$1004,0)),""))</f>
        <v/>
      </c>
      <c r="F1454" s="24" t="str">
        <f aca="false">IF(C1454="","",IFERROR(INDEX(LOTES!$B$5:$B$1004,MATCH(C1454,LOTES!$F$5:$F$1004,0)),""))</f>
        <v/>
      </c>
      <c r="G1454" s="15" t="str">
        <f aca="false">IF(OR(B1454="",F1454=""),"",B1454-F1454)</f>
        <v/>
      </c>
      <c r="H1454" s="13"/>
      <c r="I1454" s="13"/>
      <c r="J1454" s="13"/>
      <c r="K1454" s="25"/>
      <c r="L1454" s="25"/>
      <c r="M1454" s="25"/>
      <c r="N1454" s="25"/>
      <c r="O1454" s="26"/>
      <c r="P1454" s="16" t="str">
        <f aca="false">IF(O1454="","",IFERROR(1/(1/(IF(K1454="",INDEX(CONFIG!$F$5:$F$14,MATCH(D1454,CONFIG!$D$5:$D$14,0)),K1454)*IF(M1454="",INDEX(CONFIG!$H$5:$H$14,MATCH(D1454,CONFIG!$D$5:$D$14,0)),M1454))),""))</f>
        <v/>
      </c>
      <c r="Q1454" s="16" t="str">
        <f aca="false">IF(OR(O1454="",P1454=""),"",O1454/P1454)</f>
        <v/>
      </c>
      <c r="R1454" s="16" t="str">
        <f aca="false">IF(Q1454="","",Q1454*0.0980665)</f>
        <v/>
      </c>
      <c r="S1454" s="16" t="str">
        <f aca="false">IF(Q1454="","",IFERROR(Q1454/(1/(1/INDEX(CONFIG!$I$5:$I$14,MATCH(D1454,CONFIG!$D$5:$D$14,0)))),""))</f>
        <v/>
      </c>
      <c r="T1454" s="13"/>
      <c r="U1454" s="13"/>
      <c r="V1454" s="13"/>
      <c r="W1454" s="13"/>
      <c r="X1454" s="22" t="str">
        <f aca="false">IF(Q1454="","",Q1454^2)</f>
        <v/>
      </c>
      <c r="Y1454" s="22" t="str">
        <f aca="false">IF(AND(C1454&lt;&gt;"",C1454=CERTIFICADO!$E$4,OR(CERTIFICADO!$E$5="",B1454=CERTIFICADO!$E$5)),MAX($Y$4:Y1453)+1,"")</f>
        <v/>
      </c>
    </row>
    <row r="1455" customFormat="false" ht="15" hidden="false" customHeight="false" outlineLevel="0" collapsed="false">
      <c r="A1455" s="11" t="str">
        <f aca="false">IF(C1455="","",ROW()-4)</f>
        <v/>
      </c>
      <c r="B1455" s="12"/>
      <c r="C1455" s="13"/>
      <c r="D1455" s="23" t="str">
        <f aca="false">IF(C1455="","",IFERROR(INDEX(LOTES!$D$5:$D$1004,MATCH(C1455,LOTES!$F$5:$F$1004,0)),"¿Lote?"))</f>
        <v/>
      </c>
      <c r="E1455" s="11" t="str">
        <f aca="false">IF(C1455="","",IFERROR(INDEX(LOTES!$C$5:$C$1004,MATCH(C1455,LOTES!$F$5:$F$1004,0)),""))</f>
        <v/>
      </c>
      <c r="F1455" s="24" t="str">
        <f aca="false">IF(C1455="","",IFERROR(INDEX(LOTES!$B$5:$B$1004,MATCH(C1455,LOTES!$F$5:$F$1004,0)),""))</f>
        <v/>
      </c>
      <c r="G1455" s="15" t="str">
        <f aca="false">IF(OR(B1455="",F1455=""),"",B1455-F1455)</f>
        <v/>
      </c>
      <c r="H1455" s="13"/>
      <c r="I1455" s="13"/>
      <c r="J1455" s="13"/>
      <c r="K1455" s="25"/>
      <c r="L1455" s="25"/>
      <c r="M1455" s="25"/>
      <c r="N1455" s="25"/>
      <c r="O1455" s="26"/>
      <c r="P1455" s="16" t="str">
        <f aca="false">IF(O1455="","",IFERROR(1/(1/(IF(K1455="",INDEX(CONFIG!$F$5:$F$14,MATCH(D1455,CONFIG!$D$5:$D$14,0)),K1455)*IF(M1455="",INDEX(CONFIG!$H$5:$H$14,MATCH(D1455,CONFIG!$D$5:$D$14,0)),M1455))),""))</f>
        <v/>
      </c>
      <c r="Q1455" s="16" t="str">
        <f aca="false">IF(OR(O1455="",P1455=""),"",O1455/P1455)</f>
        <v/>
      </c>
      <c r="R1455" s="16" t="str">
        <f aca="false">IF(Q1455="","",Q1455*0.0980665)</f>
        <v/>
      </c>
      <c r="S1455" s="16" t="str">
        <f aca="false">IF(Q1455="","",IFERROR(Q1455/(1/(1/INDEX(CONFIG!$I$5:$I$14,MATCH(D1455,CONFIG!$D$5:$D$14,0)))),""))</f>
        <v/>
      </c>
      <c r="T1455" s="13"/>
      <c r="U1455" s="13"/>
      <c r="V1455" s="13"/>
      <c r="W1455" s="13"/>
      <c r="X1455" s="22" t="str">
        <f aca="false">IF(Q1455="","",Q1455^2)</f>
        <v/>
      </c>
      <c r="Y1455" s="22" t="str">
        <f aca="false">IF(AND(C1455&lt;&gt;"",C1455=CERTIFICADO!$E$4,OR(CERTIFICADO!$E$5="",B1455=CERTIFICADO!$E$5)),MAX($Y$4:Y1454)+1,"")</f>
        <v/>
      </c>
    </row>
    <row r="1456" customFormat="false" ht="15" hidden="false" customHeight="false" outlineLevel="0" collapsed="false">
      <c r="A1456" s="11" t="str">
        <f aca="false">IF(C1456="","",ROW()-4)</f>
        <v/>
      </c>
      <c r="B1456" s="12"/>
      <c r="C1456" s="13"/>
      <c r="D1456" s="23" t="str">
        <f aca="false">IF(C1456="","",IFERROR(INDEX(LOTES!$D$5:$D$1004,MATCH(C1456,LOTES!$F$5:$F$1004,0)),"¿Lote?"))</f>
        <v/>
      </c>
      <c r="E1456" s="11" t="str">
        <f aca="false">IF(C1456="","",IFERROR(INDEX(LOTES!$C$5:$C$1004,MATCH(C1456,LOTES!$F$5:$F$1004,0)),""))</f>
        <v/>
      </c>
      <c r="F1456" s="24" t="str">
        <f aca="false">IF(C1456="","",IFERROR(INDEX(LOTES!$B$5:$B$1004,MATCH(C1456,LOTES!$F$5:$F$1004,0)),""))</f>
        <v/>
      </c>
      <c r="G1456" s="15" t="str">
        <f aca="false">IF(OR(B1456="",F1456=""),"",B1456-F1456)</f>
        <v/>
      </c>
      <c r="H1456" s="13"/>
      <c r="I1456" s="13"/>
      <c r="J1456" s="13"/>
      <c r="K1456" s="25"/>
      <c r="L1456" s="25"/>
      <c r="M1456" s="25"/>
      <c r="N1456" s="25"/>
      <c r="O1456" s="26"/>
      <c r="P1456" s="16" t="str">
        <f aca="false">IF(O1456="","",IFERROR(1/(1/(IF(K1456="",INDEX(CONFIG!$F$5:$F$14,MATCH(D1456,CONFIG!$D$5:$D$14,0)),K1456)*IF(M1456="",INDEX(CONFIG!$H$5:$H$14,MATCH(D1456,CONFIG!$D$5:$D$14,0)),M1456))),""))</f>
        <v/>
      </c>
      <c r="Q1456" s="16" t="str">
        <f aca="false">IF(OR(O1456="",P1456=""),"",O1456/P1456)</f>
        <v/>
      </c>
      <c r="R1456" s="16" t="str">
        <f aca="false">IF(Q1456="","",Q1456*0.0980665)</f>
        <v/>
      </c>
      <c r="S1456" s="16" t="str">
        <f aca="false">IF(Q1456="","",IFERROR(Q1456/(1/(1/INDEX(CONFIG!$I$5:$I$14,MATCH(D1456,CONFIG!$D$5:$D$14,0)))),""))</f>
        <v/>
      </c>
      <c r="T1456" s="13"/>
      <c r="U1456" s="13"/>
      <c r="V1456" s="13"/>
      <c r="W1456" s="13"/>
      <c r="X1456" s="22" t="str">
        <f aca="false">IF(Q1456="","",Q1456^2)</f>
        <v/>
      </c>
      <c r="Y1456" s="22" t="str">
        <f aca="false">IF(AND(C1456&lt;&gt;"",C1456=CERTIFICADO!$E$4,OR(CERTIFICADO!$E$5="",B1456=CERTIFICADO!$E$5)),MAX($Y$4:Y1455)+1,"")</f>
        <v/>
      </c>
    </row>
    <row r="1457" customFormat="false" ht="15" hidden="false" customHeight="false" outlineLevel="0" collapsed="false">
      <c r="A1457" s="11" t="str">
        <f aca="false">IF(C1457="","",ROW()-4)</f>
        <v/>
      </c>
      <c r="B1457" s="12"/>
      <c r="C1457" s="13"/>
      <c r="D1457" s="23" t="str">
        <f aca="false">IF(C1457="","",IFERROR(INDEX(LOTES!$D$5:$D$1004,MATCH(C1457,LOTES!$F$5:$F$1004,0)),"¿Lote?"))</f>
        <v/>
      </c>
      <c r="E1457" s="11" t="str">
        <f aca="false">IF(C1457="","",IFERROR(INDEX(LOTES!$C$5:$C$1004,MATCH(C1457,LOTES!$F$5:$F$1004,0)),""))</f>
        <v/>
      </c>
      <c r="F1457" s="24" t="str">
        <f aca="false">IF(C1457="","",IFERROR(INDEX(LOTES!$B$5:$B$1004,MATCH(C1457,LOTES!$F$5:$F$1004,0)),""))</f>
        <v/>
      </c>
      <c r="G1457" s="15" t="str">
        <f aca="false">IF(OR(B1457="",F1457=""),"",B1457-F1457)</f>
        <v/>
      </c>
      <c r="H1457" s="13"/>
      <c r="I1457" s="13"/>
      <c r="J1457" s="13"/>
      <c r="K1457" s="25"/>
      <c r="L1457" s="25"/>
      <c r="M1457" s="25"/>
      <c r="N1457" s="25"/>
      <c r="O1457" s="26"/>
      <c r="P1457" s="16" t="str">
        <f aca="false">IF(O1457="","",IFERROR(1/(1/(IF(K1457="",INDEX(CONFIG!$F$5:$F$14,MATCH(D1457,CONFIG!$D$5:$D$14,0)),K1457)*IF(M1457="",INDEX(CONFIG!$H$5:$H$14,MATCH(D1457,CONFIG!$D$5:$D$14,0)),M1457))),""))</f>
        <v/>
      </c>
      <c r="Q1457" s="16" t="str">
        <f aca="false">IF(OR(O1457="",P1457=""),"",O1457/P1457)</f>
        <v/>
      </c>
      <c r="R1457" s="16" t="str">
        <f aca="false">IF(Q1457="","",Q1457*0.0980665)</f>
        <v/>
      </c>
      <c r="S1457" s="16" t="str">
        <f aca="false">IF(Q1457="","",IFERROR(Q1457/(1/(1/INDEX(CONFIG!$I$5:$I$14,MATCH(D1457,CONFIG!$D$5:$D$14,0)))),""))</f>
        <v/>
      </c>
      <c r="T1457" s="13"/>
      <c r="U1457" s="13"/>
      <c r="V1457" s="13"/>
      <c r="W1457" s="13"/>
      <c r="X1457" s="22" t="str">
        <f aca="false">IF(Q1457="","",Q1457^2)</f>
        <v/>
      </c>
      <c r="Y1457" s="22" t="str">
        <f aca="false">IF(AND(C1457&lt;&gt;"",C1457=CERTIFICADO!$E$4,OR(CERTIFICADO!$E$5="",B1457=CERTIFICADO!$E$5)),MAX($Y$4:Y1456)+1,"")</f>
        <v/>
      </c>
    </row>
    <row r="1458" customFormat="false" ht="15" hidden="false" customHeight="false" outlineLevel="0" collapsed="false">
      <c r="A1458" s="11" t="str">
        <f aca="false">IF(C1458="","",ROW()-4)</f>
        <v/>
      </c>
      <c r="B1458" s="12"/>
      <c r="C1458" s="13"/>
      <c r="D1458" s="23" t="str">
        <f aca="false">IF(C1458="","",IFERROR(INDEX(LOTES!$D$5:$D$1004,MATCH(C1458,LOTES!$F$5:$F$1004,0)),"¿Lote?"))</f>
        <v/>
      </c>
      <c r="E1458" s="11" t="str">
        <f aca="false">IF(C1458="","",IFERROR(INDEX(LOTES!$C$5:$C$1004,MATCH(C1458,LOTES!$F$5:$F$1004,0)),""))</f>
        <v/>
      </c>
      <c r="F1458" s="24" t="str">
        <f aca="false">IF(C1458="","",IFERROR(INDEX(LOTES!$B$5:$B$1004,MATCH(C1458,LOTES!$F$5:$F$1004,0)),""))</f>
        <v/>
      </c>
      <c r="G1458" s="15" t="str">
        <f aca="false">IF(OR(B1458="",F1458=""),"",B1458-F1458)</f>
        <v/>
      </c>
      <c r="H1458" s="13"/>
      <c r="I1458" s="13"/>
      <c r="J1458" s="13"/>
      <c r="K1458" s="25"/>
      <c r="L1458" s="25"/>
      <c r="M1458" s="25"/>
      <c r="N1458" s="25"/>
      <c r="O1458" s="26"/>
      <c r="P1458" s="16" t="str">
        <f aca="false">IF(O1458="","",IFERROR(1/(1/(IF(K1458="",INDEX(CONFIG!$F$5:$F$14,MATCH(D1458,CONFIG!$D$5:$D$14,0)),K1458)*IF(M1458="",INDEX(CONFIG!$H$5:$H$14,MATCH(D1458,CONFIG!$D$5:$D$14,0)),M1458))),""))</f>
        <v/>
      </c>
      <c r="Q1458" s="16" t="str">
        <f aca="false">IF(OR(O1458="",P1458=""),"",O1458/P1458)</f>
        <v/>
      </c>
      <c r="R1458" s="16" t="str">
        <f aca="false">IF(Q1458="","",Q1458*0.0980665)</f>
        <v/>
      </c>
      <c r="S1458" s="16" t="str">
        <f aca="false">IF(Q1458="","",IFERROR(Q1458/(1/(1/INDEX(CONFIG!$I$5:$I$14,MATCH(D1458,CONFIG!$D$5:$D$14,0)))),""))</f>
        <v/>
      </c>
      <c r="T1458" s="13"/>
      <c r="U1458" s="13"/>
      <c r="V1458" s="13"/>
      <c r="W1458" s="13"/>
      <c r="X1458" s="22" t="str">
        <f aca="false">IF(Q1458="","",Q1458^2)</f>
        <v/>
      </c>
      <c r="Y1458" s="22" t="str">
        <f aca="false">IF(AND(C1458&lt;&gt;"",C1458=CERTIFICADO!$E$4,OR(CERTIFICADO!$E$5="",B1458=CERTIFICADO!$E$5)),MAX($Y$4:Y1457)+1,"")</f>
        <v/>
      </c>
    </row>
    <row r="1459" customFormat="false" ht="15" hidden="false" customHeight="false" outlineLevel="0" collapsed="false">
      <c r="A1459" s="11" t="str">
        <f aca="false">IF(C1459="","",ROW()-4)</f>
        <v/>
      </c>
      <c r="B1459" s="12"/>
      <c r="C1459" s="13"/>
      <c r="D1459" s="23" t="str">
        <f aca="false">IF(C1459="","",IFERROR(INDEX(LOTES!$D$5:$D$1004,MATCH(C1459,LOTES!$F$5:$F$1004,0)),"¿Lote?"))</f>
        <v/>
      </c>
      <c r="E1459" s="11" t="str">
        <f aca="false">IF(C1459="","",IFERROR(INDEX(LOTES!$C$5:$C$1004,MATCH(C1459,LOTES!$F$5:$F$1004,0)),""))</f>
        <v/>
      </c>
      <c r="F1459" s="24" t="str">
        <f aca="false">IF(C1459="","",IFERROR(INDEX(LOTES!$B$5:$B$1004,MATCH(C1459,LOTES!$F$5:$F$1004,0)),""))</f>
        <v/>
      </c>
      <c r="G1459" s="15" t="str">
        <f aca="false">IF(OR(B1459="",F1459=""),"",B1459-F1459)</f>
        <v/>
      </c>
      <c r="H1459" s="13"/>
      <c r="I1459" s="13"/>
      <c r="J1459" s="13"/>
      <c r="K1459" s="25"/>
      <c r="L1459" s="25"/>
      <c r="M1459" s="25"/>
      <c r="N1459" s="25"/>
      <c r="O1459" s="26"/>
      <c r="P1459" s="16" t="str">
        <f aca="false">IF(O1459="","",IFERROR(1/(1/(IF(K1459="",INDEX(CONFIG!$F$5:$F$14,MATCH(D1459,CONFIG!$D$5:$D$14,0)),K1459)*IF(M1459="",INDEX(CONFIG!$H$5:$H$14,MATCH(D1459,CONFIG!$D$5:$D$14,0)),M1459))),""))</f>
        <v/>
      </c>
      <c r="Q1459" s="16" t="str">
        <f aca="false">IF(OR(O1459="",P1459=""),"",O1459/P1459)</f>
        <v/>
      </c>
      <c r="R1459" s="16" t="str">
        <f aca="false">IF(Q1459="","",Q1459*0.0980665)</f>
        <v/>
      </c>
      <c r="S1459" s="16" t="str">
        <f aca="false">IF(Q1459="","",IFERROR(Q1459/(1/(1/INDEX(CONFIG!$I$5:$I$14,MATCH(D1459,CONFIG!$D$5:$D$14,0)))),""))</f>
        <v/>
      </c>
      <c r="T1459" s="13"/>
      <c r="U1459" s="13"/>
      <c r="V1459" s="13"/>
      <c r="W1459" s="13"/>
      <c r="X1459" s="22" t="str">
        <f aca="false">IF(Q1459="","",Q1459^2)</f>
        <v/>
      </c>
      <c r="Y1459" s="22" t="str">
        <f aca="false">IF(AND(C1459&lt;&gt;"",C1459=CERTIFICADO!$E$4,OR(CERTIFICADO!$E$5="",B1459=CERTIFICADO!$E$5)),MAX($Y$4:Y1458)+1,"")</f>
        <v/>
      </c>
    </row>
    <row r="1460" customFormat="false" ht="15" hidden="false" customHeight="false" outlineLevel="0" collapsed="false">
      <c r="A1460" s="11" t="str">
        <f aca="false">IF(C1460="","",ROW()-4)</f>
        <v/>
      </c>
      <c r="B1460" s="12"/>
      <c r="C1460" s="13"/>
      <c r="D1460" s="23" t="str">
        <f aca="false">IF(C1460="","",IFERROR(INDEX(LOTES!$D$5:$D$1004,MATCH(C1460,LOTES!$F$5:$F$1004,0)),"¿Lote?"))</f>
        <v/>
      </c>
      <c r="E1460" s="11" t="str">
        <f aca="false">IF(C1460="","",IFERROR(INDEX(LOTES!$C$5:$C$1004,MATCH(C1460,LOTES!$F$5:$F$1004,0)),""))</f>
        <v/>
      </c>
      <c r="F1460" s="24" t="str">
        <f aca="false">IF(C1460="","",IFERROR(INDEX(LOTES!$B$5:$B$1004,MATCH(C1460,LOTES!$F$5:$F$1004,0)),""))</f>
        <v/>
      </c>
      <c r="G1460" s="15" t="str">
        <f aca="false">IF(OR(B1460="",F1460=""),"",B1460-F1460)</f>
        <v/>
      </c>
      <c r="H1460" s="13"/>
      <c r="I1460" s="13"/>
      <c r="J1460" s="13"/>
      <c r="K1460" s="25"/>
      <c r="L1460" s="25"/>
      <c r="M1460" s="25"/>
      <c r="N1460" s="25"/>
      <c r="O1460" s="26"/>
      <c r="P1460" s="16" t="str">
        <f aca="false">IF(O1460="","",IFERROR(1/(1/(IF(K1460="",INDEX(CONFIG!$F$5:$F$14,MATCH(D1460,CONFIG!$D$5:$D$14,0)),K1460)*IF(M1460="",INDEX(CONFIG!$H$5:$H$14,MATCH(D1460,CONFIG!$D$5:$D$14,0)),M1460))),""))</f>
        <v/>
      </c>
      <c r="Q1460" s="16" t="str">
        <f aca="false">IF(OR(O1460="",P1460=""),"",O1460/P1460)</f>
        <v/>
      </c>
      <c r="R1460" s="16" t="str">
        <f aca="false">IF(Q1460="","",Q1460*0.0980665)</f>
        <v/>
      </c>
      <c r="S1460" s="16" t="str">
        <f aca="false">IF(Q1460="","",IFERROR(Q1460/(1/(1/INDEX(CONFIG!$I$5:$I$14,MATCH(D1460,CONFIG!$D$5:$D$14,0)))),""))</f>
        <v/>
      </c>
      <c r="T1460" s="13"/>
      <c r="U1460" s="13"/>
      <c r="V1460" s="13"/>
      <c r="W1460" s="13"/>
      <c r="X1460" s="22" t="str">
        <f aca="false">IF(Q1460="","",Q1460^2)</f>
        <v/>
      </c>
      <c r="Y1460" s="22" t="str">
        <f aca="false">IF(AND(C1460&lt;&gt;"",C1460=CERTIFICADO!$E$4,OR(CERTIFICADO!$E$5="",B1460=CERTIFICADO!$E$5)),MAX($Y$4:Y1459)+1,"")</f>
        <v/>
      </c>
    </row>
    <row r="1461" customFormat="false" ht="15" hidden="false" customHeight="false" outlineLevel="0" collapsed="false">
      <c r="A1461" s="11" t="str">
        <f aca="false">IF(C1461="","",ROW()-4)</f>
        <v/>
      </c>
      <c r="B1461" s="12"/>
      <c r="C1461" s="13"/>
      <c r="D1461" s="23" t="str">
        <f aca="false">IF(C1461="","",IFERROR(INDEX(LOTES!$D$5:$D$1004,MATCH(C1461,LOTES!$F$5:$F$1004,0)),"¿Lote?"))</f>
        <v/>
      </c>
      <c r="E1461" s="11" t="str">
        <f aca="false">IF(C1461="","",IFERROR(INDEX(LOTES!$C$5:$C$1004,MATCH(C1461,LOTES!$F$5:$F$1004,0)),""))</f>
        <v/>
      </c>
      <c r="F1461" s="24" t="str">
        <f aca="false">IF(C1461="","",IFERROR(INDEX(LOTES!$B$5:$B$1004,MATCH(C1461,LOTES!$F$5:$F$1004,0)),""))</f>
        <v/>
      </c>
      <c r="G1461" s="15" t="str">
        <f aca="false">IF(OR(B1461="",F1461=""),"",B1461-F1461)</f>
        <v/>
      </c>
      <c r="H1461" s="13"/>
      <c r="I1461" s="13"/>
      <c r="J1461" s="13"/>
      <c r="K1461" s="25"/>
      <c r="L1461" s="25"/>
      <c r="M1461" s="25"/>
      <c r="N1461" s="25"/>
      <c r="O1461" s="26"/>
      <c r="P1461" s="16" t="str">
        <f aca="false">IF(O1461="","",IFERROR(1/(1/(IF(K1461="",INDEX(CONFIG!$F$5:$F$14,MATCH(D1461,CONFIG!$D$5:$D$14,0)),K1461)*IF(M1461="",INDEX(CONFIG!$H$5:$H$14,MATCH(D1461,CONFIG!$D$5:$D$14,0)),M1461))),""))</f>
        <v/>
      </c>
      <c r="Q1461" s="16" t="str">
        <f aca="false">IF(OR(O1461="",P1461=""),"",O1461/P1461)</f>
        <v/>
      </c>
      <c r="R1461" s="16" t="str">
        <f aca="false">IF(Q1461="","",Q1461*0.0980665)</f>
        <v/>
      </c>
      <c r="S1461" s="16" t="str">
        <f aca="false">IF(Q1461="","",IFERROR(Q1461/(1/(1/INDEX(CONFIG!$I$5:$I$14,MATCH(D1461,CONFIG!$D$5:$D$14,0)))),""))</f>
        <v/>
      </c>
      <c r="T1461" s="13"/>
      <c r="U1461" s="13"/>
      <c r="V1461" s="13"/>
      <c r="W1461" s="13"/>
      <c r="X1461" s="22" t="str">
        <f aca="false">IF(Q1461="","",Q1461^2)</f>
        <v/>
      </c>
      <c r="Y1461" s="22" t="str">
        <f aca="false">IF(AND(C1461&lt;&gt;"",C1461=CERTIFICADO!$E$4,OR(CERTIFICADO!$E$5="",B1461=CERTIFICADO!$E$5)),MAX($Y$4:Y1460)+1,"")</f>
        <v/>
      </c>
    </row>
    <row r="1462" customFormat="false" ht="15" hidden="false" customHeight="false" outlineLevel="0" collapsed="false">
      <c r="A1462" s="11" t="str">
        <f aca="false">IF(C1462="","",ROW()-4)</f>
        <v/>
      </c>
      <c r="B1462" s="12"/>
      <c r="C1462" s="13"/>
      <c r="D1462" s="23" t="str">
        <f aca="false">IF(C1462="","",IFERROR(INDEX(LOTES!$D$5:$D$1004,MATCH(C1462,LOTES!$F$5:$F$1004,0)),"¿Lote?"))</f>
        <v/>
      </c>
      <c r="E1462" s="11" t="str">
        <f aca="false">IF(C1462="","",IFERROR(INDEX(LOTES!$C$5:$C$1004,MATCH(C1462,LOTES!$F$5:$F$1004,0)),""))</f>
        <v/>
      </c>
      <c r="F1462" s="24" t="str">
        <f aca="false">IF(C1462="","",IFERROR(INDEX(LOTES!$B$5:$B$1004,MATCH(C1462,LOTES!$F$5:$F$1004,0)),""))</f>
        <v/>
      </c>
      <c r="G1462" s="15" t="str">
        <f aca="false">IF(OR(B1462="",F1462=""),"",B1462-F1462)</f>
        <v/>
      </c>
      <c r="H1462" s="13"/>
      <c r="I1462" s="13"/>
      <c r="J1462" s="13"/>
      <c r="K1462" s="25"/>
      <c r="L1462" s="25"/>
      <c r="M1462" s="25"/>
      <c r="N1462" s="25"/>
      <c r="O1462" s="26"/>
      <c r="P1462" s="16" t="str">
        <f aca="false">IF(O1462="","",IFERROR(1/(1/(IF(K1462="",INDEX(CONFIG!$F$5:$F$14,MATCH(D1462,CONFIG!$D$5:$D$14,0)),K1462)*IF(M1462="",INDEX(CONFIG!$H$5:$H$14,MATCH(D1462,CONFIG!$D$5:$D$14,0)),M1462))),""))</f>
        <v/>
      </c>
      <c r="Q1462" s="16" t="str">
        <f aca="false">IF(OR(O1462="",P1462=""),"",O1462/P1462)</f>
        <v/>
      </c>
      <c r="R1462" s="16" t="str">
        <f aca="false">IF(Q1462="","",Q1462*0.0980665)</f>
        <v/>
      </c>
      <c r="S1462" s="16" t="str">
        <f aca="false">IF(Q1462="","",IFERROR(Q1462/(1/(1/INDEX(CONFIG!$I$5:$I$14,MATCH(D1462,CONFIG!$D$5:$D$14,0)))),""))</f>
        <v/>
      </c>
      <c r="T1462" s="13"/>
      <c r="U1462" s="13"/>
      <c r="V1462" s="13"/>
      <c r="W1462" s="13"/>
      <c r="X1462" s="22" t="str">
        <f aca="false">IF(Q1462="","",Q1462^2)</f>
        <v/>
      </c>
      <c r="Y1462" s="22" t="str">
        <f aca="false">IF(AND(C1462&lt;&gt;"",C1462=CERTIFICADO!$E$4,OR(CERTIFICADO!$E$5="",B1462=CERTIFICADO!$E$5)),MAX($Y$4:Y1461)+1,"")</f>
        <v/>
      </c>
    </row>
    <row r="1463" customFormat="false" ht="15" hidden="false" customHeight="false" outlineLevel="0" collapsed="false">
      <c r="A1463" s="11" t="str">
        <f aca="false">IF(C1463="","",ROW()-4)</f>
        <v/>
      </c>
      <c r="B1463" s="12"/>
      <c r="C1463" s="13"/>
      <c r="D1463" s="23" t="str">
        <f aca="false">IF(C1463="","",IFERROR(INDEX(LOTES!$D$5:$D$1004,MATCH(C1463,LOTES!$F$5:$F$1004,0)),"¿Lote?"))</f>
        <v/>
      </c>
      <c r="E1463" s="11" t="str">
        <f aca="false">IF(C1463="","",IFERROR(INDEX(LOTES!$C$5:$C$1004,MATCH(C1463,LOTES!$F$5:$F$1004,0)),""))</f>
        <v/>
      </c>
      <c r="F1463" s="24" t="str">
        <f aca="false">IF(C1463="","",IFERROR(INDEX(LOTES!$B$5:$B$1004,MATCH(C1463,LOTES!$F$5:$F$1004,0)),""))</f>
        <v/>
      </c>
      <c r="G1463" s="15" t="str">
        <f aca="false">IF(OR(B1463="",F1463=""),"",B1463-F1463)</f>
        <v/>
      </c>
      <c r="H1463" s="13"/>
      <c r="I1463" s="13"/>
      <c r="J1463" s="13"/>
      <c r="K1463" s="25"/>
      <c r="L1463" s="25"/>
      <c r="M1463" s="25"/>
      <c r="N1463" s="25"/>
      <c r="O1463" s="26"/>
      <c r="P1463" s="16" t="str">
        <f aca="false">IF(O1463="","",IFERROR(1/(1/(IF(K1463="",INDEX(CONFIG!$F$5:$F$14,MATCH(D1463,CONFIG!$D$5:$D$14,0)),K1463)*IF(M1463="",INDEX(CONFIG!$H$5:$H$14,MATCH(D1463,CONFIG!$D$5:$D$14,0)),M1463))),""))</f>
        <v/>
      </c>
      <c r="Q1463" s="16" t="str">
        <f aca="false">IF(OR(O1463="",P1463=""),"",O1463/P1463)</f>
        <v/>
      </c>
      <c r="R1463" s="16" t="str">
        <f aca="false">IF(Q1463="","",Q1463*0.0980665)</f>
        <v/>
      </c>
      <c r="S1463" s="16" t="str">
        <f aca="false">IF(Q1463="","",IFERROR(Q1463/(1/(1/INDEX(CONFIG!$I$5:$I$14,MATCH(D1463,CONFIG!$D$5:$D$14,0)))),""))</f>
        <v/>
      </c>
      <c r="T1463" s="13"/>
      <c r="U1463" s="13"/>
      <c r="V1463" s="13"/>
      <c r="W1463" s="13"/>
      <c r="X1463" s="22" t="str">
        <f aca="false">IF(Q1463="","",Q1463^2)</f>
        <v/>
      </c>
      <c r="Y1463" s="22" t="str">
        <f aca="false">IF(AND(C1463&lt;&gt;"",C1463=CERTIFICADO!$E$4,OR(CERTIFICADO!$E$5="",B1463=CERTIFICADO!$E$5)),MAX($Y$4:Y1462)+1,"")</f>
        <v/>
      </c>
    </row>
    <row r="1464" customFormat="false" ht="15" hidden="false" customHeight="false" outlineLevel="0" collapsed="false">
      <c r="A1464" s="11" t="str">
        <f aca="false">IF(C1464="","",ROW()-4)</f>
        <v/>
      </c>
      <c r="B1464" s="12"/>
      <c r="C1464" s="13"/>
      <c r="D1464" s="23" t="str">
        <f aca="false">IF(C1464="","",IFERROR(INDEX(LOTES!$D$5:$D$1004,MATCH(C1464,LOTES!$F$5:$F$1004,0)),"¿Lote?"))</f>
        <v/>
      </c>
      <c r="E1464" s="11" t="str">
        <f aca="false">IF(C1464="","",IFERROR(INDEX(LOTES!$C$5:$C$1004,MATCH(C1464,LOTES!$F$5:$F$1004,0)),""))</f>
        <v/>
      </c>
      <c r="F1464" s="24" t="str">
        <f aca="false">IF(C1464="","",IFERROR(INDEX(LOTES!$B$5:$B$1004,MATCH(C1464,LOTES!$F$5:$F$1004,0)),""))</f>
        <v/>
      </c>
      <c r="G1464" s="15" t="str">
        <f aca="false">IF(OR(B1464="",F1464=""),"",B1464-F1464)</f>
        <v/>
      </c>
      <c r="H1464" s="13"/>
      <c r="I1464" s="13"/>
      <c r="J1464" s="13"/>
      <c r="K1464" s="25"/>
      <c r="L1464" s="25"/>
      <c r="M1464" s="25"/>
      <c r="N1464" s="25"/>
      <c r="O1464" s="26"/>
      <c r="P1464" s="16" t="str">
        <f aca="false">IF(O1464="","",IFERROR(1/(1/(IF(K1464="",INDEX(CONFIG!$F$5:$F$14,MATCH(D1464,CONFIG!$D$5:$D$14,0)),K1464)*IF(M1464="",INDEX(CONFIG!$H$5:$H$14,MATCH(D1464,CONFIG!$D$5:$D$14,0)),M1464))),""))</f>
        <v/>
      </c>
      <c r="Q1464" s="16" t="str">
        <f aca="false">IF(OR(O1464="",P1464=""),"",O1464/P1464)</f>
        <v/>
      </c>
      <c r="R1464" s="16" t="str">
        <f aca="false">IF(Q1464="","",Q1464*0.0980665)</f>
        <v/>
      </c>
      <c r="S1464" s="16" t="str">
        <f aca="false">IF(Q1464="","",IFERROR(Q1464/(1/(1/INDEX(CONFIG!$I$5:$I$14,MATCH(D1464,CONFIG!$D$5:$D$14,0)))),""))</f>
        <v/>
      </c>
      <c r="T1464" s="13"/>
      <c r="U1464" s="13"/>
      <c r="V1464" s="13"/>
      <c r="W1464" s="13"/>
      <c r="X1464" s="22" t="str">
        <f aca="false">IF(Q1464="","",Q1464^2)</f>
        <v/>
      </c>
      <c r="Y1464" s="22" t="str">
        <f aca="false">IF(AND(C1464&lt;&gt;"",C1464=CERTIFICADO!$E$4,OR(CERTIFICADO!$E$5="",B1464=CERTIFICADO!$E$5)),MAX($Y$4:Y1463)+1,"")</f>
        <v/>
      </c>
    </row>
    <row r="1465" customFormat="false" ht="15" hidden="false" customHeight="false" outlineLevel="0" collapsed="false">
      <c r="A1465" s="11" t="str">
        <f aca="false">IF(C1465="","",ROW()-4)</f>
        <v/>
      </c>
      <c r="B1465" s="12"/>
      <c r="C1465" s="13"/>
      <c r="D1465" s="23" t="str">
        <f aca="false">IF(C1465="","",IFERROR(INDEX(LOTES!$D$5:$D$1004,MATCH(C1465,LOTES!$F$5:$F$1004,0)),"¿Lote?"))</f>
        <v/>
      </c>
      <c r="E1465" s="11" t="str">
        <f aca="false">IF(C1465="","",IFERROR(INDEX(LOTES!$C$5:$C$1004,MATCH(C1465,LOTES!$F$5:$F$1004,0)),""))</f>
        <v/>
      </c>
      <c r="F1465" s="24" t="str">
        <f aca="false">IF(C1465="","",IFERROR(INDEX(LOTES!$B$5:$B$1004,MATCH(C1465,LOTES!$F$5:$F$1004,0)),""))</f>
        <v/>
      </c>
      <c r="G1465" s="15" t="str">
        <f aca="false">IF(OR(B1465="",F1465=""),"",B1465-F1465)</f>
        <v/>
      </c>
      <c r="H1465" s="13"/>
      <c r="I1465" s="13"/>
      <c r="J1465" s="13"/>
      <c r="K1465" s="25"/>
      <c r="L1465" s="25"/>
      <c r="M1465" s="25"/>
      <c r="N1465" s="25"/>
      <c r="O1465" s="26"/>
      <c r="P1465" s="16" t="str">
        <f aca="false">IF(O1465="","",IFERROR(1/(1/(IF(K1465="",INDEX(CONFIG!$F$5:$F$14,MATCH(D1465,CONFIG!$D$5:$D$14,0)),K1465)*IF(M1465="",INDEX(CONFIG!$H$5:$H$14,MATCH(D1465,CONFIG!$D$5:$D$14,0)),M1465))),""))</f>
        <v/>
      </c>
      <c r="Q1465" s="16" t="str">
        <f aca="false">IF(OR(O1465="",P1465=""),"",O1465/P1465)</f>
        <v/>
      </c>
      <c r="R1465" s="16" t="str">
        <f aca="false">IF(Q1465="","",Q1465*0.0980665)</f>
        <v/>
      </c>
      <c r="S1465" s="16" t="str">
        <f aca="false">IF(Q1465="","",IFERROR(Q1465/(1/(1/INDEX(CONFIG!$I$5:$I$14,MATCH(D1465,CONFIG!$D$5:$D$14,0)))),""))</f>
        <v/>
      </c>
      <c r="T1465" s="13"/>
      <c r="U1465" s="13"/>
      <c r="V1465" s="13"/>
      <c r="W1465" s="13"/>
      <c r="X1465" s="22" t="str">
        <f aca="false">IF(Q1465="","",Q1465^2)</f>
        <v/>
      </c>
      <c r="Y1465" s="22" t="str">
        <f aca="false">IF(AND(C1465&lt;&gt;"",C1465=CERTIFICADO!$E$4,OR(CERTIFICADO!$E$5="",B1465=CERTIFICADO!$E$5)),MAX($Y$4:Y1464)+1,"")</f>
        <v/>
      </c>
    </row>
    <row r="1466" customFormat="false" ht="15" hidden="false" customHeight="false" outlineLevel="0" collapsed="false">
      <c r="A1466" s="11" t="str">
        <f aca="false">IF(C1466="","",ROW()-4)</f>
        <v/>
      </c>
      <c r="B1466" s="12"/>
      <c r="C1466" s="13"/>
      <c r="D1466" s="23" t="str">
        <f aca="false">IF(C1466="","",IFERROR(INDEX(LOTES!$D$5:$D$1004,MATCH(C1466,LOTES!$F$5:$F$1004,0)),"¿Lote?"))</f>
        <v/>
      </c>
      <c r="E1466" s="11" t="str">
        <f aca="false">IF(C1466="","",IFERROR(INDEX(LOTES!$C$5:$C$1004,MATCH(C1466,LOTES!$F$5:$F$1004,0)),""))</f>
        <v/>
      </c>
      <c r="F1466" s="24" t="str">
        <f aca="false">IF(C1466="","",IFERROR(INDEX(LOTES!$B$5:$B$1004,MATCH(C1466,LOTES!$F$5:$F$1004,0)),""))</f>
        <v/>
      </c>
      <c r="G1466" s="15" t="str">
        <f aca="false">IF(OR(B1466="",F1466=""),"",B1466-F1466)</f>
        <v/>
      </c>
      <c r="H1466" s="13"/>
      <c r="I1466" s="13"/>
      <c r="J1466" s="13"/>
      <c r="K1466" s="25"/>
      <c r="L1466" s="25"/>
      <c r="M1466" s="25"/>
      <c r="N1466" s="25"/>
      <c r="O1466" s="26"/>
      <c r="P1466" s="16" t="str">
        <f aca="false">IF(O1466="","",IFERROR(1/(1/(IF(K1466="",INDEX(CONFIG!$F$5:$F$14,MATCH(D1466,CONFIG!$D$5:$D$14,0)),K1466)*IF(M1466="",INDEX(CONFIG!$H$5:$H$14,MATCH(D1466,CONFIG!$D$5:$D$14,0)),M1466))),""))</f>
        <v/>
      </c>
      <c r="Q1466" s="16" t="str">
        <f aca="false">IF(OR(O1466="",P1466=""),"",O1466/P1466)</f>
        <v/>
      </c>
      <c r="R1466" s="16" t="str">
        <f aca="false">IF(Q1466="","",Q1466*0.0980665)</f>
        <v/>
      </c>
      <c r="S1466" s="16" t="str">
        <f aca="false">IF(Q1466="","",IFERROR(Q1466/(1/(1/INDEX(CONFIG!$I$5:$I$14,MATCH(D1466,CONFIG!$D$5:$D$14,0)))),""))</f>
        <v/>
      </c>
      <c r="T1466" s="13"/>
      <c r="U1466" s="13"/>
      <c r="V1466" s="13"/>
      <c r="W1466" s="13"/>
      <c r="X1466" s="22" t="str">
        <f aca="false">IF(Q1466="","",Q1466^2)</f>
        <v/>
      </c>
      <c r="Y1466" s="22" t="str">
        <f aca="false">IF(AND(C1466&lt;&gt;"",C1466=CERTIFICADO!$E$4,OR(CERTIFICADO!$E$5="",B1466=CERTIFICADO!$E$5)),MAX($Y$4:Y1465)+1,"")</f>
        <v/>
      </c>
    </row>
    <row r="1467" customFormat="false" ht="15" hidden="false" customHeight="false" outlineLevel="0" collapsed="false">
      <c r="A1467" s="11" t="str">
        <f aca="false">IF(C1467="","",ROW()-4)</f>
        <v/>
      </c>
      <c r="B1467" s="12"/>
      <c r="C1467" s="13"/>
      <c r="D1467" s="23" t="str">
        <f aca="false">IF(C1467="","",IFERROR(INDEX(LOTES!$D$5:$D$1004,MATCH(C1467,LOTES!$F$5:$F$1004,0)),"¿Lote?"))</f>
        <v/>
      </c>
      <c r="E1467" s="11" t="str">
        <f aca="false">IF(C1467="","",IFERROR(INDEX(LOTES!$C$5:$C$1004,MATCH(C1467,LOTES!$F$5:$F$1004,0)),""))</f>
        <v/>
      </c>
      <c r="F1467" s="24" t="str">
        <f aca="false">IF(C1467="","",IFERROR(INDEX(LOTES!$B$5:$B$1004,MATCH(C1467,LOTES!$F$5:$F$1004,0)),""))</f>
        <v/>
      </c>
      <c r="G1467" s="15" t="str">
        <f aca="false">IF(OR(B1467="",F1467=""),"",B1467-F1467)</f>
        <v/>
      </c>
      <c r="H1467" s="13"/>
      <c r="I1467" s="13"/>
      <c r="J1467" s="13"/>
      <c r="K1467" s="25"/>
      <c r="L1467" s="25"/>
      <c r="M1467" s="25"/>
      <c r="N1467" s="25"/>
      <c r="O1467" s="26"/>
      <c r="P1467" s="16" t="str">
        <f aca="false">IF(O1467="","",IFERROR(1/(1/(IF(K1467="",INDEX(CONFIG!$F$5:$F$14,MATCH(D1467,CONFIG!$D$5:$D$14,0)),K1467)*IF(M1467="",INDEX(CONFIG!$H$5:$H$14,MATCH(D1467,CONFIG!$D$5:$D$14,0)),M1467))),""))</f>
        <v/>
      </c>
      <c r="Q1467" s="16" t="str">
        <f aca="false">IF(OR(O1467="",P1467=""),"",O1467/P1467)</f>
        <v/>
      </c>
      <c r="R1467" s="16" t="str">
        <f aca="false">IF(Q1467="","",Q1467*0.0980665)</f>
        <v/>
      </c>
      <c r="S1467" s="16" t="str">
        <f aca="false">IF(Q1467="","",IFERROR(Q1467/(1/(1/INDEX(CONFIG!$I$5:$I$14,MATCH(D1467,CONFIG!$D$5:$D$14,0)))),""))</f>
        <v/>
      </c>
      <c r="T1467" s="13"/>
      <c r="U1467" s="13"/>
      <c r="V1467" s="13"/>
      <c r="W1467" s="13"/>
      <c r="X1467" s="22" t="str">
        <f aca="false">IF(Q1467="","",Q1467^2)</f>
        <v/>
      </c>
      <c r="Y1467" s="22" t="str">
        <f aca="false">IF(AND(C1467&lt;&gt;"",C1467=CERTIFICADO!$E$4,OR(CERTIFICADO!$E$5="",B1467=CERTIFICADO!$E$5)),MAX($Y$4:Y1466)+1,"")</f>
        <v/>
      </c>
    </row>
    <row r="1468" customFormat="false" ht="15" hidden="false" customHeight="false" outlineLevel="0" collapsed="false">
      <c r="A1468" s="11" t="str">
        <f aca="false">IF(C1468="","",ROW()-4)</f>
        <v/>
      </c>
      <c r="B1468" s="12"/>
      <c r="C1468" s="13"/>
      <c r="D1468" s="23" t="str">
        <f aca="false">IF(C1468="","",IFERROR(INDEX(LOTES!$D$5:$D$1004,MATCH(C1468,LOTES!$F$5:$F$1004,0)),"¿Lote?"))</f>
        <v/>
      </c>
      <c r="E1468" s="11" t="str">
        <f aca="false">IF(C1468="","",IFERROR(INDEX(LOTES!$C$5:$C$1004,MATCH(C1468,LOTES!$F$5:$F$1004,0)),""))</f>
        <v/>
      </c>
      <c r="F1468" s="24" t="str">
        <f aca="false">IF(C1468="","",IFERROR(INDEX(LOTES!$B$5:$B$1004,MATCH(C1468,LOTES!$F$5:$F$1004,0)),""))</f>
        <v/>
      </c>
      <c r="G1468" s="15" t="str">
        <f aca="false">IF(OR(B1468="",F1468=""),"",B1468-F1468)</f>
        <v/>
      </c>
      <c r="H1468" s="13"/>
      <c r="I1468" s="13"/>
      <c r="J1468" s="13"/>
      <c r="K1468" s="25"/>
      <c r="L1468" s="25"/>
      <c r="M1468" s="25"/>
      <c r="N1468" s="25"/>
      <c r="O1468" s="26"/>
      <c r="P1468" s="16" t="str">
        <f aca="false">IF(O1468="","",IFERROR(1/(1/(IF(K1468="",INDEX(CONFIG!$F$5:$F$14,MATCH(D1468,CONFIG!$D$5:$D$14,0)),K1468)*IF(M1468="",INDEX(CONFIG!$H$5:$H$14,MATCH(D1468,CONFIG!$D$5:$D$14,0)),M1468))),""))</f>
        <v/>
      </c>
      <c r="Q1468" s="16" t="str">
        <f aca="false">IF(OR(O1468="",P1468=""),"",O1468/P1468)</f>
        <v/>
      </c>
      <c r="R1468" s="16" t="str">
        <f aca="false">IF(Q1468="","",Q1468*0.0980665)</f>
        <v/>
      </c>
      <c r="S1468" s="16" t="str">
        <f aca="false">IF(Q1468="","",IFERROR(Q1468/(1/(1/INDEX(CONFIG!$I$5:$I$14,MATCH(D1468,CONFIG!$D$5:$D$14,0)))),""))</f>
        <v/>
      </c>
      <c r="T1468" s="13"/>
      <c r="U1468" s="13"/>
      <c r="V1468" s="13"/>
      <c r="W1468" s="13"/>
      <c r="X1468" s="22" t="str">
        <f aca="false">IF(Q1468="","",Q1468^2)</f>
        <v/>
      </c>
      <c r="Y1468" s="22" t="str">
        <f aca="false">IF(AND(C1468&lt;&gt;"",C1468=CERTIFICADO!$E$4,OR(CERTIFICADO!$E$5="",B1468=CERTIFICADO!$E$5)),MAX($Y$4:Y1467)+1,"")</f>
        <v/>
      </c>
    </row>
    <row r="1469" customFormat="false" ht="15" hidden="false" customHeight="false" outlineLevel="0" collapsed="false">
      <c r="A1469" s="11" t="str">
        <f aca="false">IF(C1469="","",ROW()-4)</f>
        <v/>
      </c>
      <c r="B1469" s="12"/>
      <c r="C1469" s="13"/>
      <c r="D1469" s="23" t="str">
        <f aca="false">IF(C1469="","",IFERROR(INDEX(LOTES!$D$5:$D$1004,MATCH(C1469,LOTES!$F$5:$F$1004,0)),"¿Lote?"))</f>
        <v/>
      </c>
      <c r="E1469" s="11" t="str">
        <f aca="false">IF(C1469="","",IFERROR(INDEX(LOTES!$C$5:$C$1004,MATCH(C1469,LOTES!$F$5:$F$1004,0)),""))</f>
        <v/>
      </c>
      <c r="F1469" s="24" t="str">
        <f aca="false">IF(C1469="","",IFERROR(INDEX(LOTES!$B$5:$B$1004,MATCH(C1469,LOTES!$F$5:$F$1004,0)),""))</f>
        <v/>
      </c>
      <c r="G1469" s="15" t="str">
        <f aca="false">IF(OR(B1469="",F1469=""),"",B1469-F1469)</f>
        <v/>
      </c>
      <c r="H1469" s="13"/>
      <c r="I1469" s="13"/>
      <c r="J1469" s="13"/>
      <c r="K1469" s="25"/>
      <c r="L1469" s="25"/>
      <c r="M1469" s="25"/>
      <c r="N1469" s="25"/>
      <c r="O1469" s="26"/>
      <c r="P1469" s="16" t="str">
        <f aca="false">IF(O1469="","",IFERROR(1/(1/(IF(K1469="",INDEX(CONFIG!$F$5:$F$14,MATCH(D1469,CONFIG!$D$5:$D$14,0)),K1469)*IF(M1469="",INDEX(CONFIG!$H$5:$H$14,MATCH(D1469,CONFIG!$D$5:$D$14,0)),M1469))),""))</f>
        <v/>
      </c>
      <c r="Q1469" s="16" t="str">
        <f aca="false">IF(OR(O1469="",P1469=""),"",O1469/P1469)</f>
        <v/>
      </c>
      <c r="R1469" s="16" t="str">
        <f aca="false">IF(Q1469="","",Q1469*0.0980665)</f>
        <v/>
      </c>
      <c r="S1469" s="16" t="str">
        <f aca="false">IF(Q1469="","",IFERROR(Q1469/(1/(1/INDEX(CONFIG!$I$5:$I$14,MATCH(D1469,CONFIG!$D$5:$D$14,0)))),""))</f>
        <v/>
      </c>
      <c r="T1469" s="13"/>
      <c r="U1469" s="13"/>
      <c r="V1469" s="13"/>
      <c r="W1469" s="13"/>
      <c r="X1469" s="22" t="str">
        <f aca="false">IF(Q1469="","",Q1469^2)</f>
        <v/>
      </c>
      <c r="Y1469" s="22" t="str">
        <f aca="false">IF(AND(C1469&lt;&gt;"",C1469=CERTIFICADO!$E$4,OR(CERTIFICADO!$E$5="",B1469=CERTIFICADO!$E$5)),MAX($Y$4:Y1468)+1,"")</f>
        <v/>
      </c>
    </row>
    <row r="1470" customFormat="false" ht="15" hidden="false" customHeight="false" outlineLevel="0" collapsed="false">
      <c r="A1470" s="11" t="str">
        <f aca="false">IF(C1470="","",ROW()-4)</f>
        <v/>
      </c>
      <c r="B1470" s="12"/>
      <c r="C1470" s="13"/>
      <c r="D1470" s="23" t="str">
        <f aca="false">IF(C1470="","",IFERROR(INDEX(LOTES!$D$5:$D$1004,MATCH(C1470,LOTES!$F$5:$F$1004,0)),"¿Lote?"))</f>
        <v/>
      </c>
      <c r="E1470" s="11" t="str">
        <f aca="false">IF(C1470="","",IFERROR(INDEX(LOTES!$C$5:$C$1004,MATCH(C1470,LOTES!$F$5:$F$1004,0)),""))</f>
        <v/>
      </c>
      <c r="F1470" s="24" t="str">
        <f aca="false">IF(C1470="","",IFERROR(INDEX(LOTES!$B$5:$B$1004,MATCH(C1470,LOTES!$F$5:$F$1004,0)),""))</f>
        <v/>
      </c>
      <c r="G1470" s="15" t="str">
        <f aca="false">IF(OR(B1470="",F1470=""),"",B1470-F1470)</f>
        <v/>
      </c>
      <c r="H1470" s="13"/>
      <c r="I1470" s="13"/>
      <c r="J1470" s="13"/>
      <c r="K1470" s="25"/>
      <c r="L1470" s="25"/>
      <c r="M1470" s="25"/>
      <c r="N1470" s="25"/>
      <c r="O1470" s="26"/>
      <c r="P1470" s="16" t="str">
        <f aca="false">IF(O1470="","",IFERROR(1/(1/(IF(K1470="",INDEX(CONFIG!$F$5:$F$14,MATCH(D1470,CONFIG!$D$5:$D$14,0)),K1470)*IF(M1470="",INDEX(CONFIG!$H$5:$H$14,MATCH(D1470,CONFIG!$D$5:$D$14,0)),M1470))),""))</f>
        <v/>
      </c>
      <c r="Q1470" s="16" t="str">
        <f aca="false">IF(OR(O1470="",P1470=""),"",O1470/P1470)</f>
        <v/>
      </c>
      <c r="R1470" s="16" t="str">
        <f aca="false">IF(Q1470="","",Q1470*0.0980665)</f>
        <v/>
      </c>
      <c r="S1470" s="16" t="str">
        <f aca="false">IF(Q1470="","",IFERROR(Q1470/(1/(1/INDEX(CONFIG!$I$5:$I$14,MATCH(D1470,CONFIG!$D$5:$D$14,0)))),""))</f>
        <v/>
      </c>
      <c r="T1470" s="13"/>
      <c r="U1470" s="13"/>
      <c r="V1470" s="13"/>
      <c r="W1470" s="13"/>
      <c r="X1470" s="22" t="str">
        <f aca="false">IF(Q1470="","",Q1470^2)</f>
        <v/>
      </c>
      <c r="Y1470" s="22" t="str">
        <f aca="false">IF(AND(C1470&lt;&gt;"",C1470=CERTIFICADO!$E$4,OR(CERTIFICADO!$E$5="",B1470=CERTIFICADO!$E$5)),MAX($Y$4:Y1469)+1,"")</f>
        <v/>
      </c>
    </row>
    <row r="1471" customFormat="false" ht="15" hidden="false" customHeight="false" outlineLevel="0" collapsed="false">
      <c r="A1471" s="11" t="str">
        <f aca="false">IF(C1471="","",ROW()-4)</f>
        <v/>
      </c>
      <c r="B1471" s="12"/>
      <c r="C1471" s="13"/>
      <c r="D1471" s="23" t="str">
        <f aca="false">IF(C1471="","",IFERROR(INDEX(LOTES!$D$5:$D$1004,MATCH(C1471,LOTES!$F$5:$F$1004,0)),"¿Lote?"))</f>
        <v/>
      </c>
      <c r="E1471" s="11" t="str">
        <f aca="false">IF(C1471="","",IFERROR(INDEX(LOTES!$C$5:$C$1004,MATCH(C1471,LOTES!$F$5:$F$1004,0)),""))</f>
        <v/>
      </c>
      <c r="F1471" s="24" t="str">
        <f aca="false">IF(C1471="","",IFERROR(INDEX(LOTES!$B$5:$B$1004,MATCH(C1471,LOTES!$F$5:$F$1004,0)),""))</f>
        <v/>
      </c>
      <c r="G1471" s="15" t="str">
        <f aca="false">IF(OR(B1471="",F1471=""),"",B1471-F1471)</f>
        <v/>
      </c>
      <c r="H1471" s="13"/>
      <c r="I1471" s="13"/>
      <c r="J1471" s="13"/>
      <c r="K1471" s="25"/>
      <c r="L1471" s="25"/>
      <c r="M1471" s="25"/>
      <c r="N1471" s="25"/>
      <c r="O1471" s="26"/>
      <c r="P1471" s="16" t="str">
        <f aca="false">IF(O1471="","",IFERROR(1/(1/(IF(K1471="",INDEX(CONFIG!$F$5:$F$14,MATCH(D1471,CONFIG!$D$5:$D$14,0)),K1471)*IF(M1471="",INDEX(CONFIG!$H$5:$H$14,MATCH(D1471,CONFIG!$D$5:$D$14,0)),M1471))),""))</f>
        <v/>
      </c>
      <c r="Q1471" s="16" t="str">
        <f aca="false">IF(OR(O1471="",P1471=""),"",O1471/P1471)</f>
        <v/>
      </c>
      <c r="R1471" s="16" t="str">
        <f aca="false">IF(Q1471="","",Q1471*0.0980665)</f>
        <v/>
      </c>
      <c r="S1471" s="16" t="str">
        <f aca="false">IF(Q1471="","",IFERROR(Q1471/(1/(1/INDEX(CONFIG!$I$5:$I$14,MATCH(D1471,CONFIG!$D$5:$D$14,0)))),""))</f>
        <v/>
      </c>
      <c r="T1471" s="13"/>
      <c r="U1471" s="13"/>
      <c r="V1471" s="13"/>
      <c r="W1471" s="13"/>
      <c r="X1471" s="22" t="str">
        <f aca="false">IF(Q1471="","",Q1471^2)</f>
        <v/>
      </c>
      <c r="Y1471" s="22" t="str">
        <f aca="false">IF(AND(C1471&lt;&gt;"",C1471=CERTIFICADO!$E$4,OR(CERTIFICADO!$E$5="",B1471=CERTIFICADO!$E$5)),MAX($Y$4:Y1470)+1,"")</f>
        <v/>
      </c>
    </row>
    <row r="1472" customFormat="false" ht="15" hidden="false" customHeight="false" outlineLevel="0" collapsed="false">
      <c r="A1472" s="11" t="str">
        <f aca="false">IF(C1472="","",ROW()-4)</f>
        <v/>
      </c>
      <c r="B1472" s="12"/>
      <c r="C1472" s="13"/>
      <c r="D1472" s="23" t="str">
        <f aca="false">IF(C1472="","",IFERROR(INDEX(LOTES!$D$5:$D$1004,MATCH(C1472,LOTES!$F$5:$F$1004,0)),"¿Lote?"))</f>
        <v/>
      </c>
      <c r="E1472" s="11" t="str">
        <f aca="false">IF(C1472="","",IFERROR(INDEX(LOTES!$C$5:$C$1004,MATCH(C1472,LOTES!$F$5:$F$1004,0)),""))</f>
        <v/>
      </c>
      <c r="F1472" s="24" t="str">
        <f aca="false">IF(C1472="","",IFERROR(INDEX(LOTES!$B$5:$B$1004,MATCH(C1472,LOTES!$F$5:$F$1004,0)),""))</f>
        <v/>
      </c>
      <c r="G1472" s="15" t="str">
        <f aca="false">IF(OR(B1472="",F1472=""),"",B1472-F1472)</f>
        <v/>
      </c>
      <c r="H1472" s="13"/>
      <c r="I1472" s="13"/>
      <c r="J1472" s="13"/>
      <c r="K1472" s="25"/>
      <c r="L1472" s="25"/>
      <c r="M1472" s="25"/>
      <c r="N1472" s="25"/>
      <c r="O1472" s="26"/>
      <c r="P1472" s="16" t="str">
        <f aca="false">IF(O1472="","",IFERROR(1/(1/(IF(K1472="",INDEX(CONFIG!$F$5:$F$14,MATCH(D1472,CONFIG!$D$5:$D$14,0)),K1472)*IF(M1472="",INDEX(CONFIG!$H$5:$H$14,MATCH(D1472,CONFIG!$D$5:$D$14,0)),M1472))),""))</f>
        <v/>
      </c>
      <c r="Q1472" s="16" t="str">
        <f aca="false">IF(OR(O1472="",P1472=""),"",O1472/P1472)</f>
        <v/>
      </c>
      <c r="R1472" s="16" t="str">
        <f aca="false">IF(Q1472="","",Q1472*0.0980665)</f>
        <v/>
      </c>
      <c r="S1472" s="16" t="str">
        <f aca="false">IF(Q1472="","",IFERROR(Q1472/(1/(1/INDEX(CONFIG!$I$5:$I$14,MATCH(D1472,CONFIG!$D$5:$D$14,0)))),""))</f>
        <v/>
      </c>
      <c r="T1472" s="13"/>
      <c r="U1472" s="13"/>
      <c r="V1472" s="13"/>
      <c r="W1472" s="13"/>
      <c r="X1472" s="22" t="str">
        <f aca="false">IF(Q1472="","",Q1472^2)</f>
        <v/>
      </c>
      <c r="Y1472" s="22" t="str">
        <f aca="false">IF(AND(C1472&lt;&gt;"",C1472=CERTIFICADO!$E$4,OR(CERTIFICADO!$E$5="",B1472=CERTIFICADO!$E$5)),MAX($Y$4:Y1471)+1,"")</f>
        <v/>
      </c>
    </row>
    <row r="1473" customFormat="false" ht="15" hidden="false" customHeight="false" outlineLevel="0" collapsed="false">
      <c r="A1473" s="11" t="str">
        <f aca="false">IF(C1473="","",ROW()-4)</f>
        <v/>
      </c>
      <c r="B1473" s="12"/>
      <c r="C1473" s="13"/>
      <c r="D1473" s="23" t="str">
        <f aca="false">IF(C1473="","",IFERROR(INDEX(LOTES!$D$5:$D$1004,MATCH(C1473,LOTES!$F$5:$F$1004,0)),"¿Lote?"))</f>
        <v/>
      </c>
      <c r="E1473" s="11" t="str">
        <f aca="false">IF(C1473="","",IFERROR(INDEX(LOTES!$C$5:$C$1004,MATCH(C1473,LOTES!$F$5:$F$1004,0)),""))</f>
        <v/>
      </c>
      <c r="F1473" s="24" t="str">
        <f aca="false">IF(C1473="","",IFERROR(INDEX(LOTES!$B$5:$B$1004,MATCH(C1473,LOTES!$F$5:$F$1004,0)),""))</f>
        <v/>
      </c>
      <c r="G1473" s="15" t="str">
        <f aca="false">IF(OR(B1473="",F1473=""),"",B1473-F1473)</f>
        <v/>
      </c>
      <c r="H1473" s="13"/>
      <c r="I1473" s="13"/>
      <c r="J1473" s="13"/>
      <c r="K1473" s="25"/>
      <c r="L1473" s="25"/>
      <c r="M1473" s="25"/>
      <c r="N1473" s="25"/>
      <c r="O1473" s="26"/>
      <c r="P1473" s="16" t="str">
        <f aca="false">IF(O1473="","",IFERROR(1/(1/(IF(K1473="",INDEX(CONFIG!$F$5:$F$14,MATCH(D1473,CONFIG!$D$5:$D$14,0)),K1473)*IF(M1473="",INDEX(CONFIG!$H$5:$H$14,MATCH(D1473,CONFIG!$D$5:$D$14,0)),M1473))),""))</f>
        <v/>
      </c>
      <c r="Q1473" s="16" t="str">
        <f aca="false">IF(OR(O1473="",P1473=""),"",O1473/P1473)</f>
        <v/>
      </c>
      <c r="R1473" s="16" t="str">
        <f aca="false">IF(Q1473="","",Q1473*0.0980665)</f>
        <v/>
      </c>
      <c r="S1473" s="16" t="str">
        <f aca="false">IF(Q1473="","",IFERROR(Q1473/(1/(1/INDEX(CONFIG!$I$5:$I$14,MATCH(D1473,CONFIG!$D$5:$D$14,0)))),""))</f>
        <v/>
      </c>
      <c r="T1473" s="13"/>
      <c r="U1473" s="13"/>
      <c r="V1473" s="13"/>
      <c r="W1473" s="13"/>
      <c r="X1473" s="22" t="str">
        <f aca="false">IF(Q1473="","",Q1473^2)</f>
        <v/>
      </c>
      <c r="Y1473" s="22" t="str">
        <f aca="false">IF(AND(C1473&lt;&gt;"",C1473=CERTIFICADO!$E$4,OR(CERTIFICADO!$E$5="",B1473=CERTIFICADO!$E$5)),MAX($Y$4:Y1472)+1,"")</f>
        <v/>
      </c>
    </row>
    <row r="1474" customFormat="false" ht="15" hidden="false" customHeight="false" outlineLevel="0" collapsed="false">
      <c r="A1474" s="11" t="str">
        <f aca="false">IF(C1474="","",ROW()-4)</f>
        <v/>
      </c>
      <c r="B1474" s="12"/>
      <c r="C1474" s="13"/>
      <c r="D1474" s="23" t="str">
        <f aca="false">IF(C1474="","",IFERROR(INDEX(LOTES!$D$5:$D$1004,MATCH(C1474,LOTES!$F$5:$F$1004,0)),"¿Lote?"))</f>
        <v/>
      </c>
      <c r="E1474" s="11" t="str">
        <f aca="false">IF(C1474="","",IFERROR(INDEX(LOTES!$C$5:$C$1004,MATCH(C1474,LOTES!$F$5:$F$1004,0)),""))</f>
        <v/>
      </c>
      <c r="F1474" s="24" t="str">
        <f aca="false">IF(C1474="","",IFERROR(INDEX(LOTES!$B$5:$B$1004,MATCH(C1474,LOTES!$F$5:$F$1004,0)),""))</f>
        <v/>
      </c>
      <c r="G1474" s="15" t="str">
        <f aca="false">IF(OR(B1474="",F1474=""),"",B1474-F1474)</f>
        <v/>
      </c>
      <c r="H1474" s="13"/>
      <c r="I1474" s="13"/>
      <c r="J1474" s="13"/>
      <c r="K1474" s="25"/>
      <c r="L1474" s="25"/>
      <c r="M1474" s="25"/>
      <c r="N1474" s="25"/>
      <c r="O1474" s="26"/>
      <c r="P1474" s="16" t="str">
        <f aca="false">IF(O1474="","",IFERROR(1/(1/(IF(K1474="",INDEX(CONFIG!$F$5:$F$14,MATCH(D1474,CONFIG!$D$5:$D$14,0)),K1474)*IF(M1474="",INDEX(CONFIG!$H$5:$H$14,MATCH(D1474,CONFIG!$D$5:$D$14,0)),M1474))),""))</f>
        <v/>
      </c>
      <c r="Q1474" s="16" t="str">
        <f aca="false">IF(OR(O1474="",P1474=""),"",O1474/P1474)</f>
        <v/>
      </c>
      <c r="R1474" s="16" t="str">
        <f aca="false">IF(Q1474="","",Q1474*0.0980665)</f>
        <v/>
      </c>
      <c r="S1474" s="16" t="str">
        <f aca="false">IF(Q1474="","",IFERROR(Q1474/(1/(1/INDEX(CONFIG!$I$5:$I$14,MATCH(D1474,CONFIG!$D$5:$D$14,0)))),""))</f>
        <v/>
      </c>
      <c r="T1474" s="13"/>
      <c r="U1474" s="13"/>
      <c r="V1474" s="13"/>
      <c r="W1474" s="13"/>
      <c r="X1474" s="22" t="str">
        <f aca="false">IF(Q1474="","",Q1474^2)</f>
        <v/>
      </c>
      <c r="Y1474" s="22" t="str">
        <f aca="false">IF(AND(C1474&lt;&gt;"",C1474=CERTIFICADO!$E$4,OR(CERTIFICADO!$E$5="",B1474=CERTIFICADO!$E$5)),MAX($Y$4:Y1473)+1,"")</f>
        <v/>
      </c>
    </row>
    <row r="1475" customFormat="false" ht="15" hidden="false" customHeight="false" outlineLevel="0" collapsed="false">
      <c r="A1475" s="11" t="str">
        <f aca="false">IF(C1475="","",ROW()-4)</f>
        <v/>
      </c>
      <c r="B1475" s="12"/>
      <c r="C1475" s="13"/>
      <c r="D1475" s="23" t="str">
        <f aca="false">IF(C1475="","",IFERROR(INDEX(LOTES!$D$5:$D$1004,MATCH(C1475,LOTES!$F$5:$F$1004,0)),"¿Lote?"))</f>
        <v/>
      </c>
      <c r="E1475" s="11" t="str">
        <f aca="false">IF(C1475="","",IFERROR(INDEX(LOTES!$C$5:$C$1004,MATCH(C1475,LOTES!$F$5:$F$1004,0)),""))</f>
        <v/>
      </c>
      <c r="F1475" s="24" t="str">
        <f aca="false">IF(C1475="","",IFERROR(INDEX(LOTES!$B$5:$B$1004,MATCH(C1475,LOTES!$F$5:$F$1004,0)),""))</f>
        <v/>
      </c>
      <c r="G1475" s="15" t="str">
        <f aca="false">IF(OR(B1475="",F1475=""),"",B1475-F1475)</f>
        <v/>
      </c>
      <c r="H1475" s="13"/>
      <c r="I1475" s="13"/>
      <c r="J1475" s="13"/>
      <c r="K1475" s="25"/>
      <c r="L1475" s="25"/>
      <c r="M1475" s="25"/>
      <c r="N1475" s="25"/>
      <c r="O1475" s="26"/>
      <c r="P1475" s="16" t="str">
        <f aca="false">IF(O1475="","",IFERROR(1/(1/(IF(K1475="",INDEX(CONFIG!$F$5:$F$14,MATCH(D1475,CONFIG!$D$5:$D$14,0)),K1475)*IF(M1475="",INDEX(CONFIG!$H$5:$H$14,MATCH(D1475,CONFIG!$D$5:$D$14,0)),M1475))),""))</f>
        <v/>
      </c>
      <c r="Q1475" s="16" t="str">
        <f aca="false">IF(OR(O1475="",P1475=""),"",O1475/P1475)</f>
        <v/>
      </c>
      <c r="R1475" s="16" t="str">
        <f aca="false">IF(Q1475="","",Q1475*0.0980665)</f>
        <v/>
      </c>
      <c r="S1475" s="16" t="str">
        <f aca="false">IF(Q1475="","",IFERROR(Q1475/(1/(1/INDEX(CONFIG!$I$5:$I$14,MATCH(D1475,CONFIG!$D$5:$D$14,0)))),""))</f>
        <v/>
      </c>
      <c r="T1475" s="13"/>
      <c r="U1475" s="13"/>
      <c r="V1475" s="13"/>
      <c r="W1475" s="13"/>
      <c r="X1475" s="22" t="str">
        <f aca="false">IF(Q1475="","",Q1475^2)</f>
        <v/>
      </c>
      <c r="Y1475" s="22" t="str">
        <f aca="false">IF(AND(C1475&lt;&gt;"",C1475=CERTIFICADO!$E$4,OR(CERTIFICADO!$E$5="",B1475=CERTIFICADO!$E$5)),MAX($Y$4:Y1474)+1,"")</f>
        <v/>
      </c>
    </row>
    <row r="1476" customFormat="false" ht="15" hidden="false" customHeight="false" outlineLevel="0" collapsed="false">
      <c r="A1476" s="11" t="str">
        <f aca="false">IF(C1476="","",ROW()-4)</f>
        <v/>
      </c>
      <c r="B1476" s="12"/>
      <c r="C1476" s="13"/>
      <c r="D1476" s="23" t="str">
        <f aca="false">IF(C1476="","",IFERROR(INDEX(LOTES!$D$5:$D$1004,MATCH(C1476,LOTES!$F$5:$F$1004,0)),"¿Lote?"))</f>
        <v/>
      </c>
      <c r="E1476" s="11" t="str">
        <f aca="false">IF(C1476="","",IFERROR(INDEX(LOTES!$C$5:$C$1004,MATCH(C1476,LOTES!$F$5:$F$1004,0)),""))</f>
        <v/>
      </c>
      <c r="F1476" s="24" t="str">
        <f aca="false">IF(C1476="","",IFERROR(INDEX(LOTES!$B$5:$B$1004,MATCH(C1476,LOTES!$F$5:$F$1004,0)),""))</f>
        <v/>
      </c>
      <c r="G1476" s="15" t="str">
        <f aca="false">IF(OR(B1476="",F1476=""),"",B1476-F1476)</f>
        <v/>
      </c>
      <c r="H1476" s="13"/>
      <c r="I1476" s="13"/>
      <c r="J1476" s="13"/>
      <c r="K1476" s="25"/>
      <c r="L1476" s="25"/>
      <c r="M1476" s="25"/>
      <c r="N1476" s="25"/>
      <c r="O1476" s="26"/>
      <c r="P1476" s="16" t="str">
        <f aca="false">IF(O1476="","",IFERROR(1/(1/(IF(K1476="",INDEX(CONFIG!$F$5:$F$14,MATCH(D1476,CONFIG!$D$5:$D$14,0)),K1476)*IF(M1476="",INDEX(CONFIG!$H$5:$H$14,MATCH(D1476,CONFIG!$D$5:$D$14,0)),M1476))),""))</f>
        <v/>
      </c>
      <c r="Q1476" s="16" t="str">
        <f aca="false">IF(OR(O1476="",P1476=""),"",O1476/P1476)</f>
        <v/>
      </c>
      <c r="R1476" s="16" t="str">
        <f aca="false">IF(Q1476="","",Q1476*0.0980665)</f>
        <v/>
      </c>
      <c r="S1476" s="16" t="str">
        <f aca="false">IF(Q1476="","",IFERROR(Q1476/(1/(1/INDEX(CONFIG!$I$5:$I$14,MATCH(D1476,CONFIG!$D$5:$D$14,0)))),""))</f>
        <v/>
      </c>
      <c r="T1476" s="13"/>
      <c r="U1476" s="13"/>
      <c r="V1476" s="13"/>
      <c r="W1476" s="13"/>
      <c r="X1476" s="22" t="str">
        <f aca="false">IF(Q1476="","",Q1476^2)</f>
        <v/>
      </c>
      <c r="Y1476" s="22" t="str">
        <f aca="false">IF(AND(C1476&lt;&gt;"",C1476=CERTIFICADO!$E$4,OR(CERTIFICADO!$E$5="",B1476=CERTIFICADO!$E$5)),MAX($Y$4:Y1475)+1,"")</f>
        <v/>
      </c>
    </row>
    <row r="1477" customFormat="false" ht="15" hidden="false" customHeight="false" outlineLevel="0" collapsed="false">
      <c r="A1477" s="11" t="str">
        <f aca="false">IF(C1477="","",ROW()-4)</f>
        <v/>
      </c>
      <c r="B1477" s="12"/>
      <c r="C1477" s="13"/>
      <c r="D1477" s="23" t="str">
        <f aca="false">IF(C1477="","",IFERROR(INDEX(LOTES!$D$5:$D$1004,MATCH(C1477,LOTES!$F$5:$F$1004,0)),"¿Lote?"))</f>
        <v/>
      </c>
      <c r="E1477" s="11" t="str">
        <f aca="false">IF(C1477="","",IFERROR(INDEX(LOTES!$C$5:$C$1004,MATCH(C1477,LOTES!$F$5:$F$1004,0)),""))</f>
        <v/>
      </c>
      <c r="F1477" s="24" t="str">
        <f aca="false">IF(C1477="","",IFERROR(INDEX(LOTES!$B$5:$B$1004,MATCH(C1477,LOTES!$F$5:$F$1004,0)),""))</f>
        <v/>
      </c>
      <c r="G1477" s="15" t="str">
        <f aca="false">IF(OR(B1477="",F1477=""),"",B1477-F1477)</f>
        <v/>
      </c>
      <c r="H1477" s="13"/>
      <c r="I1477" s="13"/>
      <c r="J1477" s="13"/>
      <c r="K1477" s="25"/>
      <c r="L1477" s="25"/>
      <c r="M1477" s="25"/>
      <c r="N1477" s="25"/>
      <c r="O1477" s="26"/>
      <c r="P1477" s="16" t="str">
        <f aca="false">IF(O1477="","",IFERROR(1/(1/(IF(K1477="",INDEX(CONFIG!$F$5:$F$14,MATCH(D1477,CONFIG!$D$5:$D$14,0)),K1477)*IF(M1477="",INDEX(CONFIG!$H$5:$H$14,MATCH(D1477,CONFIG!$D$5:$D$14,0)),M1477))),""))</f>
        <v/>
      </c>
      <c r="Q1477" s="16" t="str">
        <f aca="false">IF(OR(O1477="",P1477=""),"",O1477/P1477)</f>
        <v/>
      </c>
      <c r="R1477" s="16" t="str">
        <f aca="false">IF(Q1477="","",Q1477*0.0980665)</f>
        <v/>
      </c>
      <c r="S1477" s="16" t="str">
        <f aca="false">IF(Q1477="","",IFERROR(Q1477/(1/(1/INDEX(CONFIG!$I$5:$I$14,MATCH(D1477,CONFIG!$D$5:$D$14,0)))),""))</f>
        <v/>
      </c>
      <c r="T1477" s="13"/>
      <c r="U1477" s="13"/>
      <c r="V1477" s="13"/>
      <c r="W1477" s="13"/>
      <c r="X1477" s="22" t="str">
        <f aca="false">IF(Q1477="","",Q1477^2)</f>
        <v/>
      </c>
      <c r="Y1477" s="22" t="str">
        <f aca="false">IF(AND(C1477&lt;&gt;"",C1477=CERTIFICADO!$E$4,OR(CERTIFICADO!$E$5="",B1477=CERTIFICADO!$E$5)),MAX($Y$4:Y1476)+1,"")</f>
        <v/>
      </c>
    </row>
    <row r="1478" customFormat="false" ht="15" hidden="false" customHeight="false" outlineLevel="0" collapsed="false">
      <c r="A1478" s="11" t="str">
        <f aca="false">IF(C1478="","",ROW()-4)</f>
        <v/>
      </c>
      <c r="B1478" s="12"/>
      <c r="C1478" s="13"/>
      <c r="D1478" s="23" t="str">
        <f aca="false">IF(C1478="","",IFERROR(INDEX(LOTES!$D$5:$D$1004,MATCH(C1478,LOTES!$F$5:$F$1004,0)),"¿Lote?"))</f>
        <v/>
      </c>
      <c r="E1478" s="11" t="str">
        <f aca="false">IF(C1478="","",IFERROR(INDEX(LOTES!$C$5:$C$1004,MATCH(C1478,LOTES!$F$5:$F$1004,0)),""))</f>
        <v/>
      </c>
      <c r="F1478" s="24" t="str">
        <f aca="false">IF(C1478="","",IFERROR(INDEX(LOTES!$B$5:$B$1004,MATCH(C1478,LOTES!$F$5:$F$1004,0)),""))</f>
        <v/>
      </c>
      <c r="G1478" s="15" t="str">
        <f aca="false">IF(OR(B1478="",F1478=""),"",B1478-F1478)</f>
        <v/>
      </c>
      <c r="H1478" s="13"/>
      <c r="I1478" s="13"/>
      <c r="J1478" s="13"/>
      <c r="K1478" s="25"/>
      <c r="L1478" s="25"/>
      <c r="M1478" s="25"/>
      <c r="N1478" s="25"/>
      <c r="O1478" s="26"/>
      <c r="P1478" s="16" t="str">
        <f aca="false">IF(O1478="","",IFERROR(1/(1/(IF(K1478="",INDEX(CONFIG!$F$5:$F$14,MATCH(D1478,CONFIG!$D$5:$D$14,0)),K1478)*IF(M1478="",INDEX(CONFIG!$H$5:$H$14,MATCH(D1478,CONFIG!$D$5:$D$14,0)),M1478))),""))</f>
        <v/>
      </c>
      <c r="Q1478" s="16" t="str">
        <f aca="false">IF(OR(O1478="",P1478=""),"",O1478/P1478)</f>
        <v/>
      </c>
      <c r="R1478" s="16" t="str">
        <f aca="false">IF(Q1478="","",Q1478*0.0980665)</f>
        <v/>
      </c>
      <c r="S1478" s="16" t="str">
        <f aca="false">IF(Q1478="","",IFERROR(Q1478/(1/(1/INDEX(CONFIG!$I$5:$I$14,MATCH(D1478,CONFIG!$D$5:$D$14,0)))),""))</f>
        <v/>
      </c>
      <c r="T1478" s="13"/>
      <c r="U1478" s="13"/>
      <c r="V1478" s="13"/>
      <c r="W1478" s="13"/>
      <c r="X1478" s="22" t="str">
        <f aca="false">IF(Q1478="","",Q1478^2)</f>
        <v/>
      </c>
      <c r="Y1478" s="22" t="str">
        <f aca="false">IF(AND(C1478&lt;&gt;"",C1478=CERTIFICADO!$E$4,OR(CERTIFICADO!$E$5="",B1478=CERTIFICADO!$E$5)),MAX($Y$4:Y1477)+1,"")</f>
        <v/>
      </c>
    </row>
    <row r="1479" customFormat="false" ht="15" hidden="false" customHeight="false" outlineLevel="0" collapsed="false">
      <c r="A1479" s="11" t="str">
        <f aca="false">IF(C1479="","",ROW()-4)</f>
        <v/>
      </c>
      <c r="B1479" s="12"/>
      <c r="C1479" s="13"/>
      <c r="D1479" s="23" t="str">
        <f aca="false">IF(C1479="","",IFERROR(INDEX(LOTES!$D$5:$D$1004,MATCH(C1479,LOTES!$F$5:$F$1004,0)),"¿Lote?"))</f>
        <v/>
      </c>
      <c r="E1479" s="11" t="str">
        <f aca="false">IF(C1479="","",IFERROR(INDEX(LOTES!$C$5:$C$1004,MATCH(C1479,LOTES!$F$5:$F$1004,0)),""))</f>
        <v/>
      </c>
      <c r="F1479" s="24" t="str">
        <f aca="false">IF(C1479="","",IFERROR(INDEX(LOTES!$B$5:$B$1004,MATCH(C1479,LOTES!$F$5:$F$1004,0)),""))</f>
        <v/>
      </c>
      <c r="G1479" s="15" t="str">
        <f aca="false">IF(OR(B1479="",F1479=""),"",B1479-F1479)</f>
        <v/>
      </c>
      <c r="H1479" s="13"/>
      <c r="I1479" s="13"/>
      <c r="J1479" s="13"/>
      <c r="K1479" s="25"/>
      <c r="L1479" s="25"/>
      <c r="M1479" s="25"/>
      <c r="N1479" s="25"/>
      <c r="O1479" s="26"/>
      <c r="P1479" s="16" t="str">
        <f aca="false">IF(O1479="","",IFERROR(1/(1/(IF(K1479="",INDEX(CONFIG!$F$5:$F$14,MATCH(D1479,CONFIG!$D$5:$D$14,0)),K1479)*IF(M1479="",INDEX(CONFIG!$H$5:$H$14,MATCH(D1479,CONFIG!$D$5:$D$14,0)),M1479))),""))</f>
        <v/>
      </c>
      <c r="Q1479" s="16" t="str">
        <f aca="false">IF(OR(O1479="",P1479=""),"",O1479/P1479)</f>
        <v/>
      </c>
      <c r="R1479" s="16" t="str">
        <f aca="false">IF(Q1479="","",Q1479*0.0980665)</f>
        <v/>
      </c>
      <c r="S1479" s="16" t="str">
        <f aca="false">IF(Q1479="","",IFERROR(Q1479/(1/(1/INDEX(CONFIG!$I$5:$I$14,MATCH(D1479,CONFIG!$D$5:$D$14,0)))),""))</f>
        <v/>
      </c>
      <c r="T1479" s="13"/>
      <c r="U1479" s="13"/>
      <c r="V1479" s="13"/>
      <c r="W1479" s="13"/>
      <c r="X1479" s="22" t="str">
        <f aca="false">IF(Q1479="","",Q1479^2)</f>
        <v/>
      </c>
      <c r="Y1479" s="22" t="str">
        <f aca="false">IF(AND(C1479&lt;&gt;"",C1479=CERTIFICADO!$E$4,OR(CERTIFICADO!$E$5="",B1479=CERTIFICADO!$E$5)),MAX($Y$4:Y1478)+1,"")</f>
        <v/>
      </c>
    </row>
    <row r="1480" customFormat="false" ht="15" hidden="false" customHeight="false" outlineLevel="0" collapsed="false">
      <c r="A1480" s="11" t="str">
        <f aca="false">IF(C1480="","",ROW()-4)</f>
        <v/>
      </c>
      <c r="B1480" s="12"/>
      <c r="C1480" s="13"/>
      <c r="D1480" s="23" t="str">
        <f aca="false">IF(C1480="","",IFERROR(INDEX(LOTES!$D$5:$D$1004,MATCH(C1480,LOTES!$F$5:$F$1004,0)),"¿Lote?"))</f>
        <v/>
      </c>
      <c r="E1480" s="11" t="str">
        <f aca="false">IF(C1480="","",IFERROR(INDEX(LOTES!$C$5:$C$1004,MATCH(C1480,LOTES!$F$5:$F$1004,0)),""))</f>
        <v/>
      </c>
      <c r="F1480" s="24" t="str">
        <f aca="false">IF(C1480="","",IFERROR(INDEX(LOTES!$B$5:$B$1004,MATCH(C1480,LOTES!$F$5:$F$1004,0)),""))</f>
        <v/>
      </c>
      <c r="G1480" s="15" t="str">
        <f aca="false">IF(OR(B1480="",F1480=""),"",B1480-F1480)</f>
        <v/>
      </c>
      <c r="H1480" s="13"/>
      <c r="I1480" s="13"/>
      <c r="J1480" s="13"/>
      <c r="K1480" s="25"/>
      <c r="L1480" s="25"/>
      <c r="M1480" s="25"/>
      <c r="N1480" s="25"/>
      <c r="O1480" s="26"/>
      <c r="P1480" s="16" t="str">
        <f aca="false">IF(O1480="","",IFERROR(1/(1/(IF(K1480="",INDEX(CONFIG!$F$5:$F$14,MATCH(D1480,CONFIG!$D$5:$D$14,0)),K1480)*IF(M1480="",INDEX(CONFIG!$H$5:$H$14,MATCH(D1480,CONFIG!$D$5:$D$14,0)),M1480))),""))</f>
        <v/>
      </c>
      <c r="Q1480" s="16" t="str">
        <f aca="false">IF(OR(O1480="",P1480=""),"",O1480/P1480)</f>
        <v/>
      </c>
      <c r="R1480" s="16" t="str">
        <f aca="false">IF(Q1480="","",Q1480*0.0980665)</f>
        <v/>
      </c>
      <c r="S1480" s="16" t="str">
        <f aca="false">IF(Q1480="","",IFERROR(Q1480/(1/(1/INDEX(CONFIG!$I$5:$I$14,MATCH(D1480,CONFIG!$D$5:$D$14,0)))),""))</f>
        <v/>
      </c>
      <c r="T1480" s="13"/>
      <c r="U1480" s="13"/>
      <c r="V1480" s="13"/>
      <c r="W1480" s="13"/>
      <c r="X1480" s="22" t="str">
        <f aca="false">IF(Q1480="","",Q1480^2)</f>
        <v/>
      </c>
      <c r="Y1480" s="22" t="str">
        <f aca="false">IF(AND(C1480&lt;&gt;"",C1480=CERTIFICADO!$E$4,OR(CERTIFICADO!$E$5="",B1480=CERTIFICADO!$E$5)),MAX($Y$4:Y1479)+1,"")</f>
        <v/>
      </c>
    </row>
    <row r="1481" customFormat="false" ht="15" hidden="false" customHeight="false" outlineLevel="0" collapsed="false">
      <c r="A1481" s="11" t="str">
        <f aca="false">IF(C1481="","",ROW()-4)</f>
        <v/>
      </c>
      <c r="B1481" s="12"/>
      <c r="C1481" s="13"/>
      <c r="D1481" s="23" t="str">
        <f aca="false">IF(C1481="","",IFERROR(INDEX(LOTES!$D$5:$D$1004,MATCH(C1481,LOTES!$F$5:$F$1004,0)),"¿Lote?"))</f>
        <v/>
      </c>
      <c r="E1481" s="11" t="str">
        <f aca="false">IF(C1481="","",IFERROR(INDEX(LOTES!$C$5:$C$1004,MATCH(C1481,LOTES!$F$5:$F$1004,0)),""))</f>
        <v/>
      </c>
      <c r="F1481" s="24" t="str">
        <f aca="false">IF(C1481="","",IFERROR(INDEX(LOTES!$B$5:$B$1004,MATCH(C1481,LOTES!$F$5:$F$1004,0)),""))</f>
        <v/>
      </c>
      <c r="G1481" s="15" t="str">
        <f aca="false">IF(OR(B1481="",F1481=""),"",B1481-F1481)</f>
        <v/>
      </c>
      <c r="H1481" s="13"/>
      <c r="I1481" s="13"/>
      <c r="J1481" s="13"/>
      <c r="K1481" s="25"/>
      <c r="L1481" s="25"/>
      <c r="M1481" s="25"/>
      <c r="N1481" s="25"/>
      <c r="O1481" s="26"/>
      <c r="P1481" s="16" t="str">
        <f aca="false">IF(O1481="","",IFERROR(1/(1/(IF(K1481="",INDEX(CONFIG!$F$5:$F$14,MATCH(D1481,CONFIG!$D$5:$D$14,0)),K1481)*IF(M1481="",INDEX(CONFIG!$H$5:$H$14,MATCH(D1481,CONFIG!$D$5:$D$14,0)),M1481))),""))</f>
        <v/>
      </c>
      <c r="Q1481" s="16" t="str">
        <f aca="false">IF(OR(O1481="",P1481=""),"",O1481/P1481)</f>
        <v/>
      </c>
      <c r="R1481" s="16" t="str">
        <f aca="false">IF(Q1481="","",Q1481*0.0980665)</f>
        <v/>
      </c>
      <c r="S1481" s="16" t="str">
        <f aca="false">IF(Q1481="","",IFERROR(Q1481/(1/(1/INDEX(CONFIG!$I$5:$I$14,MATCH(D1481,CONFIG!$D$5:$D$14,0)))),""))</f>
        <v/>
      </c>
      <c r="T1481" s="13"/>
      <c r="U1481" s="13"/>
      <c r="V1481" s="13"/>
      <c r="W1481" s="13"/>
      <c r="X1481" s="22" t="str">
        <f aca="false">IF(Q1481="","",Q1481^2)</f>
        <v/>
      </c>
      <c r="Y1481" s="22" t="str">
        <f aca="false">IF(AND(C1481&lt;&gt;"",C1481=CERTIFICADO!$E$4,OR(CERTIFICADO!$E$5="",B1481=CERTIFICADO!$E$5)),MAX($Y$4:Y1480)+1,"")</f>
        <v/>
      </c>
    </row>
    <row r="1482" customFormat="false" ht="15" hidden="false" customHeight="false" outlineLevel="0" collapsed="false">
      <c r="A1482" s="11" t="str">
        <f aca="false">IF(C1482="","",ROW()-4)</f>
        <v/>
      </c>
      <c r="B1482" s="12"/>
      <c r="C1482" s="13"/>
      <c r="D1482" s="23" t="str">
        <f aca="false">IF(C1482="","",IFERROR(INDEX(LOTES!$D$5:$D$1004,MATCH(C1482,LOTES!$F$5:$F$1004,0)),"¿Lote?"))</f>
        <v/>
      </c>
      <c r="E1482" s="11" t="str">
        <f aca="false">IF(C1482="","",IFERROR(INDEX(LOTES!$C$5:$C$1004,MATCH(C1482,LOTES!$F$5:$F$1004,0)),""))</f>
        <v/>
      </c>
      <c r="F1482" s="24" t="str">
        <f aca="false">IF(C1482="","",IFERROR(INDEX(LOTES!$B$5:$B$1004,MATCH(C1482,LOTES!$F$5:$F$1004,0)),""))</f>
        <v/>
      </c>
      <c r="G1482" s="15" t="str">
        <f aca="false">IF(OR(B1482="",F1482=""),"",B1482-F1482)</f>
        <v/>
      </c>
      <c r="H1482" s="13"/>
      <c r="I1482" s="13"/>
      <c r="J1482" s="13"/>
      <c r="K1482" s="25"/>
      <c r="L1482" s="25"/>
      <c r="M1482" s="25"/>
      <c r="N1482" s="25"/>
      <c r="O1482" s="26"/>
      <c r="P1482" s="16" t="str">
        <f aca="false">IF(O1482="","",IFERROR(1/(1/(IF(K1482="",INDEX(CONFIG!$F$5:$F$14,MATCH(D1482,CONFIG!$D$5:$D$14,0)),K1482)*IF(M1482="",INDEX(CONFIG!$H$5:$H$14,MATCH(D1482,CONFIG!$D$5:$D$14,0)),M1482))),""))</f>
        <v/>
      </c>
      <c r="Q1482" s="16" t="str">
        <f aca="false">IF(OR(O1482="",P1482=""),"",O1482/P1482)</f>
        <v/>
      </c>
      <c r="R1482" s="16" t="str">
        <f aca="false">IF(Q1482="","",Q1482*0.0980665)</f>
        <v/>
      </c>
      <c r="S1482" s="16" t="str">
        <f aca="false">IF(Q1482="","",IFERROR(Q1482/(1/(1/INDEX(CONFIG!$I$5:$I$14,MATCH(D1482,CONFIG!$D$5:$D$14,0)))),""))</f>
        <v/>
      </c>
      <c r="T1482" s="13"/>
      <c r="U1482" s="13"/>
      <c r="V1482" s="13"/>
      <c r="W1482" s="13"/>
      <c r="X1482" s="22" t="str">
        <f aca="false">IF(Q1482="","",Q1482^2)</f>
        <v/>
      </c>
      <c r="Y1482" s="22" t="str">
        <f aca="false">IF(AND(C1482&lt;&gt;"",C1482=CERTIFICADO!$E$4,OR(CERTIFICADO!$E$5="",B1482=CERTIFICADO!$E$5)),MAX($Y$4:Y1481)+1,"")</f>
        <v/>
      </c>
    </row>
    <row r="1483" customFormat="false" ht="15" hidden="false" customHeight="false" outlineLevel="0" collapsed="false">
      <c r="A1483" s="11" t="str">
        <f aca="false">IF(C1483="","",ROW()-4)</f>
        <v/>
      </c>
      <c r="B1483" s="12"/>
      <c r="C1483" s="13"/>
      <c r="D1483" s="23" t="str">
        <f aca="false">IF(C1483="","",IFERROR(INDEX(LOTES!$D$5:$D$1004,MATCH(C1483,LOTES!$F$5:$F$1004,0)),"¿Lote?"))</f>
        <v/>
      </c>
      <c r="E1483" s="11" t="str">
        <f aca="false">IF(C1483="","",IFERROR(INDEX(LOTES!$C$5:$C$1004,MATCH(C1483,LOTES!$F$5:$F$1004,0)),""))</f>
        <v/>
      </c>
      <c r="F1483" s="24" t="str">
        <f aca="false">IF(C1483="","",IFERROR(INDEX(LOTES!$B$5:$B$1004,MATCH(C1483,LOTES!$F$5:$F$1004,0)),""))</f>
        <v/>
      </c>
      <c r="G1483" s="15" t="str">
        <f aca="false">IF(OR(B1483="",F1483=""),"",B1483-F1483)</f>
        <v/>
      </c>
      <c r="H1483" s="13"/>
      <c r="I1483" s="13"/>
      <c r="J1483" s="13"/>
      <c r="K1483" s="25"/>
      <c r="L1483" s="25"/>
      <c r="M1483" s="25"/>
      <c r="N1483" s="25"/>
      <c r="O1483" s="26"/>
      <c r="P1483" s="16" t="str">
        <f aca="false">IF(O1483="","",IFERROR(1/(1/(IF(K1483="",INDEX(CONFIG!$F$5:$F$14,MATCH(D1483,CONFIG!$D$5:$D$14,0)),K1483)*IF(M1483="",INDEX(CONFIG!$H$5:$H$14,MATCH(D1483,CONFIG!$D$5:$D$14,0)),M1483))),""))</f>
        <v/>
      </c>
      <c r="Q1483" s="16" t="str">
        <f aca="false">IF(OR(O1483="",P1483=""),"",O1483/P1483)</f>
        <v/>
      </c>
      <c r="R1483" s="16" t="str">
        <f aca="false">IF(Q1483="","",Q1483*0.0980665)</f>
        <v/>
      </c>
      <c r="S1483" s="16" t="str">
        <f aca="false">IF(Q1483="","",IFERROR(Q1483/(1/(1/INDEX(CONFIG!$I$5:$I$14,MATCH(D1483,CONFIG!$D$5:$D$14,0)))),""))</f>
        <v/>
      </c>
      <c r="T1483" s="13"/>
      <c r="U1483" s="13"/>
      <c r="V1483" s="13"/>
      <c r="W1483" s="13"/>
      <c r="X1483" s="22" t="str">
        <f aca="false">IF(Q1483="","",Q1483^2)</f>
        <v/>
      </c>
      <c r="Y1483" s="22" t="str">
        <f aca="false">IF(AND(C1483&lt;&gt;"",C1483=CERTIFICADO!$E$4,OR(CERTIFICADO!$E$5="",B1483=CERTIFICADO!$E$5)),MAX($Y$4:Y1482)+1,"")</f>
        <v/>
      </c>
    </row>
    <row r="1484" customFormat="false" ht="15" hidden="false" customHeight="false" outlineLevel="0" collapsed="false">
      <c r="A1484" s="11" t="str">
        <f aca="false">IF(C1484="","",ROW()-4)</f>
        <v/>
      </c>
      <c r="B1484" s="12"/>
      <c r="C1484" s="13"/>
      <c r="D1484" s="23" t="str">
        <f aca="false">IF(C1484="","",IFERROR(INDEX(LOTES!$D$5:$D$1004,MATCH(C1484,LOTES!$F$5:$F$1004,0)),"¿Lote?"))</f>
        <v/>
      </c>
      <c r="E1484" s="11" t="str">
        <f aca="false">IF(C1484="","",IFERROR(INDEX(LOTES!$C$5:$C$1004,MATCH(C1484,LOTES!$F$5:$F$1004,0)),""))</f>
        <v/>
      </c>
      <c r="F1484" s="24" t="str">
        <f aca="false">IF(C1484="","",IFERROR(INDEX(LOTES!$B$5:$B$1004,MATCH(C1484,LOTES!$F$5:$F$1004,0)),""))</f>
        <v/>
      </c>
      <c r="G1484" s="15" t="str">
        <f aca="false">IF(OR(B1484="",F1484=""),"",B1484-F1484)</f>
        <v/>
      </c>
      <c r="H1484" s="13"/>
      <c r="I1484" s="13"/>
      <c r="J1484" s="13"/>
      <c r="K1484" s="25"/>
      <c r="L1484" s="25"/>
      <c r="M1484" s="25"/>
      <c r="N1484" s="25"/>
      <c r="O1484" s="26"/>
      <c r="P1484" s="16" t="str">
        <f aca="false">IF(O1484="","",IFERROR(1/(1/(IF(K1484="",INDEX(CONFIG!$F$5:$F$14,MATCH(D1484,CONFIG!$D$5:$D$14,0)),K1484)*IF(M1484="",INDEX(CONFIG!$H$5:$H$14,MATCH(D1484,CONFIG!$D$5:$D$14,0)),M1484))),""))</f>
        <v/>
      </c>
      <c r="Q1484" s="16" t="str">
        <f aca="false">IF(OR(O1484="",P1484=""),"",O1484/P1484)</f>
        <v/>
      </c>
      <c r="R1484" s="16" t="str">
        <f aca="false">IF(Q1484="","",Q1484*0.0980665)</f>
        <v/>
      </c>
      <c r="S1484" s="16" t="str">
        <f aca="false">IF(Q1484="","",IFERROR(Q1484/(1/(1/INDEX(CONFIG!$I$5:$I$14,MATCH(D1484,CONFIG!$D$5:$D$14,0)))),""))</f>
        <v/>
      </c>
      <c r="T1484" s="13"/>
      <c r="U1484" s="13"/>
      <c r="V1484" s="13"/>
      <c r="W1484" s="13"/>
      <c r="X1484" s="22" t="str">
        <f aca="false">IF(Q1484="","",Q1484^2)</f>
        <v/>
      </c>
      <c r="Y1484" s="22" t="str">
        <f aca="false">IF(AND(C1484&lt;&gt;"",C1484=CERTIFICADO!$E$4,OR(CERTIFICADO!$E$5="",B1484=CERTIFICADO!$E$5)),MAX($Y$4:Y1483)+1,"")</f>
        <v/>
      </c>
    </row>
    <row r="1485" customFormat="false" ht="15" hidden="false" customHeight="false" outlineLevel="0" collapsed="false">
      <c r="A1485" s="11" t="str">
        <f aca="false">IF(C1485="","",ROW()-4)</f>
        <v/>
      </c>
      <c r="B1485" s="12"/>
      <c r="C1485" s="13"/>
      <c r="D1485" s="23" t="str">
        <f aca="false">IF(C1485="","",IFERROR(INDEX(LOTES!$D$5:$D$1004,MATCH(C1485,LOTES!$F$5:$F$1004,0)),"¿Lote?"))</f>
        <v/>
      </c>
      <c r="E1485" s="11" t="str">
        <f aca="false">IF(C1485="","",IFERROR(INDEX(LOTES!$C$5:$C$1004,MATCH(C1485,LOTES!$F$5:$F$1004,0)),""))</f>
        <v/>
      </c>
      <c r="F1485" s="24" t="str">
        <f aca="false">IF(C1485="","",IFERROR(INDEX(LOTES!$B$5:$B$1004,MATCH(C1485,LOTES!$F$5:$F$1004,0)),""))</f>
        <v/>
      </c>
      <c r="G1485" s="15" t="str">
        <f aca="false">IF(OR(B1485="",F1485=""),"",B1485-F1485)</f>
        <v/>
      </c>
      <c r="H1485" s="13"/>
      <c r="I1485" s="13"/>
      <c r="J1485" s="13"/>
      <c r="K1485" s="25"/>
      <c r="L1485" s="25"/>
      <c r="M1485" s="25"/>
      <c r="N1485" s="25"/>
      <c r="O1485" s="26"/>
      <c r="P1485" s="16" t="str">
        <f aca="false">IF(O1485="","",IFERROR(1/(1/(IF(K1485="",INDEX(CONFIG!$F$5:$F$14,MATCH(D1485,CONFIG!$D$5:$D$14,0)),K1485)*IF(M1485="",INDEX(CONFIG!$H$5:$H$14,MATCH(D1485,CONFIG!$D$5:$D$14,0)),M1485))),""))</f>
        <v/>
      </c>
      <c r="Q1485" s="16" t="str">
        <f aca="false">IF(OR(O1485="",P1485=""),"",O1485/P1485)</f>
        <v/>
      </c>
      <c r="R1485" s="16" t="str">
        <f aca="false">IF(Q1485="","",Q1485*0.0980665)</f>
        <v/>
      </c>
      <c r="S1485" s="16" t="str">
        <f aca="false">IF(Q1485="","",IFERROR(Q1485/(1/(1/INDEX(CONFIG!$I$5:$I$14,MATCH(D1485,CONFIG!$D$5:$D$14,0)))),""))</f>
        <v/>
      </c>
      <c r="T1485" s="13"/>
      <c r="U1485" s="13"/>
      <c r="V1485" s="13"/>
      <c r="W1485" s="13"/>
      <c r="X1485" s="22" t="str">
        <f aca="false">IF(Q1485="","",Q1485^2)</f>
        <v/>
      </c>
      <c r="Y1485" s="22" t="str">
        <f aca="false">IF(AND(C1485&lt;&gt;"",C1485=CERTIFICADO!$E$4,OR(CERTIFICADO!$E$5="",B1485=CERTIFICADO!$E$5)),MAX($Y$4:Y1484)+1,"")</f>
        <v/>
      </c>
    </row>
    <row r="1486" customFormat="false" ht="15" hidden="false" customHeight="false" outlineLevel="0" collapsed="false">
      <c r="A1486" s="11" t="str">
        <f aca="false">IF(C1486="","",ROW()-4)</f>
        <v/>
      </c>
      <c r="B1486" s="12"/>
      <c r="C1486" s="13"/>
      <c r="D1486" s="23" t="str">
        <f aca="false">IF(C1486="","",IFERROR(INDEX(LOTES!$D$5:$D$1004,MATCH(C1486,LOTES!$F$5:$F$1004,0)),"¿Lote?"))</f>
        <v/>
      </c>
      <c r="E1486" s="11" t="str">
        <f aca="false">IF(C1486="","",IFERROR(INDEX(LOTES!$C$5:$C$1004,MATCH(C1486,LOTES!$F$5:$F$1004,0)),""))</f>
        <v/>
      </c>
      <c r="F1486" s="24" t="str">
        <f aca="false">IF(C1486="","",IFERROR(INDEX(LOTES!$B$5:$B$1004,MATCH(C1486,LOTES!$F$5:$F$1004,0)),""))</f>
        <v/>
      </c>
      <c r="G1486" s="15" t="str">
        <f aca="false">IF(OR(B1486="",F1486=""),"",B1486-F1486)</f>
        <v/>
      </c>
      <c r="H1486" s="13"/>
      <c r="I1486" s="13"/>
      <c r="J1486" s="13"/>
      <c r="K1486" s="25"/>
      <c r="L1486" s="25"/>
      <c r="M1486" s="25"/>
      <c r="N1486" s="25"/>
      <c r="O1486" s="26"/>
      <c r="P1486" s="16" t="str">
        <f aca="false">IF(O1486="","",IFERROR(1/(1/(IF(K1486="",INDEX(CONFIG!$F$5:$F$14,MATCH(D1486,CONFIG!$D$5:$D$14,0)),K1486)*IF(M1486="",INDEX(CONFIG!$H$5:$H$14,MATCH(D1486,CONFIG!$D$5:$D$14,0)),M1486))),""))</f>
        <v/>
      </c>
      <c r="Q1486" s="16" t="str">
        <f aca="false">IF(OR(O1486="",P1486=""),"",O1486/P1486)</f>
        <v/>
      </c>
      <c r="R1486" s="16" t="str">
        <f aca="false">IF(Q1486="","",Q1486*0.0980665)</f>
        <v/>
      </c>
      <c r="S1486" s="16" t="str">
        <f aca="false">IF(Q1486="","",IFERROR(Q1486/(1/(1/INDEX(CONFIG!$I$5:$I$14,MATCH(D1486,CONFIG!$D$5:$D$14,0)))),""))</f>
        <v/>
      </c>
      <c r="T1486" s="13"/>
      <c r="U1486" s="13"/>
      <c r="V1486" s="13"/>
      <c r="W1486" s="13"/>
      <c r="X1486" s="22" t="str">
        <f aca="false">IF(Q1486="","",Q1486^2)</f>
        <v/>
      </c>
      <c r="Y1486" s="22" t="str">
        <f aca="false">IF(AND(C1486&lt;&gt;"",C1486=CERTIFICADO!$E$4,OR(CERTIFICADO!$E$5="",B1486=CERTIFICADO!$E$5)),MAX($Y$4:Y1485)+1,"")</f>
        <v/>
      </c>
    </row>
    <row r="1487" customFormat="false" ht="15" hidden="false" customHeight="false" outlineLevel="0" collapsed="false">
      <c r="A1487" s="11" t="str">
        <f aca="false">IF(C1487="","",ROW()-4)</f>
        <v/>
      </c>
      <c r="B1487" s="12"/>
      <c r="C1487" s="13"/>
      <c r="D1487" s="23" t="str">
        <f aca="false">IF(C1487="","",IFERROR(INDEX(LOTES!$D$5:$D$1004,MATCH(C1487,LOTES!$F$5:$F$1004,0)),"¿Lote?"))</f>
        <v/>
      </c>
      <c r="E1487" s="11" t="str">
        <f aca="false">IF(C1487="","",IFERROR(INDEX(LOTES!$C$5:$C$1004,MATCH(C1487,LOTES!$F$5:$F$1004,0)),""))</f>
        <v/>
      </c>
      <c r="F1487" s="24" t="str">
        <f aca="false">IF(C1487="","",IFERROR(INDEX(LOTES!$B$5:$B$1004,MATCH(C1487,LOTES!$F$5:$F$1004,0)),""))</f>
        <v/>
      </c>
      <c r="G1487" s="15" t="str">
        <f aca="false">IF(OR(B1487="",F1487=""),"",B1487-F1487)</f>
        <v/>
      </c>
      <c r="H1487" s="13"/>
      <c r="I1487" s="13"/>
      <c r="J1487" s="13"/>
      <c r="K1487" s="25"/>
      <c r="L1487" s="25"/>
      <c r="M1487" s="25"/>
      <c r="N1487" s="25"/>
      <c r="O1487" s="26"/>
      <c r="P1487" s="16" t="str">
        <f aca="false">IF(O1487="","",IFERROR(1/(1/(IF(K1487="",INDEX(CONFIG!$F$5:$F$14,MATCH(D1487,CONFIG!$D$5:$D$14,0)),K1487)*IF(M1487="",INDEX(CONFIG!$H$5:$H$14,MATCH(D1487,CONFIG!$D$5:$D$14,0)),M1487))),""))</f>
        <v/>
      </c>
      <c r="Q1487" s="16" t="str">
        <f aca="false">IF(OR(O1487="",P1487=""),"",O1487/P1487)</f>
        <v/>
      </c>
      <c r="R1487" s="16" t="str">
        <f aca="false">IF(Q1487="","",Q1487*0.0980665)</f>
        <v/>
      </c>
      <c r="S1487" s="16" t="str">
        <f aca="false">IF(Q1487="","",IFERROR(Q1487/(1/(1/INDEX(CONFIG!$I$5:$I$14,MATCH(D1487,CONFIG!$D$5:$D$14,0)))),""))</f>
        <v/>
      </c>
      <c r="T1487" s="13"/>
      <c r="U1487" s="13"/>
      <c r="V1487" s="13"/>
      <c r="W1487" s="13"/>
      <c r="X1487" s="22" t="str">
        <f aca="false">IF(Q1487="","",Q1487^2)</f>
        <v/>
      </c>
      <c r="Y1487" s="22" t="str">
        <f aca="false">IF(AND(C1487&lt;&gt;"",C1487=CERTIFICADO!$E$4,OR(CERTIFICADO!$E$5="",B1487=CERTIFICADO!$E$5)),MAX($Y$4:Y1486)+1,"")</f>
        <v/>
      </c>
    </row>
    <row r="1488" customFormat="false" ht="15" hidden="false" customHeight="false" outlineLevel="0" collapsed="false">
      <c r="A1488" s="11" t="str">
        <f aca="false">IF(C1488="","",ROW()-4)</f>
        <v/>
      </c>
      <c r="B1488" s="12"/>
      <c r="C1488" s="13"/>
      <c r="D1488" s="23" t="str">
        <f aca="false">IF(C1488="","",IFERROR(INDEX(LOTES!$D$5:$D$1004,MATCH(C1488,LOTES!$F$5:$F$1004,0)),"¿Lote?"))</f>
        <v/>
      </c>
      <c r="E1488" s="11" t="str">
        <f aca="false">IF(C1488="","",IFERROR(INDEX(LOTES!$C$5:$C$1004,MATCH(C1488,LOTES!$F$5:$F$1004,0)),""))</f>
        <v/>
      </c>
      <c r="F1488" s="24" t="str">
        <f aca="false">IF(C1488="","",IFERROR(INDEX(LOTES!$B$5:$B$1004,MATCH(C1488,LOTES!$F$5:$F$1004,0)),""))</f>
        <v/>
      </c>
      <c r="G1488" s="15" t="str">
        <f aca="false">IF(OR(B1488="",F1488=""),"",B1488-F1488)</f>
        <v/>
      </c>
      <c r="H1488" s="13"/>
      <c r="I1488" s="13"/>
      <c r="J1488" s="13"/>
      <c r="K1488" s="25"/>
      <c r="L1488" s="25"/>
      <c r="M1488" s="25"/>
      <c r="N1488" s="25"/>
      <c r="O1488" s="26"/>
      <c r="P1488" s="16" t="str">
        <f aca="false">IF(O1488="","",IFERROR(1/(1/(IF(K1488="",INDEX(CONFIG!$F$5:$F$14,MATCH(D1488,CONFIG!$D$5:$D$14,0)),K1488)*IF(M1488="",INDEX(CONFIG!$H$5:$H$14,MATCH(D1488,CONFIG!$D$5:$D$14,0)),M1488))),""))</f>
        <v/>
      </c>
      <c r="Q1488" s="16" t="str">
        <f aca="false">IF(OR(O1488="",P1488=""),"",O1488/P1488)</f>
        <v/>
      </c>
      <c r="R1488" s="16" t="str">
        <f aca="false">IF(Q1488="","",Q1488*0.0980665)</f>
        <v/>
      </c>
      <c r="S1488" s="16" t="str">
        <f aca="false">IF(Q1488="","",IFERROR(Q1488/(1/(1/INDEX(CONFIG!$I$5:$I$14,MATCH(D1488,CONFIG!$D$5:$D$14,0)))),""))</f>
        <v/>
      </c>
      <c r="T1488" s="13"/>
      <c r="U1488" s="13"/>
      <c r="V1488" s="13"/>
      <c r="W1488" s="13"/>
      <c r="X1488" s="22" t="str">
        <f aca="false">IF(Q1488="","",Q1488^2)</f>
        <v/>
      </c>
      <c r="Y1488" s="22" t="str">
        <f aca="false">IF(AND(C1488&lt;&gt;"",C1488=CERTIFICADO!$E$4,OR(CERTIFICADO!$E$5="",B1488=CERTIFICADO!$E$5)),MAX($Y$4:Y1487)+1,"")</f>
        <v/>
      </c>
    </row>
    <row r="1489" customFormat="false" ht="15" hidden="false" customHeight="false" outlineLevel="0" collapsed="false">
      <c r="A1489" s="11" t="str">
        <f aca="false">IF(C1489="","",ROW()-4)</f>
        <v/>
      </c>
      <c r="B1489" s="12"/>
      <c r="C1489" s="13"/>
      <c r="D1489" s="23" t="str">
        <f aca="false">IF(C1489="","",IFERROR(INDEX(LOTES!$D$5:$D$1004,MATCH(C1489,LOTES!$F$5:$F$1004,0)),"¿Lote?"))</f>
        <v/>
      </c>
      <c r="E1489" s="11" t="str">
        <f aca="false">IF(C1489="","",IFERROR(INDEX(LOTES!$C$5:$C$1004,MATCH(C1489,LOTES!$F$5:$F$1004,0)),""))</f>
        <v/>
      </c>
      <c r="F1489" s="24" t="str">
        <f aca="false">IF(C1489="","",IFERROR(INDEX(LOTES!$B$5:$B$1004,MATCH(C1489,LOTES!$F$5:$F$1004,0)),""))</f>
        <v/>
      </c>
      <c r="G1489" s="15" t="str">
        <f aca="false">IF(OR(B1489="",F1489=""),"",B1489-F1489)</f>
        <v/>
      </c>
      <c r="H1489" s="13"/>
      <c r="I1489" s="13"/>
      <c r="J1489" s="13"/>
      <c r="K1489" s="25"/>
      <c r="L1489" s="25"/>
      <c r="M1489" s="25"/>
      <c r="N1489" s="25"/>
      <c r="O1489" s="26"/>
      <c r="P1489" s="16" t="str">
        <f aca="false">IF(O1489="","",IFERROR(1/(1/(IF(K1489="",INDEX(CONFIG!$F$5:$F$14,MATCH(D1489,CONFIG!$D$5:$D$14,0)),K1489)*IF(M1489="",INDEX(CONFIG!$H$5:$H$14,MATCH(D1489,CONFIG!$D$5:$D$14,0)),M1489))),""))</f>
        <v/>
      </c>
      <c r="Q1489" s="16" t="str">
        <f aca="false">IF(OR(O1489="",P1489=""),"",O1489/P1489)</f>
        <v/>
      </c>
      <c r="R1489" s="16" t="str">
        <f aca="false">IF(Q1489="","",Q1489*0.0980665)</f>
        <v/>
      </c>
      <c r="S1489" s="16" t="str">
        <f aca="false">IF(Q1489="","",IFERROR(Q1489/(1/(1/INDEX(CONFIG!$I$5:$I$14,MATCH(D1489,CONFIG!$D$5:$D$14,0)))),""))</f>
        <v/>
      </c>
      <c r="T1489" s="13"/>
      <c r="U1489" s="13"/>
      <c r="V1489" s="13"/>
      <c r="W1489" s="13"/>
      <c r="X1489" s="22" t="str">
        <f aca="false">IF(Q1489="","",Q1489^2)</f>
        <v/>
      </c>
      <c r="Y1489" s="22" t="str">
        <f aca="false">IF(AND(C1489&lt;&gt;"",C1489=CERTIFICADO!$E$4,OR(CERTIFICADO!$E$5="",B1489=CERTIFICADO!$E$5)),MAX($Y$4:Y1488)+1,"")</f>
        <v/>
      </c>
    </row>
    <row r="1490" customFormat="false" ht="15" hidden="false" customHeight="false" outlineLevel="0" collapsed="false">
      <c r="A1490" s="11" t="str">
        <f aca="false">IF(C1490="","",ROW()-4)</f>
        <v/>
      </c>
      <c r="B1490" s="12"/>
      <c r="C1490" s="13"/>
      <c r="D1490" s="23" t="str">
        <f aca="false">IF(C1490="","",IFERROR(INDEX(LOTES!$D$5:$D$1004,MATCH(C1490,LOTES!$F$5:$F$1004,0)),"¿Lote?"))</f>
        <v/>
      </c>
      <c r="E1490" s="11" t="str">
        <f aca="false">IF(C1490="","",IFERROR(INDEX(LOTES!$C$5:$C$1004,MATCH(C1490,LOTES!$F$5:$F$1004,0)),""))</f>
        <v/>
      </c>
      <c r="F1490" s="24" t="str">
        <f aca="false">IF(C1490="","",IFERROR(INDEX(LOTES!$B$5:$B$1004,MATCH(C1490,LOTES!$F$5:$F$1004,0)),""))</f>
        <v/>
      </c>
      <c r="G1490" s="15" t="str">
        <f aca="false">IF(OR(B1490="",F1490=""),"",B1490-F1490)</f>
        <v/>
      </c>
      <c r="H1490" s="13"/>
      <c r="I1490" s="13"/>
      <c r="J1490" s="13"/>
      <c r="K1490" s="25"/>
      <c r="L1490" s="25"/>
      <c r="M1490" s="25"/>
      <c r="N1490" s="25"/>
      <c r="O1490" s="26"/>
      <c r="P1490" s="16" t="str">
        <f aca="false">IF(O1490="","",IFERROR(1/(1/(IF(K1490="",INDEX(CONFIG!$F$5:$F$14,MATCH(D1490,CONFIG!$D$5:$D$14,0)),K1490)*IF(M1490="",INDEX(CONFIG!$H$5:$H$14,MATCH(D1490,CONFIG!$D$5:$D$14,0)),M1490))),""))</f>
        <v/>
      </c>
      <c r="Q1490" s="16" t="str">
        <f aca="false">IF(OR(O1490="",P1490=""),"",O1490/P1490)</f>
        <v/>
      </c>
      <c r="R1490" s="16" t="str">
        <f aca="false">IF(Q1490="","",Q1490*0.0980665)</f>
        <v/>
      </c>
      <c r="S1490" s="16" t="str">
        <f aca="false">IF(Q1490="","",IFERROR(Q1490/(1/(1/INDEX(CONFIG!$I$5:$I$14,MATCH(D1490,CONFIG!$D$5:$D$14,0)))),""))</f>
        <v/>
      </c>
      <c r="T1490" s="13"/>
      <c r="U1490" s="13"/>
      <c r="V1490" s="13"/>
      <c r="W1490" s="13"/>
      <c r="X1490" s="22" t="str">
        <f aca="false">IF(Q1490="","",Q1490^2)</f>
        <v/>
      </c>
      <c r="Y1490" s="22" t="str">
        <f aca="false">IF(AND(C1490&lt;&gt;"",C1490=CERTIFICADO!$E$4,OR(CERTIFICADO!$E$5="",B1490=CERTIFICADO!$E$5)),MAX($Y$4:Y1489)+1,"")</f>
        <v/>
      </c>
    </row>
    <row r="1491" customFormat="false" ht="15" hidden="false" customHeight="false" outlineLevel="0" collapsed="false">
      <c r="A1491" s="11" t="str">
        <f aca="false">IF(C1491="","",ROW()-4)</f>
        <v/>
      </c>
      <c r="B1491" s="12"/>
      <c r="C1491" s="13"/>
      <c r="D1491" s="23" t="str">
        <f aca="false">IF(C1491="","",IFERROR(INDEX(LOTES!$D$5:$D$1004,MATCH(C1491,LOTES!$F$5:$F$1004,0)),"¿Lote?"))</f>
        <v/>
      </c>
      <c r="E1491" s="11" t="str">
        <f aca="false">IF(C1491="","",IFERROR(INDEX(LOTES!$C$5:$C$1004,MATCH(C1491,LOTES!$F$5:$F$1004,0)),""))</f>
        <v/>
      </c>
      <c r="F1491" s="24" t="str">
        <f aca="false">IF(C1491="","",IFERROR(INDEX(LOTES!$B$5:$B$1004,MATCH(C1491,LOTES!$F$5:$F$1004,0)),""))</f>
        <v/>
      </c>
      <c r="G1491" s="15" t="str">
        <f aca="false">IF(OR(B1491="",F1491=""),"",B1491-F1491)</f>
        <v/>
      </c>
      <c r="H1491" s="13"/>
      <c r="I1491" s="13"/>
      <c r="J1491" s="13"/>
      <c r="K1491" s="25"/>
      <c r="L1491" s="25"/>
      <c r="M1491" s="25"/>
      <c r="N1491" s="25"/>
      <c r="O1491" s="26"/>
      <c r="P1491" s="16" t="str">
        <f aca="false">IF(O1491="","",IFERROR(1/(1/(IF(K1491="",INDEX(CONFIG!$F$5:$F$14,MATCH(D1491,CONFIG!$D$5:$D$14,0)),K1491)*IF(M1491="",INDEX(CONFIG!$H$5:$H$14,MATCH(D1491,CONFIG!$D$5:$D$14,0)),M1491))),""))</f>
        <v/>
      </c>
      <c r="Q1491" s="16" t="str">
        <f aca="false">IF(OR(O1491="",P1491=""),"",O1491/P1491)</f>
        <v/>
      </c>
      <c r="R1491" s="16" t="str">
        <f aca="false">IF(Q1491="","",Q1491*0.0980665)</f>
        <v/>
      </c>
      <c r="S1491" s="16" t="str">
        <f aca="false">IF(Q1491="","",IFERROR(Q1491/(1/(1/INDEX(CONFIG!$I$5:$I$14,MATCH(D1491,CONFIG!$D$5:$D$14,0)))),""))</f>
        <v/>
      </c>
      <c r="T1491" s="13"/>
      <c r="U1491" s="13"/>
      <c r="V1491" s="13"/>
      <c r="W1491" s="13"/>
      <c r="X1491" s="22" t="str">
        <f aca="false">IF(Q1491="","",Q1491^2)</f>
        <v/>
      </c>
      <c r="Y1491" s="22" t="str">
        <f aca="false">IF(AND(C1491&lt;&gt;"",C1491=CERTIFICADO!$E$4,OR(CERTIFICADO!$E$5="",B1491=CERTIFICADO!$E$5)),MAX($Y$4:Y1490)+1,"")</f>
        <v/>
      </c>
    </row>
    <row r="1492" customFormat="false" ht="15" hidden="false" customHeight="false" outlineLevel="0" collapsed="false">
      <c r="A1492" s="11" t="str">
        <f aca="false">IF(C1492="","",ROW()-4)</f>
        <v/>
      </c>
      <c r="B1492" s="12"/>
      <c r="C1492" s="13"/>
      <c r="D1492" s="23" t="str">
        <f aca="false">IF(C1492="","",IFERROR(INDEX(LOTES!$D$5:$D$1004,MATCH(C1492,LOTES!$F$5:$F$1004,0)),"¿Lote?"))</f>
        <v/>
      </c>
      <c r="E1492" s="11" t="str">
        <f aca="false">IF(C1492="","",IFERROR(INDEX(LOTES!$C$5:$C$1004,MATCH(C1492,LOTES!$F$5:$F$1004,0)),""))</f>
        <v/>
      </c>
      <c r="F1492" s="24" t="str">
        <f aca="false">IF(C1492="","",IFERROR(INDEX(LOTES!$B$5:$B$1004,MATCH(C1492,LOTES!$F$5:$F$1004,0)),""))</f>
        <v/>
      </c>
      <c r="G1492" s="15" t="str">
        <f aca="false">IF(OR(B1492="",F1492=""),"",B1492-F1492)</f>
        <v/>
      </c>
      <c r="H1492" s="13"/>
      <c r="I1492" s="13"/>
      <c r="J1492" s="13"/>
      <c r="K1492" s="25"/>
      <c r="L1492" s="25"/>
      <c r="M1492" s="25"/>
      <c r="N1492" s="25"/>
      <c r="O1492" s="26"/>
      <c r="P1492" s="16" t="str">
        <f aca="false">IF(O1492="","",IFERROR(1/(1/(IF(K1492="",INDEX(CONFIG!$F$5:$F$14,MATCH(D1492,CONFIG!$D$5:$D$14,0)),K1492)*IF(M1492="",INDEX(CONFIG!$H$5:$H$14,MATCH(D1492,CONFIG!$D$5:$D$14,0)),M1492))),""))</f>
        <v/>
      </c>
      <c r="Q1492" s="16" t="str">
        <f aca="false">IF(OR(O1492="",P1492=""),"",O1492/P1492)</f>
        <v/>
      </c>
      <c r="R1492" s="16" t="str">
        <f aca="false">IF(Q1492="","",Q1492*0.0980665)</f>
        <v/>
      </c>
      <c r="S1492" s="16" t="str">
        <f aca="false">IF(Q1492="","",IFERROR(Q1492/(1/(1/INDEX(CONFIG!$I$5:$I$14,MATCH(D1492,CONFIG!$D$5:$D$14,0)))),""))</f>
        <v/>
      </c>
      <c r="T1492" s="13"/>
      <c r="U1492" s="13"/>
      <c r="V1492" s="13"/>
      <c r="W1492" s="13"/>
      <c r="X1492" s="22" t="str">
        <f aca="false">IF(Q1492="","",Q1492^2)</f>
        <v/>
      </c>
      <c r="Y1492" s="22" t="str">
        <f aca="false">IF(AND(C1492&lt;&gt;"",C1492=CERTIFICADO!$E$4,OR(CERTIFICADO!$E$5="",B1492=CERTIFICADO!$E$5)),MAX($Y$4:Y1491)+1,"")</f>
        <v/>
      </c>
    </row>
    <row r="1493" customFormat="false" ht="15" hidden="false" customHeight="false" outlineLevel="0" collapsed="false">
      <c r="A1493" s="11" t="str">
        <f aca="false">IF(C1493="","",ROW()-4)</f>
        <v/>
      </c>
      <c r="B1493" s="12"/>
      <c r="C1493" s="13"/>
      <c r="D1493" s="23" t="str">
        <f aca="false">IF(C1493="","",IFERROR(INDEX(LOTES!$D$5:$D$1004,MATCH(C1493,LOTES!$F$5:$F$1004,0)),"¿Lote?"))</f>
        <v/>
      </c>
      <c r="E1493" s="11" t="str">
        <f aca="false">IF(C1493="","",IFERROR(INDEX(LOTES!$C$5:$C$1004,MATCH(C1493,LOTES!$F$5:$F$1004,0)),""))</f>
        <v/>
      </c>
      <c r="F1493" s="24" t="str">
        <f aca="false">IF(C1493="","",IFERROR(INDEX(LOTES!$B$5:$B$1004,MATCH(C1493,LOTES!$F$5:$F$1004,0)),""))</f>
        <v/>
      </c>
      <c r="G1493" s="15" t="str">
        <f aca="false">IF(OR(B1493="",F1493=""),"",B1493-F1493)</f>
        <v/>
      </c>
      <c r="H1493" s="13"/>
      <c r="I1493" s="13"/>
      <c r="J1493" s="13"/>
      <c r="K1493" s="25"/>
      <c r="L1493" s="25"/>
      <c r="M1493" s="25"/>
      <c r="N1493" s="25"/>
      <c r="O1493" s="26"/>
      <c r="P1493" s="16" t="str">
        <f aca="false">IF(O1493="","",IFERROR(1/(1/(IF(K1493="",INDEX(CONFIG!$F$5:$F$14,MATCH(D1493,CONFIG!$D$5:$D$14,0)),K1493)*IF(M1493="",INDEX(CONFIG!$H$5:$H$14,MATCH(D1493,CONFIG!$D$5:$D$14,0)),M1493))),""))</f>
        <v/>
      </c>
      <c r="Q1493" s="16" t="str">
        <f aca="false">IF(OR(O1493="",P1493=""),"",O1493/P1493)</f>
        <v/>
      </c>
      <c r="R1493" s="16" t="str">
        <f aca="false">IF(Q1493="","",Q1493*0.0980665)</f>
        <v/>
      </c>
      <c r="S1493" s="16" t="str">
        <f aca="false">IF(Q1493="","",IFERROR(Q1493/(1/(1/INDEX(CONFIG!$I$5:$I$14,MATCH(D1493,CONFIG!$D$5:$D$14,0)))),""))</f>
        <v/>
      </c>
      <c r="T1493" s="13"/>
      <c r="U1493" s="13"/>
      <c r="V1493" s="13"/>
      <c r="W1493" s="13"/>
      <c r="X1493" s="22" t="str">
        <f aca="false">IF(Q1493="","",Q1493^2)</f>
        <v/>
      </c>
      <c r="Y1493" s="22" t="str">
        <f aca="false">IF(AND(C1493&lt;&gt;"",C1493=CERTIFICADO!$E$4,OR(CERTIFICADO!$E$5="",B1493=CERTIFICADO!$E$5)),MAX($Y$4:Y1492)+1,"")</f>
        <v/>
      </c>
    </row>
    <row r="1494" customFormat="false" ht="15" hidden="false" customHeight="false" outlineLevel="0" collapsed="false">
      <c r="A1494" s="11" t="str">
        <f aca="false">IF(C1494="","",ROW()-4)</f>
        <v/>
      </c>
      <c r="B1494" s="12"/>
      <c r="C1494" s="13"/>
      <c r="D1494" s="23" t="str">
        <f aca="false">IF(C1494="","",IFERROR(INDEX(LOTES!$D$5:$D$1004,MATCH(C1494,LOTES!$F$5:$F$1004,0)),"¿Lote?"))</f>
        <v/>
      </c>
      <c r="E1494" s="11" t="str">
        <f aca="false">IF(C1494="","",IFERROR(INDEX(LOTES!$C$5:$C$1004,MATCH(C1494,LOTES!$F$5:$F$1004,0)),""))</f>
        <v/>
      </c>
      <c r="F1494" s="24" t="str">
        <f aca="false">IF(C1494="","",IFERROR(INDEX(LOTES!$B$5:$B$1004,MATCH(C1494,LOTES!$F$5:$F$1004,0)),""))</f>
        <v/>
      </c>
      <c r="G1494" s="15" t="str">
        <f aca="false">IF(OR(B1494="",F1494=""),"",B1494-F1494)</f>
        <v/>
      </c>
      <c r="H1494" s="13"/>
      <c r="I1494" s="13"/>
      <c r="J1494" s="13"/>
      <c r="K1494" s="25"/>
      <c r="L1494" s="25"/>
      <c r="M1494" s="25"/>
      <c r="N1494" s="25"/>
      <c r="O1494" s="26"/>
      <c r="P1494" s="16" t="str">
        <f aca="false">IF(O1494="","",IFERROR(1/(1/(IF(K1494="",INDEX(CONFIG!$F$5:$F$14,MATCH(D1494,CONFIG!$D$5:$D$14,0)),K1494)*IF(M1494="",INDEX(CONFIG!$H$5:$H$14,MATCH(D1494,CONFIG!$D$5:$D$14,0)),M1494))),""))</f>
        <v/>
      </c>
      <c r="Q1494" s="16" t="str">
        <f aca="false">IF(OR(O1494="",P1494=""),"",O1494/P1494)</f>
        <v/>
      </c>
      <c r="R1494" s="16" t="str">
        <f aca="false">IF(Q1494="","",Q1494*0.0980665)</f>
        <v/>
      </c>
      <c r="S1494" s="16" t="str">
        <f aca="false">IF(Q1494="","",IFERROR(Q1494/(1/(1/INDEX(CONFIG!$I$5:$I$14,MATCH(D1494,CONFIG!$D$5:$D$14,0)))),""))</f>
        <v/>
      </c>
      <c r="T1494" s="13"/>
      <c r="U1494" s="13"/>
      <c r="V1494" s="13"/>
      <c r="W1494" s="13"/>
      <c r="X1494" s="22" t="str">
        <f aca="false">IF(Q1494="","",Q1494^2)</f>
        <v/>
      </c>
      <c r="Y1494" s="22" t="str">
        <f aca="false">IF(AND(C1494&lt;&gt;"",C1494=CERTIFICADO!$E$4,OR(CERTIFICADO!$E$5="",B1494=CERTIFICADO!$E$5)),MAX($Y$4:Y1493)+1,"")</f>
        <v/>
      </c>
    </row>
    <row r="1495" customFormat="false" ht="15" hidden="false" customHeight="false" outlineLevel="0" collapsed="false">
      <c r="A1495" s="11" t="str">
        <f aca="false">IF(C1495="","",ROW()-4)</f>
        <v/>
      </c>
      <c r="B1495" s="12"/>
      <c r="C1495" s="13"/>
      <c r="D1495" s="23" t="str">
        <f aca="false">IF(C1495="","",IFERROR(INDEX(LOTES!$D$5:$D$1004,MATCH(C1495,LOTES!$F$5:$F$1004,0)),"¿Lote?"))</f>
        <v/>
      </c>
      <c r="E1495" s="11" t="str">
        <f aca="false">IF(C1495="","",IFERROR(INDEX(LOTES!$C$5:$C$1004,MATCH(C1495,LOTES!$F$5:$F$1004,0)),""))</f>
        <v/>
      </c>
      <c r="F1495" s="24" t="str">
        <f aca="false">IF(C1495="","",IFERROR(INDEX(LOTES!$B$5:$B$1004,MATCH(C1495,LOTES!$F$5:$F$1004,0)),""))</f>
        <v/>
      </c>
      <c r="G1495" s="15" t="str">
        <f aca="false">IF(OR(B1495="",F1495=""),"",B1495-F1495)</f>
        <v/>
      </c>
      <c r="H1495" s="13"/>
      <c r="I1495" s="13"/>
      <c r="J1495" s="13"/>
      <c r="K1495" s="25"/>
      <c r="L1495" s="25"/>
      <c r="M1495" s="25"/>
      <c r="N1495" s="25"/>
      <c r="O1495" s="26"/>
      <c r="P1495" s="16" t="str">
        <f aca="false">IF(O1495="","",IFERROR(1/(1/(IF(K1495="",INDEX(CONFIG!$F$5:$F$14,MATCH(D1495,CONFIG!$D$5:$D$14,0)),K1495)*IF(M1495="",INDEX(CONFIG!$H$5:$H$14,MATCH(D1495,CONFIG!$D$5:$D$14,0)),M1495))),""))</f>
        <v/>
      </c>
      <c r="Q1495" s="16" t="str">
        <f aca="false">IF(OR(O1495="",P1495=""),"",O1495/P1495)</f>
        <v/>
      </c>
      <c r="R1495" s="16" t="str">
        <f aca="false">IF(Q1495="","",Q1495*0.0980665)</f>
        <v/>
      </c>
      <c r="S1495" s="16" t="str">
        <f aca="false">IF(Q1495="","",IFERROR(Q1495/(1/(1/INDEX(CONFIG!$I$5:$I$14,MATCH(D1495,CONFIG!$D$5:$D$14,0)))),""))</f>
        <v/>
      </c>
      <c r="T1495" s="13"/>
      <c r="U1495" s="13"/>
      <c r="V1495" s="13"/>
      <c r="W1495" s="13"/>
      <c r="X1495" s="22" t="str">
        <f aca="false">IF(Q1495="","",Q1495^2)</f>
        <v/>
      </c>
      <c r="Y1495" s="22" t="str">
        <f aca="false">IF(AND(C1495&lt;&gt;"",C1495=CERTIFICADO!$E$4,OR(CERTIFICADO!$E$5="",B1495=CERTIFICADO!$E$5)),MAX($Y$4:Y1494)+1,"")</f>
        <v/>
      </c>
    </row>
    <row r="1496" customFormat="false" ht="15" hidden="false" customHeight="false" outlineLevel="0" collapsed="false">
      <c r="A1496" s="11" t="str">
        <f aca="false">IF(C1496="","",ROW()-4)</f>
        <v/>
      </c>
      <c r="B1496" s="12"/>
      <c r="C1496" s="13"/>
      <c r="D1496" s="23" t="str">
        <f aca="false">IF(C1496="","",IFERROR(INDEX(LOTES!$D$5:$D$1004,MATCH(C1496,LOTES!$F$5:$F$1004,0)),"¿Lote?"))</f>
        <v/>
      </c>
      <c r="E1496" s="11" t="str">
        <f aca="false">IF(C1496="","",IFERROR(INDEX(LOTES!$C$5:$C$1004,MATCH(C1496,LOTES!$F$5:$F$1004,0)),""))</f>
        <v/>
      </c>
      <c r="F1496" s="24" t="str">
        <f aca="false">IF(C1496="","",IFERROR(INDEX(LOTES!$B$5:$B$1004,MATCH(C1496,LOTES!$F$5:$F$1004,0)),""))</f>
        <v/>
      </c>
      <c r="G1496" s="15" t="str">
        <f aca="false">IF(OR(B1496="",F1496=""),"",B1496-F1496)</f>
        <v/>
      </c>
      <c r="H1496" s="13"/>
      <c r="I1496" s="13"/>
      <c r="J1496" s="13"/>
      <c r="K1496" s="25"/>
      <c r="L1496" s="25"/>
      <c r="M1496" s="25"/>
      <c r="N1496" s="25"/>
      <c r="O1496" s="26"/>
      <c r="P1496" s="16" t="str">
        <f aca="false">IF(O1496="","",IFERROR(1/(1/(IF(K1496="",INDEX(CONFIG!$F$5:$F$14,MATCH(D1496,CONFIG!$D$5:$D$14,0)),K1496)*IF(M1496="",INDEX(CONFIG!$H$5:$H$14,MATCH(D1496,CONFIG!$D$5:$D$14,0)),M1496))),""))</f>
        <v/>
      </c>
      <c r="Q1496" s="16" t="str">
        <f aca="false">IF(OR(O1496="",P1496=""),"",O1496/P1496)</f>
        <v/>
      </c>
      <c r="R1496" s="16" t="str">
        <f aca="false">IF(Q1496="","",Q1496*0.0980665)</f>
        <v/>
      </c>
      <c r="S1496" s="16" t="str">
        <f aca="false">IF(Q1496="","",IFERROR(Q1496/(1/(1/INDEX(CONFIG!$I$5:$I$14,MATCH(D1496,CONFIG!$D$5:$D$14,0)))),""))</f>
        <v/>
      </c>
      <c r="T1496" s="13"/>
      <c r="U1496" s="13"/>
      <c r="V1496" s="13"/>
      <c r="W1496" s="13"/>
      <c r="X1496" s="22" t="str">
        <f aca="false">IF(Q1496="","",Q1496^2)</f>
        <v/>
      </c>
      <c r="Y1496" s="22" t="str">
        <f aca="false">IF(AND(C1496&lt;&gt;"",C1496=CERTIFICADO!$E$4,OR(CERTIFICADO!$E$5="",B1496=CERTIFICADO!$E$5)),MAX($Y$4:Y1495)+1,"")</f>
        <v/>
      </c>
    </row>
    <row r="1497" customFormat="false" ht="15" hidden="false" customHeight="false" outlineLevel="0" collapsed="false">
      <c r="A1497" s="11" t="str">
        <f aca="false">IF(C1497="","",ROW()-4)</f>
        <v/>
      </c>
      <c r="B1497" s="12"/>
      <c r="C1497" s="13"/>
      <c r="D1497" s="23" t="str">
        <f aca="false">IF(C1497="","",IFERROR(INDEX(LOTES!$D$5:$D$1004,MATCH(C1497,LOTES!$F$5:$F$1004,0)),"¿Lote?"))</f>
        <v/>
      </c>
      <c r="E1497" s="11" t="str">
        <f aca="false">IF(C1497="","",IFERROR(INDEX(LOTES!$C$5:$C$1004,MATCH(C1497,LOTES!$F$5:$F$1004,0)),""))</f>
        <v/>
      </c>
      <c r="F1497" s="24" t="str">
        <f aca="false">IF(C1497="","",IFERROR(INDEX(LOTES!$B$5:$B$1004,MATCH(C1497,LOTES!$F$5:$F$1004,0)),""))</f>
        <v/>
      </c>
      <c r="G1497" s="15" t="str">
        <f aca="false">IF(OR(B1497="",F1497=""),"",B1497-F1497)</f>
        <v/>
      </c>
      <c r="H1497" s="13"/>
      <c r="I1497" s="13"/>
      <c r="J1497" s="13"/>
      <c r="K1497" s="25"/>
      <c r="L1497" s="25"/>
      <c r="M1497" s="25"/>
      <c r="N1497" s="25"/>
      <c r="O1497" s="26"/>
      <c r="P1497" s="16" t="str">
        <f aca="false">IF(O1497="","",IFERROR(1/(1/(IF(K1497="",INDEX(CONFIG!$F$5:$F$14,MATCH(D1497,CONFIG!$D$5:$D$14,0)),K1497)*IF(M1497="",INDEX(CONFIG!$H$5:$H$14,MATCH(D1497,CONFIG!$D$5:$D$14,0)),M1497))),""))</f>
        <v/>
      </c>
      <c r="Q1497" s="16" t="str">
        <f aca="false">IF(OR(O1497="",P1497=""),"",O1497/P1497)</f>
        <v/>
      </c>
      <c r="R1497" s="16" t="str">
        <f aca="false">IF(Q1497="","",Q1497*0.0980665)</f>
        <v/>
      </c>
      <c r="S1497" s="16" t="str">
        <f aca="false">IF(Q1497="","",IFERROR(Q1497/(1/(1/INDEX(CONFIG!$I$5:$I$14,MATCH(D1497,CONFIG!$D$5:$D$14,0)))),""))</f>
        <v/>
      </c>
      <c r="T1497" s="13"/>
      <c r="U1497" s="13"/>
      <c r="V1497" s="13"/>
      <c r="W1497" s="13"/>
      <c r="X1497" s="22" t="str">
        <f aca="false">IF(Q1497="","",Q1497^2)</f>
        <v/>
      </c>
      <c r="Y1497" s="22" t="str">
        <f aca="false">IF(AND(C1497&lt;&gt;"",C1497=CERTIFICADO!$E$4,OR(CERTIFICADO!$E$5="",B1497=CERTIFICADO!$E$5)),MAX($Y$4:Y1496)+1,"")</f>
        <v/>
      </c>
    </row>
    <row r="1498" customFormat="false" ht="15" hidden="false" customHeight="false" outlineLevel="0" collapsed="false">
      <c r="A1498" s="11" t="str">
        <f aca="false">IF(C1498="","",ROW()-4)</f>
        <v/>
      </c>
      <c r="B1498" s="12"/>
      <c r="C1498" s="13"/>
      <c r="D1498" s="23" t="str">
        <f aca="false">IF(C1498="","",IFERROR(INDEX(LOTES!$D$5:$D$1004,MATCH(C1498,LOTES!$F$5:$F$1004,0)),"¿Lote?"))</f>
        <v/>
      </c>
      <c r="E1498" s="11" t="str">
        <f aca="false">IF(C1498="","",IFERROR(INDEX(LOTES!$C$5:$C$1004,MATCH(C1498,LOTES!$F$5:$F$1004,0)),""))</f>
        <v/>
      </c>
      <c r="F1498" s="24" t="str">
        <f aca="false">IF(C1498="","",IFERROR(INDEX(LOTES!$B$5:$B$1004,MATCH(C1498,LOTES!$F$5:$F$1004,0)),""))</f>
        <v/>
      </c>
      <c r="G1498" s="15" t="str">
        <f aca="false">IF(OR(B1498="",F1498=""),"",B1498-F1498)</f>
        <v/>
      </c>
      <c r="H1498" s="13"/>
      <c r="I1498" s="13"/>
      <c r="J1498" s="13"/>
      <c r="K1498" s="25"/>
      <c r="L1498" s="25"/>
      <c r="M1498" s="25"/>
      <c r="N1498" s="25"/>
      <c r="O1498" s="26"/>
      <c r="P1498" s="16" t="str">
        <f aca="false">IF(O1498="","",IFERROR(1/(1/(IF(K1498="",INDEX(CONFIG!$F$5:$F$14,MATCH(D1498,CONFIG!$D$5:$D$14,0)),K1498)*IF(M1498="",INDEX(CONFIG!$H$5:$H$14,MATCH(D1498,CONFIG!$D$5:$D$14,0)),M1498))),""))</f>
        <v/>
      </c>
      <c r="Q1498" s="16" t="str">
        <f aca="false">IF(OR(O1498="",P1498=""),"",O1498/P1498)</f>
        <v/>
      </c>
      <c r="R1498" s="16" t="str">
        <f aca="false">IF(Q1498="","",Q1498*0.0980665)</f>
        <v/>
      </c>
      <c r="S1498" s="16" t="str">
        <f aca="false">IF(Q1498="","",IFERROR(Q1498/(1/(1/INDEX(CONFIG!$I$5:$I$14,MATCH(D1498,CONFIG!$D$5:$D$14,0)))),""))</f>
        <v/>
      </c>
      <c r="T1498" s="13"/>
      <c r="U1498" s="13"/>
      <c r="V1498" s="13"/>
      <c r="W1498" s="13"/>
      <c r="X1498" s="22" t="str">
        <f aca="false">IF(Q1498="","",Q1498^2)</f>
        <v/>
      </c>
      <c r="Y1498" s="22" t="str">
        <f aca="false">IF(AND(C1498&lt;&gt;"",C1498=CERTIFICADO!$E$4,OR(CERTIFICADO!$E$5="",B1498=CERTIFICADO!$E$5)),MAX($Y$4:Y1497)+1,"")</f>
        <v/>
      </c>
    </row>
    <row r="1499" customFormat="false" ht="15" hidden="false" customHeight="false" outlineLevel="0" collapsed="false">
      <c r="A1499" s="11" t="str">
        <f aca="false">IF(C1499="","",ROW()-4)</f>
        <v/>
      </c>
      <c r="B1499" s="12"/>
      <c r="C1499" s="13"/>
      <c r="D1499" s="23" t="str">
        <f aca="false">IF(C1499="","",IFERROR(INDEX(LOTES!$D$5:$D$1004,MATCH(C1499,LOTES!$F$5:$F$1004,0)),"¿Lote?"))</f>
        <v/>
      </c>
      <c r="E1499" s="11" t="str">
        <f aca="false">IF(C1499="","",IFERROR(INDEX(LOTES!$C$5:$C$1004,MATCH(C1499,LOTES!$F$5:$F$1004,0)),""))</f>
        <v/>
      </c>
      <c r="F1499" s="24" t="str">
        <f aca="false">IF(C1499="","",IFERROR(INDEX(LOTES!$B$5:$B$1004,MATCH(C1499,LOTES!$F$5:$F$1004,0)),""))</f>
        <v/>
      </c>
      <c r="G1499" s="15" t="str">
        <f aca="false">IF(OR(B1499="",F1499=""),"",B1499-F1499)</f>
        <v/>
      </c>
      <c r="H1499" s="13"/>
      <c r="I1499" s="13"/>
      <c r="J1499" s="13"/>
      <c r="K1499" s="25"/>
      <c r="L1499" s="25"/>
      <c r="M1499" s="25"/>
      <c r="N1499" s="25"/>
      <c r="O1499" s="26"/>
      <c r="P1499" s="16" t="str">
        <f aca="false">IF(O1499="","",IFERROR(1/(1/(IF(K1499="",INDEX(CONFIG!$F$5:$F$14,MATCH(D1499,CONFIG!$D$5:$D$14,0)),K1499)*IF(M1499="",INDEX(CONFIG!$H$5:$H$14,MATCH(D1499,CONFIG!$D$5:$D$14,0)),M1499))),""))</f>
        <v/>
      </c>
      <c r="Q1499" s="16" t="str">
        <f aca="false">IF(OR(O1499="",P1499=""),"",O1499/P1499)</f>
        <v/>
      </c>
      <c r="R1499" s="16" t="str">
        <f aca="false">IF(Q1499="","",Q1499*0.0980665)</f>
        <v/>
      </c>
      <c r="S1499" s="16" t="str">
        <f aca="false">IF(Q1499="","",IFERROR(Q1499/(1/(1/INDEX(CONFIG!$I$5:$I$14,MATCH(D1499,CONFIG!$D$5:$D$14,0)))),""))</f>
        <v/>
      </c>
      <c r="T1499" s="13"/>
      <c r="U1499" s="13"/>
      <c r="V1499" s="13"/>
      <c r="W1499" s="13"/>
      <c r="X1499" s="22" t="str">
        <f aca="false">IF(Q1499="","",Q1499^2)</f>
        <v/>
      </c>
      <c r="Y1499" s="22" t="str">
        <f aca="false">IF(AND(C1499&lt;&gt;"",C1499=CERTIFICADO!$E$4,OR(CERTIFICADO!$E$5="",B1499=CERTIFICADO!$E$5)),MAX($Y$4:Y1498)+1,"")</f>
        <v/>
      </c>
    </row>
    <row r="1500" customFormat="false" ht="15" hidden="false" customHeight="false" outlineLevel="0" collapsed="false">
      <c r="A1500" s="11" t="str">
        <f aca="false">IF(C1500="","",ROW()-4)</f>
        <v/>
      </c>
      <c r="B1500" s="12"/>
      <c r="C1500" s="13"/>
      <c r="D1500" s="23" t="str">
        <f aca="false">IF(C1500="","",IFERROR(INDEX(LOTES!$D$5:$D$1004,MATCH(C1500,LOTES!$F$5:$F$1004,0)),"¿Lote?"))</f>
        <v/>
      </c>
      <c r="E1500" s="11" t="str">
        <f aca="false">IF(C1500="","",IFERROR(INDEX(LOTES!$C$5:$C$1004,MATCH(C1500,LOTES!$F$5:$F$1004,0)),""))</f>
        <v/>
      </c>
      <c r="F1500" s="24" t="str">
        <f aca="false">IF(C1500="","",IFERROR(INDEX(LOTES!$B$5:$B$1004,MATCH(C1500,LOTES!$F$5:$F$1004,0)),""))</f>
        <v/>
      </c>
      <c r="G1500" s="15" t="str">
        <f aca="false">IF(OR(B1500="",F1500=""),"",B1500-F1500)</f>
        <v/>
      </c>
      <c r="H1500" s="13"/>
      <c r="I1500" s="13"/>
      <c r="J1500" s="13"/>
      <c r="K1500" s="25"/>
      <c r="L1500" s="25"/>
      <c r="M1500" s="25"/>
      <c r="N1500" s="25"/>
      <c r="O1500" s="26"/>
      <c r="P1500" s="16" t="str">
        <f aca="false">IF(O1500="","",IFERROR(1/(1/(IF(K1500="",INDEX(CONFIG!$F$5:$F$14,MATCH(D1500,CONFIG!$D$5:$D$14,0)),K1500)*IF(M1500="",INDEX(CONFIG!$H$5:$H$14,MATCH(D1500,CONFIG!$D$5:$D$14,0)),M1500))),""))</f>
        <v/>
      </c>
      <c r="Q1500" s="16" t="str">
        <f aca="false">IF(OR(O1500="",P1500=""),"",O1500/P1500)</f>
        <v/>
      </c>
      <c r="R1500" s="16" t="str">
        <f aca="false">IF(Q1500="","",Q1500*0.0980665)</f>
        <v/>
      </c>
      <c r="S1500" s="16" t="str">
        <f aca="false">IF(Q1500="","",IFERROR(Q1500/(1/(1/INDEX(CONFIG!$I$5:$I$14,MATCH(D1500,CONFIG!$D$5:$D$14,0)))),""))</f>
        <v/>
      </c>
      <c r="T1500" s="13"/>
      <c r="U1500" s="13"/>
      <c r="V1500" s="13"/>
      <c r="W1500" s="13"/>
      <c r="X1500" s="22" t="str">
        <f aca="false">IF(Q1500="","",Q1500^2)</f>
        <v/>
      </c>
      <c r="Y1500" s="22" t="str">
        <f aca="false">IF(AND(C1500&lt;&gt;"",C1500=CERTIFICADO!$E$4,OR(CERTIFICADO!$E$5="",B1500=CERTIFICADO!$E$5)),MAX($Y$4:Y1499)+1,"")</f>
        <v/>
      </c>
    </row>
    <row r="1501" customFormat="false" ht="15" hidden="false" customHeight="false" outlineLevel="0" collapsed="false">
      <c r="A1501" s="11" t="str">
        <f aca="false">IF(C1501="","",ROW()-4)</f>
        <v/>
      </c>
      <c r="B1501" s="12"/>
      <c r="C1501" s="13"/>
      <c r="D1501" s="23" t="str">
        <f aca="false">IF(C1501="","",IFERROR(INDEX(LOTES!$D$5:$D$1004,MATCH(C1501,LOTES!$F$5:$F$1004,0)),"¿Lote?"))</f>
        <v/>
      </c>
      <c r="E1501" s="11" t="str">
        <f aca="false">IF(C1501="","",IFERROR(INDEX(LOTES!$C$5:$C$1004,MATCH(C1501,LOTES!$F$5:$F$1004,0)),""))</f>
        <v/>
      </c>
      <c r="F1501" s="24" t="str">
        <f aca="false">IF(C1501="","",IFERROR(INDEX(LOTES!$B$5:$B$1004,MATCH(C1501,LOTES!$F$5:$F$1004,0)),""))</f>
        <v/>
      </c>
      <c r="G1501" s="15" t="str">
        <f aca="false">IF(OR(B1501="",F1501=""),"",B1501-F1501)</f>
        <v/>
      </c>
      <c r="H1501" s="13"/>
      <c r="I1501" s="13"/>
      <c r="J1501" s="13"/>
      <c r="K1501" s="25"/>
      <c r="L1501" s="25"/>
      <c r="M1501" s="25"/>
      <c r="N1501" s="25"/>
      <c r="O1501" s="26"/>
      <c r="P1501" s="16" t="str">
        <f aca="false">IF(O1501="","",IFERROR(1/(1/(IF(K1501="",INDEX(CONFIG!$F$5:$F$14,MATCH(D1501,CONFIG!$D$5:$D$14,0)),K1501)*IF(M1501="",INDEX(CONFIG!$H$5:$H$14,MATCH(D1501,CONFIG!$D$5:$D$14,0)),M1501))),""))</f>
        <v/>
      </c>
      <c r="Q1501" s="16" t="str">
        <f aca="false">IF(OR(O1501="",P1501=""),"",O1501/P1501)</f>
        <v/>
      </c>
      <c r="R1501" s="16" t="str">
        <f aca="false">IF(Q1501="","",Q1501*0.0980665)</f>
        <v/>
      </c>
      <c r="S1501" s="16" t="str">
        <f aca="false">IF(Q1501="","",IFERROR(Q1501/(1/(1/INDEX(CONFIG!$I$5:$I$14,MATCH(D1501,CONFIG!$D$5:$D$14,0)))),""))</f>
        <v/>
      </c>
      <c r="T1501" s="13"/>
      <c r="U1501" s="13"/>
      <c r="V1501" s="13"/>
      <c r="W1501" s="13"/>
      <c r="X1501" s="22" t="str">
        <f aca="false">IF(Q1501="","",Q1501^2)</f>
        <v/>
      </c>
      <c r="Y1501" s="22" t="str">
        <f aca="false">IF(AND(C1501&lt;&gt;"",C1501=CERTIFICADO!$E$4,OR(CERTIFICADO!$E$5="",B1501=CERTIFICADO!$E$5)),MAX($Y$4:Y1500)+1,"")</f>
        <v/>
      </c>
    </row>
    <row r="1502" customFormat="false" ht="15" hidden="false" customHeight="false" outlineLevel="0" collapsed="false">
      <c r="A1502" s="11" t="str">
        <f aca="false">IF(C1502="","",ROW()-4)</f>
        <v/>
      </c>
      <c r="B1502" s="12"/>
      <c r="C1502" s="13"/>
      <c r="D1502" s="23" t="str">
        <f aca="false">IF(C1502="","",IFERROR(INDEX(LOTES!$D$5:$D$1004,MATCH(C1502,LOTES!$F$5:$F$1004,0)),"¿Lote?"))</f>
        <v/>
      </c>
      <c r="E1502" s="11" t="str">
        <f aca="false">IF(C1502="","",IFERROR(INDEX(LOTES!$C$5:$C$1004,MATCH(C1502,LOTES!$F$5:$F$1004,0)),""))</f>
        <v/>
      </c>
      <c r="F1502" s="24" t="str">
        <f aca="false">IF(C1502="","",IFERROR(INDEX(LOTES!$B$5:$B$1004,MATCH(C1502,LOTES!$F$5:$F$1004,0)),""))</f>
        <v/>
      </c>
      <c r="G1502" s="15" t="str">
        <f aca="false">IF(OR(B1502="",F1502=""),"",B1502-F1502)</f>
        <v/>
      </c>
      <c r="H1502" s="13"/>
      <c r="I1502" s="13"/>
      <c r="J1502" s="13"/>
      <c r="K1502" s="25"/>
      <c r="L1502" s="25"/>
      <c r="M1502" s="25"/>
      <c r="N1502" s="25"/>
      <c r="O1502" s="26"/>
      <c r="P1502" s="16" t="str">
        <f aca="false">IF(O1502="","",IFERROR(1/(1/(IF(K1502="",INDEX(CONFIG!$F$5:$F$14,MATCH(D1502,CONFIG!$D$5:$D$14,0)),K1502)*IF(M1502="",INDEX(CONFIG!$H$5:$H$14,MATCH(D1502,CONFIG!$D$5:$D$14,0)),M1502))),""))</f>
        <v/>
      </c>
      <c r="Q1502" s="16" t="str">
        <f aca="false">IF(OR(O1502="",P1502=""),"",O1502/P1502)</f>
        <v/>
      </c>
      <c r="R1502" s="16" t="str">
        <f aca="false">IF(Q1502="","",Q1502*0.0980665)</f>
        <v/>
      </c>
      <c r="S1502" s="16" t="str">
        <f aca="false">IF(Q1502="","",IFERROR(Q1502/(1/(1/INDEX(CONFIG!$I$5:$I$14,MATCH(D1502,CONFIG!$D$5:$D$14,0)))),""))</f>
        <v/>
      </c>
      <c r="T1502" s="13"/>
      <c r="U1502" s="13"/>
      <c r="V1502" s="13"/>
      <c r="W1502" s="13"/>
      <c r="X1502" s="22" t="str">
        <f aca="false">IF(Q1502="","",Q1502^2)</f>
        <v/>
      </c>
      <c r="Y1502" s="22" t="str">
        <f aca="false">IF(AND(C1502&lt;&gt;"",C1502=CERTIFICADO!$E$4,OR(CERTIFICADO!$E$5="",B1502=CERTIFICADO!$E$5)),MAX($Y$4:Y1501)+1,"")</f>
        <v/>
      </c>
    </row>
    <row r="1503" customFormat="false" ht="15" hidden="false" customHeight="false" outlineLevel="0" collapsed="false">
      <c r="A1503" s="11" t="str">
        <f aca="false">IF(C1503="","",ROW()-4)</f>
        <v/>
      </c>
      <c r="B1503" s="12"/>
      <c r="C1503" s="13"/>
      <c r="D1503" s="23" t="str">
        <f aca="false">IF(C1503="","",IFERROR(INDEX(LOTES!$D$5:$D$1004,MATCH(C1503,LOTES!$F$5:$F$1004,0)),"¿Lote?"))</f>
        <v/>
      </c>
      <c r="E1503" s="11" t="str">
        <f aca="false">IF(C1503="","",IFERROR(INDEX(LOTES!$C$5:$C$1004,MATCH(C1503,LOTES!$F$5:$F$1004,0)),""))</f>
        <v/>
      </c>
      <c r="F1503" s="24" t="str">
        <f aca="false">IF(C1503="","",IFERROR(INDEX(LOTES!$B$5:$B$1004,MATCH(C1503,LOTES!$F$5:$F$1004,0)),""))</f>
        <v/>
      </c>
      <c r="G1503" s="15" t="str">
        <f aca="false">IF(OR(B1503="",F1503=""),"",B1503-F1503)</f>
        <v/>
      </c>
      <c r="H1503" s="13"/>
      <c r="I1503" s="13"/>
      <c r="J1503" s="13"/>
      <c r="K1503" s="25"/>
      <c r="L1503" s="25"/>
      <c r="M1503" s="25"/>
      <c r="N1503" s="25"/>
      <c r="O1503" s="26"/>
      <c r="P1503" s="16" t="str">
        <f aca="false">IF(O1503="","",IFERROR(1/(1/(IF(K1503="",INDEX(CONFIG!$F$5:$F$14,MATCH(D1503,CONFIG!$D$5:$D$14,0)),K1503)*IF(M1503="",INDEX(CONFIG!$H$5:$H$14,MATCH(D1503,CONFIG!$D$5:$D$14,0)),M1503))),""))</f>
        <v/>
      </c>
      <c r="Q1503" s="16" t="str">
        <f aca="false">IF(OR(O1503="",P1503=""),"",O1503/P1503)</f>
        <v/>
      </c>
      <c r="R1503" s="16" t="str">
        <f aca="false">IF(Q1503="","",Q1503*0.0980665)</f>
        <v/>
      </c>
      <c r="S1503" s="16" t="str">
        <f aca="false">IF(Q1503="","",IFERROR(Q1503/(1/(1/INDEX(CONFIG!$I$5:$I$14,MATCH(D1503,CONFIG!$D$5:$D$14,0)))),""))</f>
        <v/>
      </c>
      <c r="T1503" s="13"/>
      <c r="U1503" s="13"/>
      <c r="V1503" s="13"/>
      <c r="W1503" s="13"/>
      <c r="X1503" s="22" t="str">
        <f aca="false">IF(Q1503="","",Q1503^2)</f>
        <v/>
      </c>
      <c r="Y1503" s="22" t="str">
        <f aca="false">IF(AND(C1503&lt;&gt;"",C1503=CERTIFICADO!$E$4,OR(CERTIFICADO!$E$5="",B1503=CERTIFICADO!$E$5)),MAX($Y$4:Y1502)+1,"")</f>
        <v/>
      </c>
    </row>
    <row r="1504" customFormat="false" ht="15" hidden="false" customHeight="false" outlineLevel="0" collapsed="false">
      <c r="A1504" s="11" t="str">
        <f aca="false">IF(C1504="","",ROW()-4)</f>
        <v/>
      </c>
      <c r="B1504" s="12"/>
      <c r="C1504" s="13"/>
      <c r="D1504" s="23" t="str">
        <f aca="false">IF(C1504="","",IFERROR(INDEX(LOTES!$D$5:$D$1004,MATCH(C1504,LOTES!$F$5:$F$1004,0)),"¿Lote?"))</f>
        <v/>
      </c>
      <c r="E1504" s="11" t="str">
        <f aca="false">IF(C1504="","",IFERROR(INDEX(LOTES!$C$5:$C$1004,MATCH(C1504,LOTES!$F$5:$F$1004,0)),""))</f>
        <v/>
      </c>
      <c r="F1504" s="24" t="str">
        <f aca="false">IF(C1504="","",IFERROR(INDEX(LOTES!$B$5:$B$1004,MATCH(C1504,LOTES!$F$5:$F$1004,0)),""))</f>
        <v/>
      </c>
      <c r="G1504" s="15" t="str">
        <f aca="false">IF(OR(B1504="",F1504=""),"",B1504-F1504)</f>
        <v/>
      </c>
      <c r="H1504" s="13"/>
      <c r="I1504" s="13"/>
      <c r="J1504" s="13"/>
      <c r="K1504" s="25"/>
      <c r="L1504" s="25"/>
      <c r="M1504" s="25"/>
      <c r="N1504" s="25"/>
      <c r="O1504" s="26"/>
      <c r="P1504" s="16" t="str">
        <f aca="false">IF(O1504="","",IFERROR(1/(1/(IF(K1504="",INDEX(CONFIG!$F$5:$F$14,MATCH(D1504,CONFIG!$D$5:$D$14,0)),K1504)*IF(M1504="",INDEX(CONFIG!$H$5:$H$14,MATCH(D1504,CONFIG!$D$5:$D$14,0)),M1504))),""))</f>
        <v/>
      </c>
      <c r="Q1504" s="16" t="str">
        <f aca="false">IF(OR(O1504="",P1504=""),"",O1504/P1504)</f>
        <v/>
      </c>
      <c r="R1504" s="16" t="str">
        <f aca="false">IF(Q1504="","",Q1504*0.0980665)</f>
        <v/>
      </c>
      <c r="S1504" s="16" t="str">
        <f aca="false">IF(Q1504="","",IFERROR(Q1504/(1/(1/INDEX(CONFIG!$I$5:$I$14,MATCH(D1504,CONFIG!$D$5:$D$14,0)))),""))</f>
        <v/>
      </c>
      <c r="T1504" s="13"/>
      <c r="U1504" s="13"/>
      <c r="V1504" s="13"/>
      <c r="W1504" s="13"/>
      <c r="X1504" s="22" t="str">
        <f aca="false">IF(Q1504="","",Q1504^2)</f>
        <v/>
      </c>
      <c r="Y1504" s="22" t="str">
        <f aca="false">IF(AND(C1504&lt;&gt;"",C1504=CERTIFICADO!$E$4,OR(CERTIFICADO!$E$5="",B1504=CERTIFICADO!$E$5)),MAX($Y$4:Y1503)+1,"")</f>
        <v/>
      </c>
    </row>
    <row r="1505" customFormat="false" ht="15" hidden="false" customHeight="false" outlineLevel="0" collapsed="false">
      <c r="A1505" s="11" t="str">
        <f aca="false">IF(C1505="","",ROW()-4)</f>
        <v/>
      </c>
      <c r="B1505" s="12"/>
      <c r="C1505" s="13"/>
      <c r="D1505" s="23" t="str">
        <f aca="false">IF(C1505="","",IFERROR(INDEX(LOTES!$D$5:$D$1004,MATCH(C1505,LOTES!$F$5:$F$1004,0)),"¿Lote?"))</f>
        <v/>
      </c>
      <c r="E1505" s="11" t="str">
        <f aca="false">IF(C1505="","",IFERROR(INDEX(LOTES!$C$5:$C$1004,MATCH(C1505,LOTES!$F$5:$F$1004,0)),""))</f>
        <v/>
      </c>
      <c r="F1505" s="24" t="str">
        <f aca="false">IF(C1505="","",IFERROR(INDEX(LOTES!$B$5:$B$1004,MATCH(C1505,LOTES!$F$5:$F$1004,0)),""))</f>
        <v/>
      </c>
      <c r="G1505" s="15" t="str">
        <f aca="false">IF(OR(B1505="",F1505=""),"",B1505-F1505)</f>
        <v/>
      </c>
      <c r="H1505" s="13"/>
      <c r="I1505" s="13"/>
      <c r="J1505" s="13"/>
      <c r="K1505" s="25"/>
      <c r="L1505" s="25"/>
      <c r="M1505" s="25"/>
      <c r="N1505" s="25"/>
      <c r="O1505" s="26"/>
      <c r="P1505" s="16" t="str">
        <f aca="false">IF(O1505="","",IFERROR(1/(1/(IF(K1505="",INDEX(CONFIG!$F$5:$F$14,MATCH(D1505,CONFIG!$D$5:$D$14,0)),K1505)*IF(M1505="",INDEX(CONFIG!$H$5:$H$14,MATCH(D1505,CONFIG!$D$5:$D$14,0)),M1505))),""))</f>
        <v/>
      </c>
      <c r="Q1505" s="16" t="str">
        <f aca="false">IF(OR(O1505="",P1505=""),"",O1505/P1505)</f>
        <v/>
      </c>
      <c r="R1505" s="16" t="str">
        <f aca="false">IF(Q1505="","",Q1505*0.0980665)</f>
        <v/>
      </c>
      <c r="S1505" s="16" t="str">
        <f aca="false">IF(Q1505="","",IFERROR(Q1505/(1/(1/INDEX(CONFIG!$I$5:$I$14,MATCH(D1505,CONFIG!$D$5:$D$14,0)))),""))</f>
        <v/>
      </c>
      <c r="T1505" s="13"/>
      <c r="U1505" s="13"/>
      <c r="V1505" s="13"/>
      <c r="W1505" s="13"/>
      <c r="X1505" s="22" t="str">
        <f aca="false">IF(Q1505="","",Q1505^2)</f>
        <v/>
      </c>
      <c r="Y1505" s="22" t="str">
        <f aca="false">IF(AND(C1505&lt;&gt;"",C1505=CERTIFICADO!$E$4,OR(CERTIFICADO!$E$5="",B1505=CERTIFICADO!$E$5)),MAX($Y$4:Y1504)+1,"")</f>
        <v/>
      </c>
    </row>
    <row r="1506" customFormat="false" ht="15" hidden="false" customHeight="false" outlineLevel="0" collapsed="false">
      <c r="A1506" s="11" t="str">
        <f aca="false">IF(C1506="","",ROW()-4)</f>
        <v/>
      </c>
      <c r="B1506" s="12"/>
      <c r="C1506" s="13"/>
      <c r="D1506" s="23" t="str">
        <f aca="false">IF(C1506="","",IFERROR(INDEX(LOTES!$D$5:$D$1004,MATCH(C1506,LOTES!$F$5:$F$1004,0)),"¿Lote?"))</f>
        <v/>
      </c>
      <c r="E1506" s="11" t="str">
        <f aca="false">IF(C1506="","",IFERROR(INDEX(LOTES!$C$5:$C$1004,MATCH(C1506,LOTES!$F$5:$F$1004,0)),""))</f>
        <v/>
      </c>
      <c r="F1506" s="24" t="str">
        <f aca="false">IF(C1506="","",IFERROR(INDEX(LOTES!$B$5:$B$1004,MATCH(C1506,LOTES!$F$5:$F$1004,0)),""))</f>
        <v/>
      </c>
      <c r="G1506" s="15" t="str">
        <f aca="false">IF(OR(B1506="",F1506=""),"",B1506-F1506)</f>
        <v/>
      </c>
      <c r="H1506" s="13"/>
      <c r="I1506" s="13"/>
      <c r="J1506" s="13"/>
      <c r="K1506" s="25"/>
      <c r="L1506" s="25"/>
      <c r="M1506" s="25"/>
      <c r="N1506" s="25"/>
      <c r="O1506" s="26"/>
      <c r="P1506" s="16" t="str">
        <f aca="false">IF(O1506="","",IFERROR(1/(1/(IF(K1506="",INDEX(CONFIG!$F$5:$F$14,MATCH(D1506,CONFIG!$D$5:$D$14,0)),K1506)*IF(M1506="",INDEX(CONFIG!$H$5:$H$14,MATCH(D1506,CONFIG!$D$5:$D$14,0)),M1506))),""))</f>
        <v/>
      </c>
      <c r="Q1506" s="16" t="str">
        <f aca="false">IF(OR(O1506="",P1506=""),"",O1506/P1506)</f>
        <v/>
      </c>
      <c r="R1506" s="16" t="str">
        <f aca="false">IF(Q1506="","",Q1506*0.0980665)</f>
        <v/>
      </c>
      <c r="S1506" s="16" t="str">
        <f aca="false">IF(Q1506="","",IFERROR(Q1506/(1/(1/INDEX(CONFIG!$I$5:$I$14,MATCH(D1506,CONFIG!$D$5:$D$14,0)))),""))</f>
        <v/>
      </c>
      <c r="T1506" s="13"/>
      <c r="U1506" s="13"/>
      <c r="V1506" s="13"/>
      <c r="W1506" s="13"/>
      <c r="X1506" s="22" t="str">
        <f aca="false">IF(Q1506="","",Q1506^2)</f>
        <v/>
      </c>
      <c r="Y1506" s="22" t="str">
        <f aca="false">IF(AND(C1506&lt;&gt;"",C1506=CERTIFICADO!$E$4,OR(CERTIFICADO!$E$5="",B1506=CERTIFICADO!$E$5)),MAX($Y$4:Y1505)+1,"")</f>
        <v/>
      </c>
    </row>
    <row r="1507" customFormat="false" ht="15" hidden="false" customHeight="false" outlineLevel="0" collapsed="false">
      <c r="A1507" s="11" t="str">
        <f aca="false">IF(C1507="","",ROW()-4)</f>
        <v/>
      </c>
      <c r="B1507" s="12"/>
      <c r="C1507" s="13"/>
      <c r="D1507" s="23" t="str">
        <f aca="false">IF(C1507="","",IFERROR(INDEX(LOTES!$D$5:$D$1004,MATCH(C1507,LOTES!$F$5:$F$1004,0)),"¿Lote?"))</f>
        <v/>
      </c>
      <c r="E1507" s="11" t="str">
        <f aca="false">IF(C1507="","",IFERROR(INDEX(LOTES!$C$5:$C$1004,MATCH(C1507,LOTES!$F$5:$F$1004,0)),""))</f>
        <v/>
      </c>
      <c r="F1507" s="24" t="str">
        <f aca="false">IF(C1507="","",IFERROR(INDEX(LOTES!$B$5:$B$1004,MATCH(C1507,LOTES!$F$5:$F$1004,0)),""))</f>
        <v/>
      </c>
      <c r="G1507" s="15" t="str">
        <f aca="false">IF(OR(B1507="",F1507=""),"",B1507-F1507)</f>
        <v/>
      </c>
      <c r="H1507" s="13"/>
      <c r="I1507" s="13"/>
      <c r="J1507" s="13"/>
      <c r="K1507" s="25"/>
      <c r="L1507" s="25"/>
      <c r="M1507" s="25"/>
      <c r="N1507" s="25"/>
      <c r="O1507" s="26"/>
      <c r="P1507" s="16" t="str">
        <f aca="false">IF(O1507="","",IFERROR(1/(1/(IF(K1507="",INDEX(CONFIG!$F$5:$F$14,MATCH(D1507,CONFIG!$D$5:$D$14,0)),K1507)*IF(M1507="",INDEX(CONFIG!$H$5:$H$14,MATCH(D1507,CONFIG!$D$5:$D$14,0)),M1507))),""))</f>
        <v/>
      </c>
      <c r="Q1507" s="16" t="str">
        <f aca="false">IF(OR(O1507="",P1507=""),"",O1507/P1507)</f>
        <v/>
      </c>
      <c r="R1507" s="16" t="str">
        <f aca="false">IF(Q1507="","",Q1507*0.0980665)</f>
        <v/>
      </c>
      <c r="S1507" s="16" t="str">
        <f aca="false">IF(Q1507="","",IFERROR(Q1507/(1/(1/INDEX(CONFIG!$I$5:$I$14,MATCH(D1507,CONFIG!$D$5:$D$14,0)))),""))</f>
        <v/>
      </c>
      <c r="T1507" s="13"/>
      <c r="U1507" s="13"/>
      <c r="V1507" s="13"/>
      <c r="W1507" s="13"/>
      <c r="X1507" s="22" t="str">
        <f aca="false">IF(Q1507="","",Q1507^2)</f>
        <v/>
      </c>
      <c r="Y1507" s="22" t="str">
        <f aca="false">IF(AND(C1507&lt;&gt;"",C1507=CERTIFICADO!$E$4,OR(CERTIFICADO!$E$5="",B1507=CERTIFICADO!$E$5)),MAX($Y$4:Y1506)+1,"")</f>
        <v/>
      </c>
    </row>
    <row r="1508" customFormat="false" ht="15" hidden="false" customHeight="false" outlineLevel="0" collapsed="false">
      <c r="A1508" s="11" t="str">
        <f aca="false">IF(C1508="","",ROW()-4)</f>
        <v/>
      </c>
      <c r="B1508" s="12"/>
      <c r="C1508" s="13"/>
      <c r="D1508" s="23" t="str">
        <f aca="false">IF(C1508="","",IFERROR(INDEX(LOTES!$D$5:$D$1004,MATCH(C1508,LOTES!$F$5:$F$1004,0)),"¿Lote?"))</f>
        <v/>
      </c>
      <c r="E1508" s="11" t="str">
        <f aca="false">IF(C1508="","",IFERROR(INDEX(LOTES!$C$5:$C$1004,MATCH(C1508,LOTES!$F$5:$F$1004,0)),""))</f>
        <v/>
      </c>
      <c r="F1508" s="24" t="str">
        <f aca="false">IF(C1508="","",IFERROR(INDEX(LOTES!$B$5:$B$1004,MATCH(C1508,LOTES!$F$5:$F$1004,0)),""))</f>
        <v/>
      </c>
      <c r="G1508" s="15" t="str">
        <f aca="false">IF(OR(B1508="",F1508=""),"",B1508-F1508)</f>
        <v/>
      </c>
      <c r="H1508" s="13"/>
      <c r="I1508" s="13"/>
      <c r="J1508" s="13"/>
      <c r="K1508" s="25"/>
      <c r="L1508" s="25"/>
      <c r="M1508" s="25"/>
      <c r="N1508" s="25"/>
      <c r="O1508" s="26"/>
      <c r="P1508" s="16" t="str">
        <f aca="false">IF(O1508="","",IFERROR(1/(1/(IF(K1508="",INDEX(CONFIG!$F$5:$F$14,MATCH(D1508,CONFIG!$D$5:$D$14,0)),K1508)*IF(M1508="",INDEX(CONFIG!$H$5:$H$14,MATCH(D1508,CONFIG!$D$5:$D$14,0)),M1508))),""))</f>
        <v/>
      </c>
      <c r="Q1508" s="16" t="str">
        <f aca="false">IF(OR(O1508="",P1508=""),"",O1508/P1508)</f>
        <v/>
      </c>
      <c r="R1508" s="16" t="str">
        <f aca="false">IF(Q1508="","",Q1508*0.0980665)</f>
        <v/>
      </c>
      <c r="S1508" s="16" t="str">
        <f aca="false">IF(Q1508="","",IFERROR(Q1508/(1/(1/INDEX(CONFIG!$I$5:$I$14,MATCH(D1508,CONFIG!$D$5:$D$14,0)))),""))</f>
        <v/>
      </c>
      <c r="T1508" s="13"/>
      <c r="U1508" s="13"/>
      <c r="V1508" s="13"/>
      <c r="W1508" s="13"/>
      <c r="X1508" s="22" t="str">
        <f aca="false">IF(Q1508="","",Q1508^2)</f>
        <v/>
      </c>
      <c r="Y1508" s="22" t="str">
        <f aca="false">IF(AND(C1508&lt;&gt;"",C1508=CERTIFICADO!$E$4,OR(CERTIFICADO!$E$5="",B1508=CERTIFICADO!$E$5)),MAX($Y$4:Y1507)+1,"")</f>
        <v/>
      </c>
    </row>
    <row r="1509" customFormat="false" ht="15" hidden="false" customHeight="false" outlineLevel="0" collapsed="false">
      <c r="A1509" s="11" t="str">
        <f aca="false">IF(C1509="","",ROW()-4)</f>
        <v/>
      </c>
      <c r="B1509" s="12"/>
      <c r="C1509" s="13"/>
      <c r="D1509" s="23" t="str">
        <f aca="false">IF(C1509="","",IFERROR(INDEX(LOTES!$D$5:$D$1004,MATCH(C1509,LOTES!$F$5:$F$1004,0)),"¿Lote?"))</f>
        <v/>
      </c>
      <c r="E1509" s="11" t="str">
        <f aca="false">IF(C1509="","",IFERROR(INDEX(LOTES!$C$5:$C$1004,MATCH(C1509,LOTES!$F$5:$F$1004,0)),""))</f>
        <v/>
      </c>
      <c r="F1509" s="24" t="str">
        <f aca="false">IF(C1509="","",IFERROR(INDEX(LOTES!$B$5:$B$1004,MATCH(C1509,LOTES!$F$5:$F$1004,0)),""))</f>
        <v/>
      </c>
      <c r="G1509" s="15" t="str">
        <f aca="false">IF(OR(B1509="",F1509=""),"",B1509-F1509)</f>
        <v/>
      </c>
      <c r="H1509" s="13"/>
      <c r="I1509" s="13"/>
      <c r="J1509" s="13"/>
      <c r="K1509" s="25"/>
      <c r="L1509" s="25"/>
      <c r="M1509" s="25"/>
      <c r="N1509" s="25"/>
      <c r="O1509" s="26"/>
      <c r="P1509" s="16" t="str">
        <f aca="false">IF(O1509="","",IFERROR(1/(1/(IF(K1509="",INDEX(CONFIG!$F$5:$F$14,MATCH(D1509,CONFIG!$D$5:$D$14,0)),K1509)*IF(M1509="",INDEX(CONFIG!$H$5:$H$14,MATCH(D1509,CONFIG!$D$5:$D$14,0)),M1509))),""))</f>
        <v/>
      </c>
      <c r="Q1509" s="16" t="str">
        <f aca="false">IF(OR(O1509="",P1509=""),"",O1509/P1509)</f>
        <v/>
      </c>
      <c r="R1509" s="16" t="str">
        <f aca="false">IF(Q1509="","",Q1509*0.0980665)</f>
        <v/>
      </c>
      <c r="S1509" s="16" t="str">
        <f aca="false">IF(Q1509="","",IFERROR(Q1509/(1/(1/INDEX(CONFIG!$I$5:$I$14,MATCH(D1509,CONFIG!$D$5:$D$14,0)))),""))</f>
        <v/>
      </c>
      <c r="T1509" s="13"/>
      <c r="U1509" s="13"/>
      <c r="V1509" s="13"/>
      <c r="W1509" s="13"/>
      <c r="X1509" s="22" t="str">
        <f aca="false">IF(Q1509="","",Q1509^2)</f>
        <v/>
      </c>
      <c r="Y1509" s="22" t="str">
        <f aca="false">IF(AND(C1509&lt;&gt;"",C1509=CERTIFICADO!$E$4,OR(CERTIFICADO!$E$5="",B1509=CERTIFICADO!$E$5)),MAX($Y$4:Y1508)+1,"")</f>
        <v/>
      </c>
    </row>
    <row r="1510" customFormat="false" ht="15" hidden="false" customHeight="false" outlineLevel="0" collapsed="false">
      <c r="A1510" s="11" t="str">
        <f aca="false">IF(C1510="","",ROW()-4)</f>
        <v/>
      </c>
      <c r="B1510" s="12"/>
      <c r="C1510" s="13"/>
      <c r="D1510" s="23" t="str">
        <f aca="false">IF(C1510="","",IFERROR(INDEX(LOTES!$D$5:$D$1004,MATCH(C1510,LOTES!$F$5:$F$1004,0)),"¿Lote?"))</f>
        <v/>
      </c>
      <c r="E1510" s="11" t="str">
        <f aca="false">IF(C1510="","",IFERROR(INDEX(LOTES!$C$5:$C$1004,MATCH(C1510,LOTES!$F$5:$F$1004,0)),""))</f>
        <v/>
      </c>
      <c r="F1510" s="24" t="str">
        <f aca="false">IF(C1510="","",IFERROR(INDEX(LOTES!$B$5:$B$1004,MATCH(C1510,LOTES!$F$5:$F$1004,0)),""))</f>
        <v/>
      </c>
      <c r="G1510" s="15" t="str">
        <f aca="false">IF(OR(B1510="",F1510=""),"",B1510-F1510)</f>
        <v/>
      </c>
      <c r="H1510" s="13"/>
      <c r="I1510" s="13"/>
      <c r="J1510" s="13"/>
      <c r="K1510" s="25"/>
      <c r="L1510" s="25"/>
      <c r="M1510" s="25"/>
      <c r="N1510" s="25"/>
      <c r="O1510" s="26"/>
      <c r="P1510" s="16" t="str">
        <f aca="false">IF(O1510="","",IFERROR(1/(1/(IF(K1510="",INDEX(CONFIG!$F$5:$F$14,MATCH(D1510,CONFIG!$D$5:$D$14,0)),K1510)*IF(M1510="",INDEX(CONFIG!$H$5:$H$14,MATCH(D1510,CONFIG!$D$5:$D$14,0)),M1510))),""))</f>
        <v/>
      </c>
      <c r="Q1510" s="16" t="str">
        <f aca="false">IF(OR(O1510="",P1510=""),"",O1510/P1510)</f>
        <v/>
      </c>
      <c r="R1510" s="16" t="str">
        <f aca="false">IF(Q1510="","",Q1510*0.0980665)</f>
        <v/>
      </c>
      <c r="S1510" s="16" t="str">
        <f aca="false">IF(Q1510="","",IFERROR(Q1510/(1/(1/INDEX(CONFIG!$I$5:$I$14,MATCH(D1510,CONFIG!$D$5:$D$14,0)))),""))</f>
        <v/>
      </c>
      <c r="T1510" s="13"/>
      <c r="U1510" s="13"/>
      <c r="V1510" s="13"/>
      <c r="W1510" s="13"/>
      <c r="X1510" s="22" t="str">
        <f aca="false">IF(Q1510="","",Q1510^2)</f>
        <v/>
      </c>
      <c r="Y1510" s="22" t="str">
        <f aca="false">IF(AND(C1510&lt;&gt;"",C1510=CERTIFICADO!$E$4,OR(CERTIFICADO!$E$5="",B1510=CERTIFICADO!$E$5)),MAX($Y$4:Y1509)+1,"")</f>
        <v/>
      </c>
    </row>
    <row r="1511" customFormat="false" ht="15" hidden="false" customHeight="false" outlineLevel="0" collapsed="false">
      <c r="A1511" s="11" t="str">
        <f aca="false">IF(C1511="","",ROW()-4)</f>
        <v/>
      </c>
      <c r="B1511" s="12"/>
      <c r="C1511" s="13"/>
      <c r="D1511" s="23" t="str">
        <f aca="false">IF(C1511="","",IFERROR(INDEX(LOTES!$D$5:$D$1004,MATCH(C1511,LOTES!$F$5:$F$1004,0)),"¿Lote?"))</f>
        <v/>
      </c>
      <c r="E1511" s="11" t="str">
        <f aca="false">IF(C1511="","",IFERROR(INDEX(LOTES!$C$5:$C$1004,MATCH(C1511,LOTES!$F$5:$F$1004,0)),""))</f>
        <v/>
      </c>
      <c r="F1511" s="24" t="str">
        <f aca="false">IF(C1511="","",IFERROR(INDEX(LOTES!$B$5:$B$1004,MATCH(C1511,LOTES!$F$5:$F$1004,0)),""))</f>
        <v/>
      </c>
      <c r="G1511" s="15" t="str">
        <f aca="false">IF(OR(B1511="",F1511=""),"",B1511-F1511)</f>
        <v/>
      </c>
      <c r="H1511" s="13"/>
      <c r="I1511" s="13"/>
      <c r="J1511" s="13"/>
      <c r="K1511" s="25"/>
      <c r="L1511" s="25"/>
      <c r="M1511" s="25"/>
      <c r="N1511" s="25"/>
      <c r="O1511" s="26"/>
      <c r="P1511" s="16" t="str">
        <f aca="false">IF(O1511="","",IFERROR(1/(1/(IF(K1511="",INDEX(CONFIG!$F$5:$F$14,MATCH(D1511,CONFIG!$D$5:$D$14,0)),K1511)*IF(M1511="",INDEX(CONFIG!$H$5:$H$14,MATCH(D1511,CONFIG!$D$5:$D$14,0)),M1511))),""))</f>
        <v/>
      </c>
      <c r="Q1511" s="16" t="str">
        <f aca="false">IF(OR(O1511="",P1511=""),"",O1511/P1511)</f>
        <v/>
      </c>
      <c r="R1511" s="16" t="str">
        <f aca="false">IF(Q1511="","",Q1511*0.0980665)</f>
        <v/>
      </c>
      <c r="S1511" s="16" t="str">
        <f aca="false">IF(Q1511="","",IFERROR(Q1511/(1/(1/INDEX(CONFIG!$I$5:$I$14,MATCH(D1511,CONFIG!$D$5:$D$14,0)))),""))</f>
        <v/>
      </c>
      <c r="T1511" s="13"/>
      <c r="U1511" s="13"/>
      <c r="V1511" s="13"/>
      <c r="W1511" s="13"/>
      <c r="X1511" s="22" t="str">
        <f aca="false">IF(Q1511="","",Q1511^2)</f>
        <v/>
      </c>
      <c r="Y1511" s="22" t="str">
        <f aca="false">IF(AND(C1511&lt;&gt;"",C1511=CERTIFICADO!$E$4,OR(CERTIFICADO!$E$5="",B1511=CERTIFICADO!$E$5)),MAX($Y$4:Y1510)+1,"")</f>
        <v/>
      </c>
    </row>
    <row r="1512" customFormat="false" ht="15" hidden="false" customHeight="false" outlineLevel="0" collapsed="false">
      <c r="A1512" s="11" t="str">
        <f aca="false">IF(C1512="","",ROW()-4)</f>
        <v/>
      </c>
      <c r="B1512" s="12"/>
      <c r="C1512" s="13"/>
      <c r="D1512" s="23" t="str">
        <f aca="false">IF(C1512="","",IFERROR(INDEX(LOTES!$D$5:$D$1004,MATCH(C1512,LOTES!$F$5:$F$1004,0)),"¿Lote?"))</f>
        <v/>
      </c>
      <c r="E1512" s="11" t="str">
        <f aca="false">IF(C1512="","",IFERROR(INDEX(LOTES!$C$5:$C$1004,MATCH(C1512,LOTES!$F$5:$F$1004,0)),""))</f>
        <v/>
      </c>
      <c r="F1512" s="24" t="str">
        <f aca="false">IF(C1512="","",IFERROR(INDEX(LOTES!$B$5:$B$1004,MATCH(C1512,LOTES!$F$5:$F$1004,0)),""))</f>
        <v/>
      </c>
      <c r="G1512" s="15" t="str">
        <f aca="false">IF(OR(B1512="",F1512=""),"",B1512-F1512)</f>
        <v/>
      </c>
      <c r="H1512" s="13"/>
      <c r="I1512" s="13"/>
      <c r="J1512" s="13"/>
      <c r="K1512" s="25"/>
      <c r="L1512" s="25"/>
      <c r="M1512" s="25"/>
      <c r="N1512" s="25"/>
      <c r="O1512" s="26"/>
      <c r="P1512" s="16" t="str">
        <f aca="false">IF(O1512="","",IFERROR(1/(1/(IF(K1512="",INDEX(CONFIG!$F$5:$F$14,MATCH(D1512,CONFIG!$D$5:$D$14,0)),K1512)*IF(M1512="",INDEX(CONFIG!$H$5:$H$14,MATCH(D1512,CONFIG!$D$5:$D$14,0)),M1512))),""))</f>
        <v/>
      </c>
      <c r="Q1512" s="16" t="str">
        <f aca="false">IF(OR(O1512="",P1512=""),"",O1512/P1512)</f>
        <v/>
      </c>
      <c r="R1512" s="16" t="str">
        <f aca="false">IF(Q1512="","",Q1512*0.0980665)</f>
        <v/>
      </c>
      <c r="S1512" s="16" t="str">
        <f aca="false">IF(Q1512="","",IFERROR(Q1512/(1/(1/INDEX(CONFIG!$I$5:$I$14,MATCH(D1512,CONFIG!$D$5:$D$14,0)))),""))</f>
        <v/>
      </c>
      <c r="T1512" s="13"/>
      <c r="U1512" s="13"/>
      <c r="V1512" s="13"/>
      <c r="W1512" s="13"/>
      <c r="X1512" s="22" t="str">
        <f aca="false">IF(Q1512="","",Q1512^2)</f>
        <v/>
      </c>
      <c r="Y1512" s="22" t="str">
        <f aca="false">IF(AND(C1512&lt;&gt;"",C1512=CERTIFICADO!$E$4,OR(CERTIFICADO!$E$5="",B1512=CERTIFICADO!$E$5)),MAX($Y$4:Y1511)+1,"")</f>
        <v/>
      </c>
    </row>
    <row r="1513" customFormat="false" ht="15" hidden="false" customHeight="false" outlineLevel="0" collapsed="false">
      <c r="A1513" s="11" t="str">
        <f aca="false">IF(C1513="","",ROW()-4)</f>
        <v/>
      </c>
      <c r="B1513" s="12"/>
      <c r="C1513" s="13"/>
      <c r="D1513" s="23" t="str">
        <f aca="false">IF(C1513="","",IFERROR(INDEX(LOTES!$D$5:$D$1004,MATCH(C1513,LOTES!$F$5:$F$1004,0)),"¿Lote?"))</f>
        <v/>
      </c>
      <c r="E1513" s="11" t="str">
        <f aca="false">IF(C1513="","",IFERROR(INDEX(LOTES!$C$5:$C$1004,MATCH(C1513,LOTES!$F$5:$F$1004,0)),""))</f>
        <v/>
      </c>
      <c r="F1513" s="24" t="str">
        <f aca="false">IF(C1513="","",IFERROR(INDEX(LOTES!$B$5:$B$1004,MATCH(C1513,LOTES!$F$5:$F$1004,0)),""))</f>
        <v/>
      </c>
      <c r="G1513" s="15" t="str">
        <f aca="false">IF(OR(B1513="",F1513=""),"",B1513-F1513)</f>
        <v/>
      </c>
      <c r="H1513" s="13"/>
      <c r="I1513" s="13"/>
      <c r="J1513" s="13"/>
      <c r="K1513" s="25"/>
      <c r="L1513" s="25"/>
      <c r="M1513" s="25"/>
      <c r="N1513" s="25"/>
      <c r="O1513" s="26"/>
      <c r="P1513" s="16" t="str">
        <f aca="false">IF(O1513="","",IFERROR(1/(1/(IF(K1513="",INDEX(CONFIG!$F$5:$F$14,MATCH(D1513,CONFIG!$D$5:$D$14,0)),K1513)*IF(M1513="",INDEX(CONFIG!$H$5:$H$14,MATCH(D1513,CONFIG!$D$5:$D$14,0)),M1513))),""))</f>
        <v/>
      </c>
      <c r="Q1513" s="16" t="str">
        <f aca="false">IF(OR(O1513="",P1513=""),"",O1513/P1513)</f>
        <v/>
      </c>
      <c r="R1513" s="16" t="str">
        <f aca="false">IF(Q1513="","",Q1513*0.0980665)</f>
        <v/>
      </c>
      <c r="S1513" s="16" t="str">
        <f aca="false">IF(Q1513="","",IFERROR(Q1513/(1/(1/INDEX(CONFIG!$I$5:$I$14,MATCH(D1513,CONFIG!$D$5:$D$14,0)))),""))</f>
        <v/>
      </c>
      <c r="T1513" s="13"/>
      <c r="U1513" s="13"/>
      <c r="V1513" s="13"/>
      <c r="W1513" s="13"/>
      <c r="X1513" s="22" t="str">
        <f aca="false">IF(Q1513="","",Q1513^2)</f>
        <v/>
      </c>
      <c r="Y1513" s="22" t="str">
        <f aca="false">IF(AND(C1513&lt;&gt;"",C1513=CERTIFICADO!$E$4,OR(CERTIFICADO!$E$5="",B1513=CERTIFICADO!$E$5)),MAX($Y$4:Y1512)+1,"")</f>
        <v/>
      </c>
    </row>
    <row r="1514" customFormat="false" ht="15" hidden="false" customHeight="false" outlineLevel="0" collapsed="false">
      <c r="A1514" s="11" t="str">
        <f aca="false">IF(C1514="","",ROW()-4)</f>
        <v/>
      </c>
      <c r="B1514" s="12"/>
      <c r="C1514" s="13"/>
      <c r="D1514" s="23" t="str">
        <f aca="false">IF(C1514="","",IFERROR(INDEX(LOTES!$D$5:$D$1004,MATCH(C1514,LOTES!$F$5:$F$1004,0)),"¿Lote?"))</f>
        <v/>
      </c>
      <c r="E1514" s="11" t="str">
        <f aca="false">IF(C1514="","",IFERROR(INDEX(LOTES!$C$5:$C$1004,MATCH(C1514,LOTES!$F$5:$F$1004,0)),""))</f>
        <v/>
      </c>
      <c r="F1514" s="24" t="str">
        <f aca="false">IF(C1514="","",IFERROR(INDEX(LOTES!$B$5:$B$1004,MATCH(C1514,LOTES!$F$5:$F$1004,0)),""))</f>
        <v/>
      </c>
      <c r="G1514" s="15" t="str">
        <f aca="false">IF(OR(B1514="",F1514=""),"",B1514-F1514)</f>
        <v/>
      </c>
      <c r="H1514" s="13"/>
      <c r="I1514" s="13"/>
      <c r="J1514" s="13"/>
      <c r="K1514" s="25"/>
      <c r="L1514" s="25"/>
      <c r="M1514" s="25"/>
      <c r="N1514" s="25"/>
      <c r="O1514" s="26"/>
      <c r="P1514" s="16" t="str">
        <f aca="false">IF(O1514="","",IFERROR(1/(1/(IF(K1514="",INDEX(CONFIG!$F$5:$F$14,MATCH(D1514,CONFIG!$D$5:$D$14,0)),K1514)*IF(M1514="",INDEX(CONFIG!$H$5:$H$14,MATCH(D1514,CONFIG!$D$5:$D$14,0)),M1514))),""))</f>
        <v/>
      </c>
      <c r="Q1514" s="16" t="str">
        <f aca="false">IF(OR(O1514="",P1514=""),"",O1514/P1514)</f>
        <v/>
      </c>
      <c r="R1514" s="16" t="str">
        <f aca="false">IF(Q1514="","",Q1514*0.0980665)</f>
        <v/>
      </c>
      <c r="S1514" s="16" t="str">
        <f aca="false">IF(Q1514="","",IFERROR(Q1514/(1/(1/INDEX(CONFIG!$I$5:$I$14,MATCH(D1514,CONFIG!$D$5:$D$14,0)))),""))</f>
        <v/>
      </c>
      <c r="T1514" s="13"/>
      <c r="U1514" s="13"/>
      <c r="V1514" s="13"/>
      <c r="W1514" s="13"/>
      <c r="X1514" s="22" t="str">
        <f aca="false">IF(Q1514="","",Q1514^2)</f>
        <v/>
      </c>
      <c r="Y1514" s="22" t="str">
        <f aca="false">IF(AND(C1514&lt;&gt;"",C1514=CERTIFICADO!$E$4,OR(CERTIFICADO!$E$5="",B1514=CERTIFICADO!$E$5)),MAX($Y$4:Y1513)+1,"")</f>
        <v/>
      </c>
    </row>
    <row r="1515" customFormat="false" ht="15" hidden="false" customHeight="false" outlineLevel="0" collapsed="false">
      <c r="A1515" s="11" t="str">
        <f aca="false">IF(C1515="","",ROW()-4)</f>
        <v/>
      </c>
      <c r="B1515" s="12"/>
      <c r="C1515" s="13"/>
      <c r="D1515" s="23" t="str">
        <f aca="false">IF(C1515="","",IFERROR(INDEX(LOTES!$D$5:$D$1004,MATCH(C1515,LOTES!$F$5:$F$1004,0)),"¿Lote?"))</f>
        <v/>
      </c>
      <c r="E1515" s="11" t="str">
        <f aca="false">IF(C1515="","",IFERROR(INDEX(LOTES!$C$5:$C$1004,MATCH(C1515,LOTES!$F$5:$F$1004,0)),""))</f>
        <v/>
      </c>
      <c r="F1515" s="24" t="str">
        <f aca="false">IF(C1515="","",IFERROR(INDEX(LOTES!$B$5:$B$1004,MATCH(C1515,LOTES!$F$5:$F$1004,0)),""))</f>
        <v/>
      </c>
      <c r="G1515" s="15" t="str">
        <f aca="false">IF(OR(B1515="",F1515=""),"",B1515-F1515)</f>
        <v/>
      </c>
      <c r="H1515" s="13"/>
      <c r="I1515" s="13"/>
      <c r="J1515" s="13"/>
      <c r="K1515" s="25"/>
      <c r="L1515" s="25"/>
      <c r="M1515" s="25"/>
      <c r="N1515" s="25"/>
      <c r="O1515" s="26"/>
      <c r="P1515" s="16" t="str">
        <f aca="false">IF(O1515="","",IFERROR(1/(1/(IF(K1515="",INDEX(CONFIG!$F$5:$F$14,MATCH(D1515,CONFIG!$D$5:$D$14,0)),K1515)*IF(M1515="",INDEX(CONFIG!$H$5:$H$14,MATCH(D1515,CONFIG!$D$5:$D$14,0)),M1515))),""))</f>
        <v/>
      </c>
      <c r="Q1515" s="16" t="str">
        <f aca="false">IF(OR(O1515="",P1515=""),"",O1515/P1515)</f>
        <v/>
      </c>
      <c r="R1515" s="16" t="str">
        <f aca="false">IF(Q1515="","",Q1515*0.0980665)</f>
        <v/>
      </c>
      <c r="S1515" s="16" t="str">
        <f aca="false">IF(Q1515="","",IFERROR(Q1515/(1/(1/INDEX(CONFIG!$I$5:$I$14,MATCH(D1515,CONFIG!$D$5:$D$14,0)))),""))</f>
        <v/>
      </c>
      <c r="T1515" s="13"/>
      <c r="U1515" s="13"/>
      <c r="V1515" s="13"/>
      <c r="W1515" s="13"/>
      <c r="X1515" s="22" t="str">
        <f aca="false">IF(Q1515="","",Q1515^2)</f>
        <v/>
      </c>
      <c r="Y1515" s="22" t="str">
        <f aca="false">IF(AND(C1515&lt;&gt;"",C1515=CERTIFICADO!$E$4,OR(CERTIFICADO!$E$5="",B1515=CERTIFICADO!$E$5)),MAX($Y$4:Y1514)+1,"")</f>
        <v/>
      </c>
    </row>
    <row r="1516" customFormat="false" ht="15" hidden="false" customHeight="false" outlineLevel="0" collapsed="false">
      <c r="A1516" s="11" t="str">
        <f aca="false">IF(C1516="","",ROW()-4)</f>
        <v/>
      </c>
      <c r="B1516" s="12"/>
      <c r="C1516" s="13"/>
      <c r="D1516" s="23" t="str">
        <f aca="false">IF(C1516="","",IFERROR(INDEX(LOTES!$D$5:$D$1004,MATCH(C1516,LOTES!$F$5:$F$1004,0)),"¿Lote?"))</f>
        <v/>
      </c>
      <c r="E1516" s="11" t="str">
        <f aca="false">IF(C1516="","",IFERROR(INDEX(LOTES!$C$5:$C$1004,MATCH(C1516,LOTES!$F$5:$F$1004,0)),""))</f>
        <v/>
      </c>
      <c r="F1516" s="24" t="str">
        <f aca="false">IF(C1516="","",IFERROR(INDEX(LOTES!$B$5:$B$1004,MATCH(C1516,LOTES!$F$5:$F$1004,0)),""))</f>
        <v/>
      </c>
      <c r="G1516" s="15" t="str">
        <f aca="false">IF(OR(B1516="",F1516=""),"",B1516-F1516)</f>
        <v/>
      </c>
      <c r="H1516" s="13"/>
      <c r="I1516" s="13"/>
      <c r="J1516" s="13"/>
      <c r="K1516" s="25"/>
      <c r="L1516" s="25"/>
      <c r="M1516" s="25"/>
      <c r="N1516" s="25"/>
      <c r="O1516" s="26"/>
      <c r="P1516" s="16" t="str">
        <f aca="false">IF(O1516="","",IFERROR(1/(1/(IF(K1516="",INDEX(CONFIG!$F$5:$F$14,MATCH(D1516,CONFIG!$D$5:$D$14,0)),K1516)*IF(M1516="",INDEX(CONFIG!$H$5:$H$14,MATCH(D1516,CONFIG!$D$5:$D$14,0)),M1516))),""))</f>
        <v/>
      </c>
      <c r="Q1516" s="16" t="str">
        <f aca="false">IF(OR(O1516="",P1516=""),"",O1516/P1516)</f>
        <v/>
      </c>
      <c r="R1516" s="16" t="str">
        <f aca="false">IF(Q1516="","",Q1516*0.0980665)</f>
        <v/>
      </c>
      <c r="S1516" s="16" t="str">
        <f aca="false">IF(Q1516="","",IFERROR(Q1516/(1/(1/INDEX(CONFIG!$I$5:$I$14,MATCH(D1516,CONFIG!$D$5:$D$14,0)))),""))</f>
        <v/>
      </c>
      <c r="T1516" s="13"/>
      <c r="U1516" s="13"/>
      <c r="V1516" s="13"/>
      <c r="W1516" s="13"/>
      <c r="X1516" s="22" t="str">
        <f aca="false">IF(Q1516="","",Q1516^2)</f>
        <v/>
      </c>
      <c r="Y1516" s="22" t="str">
        <f aca="false">IF(AND(C1516&lt;&gt;"",C1516=CERTIFICADO!$E$4,OR(CERTIFICADO!$E$5="",B1516=CERTIFICADO!$E$5)),MAX($Y$4:Y1515)+1,"")</f>
        <v/>
      </c>
    </row>
    <row r="1517" customFormat="false" ht="15" hidden="false" customHeight="false" outlineLevel="0" collapsed="false">
      <c r="A1517" s="11" t="str">
        <f aca="false">IF(C1517="","",ROW()-4)</f>
        <v/>
      </c>
      <c r="B1517" s="12"/>
      <c r="C1517" s="13"/>
      <c r="D1517" s="23" t="str">
        <f aca="false">IF(C1517="","",IFERROR(INDEX(LOTES!$D$5:$D$1004,MATCH(C1517,LOTES!$F$5:$F$1004,0)),"¿Lote?"))</f>
        <v/>
      </c>
      <c r="E1517" s="11" t="str">
        <f aca="false">IF(C1517="","",IFERROR(INDEX(LOTES!$C$5:$C$1004,MATCH(C1517,LOTES!$F$5:$F$1004,0)),""))</f>
        <v/>
      </c>
      <c r="F1517" s="24" t="str">
        <f aca="false">IF(C1517="","",IFERROR(INDEX(LOTES!$B$5:$B$1004,MATCH(C1517,LOTES!$F$5:$F$1004,0)),""))</f>
        <v/>
      </c>
      <c r="G1517" s="15" t="str">
        <f aca="false">IF(OR(B1517="",F1517=""),"",B1517-F1517)</f>
        <v/>
      </c>
      <c r="H1517" s="13"/>
      <c r="I1517" s="13"/>
      <c r="J1517" s="13"/>
      <c r="K1517" s="25"/>
      <c r="L1517" s="25"/>
      <c r="M1517" s="25"/>
      <c r="N1517" s="25"/>
      <c r="O1517" s="26"/>
      <c r="P1517" s="16" t="str">
        <f aca="false">IF(O1517="","",IFERROR(1/(1/(IF(K1517="",INDEX(CONFIG!$F$5:$F$14,MATCH(D1517,CONFIG!$D$5:$D$14,0)),K1517)*IF(M1517="",INDEX(CONFIG!$H$5:$H$14,MATCH(D1517,CONFIG!$D$5:$D$14,0)),M1517))),""))</f>
        <v/>
      </c>
      <c r="Q1517" s="16" t="str">
        <f aca="false">IF(OR(O1517="",P1517=""),"",O1517/P1517)</f>
        <v/>
      </c>
      <c r="R1517" s="16" t="str">
        <f aca="false">IF(Q1517="","",Q1517*0.0980665)</f>
        <v/>
      </c>
      <c r="S1517" s="16" t="str">
        <f aca="false">IF(Q1517="","",IFERROR(Q1517/(1/(1/INDEX(CONFIG!$I$5:$I$14,MATCH(D1517,CONFIG!$D$5:$D$14,0)))),""))</f>
        <v/>
      </c>
      <c r="T1517" s="13"/>
      <c r="U1517" s="13"/>
      <c r="V1517" s="13"/>
      <c r="W1517" s="13"/>
      <c r="X1517" s="22" t="str">
        <f aca="false">IF(Q1517="","",Q1517^2)</f>
        <v/>
      </c>
      <c r="Y1517" s="22" t="str">
        <f aca="false">IF(AND(C1517&lt;&gt;"",C1517=CERTIFICADO!$E$4,OR(CERTIFICADO!$E$5="",B1517=CERTIFICADO!$E$5)),MAX($Y$4:Y1516)+1,"")</f>
        <v/>
      </c>
    </row>
    <row r="1518" customFormat="false" ht="15" hidden="false" customHeight="false" outlineLevel="0" collapsed="false">
      <c r="A1518" s="11" t="str">
        <f aca="false">IF(C1518="","",ROW()-4)</f>
        <v/>
      </c>
      <c r="B1518" s="12"/>
      <c r="C1518" s="13"/>
      <c r="D1518" s="23" t="str">
        <f aca="false">IF(C1518="","",IFERROR(INDEX(LOTES!$D$5:$D$1004,MATCH(C1518,LOTES!$F$5:$F$1004,0)),"¿Lote?"))</f>
        <v/>
      </c>
      <c r="E1518" s="11" t="str">
        <f aca="false">IF(C1518="","",IFERROR(INDEX(LOTES!$C$5:$C$1004,MATCH(C1518,LOTES!$F$5:$F$1004,0)),""))</f>
        <v/>
      </c>
      <c r="F1518" s="24" t="str">
        <f aca="false">IF(C1518="","",IFERROR(INDEX(LOTES!$B$5:$B$1004,MATCH(C1518,LOTES!$F$5:$F$1004,0)),""))</f>
        <v/>
      </c>
      <c r="G1518" s="15" t="str">
        <f aca="false">IF(OR(B1518="",F1518=""),"",B1518-F1518)</f>
        <v/>
      </c>
      <c r="H1518" s="13"/>
      <c r="I1518" s="13"/>
      <c r="J1518" s="13"/>
      <c r="K1518" s="25"/>
      <c r="L1518" s="25"/>
      <c r="M1518" s="25"/>
      <c r="N1518" s="25"/>
      <c r="O1518" s="26"/>
      <c r="P1518" s="16" t="str">
        <f aca="false">IF(O1518="","",IFERROR(1/(1/(IF(K1518="",INDEX(CONFIG!$F$5:$F$14,MATCH(D1518,CONFIG!$D$5:$D$14,0)),K1518)*IF(M1518="",INDEX(CONFIG!$H$5:$H$14,MATCH(D1518,CONFIG!$D$5:$D$14,0)),M1518))),""))</f>
        <v/>
      </c>
      <c r="Q1518" s="16" t="str">
        <f aca="false">IF(OR(O1518="",P1518=""),"",O1518/P1518)</f>
        <v/>
      </c>
      <c r="R1518" s="16" t="str">
        <f aca="false">IF(Q1518="","",Q1518*0.0980665)</f>
        <v/>
      </c>
      <c r="S1518" s="16" t="str">
        <f aca="false">IF(Q1518="","",IFERROR(Q1518/(1/(1/INDEX(CONFIG!$I$5:$I$14,MATCH(D1518,CONFIG!$D$5:$D$14,0)))),""))</f>
        <v/>
      </c>
      <c r="T1518" s="13"/>
      <c r="U1518" s="13"/>
      <c r="V1518" s="13"/>
      <c r="W1518" s="13"/>
      <c r="X1518" s="22" t="str">
        <f aca="false">IF(Q1518="","",Q1518^2)</f>
        <v/>
      </c>
      <c r="Y1518" s="22" t="str">
        <f aca="false">IF(AND(C1518&lt;&gt;"",C1518=CERTIFICADO!$E$4,OR(CERTIFICADO!$E$5="",B1518=CERTIFICADO!$E$5)),MAX($Y$4:Y1517)+1,"")</f>
        <v/>
      </c>
    </row>
    <row r="1519" customFormat="false" ht="15" hidden="false" customHeight="false" outlineLevel="0" collapsed="false">
      <c r="A1519" s="11" t="str">
        <f aca="false">IF(C1519="","",ROW()-4)</f>
        <v/>
      </c>
      <c r="B1519" s="12"/>
      <c r="C1519" s="13"/>
      <c r="D1519" s="23" t="str">
        <f aca="false">IF(C1519="","",IFERROR(INDEX(LOTES!$D$5:$D$1004,MATCH(C1519,LOTES!$F$5:$F$1004,0)),"¿Lote?"))</f>
        <v/>
      </c>
      <c r="E1519" s="11" t="str">
        <f aca="false">IF(C1519="","",IFERROR(INDEX(LOTES!$C$5:$C$1004,MATCH(C1519,LOTES!$F$5:$F$1004,0)),""))</f>
        <v/>
      </c>
      <c r="F1519" s="24" t="str">
        <f aca="false">IF(C1519="","",IFERROR(INDEX(LOTES!$B$5:$B$1004,MATCH(C1519,LOTES!$F$5:$F$1004,0)),""))</f>
        <v/>
      </c>
      <c r="G1519" s="15" t="str">
        <f aca="false">IF(OR(B1519="",F1519=""),"",B1519-F1519)</f>
        <v/>
      </c>
      <c r="H1519" s="13"/>
      <c r="I1519" s="13"/>
      <c r="J1519" s="13"/>
      <c r="K1519" s="25"/>
      <c r="L1519" s="25"/>
      <c r="M1519" s="25"/>
      <c r="N1519" s="25"/>
      <c r="O1519" s="26"/>
      <c r="P1519" s="16" t="str">
        <f aca="false">IF(O1519="","",IFERROR(1/(1/(IF(K1519="",INDEX(CONFIG!$F$5:$F$14,MATCH(D1519,CONFIG!$D$5:$D$14,0)),K1519)*IF(M1519="",INDEX(CONFIG!$H$5:$H$14,MATCH(D1519,CONFIG!$D$5:$D$14,0)),M1519))),""))</f>
        <v/>
      </c>
      <c r="Q1519" s="16" t="str">
        <f aca="false">IF(OR(O1519="",P1519=""),"",O1519/P1519)</f>
        <v/>
      </c>
      <c r="R1519" s="16" t="str">
        <f aca="false">IF(Q1519="","",Q1519*0.0980665)</f>
        <v/>
      </c>
      <c r="S1519" s="16" t="str">
        <f aca="false">IF(Q1519="","",IFERROR(Q1519/(1/(1/INDEX(CONFIG!$I$5:$I$14,MATCH(D1519,CONFIG!$D$5:$D$14,0)))),""))</f>
        <v/>
      </c>
      <c r="T1519" s="13"/>
      <c r="U1519" s="13"/>
      <c r="V1519" s="13"/>
      <c r="W1519" s="13"/>
      <c r="X1519" s="22" t="str">
        <f aca="false">IF(Q1519="","",Q1519^2)</f>
        <v/>
      </c>
      <c r="Y1519" s="22" t="str">
        <f aca="false">IF(AND(C1519&lt;&gt;"",C1519=CERTIFICADO!$E$4,OR(CERTIFICADO!$E$5="",B1519=CERTIFICADO!$E$5)),MAX($Y$4:Y1518)+1,"")</f>
        <v/>
      </c>
    </row>
    <row r="1520" customFormat="false" ht="15" hidden="false" customHeight="false" outlineLevel="0" collapsed="false">
      <c r="A1520" s="11" t="str">
        <f aca="false">IF(C1520="","",ROW()-4)</f>
        <v/>
      </c>
      <c r="B1520" s="12"/>
      <c r="C1520" s="13"/>
      <c r="D1520" s="23" t="str">
        <f aca="false">IF(C1520="","",IFERROR(INDEX(LOTES!$D$5:$D$1004,MATCH(C1520,LOTES!$F$5:$F$1004,0)),"¿Lote?"))</f>
        <v/>
      </c>
      <c r="E1520" s="11" t="str">
        <f aca="false">IF(C1520="","",IFERROR(INDEX(LOTES!$C$5:$C$1004,MATCH(C1520,LOTES!$F$5:$F$1004,0)),""))</f>
        <v/>
      </c>
      <c r="F1520" s="24" t="str">
        <f aca="false">IF(C1520="","",IFERROR(INDEX(LOTES!$B$5:$B$1004,MATCH(C1520,LOTES!$F$5:$F$1004,0)),""))</f>
        <v/>
      </c>
      <c r="G1520" s="15" t="str">
        <f aca="false">IF(OR(B1520="",F1520=""),"",B1520-F1520)</f>
        <v/>
      </c>
      <c r="H1520" s="13"/>
      <c r="I1520" s="13"/>
      <c r="J1520" s="13"/>
      <c r="K1520" s="25"/>
      <c r="L1520" s="25"/>
      <c r="M1520" s="25"/>
      <c r="N1520" s="25"/>
      <c r="O1520" s="26"/>
      <c r="P1520" s="16" t="str">
        <f aca="false">IF(O1520="","",IFERROR(1/(1/(IF(K1520="",INDEX(CONFIG!$F$5:$F$14,MATCH(D1520,CONFIG!$D$5:$D$14,0)),K1520)*IF(M1520="",INDEX(CONFIG!$H$5:$H$14,MATCH(D1520,CONFIG!$D$5:$D$14,0)),M1520))),""))</f>
        <v/>
      </c>
      <c r="Q1520" s="16" t="str">
        <f aca="false">IF(OR(O1520="",P1520=""),"",O1520/P1520)</f>
        <v/>
      </c>
      <c r="R1520" s="16" t="str">
        <f aca="false">IF(Q1520="","",Q1520*0.0980665)</f>
        <v/>
      </c>
      <c r="S1520" s="16" t="str">
        <f aca="false">IF(Q1520="","",IFERROR(Q1520/(1/(1/INDEX(CONFIG!$I$5:$I$14,MATCH(D1520,CONFIG!$D$5:$D$14,0)))),""))</f>
        <v/>
      </c>
      <c r="T1520" s="13"/>
      <c r="U1520" s="13"/>
      <c r="V1520" s="13"/>
      <c r="W1520" s="13"/>
      <c r="X1520" s="22" t="str">
        <f aca="false">IF(Q1520="","",Q1520^2)</f>
        <v/>
      </c>
      <c r="Y1520" s="22" t="str">
        <f aca="false">IF(AND(C1520&lt;&gt;"",C1520=CERTIFICADO!$E$4,OR(CERTIFICADO!$E$5="",B1520=CERTIFICADO!$E$5)),MAX($Y$4:Y1519)+1,"")</f>
        <v/>
      </c>
    </row>
    <row r="1521" customFormat="false" ht="15" hidden="false" customHeight="false" outlineLevel="0" collapsed="false">
      <c r="A1521" s="11" t="str">
        <f aca="false">IF(C1521="","",ROW()-4)</f>
        <v/>
      </c>
      <c r="B1521" s="12"/>
      <c r="C1521" s="13"/>
      <c r="D1521" s="23" t="str">
        <f aca="false">IF(C1521="","",IFERROR(INDEX(LOTES!$D$5:$D$1004,MATCH(C1521,LOTES!$F$5:$F$1004,0)),"¿Lote?"))</f>
        <v/>
      </c>
      <c r="E1521" s="11" t="str">
        <f aca="false">IF(C1521="","",IFERROR(INDEX(LOTES!$C$5:$C$1004,MATCH(C1521,LOTES!$F$5:$F$1004,0)),""))</f>
        <v/>
      </c>
      <c r="F1521" s="24" t="str">
        <f aca="false">IF(C1521="","",IFERROR(INDEX(LOTES!$B$5:$B$1004,MATCH(C1521,LOTES!$F$5:$F$1004,0)),""))</f>
        <v/>
      </c>
      <c r="G1521" s="15" t="str">
        <f aca="false">IF(OR(B1521="",F1521=""),"",B1521-F1521)</f>
        <v/>
      </c>
      <c r="H1521" s="13"/>
      <c r="I1521" s="13"/>
      <c r="J1521" s="13"/>
      <c r="K1521" s="25"/>
      <c r="L1521" s="25"/>
      <c r="M1521" s="25"/>
      <c r="N1521" s="25"/>
      <c r="O1521" s="26"/>
      <c r="P1521" s="16" t="str">
        <f aca="false">IF(O1521="","",IFERROR(1/(1/(IF(K1521="",INDEX(CONFIG!$F$5:$F$14,MATCH(D1521,CONFIG!$D$5:$D$14,0)),K1521)*IF(M1521="",INDEX(CONFIG!$H$5:$H$14,MATCH(D1521,CONFIG!$D$5:$D$14,0)),M1521))),""))</f>
        <v/>
      </c>
      <c r="Q1521" s="16" t="str">
        <f aca="false">IF(OR(O1521="",P1521=""),"",O1521/P1521)</f>
        <v/>
      </c>
      <c r="R1521" s="16" t="str">
        <f aca="false">IF(Q1521="","",Q1521*0.0980665)</f>
        <v/>
      </c>
      <c r="S1521" s="16" t="str">
        <f aca="false">IF(Q1521="","",IFERROR(Q1521/(1/(1/INDEX(CONFIG!$I$5:$I$14,MATCH(D1521,CONFIG!$D$5:$D$14,0)))),""))</f>
        <v/>
      </c>
      <c r="T1521" s="13"/>
      <c r="U1521" s="13"/>
      <c r="V1521" s="13"/>
      <c r="W1521" s="13"/>
      <c r="X1521" s="22" t="str">
        <f aca="false">IF(Q1521="","",Q1521^2)</f>
        <v/>
      </c>
      <c r="Y1521" s="22" t="str">
        <f aca="false">IF(AND(C1521&lt;&gt;"",C1521=CERTIFICADO!$E$4,OR(CERTIFICADO!$E$5="",B1521=CERTIFICADO!$E$5)),MAX($Y$4:Y1520)+1,"")</f>
        <v/>
      </c>
    </row>
    <row r="1522" customFormat="false" ht="15" hidden="false" customHeight="false" outlineLevel="0" collapsed="false">
      <c r="A1522" s="11" t="str">
        <f aca="false">IF(C1522="","",ROW()-4)</f>
        <v/>
      </c>
      <c r="B1522" s="12"/>
      <c r="C1522" s="13"/>
      <c r="D1522" s="23" t="str">
        <f aca="false">IF(C1522="","",IFERROR(INDEX(LOTES!$D$5:$D$1004,MATCH(C1522,LOTES!$F$5:$F$1004,0)),"¿Lote?"))</f>
        <v/>
      </c>
      <c r="E1522" s="11" t="str">
        <f aca="false">IF(C1522="","",IFERROR(INDEX(LOTES!$C$5:$C$1004,MATCH(C1522,LOTES!$F$5:$F$1004,0)),""))</f>
        <v/>
      </c>
      <c r="F1522" s="24" t="str">
        <f aca="false">IF(C1522="","",IFERROR(INDEX(LOTES!$B$5:$B$1004,MATCH(C1522,LOTES!$F$5:$F$1004,0)),""))</f>
        <v/>
      </c>
      <c r="G1522" s="15" t="str">
        <f aca="false">IF(OR(B1522="",F1522=""),"",B1522-F1522)</f>
        <v/>
      </c>
      <c r="H1522" s="13"/>
      <c r="I1522" s="13"/>
      <c r="J1522" s="13"/>
      <c r="K1522" s="25"/>
      <c r="L1522" s="25"/>
      <c r="M1522" s="25"/>
      <c r="N1522" s="25"/>
      <c r="O1522" s="26"/>
      <c r="P1522" s="16" t="str">
        <f aca="false">IF(O1522="","",IFERROR(1/(1/(IF(K1522="",INDEX(CONFIG!$F$5:$F$14,MATCH(D1522,CONFIG!$D$5:$D$14,0)),K1522)*IF(M1522="",INDEX(CONFIG!$H$5:$H$14,MATCH(D1522,CONFIG!$D$5:$D$14,0)),M1522))),""))</f>
        <v/>
      </c>
      <c r="Q1522" s="16" t="str">
        <f aca="false">IF(OR(O1522="",P1522=""),"",O1522/P1522)</f>
        <v/>
      </c>
      <c r="R1522" s="16" t="str">
        <f aca="false">IF(Q1522="","",Q1522*0.0980665)</f>
        <v/>
      </c>
      <c r="S1522" s="16" t="str">
        <f aca="false">IF(Q1522="","",IFERROR(Q1522/(1/(1/INDEX(CONFIG!$I$5:$I$14,MATCH(D1522,CONFIG!$D$5:$D$14,0)))),""))</f>
        <v/>
      </c>
      <c r="T1522" s="13"/>
      <c r="U1522" s="13"/>
      <c r="V1522" s="13"/>
      <c r="W1522" s="13"/>
      <c r="X1522" s="22" t="str">
        <f aca="false">IF(Q1522="","",Q1522^2)</f>
        <v/>
      </c>
      <c r="Y1522" s="22" t="str">
        <f aca="false">IF(AND(C1522&lt;&gt;"",C1522=CERTIFICADO!$E$4,OR(CERTIFICADO!$E$5="",B1522=CERTIFICADO!$E$5)),MAX($Y$4:Y1521)+1,"")</f>
        <v/>
      </c>
    </row>
    <row r="1523" customFormat="false" ht="15" hidden="false" customHeight="false" outlineLevel="0" collapsed="false">
      <c r="A1523" s="11" t="str">
        <f aca="false">IF(C1523="","",ROW()-4)</f>
        <v/>
      </c>
      <c r="B1523" s="12"/>
      <c r="C1523" s="13"/>
      <c r="D1523" s="23" t="str">
        <f aca="false">IF(C1523="","",IFERROR(INDEX(LOTES!$D$5:$D$1004,MATCH(C1523,LOTES!$F$5:$F$1004,0)),"¿Lote?"))</f>
        <v/>
      </c>
      <c r="E1523" s="11" t="str">
        <f aca="false">IF(C1523="","",IFERROR(INDEX(LOTES!$C$5:$C$1004,MATCH(C1523,LOTES!$F$5:$F$1004,0)),""))</f>
        <v/>
      </c>
      <c r="F1523" s="24" t="str">
        <f aca="false">IF(C1523="","",IFERROR(INDEX(LOTES!$B$5:$B$1004,MATCH(C1523,LOTES!$F$5:$F$1004,0)),""))</f>
        <v/>
      </c>
      <c r="G1523" s="15" t="str">
        <f aca="false">IF(OR(B1523="",F1523=""),"",B1523-F1523)</f>
        <v/>
      </c>
      <c r="H1523" s="13"/>
      <c r="I1523" s="13"/>
      <c r="J1523" s="13"/>
      <c r="K1523" s="25"/>
      <c r="L1523" s="25"/>
      <c r="M1523" s="25"/>
      <c r="N1523" s="25"/>
      <c r="O1523" s="26"/>
      <c r="P1523" s="16" t="str">
        <f aca="false">IF(O1523="","",IFERROR(1/(1/(IF(K1523="",INDEX(CONFIG!$F$5:$F$14,MATCH(D1523,CONFIG!$D$5:$D$14,0)),K1523)*IF(M1523="",INDEX(CONFIG!$H$5:$H$14,MATCH(D1523,CONFIG!$D$5:$D$14,0)),M1523))),""))</f>
        <v/>
      </c>
      <c r="Q1523" s="16" t="str">
        <f aca="false">IF(OR(O1523="",P1523=""),"",O1523/P1523)</f>
        <v/>
      </c>
      <c r="R1523" s="16" t="str">
        <f aca="false">IF(Q1523="","",Q1523*0.0980665)</f>
        <v/>
      </c>
      <c r="S1523" s="16" t="str">
        <f aca="false">IF(Q1523="","",IFERROR(Q1523/(1/(1/INDEX(CONFIG!$I$5:$I$14,MATCH(D1523,CONFIG!$D$5:$D$14,0)))),""))</f>
        <v/>
      </c>
      <c r="T1523" s="13"/>
      <c r="U1523" s="13"/>
      <c r="V1523" s="13"/>
      <c r="W1523" s="13"/>
      <c r="X1523" s="22" t="str">
        <f aca="false">IF(Q1523="","",Q1523^2)</f>
        <v/>
      </c>
      <c r="Y1523" s="22" t="str">
        <f aca="false">IF(AND(C1523&lt;&gt;"",C1523=CERTIFICADO!$E$4,OR(CERTIFICADO!$E$5="",B1523=CERTIFICADO!$E$5)),MAX($Y$4:Y1522)+1,"")</f>
        <v/>
      </c>
    </row>
    <row r="1524" customFormat="false" ht="15" hidden="false" customHeight="false" outlineLevel="0" collapsed="false">
      <c r="A1524" s="11" t="str">
        <f aca="false">IF(C1524="","",ROW()-4)</f>
        <v/>
      </c>
      <c r="B1524" s="12"/>
      <c r="C1524" s="13"/>
      <c r="D1524" s="23" t="str">
        <f aca="false">IF(C1524="","",IFERROR(INDEX(LOTES!$D$5:$D$1004,MATCH(C1524,LOTES!$F$5:$F$1004,0)),"¿Lote?"))</f>
        <v/>
      </c>
      <c r="E1524" s="11" t="str">
        <f aca="false">IF(C1524="","",IFERROR(INDEX(LOTES!$C$5:$C$1004,MATCH(C1524,LOTES!$F$5:$F$1004,0)),""))</f>
        <v/>
      </c>
      <c r="F1524" s="24" t="str">
        <f aca="false">IF(C1524="","",IFERROR(INDEX(LOTES!$B$5:$B$1004,MATCH(C1524,LOTES!$F$5:$F$1004,0)),""))</f>
        <v/>
      </c>
      <c r="G1524" s="15" t="str">
        <f aca="false">IF(OR(B1524="",F1524=""),"",B1524-F1524)</f>
        <v/>
      </c>
      <c r="H1524" s="13"/>
      <c r="I1524" s="13"/>
      <c r="J1524" s="13"/>
      <c r="K1524" s="25"/>
      <c r="L1524" s="25"/>
      <c r="M1524" s="25"/>
      <c r="N1524" s="25"/>
      <c r="O1524" s="26"/>
      <c r="P1524" s="16" t="str">
        <f aca="false">IF(O1524="","",IFERROR(1/(1/(IF(K1524="",INDEX(CONFIG!$F$5:$F$14,MATCH(D1524,CONFIG!$D$5:$D$14,0)),K1524)*IF(M1524="",INDEX(CONFIG!$H$5:$H$14,MATCH(D1524,CONFIG!$D$5:$D$14,0)),M1524))),""))</f>
        <v/>
      </c>
      <c r="Q1524" s="16" t="str">
        <f aca="false">IF(OR(O1524="",P1524=""),"",O1524/P1524)</f>
        <v/>
      </c>
      <c r="R1524" s="16" t="str">
        <f aca="false">IF(Q1524="","",Q1524*0.0980665)</f>
        <v/>
      </c>
      <c r="S1524" s="16" t="str">
        <f aca="false">IF(Q1524="","",IFERROR(Q1524/(1/(1/INDEX(CONFIG!$I$5:$I$14,MATCH(D1524,CONFIG!$D$5:$D$14,0)))),""))</f>
        <v/>
      </c>
      <c r="T1524" s="13"/>
      <c r="U1524" s="13"/>
      <c r="V1524" s="13"/>
      <c r="W1524" s="13"/>
      <c r="X1524" s="22" t="str">
        <f aca="false">IF(Q1524="","",Q1524^2)</f>
        <v/>
      </c>
      <c r="Y1524" s="22" t="str">
        <f aca="false">IF(AND(C1524&lt;&gt;"",C1524=CERTIFICADO!$E$4,OR(CERTIFICADO!$E$5="",B1524=CERTIFICADO!$E$5)),MAX($Y$4:Y1523)+1,"")</f>
        <v/>
      </c>
    </row>
    <row r="1525" customFormat="false" ht="15" hidden="false" customHeight="false" outlineLevel="0" collapsed="false">
      <c r="A1525" s="11" t="str">
        <f aca="false">IF(C1525="","",ROW()-4)</f>
        <v/>
      </c>
      <c r="B1525" s="12"/>
      <c r="C1525" s="13"/>
      <c r="D1525" s="23" t="str">
        <f aca="false">IF(C1525="","",IFERROR(INDEX(LOTES!$D$5:$D$1004,MATCH(C1525,LOTES!$F$5:$F$1004,0)),"¿Lote?"))</f>
        <v/>
      </c>
      <c r="E1525" s="11" t="str">
        <f aca="false">IF(C1525="","",IFERROR(INDEX(LOTES!$C$5:$C$1004,MATCH(C1525,LOTES!$F$5:$F$1004,0)),""))</f>
        <v/>
      </c>
      <c r="F1525" s="24" t="str">
        <f aca="false">IF(C1525="","",IFERROR(INDEX(LOTES!$B$5:$B$1004,MATCH(C1525,LOTES!$F$5:$F$1004,0)),""))</f>
        <v/>
      </c>
      <c r="G1525" s="15" t="str">
        <f aca="false">IF(OR(B1525="",F1525=""),"",B1525-F1525)</f>
        <v/>
      </c>
      <c r="H1525" s="13"/>
      <c r="I1525" s="13"/>
      <c r="J1525" s="13"/>
      <c r="K1525" s="25"/>
      <c r="L1525" s="25"/>
      <c r="M1525" s="25"/>
      <c r="N1525" s="25"/>
      <c r="O1525" s="26"/>
      <c r="P1525" s="16" t="str">
        <f aca="false">IF(O1525="","",IFERROR(1/(1/(IF(K1525="",INDEX(CONFIG!$F$5:$F$14,MATCH(D1525,CONFIG!$D$5:$D$14,0)),K1525)*IF(M1525="",INDEX(CONFIG!$H$5:$H$14,MATCH(D1525,CONFIG!$D$5:$D$14,0)),M1525))),""))</f>
        <v/>
      </c>
      <c r="Q1525" s="16" t="str">
        <f aca="false">IF(OR(O1525="",P1525=""),"",O1525/P1525)</f>
        <v/>
      </c>
      <c r="R1525" s="16" t="str">
        <f aca="false">IF(Q1525="","",Q1525*0.0980665)</f>
        <v/>
      </c>
      <c r="S1525" s="16" t="str">
        <f aca="false">IF(Q1525="","",IFERROR(Q1525/(1/(1/INDEX(CONFIG!$I$5:$I$14,MATCH(D1525,CONFIG!$D$5:$D$14,0)))),""))</f>
        <v/>
      </c>
      <c r="T1525" s="13"/>
      <c r="U1525" s="13"/>
      <c r="V1525" s="13"/>
      <c r="W1525" s="13"/>
      <c r="X1525" s="22" t="str">
        <f aca="false">IF(Q1525="","",Q1525^2)</f>
        <v/>
      </c>
      <c r="Y1525" s="22" t="str">
        <f aca="false">IF(AND(C1525&lt;&gt;"",C1525=CERTIFICADO!$E$4,OR(CERTIFICADO!$E$5="",B1525=CERTIFICADO!$E$5)),MAX($Y$4:Y1524)+1,"")</f>
        <v/>
      </c>
    </row>
    <row r="1526" customFormat="false" ht="15" hidden="false" customHeight="false" outlineLevel="0" collapsed="false">
      <c r="A1526" s="11" t="str">
        <f aca="false">IF(C1526="","",ROW()-4)</f>
        <v/>
      </c>
      <c r="B1526" s="12"/>
      <c r="C1526" s="13"/>
      <c r="D1526" s="23" t="str">
        <f aca="false">IF(C1526="","",IFERROR(INDEX(LOTES!$D$5:$D$1004,MATCH(C1526,LOTES!$F$5:$F$1004,0)),"¿Lote?"))</f>
        <v/>
      </c>
      <c r="E1526" s="11" t="str">
        <f aca="false">IF(C1526="","",IFERROR(INDEX(LOTES!$C$5:$C$1004,MATCH(C1526,LOTES!$F$5:$F$1004,0)),""))</f>
        <v/>
      </c>
      <c r="F1526" s="24" t="str">
        <f aca="false">IF(C1526="","",IFERROR(INDEX(LOTES!$B$5:$B$1004,MATCH(C1526,LOTES!$F$5:$F$1004,0)),""))</f>
        <v/>
      </c>
      <c r="G1526" s="15" t="str">
        <f aca="false">IF(OR(B1526="",F1526=""),"",B1526-F1526)</f>
        <v/>
      </c>
      <c r="H1526" s="13"/>
      <c r="I1526" s="13"/>
      <c r="J1526" s="13"/>
      <c r="K1526" s="25"/>
      <c r="L1526" s="25"/>
      <c r="M1526" s="25"/>
      <c r="N1526" s="25"/>
      <c r="O1526" s="26"/>
      <c r="P1526" s="16" t="str">
        <f aca="false">IF(O1526="","",IFERROR(1/(1/(IF(K1526="",INDEX(CONFIG!$F$5:$F$14,MATCH(D1526,CONFIG!$D$5:$D$14,0)),K1526)*IF(M1526="",INDEX(CONFIG!$H$5:$H$14,MATCH(D1526,CONFIG!$D$5:$D$14,0)),M1526))),""))</f>
        <v/>
      </c>
      <c r="Q1526" s="16" t="str">
        <f aca="false">IF(OR(O1526="",P1526=""),"",O1526/P1526)</f>
        <v/>
      </c>
      <c r="R1526" s="16" t="str">
        <f aca="false">IF(Q1526="","",Q1526*0.0980665)</f>
        <v/>
      </c>
      <c r="S1526" s="16" t="str">
        <f aca="false">IF(Q1526="","",IFERROR(Q1526/(1/(1/INDEX(CONFIG!$I$5:$I$14,MATCH(D1526,CONFIG!$D$5:$D$14,0)))),""))</f>
        <v/>
      </c>
      <c r="T1526" s="13"/>
      <c r="U1526" s="13"/>
      <c r="V1526" s="13"/>
      <c r="W1526" s="13"/>
      <c r="X1526" s="22" t="str">
        <f aca="false">IF(Q1526="","",Q1526^2)</f>
        <v/>
      </c>
      <c r="Y1526" s="22" t="str">
        <f aca="false">IF(AND(C1526&lt;&gt;"",C1526=CERTIFICADO!$E$4,OR(CERTIFICADO!$E$5="",B1526=CERTIFICADO!$E$5)),MAX($Y$4:Y1525)+1,"")</f>
        <v/>
      </c>
    </row>
    <row r="1527" customFormat="false" ht="15" hidden="false" customHeight="false" outlineLevel="0" collapsed="false">
      <c r="A1527" s="11" t="str">
        <f aca="false">IF(C1527="","",ROW()-4)</f>
        <v/>
      </c>
      <c r="B1527" s="12"/>
      <c r="C1527" s="13"/>
      <c r="D1527" s="23" t="str">
        <f aca="false">IF(C1527="","",IFERROR(INDEX(LOTES!$D$5:$D$1004,MATCH(C1527,LOTES!$F$5:$F$1004,0)),"¿Lote?"))</f>
        <v/>
      </c>
      <c r="E1527" s="11" t="str">
        <f aca="false">IF(C1527="","",IFERROR(INDEX(LOTES!$C$5:$C$1004,MATCH(C1527,LOTES!$F$5:$F$1004,0)),""))</f>
        <v/>
      </c>
      <c r="F1527" s="24" t="str">
        <f aca="false">IF(C1527="","",IFERROR(INDEX(LOTES!$B$5:$B$1004,MATCH(C1527,LOTES!$F$5:$F$1004,0)),""))</f>
        <v/>
      </c>
      <c r="G1527" s="15" t="str">
        <f aca="false">IF(OR(B1527="",F1527=""),"",B1527-F1527)</f>
        <v/>
      </c>
      <c r="H1527" s="13"/>
      <c r="I1527" s="13"/>
      <c r="J1527" s="13"/>
      <c r="K1527" s="25"/>
      <c r="L1527" s="25"/>
      <c r="M1527" s="25"/>
      <c r="N1527" s="25"/>
      <c r="O1527" s="26"/>
      <c r="P1527" s="16" t="str">
        <f aca="false">IF(O1527="","",IFERROR(1/(1/(IF(K1527="",INDEX(CONFIG!$F$5:$F$14,MATCH(D1527,CONFIG!$D$5:$D$14,0)),K1527)*IF(M1527="",INDEX(CONFIG!$H$5:$H$14,MATCH(D1527,CONFIG!$D$5:$D$14,0)),M1527))),""))</f>
        <v/>
      </c>
      <c r="Q1527" s="16" t="str">
        <f aca="false">IF(OR(O1527="",P1527=""),"",O1527/P1527)</f>
        <v/>
      </c>
      <c r="R1527" s="16" t="str">
        <f aca="false">IF(Q1527="","",Q1527*0.0980665)</f>
        <v/>
      </c>
      <c r="S1527" s="16" t="str">
        <f aca="false">IF(Q1527="","",IFERROR(Q1527/(1/(1/INDEX(CONFIG!$I$5:$I$14,MATCH(D1527,CONFIG!$D$5:$D$14,0)))),""))</f>
        <v/>
      </c>
      <c r="T1527" s="13"/>
      <c r="U1527" s="13"/>
      <c r="V1527" s="13"/>
      <c r="W1527" s="13"/>
      <c r="X1527" s="22" t="str">
        <f aca="false">IF(Q1527="","",Q1527^2)</f>
        <v/>
      </c>
      <c r="Y1527" s="22" t="str">
        <f aca="false">IF(AND(C1527&lt;&gt;"",C1527=CERTIFICADO!$E$4,OR(CERTIFICADO!$E$5="",B1527=CERTIFICADO!$E$5)),MAX($Y$4:Y1526)+1,"")</f>
        <v/>
      </c>
    </row>
    <row r="1528" customFormat="false" ht="15" hidden="false" customHeight="false" outlineLevel="0" collapsed="false">
      <c r="A1528" s="11" t="str">
        <f aca="false">IF(C1528="","",ROW()-4)</f>
        <v/>
      </c>
      <c r="B1528" s="12"/>
      <c r="C1528" s="13"/>
      <c r="D1528" s="23" t="str">
        <f aca="false">IF(C1528="","",IFERROR(INDEX(LOTES!$D$5:$D$1004,MATCH(C1528,LOTES!$F$5:$F$1004,0)),"¿Lote?"))</f>
        <v/>
      </c>
      <c r="E1528" s="11" t="str">
        <f aca="false">IF(C1528="","",IFERROR(INDEX(LOTES!$C$5:$C$1004,MATCH(C1528,LOTES!$F$5:$F$1004,0)),""))</f>
        <v/>
      </c>
      <c r="F1528" s="24" t="str">
        <f aca="false">IF(C1528="","",IFERROR(INDEX(LOTES!$B$5:$B$1004,MATCH(C1528,LOTES!$F$5:$F$1004,0)),""))</f>
        <v/>
      </c>
      <c r="G1528" s="15" t="str">
        <f aca="false">IF(OR(B1528="",F1528=""),"",B1528-F1528)</f>
        <v/>
      </c>
      <c r="H1528" s="13"/>
      <c r="I1528" s="13"/>
      <c r="J1528" s="13"/>
      <c r="K1528" s="25"/>
      <c r="L1528" s="25"/>
      <c r="M1528" s="25"/>
      <c r="N1528" s="25"/>
      <c r="O1528" s="26"/>
      <c r="P1528" s="16" t="str">
        <f aca="false">IF(O1528="","",IFERROR(1/(1/(IF(K1528="",INDEX(CONFIG!$F$5:$F$14,MATCH(D1528,CONFIG!$D$5:$D$14,0)),K1528)*IF(M1528="",INDEX(CONFIG!$H$5:$H$14,MATCH(D1528,CONFIG!$D$5:$D$14,0)),M1528))),""))</f>
        <v/>
      </c>
      <c r="Q1528" s="16" t="str">
        <f aca="false">IF(OR(O1528="",P1528=""),"",O1528/P1528)</f>
        <v/>
      </c>
      <c r="R1528" s="16" t="str">
        <f aca="false">IF(Q1528="","",Q1528*0.0980665)</f>
        <v/>
      </c>
      <c r="S1528" s="16" t="str">
        <f aca="false">IF(Q1528="","",IFERROR(Q1528/(1/(1/INDEX(CONFIG!$I$5:$I$14,MATCH(D1528,CONFIG!$D$5:$D$14,0)))),""))</f>
        <v/>
      </c>
      <c r="T1528" s="13"/>
      <c r="U1528" s="13"/>
      <c r="V1528" s="13"/>
      <c r="W1528" s="13"/>
      <c r="X1528" s="22" t="str">
        <f aca="false">IF(Q1528="","",Q1528^2)</f>
        <v/>
      </c>
      <c r="Y1528" s="22" t="str">
        <f aca="false">IF(AND(C1528&lt;&gt;"",C1528=CERTIFICADO!$E$4,OR(CERTIFICADO!$E$5="",B1528=CERTIFICADO!$E$5)),MAX($Y$4:Y1527)+1,"")</f>
        <v/>
      </c>
    </row>
    <row r="1529" customFormat="false" ht="15" hidden="false" customHeight="false" outlineLevel="0" collapsed="false">
      <c r="A1529" s="11" t="str">
        <f aca="false">IF(C1529="","",ROW()-4)</f>
        <v/>
      </c>
      <c r="B1529" s="12"/>
      <c r="C1529" s="13"/>
      <c r="D1529" s="23" t="str">
        <f aca="false">IF(C1529="","",IFERROR(INDEX(LOTES!$D$5:$D$1004,MATCH(C1529,LOTES!$F$5:$F$1004,0)),"¿Lote?"))</f>
        <v/>
      </c>
      <c r="E1529" s="11" t="str">
        <f aca="false">IF(C1529="","",IFERROR(INDEX(LOTES!$C$5:$C$1004,MATCH(C1529,LOTES!$F$5:$F$1004,0)),""))</f>
        <v/>
      </c>
      <c r="F1529" s="24" t="str">
        <f aca="false">IF(C1529="","",IFERROR(INDEX(LOTES!$B$5:$B$1004,MATCH(C1529,LOTES!$F$5:$F$1004,0)),""))</f>
        <v/>
      </c>
      <c r="G1529" s="15" t="str">
        <f aca="false">IF(OR(B1529="",F1529=""),"",B1529-F1529)</f>
        <v/>
      </c>
      <c r="H1529" s="13"/>
      <c r="I1529" s="13"/>
      <c r="J1529" s="13"/>
      <c r="K1529" s="25"/>
      <c r="L1529" s="25"/>
      <c r="M1529" s="25"/>
      <c r="N1529" s="25"/>
      <c r="O1529" s="26"/>
      <c r="P1529" s="16" t="str">
        <f aca="false">IF(O1529="","",IFERROR(1/(1/(IF(K1529="",INDEX(CONFIG!$F$5:$F$14,MATCH(D1529,CONFIG!$D$5:$D$14,0)),K1529)*IF(M1529="",INDEX(CONFIG!$H$5:$H$14,MATCH(D1529,CONFIG!$D$5:$D$14,0)),M1529))),""))</f>
        <v/>
      </c>
      <c r="Q1529" s="16" t="str">
        <f aca="false">IF(OR(O1529="",P1529=""),"",O1529/P1529)</f>
        <v/>
      </c>
      <c r="R1529" s="16" t="str">
        <f aca="false">IF(Q1529="","",Q1529*0.0980665)</f>
        <v/>
      </c>
      <c r="S1529" s="16" t="str">
        <f aca="false">IF(Q1529="","",IFERROR(Q1529/(1/(1/INDEX(CONFIG!$I$5:$I$14,MATCH(D1529,CONFIG!$D$5:$D$14,0)))),""))</f>
        <v/>
      </c>
      <c r="T1529" s="13"/>
      <c r="U1529" s="13"/>
      <c r="V1529" s="13"/>
      <c r="W1529" s="13"/>
      <c r="X1529" s="22" t="str">
        <f aca="false">IF(Q1529="","",Q1529^2)</f>
        <v/>
      </c>
      <c r="Y1529" s="22" t="str">
        <f aca="false">IF(AND(C1529&lt;&gt;"",C1529=CERTIFICADO!$E$4,OR(CERTIFICADO!$E$5="",B1529=CERTIFICADO!$E$5)),MAX($Y$4:Y1528)+1,"")</f>
        <v/>
      </c>
    </row>
    <row r="1530" customFormat="false" ht="15" hidden="false" customHeight="false" outlineLevel="0" collapsed="false">
      <c r="A1530" s="11" t="str">
        <f aca="false">IF(C1530="","",ROW()-4)</f>
        <v/>
      </c>
      <c r="B1530" s="12"/>
      <c r="C1530" s="13"/>
      <c r="D1530" s="23" t="str">
        <f aca="false">IF(C1530="","",IFERROR(INDEX(LOTES!$D$5:$D$1004,MATCH(C1530,LOTES!$F$5:$F$1004,0)),"¿Lote?"))</f>
        <v/>
      </c>
      <c r="E1530" s="11" t="str">
        <f aca="false">IF(C1530="","",IFERROR(INDEX(LOTES!$C$5:$C$1004,MATCH(C1530,LOTES!$F$5:$F$1004,0)),""))</f>
        <v/>
      </c>
      <c r="F1530" s="24" t="str">
        <f aca="false">IF(C1530="","",IFERROR(INDEX(LOTES!$B$5:$B$1004,MATCH(C1530,LOTES!$F$5:$F$1004,0)),""))</f>
        <v/>
      </c>
      <c r="G1530" s="15" t="str">
        <f aca="false">IF(OR(B1530="",F1530=""),"",B1530-F1530)</f>
        <v/>
      </c>
      <c r="H1530" s="13"/>
      <c r="I1530" s="13"/>
      <c r="J1530" s="13"/>
      <c r="K1530" s="25"/>
      <c r="L1530" s="25"/>
      <c r="M1530" s="25"/>
      <c r="N1530" s="25"/>
      <c r="O1530" s="26"/>
      <c r="P1530" s="16" t="str">
        <f aca="false">IF(O1530="","",IFERROR(1/(1/(IF(K1530="",INDEX(CONFIG!$F$5:$F$14,MATCH(D1530,CONFIG!$D$5:$D$14,0)),K1530)*IF(M1530="",INDEX(CONFIG!$H$5:$H$14,MATCH(D1530,CONFIG!$D$5:$D$14,0)),M1530))),""))</f>
        <v/>
      </c>
      <c r="Q1530" s="16" t="str">
        <f aca="false">IF(OR(O1530="",P1530=""),"",O1530/P1530)</f>
        <v/>
      </c>
      <c r="R1530" s="16" t="str">
        <f aca="false">IF(Q1530="","",Q1530*0.0980665)</f>
        <v/>
      </c>
      <c r="S1530" s="16" t="str">
        <f aca="false">IF(Q1530="","",IFERROR(Q1530/(1/(1/INDEX(CONFIG!$I$5:$I$14,MATCH(D1530,CONFIG!$D$5:$D$14,0)))),""))</f>
        <v/>
      </c>
      <c r="T1530" s="13"/>
      <c r="U1530" s="13"/>
      <c r="V1530" s="13"/>
      <c r="W1530" s="13"/>
      <c r="X1530" s="22" t="str">
        <f aca="false">IF(Q1530="","",Q1530^2)</f>
        <v/>
      </c>
      <c r="Y1530" s="22" t="str">
        <f aca="false">IF(AND(C1530&lt;&gt;"",C1530=CERTIFICADO!$E$4,OR(CERTIFICADO!$E$5="",B1530=CERTIFICADO!$E$5)),MAX($Y$4:Y1529)+1,"")</f>
        <v/>
      </c>
    </row>
    <row r="1531" customFormat="false" ht="15" hidden="false" customHeight="false" outlineLevel="0" collapsed="false">
      <c r="A1531" s="11" t="str">
        <f aca="false">IF(C1531="","",ROW()-4)</f>
        <v/>
      </c>
      <c r="B1531" s="12"/>
      <c r="C1531" s="13"/>
      <c r="D1531" s="23" t="str">
        <f aca="false">IF(C1531="","",IFERROR(INDEX(LOTES!$D$5:$D$1004,MATCH(C1531,LOTES!$F$5:$F$1004,0)),"¿Lote?"))</f>
        <v/>
      </c>
      <c r="E1531" s="11" t="str">
        <f aca="false">IF(C1531="","",IFERROR(INDEX(LOTES!$C$5:$C$1004,MATCH(C1531,LOTES!$F$5:$F$1004,0)),""))</f>
        <v/>
      </c>
      <c r="F1531" s="24" t="str">
        <f aca="false">IF(C1531="","",IFERROR(INDEX(LOTES!$B$5:$B$1004,MATCH(C1531,LOTES!$F$5:$F$1004,0)),""))</f>
        <v/>
      </c>
      <c r="G1531" s="15" t="str">
        <f aca="false">IF(OR(B1531="",F1531=""),"",B1531-F1531)</f>
        <v/>
      </c>
      <c r="H1531" s="13"/>
      <c r="I1531" s="13"/>
      <c r="J1531" s="13"/>
      <c r="K1531" s="25"/>
      <c r="L1531" s="25"/>
      <c r="M1531" s="25"/>
      <c r="N1531" s="25"/>
      <c r="O1531" s="26"/>
      <c r="P1531" s="16" t="str">
        <f aca="false">IF(O1531="","",IFERROR(1/(1/(IF(K1531="",INDEX(CONFIG!$F$5:$F$14,MATCH(D1531,CONFIG!$D$5:$D$14,0)),K1531)*IF(M1531="",INDEX(CONFIG!$H$5:$H$14,MATCH(D1531,CONFIG!$D$5:$D$14,0)),M1531))),""))</f>
        <v/>
      </c>
      <c r="Q1531" s="16" t="str">
        <f aca="false">IF(OR(O1531="",P1531=""),"",O1531/P1531)</f>
        <v/>
      </c>
      <c r="R1531" s="16" t="str">
        <f aca="false">IF(Q1531="","",Q1531*0.0980665)</f>
        <v/>
      </c>
      <c r="S1531" s="16" t="str">
        <f aca="false">IF(Q1531="","",IFERROR(Q1531/(1/(1/INDEX(CONFIG!$I$5:$I$14,MATCH(D1531,CONFIG!$D$5:$D$14,0)))),""))</f>
        <v/>
      </c>
      <c r="T1531" s="13"/>
      <c r="U1531" s="13"/>
      <c r="V1531" s="13"/>
      <c r="W1531" s="13"/>
      <c r="X1531" s="22" t="str">
        <f aca="false">IF(Q1531="","",Q1531^2)</f>
        <v/>
      </c>
      <c r="Y1531" s="22" t="str">
        <f aca="false">IF(AND(C1531&lt;&gt;"",C1531=CERTIFICADO!$E$4,OR(CERTIFICADO!$E$5="",B1531=CERTIFICADO!$E$5)),MAX($Y$4:Y1530)+1,"")</f>
        <v/>
      </c>
    </row>
    <row r="1532" customFormat="false" ht="15" hidden="false" customHeight="false" outlineLevel="0" collapsed="false">
      <c r="A1532" s="11" t="str">
        <f aca="false">IF(C1532="","",ROW()-4)</f>
        <v/>
      </c>
      <c r="B1532" s="12"/>
      <c r="C1532" s="13"/>
      <c r="D1532" s="23" t="str">
        <f aca="false">IF(C1532="","",IFERROR(INDEX(LOTES!$D$5:$D$1004,MATCH(C1532,LOTES!$F$5:$F$1004,0)),"¿Lote?"))</f>
        <v/>
      </c>
      <c r="E1532" s="11" t="str">
        <f aca="false">IF(C1532="","",IFERROR(INDEX(LOTES!$C$5:$C$1004,MATCH(C1532,LOTES!$F$5:$F$1004,0)),""))</f>
        <v/>
      </c>
      <c r="F1532" s="24" t="str">
        <f aca="false">IF(C1532="","",IFERROR(INDEX(LOTES!$B$5:$B$1004,MATCH(C1532,LOTES!$F$5:$F$1004,0)),""))</f>
        <v/>
      </c>
      <c r="G1532" s="15" t="str">
        <f aca="false">IF(OR(B1532="",F1532=""),"",B1532-F1532)</f>
        <v/>
      </c>
      <c r="H1532" s="13"/>
      <c r="I1532" s="13"/>
      <c r="J1532" s="13"/>
      <c r="K1532" s="25"/>
      <c r="L1532" s="25"/>
      <c r="M1532" s="25"/>
      <c r="N1532" s="25"/>
      <c r="O1532" s="26"/>
      <c r="P1532" s="16" t="str">
        <f aca="false">IF(O1532="","",IFERROR(1/(1/(IF(K1532="",INDEX(CONFIG!$F$5:$F$14,MATCH(D1532,CONFIG!$D$5:$D$14,0)),K1532)*IF(M1532="",INDEX(CONFIG!$H$5:$H$14,MATCH(D1532,CONFIG!$D$5:$D$14,0)),M1532))),""))</f>
        <v/>
      </c>
      <c r="Q1532" s="16" t="str">
        <f aca="false">IF(OR(O1532="",P1532=""),"",O1532/P1532)</f>
        <v/>
      </c>
      <c r="R1532" s="16" t="str">
        <f aca="false">IF(Q1532="","",Q1532*0.0980665)</f>
        <v/>
      </c>
      <c r="S1532" s="16" t="str">
        <f aca="false">IF(Q1532="","",IFERROR(Q1532/(1/(1/INDEX(CONFIG!$I$5:$I$14,MATCH(D1532,CONFIG!$D$5:$D$14,0)))),""))</f>
        <v/>
      </c>
      <c r="T1532" s="13"/>
      <c r="U1532" s="13"/>
      <c r="V1532" s="13"/>
      <c r="W1532" s="13"/>
      <c r="X1532" s="22" t="str">
        <f aca="false">IF(Q1532="","",Q1532^2)</f>
        <v/>
      </c>
      <c r="Y1532" s="22" t="str">
        <f aca="false">IF(AND(C1532&lt;&gt;"",C1532=CERTIFICADO!$E$4,OR(CERTIFICADO!$E$5="",B1532=CERTIFICADO!$E$5)),MAX($Y$4:Y1531)+1,"")</f>
        <v/>
      </c>
    </row>
    <row r="1533" customFormat="false" ht="15" hidden="false" customHeight="false" outlineLevel="0" collapsed="false">
      <c r="A1533" s="11" t="str">
        <f aca="false">IF(C1533="","",ROW()-4)</f>
        <v/>
      </c>
      <c r="B1533" s="12"/>
      <c r="C1533" s="13"/>
      <c r="D1533" s="23" t="str">
        <f aca="false">IF(C1533="","",IFERROR(INDEX(LOTES!$D$5:$D$1004,MATCH(C1533,LOTES!$F$5:$F$1004,0)),"¿Lote?"))</f>
        <v/>
      </c>
      <c r="E1533" s="11" t="str">
        <f aca="false">IF(C1533="","",IFERROR(INDEX(LOTES!$C$5:$C$1004,MATCH(C1533,LOTES!$F$5:$F$1004,0)),""))</f>
        <v/>
      </c>
      <c r="F1533" s="24" t="str">
        <f aca="false">IF(C1533="","",IFERROR(INDEX(LOTES!$B$5:$B$1004,MATCH(C1533,LOTES!$F$5:$F$1004,0)),""))</f>
        <v/>
      </c>
      <c r="G1533" s="15" t="str">
        <f aca="false">IF(OR(B1533="",F1533=""),"",B1533-F1533)</f>
        <v/>
      </c>
      <c r="H1533" s="13"/>
      <c r="I1533" s="13"/>
      <c r="J1533" s="13"/>
      <c r="K1533" s="25"/>
      <c r="L1533" s="25"/>
      <c r="M1533" s="25"/>
      <c r="N1533" s="25"/>
      <c r="O1533" s="26"/>
      <c r="P1533" s="16" t="str">
        <f aca="false">IF(O1533="","",IFERROR(1/(1/(IF(K1533="",INDEX(CONFIG!$F$5:$F$14,MATCH(D1533,CONFIG!$D$5:$D$14,0)),K1533)*IF(M1533="",INDEX(CONFIG!$H$5:$H$14,MATCH(D1533,CONFIG!$D$5:$D$14,0)),M1533))),""))</f>
        <v/>
      </c>
      <c r="Q1533" s="16" t="str">
        <f aca="false">IF(OR(O1533="",P1533=""),"",O1533/P1533)</f>
        <v/>
      </c>
      <c r="R1533" s="16" t="str">
        <f aca="false">IF(Q1533="","",Q1533*0.0980665)</f>
        <v/>
      </c>
      <c r="S1533" s="16" t="str">
        <f aca="false">IF(Q1533="","",IFERROR(Q1533/(1/(1/INDEX(CONFIG!$I$5:$I$14,MATCH(D1533,CONFIG!$D$5:$D$14,0)))),""))</f>
        <v/>
      </c>
      <c r="T1533" s="13"/>
      <c r="U1533" s="13"/>
      <c r="V1533" s="13"/>
      <c r="W1533" s="13"/>
      <c r="X1533" s="22" t="str">
        <f aca="false">IF(Q1533="","",Q1533^2)</f>
        <v/>
      </c>
      <c r="Y1533" s="22" t="str">
        <f aca="false">IF(AND(C1533&lt;&gt;"",C1533=CERTIFICADO!$E$4,OR(CERTIFICADO!$E$5="",B1533=CERTIFICADO!$E$5)),MAX($Y$4:Y1532)+1,"")</f>
        <v/>
      </c>
    </row>
    <row r="1534" customFormat="false" ht="15" hidden="false" customHeight="false" outlineLevel="0" collapsed="false">
      <c r="A1534" s="11" t="str">
        <f aca="false">IF(C1534="","",ROW()-4)</f>
        <v/>
      </c>
      <c r="B1534" s="12"/>
      <c r="C1534" s="13"/>
      <c r="D1534" s="23" t="str">
        <f aca="false">IF(C1534="","",IFERROR(INDEX(LOTES!$D$5:$D$1004,MATCH(C1534,LOTES!$F$5:$F$1004,0)),"¿Lote?"))</f>
        <v/>
      </c>
      <c r="E1534" s="11" t="str">
        <f aca="false">IF(C1534="","",IFERROR(INDEX(LOTES!$C$5:$C$1004,MATCH(C1534,LOTES!$F$5:$F$1004,0)),""))</f>
        <v/>
      </c>
      <c r="F1534" s="24" t="str">
        <f aca="false">IF(C1534="","",IFERROR(INDEX(LOTES!$B$5:$B$1004,MATCH(C1534,LOTES!$F$5:$F$1004,0)),""))</f>
        <v/>
      </c>
      <c r="G1534" s="15" t="str">
        <f aca="false">IF(OR(B1534="",F1534=""),"",B1534-F1534)</f>
        <v/>
      </c>
      <c r="H1534" s="13"/>
      <c r="I1534" s="13"/>
      <c r="J1534" s="13"/>
      <c r="K1534" s="25"/>
      <c r="L1534" s="25"/>
      <c r="M1534" s="25"/>
      <c r="N1534" s="25"/>
      <c r="O1534" s="26"/>
      <c r="P1534" s="16" t="str">
        <f aca="false">IF(O1534="","",IFERROR(1/(1/(IF(K1534="",INDEX(CONFIG!$F$5:$F$14,MATCH(D1534,CONFIG!$D$5:$D$14,0)),K1534)*IF(M1534="",INDEX(CONFIG!$H$5:$H$14,MATCH(D1534,CONFIG!$D$5:$D$14,0)),M1534))),""))</f>
        <v/>
      </c>
      <c r="Q1534" s="16" t="str">
        <f aca="false">IF(OR(O1534="",P1534=""),"",O1534/P1534)</f>
        <v/>
      </c>
      <c r="R1534" s="16" t="str">
        <f aca="false">IF(Q1534="","",Q1534*0.0980665)</f>
        <v/>
      </c>
      <c r="S1534" s="16" t="str">
        <f aca="false">IF(Q1534="","",IFERROR(Q1534/(1/(1/INDEX(CONFIG!$I$5:$I$14,MATCH(D1534,CONFIG!$D$5:$D$14,0)))),""))</f>
        <v/>
      </c>
      <c r="T1534" s="13"/>
      <c r="U1534" s="13"/>
      <c r="V1534" s="13"/>
      <c r="W1534" s="13"/>
      <c r="X1534" s="22" t="str">
        <f aca="false">IF(Q1534="","",Q1534^2)</f>
        <v/>
      </c>
      <c r="Y1534" s="22" t="str">
        <f aca="false">IF(AND(C1534&lt;&gt;"",C1534=CERTIFICADO!$E$4,OR(CERTIFICADO!$E$5="",B1534=CERTIFICADO!$E$5)),MAX($Y$4:Y1533)+1,"")</f>
        <v/>
      </c>
    </row>
    <row r="1535" customFormat="false" ht="15" hidden="false" customHeight="false" outlineLevel="0" collapsed="false">
      <c r="A1535" s="11" t="str">
        <f aca="false">IF(C1535="","",ROW()-4)</f>
        <v/>
      </c>
      <c r="B1535" s="12"/>
      <c r="C1535" s="13"/>
      <c r="D1535" s="23" t="str">
        <f aca="false">IF(C1535="","",IFERROR(INDEX(LOTES!$D$5:$D$1004,MATCH(C1535,LOTES!$F$5:$F$1004,0)),"¿Lote?"))</f>
        <v/>
      </c>
      <c r="E1535" s="11" t="str">
        <f aca="false">IF(C1535="","",IFERROR(INDEX(LOTES!$C$5:$C$1004,MATCH(C1535,LOTES!$F$5:$F$1004,0)),""))</f>
        <v/>
      </c>
      <c r="F1535" s="24" t="str">
        <f aca="false">IF(C1535="","",IFERROR(INDEX(LOTES!$B$5:$B$1004,MATCH(C1535,LOTES!$F$5:$F$1004,0)),""))</f>
        <v/>
      </c>
      <c r="G1535" s="15" t="str">
        <f aca="false">IF(OR(B1535="",F1535=""),"",B1535-F1535)</f>
        <v/>
      </c>
      <c r="H1535" s="13"/>
      <c r="I1535" s="13"/>
      <c r="J1535" s="13"/>
      <c r="K1535" s="25"/>
      <c r="L1535" s="25"/>
      <c r="M1535" s="25"/>
      <c r="N1535" s="25"/>
      <c r="O1535" s="26"/>
      <c r="P1535" s="16" t="str">
        <f aca="false">IF(O1535="","",IFERROR(1/(1/(IF(K1535="",INDEX(CONFIG!$F$5:$F$14,MATCH(D1535,CONFIG!$D$5:$D$14,0)),K1535)*IF(M1535="",INDEX(CONFIG!$H$5:$H$14,MATCH(D1535,CONFIG!$D$5:$D$14,0)),M1535))),""))</f>
        <v/>
      </c>
      <c r="Q1535" s="16" t="str">
        <f aca="false">IF(OR(O1535="",P1535=""),"",O1535/P1535)</f>
        <v/>
      </c>
      <c r="R1535" s="16" t="str">
        <f aca="false">IF(Q1535="","",Q1535*0.0980665)</f>
        <v/>
      </c>
      <c r="S1535" s="16" t="str">
        <f aca="false">IF(Q1535="","",IFERROR(Q1535/(1/(1/INDEX(CONFIG!$I$5:$I$14,MATCH(D1535,CONFIG!$D$5:$D$14,0)))),""))</f>
        <v/>
      </c>
      <c r="T1535" s="13"/>
      <c r="U1535" s="13"/>
      <c r="V1535" s="13"/>
      <c r="W1535" s="13"/>
      <c r="X1535" s="22" t="str">
        <f aca="false">IF(Q1535="","",Q1535^2)</f>
        <v/>
      </c>
      <c r="Y1535" s="22" t="str">
        <f aca="false">IF(AND(C1535&lt;&gt;"",C1535=CERTIFICADO!$E$4,OR(CERTIFICADO!$E$5="",B1535=CERTIFICADO!$E$5)),MAX($Y$4:Y1534)+1,"")</f>
        <v/>
      </c>
    </row>
    <row r="1536" customFormat="false" ht="15" hidden="false" customHeight="false" outlineLevel="0" collapsed="false">
      <c r="A1536" s="11" t="str">
        <f aca="false">IF(C1536="","",ROW()-4)</f>
        <v/>
      </c>
      <c r="B1536" s="12"/>
      <c r="C1536" s="13"/>
      <c r="D1536" s="23" t="str">
        <f aca="false">IF(C1536="","",IFERROR(INDEX(LOTES!$D$5:$D$1004,MATCH(C1536,LOTES!$F$5:$F$1004,0)),"¿Lote?"))</f>
        <v/>
      </c>
      <c r="E1536" s="11" t="str">
        <f aca="false">IF(C1536="","",IFERROR(INDEX(LOTES!$C$5:$C$1004,MATCH(C1536,LOTES!$F$5:$F$1004,0)),""))</f>
        <v/>
      </c>
      <c r="F1536" s="24" t="str">
        <f aca="false">IF(C1536="","",IFERROR(INDEX(LOTES!$B$5:$B$1004,MATCH(C1536,LOTES!$F$5:$F$1004,0)),""))</f>
        <v/>
      </c>
      <c r="G1536" s="15" t="str">
        <f aca="false">IF(OR(B1536="",F1536=""),"",B1536-F1536)</f>
        <v/>
      </c>
      <c r="H1536" s="13"/>
      <c r="I1536" s="13"/>
      <c r="J1536" s="13"/>
      <c r="K1536" s="25"/>
      <c r="L1536" s="25"/>
      <c r="M1536" s="25"/>
      <c r="N1536" s="25"/>
      <c r="O1536" s="26"/>
      <c r="P1536" s="16" t="str">
        <f aca="false">IF(O1536="","",IFERROR(1/(1/(IF(K1536="",INDEX(CONFIG!$F$5:$F$14,MATCH(D1536,CONFIG!$D$5:$D$14,0)),K1536)*IF(M1536="",INDEX(CONFIG!$H$5:$H$14,MATCH(D1536,CONFIG!$D$5:$D$14,0)),M1536))),""))</f>
        <v/>
      </c>
      <c r="Q1536" s="16" t="str">
        <f aca="false">IF(OR(O1536="",P1536=""),"",O1536/P1536)</f>
        <v/>
      </c>
      <c r="R1536" s="16" t="str">
        <f aca="false">IF(Q1536="","",Q1536*0.0980665)</f>
        <v/>
      </c>
      <c r="S1536" s="16" t="str">
        <f aca="false">IF(Q1536="","",IFERROR(Q1536/(1/(1/INDEX(CONFIG!$I$5:$I$14,MATCH(D1536,CONFIG!$D$5:$D$14,0)))),""))</f>
        <v/>
      </c>
      <c r="T1536" s="13"/>
      <c r="U1536" s="13"/>
      <c r="V1536" s="13"/>
      <c r="W1536" s="13"/>
      <c r="X1536" s="22" t="str">
        <f aca="false">IF(Q1536="","",Q1536^2)</f>
        <v/>
      </c>
      <c r="Y1536" s="22" t="str">
        <f aca="false">IF(AND(C1536&lt;&gt;"",C1536=CERTIFICADO!$E$4,OR(CERTIFICADO!$E$5="",B1536=CERTIFICADO!$E$5)),MAX($Y$4:Y1535)+1,"")</f>
        <v/>
      </c>
    </row>
    <row r="1537" customFormat="false" ht="15" hidden="false" customHeight="false" outlineLevel="0" collapsed="false">
      <c r="A1537" s="11" t="str">
        <f aca="false">IF(C1537="","",ROW()-4)</f>
        <v/>
      </c>
      <c r="B1537" s="12"/>
      <c r="C1537" s="13"/>
      <c r="D1537" s="23" t="str">
        <f aca="false">IF(C1537="","",IFERROR(INDEX(LOTES!$D$5:$D$1004,MATCH(C1537,LOTES!$F$5:$F$1004,0)),"¿Lote?"))</f>
        <v/>
      </c>
      <c r="E1537" s="11" t="str">
        <f aca="false">IF(C1537="","",IFERROR(INDEX(LOTES!$C$5:$C$1004,MATCH(C1537,LOTES!$F$5:$F$1004,0)),""))</f>
        <v/>
      </c>
      <c r="F1537" s="24" t="str">
        <f aca="false">IF(C1537="","",IFERROR(INDEX(LOTES!$B$5:$B$1004,MATCH(C1537,LOTES!$F$5:$F$1004,0)),""))</f>
        <v/>
      </c>
      <c r="G1537" s="15" t="str">
        <f aca="false">IF(OR(B1537="",F1537=""),"",B1537-F1537)</f>
        <v/>
      </c>
      <c r="H1537" s="13"/>
      <c r="I1537" s="13"/>
      <c r="J1537" s="13"/>
      <c r="K1537" s="25"/>
      <c r="L1537" s="25"/>
      <c r="M1537" s="25"/>
      <c r="N1537" s="25"/>
      <c r="O1537" s="26"/>
      <c r="P1537" s="16" t="str">
        <f aca="false">IF(O1537="","",IFERROR(1/(1/(IF(K1537="",INDEX(CONFIG!$F$5:$F$14,MATCH(D1537,CONFIG!$D$5:$D$14,0)),K1537)*IF(M1537="",INDEX(CONFIG!$H$5:$H$14,MATCH(D1537,CONFIG!$D$5:$D$14,0)),M1537))),""))</f>
        <v/>
      </c>
      <c r="Q1537" s="16" t="str">
        <f aca="false">IF(OR(O1537="",P1537=""),"",O1537/P1537)</f>
        <v/>
      </c>
      <c r="R1537" s="16" t="str">
        <f aca="false">IF(Q1537="","",Q1537*0.0980665)</f>
        <v/>
      </c>
      <c r="S1537" s="16" t="str">
        <f aca="false">IF(Q1537="","",IFERROR(Q1537/(1/(1/INDEX(CONFIG!$I$5:$I$14,MATCH(D1537,CONFIG!$D$5:$D$14,0)))),""))</f>
        <v/>
      </c>
      <c r="T1537" s="13"/>
      <c r="U1537" s="13"/>
      <c r="V1537" s="13"/>
      <c r="W1537" s="13"/>
      <c r="X1537" s="22" t="str">
        <f aca="false">IF(Q1537="","",Q1537^2)</f>
        <v/>
      </c>
      <c r="Y1537" s="22" t="str">
        <f aca="false">IF(AND(C1537&lt;&gt;"",C1537=CERTIFICADO!$E$4,OR(CERTIFICADO!$E$5="",B1537=CERTIFICADO!$E$5)),MAX($Y$4:Y1536)+1,"")</f>
        <v/>
      </c>
    </row>
    <row r="1538" customFormat="false" ht="15" hidden="false" customHeight="false" outlineLevel="0" collapsed="false">
      <c r="A1538" s="11" t="str">
        <f aca="false">IF(C1538="","",ROW()-4)</f>
        <v/>
      </c>
      <c r="B1538" s="12"/>
      <c r="C1538" s="13"/>
      <c r="D1538" s="23" t="str">
        <f aca="false">IF(C1538="","",IFERROR(INDEX(LOTES!$D$5:$D$1004,MATCH(C1538,LOTES!$F$5:$F$1004,0)),"¿Lote?"))</f>
        <v/>
      </c>
      <c r="E1538" s="11" t="str">
        <f aca="false">IF(C1538="","",IFERROR(INDEX(LOTES!$C$5:$C$1004,MATCH(C1538,LOTES!$F$5:$F$1004,0)),""))</f>
        <v/>
      </c>
      <c r="F1538" s="24" t="str">
        <f aca="false">IF(C1538="","",IFERROR(INDEX(LOTES!$B$5:$B$1004,MATCH(C1538,LOTES!$F$5:$F$1004,0)),""))</f>
        <v/>
      </c>
      <c r="G1538" s="15" t="str">
        <f aca="false">IF(OR(B1538="",F1538=""),"",B1538-F1538)</f>
        <v/>
      </c>
      <c r="H1538" s="13"/>
      <c r="I1538" s="13"/>
      <c r="J1538" s="13"/>
      <c r="K1538" s="25"/>
      <c r="L1538" s="25"/>
      <c r="M1538" s="25"/>
      <c r="N1538" s="25"/>
      <c r="O1538" s="26"/>
      <c r="P1538" s="16" t="str">
        <f aca="false">IF(O1538="","",IFERROR(1/(1/(IF(K1538="",INDEX(CONFIG!$F$5:$F$14,MATCH(D1538,CONFIG!$D$5:$D$14,0)),K1538)*IF(M1538="",INDEX(CONFIG!$H$5:$H$14,MATCH(D1538,CONFIG!$D$5:$D$14,0)),M1538))),""))</f>
        <v/>
      </c>
      <c r="Q1538" s="16" t="str">
        <f aca="false">IF(OR(O1538="",P1538=""),"",O1538/P1538)</f>
        <v/>
      </c>
      <c r="R1538" s="16" t="str">
        <f aca="false">IF(Q1538="","",Q1538*0.0980665)</f>
        <v/>
      </c>
      <c r="S1538" s="16" t="str">
        <f aca="false">IF(Q1538="","",IFERROR(Q1538/(1/(1/INDEX(CONFIG!$I$5:$I$14,MATCH(D1538,CONFIG!$D$5:$D$14,0)))),""))</f>
        <v/>
      </c>
      <c r="T1538" s="13"/>
      <c r="U1538" s="13"/>
      <c r="V1538" s="13"/>
      <c r="W1538" s="13"/>
      <c r="X1538" s="22" t="str">
        <f aca="false">IF(Q1538="","",Q1538^2)</f>
        <v/>
      </c>
      <c r="Y1538" s="22" t="str">
        <f aca="false">IF(AND(C1538&lt;&gt;"",C1538=CERTIFICADO!$E$4,OR(CERTIFICADO!$E$5="",B1538=CERTIFICADO!$E$5)),MAX($Y$4:Y1537)+1,"")</f>
        <v/>
      </c>
    </row>
    <row r="1539" customFormat="false" ht="15" hidden="false" customHeight="false" outlineLevel="0" collapsed="false">
      <c r="A1539" s="11" t="str">
        <f aca="false">IF(C1539="","",ROW()-4)</f>
        <v/>
      </c>
      <c r="B1539" s="12"/>
      <c r="C1539" s="13"/>
      <c r="D1539" s="23" t="str">
        <f aca="false">IF(C1539="","",IFERROR(INDEX(LOTES!$D$5:$D$1004,MATCH(C1539,LOTES!$F$5:$F$1004,0)),"¿Lote?"))</f>
        <v/>
      </c>
      <c r="E1539" s="11" t="str">
        <f aca="false">IF(C1539="","",IFERROR(INDEX(LOTES!$C$5:$C$1004,MATCH(C1539,LOTES!$F$5:$F$1004,0)),""))</f>
        <v/>
      </c>
      <c r="F1539" s="24" t="str">
        <f aca="false">IF(C1539="","",IFERROR(INDEX(LOTES!$B$5:$B$1004,MATCH(C1539,LOTES!$F$5:$F$1004,0)),""))</f>
        <v/>
      </c>
      <c r="G1539" s="15" t="str">
        <f aca="false">IF(OR(B1539="",F1539=""),"",B1539-F1539)</f>
        <v/>
      </c>
      <c r="H1539" s="13"/>
      <c r="I1539" s="13"/>
      <c r="J1539" s="13"/>
      <c r="K1539" s="25"/>
      <c r="L1539" s="25"/>
      <c r="M1539" s="25"/>
      <c r="N1539" s="25"/>
      <c r="O1539" s="26"/>
      <c r="P1539" s="16" t="str">
        <f aca="false">IF(O1539="","",IFERROR(1/(1/(IF(K1539="",INDEX(CONFIG!$F$5:$F$14,MATCH(D1539,CONFIG!$D$5:$D$14,0)),K1539)*IF(M1539="",INDEX(CONFIG!$H$5:$H$14,MATCH(D1539,CONFIG!$D$5:$D$14,0)),M1539))),""))</f>
        <v/>
      </c>
      <c r="Q1539" s="16" t="str">
        <f aca="false">IF(OR(O1539="",P1539=""),"",O1539/P1539)</f>
        <v/>
      </c>
      <c r="R1539" s="16" t="str">
        <f aca="false">IF(Q1539="","",Q1539*0.0980665)</f>
        <v/>
      </c>
      <c r="S1539" s="16" t="str">
        <f aca="false">IF(Q1539="","",IFERROR(Q1539/(1/(1/INDEX(CONFIG!$I$5:$I$14,MATCH(D1539,CONFIG!$D$5:$D$14,0)))),""))</f>
        <v/>
      </c>
      <c r="T1539" s="13"/>
      <c r="U1539" s="13"/>
      <c r="V1539" s="13"/>
      <c r="W1539" s="13"/>
      <c r="X1539" s="22" t="str">
        <f aca="false">IF(Q1539="","",Q1539^2)</f>
        <v/>
      </c>
      <c r="Y1539" s="22" t="str">
        <f aca="false">IF(AND(C1539&lt;&gt;"",C1539=CERTIFICADO!$E$4,OR(CERTIFICADO!$E$5="",B1539=CERTIFICADO!$E$5)),MAX($Y$4:Y1538)+1,"")</f>
        <v/>
      </c>
    </row>
    <row r="1540" customFormat="false" ht="15" hidden="false" customHeight="false" outlineLevel="0" collapsed="false">
      <c r="A1540" s="11" t="str">
        <f aca="false">IF(C1540="","",ROW()-4)</f>
        <v/>
      </c>
      <c r="B1540" s="12"/>
      <c r="C1540" s="13"/>
      <c r="D1540" s="23" t="str">
        <f aca="false">IF(C1540="","",IFERROR(INDEX(LOTES!$D$5:$D$1004,MATCH(C1540,LOTES!$F$5:$F$1004,0)),"¿Lote?"))</f>
        <v/>
      </c>
      <c r="E1540" s="11" t="str">
        <f aca="false">IF(C1540="","",IFERROR(INDEX(LOTES!$C$5:$C$1004,MATCH(C1540,LOTES!$F$5:$F$1004,0)),""))</f>
        <v/>
      </c>
      <c r="F1540" s="24" t="str">
        <f aca="false">IF(C1540="","",IFERROR(INDEX(LOTES!$B$5:$B$1004,MATCH(C1540,LOTES!$F$5:$F$1004,0)),""))</f>
        <v/>
      </c>
      <c r="G1540" s="15" t="str">
        <f aca="false">IF(OR(B1540="",F1540=""),"",B1540-F1540)</f>
        <v/>
      </c>
      <c r="H1540" s="13"/>
      <c r="I1540" s="13"/>
      <c r="J1540" s="13"/>
      <c r="K1540" s="25"/>
      <c r="L1540" s="25"/>
      <c r="M1540" s="25"/>
      <c r="N1540" s="25"/>
      <c r="O1540" s="26"/>
      <c r="P1540" s="16" t="str">
        <f aca="false">IF(O1540="","",IFERROR(1/(1/(IF(K1540="",INDEX(CONFIG!$F$5:$F$14,MATCH(D1540,CONFIG!$D$5:$D$14,0)),K1540)*IF(M1540="",INDEX(CONFIG!$H$5:$H$14,MATCH(D1540,CONFIG!$D$5:$D$14,0)),M1540))),""))</f>
        <v/>
      </c>
      <c r="Q1540" s="16" t="str">
        <f aca="false">IF(OR(O1540="",P1540=""),"",O1540/P1540)</f>
        <v/>
      </c>
      <c r="R1540" s="16" t="str">
        <f aca="false">IF(Q1540="","",Q1540*0.0980665)</f>
        <v/>
      </c>
      <c r="S1540" s="16" t="str">
        <f aca="false">IF(Q1540="","",IFERROR(Q1540/(1/(1/INDEX(CONFIG!$I$5:$I$14,MATCH(D1540,CONFIG!$D$5:$D$14,0)))),""))</f>
        <v/>
      </c>
      <c r="T1540" s="13"/>
      <c r="U1540" s="13"/>
      <c r="V1540" s="13"/>
      <c r="W1540" s="13"/>
      <c r="X1540" s="22" t="str">
        <f aca="false">IF(Q1540="","",Q1540^2)</f>
        <v/>
      </c>
      <c r="Y1540" s="22" t="str">
        <f aca="false">IF(AND(C1540&lt;&gt;"",C1540=CERTIFICADO!$E$4,OR(CERTIFICADO!$E$5="",B1540=CERTIFICADO!$E$5)),MAX($Y$4:Y1539)+1,"")</f>
        <v/>
      </c>
    </row>
    <row r="1541" customFormat="false" ht="15" hidden="false" customHeight="false" outlineLevel="0" collapsed="false">
      <c r="A1541" s="11" t="str">
        <f aca="false">IF(C1541="","",ROW()-4)</f>
        <v/>
      </c>
      <c r="B1541" s="12"/>
      <c r="C1541" s="13"/>
      <c r="D1541" s="23" t="str">
        <f aca="false">IF(C1541="","",IFERROR(INDEX(LOTES!$D$5:$D$1004,MATCH(C1541,LOTES!$F$5:$F$1004,0)),"¿Lote?"))</f>
        <v/>
      </c>
      <c r="E1541" s="11" t="str">
        <f aca="false">IF(C1541="","",IFERROR(INDEX(LOTES!$C$5:$C$1004,MATCH(C1541,LOTES!$F$5:$F$1004,0)),""))</f>
        <v/>
      </c>
      <c r="F1541" s="24" t="str">
        <f aca="false">IF(C1541="","",IFERROR(INDEX(LOTES!$B$5:$B$1004,MATCH(C1541,LOTES!$F$5:$F$1004,0)),""))</f>
        <v/>
      </c>
      <c r="G1541" s="15" t="str">
        <f aca="false">IF(OR(B1541="",F1541=""),"",B1541-F1541)</f>
        <v/>
      </c>
      <c r="H1541" s="13"/>
      <c r="I1541" s="13"/>
      <c r="J1541" s="13"/>
      <c r="K1541" s="25"/>
      <c r="L1541" s="25"/>
      <c r="M1541" s="25"/>
      <c r="N1541" s="25"/>
      <c r="O1541" s="26"/>
      <c r="P1541" s="16" t="str">
        <f aca="false">IF(O1541="","",IFERROR(1/(1/(IF(K1541="",INDEX(CONFIG!$F$5:$F$14,MATCH(D1541,CONFIG!$D$5:$D$14,0)),K1541)*IF(M1541="",INDEX(CONFIG!$H$5:$H$14,MATCH(D1541,CONFIG!$D$5:$D$14,0)),M1541))),""))</f>
        <v/>
      </c>
      <c r="Q1541" s="16" t="str">
        <f aca="false">IF(OR(O1541="",P1541=""),"",O1541/P1541)</f>
        <v/>
      </c>
      <c r="R1541" s="16" t="str">
        <f aca="false">IF(Q1541="","",Q1541*0.0980665)</f>
        <v/>
      </c>
      <c r="S1541" s="16" t="str">
        <f aca="false">IF(Q1541="","",IFERROR(Q1541/(1/(1/INDEX(CONFIG!$I$5:$I$14,MATCH(D1541,CONFIG!$D$5:$D$14,0)))),""))</f>
        <v/>
      </c>
      <c r="T1541" s="13"/>
      <c r="U1541" s="13"/>
      <c r="V1541" s="13"/>
      <c r="W1541" s="13"/>
      <c r="X1541" s="22" t="str">
        <f aca="false">IF(Q1541="","",Q1541^2)</f>
        <v/>
      </c>
      <c r="Y1541" s="22" t="str">
        <f aca="false">IF(AND(C1541&lt;&gt;"",C1541=CERTIFICADO!$E$4,OR(CERTIFICADO!$E$5="",B1541=CERTIFICADO!$E$5)),MAX($Y$4:Y1540)+1,"")</f>
        <v/>
      </c>
    </row>
    <row r="1542" customFormat="false" ht="15" hidden="false" customHeight="false" outlineLevel="0" collapsed="false">
      <c r="A1542" s="11" t="str">
        <f aca="false">IF(C1542="","",ROW()-4)</f>
        <v/>
      </c>
      <c r="B1542" s="12"/>
      <c r="C1542" s="13"/>
      <c r="D1542" s="23" t="str">
        <f aca="false">IF(C1542="","",IFERROR(INDEX(LOTES!$D$5:$D$1004,MATCH(C1542,LOTES!$F$5:$F$1004,0)),"¿Lote?"))</f>
        <v/>
      </c>
      <c r="E1542" s="11" t="str">
        <f aca="false">IF(C1542="","",IFERROR(INDEX(LOTES!$C$5:$C$1004,MATCH(C1542,LOTES!$F$5:$F$1004,0)),""))</f>
        <v/>
      </c>
      <c r="F1542" s="24" t="str">
        <f aca="false">IF(C1542="","",IFERROR(INDEX(LOTES!$B$5:$B$1004,MATCH(C1542,LOTES!$F$5:$F$1004,0)),""))</f>
        <v/>
      </c>
      <c r="G1542" s="15" t="str">
        <f aca="false">IF(OR(B1542="",F1542=""),"",B1542-F1542)</f>
        <v/>
      </c>
      <c r="H1542" s="13"/>
      <c r="I1542" s="13"/>
      <c r="J1542" s="13"/>
      <c r="K1542" s="25"/>
      <c r="L1542" s="25"/>
      <c r="M1542" s="25"/>
      <c r="N1542" s="25"/>
      <c r="O1542" s="26"/>
      <c r="P1542" s="16" t="str">
        <f aca="false">IF(O1542="","",IFERROR(1/(1/(IF(K1542="",INDEX(CONFIG!$F$5:$F$14,MATCH(D1542,CONFIG!$D$5:$D$14,0)),K1542)*IF(M1542="",INDEX(CONFIG!$H$5:$H$14,MATCH(D1542,CONFIG!$D$5:$D$14,0)),M1542))),""))</f>
        <v/>
      </c>
      <c r="Q1542" s="16" t="str">
        <f aca="false">IF(OR(O1542="",P1542=""),"",O1542/P1542)</f>
        <v/>
      </c>
      <c r="R1542" s="16" t="str">
        <f aca="false">IF(Q1542="","",Q1542*0.0980665)</f>
        <v/>
      </c>
      <c r="S1542" s="16" t="str">
        <f aca="false">IF(Q1542="","",IFERROR(Q1542/(1/(1/INDEX(CONFIG!$I$5:$I$14,MATCH(D1542,CONFIG!$D$5:$D$14,0)))),""))</f>
        <v/>
      </c>
      <c r="T1542" s="13"/>
      <c r="U1542" s="13"/>
      <c r="V1542" s="13"/>
      <c r="W1542" s="13"/>
      <c r="X1542" s="22" t="str">
        <f aca="false">IF(Q1542="","",Q1542^2)</f>
        <v/>
      </c>
      <c r="Y1542" s="22" t="str">
        <f aca="false">IF(AND(C1542&lt;&gt;"",C1542=CERTIFICADO!$E$4,OR(CERTIFICADO!$E$5="",B1542=CERTIFICADO!$E$5)),MAX($Y$4:Y1541)+1,"")</f>
        <v/>
      </c>
    </row>
    <row r="1543" customFormat="false" ht="15" hidden="false" customHeight="false" outlineLevel="0" collapsed="false">
      <c r="A1543" s="11" t="str">
        <f aca="false">IF(C1543="","",ROW()-4)</f>
        <v/>
      </c>
      <c r="B1543" s="12"/>
      <c r="C1543" s="13"/>
      <c r="D1543" s="23" t="str">
        <f aca="false">IF(C1543="","",IFERROR(INDEX(LOTES!$D$5:$D$1004,MATCH(C1543,LOTES!$F$5:$F$1004,0)),"¿Lote?"))</f>
        <v/>
      </c>
      <c r="E1543" s="11" t="str">
        <f aca="false">IF(C1543="","",IFERROR(INDEX(LOTES!$C$5:$C$1004,MATCH(C1543,LOTES!$F$5:$F$1004,0)),""))</f>
        <v/>
      </c>
      <c r="F1543" s="24" t="str">
        <f aca="false">IF(C1543="","",IFERROR(INDEX(LOTES!$B$5:$B$1004,MATCH(C1543,LOTES!$F$5:$F$1004,0)),""))</f>
        <v/>
      </c>
      <c r="G1543" s="15" t="str">
        <f aca="false">IF(OR(B1543="",F1543=""),"",B1543-F1543)</f>
        <v/>
      </c>
      <c r="H1543" s="13"/>
      <c r="I1543" s="13"/>
      <c r="J1543" s="13"/>
      <c r="K1543" s="25"/>
      <c r="L1543" s="25"/>
      <c r="M1543" s="25"/>
      <c r="N1543" s="25"/>
      <c r="O1543" s="26"/>
      <c r="P1543" s="16" t="str">
        <f aca="false">IF(O1543="","",IFERROR(1/(1/(IF(K1543="",INDEX(CONFIG!$F$5:$F$14,MATCH(D1543,CONFIG!$D$5:$D$14,0)),K1543)*IF(M1543="",INDEX(CONFIG!$H$5:$H$14,MATCH(D1543,CONFIG!$D$5:$D$14,0)),M1543))),""))</f>
        <v/>
      </c>
      <c r="Q1543" s="16" t="str">
        <f aca="false">IF(OR(O1543="",P1543=""),"",O1543/P1543)</f>
        <v/>
      </c>
      <c r="R1543" s="16" t="str">
        <f aca="false">IF(Q1543="","",Q1543*0.0980665)</f>
        <v/>
      </c>
      <c r="S1543" s="16" t="str">
        <f aca="false">IF(Q1543="","",IFERROR(Q1543/(1/(1/INDEX(CONFIG!$I$5:$I$14,MATCH(D1543,CONFIG!$D$5:$D$14,0)))),""))</f>
        <v/>
      </c>
      <c r="T1543" s="13"/>
      <c r="U1543" s="13"/>
      <c r="V1543" s="13"/>
      <c r="W1543" s="13"/>
      <c r="X1543" s="22" t="str">
        <f aca="false">IF(Q1543="","",Q1543^2)</f>
        <v/>
      </c>
      <c r="Y1543" s="22" t="str">
        <f aca="false">IF(AND(C1543&lt;&gt;"",C1543=CERTIFICADO!$E$4,OR(CERTIFICADO!$E$5="",B1543=CERTIFICADO!$E$5)),MAX($Y$4:Y1542)+1,"")</f>
        <v/>
      </c>
    </row>
    <row r="1544" customFormat="false" ht="15" hidden="false" customHeight="false" outlineLevel="0" collapsed="false">
      <c r="A1544" s="11" t="str">
        <f aca="false">IF(C1544="","",ROW()-4)</f>
        <v/>
      </c>
      <c r="B1544" s="12"/>
      <c r="C1544" s="13"/>
      <c r="D1544" s="23" t="str">
        <f aca="false">IF(C1544="","",IFERROR(INDEX(LOTES!$D$5:$D$1004,MATCH(C1544,LOTES!$F$5:$F$1004,0)),"¿Lote?"))</f>
        <v/>
      </c>
      <c r="E1544" s="11" t="str">
        <f aca="false">IF(C1544="","",IFERROR(INDEX(LOTES!$C$5:$C$1004,MATCH(C1544,LOTES!$F$5:$F$1004,0)),""))</f>
        <v/>
      </c>
      <c r="F1544" s="24" t="str">
        <f aca="false">IF(C1544="","",IFERROR(INDEX(LOTES!$B$5:$B$1004,MATCH(C1544,LOTES!$F$5:$F$1004,0)),""))</f>
        <v/>
      </c>
      <c r="G1544" s="15" t="str">
        <f aca="false">IF(OR(B1544="",F1544=""),"",B1544-F1544)</f>
        <v/>
      </c>
      <c r="H1544" s="13"/>
      <c r="I1544" s="13"/>
      <c r="J1544" s="13"/>
      <c r="K1544" s="25"/>
      <c r="L1544" s="25"/>
      <c r="M1544" s="25"/>
      <c r="N1544" s="25"/>
      <c r="O1544" s="26"/>
      <c r="P1544" s="16" t="str">
        <f aca="false">IF(O1544="","",IFERROR(1/(1/(IF(K1544="",INDEX(CONFIG!$F$5:$F$14,MATCH(D1544,CONFIG!$D$5:$D$14,0)),K1544)*IF(M1544="",INDEX(CONFIG!$H$5:$H$14,MATCH(D1544,CONFIG!$D$5:$D$14,0)),M1544))),""))</f>
        <v/>
      </c>
      <c r="Q1544" s="16" t="str">
        <f aca="false">IF(OR(O1544="",P1544=""),"",O1544/P1544)</f>
        <v/>
      </c>
      <c r="R1544" s="16" t="str">
        <f aca="false">IF(Q1544="","",Q1544*0.0980665)</f>
        <v/>
      </c>
      <c r="S1544" s="16" t="str">
        <f aca="false">IF(Q1544="","",IFERROR(Q1544/(1/(1/INDEX(CONFIG!$I$5:$I$14,MATCH(D1544,CONFIG!$D$5:$D$14,0)))),""))</f>
        <v/>
      </c>
      <c r="T1544" s="13"/>
      <c r="U1544" s="13"/>
      <c r="V1544" s="13"/>
      <c r="W1544" s="13"/>
      <c r="X1544" s="22" t="str">
        <f aca="false">IF(Q1544="","",Q1544^2)</f>
        <v/>
      </c>
      <c r="Y1544" s="22" t="str">
        <f aca="false">IF(AND(C1544&lt;&gt;"",C1544=CERTIFICADO!$E$4,OR(CERTIFICADO!$E$5="",B1544=CERTIFICADO!$E$5)),MAX($Y$4:Y1543)+1,"")</f>
        <v/>
      </c>
    </row>
    <row r="1545" customFormat="false" ht="15" hidden="false" customHeight="false" outlineLevel="0" collapsed="false">
      <c r="A1545" s="11" t="str">
        <f aca="false">IF(C1545="","",ROW()-4)</f>
        <v/>
      </c>
      <c r="B1545" s="12"/>
      <c r="C1545" s="13"/>
      <c r="D1545" s="23" t="str">
        <f aca="false">IF(C1545="","",IFERROR(INDEX(LOTES!$D$5:$D$1004,MATCH(C1545,LOTES!$F$5:$F$1004,0)),"¿Lote?"))</f>
        <v/>
      </c>
      <c r="E1545" s="11" t="str">
        <f aca="false">IF(C1545="","",IFERROR(INDEX(LOTES!$C$5:$C$1004,MATCH(C1545,LOTES!$F$5:$F$1004,0)),""))</f>
        <v/>
      </c>
      <c r="F1545" s="24" t="str">
        <f aca="false">IF(C1545="","",IFERROR(INDEX(LOTES!$B$5:$B$1004,MATCH(C1545,LOTES!$F$5:$F$1004,0)),""))</f>
        <v/>
      </c>
      <c r="G1545" s="15" t="str">
        <f aca="false">IF(OR(B1545="",F1545=""),"",B1545-F1545)</f>
        <v/>
      </c>
      <c r="H1545" s="13"/>
      <c r="I1545" s="13"/>
      <c r="J1545" s="13"/>
      <c r="K1545" s="25"/>
      <c r="L1545" s="25"/>
      <c r="M1545" s="25"/>
      <c r="N1545" s="25"/>
      <c r="O1545" s="26"/>
      <c r="P1545" s="16" t="str">
        <f aca="false">IF(O1545="","",IFERROR(1/(1/(IF(K1545="",INDEX(CONFIG!$F$5:$F$14,MATCH(D1545,CONFIG!$D$5:$D$14,0)),K1545)*IF(M1545="",INDEX(CONFIG!$H$5:$H$14,MATCH(D1545,CONFIG!$D$5:$D$14,0)),M1545))),""))</f>
        <v/>
      </c>
      <c r="Q1545" s="16" t="str">
        <f aca="false">IF(OR(O1545="",P1545=""),"",O1545/P1545)</f>
        <v/>
      </c>
      <c r="R1545" s="16" t="str">
        <f aca="false">IF(Q1545="","",Q1545*0.0980665)</f>
        <v/>
      </c>
      <c r="S1545" s="16" t="str">
        <f aca="false">IF(Q1545="","",IFERROR(Q1545/(1/(1/INDEX(CONFIG!$I$5:$I$14,MATCH(D1545,CONFIG!$D$5:$D$14,0)))),""))</f>
        <v/>
      </c>
      <c r="T1545" s="13"/>
      <c r="U1545" s="13"/>
      <c r="V1545" s="13"/>
      <c r="W1545" s="13"/>
      <c r="X1545" s="22" t="str">
        <f aca="false">IF(Q1545="","",Q1545^2)</f>
        <v/>
      </c>
      <c r="Y1545" s="22" t="str">
        <f aca="false">IF(AND(C1545&lt;&gt;"",C1545=CERTIFICADO!$E$4,OR(CERTIFICADO!$E$5="",B1545=CERTIFICADO!$E$5)),MAX($Y$4:Y1544)+1,"")</f>
        <v/>
      </c>
    </row>
    <row r="1546" customFormat="false" ht="15" hidden="false" customHeight="false" outlineLevel="0" collapsed="false">
      <c r="A1546" s="11" t="str">
        <f aca="false">IF(C1546="","",ROW()-4)</f>
        <v/>
      </c>
      <c r="B1546" s="12"/>
      <c r="C1546" s="13"/>
      <c r="D1546" s="23" t="str">
        <f aca="false">IF(C1546="","",IFERROR(INDEX(LOTES!$D$5:$D$1004,MATCH(C1546,LOTES!$F$5:$F$1004,0)),"¿Lote?"))</f>
        <v/>
      </c>
      <c r="E1546" s="11" t="str">
        <f aca="false">IF(C1546="","",IFERROR(INDEX(LOTES!$C$5:$C$1004,MATCH(C1546,LOTES!$F$5:$F$1004,0)),""))</f>
        <v/>
      </c>
      <c r="F1546" s="24" t="str">
        <f aca="false">IF(C1546="","",IFERROR(INDEX(LOTES!$B$5:$B$1004,MATCH(C1546,LOTES!$F$5:$F$1004,0)),""))</f>
        <v/>
      </c>
      <c r="G1546" s="15" t="str">
        <f aca="false">IF(OR(B1546="",F1546=""),"",B1546-F1546)</f>
        <v/>
      </c>
      <c r="H1546" s="13"/>
      <c r="I1546" s="13"/>
      <c r="J1546" s="13"/>
      <c r="K1546" s="25"/>
      <c r="L1546" s="25"/>
      <c r="M1546" s="25"/>
      <c r="N1546" s="25"/>
      <c r="O1546" s="26"/>
      <c r="P1546" s="16" t="str">
        <f aca="false">IF(O1546="","",IFERROR(1/(1/(IF(K1546="",INDEX(CONFIG!$F$5:$F$14,MATCH(D1546,CONFIG!$D$5:$D$14,0)),K1546)*IF(M1546="",INDEX(CONFIG!$H$5:$H$14,MATCH(D1546,CONFIG!$D$5:$D$14,0)),M1546))),""))</f>
        <v/>
      </c>
      <c r="Q1546" s="16" t="str">
        <f aca="false">IF(OR(O1546="",P1546=""),"",O1546/P1546)</f>
        <v/>
      </c>
      <c r="R1546" s="16" t="str">
        <f aca="false">IF(Q1546="","",Q1546*0.0980665)</f>
        <v/>
      </c>
      <c r="S1546" s="16" t="str">
        <f aca="false">IF(Q1546="","",IFERROR(Q1546/(1/(1/INDEX(CONFIG!$I$5:$I$14,MATCH(D1546,CONFIG!$D$5:$D$14,0)))),""))</f>
        <v/>
      </c>
      <c r="T1546" s="13"/>
      <c r="U1546" s="13"/>
      <c r="V1546" s="13"/>
      <c r="W1546" s="13"/>
      <c r="X1546" s="22" t="str">
        <f aca="false">IF(Q1546="","",Q1546^2)</f>
        <v/>
      </c>
      <c r="Y1546" s="22" t="str">
        <f aca="false">IF(AND(C1546&lt;&gt;"",C1546=CERTIFICADO!$E$4,OR(CERTIFICADO!$E$5="",B1546=CERTIFICADO!$E$5)),MAX($Y$4:Y1545)+1,"")</f>
        <v/>
      </c>
    </row>
    <row r="1547" customFormat="false" ht="15" hidden="false" customHeight="false" outlineLevel="0" collapsed="false">
      <c r="A1547" s="11" t="str">
        <f aca="false">IF(C1547="","",ROW()-4)</f>
        <v/>
      </c>
      <c r="B1547" s="12"/>
      <c r="C1547" s="13"/>
      <c r="D1547" s="23" t="str">
        <f aca="false">IF(C1547="","",IFERROR(INDEX(LOTES!$D$5:$D$1004,MATCH(C1547,LOTES!$F$5:$F$1004,0)),"¿Lote?"))</f>
        <v/>
      </c>
      <c r="E1547" s="11" t="str">
        <f aca="false">IF(C1547="","",IFERROR(INDEX(LOTES!$C$5:$C$1004,MATCH(C1547,LOTES!$F$5:$F$1004,0)),""))</f>
        <v/>
      </c>
      <c r="F1547" s="24" t="str">
        <f aca="false">IF(C1547="","",IFERROR(INDEX(LOTES!$B$5:$B$1004,MATCH(C1547,LOTES!$F$5:$F$1004,0)),""))</f>
        <v/>
      </c>
      <c r="G1547" s="15" t="str">
        <f aca="false">IF(OR(B1547="",F1547=""),"",B1547-F1547)</f>
        <v/>
      </c>
      <c r="H1547" s="13"/>
      <c r="I1547" s="13"/>
      <c r="J1547" s="13"/>
      <c r="K1547" s="25"/>
      <c r="L1547" s="25"/>
      <c r="M1547" s="25"/>
      <c r="N1547" s="25"/>
      <c r="O1547" s="26"/>
      <c r="P1547" s="16" t="str">
        <f aca="false">IF(O1547="","",IFERROR(1/(1/(IF(K1547="",INDEX(CONFIG!$F$5:$F$14,MATCH(D1547,CONFIG!$D$5:$D$14,0)),K1547)*IF(M1547="",INDEX(CONFIG!$H$5:$H$14,MATCH(D1547,CONFIG!$D$5:$D$14,0)),M1547))),""))</f>
        <v/>
      </c>
      <c r="Q1547" s="16" t="str">
        <f aca="false">IF(OR(O1547="",P1547=""),"",O1547/P1547)</f>
        <v/>
      </c>
      <c r="R1547" s="16" t="str">
        <f aca="false">IF(Q1547="","",Q1547*0.0980665)</f>
        <v/>
      </c>
      <c r="S1547" s="16" t="str">
        <f aca="false">IF(Q1547="","",IFERROR(Q1547/(1/(1/INDEX(CONFIG!$I$5:$I$14,MATCH(D1547,CONFIG!$D$5:$D$14,0)))),""))</f>
        <v/>
      </c>
      <c r="T1547" s="13"/>
      <c r="U1547" s="13"/>
      <c r="V1547" s="13"/>
      <c r="W1547" s="13"/>
      <c r="X1547" s="22" t="str">
        <f aca="false">IF(Q1547="","",Q1547^2)</f>
        <v/>
      </c>
      <c r="Y1547" s="22" t="str">
        <f aca="false">IF(AND(C1547&lt;&gt;"",C1547=CERTIFICADO!$E$4,OR(CERTIFICADO!$E$5="",B1547=CERTIFICADO!$E$5)),MAX($Y$4:Y1546)+1,"")</f>
        <v/>
      </c>
    </row>
    <row r="1548" customFormat="false" ht="15" hidden="false" customHeight="false" outlineLevel="0" collapsed="false">
      <c r="A1548" s="11" t="str">
        <f aca="false">IF(C1548="","",ROW()-4)</f>
        <v/>
      </c>
      <c r="B1548" s="12"/>
      <c r="C1548" s="13"/>
      <c r="D1548" s="23" t="str">
        <f aca="false">IF(C1548="","",IFERROR(INDEX(LOTES!$D$5:$D$1004,MATCH(C1548,LOTES!$F$5:$F$1004,0)),"¿Lote?"))</f>
        <v/>
      </c>
      <c r="E1548" s="11" t="str">
        <f aca="false">IF(C1548="","",IFERROR(INDEX(LOTES!$C$5:$C$1004,MATCH(C1548,LOTES!$F$5:$F$1004,0)),""))</f>
        <v/>
      </c>
      <c r="F1548" s="24" t="str">
        <f aca="false">IF(C1548="","",IFERROR(INDEX(LOTES!$B$5:$B$1004,MATCH(C1548,LOTES!$F$5:$F$1004,0)),""))</f>
        <v/>
      </c>
      <c r="G1548" s="15" t="str">
        <f aca="false">IF(OR(B1548="",F1548=""),"",B1548-F1548)</f>
        <v/>
      </c>
      <c r="H1548" s="13"/>
      <c r="I1548" s="13"/>
      <c r="J1548" s="13"/>
      <c r="K1548" s="25"/>
      <c r="L1548" s="25"/>
      <c r="M1548" s="25"/>
      <c r="N1548" s="25"/>
      <c r="O1548" s="26"/>
      <c r="P1548" s="16" t="str">
        <f aca="false">IF(O1548="","",IFERROR(1/(1/(IF(K1548="",INDEX(CONFIG!$F$5:$F$14,MATCH(D1548,CONFIG!$D$5:$D$14,0)),K1548)*IF(M1548="",INDEX(CONFIG!$H$5:$H$14,MATCH(D1548,CONFIG!$D$5:$D$14,0)),M1548))),""))</f>
        <v/>
      </c>
      <c r="Q1548" s="16" t="str">
        <f aca="false">IF(OR(O1548="",P1548=""),"",O1548/P1548)</f>
        <v/>
      </c>
      <c r="R1548" s="16" t="str">
        <f aca="false">IF(Q1548="","",Q1548*0.0980665)</f>
        <v/>
      </c>
      <c r="S1548" s="16" t="str">
        <f aca="false">IF(Q1548="","",IFERROR(Q1548/(1/(1/INDEX(CONFIG!$I$5:$I$14,MATCH(D1548,CONFIG!$D$5:$D$14,0)))),""))</f>
        <v/>
      </c>
      <c r="T1548" s="13"/>
      <c r="U1548" s="13"/>
      <c r="V1548" s="13"/>
      <c r="W1548" s="13"/>
      <c r="X1548" s="22" t="str">
        <f aca="false">IF(Q1548="","",Q1548^2)</f>
        <v/>
      </c>
      <c r="Y1548" s="22" t="str">
        <f aca="false">IF(AND(C1548&lt;&gt;"",C1548=CERTIFICADO!$E$4,OR(CERTIFICADO!$E$5="",B1548=CERTIFICADO!$E$5)),MAX($Y$4:Y1547)+1,"")</f>
        <v/>
      </c>
    </row>
    <row r="1549" customFormat="false" ht="15" hidden="false" customHeight="false" outlineLevel="0" collapsed="false">
      <c r="A1549" s="11" t="str">
        <f aca="false">IF(C1549="","",ROW()-4)</f>
        <v/>
      </c>
      <c r="B1549" s="12"/>
      <c r="C1549" s="13"/>
      <c r="D1549" s="23" t="str">
        <f aca="false">IF(C1549="","",IFERROR(INDEX(LOTES!$D$5:$D$1004,MATCH(C1549,LOTES!$F$5:$F$1004,0)),"¿Lote?"))</f>
        <v/>
      </c>
      <c r="E1549" s="11" t="str">
        <f aca="false">IF(C1549="","",IFERROR(INDEX(LOTES!$C$5:$C$1004,MATCH(C1549,LOTES!$F$5:$F$1004,0)),""))</f>
        <v/>
      </c>
      <c r="F1549" s="24" t="str">
        <f aca="false">IF(C1549="","",IFERROR(INDEX(LOTES!$B$5:$B$1004,MATCH(C1549,LOTES!$F$5:$F$1004,0)),""))</f>
        <v/>
      </c>
      <c r="G1549" s="15" t="str">
        <f aca="false">IF(OR(B1549="",F1549=""),"",B1549-F1549)</f>
        <v/>
      </c>
      <c r="H1549" s="13"/>
      <c r="I1549" s="13"/>
      <c r="J1549" s="13"/>
      <c r="K1549" s="25"/>
      <c r="L1549" s="25"/>
      <c r="M1549" s="25"/>
      <c r="N1549" s="25"/>
      <c r="O1549" s="26"/>
      <c r="P1549" s="16" t="str">
        <f aca="false">IF(O1549="","",IFERROR(1/(1/(IF(K1549="",INDEX(CONFIG!$F$5:$F$14,MATCH(D1549,CONFIG!$D$5:$D$14,0)),K1549)*IF(M1549="",INDEX(CONFIG!$H$5:$H$14,MATCH(D1549,CONFIG!$D$5:$D$14,0)),M1549))),""))</f>
        <v/>
      </c>
      <c r="Q1549" s="16" t="str">
        <f aca="false">IF(OR(O1549="",P1549=""),"",O1549/P1549)</f>
        <v/>
      </c>
      <c r="R1549" s="16" t="str">
        <f aca="false">IF(Q1549="","",Q1549*0.0980665)</f>
        <v/>
      </c>
      <c r="S1549" s="16" t="str">
        <f aca="false">IF(Q1549="","",IFERROR(Q1549/(1/(1/INDEX(CONFIG!$I$5:$I$14,MATCH(D1549,CONFIG!$D$5:$D$14,0)))),""))</f>
        <v/>
      </c>
      <c r="T1549" s="13"/>
      <c r="U1549" s="13"/>
      <c r="V1549" s="13"/>
      <c r="W1549" s="13"/>
      <c r="X1549" s="22" t="str">
        <f aca="false">IF(Q1549="","",Q1549^2)</f>
        <v/>
      </c>
      <c r="Y1549" s="22" t="str">
        <f aca="false">IF(AND(C1549&lt;&gt;"",C1549=CERTIFICADO!$E$4,OR(CERTIFICADO!$E$5="",B1549=CERTIFICADO!$E$5)),MAX($Y$4:Y1548)+1,"")</f>
        <v/>
      </c>
    </row>
    <row r="1550" customFormat="false" ht="15" hidden="false" customHeight="false" outlineLevel="0" collapsed="false">
      <c r="A1550" s="11" t="str">
        <f aca="false">IF(C1550="","",ROW()-4)</f>
        <v/>
      </c>
      <c r="B1550" s="12"/>
      <c r="C1550" s="13"/>
      <c r="D1550" s="23" t="str">
        <f aca="false">IF(C1550="","",IFERROR(INDEX(LOTES!$D$5:$D$1004,MATCH(C1550,LOTES!$F$5:$F$1004,0)),"¿Lote?"))</f>
        <v/>
      </c>
      <c r="E1550" s="11" t="str">
        <f aca="false">IF(C1550="","",IFERROR(INDEX(LOTES!$C$5:$C$1004,MATCH(C1550,LOTES!$F$5:$F$1004,0)),""))</f>
        <v/>
      </c>
      <c r="F1550" s="24" t="str">
        <f aca="false">IF(C1550="","",IFERROR(INDEX(LOTES!$B$5:$B$1004,MATCH(C1550,LOTES!$F$5:$F$1004,0)),""))</f>
        <v/>
      </c>
      <c r="G1550" s="15" t="str">
        <f aca="false">IF(OR(B1550="",F1550=""),"",B1550-F1550)</f>
        <v/>
      </c>
      <c r="H1550" s="13"/>
      <c r="I1550" s="13"/>
      <c r="J1550" s="13"/>
      <c r="K1550" s="25"/>
      <c r="L1550" s="25"/>
      <c r="M1550" s="25"/>
      <c r="N1550" s="25"/>
      <c r="O1550" s="26"/>
      <c r="P1550" s="16" t="str">
        <f aca="false">IF(O1550="","",IFERROR(1/(1/(IF(K1550="",INDEX(CONFIG!$F$5:$F$14,MATCH(D1550,CONFIG!$D$5:$D$14,0)),K1550)*IF(M1550="",INDEX(CONFIG!$H$5:$H$14,MATCH(D1550,CONFIG!$D$5:$D$14,0)),M1550))),""))</f>
        <v/>
      </c>
      <c r="Q1550" s="16" t="str">
        <f aca="false">IF(OR(O1550="",P1550=""),"",O1550/P1550)</f>
        <v/>
      </c>
      <c r="R1550" s="16" t="str">
        <f aca="false">IF(Q1550="","",Q1550*0.0980665)</f>
        <v/>
      </c>
      <c r="S1550" s="16" t="str">
        <f aca="false">IF(Q1550="","",IFERROR(Q1550/(1/(1/INDEX(CONFIG!$I$5:$I$14,MATCH(D1550,CONFIG!$D$5:$D$14,0)))),""))</f>
        <v/>
      </c>
      <c r="T1550" s="13"/>
      <c r="U1550" s="13"/>
      <c r="V1550" s="13"/>
      <c r="W1550" s="13"/>
      <c r="X1550" s="22" t="str">
        <f aca="false">IF(Q1550="","",Q1550^2)</f>
        <v/>
      </c>
      <c r="Y1550" s="22" t="str">
        <f aca="false">IF(AND(C1550&lt;&gt;"",C1550=CERTIFICADO!$E$4,OR(CERTIFICADO!$E$5="",B1550=CERTIFICADO!$E$5)),MAX($Y$4:Y1549)+1,"")</f>
        <v/>
      </c>
    </row>
    <row r="1551" customFormat="false" ht="15" hidden="false" customHeight="false" outlineLevel="0" collapsed="false">
      <c r="A1551" s="11" t="str">
        <f aca="false">IF(C1551="","",ROW()-4)</f>
        <v/>
      </c>
      <c r="B1551" s="12"/>
      <c r="C1551" s="13"/>
      <c r="D1551" s="23" t="str">
        <f aca="false">IF(C1551="","",IFERROR(INDEX(LOTES!$D$5:$D$1004,MATCH(C1551,LOTES!$F$5:$F$1004,0)),"¿Lote?"))</f>
        <v/>
      </c>
      <c r="E1551" s="11" t="str">
        <f aca="false">IF(C1551="","",IFERROR(INDEX(LOTES!$C$5:$C$1004,MATCH(C1551,LOTES!$F$5:$F$1004,0)),""))</f>
        <v/>
      </c>
      <c r="F1551" s="24" t="str">
        <f aca="false">IF(C1551="","",IFERROR(INDEX(LOTES!$B$5:$B$1004,MATCH(C1551,LOTES!$F$5:$F$1004,0)),""))</f>
        <v/>
      </c>
      <c r="G1551" s="15" t="str">
        <f aca="false">IF(OR(B1551="",F1551=""),"",B1551-F1551)</f>
        <v/>
      </c>
      <c r="H1551" s="13"/>
      <c r="I1551" s="13"/>
      <c r="J1551" s="13"/>
      <c r="K1551" s="25"/>
      <c r="L1551" s="25"/>
      <c r="M1551" s="25"/>
      <c r="N1551" s="25"/>
      <c r="O1551" s="26"/>
      <c r="P1551" s="16" t="str">
        <f aca="false">IF(O1551="","",IFERROR(1/(1/(IF(K1551="",INDEX(CONFIG!$F$5:$F$14,MATCH(D1551,CONFIG!$D$5:$D$14,0)),K1551)*IF(M1551="",INDEX(CONFIG!$H$5:$H$14,MATCH(D1551,CONFIG!$D$5:$D$14,0)),M1551))),""))</f>
        <v/>
      </c>
      <c r="Q1551" s="16" t="str">
        <f aca="false">IF(OR(O1551="",P1551=""),"",O1551/P1551)</f>
        <v/>
      </c>
      <c r="R1551" s="16" t="str">
        <f aca="false">IF(Q1551="","",Q1551*0.0980665)</f>
        <v/>
      </c>
      <c r="S1551" s="16" t="str">
        <f aca="false">IF(Q1551="","",IFERROR(Q1551/(1/(1/INDEX(CONFIG!$I$5:$I$14,MATCH(D1551,CONFIG!$D$5:$D$14,0)))),""))</f>
        <v/>
      </c>
      <c r="T1551" s="13"/>
      <c r="U1551" s="13"/>
      <c r="V1551" s="13"/>
      <c r="W1551" s="13"/>
      <c r="X1551" s="22" t="str">
        <f aca="false">IF(Q1551="","",Q1551^2)</f>
        <v/>
      </c>
      <c r="Y1551" s="22" t="str">
        <f aca="false">IF(AND(C1551&lt;&gt;"",C1551=CERTIFICADO!$E$4,OR(CERTIFICADO!$E$5="",B1551=CERTIFICADO!$E$5)),MAX($Y$4:Y1550)+1,"")</f>
        <v/>
      </c>
    </row>
    <row r="1552" customFormat="false" ht="15" hidden="false" customHeight="false" outlineLevel="0" collapsed="false">
      <c r="A1552" s="11" t="str">
        <f aca="false">IF(C1552="","",ROW()-4)</f>
        <v/>
      </c>
      <c r="B1552" s="12"/>
      <c r="C1552" s="13"/>
      <c r="D1552" s="23" t="str">
        <f aca="false">IF(C1552="","",IFERROR(INDEX(LOTES!$D$5:$D$1004,MATCH(C1552,LOTES!$F$5:$F$1004,0)),"¿Lote?"))</f>
        <v/>
      </c>
      <c r="E1552" s="11" t="str">
        <f aca="false">IF(C1552="","",IFERROR(INDEX(LOTES!$C$5:$C$1004,MATCH(C1552,LOTES!$F$5:$F$1004,0)),""))</f>
        <v/>
      </c>
      <c r="F1552" s="24" t="str">
        <f aca="false">IF(C1552="","",IFERROR(INDEX(LOTES!$B$5:$B$1004,MATCH(C1552,LOTES!$F$5:$F$1004,0)),""))</f>
        <v/>
      </c>
      <c r="G1552" s="15" t="str">
        <f aca="false">IF(OR(B1552="",F1552=""),"",B1552-F1552)</f>
        <v/>
      </c>
      <c r="H1552" s="13"/>
      <c r="I1552" s="13"/>
      <c r="J1552" s="13"/>
      <c r="K1552" s="25"/>
      <c r="L1552" s="25"/>
      <c r="M1552" s="25"/>
      <c r="N1552" s="25"/>
      <c r="O1552" s="26"/>
      <c r="P1552" s="16" t="str">
        <f aca="false">IF(O1552="","",IFERROR(1/(1/(IF(K1552="",INDEX(CONFIG!$F$5:$F$14,MATCH(D1552,CONFIG!$D$5:$D$14,0)),K1552)*IF(M1552="",INDEX(CONFIG!$H$5:$H$14,MATCH(D1552,CONFIG!$D$5:$D$14,0)),M1552))),""))</f>
        <v/>
      </c>
      <c r="Q1552" s="16" t="str">
        <f aca="false">IF(OR(O1552="",P1552=""),"",O1552/P1552)</f>
        <v/>
      </c>
      <c r="R1552" s="16" t="str">
        <f aca="false">IF(Q1552="","",Q1552*0.0980665)</f>
        <v/>
      </c>
      <c r="S1552" s="16" t="str">
        <f aca="false">IF(Q1552="","",IFERROR(Q1552/(1/(1/INDEX(CONFIG!$I$5:$I$14,MATCH(D1552,CONFIG!$D$5:$D$14,0)))),""))</f>
        <v/>
      </c>
      <c r="T1552" s="13"/>
      <c r="U1552" s="13"/>
      <c r="V1552" s="13"/>
      <c r="W1552" s="13"/>
      <c r="X1552" s="22" t="str">
        <f aca="false">IF(Q1552="","",Q1552^2)</f>
        <v/>
      </c>
      <c r="Y1552" s="22" t="str">
        <f aca="false">IF(AND(C1552&lt;&gt;"",C1552=CERTIFICADO!$E$4,OR(CERTIFICADO!$E$5="",B1552=CERTIFICADO!$E$5)),MAX($Y$4:Y1551)+1,"")</f>
        <v/>
      </c>
    </row>
    <row r="1553" customFormat="false" ht="15" hidden="false" customHeight="false" outlineLevel="0" collapsed="false">
      <c r="A1553" s="11" t="str">
        <f aca="false">IF(C1553="","",ROW()-4)</f>
        <v/>
      </c>
      <c r="B1553" s="12"/>
      <c r="C1553" s="13"/>
      <c r="D1553" s="23" t="str">
        <f aca="false">IF(C1553="","",IFERROR(INDEX(LOTES!$D$5:$D$1004,MATCH(C1553,LOTES!$F$5:$F$1004,0)),"¿Lote?"))</f>
        <v/>
      </c>
      <c r="E1553" s="11" t="str">
        <f aca="false">IF(C1553="","",IFERROR(INDEX(LOTES!$C$5:$C$1004,MATCH(C1553,LOTES!$F$5:$F$1004,0)),""))</f>
        <v/>
      </c>
      <c r="F1553" s="24" t="str">
        <f aca="false">IF(C1553="","",IFERROR(INDEX(LOTES!$B$5:$B$1004,MATCH(C1553,LOTES!$F$5:$F$1004,0)),""))</f>
        <v/>
      </c>
      <c r="G1553" s="15" t="str">
        <f aca="false">IF(OR(B1553="",F1553=""),"",B1553-F1553)</f>
        <v/>
      </c>
      <c r="H1553" s="13"/>
      <c r="I1553" s="13"/>
      <c r="J1553" s="13"/>
      <c r="K1553" s="25"/>
      <c r="L1553" s="25"/>
      <c r="M1553" s="25"/>
      <c r="N1553" s="25"/>
      <c r="O1553" s="26"/>
      <c r="P1553" s="16" t="str">
        <f aca="false">IF(O1553="","",IFERROR(1/(1/(IF(K1553="",INDEX(CONFIG!$F$5:$F$14,MATCH(D1553,CONFIG!$D$5:$D$14,0)),K1553)*IF(M1553="",INDEX(CONFIG!$H$5:$H$14,MATCH(D1553,CONFIG!$D$5:$D$14,0)),M1553))),""))</f>
        <v/>
      </c>
      <c r="Q1553" s="16" t="str">
        <f aca="false">IF(OR(O1553="",P1553=""),"",O1553/P1553)</f>
        <v/>
      </c>
      <c r="R1553" s="16" t="str">
        <f aca="false">IF(Q1553="","",Q1553*0.0980665)</f>
        <v/>
      </c>
      <c r="S1553" s="16" t="str">
        <f aca="false">IF(Q1553="","",IFERROR(Q1553/(1/(1/INDEX(CONFIG!$I$5:$I$14,MATCH(D1553,CONFIG!$D$5:$D$14,0)))),""))</f>
        <v/>
      </c>
      <c r="T1553" s="13"/>
      <c r="U1553" s="13"/>
      <c r="V1553" s="13"/>
      <c r="W1553" s="13"/>
      <c r="X1553" s="22" t="str">
        <f aca="false">IF(Q1553="","",Q1553^2)</f>
        <v/>
      </c>
      <c r="Y1553" s="22" t="str">
        <f aca="false">IF(AND(C1553&lt;&gt;"",C1553=CERTIFICADO!$E$4,OR(CERTIFICADO!$E$5="",B1553=CERTIFICADO!$E$5)),MAX($Y$4:Y1552)+1,"")</f>
        <v/>
      </c>
    </row>
    <row r="1554" customFormat="false" ht="15" hidden="false" customHeight="false" outlineLevel="0" collapsed="false">
      <c r="A1554" s="11" t="str">
        <f aca="false">IF(C1554="","",ROW()-4)</f>
        <v/>
      </c>
      <c r="B1554" s="12"/>
      <c r="C1554" s="13"/>
      <c r="D1554" s="23" t="str">
        <f aca="false">IF(C1554="","",IFERROR(INDEX(LOTES!$D$5:$D$1004,MATCH(C1554,LOTES!$F$5:$F$1004,0)),"¿Lote?"))</f>
        <v/>
      </c>
      <c r="E1554" s="11" t="str">
        <f aca="false">IF(C1554="","",IFERROR(INDEX(LOTES!$C$5:$C$1004,MATCH(C1554,LOTES!$F$5:$F$1004,0)),""))</f>
        <v/>
      </c>
      <c r="F1554" s="24" t="str">
        <f aca="false">IF(C1554="","",IFERROR(INDEX(LOTES!$B$5:$B$1004,MATCH(C1554,LOTES!$F$5:$F$1004,0)),""))</f>
        <v/>
      </c>
      <c r="G1554" s="15" t="str">
        <f aca="false">IF(OR(B1554="",F1554=""),"",B1554-F1554)</f>
        <v/>
      </c>
      <c r="H1554" s="13"/>
      <c r="I1554" s="13"/>
      <c r="J1554" s="13"/>
      <c r="K1554" s="25"/>
      <c r="L1554" s="25"/>
      <c r="M1554" s="25"/>
      <c r="N1554" s="25"/>
      <c r="O1554" s="26"/>
      <c r="P1554" s="16" t="str">
        <f aca="false">IF(O1554="","",IFERROR(1/(1/(IF(K1554="",INDEX(CONFIG!$F$5:$F$14,MATCH(D1554,CONFIG!$D$5:$D$14,0)),K1554)*IF(M1554="",INDEX(CONFIG!$H$5:$H$14,MATCH(D1554,CONFIG!$D$5:$D$14,0)),M1554))),""))</f>
        <v/>
      </c>
      <c r="Q1554" s="16" t="str">
        <f aca="false">IF(OR(O1554="",P1554=""),"",O1554/P1554)</f>
        <v/>
      </c>
      <c r="R1554" s="16" t="str">
        <f aca="false">IF(Q1554="","",Q1554*0.0980665)</f>
        <v/>
      </c>
      <c r="S1554" s="16" t="str">
        <f aca="false">IF(Q1554="","",IFERROR(Q1554/(1/(1/INDEX(CONFIG!$I$5:$I$14,MATCH(D1554,CONFIG!$D$5:$D$14,0)))),""))</f>
        <v/>
      </c>
      <c r="T1554" s="13"/>
      <c r="U1554" s="13"/>
      <c r="V1554" s="13"/>
      <c r="W1554" s="13"/>
      <c r="X1554" s="22" t="str">
        <f aca="false">IF(Q1554="","",Q1554^2)</f>
        <v/>
      </c>
      <c r="Y1554" s="22" t="str">
        <f aca="false">IF(AND(C1554&lt;&gt;"",C1554=CERTIFICADO!$E$4,OR(CERTIFICADO!$E$5="",B1554=CERTIFICADO!$E$5)),MAX($Y$4:Y1553)+1,"")</f>
        <v/>
      </c>
    </row>
    <row r="1555" customFormat="false" ht="15" hidden="false" customHeight="false" outlineLevel="0" collapsed="false">
      <c r="A1555" s="11" t="str">
        <f aca="false">IF(C1555="","",ROW()-4)</f>
        <v/>
      </c>
      <c r="B1555" s="12"/>
      <c r="C1555" s="13"/>
      <c r="D1555" s="23" t="str">
        <f aca="false">IF(C1555="","",IFERROR(INDEX(LOTES!$D$5:$D$1004,MATCH(C1555,LOTES!$F$5:$F$1004,0)),"¿Lote?"))</f>
        <v/>
      </c>
      <c r="E1555" s="11" t="str">
        <f aca="false">IF(C1555="","",IFERROR(INDEX(LOTES!$C$5:$C$1004,MATCH(C1555,LOTES!$F$5:$F$1004,0)),""))</f>
        <v/>
      </c>
      <c r="F1555" s="24" t="str">
        <f aca="false">IF(C1555="","",IFERROR(INDEX(LOTES!$B$5:$B$1004,MATCH(C1555,LOTES!$F$5:$F$1004,0)),""))</f>
        <v/>
      </c>
      <c r="G1555" s="15" t="str">
        <f aca="false">IF(OR(B1555="",F1555=""),"",B1555-F1555)</f>
        <v/>
      </c>
      <c r="H1555" s="13"/>
      <c r="I1555" s="13"/>
      <c r="J1555" s="13"/>
      <c r="K1555" s="25"/>
      <c r="L1555" s="25"/>
      <c r="M1555" s="25"/>
      <c r="N1555" s="25"/>
      <c r="O1555" s="26"/>
      <c r="P1555" s="16" t="str">
        <f aca="false">IF(O1555="","",IFERROR(1/(1/(IF(K1555="",INDEX(CONFIG!$F$5:$F$14,MATCH(D1555,CONFIG!$D$5:$D$14,0)),K1555)*IF(M1555="",INDEX(CONFIG!$H$5:$H$14,MATCH(D1555,CONFIG!$D$5:$D$14,0)),M1555))),""))</f>
        <v/>
      </c>
      <c r="Q1555" s="16" t="str">
        <f aca="false">IF(OR(O1555="",P1555=""),"",O1555/P1555)</f>
        <v/>
      </c>
      <c r="R1555" s="16" t="str">
        <f aca="false">IF(Q1555="","",Q1555*0.0980665)</f>
        <v/>
      </c>
      <c r="S1555" s="16" t="str">
        <f aca="false">IF(Q1555="","",IFERROR(Q1555/(1/(1/INDEX(CONFIG!$I$5:$I$14,MATCH(D1555,CONFIG!$D$5:$D$14,0)))),""))</f>
        <v/>
      </c>
      <c r="T1555" s="13"/>
      <c r="U1555" s="13"/>
      <c r="V1555" s="13"/>
      <c r="W1555" s="13"/>
      <c r="X1555" s="22" t="str">
        <f aca="false">IF(Q1555="","",Q1555^2)</f>
        <v/>
      </c>
      <c r="Y1555" s="22" t="str">
        <f aca="false">IF(AND(C1555&lt;&gt;"",C1555=CERTIFICADO!$E$4,OR(CERTIFICADO!$E$5="",B1555=CERTIFICADO!$E$5)),MAX($Y$4:Y1554)+1,"")</f>
        <v/>
      </c>
    </row>
    <row r="1556" customFormat="false" ht="15" hidden="false" customHeight="false" outlineLevel="0" collapsed="false">
      <c r="A1556" s="11" t="str">
        <f aca="false">IF(C1556="","",ROW()-4)</f>
        <v/>
      </c>
      <c r="B1556" s="12"/>
      <c r="C1556" s="13"/>
      <c r="D1556" s="23" t="str">
        <f aca="false">IF(C1556="","",IFERROR(INDEX(LOTES!$D$5:$D$1004,MATCH(C1556,LOTES!$F$5:$F$1004,0)),"¿Lote?"))</f>
        <v/>
      </c>
      <c r="E1556" s="11" t="str">
        <f aca="false">IF(C1556="","",IFERROR(INDEX(LOTES!$C$5:$C$1004,MATCH(C1556,LOTES!$F$5:$F$1004,0)),""))</f>
        <v/>
      </c>
      <c r="F1556" s="24" t="str">
        <f aca="false">IF(C1556="","",IFERROR(INDEX(LOTES!$B$5:$B$1004,MATCH(C1556,LOTES!$F$5:$F$1004,0)),""))</f>
        <v/>
      </c>
      <c r="G1556" s="15" t="str">
        <f aca="false">IF(OR(B1556="",F1556=""),"",B1556-F1556)</f>
        <v/>
      </c>
      <c r="H1556" s="13"/>
      <c r="I1556" s="13"/>
      <c r="J1556" s="13"/>
      <c r="K1556" s="25"/>
      <c r="L1556" s="25"/>
      <c r="M1556" s="25"/>
      <c r="N1556" s="25"/>
      <c r="O1556" s="26"/>
      <c r="P1556" s="16" t="str">
        <f aca="false">IF(O1556="","",IFERROR(1/(1/(IF(K1556="",INDEX(CONFIG!$F$5:$F$14,MATCH(D1556,CONFIG!$D$5:$D$14,0)),K1556)*IF(M1556="",INDEX(CONFIG!$H$5:$H$14,MATCH(D1556,CONFIG!$D$5:$D$14,0)),M1556))),""))</f>
        <v/>
      </c>
      <c r="Q1556" s="16" t="str">
        <f aca="false">IF(OR(O1556="",P1556=""),"",O1556/P1556)</f>
        <v/>
      </c>
      <c r="R1556" s="16" t="str">
        <f aca="false">IF(Q1556="","",Q1556*0.0980665)</f>
        <v/>
      </c>
      <c r="S1556" s="16" t="str">
        <f aca="false">IF(Q1556="","",IFERROR(Q1556/(1/(1/INDEX(CONFIG!$I$5:$I$14,MATCH(D1556,CONFIG!$D$5:$D$14,0)))),""))</f>
        <v/>
      </c>
      <c r="T1556" s="13"/>
      <c r="U1556" s="13"/>
      <c r="V1556" s="13"/>
      <c r="W1556" s="13"/>
      <c r="X1556" s="22" t="str">
        <f aca="false">IF(Q1556="","",Q1556^2)</f>
        <v/>
      </c>
      <c r="Y1556" s="22" t="str">
        <f aca="false">IF(AND(C1556&lt;&gt;"",C1556=CERTIFICADO!$E$4,OR(CERTIFICADO!$E$5="",B1556=CERTIFICADO!$E$5)),MAX($Y$4:Y1555)+1,"")</f>
        <v/>
      </c>
    </row>
    <row r="1557" customFormat="false" ht="15" hidden="false" customHeight="false" outlineLevel="0" collapsed="false">
      <c r="A1557" s="11" t="str">
        <f aca="false">IF(C1557="","",ROW()-4)</f>
        <v/>
      </c>
      <c r="B1557" s="12"/>
      <c r="C1557" s="13"/>
      <c r="D1557" s="23" t="str">
        <f aca="false">IF(C1557="","",IFERROR(INDEX(LOTES!$D$5:$D$1004,MATCH(C1557,LOTES!$F$5:$F$1004,0)),"¿Lote?"))</f>
        <v/>
      </c>
      <c r="E1557" s="11" t="str">
        <f aca="false">IF(C1557="","",IFERROR(INDEX(LOTES!$C$5:$C$1004,MATCH(C1557,LOTES!$F$5:$F$1004,0)),""))</f>
        <v/>
      </c>
      <c r="F1557" s="24" t="str">
        <f aca="false">IF(C1557="","",IFERROR(INDEX(LOTES!$B$5:$B$1004,MATCH(C1557,LOTES!$F$5:$F$1004,0)),""))</f>
        <v/>
      </c>
      <c r="G1557" s="15" t="str">
        <f aca="false">IF(OR(B1557="",F1557=""),"",B1557-F1557)</f>
        <v/>
      </c>
      <c r="H1557" s="13"/>
      <c r="I1557" s="13"/>
      <c r="J1557" s="13"/>
      <c r="K1557" s="25"/>
      <c r="L1557" s="25"/>
      <c r="M1557" s="25"/>
      <c r="N1557" s="25"/>
      <c r="O1557" s="26"/>
      <c r="P1557" s="16" t="str">
        <f aca="false">IF(O1557="","",IFERROR(1/(1/(IF(K1557="",INDEX(CONFIG!$F$5:$F$14,MATCH(D1557,CONFIG!$D$5:$D$14,0)),K1557)*IF(M1557="",INDEX(CONFIG!$H$5:$H$14,MATCH(D1557,CONFIG!$D$5:$D$14,0)),M1557))),""))</f>
        <v/>
      </c>
      <c r="Q1557" s="16" t="str">
        <f aca="false">IF(OR(O1557="",P1557=""),"",O1557/P1557)</f>
        <v/>
      </c>
      <c r="R1557" s="16" t="str">
        <f aca="false">IF(Q1557="","",Q1557*0.0980665)</f>
        <v/>
      </c>
      <c r="S1557" s="16" t="str">
        <f aca="false">IF(Q1557="","",IFERROR(Q1557/(1/(1/INDEX(CONFIG!$I$5:$I$14,MATCH(D1557,CONFIG!$D$5:$D$14,0)))),""))</f>
        <v/>
      </c>
      <c r="T1557" s="13"/>
      <c r="U1557" s="13"/>
      <c r="V1557" s="13"/>
      <c r="W1557" s="13"/>
      <c r="X1557" s="22" t="str">
        <f aca="false">IF(Q1557="","",Q1557^2)</f>
        <v/>
      </c>
      <c r="Y1557" s="22" t="str">
        <f aca="false">IF(AND(C1557&lt;&gt;"",C1557=CERTIFICADO!$E$4,OR(CERTIFICADO!$E$5="",B1557=CERTIFICADO!$E$5)),MAX($Y$4:Y1556)+1,"")</f>
        <v/>
      </c>
    </row>
    <row r="1558" customFormat="false" ht="15" hidden="false" customHeight="false" outlineLevel="0" collapsed="false">
      <c r="A1558" s="11" t="str">
        <f aca="false">IF(C1558="","",ROW()-4)</f>
        <v/>
      </c>
      <c r="B1558" s="12"/>
      <c r="C1558" s="13"/>
      <c r="D1558" s="23" t="str">
        <f aca="false">IF(C1558="","",IFERROR(INDEX(LOTES!$D$5:$D$1004,MATCH(C1558,LOTES!$F$5:$F$1004,0)),"¿Lote?"))</f>
        <v/>
      </c>
      <c r="E1558" s="11" t="str">
        <f aca="false">IF(C1558="","",IFERROR(INDEX(LOTES!$C$5:$C$1004,MATCH(C1558,LOTES!$F$5:$F$1004,0)),""))</f>
        <v/>
      </c>
      <c r="F1558" s="24" t="str">
        <f aca="false">IF(C1558="","",IFERROR(INDEX(LOTES!$B$5:$B$1004,MATCH(C1558,LOTES!$F$5:$F$1004,0)),""))</f>
        <v/>
      </c>
      <c r="G1558" s="15" t="str">
        <f aca="false">IF(OR(B1558="",F1558=""),"",B1558-F1558)</f>
        <v/>
      </c>
      <c r="H1558" s="13"/>
      <c r="I1558" s="13"/>
      <c r="J1558" s="13"/>
      <c r="K1558" s="25"/>
      <c r="L1558" s="25"/>
      <c r="M1558" s="25"/>
      <c r="N1558" s="25"/>
      <c r="O1558" s="26"/>
      <c r="P1558" s="16" t="str">
        <f aca="false">IF(O1558="","",IFERROR(1/(1/(IF(K1558="",INDEX(CONFIG!$F$5:$F$14,MATCH(D1558,CONFIG!$D$5:$D$14,0)),K1558)*IF(M1558="",INDEX(CONFIG!$H$5:$H$14,MATCH(D1558,CONFIG!$D$5:$D$14,0)),M1558))),""))</f>
        <v/>
      </c>
      <c r="Q1558" s="16" t="str">
        <f aca="false">IF(OR(O1558="",P1558=""),"",O1558/P1558)</f>
        <v/>
      </c>
      <c r="R1558" s="16" t="str">
        <f aca="false">IF(Q1558="","",Q1558*0.0980665)</f>
        <v/>
      </c>
      <c r="S1558" s="16" t="str">
        <f aca="false">IF(Q1558="","",IFERROR(Q1558/(1/(1/INDEX(CONFIG!$I$5:$I$14,MATCH(D1558,CONFIG!$D$5:$D$14,0)))),""))</f>
        <v/>
      </c>
      <c r="T1558" s="13"/>
      <c r="U1558" s="13"/>
      <c r="V1558" s="13"/>
      <c r="W1558" s="13"/>
      <c r="X1558" s="22" t="str">
        <f aca="false">IF(Q1558="","",Q1558^2)</f>
        <v/>
      </c>
      <c r="Y1558" s="22" t="str">
        <f aca="false">IF(AND(C1558&lt;&gt;"",C1558=CERTIFICADO!$E$4,OR(CERTIFICADO!$E$5="",B1558=CERTIFICADO!$E$5)),MAX($Y$4:Y1557)+1,"")</f>
        <v/>
      </c>
    </row>
    <row r="1559" customFormat="false" ht="15" hidden="false" customHeight="false" outlineLevel="0" collapsed="false">
      <c r="A1559" s="11" t="str">
        <f aca="false">IF(C1559="","",ROW()-4)</f>
        <v/>
      </c>
      <c r="B1559" s="12"/>
      <c r="C1559" s="13"/>
      <c r="D1559" s="23" t="str">
        <f aca="false">IF(C1559="","",IFERROR(INDEX(LOTES!$D$5:$D$1004,MATCH(C1559,LOTES!$F$5:$F$1004,0)),"¿Lote?"))</f>
        <v/>
      </c>
      <c r="E1559" s="11" t="str">
        <f aca="false">IF(C1559="","",IFERROR(INDEX(LOTES!$C$5:$C$1004,MATCH(C1559,LOTES!$F$5:$F$1004,0)),""))</f>
        <v/>
      </c>
      <c r="F1559" s="24" t="str">
        <f aca="false">IF(C1559="","",IFERROR(INDEX(LOTES!$B$5:$B$1004,MATCH(C1559,LOTES!$F$5:$F$1004,0)),""))</f>
        <v/>
      </c>
      <c r="G1559" s="15" t="str">
        <f aca="false">IF(OR(B1559="",F1559=""),"",B1559-F1559)</f>
        <v/>
      </c>
      <c r="H1559" s="13"/>
      <c r="I1559" s="13"/>
      <c r="J1559" s="13"/>
      <c r="K1559" s="25"/>
      <c r="L1559" s="25"/>
      <c r="M1559" s="25"/>
      <c r="N1559" s="25"/>
      <c r="O1559" s="26"/>
      <c r="P1559" s="16" t="str">
        <f aca="false">IF(O1559="","",IFERROR(1/(1/(IF(K1559="",INDEX(CONFIG!$F$5:$F$14,MATCH(D1559,CONFIG!$D$5:$D$14,0)),K1559)*IF(M1559="",INDEX(CONFIG!$H$5:$H$14,MATCH(D1559,CONFIG!$D$5:$D$14,0)),M1559))),""))</f>
        <v/>
      </c>
      <c r="Q1559" s="16" t="str">
        <f aca="false">IF(OR(O1559="",P1559=""),"",O1559/P1559)</f>
        <v/>
      </c>
      <c r="R1559" s="16" t="str">
        <f aca="false">IF(Q1559="","",Q1559*0.0980665)</f>
        <v/>
      </c>
      <c r="S1559" s="16" t="str">
        <f aca="false">IF(Q1559="","",IFERROR(Q1559/(1/(1/INDEX(CONFIG!$I$5:$I$14,MATCH(D1559,CONFIG!$D$5:$D$14,0)))),""))</f>
        <v/>
      </c>
      <c r="T1559" s="13"/>
      <c r="U1559" s="13"/>
      <c r="V1559" s="13"/>
      <c r="W1559" s="13"/>
      <c r="X1559" s="22" t="str">
        <f aca="false">IF(Q1559="","",Q1559^2)</f>
        <v/>
      </c>
      <c r="Y1559" s="22" t="str">
        <f aca="false">IF(AND(C1559&lt;&gt;"",C1559=CERTIFICADO!$E$4,OR(CERTIFICADO!$E$5="",B1559=CERTIFICADO!$E$5)),MAX($Y$4:Y1558)+1,"")</f>
        <v/>
      </c>
    </row>
    <row r="1560" customFormat="false" ht="15" hidden="false" customHeight="false" outlineLevel="0" collapsed="false">
      <c r="A1560" s="11" t="str">
        <f aca="false">IF(C1560="","",ROW()-4)</f>
        <v/>
      </c>
      <c r="B1560" s="12"/>
      <c r="C1560" s="13"/>
      <c r="D1560" s="23" t="str">
        <f aca="false">IF(C1560="","",IFERROR(INDEX(LOTES!$D$5:$D$1004,MATCH(C1560,LOTES!$F$5:$F$1004,0)),"¿Lote?"))</f>
        <v/>
      </c>
      <c r="E1560" s="11" t="str">
        <f aca="false">IF(C1560="","",IFERROR(INDEX(LOTES!$C$5:$C$1004,MATCH(C1560,LOTES!$F$5:$F$1004,0)),""))</f>
        <v/>
      </c>
      <c r="F1560" s="24" t="str">
        <f aca="false">IF(C1560="","",IFERROR(INDEX(LOTES!$B$5:$B$1004,MATCH(C1560,LOTES!$F$5:$F$1004,0)),""))</f>
        <v/>
      </c>
      <c r="G1560" s="15" t="str">
        <f aca="false">IF(OR(B1560="",F1560=""),"",B1560-F1560)</f>
        <v/>
      </c>
      <c r="H1560" s="13"/>
      <c r="I1560" s="13"/>
      <c r="J1560" s="13"/>
      <c r="K1560" s="25"/>
      <c r="L1560" s="25"/>
      <c r="M1560" s="25"/>
      <c r="N1560" s="25"/>
      <c r="O1560" s="26"/>
      <c r="P1560" s="16" t="str">
        <f aca="false">IF(O1560="","",IFERROR(1/(1/(IF(K1560="",INDEX(CONFIG!$F$5:$F$14,MATCH(D1560,CONFIG!$D$5:$D$14,0)),K1560)*IF(M1560="",INDEX(CONFIG!$H$5:$H$14,MATCH(D1560,CONFIG!$D$5:$D$14,0)),M1560))),""))</f>
        <v/>
      </c>
      <c r="Q1560" s="16" t="str">
        <f aca="false">IF(OR(O1560="",P1560=""),"",O1560/P1560)</f>
        <v/>
      </c>
      <c r="R1560" s="16" t="str">
        <f aca="false">IF(Q1560="","",Q1560*0.0980665)</f>
        <v/>
      </c>
      <c r="S1560" s="16" t="str">
        <f aca="false">IF(Q1560="","",IFERROR(Q1560/(1/(1/INDEX(CONFIG!$I$5:$I$14,MATCH(D1560,CONFIG!$D$5:$D$14,0)))),""))</f>
        <v/>
      </c>
      <c r="T1560" s="13"/>
      <c r="U1560" s="13"/>
      <c r="V1560" s="13"/>
      <c r="W1560" s="13"/>
      <c r="X1560" s="22" t="str">
        <f aca="false">IF(Q1560="","",Q1560^2)</f>
        <v/>
      </c>
      <c r="Y1560" s="22" t="str">
        <f aca="false">IF(AND(C1560&lt;&gt;"",C1560=CERTIFICADO!$E$4,OR(CERTIFICADO!$E$5="",B1560=CERTIFICADO!$E$5)),MAX($Y$4:Y1559)+1,"")</f>
        <v/>
      </c>
    </row>
    <row r="1561" customFormat="false" ht="15" hidden="false" customHeight="false" outlineLevel="0" collapsed="false">
      <c r="A1561" s="11" t="str">
        <f aca="false">IF(C1561="","",ROW()-4)</f>
        <v/>
      </c>
      <c r="B1561" s="12"/>
      <c r="C1561" s="13"/>
      <c r="D1561" s="23" t="str">
        <f aca="false">IF(C1561="","",IFERROR(INDEX(LOTES!$D$5:$D$1004,MATCH(C1561,LOTES!$F$5:$F$1004,0)),"¿Lote?"))</f>
        <v/>
      </c>
      <c r="E1561" s="11" t="str">
        <f aca="false">IF(C1561="","",IFERROR(INDEX(LOTES!$C$5:$C$1004,MATCH(C1561,LOTES!$F$5:$F$1004,0)),""))</f>
        <v/>
      </c>
      <c r="F1561" s="24" t="str">
        <f aca="false">IF(C1561="","",IFERROR(INDEX(LOTES!$B$5:$B$1004,MATCH(C1561,LOTES!$F$5:$F$1004,0)),""))</f>
        <v/>
      </c>
      <c r="G1561" s="15" t="str">
        <f aca="false">IF(OR(B1561="",F1561=""),"",B1561-F1561)</f>
        <v/>
      </c>
      <c r="H1561" s="13"/>
      <c r="I1561" s="13"/>
      <c r="J1561" s="13"/>
      <c r="K1561" s="25"/>
      <c r="L1561" s="25"/>
      <c r="M1561" s="25"/>
      <c r="N1561" s="25"/>
      <c r="O1561" s="26"/>
      <c r="P1561" s="16" t="str">
        <f aca="false">IF(O1561="","",IFERROR(1/(1/(IF(K1561="",INDEX(CONFIG!$F$5:$F$14,MATCH(D1561,CONFIG!$D$5:$D$14,0)),K1561)*IF(M1561="",INDEX(CONFIG!$H$5:$H$14,MATCH(D1561,CONFIG!$D$5:$D$14,0)),M1561))),""))</f>
        <v/>
      </c>
      <c r="Q1561" s="16" t="str">
        <f aca="false">IF(OR(O1561="",P1561=""),"",O1561/P1561)</f>
        <v/>
      </c>
      <c r="R1561" s="16" t="str">
        <f aca="false">IF(Q1561="","",Q1561*0.0980665)</f>
        <v/>
      </c>
      <c r="S1561" s="16" t="str">
        <f aca="false">IF(Q1561="","",IFERROR(Q1561/(1/(1/INDEX(CONFIG!$I$5:$I$14,MATCH(D1561,CONFIG!$D$5:$D$14,0)))),""))</f>
        <v/>
      </c>
      <c r="T1561" s="13"/>
      <c r="U1561" s="13"/>
      <c r="V1561" s="13"/>
      <c r="W1561" s="13"/>
      <c r="X1561" s="22" t="str">
        <f aca="false">IF(Q1561="","",Q1561^2)</f>
        <v/>
      </c>
      <c r="Y1561" s="22" t="str">
        <f aca="false">IF(AND(C1561&lt;&gt;"",C1561=CERTIFICADO!$E$4,OR(CERTIFICADO!$E$5="",B1561=CERTIFICADO!$E$5)),MAX($Y$4:Y1560)+1,"")</f>
        <v/>
      </c>
    </row>
    <row r="1562" customFormat="false" ht="15" hidden="false" customHeight="false" outlineLevel="0" collapsed="false">
      <c r="A1562" s="11" t="str">
        <f aca="false">IF(C1562="","",ROW()-4)</f>
        <v/>
      </c>
      <c r="B1562" s="12"/>
      <c r="C1562" s="13"/>
      <c r="D1562" s="23" t="str">
        <f aca="false">IF(C1562="","",IFERROR(INDEX(LOTES!$D$5:$D$1004,MATCH(C1562,LOTES!$F$5:$F$1004,0)),"¿Lote?"))</f>
        <v/>
      </c>
      <c r="E1562" s="11" t="str">
        <f aca="false">IF(C1562="","",IFERROR(INDEX(LOTES!$C$5:$C$1004,MATCH(C1562,LOTES!$F$5:$F$1004,0)),""))</f>
        <v/>
      </c>
      <c r="F1562" s="24" t="str">
        <f aca="false">IF(C1562="","",IFERROR(INDEX(LOTES!$B$5:$B$1004,MATCH(C1562,LOTES!$F$5:$F$1004,0)),""))</f>
        <v/>
      </c>
      <c r="G1562" s="15" t="str">
        <f aca="false">IF(OR(B1562="",F1562=""),"",B1562-F1562)</f>
        <v/>
      </c>
      <c r="H1562" s="13"/>
      <c r="I1562" s="13"/>
      <c r="J1562" s="13"/>
      <c r="K1562" s="25"/>
      <c r="L1562" s="25"/>
      <c r="M1562" s="25"/>
      <c r="N1562" s="25"/>
      <c r="O1562" s="26"/>
      <c r="P1562" s="16" t="str">
        <f aca="false">IF(O1562="","",IFERROR(1/(1/(IF(K1562="",INDEX(CONFIG!$F$5:$F$14,MATCH(D1562,CONFIG!$D$5:$D$14,0)),K1562)*IF(M1562="",INDEX(CONFIG!$H$5:$H$14,MATCH(D1562,CONFIG!$D$5:$D$14,0)),M1562))),""))</f>
        <v/>
      </c>
      <c r="Q1562" s="16" t="str">
        <f aca="false">IF(OR(O1562="",P1562=""),"",O1562/P1562)</f>
        <v/>
      </c>
      <c r="R1562" s="16" t="str">
        <f aca="false">IF(Q1562="","",Q1562*0.0980665)</f>
        <v/>
      </c>
      <c r="S1562" s="16" t="str">
        <f aca="false">IF(Q1562="","",IFERROR(Q1562/(1/(1/INDEX(CONFIG!$I$5:$I$14,MATCH(D1562,CONFIG!$D$5:$D$14,0)))),""))</f>
        <v/>
      </c>
      <c r="T1562" s="13"/>
      <c r="U1562" s="13"/>
      <c r="V1562" s="13"/>
      <c r="W1562" s="13"/>
      <c r="X1562" s="22" t="str">
        <f aca="false">IF(Q1562="","",Q1562^2)</f>
        <v/>
      </c>
      <c r="Y1562" s="22" t="str">
        <f aca="false">IF(AND(C1562&lt;&gt;"",C1562=CERTIFICADO!$E$4,OR(CERTIFICADO!$E$5="",B1562=CERTIFICADO!$E$5)),MAX($Y$4:Y1561)+1,"")</f>
        <v/>
      </c>
    </row>
    <row r="1563" customFormat="false" ht="15" hidden="false" customHeight="false" outlineLevel="0" collapsed="false">
      <c r="A1563" s="11" t="str">
        <f aca="false">IF(C1563="","",ROW()-4)</f>
        <v/>
      </c>
      <c r="B1563" s="12"/>
      <c r="C1563" s="13"/>
      <c r="D1563" s="23" t="str">
        <f aca="false">IF(C1563="","",IFERROR(INDEX(LOTES!$D$5:$D$1004,MATCH(C1563,LOTES!$F$5:$F$1004,0)),"¿Lote?"))</f>
        <v/>
      </c>
      <c r="E1563" s="11" t="str">
        <f aca="false">IF(C1563="","",IFERROR(INDEX(LOTES!$C$5:$C$1004,MATCH(C1563,LOTES!$F$5:$F$1004,0)),""))</f>
        <v/>
      </c>
      <c r="F1563" s="24" t="str">
        <f aca="false">IF(C1563="","",IFERROR(INDEX(LOTES!$B$5:$B$1004,MATCH(C1563,LOTES!$F$5:$F$1004,0)),""))</f>
        <v/>
      </c>
      <c r="G1563" s="15" t="str">
        <f aca="false">IF(OR(B1563="",F1563=""),"",B1563-F1563)</f>
        <v/>
      </c>
      <c r="H1563" s="13"/>
      <c r="I1563" s="13"/>
      <c r="J1563" s="13"/>
      <c r="K1563" s="25"/>
      <c r="L1563" s="25"/>
      <c r="M1563" s="25"/>
      <c r="N1563" s="25"/>
      <c r="O1563" s="26"/>
      <c r="P1563" s="16" t="str">
        <f aca="false">IF(O1563="","",IFERROR(1/(1/(IF(K1563="",INDEX(CONFIG!$F$5:$F$14,MATCH(D1563,CONFIG!$D$5:$D$14,0)),K1563)*IF(M1563="",INDEX(CONFIG!$H$5:$H$14,MATCH(D1563,CONFIG!$D$5:$D$14,0)),M1563))),""))</f>
        <v/>
      </c>
      <c r="Q1563" s="16" t="str">
        <f aca="false">IF(OR(O1563="",P1563=""),"",O1563/P1563)</f>
        <v/>
      </c>
      <c r="R1563" s="16" t="str">
        <f aca="false">IF(Q1563="","",Q1563*0.0980665)</f>
        <v/>
      </c>
      <c r="S1563" s="16" t="str">
        <f aca="false">IF(Q1563="","",IFERROR(Q1563/(1/(1/INDEX(CONFIG!$I$5:$I$14,MATCH(D1563,CONFIG!$D$5:$D$14,0)))),""))</f>
        <v/>
      </c>
      <c r="T1563" s="13"/>
      <c r="U1563" s="13"/>
      <c r="V1563" s="13"/>
      <c r="W1563" s="13"/>
      <c r="X1563" s="22" t="str">
        <f aca="false">IF(Q1563="","",Q1563^2)</f>
        <v/>
      </c>
      <c r="Y1563" s="22" t="str">
        <f aca="false">IF(AND(C1563&lt;&gt;"",C1563=CERTIFICADO!$E$4,OR(CERTIFICADO!$E$5="",B1563=CERTIFICADO!$E$5)),MAX($Y$4:Y1562)+1,"")</f>
        <v/>
      </c>
    </row>
    <row r="1564" customFormat="false" ht="15" hidden="false" customHeight="false" outlineLevel="0" collapsed="false">
      <c r="A1564" s="11" t="str">
        <f aca="false">IF(C1564="","",ROW()-4)</f>
        <v/>
      </c>
      <c r="B1564" s="12"/>
      <c r="C1564" s="13"/>
      <c r="D1564" s="23" t="str">
        <f aca="false">IF(C1564="","",IFERROR(INDEX(LOTES!$D$5:$D$1004,MATCH(C1564,LOTES!$F$5:$F$1004,0)),"¿Lote?"))</f>
        <v/>
      </c>
      <c r="E1564" s="11" t="str">
        <f aca="false">IF(C1564="","",IFERROR(INDEX(LOTES!$C$5:$C$1004,MATCH(C1564,LOTES!$F$5:$F$1004,0)),""))</f>
        <v/>
      </c>
      <c r="F1564" s="24" t="str">
        <f aca="false">IF(C1564="","",IFERROR(INDEX(LOTES!$B$5:$B$1004,MATCH(C1564,LOTES!$F$5:$F$1004,0)),""))</f>
        <v/>
      </c>
      <c r="G1564" s="15" t="str">
        <f aca="false">IF(OR(B1564="",F1564=""),"",B1564-F1564)</f>
        <v/>
      </c>
      <c r="H1564" s="13"/>
      <c r="I1564" s="13"/>
      <c r="J1564" s="13"/>
      <c r="K1564" s="25"/>
      <c r="L1564" s="25"/>
      <c r="M1564" s="25"/>
      <c r="N1564" s="25"/>
      <c r="O1564" s="26"/>
      <c r="P1564" s="16" t="str">
        <f aca="false">IF(O1564="","",IFERROR(1/(1/(IF(K1564="",INDEX(CONFIG!$F$5:$F$14,MATCH(D1564,CONFIG!$D$5:$D$14,0)),K1564)*IF(M1564="",INDEX(CONFIG!$H$5:$H$14,MATCH(D1564,CONFIG!$D$5:$D$14,0)),M1564))),""))</f>
        <v/>
      </c>
      <c r="Q1564" s="16" t="str">
        <f aca="false">IF(OR(O1564="",P1564=""),"",O1564/P1564)</f>
        <v/>
      </c>
      <c r="R1564" s="16" t="str">
        <f aca="false">IF(Q1564="","",Q1564*0.0980665)</f>
        <v/>
      </c>
      <c r="S1564" s="16" t="str">
        <f aca="false">IF(Q1564="","",IFERROR(Q1564/(1/(1/INDEX(CONFIG!$I$5:$I$14,MATCH(D1564,CONFIG!$D$5:$D$14,0)))),""))</f>
        <v/>
      </c>
      <c r="T1564" s="13"/>
      <c r="U1564" s="13"/>
      <c r="V1564" s="13"/>
      <c r="W1564" s="13"/>
      <c r="X1564" s="22" t="str">
        <f aca="false">IF(Q1564="","",Q1564^2)</f>
        <v/>
      </c>
      <c r="Y1564" s="22" t="str">
        <f aca="false">IF(AND(C1564&lt;&gt;"",C1564=CERTIFICADO!$E$4,OR(CERTIFICADO!$E$5="",B1564=CERTIFICADO!$E$5)),MAX($Y$4:Y1563)+1,"")</f>
        <v/>
      </c>
    </row>
    <row r="1565" customFormat="false" ht="15" hidden="false" customHeight="false" outlineLevel="0" collapsed="false">
      <c r="A1565" s="11" t="str">
        <f aca="false">IF(C1565="","",ROW()-4)</f>
        <v/>
      </c>
      <c r="B1565" s="12"/>
      <c r="C1565" s="13"/>
      <c r="D1565" s="23" t="str">
        <f aca="false">IF(C1565="","",IFERROR(INDEX(LOTES!$D$5:$D$1004,MATCH(C1565,LOTES!$F$5:$F$1004,0)),"¿Lote?"))</f>
        <v/>
      </c>
      <c r="E1565" s="11" t="str">
        <f aca="false">IF(C1565="","",IFERROR(INDEX(LOTES!$C$5:$C$1004,MATCH(C1565,LOTES!$F$5:$F$1004,0)),""))</f>
        <v/>
      </c>
      <c r="F1565" s="24" t="str">
        <f aca="false">IF(C1565="","",IFERROR(INDEX(LOTES!$B$5:$B$1004,MATCH(C1565,LOTES!$F$5:$F$1004,0)),""))</f>
        <v/>
      </c>
      <c r="G1565" s="15" t="str">
        <f aca="false">IF(OR(B1565="",F1565=""),"",B1565-F1565)</f>
        <v/>
      </c>
      <c r="H1565" s="13"/>
      <c r="I1565" s="13"/>
      <c r="J1565" s="13"/>
      <c r="K1565" s="25"/>
      <c r="L1565" s="25"/>
      <c r="M1565" s="25"/>
      <c r="N1565" s="25"/>
      <c r="O1565" s="26"/>
      <c r="P1565" s="16" t="str">
        <f aca="false">IF(O1565="","",IFERROR(1/(1/(IF(K1565="",INDEX(CONFIG!$F$5:$F$14,MATCH(D1565,CONFIG!$D$5:$D$14,0)),K1565)*IF(M1565="",INDEX(CONFIG!$H$5:$H$14,MATCH(D1565,CONFIG!$D$5:$D$14,0)),M1565))),""))</f>
        <v/>
      </c>
      <c r="Q1565" s="16" t="str">
        <f aca="false">IF(OR(O1565="",P1565=""),"",O1565/P1565)</f>
        <v/>
      </c>
      <c r="R1565" s="16" t="str">
        <f aca="false">IF(Q1565="","",Q1565*0.0980665)</f>
        <v/>
      </c>
      <c r="S1565" s="16" t="str">
        <f aca="false">IF(Q1565="","",IFERROR(Q1565/(1/(1/INDEX(CONFIG!$I$5:$I$14,MATCH(D1565,CONFIG!$D$5:$D$14,0)))),""))</f>
        <v/>
      </c>
      <c r="T1565" s="13"/>
      <c r="U1565" s="13"/>
      <c r="V1565" s="13"/>
      <c r="W1565" s="13"/>
      <c r="X1565" s="22" t="str">
        <f aca="false">IF(Q1565="","",Q1565^2)</f>
        <v/>
      </c>
      <c r="Y1565" s="22" t="str">
        <f aca="false">IF(AND(C1565&lt;&gt;"",C1565=CERTIFICADO!$E$4,OR(CERTIFICADO!$E$5="",B1565=CERTIFICADO!$E$5)),MAX($Y$4:Y1564)+1,"")</f>
        <v/>
      </c>
    </row>
    <row r="1566" customFormat="false" ht="15" hidden="false" customHeight="false" outlineLevel="0" collapsed="false">
      <c r="A1566" s="11" t="str">
        <f aca="false">IF(C1566="","",ROW()-4)</f>
        <v/>
      </c>
      <c r="B1566" s="12"/>
      <c r="C1566" s="13"/>
      <c r="D1566" s="23" t="str">
        <f aca="false">IF(C1566="","",IFERROR(INDEX(LOTES!$D$5:$D$1004,MATCH(C1566,LOTES!$F$5:$F$1004,0)),"¿Lote?"))</f>
        <v/>
      </c>
      <c r="E1566" s="11" t="str">
        <f aca="false">IF(C1566="","",IFERROR(INDEX(LOTES!$C$5:$C$1004,MATCH(C1566,LOTES!$F$5:$F$1004,0)),""))</f>
        <v/>
      </c>
      <c r="F1566" s="24" t="str">
        <f aca="false">IF(C1566="","",IFERROR(INDEX(LOTES!$B$5:$B$1004,MATCH(C1566,LOTES!$F$5:$F$1004,0)),""))</f>
        <v/>
      </c>
      <c r="G1566" s="15" t="str">
        <f aca="false">IF(OR(B1566="",F1566=""),"",B1566-F1566)</f>
        <v/>
      </c>
      <c r="H1566" s="13"/>
      <c r="I1566" s="13"/>
      <c r="J1566" s="13"/>
      <c r="K1566" s="25"/>
      <c r="L1566" s="25"/>
      <c r="M1566" s="25"/>
      <c r="N1566" s="25"/>
      <c r="O1566" s="26"/>
      <c r="P1566" s="16" t="str">
        <f aca="false">IF(O1566="","",IFERROR(1/(1/(IF(K1566="",INDEX(CONFIG!$F$5:$F$14,MATCH(D1566,CONFIG!$D$5:$D$14,0)),K1566)*IF(M1566="",INDEX(CONFIG!$H$5:$H$14,MATCH(D1566,CONFIG!$D$5:$D$14,0)),M1566))),""))</f>
        <v/>
      </c>
      <c r="Q1566" s="16" t="str">
        <f aca="false">IF(OR(O1566="",P1566=""),"",O1566/P1566)</f>
        <v/>
      </c>
      <c r="R1566" s="16" t="str">
        <f aca="false">IF(Q1566="","",Q1566*0.0980665)</f>
        <v/>
      </c>
      <c r="S1566" s="16" t="str">
        <f aca="false">IF(Q1566="","",IFERROR(Q1566/(1/(1/INDEX(CONFIG!$I$5:$I$14,MATCH(D1566,CONFIG!$D$5:$D$14,0)))),""))</f>
        <v/>
      </c>
      <c r="T1566" s="13"/>
      <c r="U1566" s="13"/>
      <c r="V1566" s="13"/>
      <c r="W1566" s="13"/>
      <c r="X1566" s="22" t="str">
        <f aca="false">IF(Q1566="","",Q1566^2)</f>
        <v/>
      </c>
      <c r="Y1566" s="22" t="str">
        <f aca="false">IF(AND(C1566&lt;&gt;"",C1566=CERTIFICADO!$E$4,OR(CERTIFICADO!$E$5="",B1566=CERTIFICADO!$E$5)),MAX($Y$4:Y1565)+1,"")</f>
        <v/>
      </c>
    </row>
    <row r="1567" customFormat="false" ht="15" hidden="false" customHeight="false" outlineLevel="0" collapsed="false">
      <c r="A1567" s="11" t="str">
        <f aca="false">IF(C1567="","",ROW()-4)</f>
        <v/>
      </c>
      <c r="B1567" s="12"/>
      <c r="C1567" s="13"/>
      <c r="D1567" s="23" t="str">
        <f aca="false">IF(C1567="","",IFERROR(INDEX(LOTES!$D$5:$D$1004,MATCH(C1567,LOTES!$F$5:$F$1004,0)),"¿Lote?"))</f>
        <v/>
      </c>
      <c r="E1567" s="11" t="str">
        <f aca="false">IF(C1567="","",IFERROR(INDEX(LOTES!$C$5:$C$1004,MATCH(C1567,LOTES!$F$5:$F$1004,0)),""))</f>
        <v/>
      </c>
      <c r="F1567" s="24" t="str">
        <f aca="false">IF(C1567="","",IFERROR(INDEX(LOTES!$B$5:$B$1004,MATCH(C1567,LOTES!$F$5:$F$1004,0)),""))</f>
        <v/>
      </c>
      <c r="G1567" s="15" t="str">
        <f aca="false">IF(OR(B1567="",F1567=""),"",B1567-F1567)</f>
        <v/>
      </c>
      <c r="H1567" s="13"/>
      <c r="I1567" s="13"/>
      <c r="J1567" s="13"/>
      <c r="K1567" s="25"/>
      <c r="L1567" s="25"/>
      <c r="M1567" s="25"/>
      <c r="N1567" s="25"/>
      <c r="O1567" s="26"/>
      <c r="P1567" s="16" t="str">
        <f aca="false">IF(O1567="","",IFERROR(1/(1/(IF(K1567="",INDEX(CONFIG!$F$5:$F$14,MATCH(D1567,CONFIG!$D$5:$D$14,0)),K1567)*IF(M1567="",INDEX(CONFIG!$H$5:$H$14,MATCH(D1567,CONFIG!$D$5:$D$14,0)),M1567))),""))</f>
        <v/>
      </c>
      <c r="Q1567" s="16" t="str">
        <f aca="false">IF(OR(O1567="",P1567=""),"",O1567/P1567)</f>
        <v/>
      </c>
      <c r="R1567" s="16" t="str">
        <f aca="false">IF(Q1567="","",Q1567*0.0980665)</f>
        <v/>
      </c>
      <c r="S1567" s="16" t="str">
        <f aca="false">IF(Q1567="","",IFERROR(Q1567/(1/(1/INDEX(CONFIG!$I$5:$I$14,MATCH(D1567,CONFIG!$D$5:$D$14,0)))),""))</f>
        <v/>
      </c>
      <c r="T1567" s="13"/>
      <c r="U1567" s="13"/>
      <c r="V1567" s="13"/>
      <c r="W1567" s="13"/>
      <c r="X1567" s="22" t="str">
        <f aca="false">IF(Q1567="","",Q1567^2)</f>
        <v/>
      </c>
      <c r="Y1567" s="22" t="str">
        <f aca="false">IF(AND(C1567&lt;&gt;"",C1567=CERTIFICADO!$E$4,OR(CERTIFICADO!$E$5="",B1567=CERTIFICADO!$E$5)),MAX($Y$4:Y1566)+1,"")</f>
        <v/>
      </c>
    </row>
    <row r="1568" customFormat="false" ht="15" hidden="false" customHeight="false" outlineLevel="0" collapsed="false">
      <c r="A1568" s="11" t="str">
        <f aca="false">IF(C1568="","",ROW()-4)</f>
        <v/>
      </c>
      <c r="B1568" s="12"/>
      <c r="C1568" s="13"/>
      <c r="D1568" s="23" t="str">
        <f aca="false">IF(C1568="","",IFERROR(INDEX(LOTES!$D$5:$D$1004,MATCH(C1568,LOTES!$F$5:$F$1004,0)),"¿Lote?"))</f>
        <v/>
      </c>
      <c r="E1568" s="11" t="str">
        <f aca="false">IF(C1568="","",IFERROR(INDEX(LOTES!$C$5:$C$1004,MATCH(C1568,LOTES!$F$5:$F$1004,0)),""))</f>
        <v/>
      </c>
      <c r="F1568" s="24" t="str">
        <f aca="false">IF(C1568="","",IFERROR(INDEX(LOTES!$B$5:$B$1004,MATCH(C1568,LOTES!$F$5:$F$1004,0)),""))</f>
        <v/>
      </c>
      <c r="G1568" s="15" t="str">
        <f aca="false">IF(OR(B1568="",F1568=""),"",B1568-F1568)</f>
        <v/>
      </c>
      <c r="H1568" s="13"/>
      <c r="I1568" s="13"/>
      <c r="J1568" s="13"/>
      <c r="K1568" s="25"/>
      <c r="L1568" s="25"/>
      <c r="M1568" s="25"/>
      <c r="N1568" s="25"/>
      <c r="O1568" s="26"/>
      <c r="P1568" s="16" t="str">
        <f aca="false">IF(O1568="","",IFERROR(1/(1/(IF(K1568="",INDEX(CONFIG!$F$5:$F$14,MATCH(D1568,CONFIG!$D$5:$D$14,0)),K1568)*IF(M1568="",INDEX(CONFIG!$H$5:$H$14,MATCH(D1568,CONFIG!$D$5:$D$14,0)),M1568))),""))</f>
        <v/>
      </c>
      <c r="Q1568" s="16" t="str">
        <f aca="false">IF(OR(O1568="",P1568=""),"",O1568/P1568)</f>
        <v/>
      </c>
      <c r="R1568" s="16" t="str">
        <f aca="false">IF(Q1568="","",Q1568*0.0980665)</f>
        <v/>
      </c>
      <c r="S1568" s="16" t="str">
        <f aca="false">IF(Q1568="","",IFERROR(Q1568/(1/(1/INDEX(CONFIG!$I$5:$I$14,MATCH(D1568,CONFIG!$D$5:$D$14,0)))),""))</f>
        <v/>
      </c>
      <c r="T1568" s="13"/>
      <c r="U1568" s="13"/>
      <c r="V1568" s="13"/>
      <c r="W1568" s="13"/>
      <c r="X1568" s="22" t="str">
        <f aca="false">IF(Q1568="","",Q1568^2)</f>
        <v/>
      </c>
      <c r="Y1568" s="22" t="str">
        <f aca="false">IF(AND(C1568&lt;&gt;"",C1568=CERTIFICADO!$E$4,OR(CERTIFICADO!$E$5="",B1568=CERTIFICADO!$E$5)),MAX($Y$4:Y1567)+1,"")</f>
        <v/>
      </c>
    </row>
    <row r="1569" customFormat="false" ht="15" hidden="false" customHeight="false" outlineLevel="0" collapsed="false">
      <c r="A1569" s="11" t="str">
        <f aca="false">IF(C1569="","",ROW()-4)</f>
        <v/>
      </c>
      <c r="B1569" s="12"/>
      <c r="C1569" s="13"/>
      <c r="D1569" s="23" t="str">
        <f aca="false">IF(C1569="","",IFERROR(INDEX(LOTES!$D$5:$D$1004,MATCH(C1569,LOTES!$F$5:$F$1004,0)),"¿Lote?"))</f>
        <v/>
      </c>
      <c r="E1569" s="11" t="str">
        <f aca="false">IF(C1569="","",IFERROR(INDEX(LOTES!$C$5:$C$1004,MATCH(C1569,LOTES!$F$5:$F$1004,0)),""))</f>
        <v/>
      </c>
      <c r="F1569" s="24" t="str">
        <f aca="false">IF(C1569="","",IFERROR(INDEX(LOTES!$B$5:$B$1004,MATCH(C1569,LOTES!$F$5:$F$1004,0)),""))</f>
        <v/>
      </c>
      <c r="G1569" s="15" t="str">
        <f aca="false">IF(OR(B1569="",F1569=""),"",B1569-F1569)</f>
        <v/>
      </c>
      <c r="H1569" s="13"/>
      <c r="I1569" s="13"/>
      <c r="J1569" s="13"/>
      <c r="K1569" s="25"/>
      <c r="L1569" s="25"/>
      <c r="M1569" s="25"/>
      <c r="N1569" s="25"/>
      <c r="O1569" s="26"/>
      <c r="P1569" s="16" t="str">
        <f aca="false">IF(O1569="","",IFERROR(1/(1/(IF(K1569="",INDEX(CONFIG!$F$5:$F$14,MATCH(D1569,CONFIG!$D$5:$D$14,0)),K1569)*IF(M1569="",INDEX(CONFIG!$H$5:$H$14,MATCH(D1569,CONFIG!$D$5:$D$14,0)),M1569))),""))</f>
        <v/>
      </c>
      <c r="Q1569" s="16" t="str">
        <f aca="false">IF(OR(O1569="",P1569=""),"",O1569/P1569)</f>
        <v/>
      </c>
      <c r="R1569" s="16" t="str">
        <f aca="false">IF(Q1569="","",Q1569*0.0980665)</f>
        <v/>
      </c>
      <c r="S1569" s="16" t="str">
        <f aca="false">IF(Q1569="","",IFERROR(Q1569/(1/(1/INDEX(CONFIG!$I$5:$I$14,MATCH(D1569,CONFIG!$D$5:$D$14,0)))),""))</f>
        <v/>
      </c>
      <c r="T1569" s="13"/>
      <c r="U1569" s="13"/>
      <c r="V1569" s="13"/>
      <c r="W1569" s="13"/>
      <c r="X1569" s="22" t="str">
        <f aca="false">IF(Q1569="","",Q1569^2)</f>
        <v/>
      </c>
      <c r="Y1569" s="22" t="str">
        <f aca="false">IF(AND(C1569&lt;&gt;"",C1569=CERTIFICADO!$E$4,OR(CERTIFICADO!$E$5="",B1569=CERTIFICADO!$E$5)),MAX($Y$4:Y1568)+1,"")</f>
        <v/>
      </c>
    </row>
    <row r="1570" customFormat="false" ht="15" hidden="false" customHeight="false" outlineLevel="0" collapsed="false">
      <c r="A1570" s="11" t="str">
        <f aca="false">IF(C1570="","",ROW()-4)</f>
        <v/>
      </c>
      <c r="B1570" s="12"/>
      <c r="C1570" s="13"/>
      <c r="D1570" s="23" t="str">
        <f aca="false">IF(C1570="","",IFERROR(INDEX(LOTES!$D$5:$D$1004,MATCH(C1570,LOTES!$F$5:$F$1004,0)),"¿Lote?"))</f>
        <v/>
      </c>
      <c r="E1570" s="11" t="str">
        <f aca="false">IF(C1570="","",IFERROR(INDEX(LOTES!$C$5:$C$1004,MATCH(C1570,LOTES!$F$5:$F$1004,0)),""))</f>
        <v/>
      </c>
      <c r="F1570" s="24" t="str">
        <f aca="false">IF(C1570="","",IFERROR(INDEX(LOTES!$B$5:$B$1004,MATCH(C1570,LOTES!$F$5:$F$1004,0)),""))</f>
        <v/>
      </c>
      <c r="G1570" s="15" t="str">
        <f aca="false">IF(OR(B1570="",F1570=""),"",B1570-F1570)</f>
        <v/>
      </c>
      <c r="H1570" s="13"/>
      <c r="I1570" s="13"/>
      <c r="J1570" s="13"/>
      <c r="K1570" s="25"/>
      <c r="L1570" s="25"/>
      <c r="M1570" s="25"/>
      <c r="N1570" s="25"/>
      <c r="O1570" s="26"/>
      <c r="P1570" s="16" t="str">
        <f aca="false">IF(O1570="","",IFERROR(1/(1/(IF(K1570="",INDEX(CONFIG!$F$5:$F$14,MATCH(D1570,CONFIG!$D$5:$D$14,0)),K1570)*IF(M1570="",INDEX(CONFIG!$H$5:$H$14,MATCH(D1570,CONFIG!$D$5:$D$14,0)),M1570))),""))</f>
        <v/>
      </c>
      <c r="Q1570" s="16" t="str">
        <f aca="false">IF(OR(O1570="",P1570=""),"",O1570/P1570)</f>
        <v/>
      </c>
      <c r="R1570" s="16" t="str">
        <f aca="false">IF(Q1570="","",Q1570*0.0980665)</f>
        <v/>
      </c>
      <c r="S1570" s="16" t="str">
        <f aca="false">IF(Q1570="","",IFERROR(Q1570/(1/(1/INDEX(CONFIG!$I$5:$I$14,MATCH(D1570,CONFIG!$D$5:$D$14,0)))),""))</f>
        <v/>
      </c>
      <c r="T1570" s="13"/>
      <c r="U1570" s="13"/>
      <c r="V1570" s="13"/>
      <c r="W1570" s="13"/>
      <c r="X1570" s="22" t="str">
        <f aca="false">IF(Q1570="","",Q1570^2)</f>
        <v/>
      </c>
      <c r="Y1570" s="22" t="str">
        <f aca="false">IF(AND(C1570&lt;&gt;"",C1570=CERTIFICADO!$E$4,OR(CERTIFICADO!$E$5="",B1570=CERTIFICADO!$E$5)),MAX($Y$4:Y1569)+1,"")</f>
        <v/>
      </c>
    </row>
    <row r="1571" customFormat="false" ht="15" hidden="false" customHeight="false" outlineLevel="0" collapsed="false">
      <c r="A1571" s="11" t="str">
        <f aca="false">IF(C1571="","",ROW()-4)</f>
        <v/>
      </c>
      <c r="B1571" s="12"/>
      <c r="C1571" s="13"/>
      <c r="D1571" s="23" t="str">
        <f aca="false">IF(C1571="","",IFERROR(INDEX(LOTES!$D$5:$D$1004,MATCH(C1571,LOTES!$F$5:$F$1004,0)),"¿Lote?"))</f>
        <v/>
      </c>
      <c r="E1571" s="11" t="str">
        <f aca="false">IF(C1571="","",IFERROR(INDEX(LOTES!$C$5:$C$1004,MATCH(C1571,LOTES!$F$5:$F$1004,0)),""))</f>
        <v/>
      </c>
      <c r="F1571" s="24" t="str">
        <f aca="false">IF(C1571="","",IFERROR(INDEX(LOTES!$B$5:$B$1004,MATCH(C1571,LOTES!$F$5:$F$1004,0)),""))</f>
        <v/>
      </c>
      <c r="G1571" s="15" t="str">
        <f aca="false">IF(OR(B1571="",F1571=""),"",B1571-F1571)</f>
        <v/>
      </c>
      <c r="H1571" s="13"/>
      <c r="I1571" s="13"/>
      <c r="J1571" s="13"/>
      <c r="K1571" s="25"/>
      <c r="L1571" s="25"/>
      <c r="M1571" s="25"/>
      <c r="N1571" s="25"/>
      <c r="O1571" s="26"/>
      <c r="P1571" s="16" t="str">
        <f aca="false">IF(O1571="","",IFERROR(1/(1/(IF(K1571="",INDEX(CONFIG!$F$5:$F$14,MATCH(D1571,CONFIG!$D$5:$D$14,0)),K1571)*IF(M1571="",INDEX(CONFIG!$H$5:$H$14,MATCH(D1571,CONFIG!$D$5:$D$14,0)),M1571))),""))</f>
        <v/>
      </c>
      <c r="Q1571" s="16" t="str">
        <f aca="false">IF(OR(O1571="",P1571=""),"",O1571/P1571)</f>
        <v/>
      </c>
      <c r="R1571" s="16" t="str">
        <f aca="false">IF(Q1571="","",Q1571*0.0980665)</f>
        <v/>
      </c>
      <c r="S1571" s="16" t="str">
        <f aca="false">IF(Q1571="","",IFERROR(Q1571/(1/(1/INDEX(CONFIG!$I$5:$I$14,MATCH(D1571,CONFIG!$D$5:$D$14,0)))),""))</f>
        <v/>
      </c>
      <c r="T1571" s="13"/>
      <c r="U1571" s="13"/>
      <c r="V1571" s="13"/>
      <c r="W1571" s="13"/>
      <c r="X1571" s="22" t="str">
        <f aca="false">IF(Q1571="","",Q1571^2)</f>
        <v/>
      </c>
      <c r="Y1571" s="22" t="str">
        <f aca="false">IF(AND(C1571&lt;&gt;"",C1571=CERTIFICADO!$E$4,OR(CERTIFICADO!$E$5="",B1571=CERTIFICADO!$E$5)),MAX($Y$4:Y1570)+1,"")</f>
        <v/>
      </c>
    </row>
    <row r="1572" customFormat="false" ht="15" hidden="false" customHeight="false" outlineLevel="0" collapsed="false">
      <c r="A1572" s="11" t="str">
        <f aca="false">IF(C1572="","",ROW()-4)</f>
        <v/>
      </c>
      <c r="B1572" s="12"/>
      <c r="C1572" s="13"/>
      <c r="D1572" s="23" t="str">
        <f aca="false">IF(C1572="","",IFERROR(INDEX(LOTES!$D$5:$D$1004,MATCH(C1572,LOTES!$F$5:$F$1004,0)),"¿Lote?"))</f>
        <v/>
      </c>
      <c r="E1572" s="11" t="str">
        <f aca="false">IF(C1572="","",IFERROR(INDEX(LOTES!$C$5:$C$1004,MATCH(C1572,LOTES!$F$5:$F$1004,0)),""))</f>
        <v/>
      </c>
      <c r="F1572" s="24" t="str">
        <f aca="false">IF(C1572="","",IFERROR(INDEX(LOTES!$B$5:$B$1004,MATCH(C1572,LOTES!$F$5:$F$1004,0)),""))</f>
        <v/>
      </c>
      <c r="G1572" s="15" t="str">
        <f aca="false">IF(OR(B1572="",F1572=""),"",B1572-F1572)</f>
        <v/>
      </c>
      <c r="H1572" s="13"/>
      <c r="I1572" s="13"/>
      <c r="J1572" s="13"/>
      <c r="K1572" s="25"/>
      <c r="L1572" s="25"/>
      <c r="M1572" s="25"/>
      <c r="N1572" s="25"/>
      <c r="O1572" s="26"/>
      <c r="P1572" s="16" t="str">
        <f aca="false">IF(O1572="","",IFERROR(1/(1/(IF(K1572="",INDEX(CONFIG!$F$5:$F$14,MATCH(D1572,CONFIG!$D$5:$D$14,0)),K1572)*IF(M1572="",INDEX(CONFIG!$H$5:$H$14,MATCH(D1572,CONFIG!$D$5:$D$14,0)),M1572))),""))</f>
        <v/>
      </c>
      <c r="Q1572" s="16" t="str">
        <f aca="false">IF(OR(O1572="",P1572=""),"",O1572/P1572)</f>
        <v/>
      </c>
      <c r="R1572" s="16" t="str">
        <f aca="false">IF(Q1572="","",Q1572*0.0980665)</f>
        <v/>
      </c>
      <c r="S1572" s="16" t="str">
        <f aca="false">IF(Q1572="","",IFERROR(Q1572/(1/(1/INDEX(CONFIG!$I$5:$I$14,MATCH(D1572,CONFIG!$D$5:$D$14,0)))),""))</f>
        <v/>
      </c>
      <c r="T1572" s="13"/>
      <c r="U1572" s="13"/>
      <c r="V1572" s="13"/>
      <c r="W1572" s="13"/>
      <c r="X1572" s="22" t="str">
        <f aca="false">IF(Q1572="","",Q1572^2)</f>
        <v/>
      </c>
      <c r="Y1572" s="22" t="str">
        <f aca="false">IF(AND(C1572&lt;&gt;"",C1572=CERTIFICADO!$E$4,OR(CERTIFICADO!$E$5="",B1572=CERTIFICADO!$E$5)),MAX($Y$4:Y1571)+1,"")</f>
        <v/>
      </c>
    </row>
    <row r="1573" customFormat="false" ht="15" hidden="false" customHeight="false" outlineLevel="0" collapsed="false">
      <c r="A1573" s="11" t="str">
        <f aca="false">IF(C1573="","",ROW()-4)</f>
        <v/>
      </c>
      <c r="B1573" s="12"/>
      <c r="C1573" s="13"/>
      <c r="D1573" s="23" t="str">
        <f aca="false">IF(C1573="","",IFERROR(INDEX(LOTES!$D$5:$D$1004,MATCH(C1573,LOTES!$F$5:$F$1004,0)),"¿Lote?"))</f>
        <v/>
      </c>
      <c r="E1573" s="11" t="str">
        <f aca="false">IF(C1573="","",IFERROR(INDEX(LOTES!$C$5:$C$1004,MATCH(C1573,LOTES!$F$5:$F$1004,0)),""))</f>
        <v/>
      </c>
      <c r="F1573" s="24" t="str">
        <f aca="false">IF(C1573="","",IFERROR(INDEX(LOTES!$B$5:$B$1004,MATCH(C1573,LOTES!$F$5:$F$1004,0)),""))</f>
        <v/>
      </c>
      <c r="G1573" s="15" t="str">
        <f aca="false">IF(OR(B1573="",F1573=""),"",B1573-F1573)</f>
        <v/>
      </c>
      <c r="H1573" s="13"/>
      <c r="I1573" s="13"/>
      <c r="J1573" s="13"/>
      <c r="K1573" s="25"/>
      <c r="L1573" s="25"/>
      <c r="M1573" s="25"/>
      <c r="N1573" s="25"/>
      <c r="O1573" s="26"/>
      <c r="P1573" s="16" t="str">
        <f aca="false">IF(O1573="","",IFERROR(1/(1/(IF(K1573="",INDEX(CONFIG!$F$5:$F$14,MATCH(D1573,CONFIG!$D$5:$D$14,0)),K1573)*IF(M1573="",INDEX(CONFIG!$H$5:$H$14,MATCH(D1573,CONFIG!$D$5:$D$14,0)),M1573))),""))</f>
        <v/>
      </c>
      <c r="Q1573" s="16" t="str">
        <f aca="false">IF(OR(O1573="",P1573=""),"",O1573/P1573)</f>
        <v/>
      </c>
      <c r="R1573" s="16" t="str">
        <f aca="false">IF(Q1573="","",Q1573*0.0980665)</f>
        <v/>
      </c>
      <c r="S1573" s="16" t="str">
        <f aca="false">IF(Q1573="","",IFERROR(Q1573/(1/(1/INDEX(CONFIG!$I$5:$I$14,MATCH(D1573,CONFIG!$D$5:$D$14,0)))),""))</f>
        <v/>
      </c>
      <c r="T1573" s="13"/>
      <c r="U1573" s="13"/>
      <c r="V1573" s="13"/>
      <c r="W1573" s="13"/>
      <c r="X1573" s="22" t="str">
        <f aca="false">IF(Q1573="","",Q1573^2)</f>
        <v/>
      </c>
      <c r="Y1573" s="22" t="str">
        <f aca="false">IF(AND(C1573&lt;&gt;"",C1573=CERTIFICADO!$E$4,OR(CERTIFICADO!$E$5="",B1573=CERTIFICADO!$E$5)),MAX($Y$4:Y1572)+1,"")</f>
        <v/>
      </c>
    </row>
    <row r="1574" customFormat="false" ht="15" hidden="false" customHeight="false" outlineLevel="0" collapsed="false">
      <c r="A1574" s="11" t="str">
        <f aca="false">IF(C1574="","",ROW()-4)</f>
        <v/>
      </c>
      <c r="B1574" s="12"/>
      <c r="C1574" s="13"/>
      <c r="D1574" s="23" t="str">
        <f aca="false">IF(C1574="","",IFERROR(INDEX(LOTES!$D$5:$D$1004,MATCH(C1574,LOTES!$F$5:$F$1004,0)),"¿Lote?"))</f>
        <v/>
      </c>
      <c r="E1574" s="11" t="str">
        <f aca="false">IF(C1574="","",IFERROR(INDEX(LOTES!$C$5:$C$1004,MATCH(C1574,LOTES!$F$5:$F$1004,0)),""))</f>
        <v/>
      </c>
      <c r="F1574" s="24" t="str">
        <f aca="false">IF(C1574="","",IFERROR(INDEX(LOTES!$B$5:$B$1004,MATCH(C1574,LOTES!$F$5:$F$1004,0)),""))</f>
        <v/>
      </c>
      <c r="G1574" s="15" t="str">
        <f aca="false">IF(OR(B1574="",F1574=""),"",B1574-F1574)</f>
        <v/>
      </c>
      <c r="H1574" s="13"/>
      <c r="I1574" s="13"/>
      <c r="J1574" s="13"/>
      <c r="K1574" s="25"/>
      <c r="L1574" s="25"/>
      <c r="M1574" s="25"/>
      <c r="N1574" s="25"/>
      <c r="O1574" s="26"/>
      <c r="P1574" s="16" t="str">
        <f aca="false">IF(O1574="","",IFERROR(1/(1/(IF(K1574="",INDEX(CONFIG!$F$5:$F$14,MATCH(D1574,CONFIG!$D$5:$D$14,0)),K1574)*IF(M1574="",INDEX(CONFIG!$H$5:$H$14,MATCH(D1574,CONFIG!$D$5:$D$14,0)),M1574))),""))</f>
        <v/>
      </c>
      <c r="Q1574" s="16" t="str">
        <f aca="false">IF(OR(O1574="",P1574=""),"",O1574/P1574)</f>
        <v/>
      </c>
      <c r="R1574" s="16" t="str">
        <f aca="false">IF(Q1574="","",Q1574*0.0980665)</f>
        <v/>
      </c>
      <c r="S1574" s="16" t="str">
        <f aca="false">IF(Q1574="","",IFERROR(Q1574/(1/(1/INDEX(CONFIG!$I$5:$I$14,MATCH(D1574,CONFIG!$D$5:$D$14,0)))),""))</f>
        <v/>
      </c>
      <c r="T1574" s="13"/>
      <c r="U1574" s="13"/>
      <c r="V1574" s="13"/>
      <c r="W1574" s="13"/>
      <c r="X1574" s="22" t="str">
        <f aca="false">IF(Q1574="","",Q1574^2)</f>
        <v/>
      </c>
      <c r="Y1574" s="22" t="str">
        <f aca="false">IF(AND(C1574&lt;&gt;"",C1574=CERTIFICADO!$E$4,OR(CERTIFICADO!$E$5="",B1574=CERTIFICADO!$E$5)),MAX($Y$4:Y1573)+1,"")</f>
        <v/>
      </c>
    </row>
    <row r="1575" customFormat="false" ht="15" hidden="false" customHeight="false" outlineLevel="0" collapsed="false">
      <c r="A1575" s="11" t="str">
        <f aca="false">IF(C1575="","",ROW()-4)</f>
        <v/>
      </c>
      <c r="B1575" s="12"/>
      <c r="C1575" s="13"/>
      <c r="D1575" s="23" t="str">
        <f aca="false">IF(C1575="","",IFERROR(INDEX(LOTES!$D$5:$D$1004,MATCH(C1575,LOTES!$F$5:$F$1004,0)),"¿Lote?"))</f>
        <v/>
      </c>
      <c r="E1575" s="11" t="str">
        <f aca="false">IF(C1575="","",IFERROR(INDEX(LOTES!$C$5:$C$1004,MATCH(C1575,LOTES!$F$5:$F$1004,0)),""))</f>
        <v/>
      </c>
      <c r="F1575" s="24" t="str">
        <f aca="false">IF(C1575="","",IFERROR(INDEX(LOTES!$B$5:$B$1004,MATCH(C1575,LOTES!$F$5:$F$1004,0)),""))</f>
        <v/>
      </c>
      <c r="G1575" s="15" t="str">
        <f aca="false">IF(OR(B1575="",F1575=""),"",B1575-F1575)</f>
        <v/>
      </c>
      <c r="H1575" s="13"/>
      <c r="I1575" s="13"/>
      <c r="J1575" s="13"/>
      <c r="K1575" s="25"/>
      <c r="L1575" s="25"/>
      <c r="M1575" s="25"/>
      <c r="N1575" s="25"/>
      <c r="O1575" s="26"/>
      <c r="P1575" s="16" t="str">
        <f aca="false">IF(O1575="","",IFERROR(1/(1/(IF(K1575="",INDEX(CONFIG!$F$5:$F$14,MATCH(D1575,CONFIG!$D$5:$D$14,0)),K1575)*IF(M1575="",INDEX(CONFIG!$H$5:$H$14,MATCH(D1575,CONFIG!$D$5:$D$14,0)),M1575))),""))</f>
        <v/>
      </c>
      <c r="Q1575" s="16" t="str">
        <f aca="false">IF(OR(O1575="",P1575=""),"",O1575/P1575)</f>
        <v/>
      </c>
      <c r="R1575" s="16" t="str">
        <f aca="false">IF(Q1575="","",Q1575*0.0980665)</f>
        <v/>
      </c>
      <c r="S1575" s="16" t="str">
        <f aca="false">IF(Q1575="","",IFERROR(Q1575/(1/(1/INDEX(CONFIG!$I$5:$I$14,MATCH(D1575,CONFIG!$D$5:$D$14,0)))),""))</f>
        <v/>
      </c>
      <c r="T1575" s="13"/>
      <c r="U1575" s="13"/>
      <c r="V1575" s="13"/>
      <c r="W1575" s="13"/>
      <c r="X1575" s="22" t="str">
        <f aca="false">IF(Q1575="","",Q1575^2)</f>
        <v/>
      </c>
      <c r="Y1575" s="22" t="str">
        <f aca="false">IF(AND(C1575&lt;&gt;"",C1575=CERTIFICADO!$E$4,OR(CERTIFICADO!$E$5="",B1575=CERTIFICADO!$E$5)),MAX($Y$4:Y1574)+1,"")</f>
        <v/>
      </c>
    </row>
    <row r="1576" customFormat="false" ht="15" hidden="false" customHeight="false" outlineLevel="0" collapsed="false">
      <c r="A1576" s="11" t="str">
        <f aca="false">IF(C1576="","",ROW()-4)</f>
        <v/>
      </c>
      <c r="B1576" s="12"/>
      <c r="C1576" s="13"/>
      <c r="D1576" s="23" t="str">
        <f aca="false">IF(C1576="","",IFERROR(INDEX(LOTES!$D$5:$D$1004,MATCH(C1576,LOTES!$F$5:$F$1004,0)),"¿Lote?"))</f>
        <v/>
      </c>
      <c r="E1576" s="11" t="str">
        <f aca="false">IF(C1576="","",IFERROR(INDEX(LOTES!$C$5:$C$1004,MATCH(C1576,LOTES!$F$5:$F$1004,0)),""))</f>
        <v/>
      </c>
      <c r="F1576" s="24" t="str">
        <f aca="false">IF(C1576="","",IFERROR(INDEX(LOTES!$B$5:$B$1004,MATCH(C1576,LOTES!$F$5:$F$1004,0)),""))</f>
        <v/>
      </c>
      <c r="G1576" s="15" t="str">
        <f aca="false">IF(OR(B1576="",F1576=""),"",B1576-F1576)</f>
        <v/>
      </c>
      <c r="H1576" s="13"/>
      <c r="I1576" s="13"/>
      <c r="J1576" s="13"/>
      <c r="K1576" s="25"/>
      <c r="L1576" s="25"/>
      <c r="M1576" s="25"/>
      <c r="N1576" s="25"/>
      <c r="O1576" s="26"/>
      <c r="P1576" s="16" t="str">
        <f aca="false">IF(O1576="","",IFERROR(1/(1/(IF(K1576="",INDEX(CONFIG!$F$5:$F$14,MATCH(D1576,CONFIG!$D$5:$D$14,0)),K1576)*IF(M1576="",INDEX(CONFIG!$H$5:$H$14,MATCH(D1576,CONFIG!$D$5:$D$14,0)),M1576))),""))</f>
        <v/>
      </c>
      <c r="Q1576" s="16" t="str">
        <f aca="false">IF(OR(O1576="",P1576=""),"",O1576/P1576)</f>
        <v/>
      </c>
      <c r="R1576" s="16" t="str">
        <f aca="false">IF(Q1576="","",Q1576*0.0980665)</f>
        <v/>
      </c>
      <c r="S1576" s="16" t="str">
        <f aca="false">IF(Q1576="","",IFERROR(Q1576/(1/(1/INDEX(CONFIG!$I$5:$I$14,MATCH(D1576,CONFIG!$D$5:$D$14,0)))),""))</f>
        <v/>
      </c>
      <c r="T1576" s="13"/>
      <c r="U1576" s="13"/>
      <c r="V1576" s="13"/>
      <c r="W1576" s="13"/>
      <c r="X1576" s="22" t="str">
        <f aca="false">IF(Q1576="","",Q1576^2)</f>
        <v/>
      </c>
      <c r="Y1576" s="22" t="str">
        <f aca="false">IF(AND(C1576&lt;&gt;"",C1576=CERTIFICADO!$E$4,OR(CERTIFICADO!$E$5="",B1576=CERTIFICADO!$E$5)),MAX($Y$4:Y1575)+1,"")</f>
        <v/>
      </c>
    </row>
    <row r="1577" customFormat="false" ht="15" hidden="false" customHeight="false" outlineLevel="0" collapsed="false">
      <c r="A1577" s="11" t="str">
        <f aca="false">IF(C1577="","",ROW()-4)</f>
        <v/>
      </c>
      <c r="B1577" s="12"/>
      <c r="C1577" s="13"/>
      <c r="D1577" s="23" t="str">
        <f aca="false">IF(C1577="","",IFERROR(INDEX(LOTES!$D$5:$D$1004,MATCH(C1577,LOTES!$F$5:$F$1004,0)),"¿Lote?"))</f>
        <v/>
      </c>
      <c r="E1577" s="11" t="str">
        <f aca="false">IF(C1577="","",IFERROR(INDEX(LOTES!$C$5:$C$1004,MATCH(C1577,LOTES!$F$5:$F$1004,0)),""))</f>
        <v/>
      </c>
      <c r="F1577" s="24" t="str">
        <f aca="false">IF(C1577="","",IFERROR(INDEX(LOTES!$B$5:$B$1004,MATCH(C1577,LOTES!$F$5:$F$1004,0)),""))</f>
        <v/>
      </c>
      <c r="G1577" s="15" t="str">
        <f aca="false">IF(OR(B1577="",F1577=""),"",B1577-F1577)</f>
        <v/>
      </c>
      <c r="H1577" s="13"/>
      <c r="I1577" s="13"/>
      <c r="J1577" s="13"/>
      <c r="K1577" s="25"/>
      <c r="L1577" s="25"/>
      <c r="M1577" s="25"/>
      <c r="N1577" s="25"/>
      <c r="O1577" s="26"/>
      <c r="P1577" s="16" t="str">
        <f aca="false">IF(O1577="","",IFERROR(1/(1/(IF(K1577="",INDEX(CONFIG!$F$5:$F$14,MATCH(D1577,CONFIG!$D$5:$D$14,0)),K1577)*IF(M1577="",INDEX(CONFIG!$H$5:$H$14,MATCH(D1577,CONFIG!$D$5:$D$14,0)),M1577))),""))</f>
        <v/>
      </c>
      <c r="Q1577" s="16" t="str">
        <f aca="false">IF(OR(O1577="",P1577=""),"",O1577/P1577)</f>
        <v/>
      </c>
      <c r="R1577" s="16" t="str">
        <f aca="false">IF(Q1577="","",Q1577*0.0980665)</f>
        <v/>
      </c>
      <c r="S1577" s="16" t="str">
        <f aca="false">IF(Q1577="","",IFERROR(Q1577/(1/(1/INDEX(CONFIG!$I$5:$I$14,MATCH(D1577,CONFIG!$D$5:$D$14,0)))),""))</f>
        <v/>
      </c>
      <c r="T1577" s="13"/>
      <c r="U1577" s="13"/>
      <c r="V1577" s="13"/>
      <c r="W1577" s="13"/>
      <c r="X1577" s="22" t="str">
        <f aca="false">IF(Q1577="","",Q1577^2)</f>
        <v/>
      </c>
      <c r="Y1577" s="22" t="str">
        <f aca="false">IF(AND(C1577&lt;&gt;"",C1577=CERTIFICADO!$E$4,OR(CERTIFICADO!$E$5="",B1577=CERTIFICADO!$E$5)),MAX($Y$4:Y1576)+1,"")</f>
        <v/>
      </c>
    </row>
    <row r="1578" customFormat="false" ht="15" hidden="false" customHeight="false" outlineLevel="0" collapsed="false">
      <c r="A1578" s="11" t="str">
        <f aca="false">IF(C1578="","",ROW()-4)</f>
        <v/>
      </c>
      <c r="B1578" s="12"/>
      <c r="C1578" s="13"/>
      <c r="D1578" s="23" t="str">
        <f aca="false">IF(C1578="","",IFERROR(INDEX(LOTES!$D$5:$D$1004,MATCH(C1578,LOTES!$F$5:$F$1004,0)),"¿Lote?"))</f>
        <v/>
      </c>
      <c r="E1578" s="11" t="str">
        <f aca="false">IF(C1578="","",IFERROR(INDEX(LOTES!$C$5:$C$1004,MATCH(C1578,LOTES!$F$5:$F$1004,0)),""))</f>
        <v/>
      </c>
      <c r="F1578" s="24" t="str">
        <f aca="false">IF(C1578="","",IFERROR(INDEX(LOTES!$B$5:$B$1004,MATCH(C1578,LOTES!$F$5:$F$1004,0)),""))</f>
        <v/>
      </c>
      <c r="G1578" s="15" t="str">
        <f aca="false">IF(OR(B1578="",F1578=""),"",B1578-F1578)</f>
        <v/>
      </c>
      <c r="H1578" s="13"/>
      <c r="I1578" s="13"/>
      <c r="J1578" s="13"/>
      <c r="K1578" s="25"/>
      <c r="L1578" s="25"/>
      <c r="M1578" s="25"/>
      <c r="N1578" s="25"/>
      <c r="O1578" s="26"/>
      <c r="P1578" s="16" t="str">
        <f aca="false">IF(O1578="","",IFERROR(1/(1/(IF(K1578="",INDEX(CONFIG!$F$5:$F$14,MATCH(D1578,CONFIG!$D$5:$D$14,0)),K1578)*IF(M1578="",INDEX(CONFIG!$H$5:$H$14,MATCH(D1578,CONFIG!$D$5:$D$14,0)),M1578))),""))</f>
        <v/>
      </c>
      <c r="Q1578" s="16" t="str">
        <f aca="false">IF(OR(O1578="",P1578=""),"",O1578/P1578)</f>
        <v/>
      </c>
      <c r="R1578" s="16" t="str">
        <f aca="false">IF(Q1578="","",Q1578*0.0980665)</f>
        <v/>
      </c>
      <c r="S1578" s="16" t="str">
        <f aca="false">IF(Q1578="","",IFERROR(Q1578/(1/(1/INDEX(CONFIG!$I$5:$I$14,MATCH(D1578,CONFIG!$D$5:$D$14,0)))),""))</f>
        <v/>
      </c>
      <c r="T1578" s="13"/>
      <c r="U1578" s="13"/>
      <c r="V1578" s="13"/>
      <c r="W1578" s="13"/>
      <c r="X1578" s="22" t="str">
        <f aca="false">IF(Q1578="","",Q1578^2)</f>
        <v/>
      </c>
      <c r="Y1578" s="22" t="str">
        <f aca="false">IF(AND(C1578&lt;&gt;"",C1578=CERTIFICADO!$E$4,OR(CERTIFICADO!$E$5="",B1578=CERTIFICADO!$E$5)),MAX($Y$4:Y1577)+1,"")</f>
        <v/>
      </c>
    </row>
    <row r="1579" customFormat="false" ht="15" hidden="false" customHeight="false" outlineLevel="0" collapsed="false">
      <c r="A1579" s="11" t="str">
        <f aca="false">IF(C1579="","",ROW()-4)</f>
        <v/>
      </c>
      <c r="B1579" s="12"/>
      <c r="C1579" s="13"/>
      <c r="D1579" s="23" t="str">
        <f aca="false">IF(C1579="","",IFERROR(INDEX(LOTES!$D$5:$D$1004,MATCH(C1579,LOTES!$F$5:$F$1004,0)),"¿Lote?"))</f>
        <v/>
      </c>
      <c r="E1579" s="11" t="str">
        <f aca="false">IF(C1579="","",IFERROR(INDEX(LOTES!$C$5:$C$1004,MATCH(C1579,LOTES!$F$5:$F$1004,0)),""))</f>
        <v/>
      </c>
      <c r="F1579" s="24" t="str">
        <f aca="false">IF(C1579="","",IFERROR(INDEX(LOTES!$B$5:$B$1004,MATCH(C1579,LOTES!$F$5:$F$1004,0)),""))</f>
        <v/>
      </c>
      <c r="G1579" s="15" t="str">
        <f aca="false">IF(OR(B1579="",F1579=""),"",B1579-F1579)</f>
        <v/>
      </c>
      <c r="H1579" s="13"/>
      <c r="I1579" s="13"/>
      <c r="J1579" s="13"/>
      <c r="K1579" s="25"/>
      <c r="L1579" s="25"/>
      <c r="M1579" s="25"/>
      <c r="N1579" s="25"/>
      <c r="O1579" s="26"/>
      <c r="P1579" s="16" t="str">
        <f aca="false">IF(O1579="","",IFERROR(1/(1/(IF(K1579="",INDEX(CONFIG!$F$5:$F$14,MATCH(D1579,CONFIG!$D$5:$D$14,0)),K1579)*IF(M1579="",INDEX(CONFIG!$H$5:$H$14,MATCH(D1579,CONFIG!$D$5:$D$14,0)),M1579))),""))</f>
        <v/>
      </c>
      <c r="Q1579" s="16" t="str">
        <f aca="false">IF(OR(O1579="",P1579=""),"",O1579/P1579)</f>
        <v/>
      </c>
      <c r="R1579" s="16" t="str">
        <f aca="false">IF(Q1579="","",Q1579*0.0980665)</f>
        <v/>
      </c>
      <c r="S1579" s="16" t="str">
        <f aca="false">IF(Q1579="","",IFERROR(Q1579/(1/(1/INDEX(CONFIG!$I$5:$I$14,MATCH(D1579,CONFIG!$D$5:$D$14,0)))),""))</f>
        <v/>
      </c>
      <c r="T1579" s="13"/>
      <c r="U1579" s="13"/>
      <c r="V1579" s="13"/>
      <c r="W1579" s="13"/>
      <c r="X1579" s="22" t="str">
        <f aca="false">IF(Q1579="","",Q1579^2)</f>
        <v/>
      </c>
      <c r="Y1579" s="22" t="str">
        <f aca="false">IF(AND(C1579&lt;&gt;"",C1579=CERTIFICADO!$E$4,OR(CERTIFICADO!$E$5="",B1579=CERTIFICADO!$E$5)),MAX($Y$4:Y1578)+1,"")</f>
        <v/>
      </c>
    </row>
    <row r="1580" customFormat="false" ht="15" hidden="false" customHeight="false" outlineLevel="0" collapsed="false">
      <c r="A1580" s="11" t="str">
        <f aca="false">IF(C1580="","",ROW()-4)</f>
        <v/>
      </c>
      <c r="B1580" s="12"/>
      <c r="C1580" s="13"/>
      <c r="D1580" s="23" t="str">
        <f aca="false">IF(C1580="","",IFERROR(INDEX(LOTES!$D$5:$D$1004,MATCH(C1580,LOTES!$F$5:$F$1004,0)),"¿Lote?"))</f>
        <v/>
      </c>
      <c r="E1580" s="11" t="str">
        <f aca="false">IF(C1580="","",IFERROR(INDEX(LOTES!$C$5:$C$1004,MATCH(C1580,LOTES!$F$5:$F$1004,0)),""))</f>
        <v/>
      </c>
      <c r="F1580" s="24" t="str">
        <f aca="false">IF(C1580="","",IFERROR(INDEX(LOTES!$B$5:$B$1004,MATCH(C1580,LOTES!$F$5:$F$1004,0)),""))</f>
        <v/>
      </c>
      <c r="G1580" s="15" t="str">
        <f aca="false">IF(OR(B1580="",F1580=""),"",B1580-F1580)</f>
        <v/>
      </c>
      <c r="H1580" s="13"/>
      <c r="I1580" s="13"/>
      <c r="J1580" s="13"/>
      <c r="K1580" s="25"/>
      <c r="L1580" s="25"/>
      <c r="M1580" s="25"/>
      <c r="N1580" s="25"/>
      <c r="O1580" s="26"/>
      <c r="P1580" s="16" t="str">
        <f aca="false">IF(O1580="","",IFERROR(1/(1/(IF(K1580="",INDEX(CONFIG!$F$5:$F$14,MATCH(D1580,CONFIG!$D$5:$D$14,0)),K1580)*IF(M1580="",INDEX(CONFIG!$H$5:$H$14,MATCH(D1580,CONFIG!$D$5:$D$14,0)),M1580))),""))</f>
        <v/>
      </c>
      <c r="Q1580" s="16" t="str">
        <f aca="false">IF(OR(O1580="",P1580=""),"",O1580/P1580)</f>
        <v/>
      </c>
      <c r="R1580" s="16" t="str">
        <f aca="false">IF(Q1580="","",Q1580*0.0980665)</f>
        <v/>
      </c>
      <c r="S1580" s="16" t="str">
        <f aca="false">IF(Q1580="","",IFERROR(Q1580/(1/(1/INDEX(CONFIG!$I$5:$I$14,MATCH(D1580,CONFIG!$D$5:$D$14,0)))),""))</f>
        <v/>
      </c>
      <c r="T1580" s="13"/>
      <c r="U1580" s="13"/>
      <c r="V1580" s="13"/>
      <c r="W1580" s="13"/>
      <c r="X1580" s="22" t="str">
        <f aca="false">IF(Q1580="","",Q1580^2)</f>
        <v/>
      </c>
      <c r="Y1580" s="22" t="str">
        <f aca="false">IF(AND(C1580&lt;&gt;"",C1580=CERTIFICADO!$E$4,OR(CERTIFICADO!$E$5="",B1580=CERTIFICADO!$E$5)),MAX($Y$4:Y1579)+1,"")</f>
        <v/>
      </c>
    </row>
    <row r="1581" customFormat="false" ht="15" hidden="false" customHeight="false" outlineLevel="0" collapsed="false">
      <c r="A1581" s="11" t="str">
        <f aca="false">IF(C1581="","",ROW()-4)</f>
        <v/>
      </c>
      <c r="B1581" s="12"/>
      <c r="C1581" s="13"/>
      <c r="D1581" s="23" t="str">
        <f aca="false">IF(C1581="","",IFERROR(INDEX(LOTES!$D$5:$D$1004,MATCH(C1581,LOTES!$F$5:$F$1004,0)),"¿Lote?"))</f>
        <v/>
      </c>
      <c r="E1581" s="11" t="str">
        <f aca="false">IF(C1581="","",IFERROR(INDEX(LOTES!$C$5:$C$1004,MATCH(C1581,LOTES!$F$5:$F$1004,0)),""))</f>
        <v/>
      </c>
      <c r="F1581" s="24" t="str">
        <f aca="false">IF(C1581="","",IFERROR(INDEX(LOTES!$B$5:$B$1004,MATCH(C1581,LOTES!$F$5:$F$1004,0)),""))</f>
        <v/>
      </c>
      <c r="G1581" s="15" t="str">
        <f aca="false">IF(OR(B1581="",F1581=""),"",B1581-F1581)</f>
        <v/>
      </c>
      <c r="H1581" s="13"/>
      <c r="I1581" s="13"/>
      <c r="J1581" s="13"/>
      <c r="K1581" s="25"/>
      <c r="L1581" s="25"/>
      <c r="M1581" s="25"/>
      <c r="N1581" s="25"/>
      <c r="O1581" s="26"/>
      <c r="P1581" s="16" t="str">
        <f aca="false">IF(O1581="","",IFERROR(1/(1/(IF(K1581="",INDEX(CONFIG!$F$5:$F$14,MATCH(D1581,CONFIG!$D$5:$D$14,0)),K1581)*IF(M1581="",INDEX(CONFIG!$H$5:$H$14,MATCH(D1581,CONFIG!$D$5:$D$14,0)),M1581))),""))</f>
        <v/>
      </c>
      <c r="Q1581" s="16" t="str">
        <f aca="false">IF(OR(O1581="",P1581=""),"",O1581/P1581)</f>
        <v/>
      </c>
      <c r="R1581" s="16" t="str">
        <f aca="false">IF(Q1581="","",Q1581*0.0980665)</f>
        <v/>
      </c>
      <c r="S1581" s="16" t="str">
        <f aca="false">IF(Q1581="","",IFERROR(Q1581/(1/(1/INDEX(CONFIG!$I$5:$I$14,MATCH(D1581,CONFIG!$D$5:$D$14,0)))),""))</f>
        <v/>
      </c>
      <c r="T1581" s="13"/>
      <c r="U1581" s="13"/>
      <c r="V1581" s="13"/>
      <c r="W1581" s="13"/>
      <c r="X1581" s="22" t="str">
        <f aca="false">IF(Q1581="","",Q1581^2)</f>
        <v/>
      </c>
      <c r="Y1581" s="22" t="str">
        <f aca="false">IF(AND(C1581&lt;&gt;"",C1581=CERTIFICADO!$E$4,OR(CERTIFICADO!$E$5="",B1581=CERTIFICADO!$E$5)),MAX($Y$4:Y1580)+1,"")</f>
        <v/>
      </c>
    </row>
    <row r="1582" customFormat="false" ht="15" hidden="false" customHeight="false" outlineLevel="0" collapsed="false">
      <c r="A1582" s="11" t="str">
        <f aca="false">IF(C1582="","",ROW()-4)</f>
        <v/>
      </c>
      <c r="B1582" s="12"/>
      <c r="C1582" s="13"/>
      <c r="D1582" s="23" t="str">
        <f aca="false">IF(C1582="","",IFERROR(INDEX(LOTES!$D$5:$D$1004,MATCH(C1582,LOTES!$F$5:$F$1004,0)),"¿Lote?"))</f>
        <v/>
      </c>
      <c r="E1582" s="11" t="str">
        <f aca="false">IF(C1582="","",IFERROR(INDEX(LOTES!$C$5:$C$1004,MATCH(C1582,LOTES!$F$5:$F$1004,0)),""))</f>
        <v/>
      </c>
      <c r="F1582" s="24" t="str">
        <f aca="false">IF(C1582="","",IFERROR(INDEX(LOTES!$B$5:$B$1004,MATCH(C1582,LOTES!$F$5:$F$1004,0)),""))</f>
        <v/>
      </c>
      <c r="G1582" s="15" t="str">
        <f aca="false">IF(OR(B1582="",F1582=""),"",B1582-F1582)</f>
        <v/>
      </c>
      <c r="H1582" s="13"/>
      <c r="I1582" s="13"/>
      <c r="J1582" s="13"/>
      <c r="K1582" s="25"/>
      <c r="L1582" s="25"/>
      <c r="M1582" s="25"/>
      <c r="N1582" s="25"/>
      <c r="O1582" s="26"/>
      <c r="P1582" s="16" t="str">
        <f aca="false">IF(O1582="","",IFERROR(1/(1/(IF(K1582="",INDEX(CONFIG!$F$5:$F$14,MATCH(D1582,CONFIG!$D$5:$D$14,0)),K1582)*IF(M1582="",INDEX(CONFIG!$H$5:$H$14,MATCH(D1582,CONFIG!$D$5:$D$14,0)),M1582))),""))</f>
        <v/>
      </c>
      <c r="Q1582" s="16" t="str">
        <f aca="false">IF(OR(O1582="",P1582=""),"",O1582/P1582)</f>
        <v/>
      </c>
      <c r="R1582" s="16" t="str">
        <f aca="false">IF(Q1582="","",Q1582*0.0980665)</f>
        <v/>
      </c>
      <c r="S1582" s="16" t="str">
        <f aca="false">IF(Q1582="","",IFERROR(Q1582/(1/(1/INDEX(CONFIG!$I$5:$I$14,MATCH(D1582,CONFIG!$D$5:$D$14,0)))),""))</f>
        <v/>
      </c>
      <c r="T1582" s="13"/>
      <c r="U1582" s="13"/>
      <c r="V1582" s="13"/>
      <c r="W1582" s="13"/>
      <c r="X1582" s="22" t="str">
        <f aca="false">IF(Q1582="","",Q1582^2)</f>
        <v/>
      </c>
      <c r="Y1582" s="22" t="str">
        <f aca="false">IF(AND(C1582&lt;&gt;"",C1582=CERTIFICADO!$E$4,OR(CERTIFICADO!$E$5="",B1582=CERTIFICADO!$E$5)),MAX($Y$4:Y1581)+1,"")</f>
        <v/>
      </c>
    </row>
    <row r="1583" customFormat="false" ht="15" hidden="false" customHeight="false" outlineLevel="0" collapsed="false">
      <c r="A1583" s="11" t="str">
        <f aca="false">IF(C1583="","",ROW()-4)</f>
        <v/>
      </c>
      <c r="B1583" s="12"/>
      <c r="C1583" s="13"/>
      <c r="D1583" s="23" t="str">
        <f aca="false">IF(C1583="","",IFERROR(INDEX(LOTES!$D$5:$D$1004,MATCH(C1583,LOTES!$F$5:$F$1004,0)),"¿Lote?"))</f>
        <v/>
      </c>
      <c r="E1583" s="11" t="str">
        <f aca="false">IF(C1583="","",IFERROR(INDEX(LOTES!$C$5:$C$1004,MATCH(C1583,LOTES!$F$5:$F$1004,0)),""))</f>
        <v/>
      </c>
      <c r="F1583" s="24" t="str">
        <f aca="false">IF(C1583="","",IFERROR(INDEX(LOTES!$B$5:$B$1004,MATCH(C1583,LOTES!$F$5:$F$1004,0)),""))</f>
        <v/>
      </c>
      <c r="G1583" s="15" t="str">
        <f aca="false">IF(OR(B1583="",F1583=""),"",B1583-F1583)</f>
        <v/>
      </c>
      <c r="H1583" s="13"/>
      <c r="I1583" s="13"/>
      <c r="J1583" s="13"/>
      <c r="K1583" s="25"/>
      <c r="L1583" s="25"/>
      <c r="M1583" s="25"/>
      <c r="N1583" s="25"/>
      <c r="O1583" s="26"/>
      <c r="P1583" s="16" t="str">
        <f aca="false">IF(O1583="","",IFERROR(1/(1/(IF(K1583="",INDEX(CONFIG!$F$5:$F$14,MATCH(D1583,CONFIG!$D$5:$D$14,0)),K1583)*IF(M1583="",INDEX(CONFIG!$H$5:$H$14,MATCH(D1583,CONFIG!$D$5:$D$14,0)),M1583))),""))</f>
        <v/>
      </c>
      <c r="Q1583" s="16" t="str">
        <f aca="false">IF(OR(O1583="",P1583=""),"",O1583/P1583)</f>
        <v/>
      </c>
      <c r="R1583" s="16" t="str">
        <f aca="false">IF(Q1583="","",Q1583*0.0980665)</f>
        <v/>
      </c>
      <c r="S1583" s="16" t="str">
        <f aca="false">IF(Q1583="","",IFERROR(Q1583/(1/(1/INDEX(CONFIG!$I$5:$I$14,MATCH(D1583,CONFIG!$D$5:$D$14,0)))),""))</f>
        <v/>
      </c>
      <c r="T1583" s="13"/>
      <c r="U1583" s="13"/>
      <c r="V1583" s="13"/>
      <c r="W1583" s="13"/>
      <c r="X1583" s="22" t="str">
        <f aca="false">IF(Q1583="","",Q1583^2)</f>
        <v/>
      </c>
      <c r="Y1583" s="22" t="str">
        <f aca="false">IF(AND(C1583&lt;&gt;"",C1583=CERTIFICADO!$E$4,OR(CERTIFICADO!$E$5="",B1583=CERTIFICADO!$E$5)),MAX($Y$4:Y1582)+1,"")</f>
        <v/>
      </c>
    </row>
    <row r="1584" customFormat="false" ht="15" hidden="false" customHeight="false" outlineLevel="0" collapsed="false">
      <c r="A1584" s="11" t="str">
        <f aca="false">IF(C1584="","",ROW()-4)</f>
        <v/>
      </c>
      <c r="B1584" s="12"/>
      <c r="C1584" s="13"/>
      <c r="D1584" s="23" t="str">
        <f aca="false">IF(C1584="","",IFERROR(INDEX(LOTES!$D$5:$D$1004,MATCH(C1584,LOTES!$F$5:$F$1004,0)),"¿Lote?"))</f>
        <v/>
      </c>
      <c r="E1584" s="11" t="str">
        <f aca="false">IF(C1584="","",IFERROR(INDEX(LOTES!$C$5:$C$1004,MATCH(C1584,LOTES!$F$5:$F$1004,0)),""))</f>
        <v/>
      </c>
      <c r="F1584" s="24" t="str">
        <f aca="false">IF(C1584="","",IFERROR(INDEX(LOTES!$B$5:$B$1004,MATCH(C1584,LOTES!$F$5:$F$1004,0)),""))</f>
        <v/>
      </c>
      <c r="G1584" s="15" t="str">
        <f aca="false">IF(OR(B1584="",F1584=""),"",B1584-F1584)</f>
        <v/>
      </c>
      <c r="H1584" s="13"/>
      <c r="I1584" s="13"/>
      <c r="J1584" s="13"/>
      <c r="K1584" s="25"/>
      <c r="L1584" s="25"/>
      <c r="M1584" s="25"/>
      <c r="N1584" s="25"/>
      <c r="O1584" s="26"/>
      <c r="P1584" s="16" t="str">
        <f aca="false">IF(O1584="","",IFERROR(1/(1/(IF(K1584="",INDEX(CONFIG!$F$5:$F$14,MATCH(D1584,CONFIG!$D$5:$D$14,0)),K1584)*IF(M1584="",INDEX(CONFIG!$H$5:$H$14,MATCH(D1584,CONFIG!$D$5:$D$14,0)),M1584))),""))</f>
        <v/>
      </c>
      <c r="Q1584" s="16" t="str">
        <f aca="false">IF(OR(O1584="",P1584=""),"",O1584/P1584)</f>
        <v/>
      </c>
      <c r="R1584" s="16" t="str">
        <f aca="false">IF(Q1584="","",Q1584*0.0980665)</f>
        <v/>
      </c>
      <c r="S1584" s="16" t="str">
        <f aca="false">IF(Q1584="","",IFERROR(Q1584/(1/(1/INDEX(CONFIG!$I$5:$I$14,MATCH(D1584,CONFIG!$D$5:$D$14,0)))),""))</f>
        <v/>
      </c>
      <c r="T1584" s="13"/>
      <c r="U1584" s="13"/>
      <c r="V1584" s="13"/>
      <c r="W1584" s="13"/>
      <c r="X1584" s="22" t="str">
        <f aca="false">IF(Q1584="","",Q1584^2)</f>
        <v/>
      </c>
      <c r="Y1584" s="22" t="str">
        <f aca="false">IF(AND(C1584&lt;&gt;"",C1584=CERTIFICADO!$E$4,OR(CERTIFICADO!$E$5="",B1584=CERTIFICADO!$E$5)),MAX($Y$4:Y1583)+1,"")</f>
        <v/>
      </c>
    </row>
    <row r="1585" customFormat="false" ht="15" hidden="false" customHeight="false" outlineLevel="0" collapsed="false">
      <c r="A1585" s="11" t="str">
        <f aca="false">IF(C1585="","",ROW()-4)</f>
        <v/>
      </c>
      <c r="B1585" s="12"/>
      <c r="C1585" s="13"/>
      <c r="D1585" s="23" t="str">
        <f aca="false">IF(C1585="","",IFERROR(INDEX(LOTES!$D$5:$D$1004,MATCH(C1585,LOTES!$F$5:$F$1004,0)),"¿Lote?"))</f>
        <v/>
      </c>
      <c r="E1585" s="11" t="str">
        <f aca="false">IF(C1585="","",IFERROR(INDEX(LOTES!$C$5:$C$1004,MATCH(C1585,LOTES!$F$5:$F$1004,0)),""))</f>
        <v/>
      </c>
      <c r="F1585" s="24" t="str">
        <f aca="false">IF(C1585="","",IFERROR(INDEX(LOTES!$B$5:$B$1004,MATCH(C1585,LOTES!$F$5:$F$1004,0)),""))</f>
        <v/>
      </c>
      <c r="G1585" s="15" t="str">
        <f aca="false">IF(OR(B1585="",F1585=""),"",B1585-F1585)</f>
        <v/>
      </c>
      <c r="H1585" s="13"/>
      <c r="I1585" s="13"/>
      <c r="J1585" s="13"/>
      <c r="K1585" s="25"/>
      <c r="L1585" s="25"/>
      <c r="M1585" s="25"/>
      <c r="N1585" s="25"/>
      <c r="O1585" s="26"/>
      <c r="P1585" s="16" t="str">
        <f aca="false">IF(O1585="","",IFERROR(1/(1/(IF(K1585="",INDEX(CONFIG!$F$5:$F$14,MATCH(D1585,CONFIG!$D$5:$D$14,0)),K1585)*IF(M1585="",INDEX(CONFIG!$H$5:$H$14,MATCH(D1585,CONFIG!$D$5:$D$14,0)),M1585))),""))</f>
        <v/>
      </c>
      <c r="Q1585" s="16" t="str">
        <f aca="false">IF(OR(O1585="",P1585=""),"",O1585/P1585)</f>
        <v/>
      </c>
      <c r="R1585" s="16" t="str">
        <f aca="false">IF(Q1585="","",Q1585*0.0980665)</f>
        <v/>
      </c>
      <c r="S1585" s="16" t="str">
        <f aca="false">IF(Q1585="","",IFERROR(Q1585/(1/(1/INDEX(CONFIG!$I$5:$I$14,MATCH(D1585,CONFIG!$D$5:$D$14,0)))),""))</f>
        <v/>
      </c>
      <c r="T1585" s="13"/>
      <c r="U1585" s="13"/>
      <c r="V1585" s="13"/>
      <c r="W1585" s="13"/>
      <c r="X1585" s="22" t="str">
        <f aca="false">IF(Q1585="","",Q1585^2)</f>
        <v/>
      </c>
      <c r="Y1585" s="22" t="str">
        <f aca="false">IF(AND(C1585&lt;&gt;"",C1585=CERTIFICADO!$E$4,OR(CERTIFICADO!$E$5="",B1585=CERTIFICADO!$E$5)),MAX($Y$4:Y1584)+1,"")</f>
        <v/>
      </c>
    </row>
    <row r="1586" customFormat="false" ht="15" hidden="false" customHeight="false" outlineLevel="0" collapsed="false">
      <c r="A1586" s="11" t="str">
        <f aca="false">IF(C1586="","",ROW()-4)</f>
        <v/>
      </c>
      <c r="B1586" s="12"/>
      <c r="C1586" s="13"/>
      <c r="D1586" s="23" t="str">
        <f aca="false">IF(C1586="","",IFERROR(INDEX(LOTES!$D$5:$D$1004,MATCH(C1586,LOTES!$F$5:$F$1004,0)),"¿Lote?"))</f>
        <v/>
      </c>
      <c r="E1586" s="11" t="str">
        <f aca="false">IF(C1586="","",IFERROR(INDEX(LOTES!$C$5:$C$1004,MATCH(C1586,LOTES!$F$5:$F$1004,0)),""))</f>
        <v/>
      </c>
      <c r="F1586" s="24" t="str">
        <f aca="false">IF(C1586="","",IFERROR(INDEX(LOTES!$B$5:$B$1004,MATCH(C1586,LOTES!$F$5:$F$1004,0)),""))</f>
        <v/>
      </c>
      <c r="G1586" s="15" t="str">
        <f aca="false">IF(OR(B1586="",F1586=""),"",B1586-F1586)</f>
        <v/>
      </c>
      <c r="H1586" s="13"/>
      <c r="I1586" s="13"/>
      <c r="J1586" s="13"/>
      <c r="K1586" s="25"/>
      <c r="L1586" s="25"/>
      <c r="M1586" s="25"/>
      <c r="N1586" s="25"/>
      <c r="O1586" s="26"/>
      <c r="P1586" s="16" t="str">
        <f aca="false">IF(O1586="","",IFERROR(1/(1/(IF(K1586="",INDEX(CONFIG!$F$5:$F$14,MATCH(D1586,CONFIG!$D$5:$D$14,0)),K1586)*IF(M1586="",INDEX(CONFIG!$H$5:$H$14,MATCH(D1586,CONFIG!$D$5:$D$14,0)),M1586))),""))</f>
        <v/>
      </c>
      <c r="Q1586" s="16" t="str">
        <f aca="false">IF(OR(O1586="",P1586=""),"",O1586/P1586)</f>
        <v/>
      </c>
      <c r="R1586" s="16" t="str">
        <f aca="false">IF(Q1586="","",Q1586*0.0980665)</f>
        <v/>
      </c>
      <c r="S1586" s="16" t="str">
        <f aca="false">IF(Q1586="","",IFERROR(Q1586/(1/(1/INDEX(CONFIG!$I$5:$I$14,MATCH(D1586,CONFIG!$D$5:$D$14,0)))),""))</f>
        <v/>
      </c>
      <c r="T1586" s="13"/>
      <c r="U1586" s="13"/>
      <c r="V1586" s="13"/>
      <c r="W1586" s="13"/>
      <c r="X1586" s="22" t="str">
        <f aca="false">IF(Q1586="","",Q1586^2)</f>
        <v/>
      </c>
      <c r="Y1586" s="22" t="str">
        <f aca="false">IF(AND(C1586&lt;&gt;"",C1586=CERTIFICADO!$E$4,OR(CERTIFICADO!$E$5="",B1586=CERTIFICADO!$E$5)),MAX($Y$4:Y1585)+1,"")</f>
        <v/>
      </c>
    </row>
    <row r="1587" customFormat="false" ht="15" hidden="false" customHeight="false" outlineLevel="0" collapsed="false">
      <c r="A1587" s="11" t="str">
        <f aca="false">IF(C1587="","",ROW()-4)</f>
        <v/>
      </c>
      <c r="B1587" s="12"/>
      <c r="C1587" s="13"/>
      <c r="D1587" s="23" t="str">
        <f aca="false">IF(C1587="","",IFERROR(INDEX(LOTES!$D$5:$D$1004,MATCH(C1587,LOTES!$F$5:$F$1004,0)),"¿Lote?"))</f>
        <v/>
      </c>
      <c r="E1587" s="11" t="str">
        <f aca="false">IF(C1587="","",IFERROR(INDEX(LOTES!$C$5:$C$1004,MATCH(C1587,LOTES!$F$5:$F$1004,0)),""))</f>
        <v/>
      </c>
      <c r="F1587" s="24" t="str">
        <f aca="false">IF(C1587="","",IFERROR(INDEX(LOTES!$B$5:$B$1004,MATCH(C1587,LOTES!$F$5:$F$1004,0)),""))</f>
        <v/>
      </c>
      <c r="G1587" s="15" t="str">
        <f aca="false">IF(OR(B1587="",F1587=""),"",B1587-F1587)</f>
        <v/>
      </c>
      <c r="H1587" s="13"/>
      <c r="I1587" s="13"/>
      <c r="J1587" s="13"/>
      <c r="K1587" s="25"/>
      <c r="L1587" s="25"/>
      <c r="M1587" s="25"/>
      <c r="N1587" s="25"/>
      <c r="O1587" s="26"/>
      <c r="P1587" s="16" t="str">
        <f aca="false">IF(O1587="","",IFERROR(1/(1/(IF(K1587="",INDEX(CONFIG!$F$5:$F$14,MATCH(D1587,CONFIG!$D$5:$D$14,0)),K1587)*IF(M1587="",INDEX(CONFIG!$H$5:$H$14,MATCH(D1587,CONFIG!$D$5:$D$14,0)),M1587))),""))</f>
        <v/>
      </c>
      <c r="Q1587" s="16" t="str">
        <f aca="false">IF(OR(O1587="",P1587=""),"",O1587/P1587)</f>
        <v/>
      </c>
      <c r="R1587" s="16" t="str">
        <f aca="false">IF(Q1587="","",Q1587*0.0980665)</f>
        <v/>
      </c>
      <c r="S1587" s="16" t="str">
        <f aca="false">IF(Q1587="","",IFERROR(Q1587/(1/(1/INDEX(CONFIG!$I$5:$I$14,MATCH(D1587,CONFIG!$D$5:$D$14,0)))),""))</f>
        <v/>
      </c>
      <c r="T1587" s="13"/>
      <c r="U1587" s="13"/>
      <c r="V1587" s="13"/>
      <c r="W1587" s="13"/>
      <c r="X1587" s="22" t="str">
        <f aca="false">IF(Q1587="","",Q1587^2)</f>
        <v/>
      </c>
      <c r="Y1587" s="22" t="str">
        <f aca="false">IF(AND(C1587&lt;&gt;"",C1587=CERTIFICADO!$E$4,OR(CERTIFICADO!$E$5="",B1587=CERTIFICADO!$E$5)),MAX($Y$4:Y1586)+1,"")</f>
        <v/>
      </c>
    </row>
    <row r="1588" customFormat="false" ht="15" hidden="false" customHeight="false" outlineLevel="0" collapsed="false">
      <c r="A1588" s="11" t="str">
        <f aca="false">IF(C1588="","",ROW()-4)</f>
        <v/>
      </c>
      <c r="B1588" s="12"/>
      <c r="C1588" s="13"/>
      <c r="D1588" s="23" t="str">
        <f aca="false">IF(C1588="","",IFERROR(INDEX(LOTES!$D$5:$D$1004,MATCH(C1588,LOTES!$F$5:$F$1004,0)),"¿Lote?"))</f>
        <v/>
      </c>
      <c r="E1588" s="11" t="str">
        <f aca="false">IF(C1588="","",IFERROR(INDEX(LOTES!$C$5:$C$1004,MATCH(C1588,LOTES!$F$5:$F$1004,0)),""))</f>
        <v/>
      </c>
      <c r="F1588" s="24" t="str">
        <f aca="false">IF(C1588="","",IFERROR(INDEX(LOTES!$B$5:$B$1004,MATCH(C1588,LOTES!$F$5:$F$1004,0)),""))</f>
        <v/>
      </c>
      <c r="G1588" s="15" t="str">
        <f aca="false">IF(OR(B1588="",F1588=""),"",B1588-F1588)</f>
        <v/>
      </c>
      <c r="H1588" s="13"/>
      <c r="I1588" s="13"/>
      <c r="J1588" s="13"/>
      <c r="K1588" s="25"/>
      <c r="L1588" s="25"/>
      <c r="M1588" s="25"/>
      <c r="N1588" s="25"/>
      <c r="O1588" s="26"/>
      <c r="P1588" s="16" t="str">
        <f aca="false">IF(O1588="","",IFERROR(1/(1/(IF(K1588="",INDEX(CONFIG!$F$5:$F$14,MATCH(D1588,CONFIG!$D$5:$D$14,0)),K1588)*IF(M1588="",INDEX(CONFIG!$H$5:$H$14,MATCH(D1588,CONFIG!$D$5:$D$14,0)),M1588))),""))</f>
        <v/>
      </c>
      <c r="Q1588" s="16" t="str">
        <f aca="false">IF(OR(O1588="",P1588=""),"",O1588/P1588)</f>
        <v/>
      </c>
      <c r="R1588" s="16" t="str">
        <f aca="false">IF(Q1588="","",Q1588*0.0980665)</f>
        <v/>
      </c>
      <c r="S1588" s="16" t="str">
        <f aca="false">IF(Q1588="","",IFERROR(Q1588/(1/(1/INDEX(CONFIG!$I$5:$I$14,MATCH(D1588,CONFIG!$D$5:$D$14,0)))),""))</f>
        <v/>
      </c>
      <c r="T1588" s="13"/>
      <c r="U1588" s="13"/>
      <c r="V1588" s="13"/>
      <c r="W1588" s="13"/>
      <c r="X1588" s="22" t="str">
        <f aca="false">IF(Q1588="","",Q1588^2)</f>
        <v/>
      </c>
      <c r="Y1588" s="22" t="str">
        <f aca="false">IF(AND(C1588&lt;&gt;"",C1588=CERTIFICADO!$E$4,OR(CERTIFICADO!$E$5="",B1588=CERTIFICADO!$E$5)),MAX($Y$4:Y1587)+1,"")</f>
        <v/>
      </c>
    </row>
    <row r="1589" customFormat="false" ht="15" hidden="false" customHeight="false" outlineLevel="0" collapsed="false">
      <c r="A1589" s="11" t="str">
        <f aca="false">IF(C1589="","",ROW()-4)</f>
        <v/>
      </c>
      <c r="B1589" s="12"/>
      <c r="C1589" s="13"/>
      <c r="D1589" s="23" t="str">
        <f aca="false">IF(C1589="","",IFERROR(INDEX(LOTES!$D$5:$D$1004,MATCH(C1589,LOTES!$F$5:$F$1004,0)),"¿Lote?"))</f>
        <v/>
      </c>
      <c r="E1589" s="11" t="str">
        <f aca="false">IF(C1589="","",IFERROR(INDEX(LOTES!$C$5:$C$1004,MATCH(C1589,LOTES!$F$5:$F$1004,0)),""))</f>
        <v/>
      </c>
      <c r="F1589" s="24" t="str">
        <f aca="false">IF(C1589="","",IFERROR(INDEX(LOTES!$B$5:$B$1004,MATCH(C1589,LOTES!$F$5:$F$1004,0)),""))</f>
        <v/>
      </c>
      <c r="G1589" s="15" t="str">
        <f aca="false">IF(OR(B1589="",F1589=""),"",B1589-F1589)</f>
        <v/>
      </c>
      <c r="H1589" s="13"/>
      <c r="I1589" s="13"/>
      <c r="J1589" s="13"/>
      <c r="K1589" s="25"/>
      <c r="L1589" s="25"/>
      <c r="M1589" s="25"/>
      <c r="N1589" s="25"/>
      <c r="O1589" s="26"/>
      <c r="P1589" s="16" t="str">
        <f aca="false">IF(O1589="","",IFERROR(1/(1/(IF(K1589="",INDEX(CONFIG!$F$5:$F$14,MATCH(D1589,CONFIG!$D$5:$D$14,0)),K1589)*IF(M1589="",INDEX(CONFIG!$H$5:$H$14,MATCH(D1589,CONFIG!$D$5:$D$14,0)),M1589))),""))</f>
        <v/>
      </c>
      <c r="Q1589" s="16" t="str">
        <f aca="false">IF(OR(O1589="",P1589=""),"",O1589/P1589)</f>
        <v/>
      </c>
      <c r="R1589" s="16" t="str">
        <f aca="false">IF(Q1589="","",Q1589*0.0980665)</f>
        <v/>
      </c>
      <c r="S1589" s="16" t="str">
        <f aca="false">IF(Q1589="","",IFERROR(Q1589/(1/(1/INDEX(CONFIG!$I$5:$I$14,MATCH(D1589,CONFIG!$D$5:$D$14,0)))),""))</f>
        <v/>
      </c>
      <c r="T1589" s="13"/>
      <c r="U1589" s="13"/>
      <c r="V1589" s="13"/>
      <c r="W1589" s="13"/>
      <c r="X1589" s="22" t="str">
        <f aca="false">IF(Q1589="","",Q1589^2)</f>
        <v/>
      </c>
      <c r="Y1589" s="22" t="str">
        <f aca="false">IF(AND(C1589&lt;&gt;"",C1589=CERTIFICADO!$E$4,OR(CERTIFICADO!$E$5="",B1589=CERTIFICADO!$E$5)),MAX($Y$4:Y1588)+1,"")</f>
        <v/>
      </c>
    </row>
    <row r="1590" customFormat="false" ht="15" hidden="false" customHeight="false" outlineLevel="0" collapsed="false">
      <c r="A1590" s="11" t="str">
        <f aca="false">IF(C1590="","",ROW()-4)</f>
        <v/>
      </c>
      <c r="B1590" s="12"/>
      <c r="C1590" s="13"/>
      <c r="D1590" s="23" t="str">
        <f aca="false">IF(C1590="","",IFERROR(INDEX(LOTES!$D$5:$D$1004,MATCH(C1590,LOTES!$F$5:$F$1004,0)),"¿Lote?"))</f>
        <v/>
      </c>
      <c r="E1590" s="11" t="str">
        <f aca="false">IF(C1590="","",IFERROR(INDEX(LOTES!$C$5:$C$1004,MATCH(C1590,LOTES!$F$5:$F$1004,0)),""))</f>
        <v/>
      </c>
      <c r="F1590" s="24" t="str">
        <f aca="false">IF(C1590="","",IFERROR(INDEX(LOTES!$B$5:$B$1004,MATCH(C1590,LOTES!$F$5:$F$1004,0)),""))</f>
        <v/>
      </c>
      <c r="G1590" s="15" t="str">
        <f aca="false">IF(OR(B1590="",F1590=""),"",B1590-F1590)</f>
        <v/>
      </c>
      <c r="H1590" s="13"/>
      <c r="I1590" s="13"/>
      <c r="J1590" s="13"/>
      <c r="K1590" s="25"/>
      <c r="L1590" s="25"/>
      <c r="M1590" s="25"/>
      <c r="N1590" s="25"/>
      <c r="O1590" s="26"/>
      <c r="P1590" s="16" t="str">
        <f aca="false">IF(O1590="","",IFERROR(1/(1/(IF(K1590="",INDEX(CONFIG!$F$5:$F$14,MATCH(D1590,CONFIG!$D$5:$D$14,0)),K1590)*IF(M1590="",INDEX(CONFIG!$H$5:$H$14,MATCH(D1590,CONFIG!$D$5:$D$14,0)),M1590))),""))</f>
        <v/>
      </c>
      <c r="Q1590" s="16" t="str">
        <f aca="false">IF(OR(O1590="",P1590=""),"",O1590/P1590)</f>
        <v/>
      </c>
      <c r="R1590" s="16" t="str">
        <f aca="false">IF(Q1590="","",Q1590*0.0980665)</f>
        <v/>
      </c>
      <c r="S1590" s="16" t="str">
        <f aca="false">IF(Q1590="","",IFERROR(Q1590/(1/(1/INDEX(CONFIG!$I$5:$I$14,MATCH(D1590,CONFIG!$D$5:$D$14,0)))),""))</f>
        <v/>
      </c>
      <c r="T1590" s="13"/>
      <c r="U1590" s="13"/>
      <c r="V1590" s="13"/>
      <c r="W1590" s="13"/>
      <c r="X1590" s="22" t="str">
        <f aca="false">IF(Q1590="","",Q1590^2)</f>
        <v/>
      </c>
      <c r="Y1590" s="22" t="str">
        <f aca="false">IF(AND(C1590&lt;&gt;"",C1590=CERTIFICADO!$E$4,OR(CERTIFICADO!$E$5="",B1590=CERTIFICADO!$E$5)),MAX($Y$4:Y1589)+1,"")</f>
        <v/>
      </c>
    </row>
    <row r="1591" customFormat="false" ht="15" hidden="false" customHeight="false" outlineLevel="0" collapsed="false">
      <c r="A1591" s="11" t="str">
        <f aca="false">IF(C1591="","",ROW()-4)</f>
        <v/>
      </c>
      <c r="B1591" s="12"/>
      <c r="C1591" s="13"/>
      <c r="D1591" s="23" t="str">
        <f aca="false">IF(C1591="","",IFERROR(INDEX(LOTES!$D$5:$D$1004,MATCH(C1591,LOTES!$F$5:$F$1004,0)),"¿Lote?"))</f>
        <v/>
      </c>
      <c r="E1591" s="11" t="str">
        <f aca="false">IF(C1591="","",IFERROR(INDEX(LOTES!$C$5:$C$1004,MATCH(C1591,LOTES!$F$5:$F$1004,0)),""))</f>
        <v/>
      </c>
      <c r="F1591" s="24" t="str">
        <f aca="false">IF(C1591="","",IFERROR(INDEX(LOTES!$B$5:$B$1004,MATCH(C1591,LOTES!$F$5:$F$1004,0)),""))</f>
        <v/>
      </c>
      <c r="G1591" s="15" t="str">
        <f aca="false">IF(OR(B1591="",F1591=""),"",B1591-F1591)</f>
        <v/>
      </c>
      <c r="H1591" s="13"/>
      <c r="I1591" s="13"/>
      <c r="J1591" s="13"/>
      <c r="K1591" s="25"/>
      <c r="L1591" s="25"/>
      <c r="M1591" s="25"/>
      <c r="N1591" s="25"/>
      <c r="O1591" s="26"/>
      <c r="P1591" s="16" t="str">
        <f aca="false">IF(O1591="","",IFERROR(1/(1/(IF(K1591="",INDEX(CONFIG!$F$5:$F$14,MATCH(D1591,CONFIG!$D$5:$D$14,0)),K1591)*IF(M1591="",INDEX(CONFIG!$H$5:$H$14,MATCH(D1591,CONFIG!$D$5:$D$14,0)),M1591))),""))</f>
        <v/>
      </c>
      <c r="Q1591" s="16" t="str">
        <f aca="false">IF(OR(O1591="",P1591=""),"",O1591/P1591)</f>
        <v/>
      </c>
      <c r="R1591" s="16" t="str">
        <f aca="false">IF(Q1591="","",Q1591*0.0980665)</f>
        <v/>
      </c>
      <c r="S1591" s="16" t="str">
        <f aca="false">IF(Q1591="","",IFERROR(Q1591/(1/(1/INDEX(CONFIG!$I$5:$I$14,MATCH(D1591,CONFIG!$D$5:$D$14,0)))),""))</f>
        <v/>
      </c>
      <c r="T1591" s="13"/>
      <c r="U1591" s="13"/>
      <c r="V1591" s="13"/>
      <c r="W1591" s="13"/>
      <c r="X1591" s="22" t="str">
        <f aca="false">IF(Q1591="","",Q1591^2)</f>
        <v/>
      </c>
      <c r="Y1591" s="22" t="str">
        <f aca="false">IF(AND(C1591&lt;&gt;"",C1591=CERTIFICADO!$E$4,OR(CERTIFICADO!$E$5="",B1591=CERTIFICADO!$E$5)),MAX($Y$4:Y1590)+1,"")</f>
        <v/>
      </c>
    </row>
    <row r="1592" customFormat="false" ht="15" hidden="false" customHeight="false" outlineLevel="0" collapsed="false">
      <c r="A1592" s="11" t="str">
        <f aca="false">IF(C1592="","",ROW()-4)</f>
        <v/>
      </c>
      <c r="B1592" s="12"/>
      <c r="C1592" s="13"/>
      <c r="D1592" s="23" t="str">
        <f aca="false">IF(C1592="","",IFERROR(INDEX(LOTES!$D$5:$D$1004,MATCH(C1592,LOTES!$F$5:$F$1004,0)),"¿Lote?"))</f>
        <v/>
      </c>
      <c r="E1592" s="11" t="str">
        <f aca="false">IF(C1592="","",IFERROR(INDEX(LOTES!$C$5:$C$1004,MATCH(C1592,LOTES!$F$5:$F$1004,0)),""))</f>
        <v/>
      </c>
      <c r="F1592" s="24" t="str">
        <f aca="false">IF(C1592="","",IFERROR(INDEX(LOTES!$B$5:$B$1004,MATCH(C1592,LOTES!$F$5:$F$1004,0)),""))</f>
        <v/>
      </c>
      <c r="G1592" s="15" t="str">
        <f aca="false">IF(OR(B1592="",F1592=""),"",B1592-F1592)</f>
        <v/>
      </c>
      <c r="H1592" s="13"/>
      <c r="I1592" s="13"/>
      <c r="J1592" s="13"/>
      <c r="K1592" s="25"/>
      <c r="L1592" s="25"/>
      <c r="M1592" s="25"/>
      <c r="N1592" s="25"/>
      <c r="O1592" s="26"/>
      <c r="P1592" s="16" t="str">
        <f aca="false">IF(O1592="","",IFERROR(1/(1/(IF(K1592="",INDEX(CONFIG!$F$5:$F$14,MATCH(D1592,CONFIG!$D$5:$D$14,0)),K1592)*IF(M1592="",INDEX(CONFIG!$H$5:$H$14,MATCH(D1592,CONFIG!$D$5:$D$14,0)),M1592))),""))</f>
        <v/>
      </c>
      <c r="Q1592" s="16" t="str">
        <f aca="false">IF(OR(O1592="",P1592=""),"",O1592/P1592)</f>
        <v/>
      </c>
      <c r="R1592" s="16" t="str">
        <f aca="false">IF(Q1592="","",Q1592*0.0980665)</f>
        <v/>
      </c>
      <c r="S1592" s="16" t="str">
        <f aca="false">IF(Q1592="","",IFERROR(Q1592/(1/(1/INDEX(CONFIG!$I$5:$I$14,MATCH(D1592,CONFIG!$D$5:$D$14,0)))),""))</f>
        <v/>
      </c>
      <c r="T1592" s="13"/>
      <c r="U1592" s="13"/>
      <c r="V1592" s="13"/>
      <c r="W1592" s="13"/>
      <c r="X1592" s="22" t="str">
        <f aca="false">IF(Q1592="","",Q1592^2)</f>
        <v/>
      </c>
      <c r="Y1592" s="22" t="str">
        <f aca="false">IF(AND(C1592&lt;&gt;"",C1592=CERTIFICADO!$E$4,OR(CERTIFICADO!$E$5="",B1592=CERTIFICADO!$E$5)),MAX($Y$4:Y1591)+1,"")</f>
        <v/>
      </c>
    </row>
    <row r="1593" customFormat="false" ht="15" hidden="false" customHeight="false" outlineLevel="0" collapsed="false">
      <c r="A1593" s="11" t="str">
        <f aca="false">IF(C1593="","",ROW()-4)</f>
        <v/>
      </c>
      <c r="B1593" s="12"/>
      <c r="C1593" s="13"/>
      <c r="D1593" s="23" t="str">
        <f aca="false">IF(C1593="","",IFERROR(INDEX(LOTES!$D$5:$D$1004,MATCH(C1593,LOTES!$F$5:$F$1004,0)),"¿Lote?"))</f>
        <v/>
      </c>
      <c r="E1593" s="11" t="str">
        <f aca="false">IF(C1593="","",IFERROR(INDEX(LOTES!$C$5:$C$1004,MATCH(C1593,LOTES!$F$5:$F$1004,0)),""))</f>
        <v/>
      </c>
      <c r="F1593" s="24" t="str">
        <f aca="false">IF(C1593="","",IFERROR(INDEX(LOTES!$B$5:$B$1004,MATCH(C1593,LOTES!$F$5:$F$1004,0)),""))</f>
        <v/>
      </c>
      <c r="G1593" s="15" t="str">
        <f aca="false">IF(OR(B1593="",F1593=""),"",B1593-F1593)</f>
        <v/>
      </c>
      <c r="H1593" s="13"/>
      <c r="I1593" s="13"/>
      <c r="J1593" s="13"/>
      <c r="K1593" s="25"/>
      <c r="L1593" s="25"/>
      <c r="M1593" s="25"/>
      <c r="N1593" s="25"/>
      <c r="O1593" s="26"/>
      <c r="P1593" s="16" t="str">
        <f aca="false">IF(O1593="","",IFERROR(1/(1/(IF(K1593="",INDEX(CONFIG!$F$5:$F$14,MATCH(D1593,CONFIG!$D$5:$D$14,0)),K1593)*IF(M1593="",INDEX(CONFIG!$H$5:$H$14,MATCH(D1593,CONFIG!$D$5:$D$14,0)),M1593))),""))</f>
        <v/>
      </c>
      <c r="Q1593" s="16" t="str">
        <f aca="false">IF(OR(O1593="",P1593=""),"",O1593/P1593)</f>
        <v/>
      </c>
      <c r="R1593" s="16" t="str">
        <f aca="false">IF(Q1593="","",Q1593*0.0980665)</f>
        <v/>
      </c>
      <c r="S1593" s="16" t="str">
        <f aca="false">IF(Q1593="","",IFERROR(Q1593/(1/(1/INDEX(CONFIG!$I$5:$I$14,MATCH(D1593,CONFIG!$D$5:$D$14,0)))),""))</f>
        <v/>
      </c>
      <c r="T1593" s="13"/>
      <c r="U1593" s="13"/>
      <c r="V1593" s="13"/>
      <c r="W1593" s="13"/>
      <c r="X1593" s="22" t="str">
        <f aca="false">IF(Q1593="","",Q1593^2)</f>
        <v/>
      </c>
      <c r="Y1593" s="22" t="str">
        <f aca="false">IF(AND(C1593&lt;&gt;"",C1593=CERTIFICADO!$E$4,OR(CERTIFICADO!$E$5="",B1593=CERTIFICADO!$E$5)),MAX($Y$4:Y1592)+1,"")</f>
        <v/>
      </c>
    </row>
    <row r="1594" customFormat="false" ht="15" hidden="false" customHeight="false" outlineLevel="0" collapsed="false">
      <c r="A1594" s="11" t="str">
        <f aca="false">IF(C1594="","",ROW()-4)</f>
        <v/>
      </c>
      <c r="B1594" s="12"/>
      <c r="C1594" s="13"/>
      <c r="D1594" s="23" t="str">
        <f aca="false">IF(C1594="","",IFERROR(INDEX(LOTES!$D$5:$D$1004,MATCH(C1594,LOTES!$F$5:$F$1004,0)),"¿Lote?"))</f>
        <v/>
      </c>
      <c r="E1594" s="11" t="str">
        <f aca="false">IF(C1594="","",IFERROR(INDEX(LOTES!$C$5:$C$1004,MATCH(C1594,LOTES!$F$5:$F$1004,0)),""))</f>
        <v/>
      </c>
      <c r="F1594" s="24" t="str">
        <f aca="false">IF(C1594="","",IFERROR(INDEX(LOTES!$B$5:$B$1004,MATCH(C1594,LOTES!$F$5:$F$1004,0)),""))</f>
        <v/>
      </c>
      <c r="G1594" s="15" t="str">
        <f aca="false">IF(OR(B1594="",F1594=""),"",B1594-F1594)</f>
        <v/>
      </c>
      <c r="H1594" s="13"/>
      <c r="I1594" s="13"/>
      <c r="J1594" s="13"/>
      <c r="K1594" s="25"/>
      <c r="L1594" s="25"/>
      <c r="M1594" s="25"/>
      <c r="N1594" s="25"/>
      <c r="O1594" s="26"/>
      <c r="P1594" s="16" t="str">
        <f aca="false">IF(O1594="","",IFERROR(1/(1/(IF(K1594="",INDEX(CONFIG!$F$5:$F$14,MATCH(D1594,CONFIG!$D$5:$D$14,0)),K1594)*IF(M1594="",INDEX(CONFIG!$H$5:$H$14,MATCH(D1594,CONFIG!$D$5:$D$14,0)),M1594))),""))</f>
        <v/>
      </c>
      <c r="Q1594" s="16" t="str">
        <f aca="false">IF(OR(O1594="",P1594=""),"",O1594/P1594)</f>
        <v/>
      </c>
      <c r="R1594" s="16" t="str">
        <f aca="false">IF(Q1594="","",Q1594*0.0980665)</f>
        <v/>
      </c>
      <c r="S1594" s="16" t="str">
        <f aca="false">IF(Q1594="","",IFERROR(Q1594/(1/(1/INDEX(CONFIG!$I$5:$I$14,MATCH(D1594,CONFIG!$D$5:$D$14,0)))),""))</f>
        <v/>
      </c>
      <c r="T1594" s="13"/>
      <c r="U1594" s="13"/>
      <c r="V1594" s="13"/>
      <c r="W1594" s="13"/>
      <c r="X1594" s="22" t="str">
        <f aca="false">IF(Q1594="","",Q1594^2)</f>
        <v/>
      </c>
      <c r="Y1594" s="22" t="str">
        <f aca="false">IF(AND(C1594&lt;&gt;"",C1594=CERTIFICADO!$E$4,OR(CERTIFICADO!$E$5="",B1594=CERTIFICADO!$E$5)),MAX($Y$4:Y1593)+1,"")</f>
        <v/>
      </c>
    </row>
    <row r="1595" customFormat="false" ht="15" hidden="false" customHeight="false" outlineLevel="0" collapsed="false">
      <c r="A1595" s="11" t="str">
        <f aca="false">IF(C1595="","",ROW()-4)</f>
        <v/>
      </c>
      <c r="B1595" s="12"/>
      <c r="C1595" s="13"/>
      <c r="D1595" s="23" t="str">
        <f aca="false">IF(C1595="","",IFERROR(INDEX(LOTES!$D$5:$D$1004,MATCH(C1595,LOTES!$F$5:$F$1004,0)),"¿Lote?"))</f>
        <v/>
      </c>
      <c r="E1595" s="11" t="str">
        <f aca="false">IF(C1595="","",IFERROR(INDEX(LOTES!$C$5:$C$1004,MATCH(C1595,LOTES!$F$5:$F$1004,0)),""))</f>
        <v/>
      </c>
      <c r="F1595" s="24" t="str">
        <f aca="false">IF(C1595="","",IFERROR(INDEX(LOTES!$B$5:$B$1004,MATCH(C1595,LOTES!$F$5:$F$1004,0)),""))</f>
        <v/>
      </c>
      <c r="G1595" s="15" t="str">
        <f aca="false">IF(OR(B1595="",F1595=""),"",B1595-F1595)</f>
        <v/>
      </c>
      <c r="H1595" s="13"/>
      <c r="I1595" s="13"/>
      <c r="J1595" s="13"/>
      <c r="K1595" s="25"/>
      <c r="L1595" s="25"/>
      <c r="M1595" s="25"/>
      <c r="N1595" s="25"/>
      <c r="O1595" s="26"/>
      <c r="P1595" s="16" t="str">
        <f aca="false">IF(O1595="","",IFERROR(1/(1/(IF(K1595="",INDEX(CONFIG!$F$5:$F$14,MATCH(D1595,CONFIG!$D$5:$D$14,0)),K1595)*IF(M1595="",INDEX(CONFIG!$H$5:$H$14,MATCH(D1595,CONFIG!$D$5:$D$14,0)),M1595))),""))</f>
        <v/>
      </c>
      <c r="Q1595" s="16" t="str">
        <f aca="false">IF(OR(O1595="",P1595=""),"",O1595/P1595)</f>
        <v/>
      </c>
      <c r="R1595" s="16" t="str">
        <f aca="false">IF(Q1595="","",Q1595*0.0980665)</f>
        <v/>
      </c>
      <c r="S1595" s="16" t="str">
        <f aca="false">IF(Q1595="","",IFERROR(Q1595/(1/(1/INDEX(CONFIG!$I$5:$I$14,MATCH(D1595,CONFIG!$D$5:$D$14,0)))),""))</f>
        <v/>
      </c>
      <c r="T1595" s="13"/>
      <c r="U1595" s="13"/>
      <c r="V1595" s="13"/>
      <c r="W1595" s="13"/>
      <c r="X1595" s="22" t="str">
        <f aca="false">IF(Q1595="","",Q1595^2)</f>
        <v/>
      </c>
      <c r="Y1595" s="22" t="str">
        <f aca="false">IF(AND(C1595&lt;&gt;"",C1595=CERTIFICADO!$E$4,OR(CERTIFICADO!$E$5="",B1595=CERTIFICADO!$E$5)),MAX($Y$4:Y1594)+1,"")</f>
        <v/>
      </c>
    </row>
    <row r="1596" customFormat="false" ht="15" hidden="false" customHeight="false" outlineLevel="0" collapsed="false">
      <c r="A1596" s="11" t="str">
        <f aca="false">IF(C1596="","",ROW()-4)</f>
        <v/>
      </c>
      <c r="B1596" s="12"/>
      <c r="C1596" s="13"/>
      <c r="D1596" s="23" t="str">
        <f aca="false">IF(C1596="","",IFERROR(INDEX(LOTES!$D$5:$D$1004,MATCH(C1596,LOTES!$F$5:$F$1004,0)),"¿Lote?"))</f>
        <v/>
      </c>
      <c r="E1596" s="11" t="str">
        <f aca="false">IF(C1596="","",IFERROR(INDEX(LOTES!$C$5:$C$1004,MATCH(C1596,LOTES!$F$5:$F$1004,0)),""))</f>
        <v/>
      </c>
      <c r="F1596" s="24" t="str">
        <f aca="false">IF(C1596="","",IFERROR(INDEX(LOTES!$B$5:$B$1004,MATCH(C1596,LOTES!$F$5:$F$1004,0)),""))</f>
        <v/>
      </c>
      <c r="G1596" s="15" t="str">
        <f aca="false">IF(OR(B1596="",F1596=""),"",B1596-F1596)</f>
        <v/>
      </c>
      <c r="H1596" s="13"/>
      <c r="I1596" s="13"/>
      <c r="J1596" s="13"/>
      <c r="K1596" s="25"/>
      <c r="L1596" s="25"/>
      <c r="M1596" s="25"/>
      <c r="N1596" s="25"/>
      <c r="O1596" s="26"/>
      <c r="P1596" s="16" t="str">
        <f aca="false">IF(O1596="","",IFERROR(1/(1/(IF(K1596="",INDEX(CONFIG!$F$5:$F$14,MATCH(D1596,CONFIG!$D$5:$D$14,0)),K1596)*IF(M1596="",INDEX(CONFIG!$H$5:$H$14,MATCH(D1596,CONFIG!$D$5:$D$14,0)),M1596))),""))</f>
        <v/>
      </c>
      <c r="Q1596" s="16" t="str">
        <f aca="false">IF(OR(O1596="",P1596=""),"",O1596/P1596)</f>
        <v/>
      </c>
      <c r="R1596" s="16" t="str">
        <f aca="false">IF(Q1596="","",Q1596*0.0980665)</f>
        <v/>
      </c>
      <c r="S1596" s="16" t="str">
        <f aca="false">IF(Q1596="","",IFERROR(Q1596/(1/(1/INDEX(CONFIG!$I$5:$I$14,MATCH(D1596,CONFIG!$D$5:$D$14,0)))),""))</f>
        <v/>
      </c>
      <c r="T1596" s="13"/>
      <c r="U1596" s="13"/>
      <c r="V1596" s="13"/>
      <c r="W1596" s="13"/>
      <c r="X1596" s="22" t="str">
        <f aca="false">IF(Q1596="","",Q1596^2)</f>
        <v/>
      </c>
      <c r="Y1596" s="22" t="str">
        <f aca="false">IF(AND(C1596&lt;&gt;"",C1596=CERTIFICADO!$E$4,OR(CERTIFICADO!$E$5="",B1596=CERTIFICADO!$E$5)),MAX($Y$4:Y1595)+1,"")</f>
        <v/>
      </c>
    </row>
    <row r="1597" customFormat="false" ht="15" hidden="false" customHeight="false" outlineLevel="0" collapsed="false">
      <c r="A1597" s="11" t="str">
        <f aca="false">IF(C1597="","",ROW()-4)</f>
        <v/>
      </c>
      <c r="B1597" s="12"/>
      <c r="C1597" s="13"/>
      <c r="D1597" s="23" t="str">
        <f aca="false">IF(C1597="","",IFERROR(INDEX(LOTES!$D$5:$D$1004,MATCH(C1597,LOTES!$F$5:$F$1004,0)),"¿Lote?"))</f>
        <v/>
      </c>
      <c r="E1597" s="11" t="str">
        <f aca="false">IF(C1597="","",IFERROR(INDEX(LOTES!$C$5:$C$1004,MATCH(C1597,LOTES!$F$5:$F$1004,0)),""))</f>
        <v/>
      </c>
      <c r="F1597" s="24" t="str">
        <f aca="false">IF(C1597="","",IFERROR(INDEX(LOTES!$B$5:$B$1004,MATCH(C1597,LOTES!$F$5:$F$1004,0)),""))</f>
        <v/>
      </c>
      <c r="G1597" s="15" t="str">
        <f aca="false">IF(OR(B1597="",F1597=""),"",B1597-F1597)</f>
        <v/>
      </c>
      <c r="H1597" s="13"/>
      <c r="I1597" s="13"/>
      <c r="J1597" s="13"/>
      <c r="K1597" s="25"/>
      <c r="L1597" s="25"/>
      <c r="M1597" s="25"/>
      <c r="N1597" s="25"/>
      <c r="O1597" s="26"/>
      <c r="P1597" s="16" t="str">
        <f aca="false">IF(O1597="","",IFERROR(1/(1/(IF(K1597="",INDEX(CONFIG!$F$5:$F$14,MATCH(D1597,CONFIG!$D$5:$D$14,0)),K1597)*IF(M1597="",INDEX(CONFIG!$H$5:$H$14,MATCH(D1597,CONFIG!$D$5:$D$14,0)),M1597))),""))</f>
        <v/>
      </c>
      <c r="Q1597" s="16" t="str">
        <f aca="false">IF(OR(O1597="",P1597=""),"",O1597/P1597)</f>
        <v/>
      </c>
      <c r="R1597" s="16" t="str">
        <f aca="false">IF(Q1597="","",Q1597*0.0980665)</f>
        <v/>
      </c>
      <c r="S1597" s="16" t="str">
        <f aca="false">IF(Q1597="","",IFERROR(Q1597/(1/(1/INDEX(CONFIG!$I$5:$I$14,MATCH(D1597,CONFIG!$D$5:$D$14,0)))),""))</f>
        <v/>
      </c>
      <c r="T1597" s="13"/>
      <c r="U1597" s="13"/>
      <c r="V1597" s="13"/>
      <c r="W1597" s="13"/>
      <c r="X1597" s="22" t="str">
        <f aca="false">IF(Q1597="","",Q1597^2)</f>
        <v/>
      </c>
      <c r="Y1597" s="22" t="str">
        <f aca="false">IF(AND(C1597&lt;&gt;"",C1597=CERTIFICADO!$E$4,OR(CERTIFICADO!$E$5="",B1597=CERTIFICADO!$E$5)),MAX($Y$4:Y1596)+1,"")</f>
        <v/>
      </c>
    </row>
    <row r="1598" customFormat="false" ht="15" hidden="false" customHeight="false" outlineLevel="0" collapsed="false">
      <c r="A1598" s="11" t="str">
        <f aca="false">IF(C1598="","",ROW()-4)</f>
        <v/>
      </c>
      <c r="B1598" s="12"/>
      <c r="C1598" s="13"/>
      <c r="D1598" s="23" t="str">
        <f aca="false">IF(C1598="","",IFERROR(INDEX(LOTES!$D$5:$D$1004,MATCH(C1598,LOTES!$F$5:$F$1004,0)),"¿Lote?"))</f>
        <v/>
      </c>
      <c r="E1598" s="11" t="str">
        <f aca="false">IF(C1598="","",IFERROR(INDEX(LOTES!$C$5:$C$1004,MATCH(C1598,LOTES!$F$5:$F$1004,0)),""))</f>
        <v/>
      </c>
      <c r="F1598" s="24" t="str">
        <f aca="false">IF(C1598="","",IFERROR(INDEX(LOTES!$B$5:$B$1004,MATCH(C1598,LOTES!$F$5:$F$1004,0)),""))</f>
        <v/>
      </c>
      <c r="G1598" s="15" t="str">
        <f aca="false">IF(OR(B1598="",F1598=""),"",B1598-F1598)</f>
        <v/>
      </c>
      <c r="H1598" s="13"/>
      <c r="I1598" s="13"/>
      <c r="J1598" s="13"/>
      <c r="K1598" s="25"/>
      <c r="L1598" s="25"/>
      <c r="M1598" s="25"/>
      <c r="N1598" s="25"/>
      <c r="O1598" s="26"/>
      <c r="P1598" s="16" t="str">
        <f aca="false">IF(O1598="","",IFERROR(1/(1/(IF(K1598="",INDEX(CONFIG!$F$5:$F$14,MATCH(D1598,CONFIG!$D$5:$D$14,0)),K1598)*IF(M1598="",INDEX(CONFIG!$H$5:$H$14,MATCH(D1598,CONFIG!$D$5:$D$14,0)),M1598))),""))</f>
        <v/>
      </c>
      <c r="Q1598" s="16" t="str">
        <f aca="false">IF(OR(O1598="",P1598=""),"",O1598/P1598)</f>
        <v/>
      </c>
      <c r="R1598" s="16" t="str">
        <f aca="false">IF(Q1598="","",Q1598*0.0980665)</f>
        <v/>
      </c>
      <c r="S1598" s="16" t="str">
        <f aca="false">IF(Q1598="","",IFERROR(Q1598/(1/(1/INDEX(CONFIG!$I$5:$I$14,MATCH(D1598,CONFIG!$D$5:$D$14,0)))),""))</f>
        <v/>
      </c>
      <c r="T1598" s="13"/>
      <c r="U1598" s="13"/>
      <c r="V1598" s="13"/>
      <c r="W1598" s="13"/>
      <c r="X1598" s="22" t="str">
        <f aca="false">IF(Q1598="","",Q1598^2)</f>
        <v/>
      </c>
      <c r="Y1598" s="22" t="str">
        <f aca="false">IF(AND(C1598&lt;&gt;"",C1598=CERTIFICADO!$E$4,OR(CERTIFICADO!$E$5="",B1598=CERTIFICADO!$E$5)),MAX($Y$4:Y1597)+1,"")</f>
        <v/>
      </c>
    </row>
    <row r="1599" customFormat="false" ht="15" hidden="false" customHeight="false" outlineLevel="0" collapsed="false">
      <c r="A1599" s="11" t="str">
        <f aca="false">IF(C1599="","",ROW()-4)</f>
        <v/>
      </c>
      <c r="B1599" s="12"/>
      <c r="C1599" s="13"/>
      <c r="D1599" s="23" t="str">
        <f aca="false">IF(C1599="","",IFERROR(INDEX(LOTES!$D$5:$D$1004,MATCH(C1599,LOTES!$F$5:$F$1004,0)),"¿Lote?"))</f>
        <v/>
      </c>
      <c r="E1599" s="11" t="str">
        <f aca="false">IF(C1599="","",IFERROR(INDEX(LOTES!$C$5:$C$1004,MATCH(C1599,LOTES!$F$5:$F$1004,0)),""))</f>
        <v/>
      </c>
      <c r="F1599" s="24" t="str">
        <f aca="false">IF(C1599="","",IFERROR(INDEX(LOTES!$B$5:$B$1004,MATCH(C1599,LOTES!$F$5:$F$1004,0)),""))</f>
        <v/>
      </c>
      <c r="G1599" s="15" t="str">
        <f aca="false">IF(OR(B1599="",F1599=""),"",B1599-F1599)</f>
        <v/>
      </c>
      <c r="H1599" s="13"/>
      <c r="I1599" s="13"/>
      <c r="J1599" s="13"/>
      <c r="K1599" s="25"/>
      <c r="L1599" s="25"/>
      <c r="M1599" s="25"/>
      <c r="N1599" s="25"/>
      <c r="O1599" s="26"/>
      <c r="P1599" s="16" t="str">
        <f aca="false">IF(O1599="","",IFERROR(1/(1/(IF(K1599="",INDEX(CONFIG!$F$5:$F$14,MATCH(D1599,CONFIG!$D$5:$D$14,0)),K1599)*IF(M1599="",INDEX(CONFIG!$H$5:$H$14,MATCH(D1599,CONFIG!$D$5:$D$14,0)),M1599))),""))</f>
        <v/>
      </c>
      <c r="Q1599" s="16" t="str">
        <f aca="false">IF(OR(O1599="",P1599=""),"",O1599/P1599)</f>
        <v/>
      </c>
      <c r="R1599" s="16" t="str">
        <f aca="false">IF(Q1599="","",Q1599*0.0980665)</f>
        <v/>
      </c>
      <c r="S1599" s="16" t="str">
        <f aca="false">IF(Q1599="","",IFERROR(Q1599/(1/(1/INDEX(CONFIG!$I$5:$I$14,MATCH(D1599,CONFIG!$D$5:$D$14,0)))),""))</f>
        <v/>
      </c>
      <c r="T1599" s="13"/>
      <c r="U1599" s="13"/>
      <c r="V1599" s="13"/>
      <c r="W1599" s="13"/>
      <c r="X1599" s="22" t="str">
        <f aca="false">IF(Q1599="","",Q1599^2)</f>
        <v/>
      </c>
      <c r="Y1599" s="22" t="str">
        <f aca="false">IF(AND(C1599&lt;&gt;"",C1599=CERTIFICADO!$E$4,OR(CERTIFICADO!$E$5="",B1599=CERTIFICADO!$E$5)),MAX($Y$4:Y1598)+1,"")</f>
        <v/>
      </c>
    </row>
    <row r="1600" customFormat="false" ht="15" hidden="false" customHeight="false" outlineLevel="0" collapsed="false">
      <c r="A1600" s="11" t="str">
        <f aca="false">IF(C1600="","",ROW()-4)</f>
        <v/>
      </c>
      <c r="B1600" s="12"/>
      <c r="C1600" s="13"/>
      <c r="D1600" s="23" t="str">
        <f aca="false">IF(C1600="","",IFERROR(INDEX(LOTES!$D$5:$D$1004,MATCH(C1600,LOTES!$F$5:$F$1004,0)),"¿Lote?"))</f>
        <v/>
      </c>
      <c r="E1600" s="11" t="str">
        <f aca="false">IF(C1600="","",IFERROR(INDEX(LOTES!$C$5:$C$1004,MATCH(C1600,LOTES!$F$5:$F$1004,0)),""))</f>
        <v/>
      </c>
      <c r="F1600" s="24" t="str">
        <f aca="false">IF(C1600="","",IFERROR(INDEX(LOTES!$B$5:$B$1004,MATCH(C1600,LOTES!$F$5:$F$1004,0)),""))</f>
        <v/>
      </c>
      <c r="G1600" s="15" t="str">
        <f aca="false">IF(OR(B1600="",F1600=""),"",B1600-F1600)</f>
        <v/>
      </c>
      <c r="H1600" s="13"/>
      <c r="I1600" s="13"/>
      <c r="J1600" s="13"/>
      <c r="K1600" s="25"/>
      <c r="L1600" s="25"/>
      <c r="M1600" s="25"/>
      <c r="N1600" s="25"/>
      <c r="O1600" s="26"/>
      <c r="P1600" s="16" t="str">
        <f aca="false">IF(O1600="","",IFERROR(1/(1/(IF(K1600="",INDEX(CONFIG!$F$5:$F$14,MATCH(D1600,CONFIG!$D$5:$D$14,0)),K1600)*IF(M1600="",INDEX(CONFIG!$H$5:$H$14,MATCH(D1600,CONFIG!$D$5:$D$14,0)),M1600))),""))</f>
        <v/>
      </c>
      <c r="Q1600" s="16" t="str">
        <f aca="false">IF(OR(O1600="",P1600=""),"",O1600/P1600)</f>
        <v/>
      </c>
      <c r="R1600" s="16" t="str">
        <f aca="false">IF(Q1600="","",Q1600*0.0980665)</f>
        <v/>
      </c>
      <c r="S1600" s="16" t="str">
        <f aca="false">IF(Q1600="","",IFERROR(Q1600/(1/(1/INDEX(CONFIG!$I$5:$I$14,MATCH(D1600,CONFIG!$D$5:$D$14,0)))),""))</f>
        <v/>
      </c>
      <c r="T1600" s="13"/>
      <c r="U1600" s="13"/>
      <c r="V1600" s="13"/>
      <c r="W1600" s="13"/>
      <c r="X1600" s="22" t="str">
        <f aca="false">IF(Q1600="","",Q1600^2)</f>
        <v/>
      </c>
      <c r="Y1600" s="22" t="str">
        <f aca="false">IF(AND(C1600&lt;&gt;"",C1600=CERTIFICADO!$E$4,OR(CERTIFICADO!$E$5="",B1600=CERTIFICADO!$E$5)),MAX($Y$4:Y1599)+1,"")</f>
        <v/>
      </c>
    </row>
    <row r="1601" customFormat="false" ht="15" hidden="false" customHeight="false" outlineLevel="0" collapsed="false">
      <c r="A1601" s="11" t="str">
        <f aca="false">IF(C1601="","",ROW()-4)</f>
        <v/>
      </c>
      <c r="B1601" s="12"/>
      <c r="C1601" s="13"/>
      <c r="D1601" s="23" t="str">
        <f aca="false">IF(C1601="","",IFERROR(INDEX(LOTES!$D$5:$D$1004,MATCH(C1601,LOTES!$F$5:$F$1004,0)),"¿Lote?"))</f>
        <v/>
      </c>
      <c r="E1601" s="11" t="str">
        <f aca="false">IF(C1601="","",IFERROR(INDEX(LOTES!$C$5:$C$1004,MATCH(C1601,LOTES!$F$5:$F$1004,0)),""))</f>
        <v/>
      </c>
      <c r="F1601" s="24" t="str">
        <f aca="false">IF(C1601="","",IFERROR(INDEX(LOTES!$B$5:$B$1004,MATCH(C1601,LOTES!$F$5:$F$1004,0)),""))</f>
        <v/>
      </c>
      <c r="G1601" s="15" t="str">
        <f aca="false">IF(OR(B1601="",F1601=""),"",B1601-F1601)</f>
        <v/>
      </c>
      <c r="H1601" s="13"/>
      <c r="I1601" s="13"/>
      <c r="J1601" s="13"/>
      <c r="K1601" s="25"/>
      <c r="L1601" s="25"/>
      <c r="M1601" s="25"/>
      <c r="N1601" s="25"/>
      <c r="O1601" s="26"/>
      <c r="P1601" s="16" t="str">
        <f aca="false">IF(O1601="","",IFERROR(1/(1/(IF(K1601="",INDEX(CONFIG!$F$5:$F$14,MATCH(D1601,CONFIG!$D$5:$D$14,0)),K1601)*IF(M1601="",INDEX(CONFIG!$H$5:$H$14,MATCH(D1601,CONFIG!$D$5:$D$14,0)),M1601))),""))</f>
        <v/>
      </c>
      <c r="Q1601" s="16" t="str">
        <f aca="false">IF(OR(O1601="",P1601=""),"",O1601/P1601)</f>
        <v/>
      </c>
      <c r="R1601" s="16" t="str">
        <f aca="false">IF(Q1601="","",Q1601*0.0980665)</f>
        <v/>
      </c>
      <c r="S1601" s="16" t="str">
        <f aca="false">IF(Q1601="","",IFERROR(Q1601/(1/(1/INDEX(CONFIG!$I$5:$I$14,MATCH(D1601,CONFIG!$D$5:$D$14,0)))),""))</f>
        <v/>
      </c>
      <c r="T1601" s="13"/>
      <c r="U1601" s="13"/>
      <c r="V1601" s="13"/>
      <c r="W1601" s="13"/>
      <c r="X1601" s="22" t="str">
        <f aca="false">IF(Q1601="","",Q1601^2)</f>
        <v/>
      </c>
      <c r="Y1601" s="22" t="str">
        <f aca="false">IF(AND(C1601&lt;&gt;"",C1601=CERTIFICADO!$E$4,OR(CERTIFICADO!$E$5="",B1601=CERTIFICADO!$E$5)),MAX($Y$4:Y1600)+1,"")</f>
        <v/>
      </c>
    </row>
    <row r="1602" customFormat="false" ht="15" hidden="false" customHeight="false" outlineLevel="0" collapsed="false">
      <c r="A1602" s="11" t="str">
        <f aca="false">IF(C1602="","",ROW()-4)</f>
        <v/>
      </c>
      <c r="B1602" s="12"/>
      <c r="C1602" s="13"/>
      <c r="D1602" s="23" t="str">
        <f aca="false">IF(C1602="","",IFERROR(INDEX(LOTES!$D$5:$D$1004,MATCH(C1602,LOTES!$F$5:$F$1004,0)),"¿Lote?"))</f>
        <v/>
      </c>
      <c r="E1602" s="11" t="str">
        <f aca="false">IF(C1602="","",IFERROR(INDEX(LOTES!$C$5:$C$1004,MATCH(C1602,LOTES!$F$5:$F$1004,0)),""))</f>
        <v/>
      </c>
      <c r="F1602" s="24" t="str">
        <f aca="false">IF(C1602="","",IFERROR(INDEX(LOTES!$B$5:$B$1004,MATCH(C1602,LOTES!$F$5:$F$1004,0)),""))</f>
        <v/>
      </c>
      <c r="G1602" s="15" t="str">
        <f aca="false">IF(OR(B1602="",F1602=""),"",B1602-F1602)</f>
        <v/>
      </c>
      <c r="H1602" s="13"/>
      <c r="I1602" s="13"/>
      <c r="J1602" s="13"/>
      <c r="K1602" s="25"/>
      <c r="L1602" s="25"/>
      <c r="M1602" s="25"/>
      <c r="N1602" s="25"/>
      <c r="O1602" s="26"/>
      <c r="P1602" s="16" t="str">
        <f aca="false">IF(O1602="","",IFERROR(1/(1/(IF(K1602="",INDEX(CONFIG!$F$5:$F$14,MATCH(D1602,CONFIG!$D$5:$D$14,0)),K1602)*IF(M1602="",INDEX(CONFIG!$H$5:$H$14,MATCH(D1602,CONFIG!$D$5:$D$14,0)),M1602))),""))</f>
        <v/>
      </c>
      <c r="Q1602" s="16" t="str">
        <f aca="false">IF(OR(O1602="",P1602=""),"",O1602/P1602)</f>
        <v/>
      </c>
      <c r="R1602" s="16" t="str">
        <f aca="false">IF(Q1602="","",Q1602*0.0980665)</f>
        <v/>
      </c>
      <c r="S1602" s="16" t="str">
        <f aca="false">IF(Q1602="","",IFERROR(Q1602/(1/(1/INDEX(CONFIG!$I$5:$I$14,MATCH(D1602,CONFIG!$D$5:$D$14,0)))),""))</f>
        <v/>
      </c>
      <c r="T1602" s="13"/>
      <c r="U1602" s="13"/>
      <c r="V1602" s="13"/>
      <c r="W1602" s="13"/>
      <c r="X1602" s="22" t="str">
        <f aca="false">IF(Q1602="","",Q1602^2)</f>
        <v/>
      </c>
      <c r="Y1602" s="22" t="str">
        <f aca="false">IF(AND(C1602&lt;&gt;"",C1602=CERTIFICADO!$E$4,OR(CERTIFICADO!$E$5="",B1602=CERTIFICADO!$E$5)),MAX($Y$4:Y1601)+1,"")</f>
        <v/>
      </c>
    </row>
    <row r="1603" customFormat="false" ht="15" hidden="false" customHeight="false" outlineLevel="0" collapsed="false">
      <c r="A1603" s="11" t="str">
        <f aca="false">IF(C1603="","",ROW()-4)</f>
        <v/>
      </c>
      <c r="B1603" s="12"/>
      <c r="C1603" s="13"/>
      <c r="D1603" s="23" t="str">
        <f aca="false">IF(C1603="","",IFERROR(INDEX(LOTES!$D$5:$D$1004,MATCH(C1603,LOTES!$F$5:$F$1004,0)),"¿Lote?"))</f>
        <v/>
      </c>
      <c r="E1603" s="11" t="str">
        <f aca="false">IF(C1603="","",IFERROR(INDEX(LOTES!$C$5:$C$1004,MATCH(C1603,LOTES!$F$5:$F$1004,0)),""))</f>
        <v/>
      </c>
      <c r="F1603" s="24" t="str">
        <f aca="false">IF(C1603="","",IFERROR(INDEX(LOTES!$B$5:$B$1004,MATCH(C1603,LOTES!$F$5:$F$1004,0)),""))</f>
        <v/>
      </c>
      <c r="G1603" s="15" t="str">
        <f aca="false">IF(OR(B1603="",F1603=""),"",B1603-F1603)</f>
        <v/>
      </c>
      <c r="H1603" s="13"/>
      <c r="I1603" s="13"/>
      <c r="J1603" s="13"/>
      <c r="K1603" s="25"/>
      <c r="L1603" s="25"/>
      <c r="M1603" s="25"/>
      <c r="N1603" s="25"/>
      <c r="O1603" s="26"/>
      <c r="P1603" s="16" t="str">
        <f aca="false">IF(O1603="","",IFERROR(1/(1/(IF(K1603="",INDEX(CONFIG!$F$5:$F$14,MATCH(D1603,CONFIG!$D$5:$D$14,0)),K1603)*IF(M1603="",INDEX(CONFIG!$H$5:$H$14,MATCH(D1603,CONFIG!$D$5:$D$14,0)),M1603))),""))</f>
        <v/>
      </c>
      <c r="Q1603" s="16" t="str">
        <f aca="false">IF(OR(O1603="",P1603=""),"",O1603/P1603)</f>
        <v/>
      </c>
      <c r="R1603" s="16" t="str">
        <f aca="false">IF(Q1603="","",Q1603*0.0980665)</f>
        <v/>
      </c>
      <c r="S1603" s="16" t="str">
        <f aca="false">IF(Q1603="","",IFERROR(Q1603/(1/(1/INDEX(CONFIG!$I$5:$I$14,MATCH(D1603,CONFIG!$D$5:$D$14,0)))),""))</f>
        <v/>
      </c>
      <c r="T1603" s="13"/>
      <c r="U1603" s="13"/>
      <c r="V1603" s="13"/>
      <c r="W1603" s="13"/>
      <c r="X1603" s="22" t="str">
        <f aca="false">IF(Q1603="","",Q1603^2)</f>
        <v/>
      </c>
      <c r="Y1603" s="22" t="str">
        <f aca="false">IF(AND(C1603&lt;&gt;"",C1603=CERTIFICADO!$E$4,OR(CERTIFICADO!$E$5="",B1603=CERTIFICADO!$E$5)),MAX($Y$4:Y1602)+1,"")</f>
        <v/>
      </c>
    </row>
    <row r="1604" customFormat="false" ht="15" hidden="false" customHeight="false" outlineLevel="0" collapsed="false">
      <c r="A1604" s="11" t="str">
        <f aca="false">IF(C1604="","",ROW()-4)</f>
        <v/>
      </c>
      <c r="B1604" s="12"/>
      <c r="C1604" s="13"/>
      <c r="D1604" s="23" t="str">
        <f aca="false">IF(C1604="","",IFERROR(INDEX(LOTES!$D$5:$D$1004,MATCH(C1604,LOTES!$F$5:$F$1004,0)),"¿Lote?"))</f>
        <v/>
      </c>
      <c r="E1604" s="11" t="str">
        <f aca="false">IF(C1604="","",IFERROR(INDEX(LOTES!$C$5:$C$1004,MATCH(C1604,LOTES!$F$5:$F$1004,0)),""))</f>
        <v/>
      </c>
      <c r="F1604" s="24" t="str">
        <f aca="false">IF(C1604="","",IFERROR(INDEX(LOTES!$B$5:$B$1004,MATCH(C1604,LOTES!$F$5:$F$1004,0)),""))</f>
        <v/>
      </c>
      <c r="G1604" s="15" t="str">
        <f aca="false">IF(OR(B1604="",F1604=""),"",B1604-F1604)</f>
        <v/>
      </c>
      <c r="H1604" s="13"/>
      <c r="I1604" s="13"/>
      <c r="J1604" s="13"/>
      <c r="K1604" s="25"/>
      <c r="L1604" s="25"/>
      <c r="M1604" s="25"/>
      <c r="N1604" s="25"/>
      <c r="O1604" s="26"/>
      <c r="P1604" s="16" t="str">
        <f aca="false">IF(O1604="","",IFERROR(1/(1/(IF(K1604="",INDEX(CONFIG!$F$5:$F$14,MATCH(D1604,CONFIG!$D$5:$D$14,0)),K1604)*IF(M1604="",INDEX(CONFIG!$H$5:$H$14,MATCH(D1604,CONFIG!$D$5:$D$14,0)),M1604))),""))</f>
        <v/>
      </c>
      <c r="Q1604" s="16" t="str">
        <f aca="false">IF(OR(O1604="",P1604=""),"",O1604/P1604)</f>
        <v/>
      </c>
      <c r="R1604" s="16" t="str">
        <f aca="false">IF(Q1604="","",Q1604*0.0980665)</f>
        <v/>
      </c>
      <c r="S1604" s="16" t="str">
        <f aca="false">IF(Q1604="","",IFERROR(Q1604/(1/(1/INDEX(CONFIG!$I$5:$I$14,MATCH(D1604,CONFIG!$D$5:$D$14,0)))),""))</f>
        <v/>
      </c>
      <c r="T1604" s="13"/>
      <c r="U1604" s="13"/>
      <c r="V1604" s="13"/>
      <c r="W1604" s="13"/>
      <c r="X1604" s="22" t="str">
        <f aca="false">IF(Q1604="","",Q1604^2)</f>
        <v/>
      </c>
      <c r="Y1604" s="22" t="str">
        <f aca="false">IF(AND(C1604&lt;&gt;"",C1604=CERTIFICADO!$E$4,OR(CERTIFICADO!$E$5="",B1604=CERTIFICADO!$E$5)),MAX($Y$4:Y1603)+1,"")</f>
        <v/>
      </c>
    </row>
    <row r="1605" customFormat="false" ht="15" hidden="false" customHeight="false" outlineLevel="0" collapsed="false">
      <c r="A1605" s="11" t="str">
        <f aca="false">IF(C1605="","",ROW()-4)</f>
        <v/>
      </c>
      <c r="B1605" s="12"/>
      <c r="C1605" s="13"/>
      <c r="D1605" s="23" t="str">
        <f aca="false">IF(C1605="","",IFERROR(INDEX(LOTES!$D$5:$D$1004,MATCH(C1605,LOTES!$F$5:$F$1004,0)),"¿Lote?"))</f>
        <v/>
      </c>
      <c r="E1605" s="11" t="str">
        <f aca="false">IF(C1605="","",IFERROR(INDEX(LOTES!$C$5:$C$1004,MATCH(C1605,LOTES!$F$5:$F$1004,0)),""))</f>
        <v/>
      </c>
      <c r="F1605" s="24" t="str">
        <f aca="false">IF(C1605="","",IFERROR(INDEX(LOTES!$B$5:$B$1004,MATCH(C1605,LOTES!$F$5:$F$1004,0)),""))</f>
        <v/>
      </c>
      <c r="G1605" s="15" t="str">
        <f aca="false">IF(OR(B1605="",F1605=""),"",B1605-F1605)</f>
        <v/>
      </c>
      <c r="H1605" s="13"/>
      <c r="I1605" s="13"/>
      <c r="J1605" s="13"/>
      <c r="K1605" s="25"/>
      <c r="L1605" s="25"/>
      <c r="M1605" s="25"/>
      <c r="N1605" s="25"/>
      <c r="O1605" s="26"/>
      <c r="P1605" s="16" t="str">
        <f aca="false">IF(O1605="","",IFERROR(1/(1/(IF(K1605="",INDEX(CONFIG!$F$5:$F$14,MATCH(D1605,CONFIG!$D$5:$D$14,0)),K1605)*IF(M1605="",INDEX(CONFIG!$H$5:$H$14,MATCH(D1605,CONFIG!$D$5:$D$14,0)),M1605))),""))</f>
        <v/>
      </c>
      <c r="Q1605" s="16" t="str">
        <f aca="false">IF(OR(O1605="",P1605=""),"",O1605/P1605)</f>
        <v/>
      </c>
      <c r="R1605" s="16" t="str">
        <f aca="false">IF(Q1605="","",Q1605*0.0980665)</f>
        <v/>
      </c>
      <c r="S1605" s="16" t="str">
        <f aca="false">IF(Q1605="","",IFERROR(Q1605/(1/(1/INDEX(CONFIG!$I$5:$I$14,MATCH(D1605,CONFIG!$D$5:$D$14,0)))),""))</f>
        <v/>
      </c>
      <c r="T1605" s="13"/>
      <c r="U1605" s="13"/>
      <c r="V1605" s="13"/>
      <c r="W1605" s="13"/>
      <c r="X1605" s="22" t="str">
        <f aca="false">IF(Q1605="","",Q1605^2)</f>
        <v/>
      </c>
      <c r="Y1605" s="22" t="str">
        <f aca="false">IF(AND(C1605&lt;&gt;"",C1605=CERTIFICADO!$E$4,OR(CERTIFICADO!$E$5="",B1605=CERTIFICADO!$E$5)),MAX($Y$4:Y1604)+1,"")</f>
        <v/>
      </c>
    </row>
    <row r="1606" customFormat="false" ht="15" hidden="false" customHeight="false" outlineLevel="0" collapsed="false">
      <c r="A1606" s="11" t="str">
        <f aca="false">IF(C1606="","",ROW()-4)</f>
        <v/>
      </c>
      <c r="B1606" s="12"/>
      <c r="C1606" s="13"/>
      <c r="D1606" s="23" t="str">
        <f aca="false">IF(C1606="","",IFERROR(INDEX(LOTES!$D$5:$D$1004,MATCH(C1606,LOTES!$F$5:$F$1004,0)),"¿Lote?"))</f>
        <v/>
      </c>
      <c r="E1606" s="11" t="str">
        <f aca="false">IF(C1606="","",IFERROR(INDEX(LOTES!$C$5:$C$1004,MATCH(C1606,LOTES!$F$5:$F$1004,0)),""))</f>
        <v/>
      </c>
      <c r="F1606" s="24" t="str">
        <f aca="false">IF(C1606="","",IFERROR(INDEX(LOTES!$B$5:$B$1004,MATCH(C1606,LOTES!$F$5:$F$1004,0)),""))</f>
        <v/>
      </c>
      <c r="G1606" s="15" t="str">
        <f aca="false">IF(OR(B1606="",F1606=""),"",B1606-F1606)</f>
        <v/>
      </c>
      <c r="H1606" s="13"/>
      <c r="I1606" s="13"/>
      <c r="J1606" s="13"/>
      <c r="K1606" s="25"/>
      <c r="L1606" s="25"/>
      <c r="M1606" s="25"/>
      <c r="N1606" s="25"/>
      <c r="O1606" s="26"/>
      <c r="P1606" s="16" t="str">
        <f aca="false">IF(O1606="","",IFERROR(1/(1/(IF(K1606="",INDEX(CONFIG!$F$5:$F$14,MATCH(D1606,CONFIG!$D$5:$D$14,0)),K1606)*IF(M1606="",INDEX(CONFIG!$H$5:$H$14,MATCH(D1606,CONFIG!$D$5:$D$14,0)),M1606))),""))</f>
        <v/>
      </c>
      <c r="Q1606" s="16" t="str">
        <f aca="false">IF(OR(O1606="",P1606=""),"",O1606/P1606)</f>
        <v/>
      </c>
      <c r="R1606" s="16" t="str">
        <f aca="false">IF(Q1606="","",Q1606*0.0980665)</f>
        <v/>
      </c>
      <c r="S1606" s="16" t="str">
        <f aca="false">IF(Q1606="","",IFERROR(Q1606/(1/(1/INDEX(CONFIG!$I$5:$I$14,MATCH(D1606,CONFIG!$D$5:$D$14,0)))),""))</f>
        <v/>
      </c>
      <c r="T1606" s="13"/>
      <c r="U1606" s="13"/>
      <c r="V1606" s="13"/>
      <c r="W1606" s="13"/>
      <c r="X1606" s="22" t="str">
        <f aca="false">IF(Q1606="","",Q1606^2)</f>
        <v/>
      </c>
      <c r="Y1606" s="22" t="str">
        <f aca="false">IF(AND(C1606&lt;&gt;"",C1606=CERTIFICADO!$E$4,OR(CERTIFICADO!$E$5="",B1606=CERTIFICADO!$E$5)),MAX($Y$4:Y1605)+1,"")</f>
        <v/>
      </c>
    </row>
    <row r="1607" customFormat="false" ht="15" hidden="false" customHeight="false" outlineLevel="0" collapsed="false">
      <c r="A1607" s="11" t="str">
        <f aca="false">IF(C1607="","",ROW()-4)</f>
        <v/>
      </c>
      <c r="B1607" s="12"/>
      <c r="C1607" s="13"/>
      <c r="D1607" s="23" t="str">
        <f aca="false">IF(C1607="","",IFERROR(INDEX(LOTES!$D$5:$D$1004,MATCH(C1607,LOTES!$F$5:$F$1004,0)),"¿Lote?"))</f>
        <v/>
      </c>
      <c r="E1607" s="11" t="str">
        <f aca="false">IF(C1607="","",IFERROR(INDEX(LOTES!$C$5:$C$1004,MATCH(C1607,LOTES!$F$5:$F$1004,0)),""))</f>
        <v/>
      </c>
      <c r="F1607" s="24" t="str">
        <f aca="false">IF(C1607="","",IFERROR(INDEX(LOTES!$B$5:$B$1004,MATCH(C1607,LOTES!$F$5:$F$1004,0)),""))</f>
        <v/>
      </c>
      <c r="G1607" s="15" t="str">
        <f aca="false">IF(OR(B1607="",F1607=""),"",B1607-F1607)</f>
        <v/>
      </c>
      <c r="H1607" s="13"/>
      <c r="I1607" s="13"/>
      <c r="J1607" s="13"/>
      <c r="K1607" s="25"/>
      <c r="L1607" s="25"/>
      <c r="M1607" s="25"/>
      <c r="N1607" s="25"/>
      <c r="O1607" s="26"/>
      <c r="P1607" s="16" t="str">
        <f aca="false">IF(O1607="","",IFERROR(1/(1/(IF(K1607="",INDEX(CONFIG!$F$5:$F$14,MATCH(D1607,CONFIG!$D$5:$D$14,0)),K1607)*IF(M1607="",INDEX(CONFIG!$H$5:$H$14,MATCH(D1607,CONFIG!$D$5:$D$14,0)),M1607))),""))</f>
        <v/>
      </c>
      <c r="Q1607" s="16" t="str">
        <f aca="false">IF(OR(O1607="",P1607=""),"",O1607/P1607)</f>
        <v/>
      </c>
      <c r="R1607" s="16" t="str">
        <f aca="false">IF(Q1607="","",Q1607*0.0980665)</f>
        <v/>
      </c>
      <c r="S1607" s="16" t="str">
        <f aca="false">IF(Q1607="","",IFERROR(Q1607/(1/(1/INDEX(CONFIG!$I$5:$I$14,MATCH(D1607,CONFIG!$D$5:$D$14,0)))),""))</f>
        <v/>
      </c>
      <c r="T1607" s="13"/>
      <c r="U1607" s="13"/>
      <c r="V1607" s="13"/>
      <c r="W1607" s="13"/>
      <c r="X1607" s="22" t="str">
        <f aca="false">IF(Q1607="","",Q1607^2)</f>
        <v/>
      </c>
      <c r="Y1607" s="22" t="str">
        <f aca="false">IF(AND(C1607&lt;&gt;"",C1607=CERTIFICADO!$E$4,OR(CERTIFICADO!$E$5="",B1607=CERTIFICADO!$E$5)),MAX($Y$4:Y1606)+1,"")</f>
        <v/>
      </c>
    </row>
    <row r="1608" customFormat="false" ht="15" hidden="false" customHeight="false" outlineLevel="0" collapsed="false">
      <c r="A1608" s="11" t="str">
        <f aca="false">IF(C1608="","",ROW()-4)</f>
        <v/>
      </c>
      <c r="B1608" s="12"/>
      <c r="C1608" s="13"/>
      <c r="D1608" s="23" t="str">
        <f aca="false">IF(C1608="","",IFERROR(INDEX(LOTES!$D$5:$D$1004,MATCH(C1608,LOTES!$F$5:$F$1004,0)),"¿Lote?"))</f>
        <v/>
      </c>
      <c r="E1608" s="11" t="str">
        <f aca="false">IF(C1608="","",IFERROR(INDEX(LOTES!$C$5:$C$1004,MATCH(C1608,LOTES!$F$5:$F$1004,0)),""))</f>
        <v/>
      </c>
      <c r="F1608" s="24" t="str">
        <f aca="false">IF(C1608="","",IFERROR(INDEX(LOTES!$B$5:$B$1004,MATCH(C1608,LOTES!$F$5:$F$1004,0)),""))</f>
        <v/>
      </c>
      <c r="G1608" s="15" t="str">
        <f aca="false">IF(OR(B1608="",F1608=""),"",B1608-F1608)</f>
        <v/>
      </c>
      <c r="H1608" s="13"/>
      <c r="I1608" s="13"/>
      <c r="J1608" s="13"/>
      <c r="K1608" s="25"/>
      <c r="L1608" s="25"/>
      <c r="M1608" s="25"/>
      <c r="N1608" s="25"/>
      <c r="O1608" s="26"/>
      <c r="P1608" s="16" t="str">
        <f aca="false">IF(O1608="","",IFERROR(1/(1/(IF(K1608="",INDEX(CONFIG!$F$5:$F$14,MATCH(D1608,CONFIG!$D$5:$D$14,0)),K1608)*IF(M1608="",INDEX(CONFIG!$H$5:$H$14,MATCH(D1608,CONFIG!$D$5:$D$14,0)),M1608))),""))</f>
        <v/>
      </c>
      <c r="Q1608" s="16" t="str">
        <f aca="false">IF(OR(O1608="",P1608=""),"",O1608/P1608)</f>
        <v/>
      </c>
      <c r="R1608" s="16" t="str">
        <f aca="false">IF(Q1608="","",Q1608*0.0980665)</f>
        <v/>
      </c>
      <c r="S1608" s="16" t="str">
        <f aca="false">IF(Q1608="","",IFERROR(Q1608/(1/(1/INDEX(CONFIG!$I$5:$I$14,MATCH(D1608,CONFIG!$D$5:$D$14,0)))),""))</f>
        <v/>
      </c>
      <c r="T1608" s="13"/>
      <c r="U1608" s="13"/>
      <c r="V1608" s="13"/>
      <c r="W1608" s="13"/>
      <c r="X1608" s="22" t="str">
        <f aca="false">IF(Q1608="","",Q1608^2)</f>
        <v/>
      </c>
      <c r="Y1608" s="22" t="str">
        <f aca="false">IF(AND(C1608&lt;&gt;"",C1608=CERTIFICADO!$E$4,OR(CERTIFICADO!$E$5="",B1608=CERTIFICADO!$E$5)),MAX($Y$4:Y1607)+1,"")</f>
        <v/>
      </c>
    </row>
    <row r="1609" customFormat="false" ht="15" hidden="false" customHeight="false" outlineLevel="0" collapsed="false">
      <c r="A1609" s="11" t="str">
        <f aca="false">IF(C1609="","",ROW()-4)</f>
        <v/>
      </c>
      <c r="B1609" s="12"/>
      <c r="C1609" s="13"/>
      <c r="D1609" s="23" t="str">
        <f aca="false">IF(C1609="","",IFERROR(INDEX(LOTES!$D$5:$D$1004,MATCH(C1609,LOTES!$F$5:$F$1004,0)),"¿Lote?"))</f>
        <v/>
      </c>
      <c r="E1609" s="11" t="str">
        <f aca="false">IF(C1609="","",IFERROR(INDEX(LOTES!$C$5:$C$1004,MATCH(C1609,LOTES!$F$5:$F$1004,0)),""))</f>
        <v/>
      </c>
      <c r="F1609" s="24" t="str">
        <f aca="false">IF(C1609="","",IFERROR(INDEX(LOTES!$B$5:$B$1004,MATCH(C1609,LOTES!$F$5:$F$1004,0)),""))</f>
        <v/>
      </c>
      <c r="G1609" s="15" t="str">
        <f aca="false">IF(OR(B1609="",F1609=""),"",B1609-F1609)</f>
        <v/>
      </c>
      <c r="H1609" s="13"/>
      <c r="I1609" s="13"/>
      <c r="J1609" s="13"/>
      <c r="K1609" s="25"/>
      <c r="L1609" s="25"/>
      <c r="M1609" s="25"/>
      <c r="N1609" s="25"/>
      <c r="O1609" s="26"/>
      <c r="P1609" s="16" t="str">
        <f aca="false">IF(O1609="","",IFERROR(1/(1/(IF(K1609="",INDEX(CONFIG!$F$5:$F$14,MATCH(D1609,CONFIG!$D$5:$D$14,0)),K1609)*IF(M1609="",INDEX(CONFIG!$H$5:$H$14,MATCH(D1609,CONFIG!$D$5:$D$14,0)),M1609))),""))</f>
        <v/>
      </c>
      <c r="Q1609" s="16" t="str">
        <f aca="false">IF(OR(O1609="",P1609=""),"",O1609/P1609)</f>
        <v/>
      </c>
      <c r="R1609" s="16" t="str">
        <f aca="false">IF(Q1609="","",Q1609*0.0980665)</f>
        <v/>
      </c>
      <c r="S1609" s="16" t="str">
        <f aca="false">IF(Q1609="","",IFERROR(Q1609/(1/(1/INDEX(CONFIG!$I$5:$I$14,MATCH(D1609,CONFIG!$D$5:$D$14,0)))),""))</f>
        <v/>
      </c>
      <c r="T1609" s="13"/>
      <c r="U1609" s="13"/>
      <c r="V1609" s="13"/>
      <c r="W1609" s="13"/>
      <c r="X1609" s="22" t="str">
        <f aca="false">IF(Q1609="","",Q1609^2)</f>
        <v/>
      </c>
      <c r="Y1609" s="22" t="str">
        <f aca="false">IF(AND(C1609&lt;&gt;"",C1609=CERTIFICADO!$E$4,OR(CERTIFICADO!$E$5="",B1609=CERTIFICADO!$E$5)),MAX($Y$4:Y1608)+1,"")</f>
        <v/>
      </c>
    </row>
    <row r="1610" customFormat="false" ht="15" hidden="false" customHeight="false" outlineLevel="0" collapsed="false">
      <c r="A1610" s="11" t="str">
        <f aca="false">IF(C1610="","",ROW()-4)</f>
        <v/>
      </c>
      <c r="B1610" s="12"/>
      <c r="C1610" s="13"/>
      <c r="D1610" s="23" t="str">
        <f aca="false">IF(C1610="","",IFERROR(INDEX(LOTES!$D$5:$D$1004,MATCH(C1610,LOTES!$F$5:$F$1004,0)),"¿Lote?"))</f>
        <v/>
      </c>
      <c r="E1610" s="11" t="str">
        <f aca="false">IF(C1610="","",IFERROR(INDEX(LOTES!$C$5:$C$1004,MATCH(C1610,LOTES!$F$5:$F$1004,0)),""))</f>
        <v/>
      </c>
      <c r="F1610" s="24" t="str">
        <f aca="false">IF(C1610="","",IFERROR(INDEX(LOTES!$B$5:$B$1004,MATCH(C1610,LOTES!$F$5:$F$1004,0)),""))</f>
        <v/>
      </c>
      <c r="G1610" s="15" t="str">
        <f aca="false">IF(OR(B1610="",F1610=""),"",B1610-F1610)</f>
        <v/>
      </c>
      <c r="H1610" s="13"/>
      <c r="I1610" s="13"/>
      <c r="J1610" s="13"/>
      <c r="K1610" s="25"/>
      <c r="L1610" s="25"/>
      <c r="M1610" s="25"/>
      <c r="N1610" s="25"/>
      <c r="O1610" s="26"/>
      <c r="P1610" s="16" t="str">
        <f aca="false">IF(O1610="","",IFERROR(1/(1/(IF(K1610="",INDEX(CONFIG!$F$5:$F$14,MATCH(D1610,CONFIG!$D$5:$D$14,0)),K1610)*IF(M1610="",INDEX(CONFIG!$H$5:$H$14,MATCH(D1610,CONFIG!$D$5:$D$14,0)),M1610))),""))</f>
        <v/>
      </c>
      <c r="Q1610" s="16" t="str">
        <f aca="false">IF(OR(O1610="",P1610=""),"",O1610/P1610)</f>
        <v/>
      </c>
      <c r="R1610" s="16" t="str">
        <f aca="false">IF(Q1610="","",Q1610*0.0980665)</f>
        <v/>
      </c>
      <c r="S1610" s="16" t="str">
        <f aca="false">IF(Q1610="","",IFERROR(Q1610/(1/(1/INDEX(CONFIG!$I$5:$I$14,MATCH(D1610,CONFIG!$D$5:$D$14,0)))),""))</f>
        <v/>
      </c>
      <c r="T1610" s="13"/>
      <c r="U1610" s="13"/>
      <c r="V1610" s="13"/>
      <c r="W1610" s="13"/>
      <c r="X1610" s="22" t="str">
        <f aca="false">IF(Q1610="","",Q1610^2)</f>
        <v/>
      </c>
      <c r="Y1610" s="22" t="str">
        <f aca="false">IF(AND(C1610&lt;&gt;"",C1610=CERTIFICADO!$E$4,OR(CERTIFICADO!$E$5="",B1610=CERTIFICADO!$E$5)),MAX($Y$4:Y1609)+1,"")</f>
        <v/>
      </c>
    </row>
    <row r="1611" customFormat="false" ht="15" hidden="false" customHeight="false" outlineLevel="0" collapsed="false">
      <c r="A1611" s="11" t="str">
        <f aca="false">IF(C1611="","",ROW()-4)</f>
        <v/>
      </c>
      <c r="B1611" s="12"/>
      <c r="C1611" s="13"/>
      <c r="D1611" s="23" t="str">
        <f aca="false">IF(C1611="","",IFERROR(INDEX(LOTES!$D$5:$D$1004,MATCH(C1611,LOTES!$F$5:$F$1004,0)),"¿Lote?"))</f>
        <v/>
      </c>
      <c r="E1611" s="11" t="str">
        <f aca="false">IF(C1611="","",IFERROR(INDEX(LOTES!$C$5:$C$1004,MATCH(C1611,LOTES!$F$5:$F$1004,0)),""))</f>
        <v/>
      </c>
      <c r="F1611" s="24" t="str">
        <f aca="false">IF(C1611="","",IFERROR(INDEX(LOTES!$B$5:$B$1004,MATCH(C1611,LOTES!$F$5:$F$1004,0)),""))</f>
        <v/>
      </c>
      <c r="G1611" s="15" t="str">
        <f aca="false">IF(OR(B1611="",F1611=""),"",B1611-F1611)</f>
        <v/>
      </c>
      <c r="H1611" s="13"/>
      <c r="I1611" s="13"/>
      <c r="J1611" s="13"/>
      <c r="K1611" s="25"/>
      <c r="L1611" s="25"/>
      <c r="M1611" s="25"/>
      <c r="N1611" s="25"/>
      <c r="O1611" s="26"/>
      <c r="P1611" s="16" t="str">
        <f aca="false">IF(O1611="","",IFERROR(1/(1/(IF(K1611="",INDEX(CONFIG!$F$5:$F$14,MATCH(D1611,CONFIG!$D$5:$D$14,0)),K1611)*IF(M1611="",INDEX(CONFIG!$H$5:$H$14,MATCH(D1611,CONFIG!$D$5:$D$14,0)),M1611))),""))</f>
        <v/>
      </c>
      <c r="Q1611" s="16" t="str">
        <f aca="false">IF(OR(O1611="",P1611=""),"",O1611/P1611)</f>
        <v/>
      </c>
      <c r="R1611" s="16" t="str">
        <f aca="false">IF(Q1611="","",Q1611*0.0980665)</f>
        <v/>
      </c>
      <c r="S1611" s="16" t="str">
        <f aca="false">IF(Q1611="","",IFERROR(Q1611/(1/(1/INDEX(CONFIG!$I$5:$I$14,MATCH(D1611,CONFIG!$D$5:$D$14,0)))),""))</f>
        <v/>
      </c>
      <c r="T1611" s="13"/>
      <c r="U1611" s="13"/>
      <c r="V1611" s="13"/>
      <c r="W1611" s="13"/>
      <c r="X1611" s="22" t="str">
        <f aca="false">IF(Q1611="","",Q1611^2)</f>
        <v/>
      </c>
      <c r="Y1611" s="22" t="str">
        <f aca="false">IF(AND(C1611&lt;&gt;"",C1611=CERTIFICADO!$E$4,OR(CERTIFICADO!$E$5="",B1611=CERTIFICADO!$E$5)),MAX($Y$4:Y1610)+1,"")</f>
        <v/>
      </c>
    </row>
    <row r="1612" customFormat="false" ht="15" hidden="false" customHeight="false" outlineLevel="0" collapsed="false">
      <c r="A1612" s="11" t="str">
        <f aca="false">IF(C1612="","",ROW()-4)</f>
        <v/>
      </c>
      <c r="B1612" s="12"/>
      <c r="C1612" s="13"/>
      <c r="D1612" s="23" t="str">
        <f aca="false">IF(C1612="","",IFERROR(INDEX(LOTES!$D$5:$D$1004,MATCH(C1612,LOTES!$F$5:$F$1004,0)),"¿Lote?"))</f>
        <v/>
      </c>
      <c r="E1612" s="11" t="str">
        <f aca="false">IF(C1612="","",IFERROR(INDEX(LOTES!$C$5:$C$1004,MATCH(C1612,LOTES!$F$5:$F$1004,0)),""))</f>
        <v/>
      </c>
      <c r="F1612" s="24" t="str">
        <f aca="false">IF(C1612="","",IFERROR(INDEX(LOTES!$B$5:$B$1004,MATCH(C1612,LOTES!$F$5:$F$1004,0)),""))</f>
        <v/>
      </c>
      <c r="G1612" s="15" t="str">
        <f aca="false">IF(OR(B1612="",F1612=""),"",B1612-F1612)</f>
        <v/>
      </c>
      <c r="H1612" s="13"/>
      <c r="I1612" s="13"/>
      <c r="J1612" s="13"/>
      <c r="K1612" s="25"/>
      <c r="L1612" s="25"/>
      <c r="M1612" s="25"/>
      <c r="N1612" s="25"/>
      <c r="O1612" s="26"/>
      <c r="P1612" s="16" t="str">
        <f aca="false">IF(O1612="","",IFERROR(1/(1/(IF(K1612="",INDEX(CONFIG!$F$5:$F$14,MATCH(D1612,CONFIG!$D$5:$D$14,0)),K1612)*IF(M1612="",INDEX(CONFIG!$H$5:$H$14,MATCH(D1612,CONFIG!$D$5:$D$14,0)),M1612))),""))</f>
        <v/>
      </c>
      <c r="Q1612" s="16" t="str">
        <f aca="false">IF(OR(O1612="",P1612=""),"",O1612/P1612)</f>
        <v/>
      </c>
      <c r="R1612" s="16" t="str">
        <f aca="false">IF(Q1612="","",Q1612*0.0980665)</f>
        <v/>
      </c>
      <c r="S1612" s="16" t="str">
        <f aca="false">IF(Q1612="","",IFERROR(Q1612/(1/(1/INDEX(CONFIG!$I$5:$I$14,MATCH(D1612,CONFIG!$D$5:$D$14,0)))),""))</f>
        <v/>
      </c>
      <c r="T1612" s="13"/>
      <c r="U1612" s="13"/>
      <c r="V1612" s="13"/>
      <c r="W1612" s="13"/>
      <c r="X1612" s="22" t="str">
        <f aca="false">IF(Q1612="","",Q1612^2)</f>
        <v/>
      </c>
      <c r="Y1612" s="22" t="str">
        <f aca="false">IF(AND(C1612&lt;&gt;"",C1612=CERTIFICADO!$E$4,OR(CERTIFICADO!$E$5="",B1612=CERTIFICADO!$E$5)),MAX($Y$4:Y1611)+1,"")</f>
        <v/>
      </c>
    </row>
    <row r="1613" customFormat="false" ht="15" hidden="false" customHeight="false" outlineLevel="0" collapsed="false">
      <c r="A1613" s="11" t="str">
        <f aca="false">IF(C1613="","",ROW()-4)</f>
        <v/>
      </c>
      <c r="B1613" s="12"/>
      <c r="C1613" s="13"/>
      <c r="D1613" s="23" t="str">
        <f aca="false">IF(C1613="","",IFERROR(INDEX(LOTES!$D$5:$D$1004,MATCH(C1613,LOTES!$F$5:$F$1004,0)),"¿Lote?"))</f>
        <v/>
      </c>
      <c r="E1613" s="11" t="str">
        <f aca="false">IF(C1613="","",IFERROR(INDEX(LOTES!$C$5:$C$1004,MATCH(C1613,LOTES!$F$5:$F$1004,0)),""))</f>
        <v/>
      </c>
      <c r="F1613" s="24" t="str">
        <f aca="false">IF(C1613="","",IFERROR(INDEX(LOTES!$B$5:$B$1004,MATCH(C1613,LOTES!$F$5:$F$1004,0)),""))</f>
        <v/>
      </c>
      <c r="G1613" s="15" t="str">
        <f aca="false">IF(OR(B1613="",F1613=""),"",B1613-F1613)</f>
        <v/>
      </c>
      <c r="H1613" s="13"/>
      <c r="I1613" s="13"/>
      <c r="J1613" s="13"/>
      <c r="K1613" s="25"/>
      <c r="L1613" s="25"/>
      <c r="M1613" s="25"/>
      <c r="N1613" s="25"/>
      <c r="O1613" s="26"/>
      <c r="P1613" s="16" t="str">
        <f aca="false">IF(O1613="","",IFERROR(1/(1/(IF(K1613="",INDEX(CONFIG!$F$5:$F$14,MATCH(D1613,CONFIG!$D$5:$D$14,0)),K1613)*IF(M1613="",INDEX(CONFIG!$H$5:$H$14,MATCH(D1613,CONFIG!$D$5:$D$14,0)),M1613))),""))</f>
        <v/>
      </c>
      <c r="Q1613" s="16" t="str">
        <f aca="false">IF(OR(O1613="",P1613=""),"",O1613/P1613)</f>
        <v/>
      </c>
      <c r="R1613" s="16" t="str">
        <f aca="false">IF(Q1613="","",Q1613*0.0980665)</f>
        <v/>
      </c>
      <c r="S1613" s="16" t="str">
        <f aca="false">IF(Q1613="","",IFERROR(Q1613/(1/(1/INDEX(CONFIG!$I$5:$I$14,MATCH(D1613,CONFIG!$D$5:$D$14,0)))),""))</f>
        <v/>
      </c>
      <c r="T1613" s="13"/>
      <c r="U1613" s="13"/>
      <c r="V1613" s="13"/>
      <c r="W1613" s="13"/>
      <c r="X1613" s="22" t="str">
        <f aca="false">IF(Q1613="","",Q1613^2)</f>
        <v/>
      </c>
      <c r="Y1613" s="22" t="str">
        <f aca="false">IF(AND(C1613&lt;&gt;"",C1613=CERTIFICADO!$E$4,OR(CERTIFICADO!$E$5="",B1613=CERTIFICADO!$E$5)),MAX($Y$4:Y1612)+1,"")</f>
        <v/>
      </c>
    </row>
    <row r="1614" customFormat="false" ht="15" hidden="false" customHeight="false" outlineLevel="0" collapsed="false">
      <c r="A1614" s="11" t="str">
        <f aca="false">IF(C1614="","",ROW()-4)</f>
        <v/>
      </c>
      <c r="B1614" s="12"/>
      <c r="C1614" s="13"/>
      <c r="D1614" s="23" t="str">
        <f aca="false">IF(C1614="","",IFERROR(INDEX(LOTES!$D$5:$D$1004,MATCH(C1614,LOTES!$F$5:$F$1004,0)),"¿Lote?"))</f>
        <v/>
      </c>
      <c r="E1614" s="11" t="str">
        <f aca="false">IF(C1614="","",IFERROR(INDEX(LOTES!$C$5:$C$1004,MATCH(C1614,LOTES!$F$5:$F$1004,0)),""))</f>
        <v/>
      </c>
      <c r="F1614" s="24" t="str">
        <f aca="false">IF(C1614="","",IFERROR(INDEX(LOTES!$B$5:$B$1004,MATCH(C1614,LOTES!$F$5:$F$1004,0)),""))</f>
        <v/>
      </c>
      <c r="G1614" s="15" t="str">
        <f aca="false">IF(OR(B1614="",F1614=""),"",B1614-F1614)</f>
        <v/>
      </c>
      <c r="H1614" s="13"/>
      <c r="I1614" s="13"/>
      <c r="J1614" s="13"/>
      <c r="K1614" s="25"/>
      <c r="L1614" s="25"/>
      <c r="M1614" s="25"/>
      <c r="N1614" s="25"/>
      <c r="O1614" s="26"/>
      <c r="P1614" s="16" t="str">
        <f aca="false">IF(O1614="","",IFERROR(1/(1/(IF(K1614="",INDEX(CONFIG!$F$5:$F$14,MATCH(D1614,CONFIG!$D$5:$D$14,0)),K1614)*IF(M1614="",INDEX(CONFIG!$H$5:$H$14,MATCH(D1614,CONFIG!$D$5:$D$14,0)),M1614))),""))</f>
        <v/>
      </c>
      <c r="Q1614" s="16" t="str">
        <f aca="false">IF(OR(O1614="",P1614=""),"",O1614/P1614)</f>
        <v/>
      </c>
      <c r="R1614" s="16" t="str">
        <f aca="false">IF(Q1614="","",Q1614*0.0980665)</f>
        <v/>
      </c>
      <c r="S1614" s="16" t="str">
        <f aca="false">IF(Q1614="","",IFERROR(Q1614/(1/(1/INDEX(CONFIG!$I$5:$I$14,MATCH(D1614,CONFIG!$D$5:$D$14,0)))),""))</f>
        <v/>
      </c>
      <c r="T1614" s="13"/>
      <c r="U1614" s="13"/>
      <c r="V1614" s="13"/>
      <c r="W1614" s="13"/>
      <c r="X1614" s="22" t="str">
        <f aca="false">IF(Q1614="","",Q1614^2)</f>
        <v/>
      </c>
      <c r="Y1614" s="22" t="str">
        <f aca="false">IF(AND(C1614&lt;&gt;"",C1614=CERTIFICADO!$E$4,OR(CERTIFICADO!$E$5="",B1614=CERTIFICADO!$E$5)),MAX($Y$4:Y1613)+1,"")</f>
        <v/>
      </c>
    </row>
    <row r="1615" customFormat="false" ht="15" hidden="false" customHeight="false" outlineLevel="0" collapsed="false">
      <c r="A1615" s="11" t="str">
        <f aca="false">IF(C1615="","",ROW()-4)</f>
        <v/>
      </c>
      <c r="B1615" s="12"/>
      <c r="C1615" s="13"/>
      <c r="D1615" s="23" t="str">
        <f aca="false">IF(C1615="","",IFERROR(INDEX(LOTES!$D$5:$D$1004,MATCH(C1615,LOTES!$F$5:$F$1004,0)),"¿Lote?"))</f>
        <v/>
      </c>
      <c r="E1615" s="11" t="str">
        <f aca="false">IF(C1615="","",IFERROR(INDEX(LOTES!$C$5:$C$1004,MATCH(C1615,LOTES!$F$5:$F$1004,0)),""))</f>
        <v/>
      </c>
      <c r="F1615" s="24" t="str">
        <f aca="false">IF(C1615="","",IFERROR(INDEX(LOTES!$B$5:$B$1004,MATCH(C1615,LOTES!$F$5:$F$1004,0)),""))</f>
        <v/>
      </c>
      <c r="G1615" s="15" t="str">
        <f aca="false">IF(OR(B1615="",F1615=""),"",B1615-F1615)</f>
        <v/>
      </c>
      <c r="H1615" s="13"/>
      <c r="I1615" s="13"/>
      <c r="J1615" s="13"/>
      <c r="K1615" s="25"/>
      <c r="L1615" s="25"/>
      <c r="M1615" s="25"/>
      <c r="N1615" s="25"/>
      <c r="O1615" s="26"/>
      <c r="P1615" s="16" t="str">
        <f aca="false">IF(O1615="","",IFERROR(1/(1/(IF(K1615="",INDEX(CONFIG!$F$5:$F$14,MATCH(D1615,CONFIG!$D$5:$D$14,0)),K1615)*IF(M1615="",INDEX(CONFIG!$H$5:$H$14,MATCH(D1615,CONFIG!$D$5:$D$14,0)),M1615))),""))</f>
        <v/>
      </c>
      <c r="Q1615" s="16" t="str">
        <f aca="false">IF(OR(O1615="",P1615=""),"",O1615/P1615)</f>
        <v/>
      </c>
      <c r="R1615" s="16" t="str">
        <f aca="false">IF(Q1615="","",Q1615*0.0980665)</f>
        <v/>
      </c>
      <c r="S1615" s="16" t="str">
        <f aca="false">IF(Q1615="","",IFERROR(Q1615/(1/(1/INDEX(CONFIG!$I$5:$I$14,MATCH(D1615,CONFIG!$D$5:$D$14,0)))),""))</f>
        <v/>
      </c>
      <c r="T1615" s="13"/>
      <c r="U1615" s="13"/>
      <c r="V1615" s="13"/>
      <c r="W1615" s="13"/>
      <c r="X1615" s="22" t="str">
        <f aca="false">IF(Q1615="","",Q1615^2)</f>
        <v/>
      </c>
      <c r="Y1615" s="22" t="str">
        <f aca="false">IF(AND(C1615&lt;&gt;"",C1615=CERTIFICADO!$E$4,OR(CERTIFICADO!$E$5="",B1615=CERTIFICADO!$E$5)),MAX($Y$4:Y1614)+1,"")</f>
        <v/>
      </c>
    </row>
    <row r="1616" customFormat="false" ht="15" hidden="false" customHeight="false" outlineLevel="0" collapsed="false">
      <c r="A1616" s="11" t="str">
        <f aca="false">IF(C1616="","",ROW()-4)</f>
        <v/>
      </c>
      <c r="B1616" s="12"/>
      <c r="C1616" s="13"/>
      <c r="D1616" s="23" t="str">
        <f aca="false">IF(C1616="","",IFERROR(INDEX(LOTES!$D$5:$D$1004,MATCH(C1616,LOTES!$F$5:$F$1004,0)),"¿Lote?"))</f>
        <v/>
      </c>
      <c r="E1616" s="11" t="str">
        <f aca="false">IF(C1616="","",IFERROR(INDEX(LOTES!$C$5:$C$1004,MATCH(C1616,LOTES!$F$5:$F$1004,0)),""))</f>
        <v/>
      </c>
      <c r="F1616" s="24" t="str">
        <f aca="false">IF(C1616="","",IFERROR(INDEX(LOTES!$B$5:$B$1004,MATCH(C1616,LOTES!$F$5:$F$1004,0)),""))</f>
        <v/>
      </c>
      <c r="G1616" s="15" t="str">
        <f aca="false">IF(OR(B1616="",F1616=""),"",B1616-F1616)</f>
        <v/>
      </c>
      <c r="H1616" s="13"/>
      <c r="I1616" s="13"/>
      <c r="J1616" s="13"/>
      <c r="K1616" s="25"/>
      <c r="L1616" s="25"/>
      <c r="M1616" s="25"/>
      <c r="N1616" s="25"/>
      <c r="O1616" s="26"/>
      <c r="P1616" s="16" t="str">
        <f aca="false">IF(O1616="","",IFERROR(1/(1/(IF(K1616="",INDEX(CONFIG!$F$5:$F$14,MATCH(D1616,CONFIG!$D$5:$D$14,0)),K1616)*IF(M1616="",INDEX(CONFIG!$H$5:$H$14,MATCH(D1616,CONFIG!$D$5:$D$14,0)),M1616))),""))</f>
        <v/>
      </c>
      <c r="Q1616" s="16" t="str">
        <f aca="false">IF(OR(O1616="",P1616=""),"",O1616/P1616)</f>
        <v/>
      </c>
      <c r="R1616" s="16" t="str">
        <f aca="false">IF(Q1616="","",Q1616*0.0980665)</f>
        <v/>
      </c>
      <c r="S1616" s="16" t="str">
        <f aca="false">IF(Q1616="","",IFERROR(Q1616/(1/(1/INDEX(CONFIG!$I$5:$I$14,MATCH(D1616,CONFIG!$D$5:$D$14,0)))),""))</f>
        <v/>
      </c>
      <c r="T1616" s="13"/>
      <c r="U1616" s="13"/>
      <c r="V1616" s="13"/>
      <c r="W1616" s="13"/>
      <c r="X1616" s="22" t="str">
        <f aca="false">IF(Q1616="","",Q1616^2)</f>
        <v/>
      </c>
      <c r="Y1616" s="22" t="str">
        <f aca="false">IF(AND(C1616&lt;&gt;"",C1616=CERTIFICADO!$E$4,OR(CERTIFICADO!$E$5="",B1616=CERTIFICADO!$E$5)),MAX($Y$4:Y1615)+1,"")</f>
        <v/>
      </c>
    </row>
    <row r="1617" customFormat="false" ht="15" hidden="false" customHeight="false" outlineLevel="0" collapsed="false">
      <c r="A1617" s="11" t="str">
        <f aca="false">IF(C1617="","",ROW()-4)</f>
        <v/>
      </c>
      <c r="B1617" s="12"/>
      <c r="C1617" s="13"/>
      <c r="D1617" s="23" t="str">
        <f aca="false">IF(C1617="","",IFERROR(INDEX(LOTES!$D$5:$D$1004,MATCH(C1617,LOTES!$F$5:$F$1004,0)),"¿Lote?"))</f>
        <v/>
      </c>
      <c r="E1617" s="11" t="str">
        <f aca="false">IF(C1617="","",IFERROR(INDEX(LOTES!$C$5:$C$1004,MATCH(C1617,LOTES!$F$5:$F$1004,0)),""))</f>
        <v/>
      </c>
      <c r="F1617" s="24" t="str">
        <f aca="false">IF(C1617="","",IFERROR(INDEX(LOTES!$B$5:$B$1004,MATCH(C1617,LOTES!$F$5:$F$1004,0)),""))</f>
        <v/>
      </c>
      <c r="G1617" s="15" t="str">
        <f aca="false">IF(OR(B1617="",F1617=""),"",B1617-F1617)</f>
        <v/>
      </c>
      <c r="H1617" s="13"/>
      <c r="I1617" s="13"/>
      <c r="J1617" s="13"/>
      <c r="K1617" s="25"/>
      <c r="L1617" s="25"/>
      <c r="M1617" s="25"/>
      <c r="N1617" s="25"/>
      <c r="O1617" s="26"/>
      <c r="P1617" s="16" t="str">
        <f aca="false">IF(O1617="","",IFERROR(1/(1/(IF(K1617="",INDEX(CONFIG!$F$5:$F$14,MATCH(D1617,CONFIG!$D$5:$D$14,0)),K1617)*IF(M1617="",INDEX(CONFIG!$H$5:$H$14,MATCH(D1617,CONFIG!$D$5:$D$14,0)),M1617))),""))</f>
        <v/>
      </c>
      <c r="Q1617" s="16" t="str">
        <f aca="false">IF(OR(O1617="",P1617=""),"",O1617/P1617)</f>
        <v/>
      </c>
      <c r="R1617" s="16" t="str">
        <f aca="false">IF(Q1617="","",Q1617*0.0980665)</f>
        <v/>
      </c>
      <c r="S1617" s="16" t="str">
        <f aca="false">IF(Q1617="","",IFERROR(Q1617/(1/(1/INDEX(CONFIG!$I$5:$I$14,MATCH(D1617,CONFIG!$D$5:$D$14,0)))),""))</f>
        <v/>
      </c>
      <c r="T1617" s="13"/>
      <c r="U1617" s="13"/>
      <c r="V1617" s="13"/>
      <c r="W1617" s="13"/>
      <c r="X1617" s="22" t="str">
        <f aca="false">IF(Q1617="","",Q1617^2)</f>
        <v/>
      </c>
      <c r="Y1617" s="22" t="str">
        <f aca="false">IF(AND(C1617&lt;&gt;"",C1617=CERTIFICADO!$E$4,OR(CERTIFICADO!$E$5="",B1617=CERTIFICADO!$E$5)),MAX($Y$4:Y1616)+1,"")</f>
        <v/>
      </c>
    </row>
    <row r="1618" customFormat="false" ht="15" hidden="false" customHeight="false" outlineLevel="0" collapsed="false">
      <c r="A1618" s="11" t="str">
        <f aca="false">IF(C1618="","",ROW()-4)</f>
        <v/>
      </c>
      <c r="B1618" s="12"/>
      <c r="C1618" s="13"/>
      <c r="D1618" s="23" t="str">
        <f aca="false">IF(C1618="","",IFERROR(INDEX(LOTES!$D$5:$D$1004,MATCH(C1618,LOTES!$F$5:$F$1004,0)),"¿Lote?"))</f>
        <v/>
      </c>
      <c r="E1618" s="11" t="str">
        <f aca="false">IF(C1618="","",IFERROR(INDEX(LOTES!$C$5:$C$1004,MATCH(C1618,LOTES!$F$5:$F$1004,0)),""))</f>
        <v/>
      </c>
      <c r="F1618" s="24" t="str">
        <f aca="false">IF(C1618="","",IFERROR(INDEX(LOTES!$B$5:$B$1004,MATCH(C1618,LOTES!$F$5:$F$1004,0)),""))</f>
        <v/>
      </c>
      <c r="G1618" s="15" t="str">
        <f aca="false">IF(OR(B1618="",F1618=""),"",B1618-F1618)</f>
        <v/>
      </c>
      <c r="H1618" s="13"/>
      <c r="I1618" s="13"/>
      <c r="J1618" s="13"/>
      <c r="K1618" s="25"/>
      <c r="L1618" s="25"/>
      <c r="M1618" s="25"/>
      <c r="N1618" s="25"/>
      <c r="O1618" s="26"/>
      <c r="P1618" s="16" t="str">
        <f aca="false">IF(O1618="","",IFERROR(1/(1/(IF(K1618="",INDEX(CONFIG!$F$5:$F$14,MATCH(D1618,CONFIG!$D$5:$D$14,0)),K1618)*IF(M1618="",INDEX(CONFIG!$H$5:$H$14,MATCH(D1618,CONFIG!$D$5:$D$14,0)),M1618))),""))</f>
        <v/>
      </c>
      <c r="Q1618" s="16" t="str">
        <f aca="false">IF(OR(O1618="",P1618=""),"",O1618/P1618)</f>
        <v/>
      </c>
      <c r="R1618" s="16" t="str">
        <f aca="false">IF(Q1618="","",Q1618*0.0980665)</f>
        <v/>
      </c>
      <c r="S1618" s="16" t="str">
        <f aca="false">IF(Q1618="","",IFERROR(Q1618/(1/(1/INDEX(CONFIG!$I$5:$I$14,MATCH(D1618,CONFIG!$D$5:$D$14,0)))),""))</f>
        <v/>
      </c>
      <c r="T1618" s="13"/>
      <c r="U1618" s="13"/>
      <c r="V1618" s="13"/>
      <c r="W1618" s="13"/>
      <c r="X1618" s="22" t="str">
        <f aca="false">IF(Q1618="","",Q1618^2)</f>
        <v/>
      </c>
      <c r="Y1618" s="22" t="str">
        <f aca="false">IF(AND(C1618&lt;&gt;"",C1618=CERTIFICADO!$E$4,OR(CERTIFICADO!$E$5="",B1618=CERTIFICADO!$E$5)),MAX($Y$4:Y1617)+1,"")</f>
        <v/>
      </c>
    </row>
    <row r="1619" customFormat="false" ht="15" hidden="false" customHeight="false" outlineLevel="0" collapsed="false">
      <c r="A1619" s="11" t="str">
        <f aca="false">IF(C1619="","",ROW()-4)</f>
        <v/>
      </c>
      <c r="B1619" s="12"/>
      <c r="C1619" s="13"/>
      <c r="D1619" s="23" t="str">
        <f aca="false">IF(C1619="","",IFERROR(INDEX(LOTES!$D$5:$D$1004,MATCH(C1619,LOTES!$F$5:$F$1004,0)),"¿Lote?"))</f>
        <v/>
      </c>
      <c r="E1619" s="11" t="str">
        <f aca="false">IF(C1619="","",IFERROR(INDEX(LOTES!$C$5:$C$1004,MATCH(C1619,LOTES!$F$5:$F$1004,0)),""))</f>
        <v/>
      </c>
      <c r="F1619" s="24" t="str">
        <f aca="false">IF(C1619="","",IFERROR(INDEX(LOTES!$B$5:$B$1004,MATCH(C1619,LOTES!$F$5:$F$1004,0)),""))</f>
        <v/>
      </c>
      <c r="G1619" s="15" t="str">
        <f aca="false">IF(OR(B1619="",F1619=""),"",B1619-F1619)</f>
        <v/>
      </c>
      <c r="H1619" s="13"/>
      <c r="I1619" s="13"/>
      <c r="J1619" s="13"/>
      <c r="K1619" s="25"/>
      <c r="L1619" s="25"/>
      <c r="M1619" s="25"/>
      <c r="N1619" s="25"/>
      <c r="O1619" s="26"/>
      <c r="P1619" s="16" t="str">
        <f aca="false">IF(O1619="","",IFERROR(1/(1/(IF(K1619="",INDEX(CONFIG!$F$5:$F$14,MATCH(D1619,CONFIG!$D$5:$D$14,0)),K1619)*IF(M1619="",INDEX(CONFIG!$H$5:$H$14,MATCH(D1619,CONFIG!$D$5:$D$14,0)),M1619))),""))</f>
        <v/>
      </c>
      <c r="Q1619" s="16" t="str">
        <f aca="false">IF(OR(O1619="",P1619=""),"",O1619/P1619)</f>
        <v/>
      </c>
      <c r="R1619" s="16" t="str">
        <f aca="false">IF(Q1619="","",Q1619*0.0980665)</f>
        <v/>
      </c>
      <c r="S1619" s="16" t="str">
        <f aca="false">IF(Q1619="","",IFERROR(Q1619/(1/(1/INDEX(CONFIG!$I$5:$I$14,MATCH(D1619,CONFIG!$D$5:$D$14,0)))),""))</f>
        <v/>
      </c>
      <c r="T1619" s="13"/>
      <c r="U1619" s="13"/>
      <c r="V1619" s="13"/>
      <c r="W1619" s="13"/>
      <c r="X1619" s="22" t="str">
        <f aca="false">IF(Q1619="","",Q1619^2)</f>
        <v/>
      </c>
      <c r="Y1619" s="22" t="str">
        <f aca="false">IF(AND(C1619&lt;&gt;"",C1619=CERTIFICADO!$E$4,OR(CERTIFICADO!$E$5="",B1619=CERTIFICADO!$E$5)),MAX($Y$4:Y1618)+1,"")</f>
        <v/>
      </c>
    </row>
    <row r="1620" customFormat="false" ht="15" hidden="false" customHeight="false" outlineLevel="0" collapsed="false">
      <c r="A1620" s="11" t="str">
        <f aca="false">IF(C1620="","",ROW()-4)</f>
        <v/>
      </c>
      <c r="B1620" s="12"/>
      <c r="C1620" s="13"/>
      <c r="D1620" s="23" t="str">
        <f aca="false">IF(C1620="","",IFERROR(INDEX(LOTES!$D$5:$D$1004,MATCH(C1620,LOTES!$F$5:$F$1004,0)),"¿Lote?"))</f>
        <v/>
      </c>
      <c r="E1620" s="11" t="str">
        <f aca="false">IF(C1620="","",IFERROR(INDEX(LOTES!$C$5:$C$1004,MATCH(C1620,LOTES!$F$5:$F$1004,0)),""))</f>
        <v/>
      </c>
      <c r="F1620" s="24" t="str">
        <f aca="false">IF(C1620="","",IFERROR(INDEX(LOTES!$B$5:$B$1004,MATCH(C1620,LOTES!$F$5:$F$1004,0)),""))</f>
        <v/>
      </c>
      <c r="G1620" s="15" t="str">
        <f aca="false">IF(OR(B1620="",F1620=""),"",B1620-F1620)</f>
        <v/>
      </c>
      <c r="H1620" s="13"/>
      <c r="I1620" s="13"/>
      <c r="J1620" s="13"/>
      <c r="K1620" s="25"/>
      <c r="L1620" s="25"/>
      <c r="M1620" s="25"/>
      <c r="N1620" s="25"/>
      <c r="O1620" s="26"/>
      <c r="P1620" s="16" t="str">
        <f aca="false">IF(O1620="","",IFERROR(1/(1/(IF(K1620="",INDEX(CONFIG!$F$5:$F$14,MATCH(D1620,CONFIG!$D$5:$D$14,0)),K1620)*IF(M1620="",INDEX(CONFIG!$H$5:$H$14,MATCH(D1620,CONFIG!$D$5:$D$14,0)),M1620))),""))</f>
        <v/>
      </c>
      <c r="Q1620" s="16" t="str">
        <f aca="false">IF(OR(O1620="",P1620=""),"",O1620/P1620)</f>
        <v/>
      </c>
      <c r="R1620" s="16" t="str">
        <f aca="false">IF(Q1620="","",Q1620*0.0980665)</f>
        <v/>
      </c>
      <c r="S1620" s="16" t="str">
        <f aca="false">IF(Q1620="","",IFERROR(Q1620/(1/(1/INDEX(CONFIG!$I$5:$I$14,MATCH(D1620,CONFIG!$D$5:$D$14,0)))),""))</f>
        <v/>
      </c>
      <c r="T1620" s="13"/>
      <c r="U1620" s="13"/>
      <c r="V1620" s="13"/>
      <c r="W1620" s="13"/>
      <c r="X1620" s="22" t="str">
        <f aca="false">IF(Q1620="","",Q1620^2)</f>
        <v/>
      </c>
      <c r="Y1620" s="22" t="str">
        <f aca="false">IF(AND(C1620&lt;&gt;"",C1620=CERTIFICADO!$E$4,OR(CERTIFICADO!$E$5="",B1620=CERTIFICADO!$E$5)),MAX($Y$4:Y1619)+1,"")</f>
        <v/>
      </c>
    </row>
    <row r="1621" customFormat="false" ht="15" hidden="false" customHeight="false" outlineLevel="0" collapsed="false">
      <c r="A1621" s="11" t="str">
        <f aca="false">IF(C1621="","",ROW()-4)</f>
        <v/>
      </c>
      <c r="B1621" s="12"/>
      <c r="C1621" s="13"/>
      <c r="D1621" s="23" t="str">
        <f aca="false">IF(C1621="","",IFERROR(INDEX(LOTES!$D$5:$D$1004,MATCH(C1621,LOTES!$F$5:$F$1004,0)),"¿Lote?"))</f>
        <v/>
      </c>
      <c r="E1621" s="11" t="str">
        <f aca="false">IF(C1621="","",IFERROR(INDEX(LOTES!$C$5:$C$1004,MATCH(C1621,LOTES!$F$5:$F$1004,0)),""))</f>
        <v/>
      </c>
      <c r="F1621" s="24" t="str">
        <f aca="false">IF(C1621="","",IFERROR(INDEX(LOTES!$B$5:$B$1004,MATCH(C1621,LOTES!$F$5:$F$1004,0)),""))</f>
        <v/>
      </c>
      <c r="G1621" s="15" t="str">
        <f aca="false">IF(OR(B1621="",F1621=""),"",B1621-F1621)</f>
        <v/>
      </c>
      <c r="H1621" s="13"/>
      <c r="I1621" s="13"/>
      <c r="J1621" s="13"/>
      <c r="K1621" s="25"/>
      <c r="L1621" s="25"/>
      <c r="M1621" s="25"/>
      <c r="N1621" s="25"/>
      <c r="O1621" s="26"/>
      <c r="P1621" s="16" t="str">
        <f aca="false">IF(O1621="","",IFERROR(1/(1/(IF(K1621="",INDEX(CONFIG!$F$5:$F$14,MATCH(D1621,CONFIG!$D$5:$D$14,0)),K1621)*IF(M1621="",INDEX(CONFIG!$H$5:$H$14,MATCH(D1621,CONFIG!$D$5:$D$14,0)),M1621))),""))</f>
        <v/>
      </c>
      <c r="Q1621" s="16" t="str">
        <f aca="false">IF(OR(O1621="",P1621=""),"",O1621/P1621)</f>
        <v/>
      </c>
      <c r="R1621" s="16" t="str">
        <f aca="false">IF(Q1621="","",Q1621*0.0980665)</f>
        <v/>
      </c>
      <c r="S1621" s="16" t="str">
        <f aca="false">IF(Q1621="","",IFERROR(Q1621/(1/(1/INDEX(CONFIG!$I$5:$I$14,MATCH(D1621,CONFIG!$D$5:$D$14,0)))),""))</f>
        <v/>
      </c>
      <c r="T1621" s="13"/>
      <c r="U1621" s="13"/>
      <c r="V1621" s="13"/>
      <c r="W1621" s="13"/>
      <c r="X1621" s="22" t="str">
        <f aca="false">IF(Q1621="","",Q1621^2)</f>
        <v/>
      </c>
      <c r="Y1621" s="22" t="str">
        <f aca="false">IF(AND(C1621&lt;&gt;"",C1621=CERTIFICADO!$E$4,OR(CERTIFICADO!$E$5="",B1621=CERTIFICADO!$E$5)),MAX($Y$4:Y1620)+1,"")</f>
        <v/>
      </c>
    </row>
    <row r="1622" customFormat="false" ht="15" hidden="false" customHeight="false" outlineLevel="0" collapsed="false">
      <c r="A1622" s="11" t="str">
        <f aca="false">IF(C1622="","",ROW()-4)</f>
        <v/>
      </c>
      <c r="B1622" s="12"/>
      <c r="C1622" s="13"/>
      <c r="D1622" s="23" t="str">
        <f aca="false">IF(C1622="","",IFERROR(INDEX(LOTES!$D$5:$D$1004,MATCH(C1622,LOTES!$F$5:$F$1004,0)),"¿Lote?"))</f>
        <v/>
      </c>
      <c r="E1622" s="11" t="str">
        <f aca="false">IF(C1622="","",IFERROR(INDEX(LOTES!$C$5:$C$1004,MATCH(C1622,LOTES!$F$5:$F$1004,0)),""))</f>
        <v/>
      </c>
      <c r="F1622" s="24" t="str">
        <f aca="false">IF(C1622="","",IFERROR(INDEX(LOTES!$B$5:$B$1004,MATCH(C1622,LOTES!$F$5:$F$1004,0)),""))</f>
        <v/>
      </c>
      <c r="G1622" s="15" t="str">
        <f aca="false">IF(OR(B1622="",F1622=""),"",B1622-F1622)</f>
        <v/>
      </c>
      <c r="H1622" s="13"/>
      <c r="I1622" s="13"/>
      <c r="J1622" s="13"/>
      <c r="K1622" s="25"/>
      <c r="L1622" s="25"/>
      <c r="M1622" s="25"/>
      <c r="N1622" s="25"/>
      <c r="O1622" s="26"/>
      <c r="P1622" s="16" t="str">
        <f aca="false">IF(O1622="","",IFERROR(1/(1/(IF(K1622="",INDEX(CONFIG!$F$5:$F$14,MATCH(D1622,CONFIG!$D$5:$D$14,0)),K1622)*IF(M1622="",INDEX(CONFIG!$H$5:$H$14,MATCH(D1622,CONFIG!$D$5:$D$14,0)),M1622))),""))</f>
        <v/>
      </c>
      <c r="Q1622" s="16" t="str">
        <f aca="false">IF(OR(O1622="",P1622=""),"",O1622/P1622)</f>
        <v/>
      </c>
      <c r="R1622" s="16" t="str">
        <f aca="false">IF(Q1622="","",Q1622*0.0980665)</f>
        <v/>
      </c>
      <c r="S1622" s="16" t="str">
        <f aca="false">IF(Q1622="","",IFERROR(Q1622/(1/(1/INDEX(CONFIG!$I$5:$I$14,MATCH(D1622,CONFIG!$D$5:$D$14,0)))),""))</f>
        <v/>
      </c>
      <c r="T1622" s="13"/>
      <c r="U1622" s="13"/>
      <c r="V1622" s="13"/>
      <c r="W1622" s="13"/>
      <c r="X1622" s="22" t="str">
        <f aca="false">IF(Q1622="","",Q1622^2)</f>
        <v/>
      </c>
      <c r="Y1622" s="22" t="str">
        <f aca="false">IF(AND(C1622&lt;&gt;"",C1622=CERTIFICADO!$E$4,OR(CERTIFICADO!$E$5="",B1622=CERTIFICADO!$E$5)),MAX($Y$4:Y1621)+1,"")</f>
        <v/>
      </c>
    </row>
    <row r="1623" customFormat="false" ht="15" hidden="false" customHeight="false" outlineLevel="0" collapsed="false">
      <c r="A1623" s="11" t="str">
        <f aca="false">IF(C1623="","",ROW()-4)</f>
        <v/>
      </c>
      <c r="B1623" s="12"/>
      <c r="C1623" s="13"/>
      <c r="D1623" s="23" t="str">
        <f aca="false">IF(C1623="","",IFERROR(INDEX(LOTES!$D$5:$D$1004,MATCH(C1623,LOTES!$F$5:$F$1004,0)),"¿Lote?"))</f>
        <v/>
      </c>
      <c r="E1623" s="11" t="str">
        <f aca="false">IF(C1623="","",IFERROR(INDEX(LOTES!$C$5:$C$1004,MATCH(C1623,LOTES!$F$5:$F$1004,0)),""))</f>
        <v/>
      </c>
      <c r="F1623" s="24" t="str">
        <f aca="false">IF(C1623="","",IFERROR(INDEX(LOTES!$B$5:$B$1004,MATCH(C1623,LOTES!$F$5:$F$1004,0)),""))</f>
        <v/>
      </c>
      <c r="G1623" s="15" t="str">
        <f aca="false">IF(OR(B1623="",F1623=""),"",B1623-F1623)</f>
        <v/>
      </c>
      <c r="H1623" s="13"/>
      <c r="I1623" s="13"/>
      <c r="J1623" s="13"/>
      <c r="K1623" s="25"/>
      <c r="L1623" s="25"/>
      <c r="M1623" s="25"/>
      <c r="N1623" s="25"/>
      <c r="O1623" s="26"/>
      <c r="P1623" s="16" t="str">
        <f aca="false">IF(O1623="","",IFERROR(1/(1/(IF(K1623="",INDEX(CONFIG!$F$5:$F$14,MATCH(D1623,CONFIG!$D$5:$D$14,0)),K1623)*IF(M1623="",INDEX(CONFIG!$H$5:$H$14,MATCH(D1623,CONFIG!$D$5:$D$14,0)),M1623))),""))</f>
        <v/>
      </c>
      <c r="Q1623" s="16" t="str">
        <f aca="false">IF(OR(O1623="",P1623=""),"",O1623/P1623)</f>
        <v/>
      </c>
      <c r="R1623" s="16" t="str">
        <f aca="false">IF(Q1623="","",Q1623*0.0980665)</f>
        <v/>
      </c>
      <c r="S1623" s="16" t="str">
        <f aca="false">IF(Q1623="","",IFERROR(Q1623/(1/(1/INDEX(CONFIG!$I$5:$I$14,MATCH(D1623,CONFIG!$D$5:$D$14,0)))),""))</f>
        <v/>
      </c>
      <c r="T1623" s="13"/>
      <c r="U1623" s="13"/>
      <c r="V1623" s="13"/>
      <c r="W1623" s="13"/>
      <c r="X1623" s="22" t="str">
        <f aca="false">IF(Q1623="","",Q1623^2)</f>
        <v/>
      </c>
      <c r="Y1623" s="22" t="str">
        <f aca="false">IF(AND(C1623&lt;&gt;"",C1623=CERTIFICADO!$E$4,OR(CERTIFICADO!$E$5="",B1623=CERTIFICADO!$E$5)),MAX($Y$4:Y1622)+1,"")</f>
        <v/>
      </c>
    </row>
    <row r="1624" customFormat="false" ht="15" hidden="false" customHeight="false" outlineLevel="0" collapsed="false">
      <c r="A1624" s="11" t="str">
        <f aca="false">IF(C1624="","",ROW()-4)</f>
        <v/>
      </c>
      <c r="B1624" s="12"/>
      <c r="C1624" s="13"/>
      <c r="D1624" s="23" t="str">
        <f aca="false">IF(C1624="","",IFERROR(INDEX(LOTES!$D$5:$D$1004,MATCH(C1624,LOTES!$F$5:$F$1004,0)),"¿Lote?"))</f>
        <v/>
      </c>
      <c r="E1624" s="11" t="str">
        <f aca="false">IF(C1624="","",IFERROR(INDEX(LOTES!$C$5:$C$1004,MATCH(C1624,LOTES!$F$5:$F$1004,0)),""))</f>
        <v/>
      </c>
      <c r="F1624" s="24" t="str">
        <f aca="false">IF(C1624="","",IFERROR(INDEX(LOTES!$B$5:$B$1004,MATCH(C1624,LOTES!$F$5:$F$1004,0)),""))</f>
        <v/>
      </c>
      <c r="G1624" s="15" t="str">
        <f aca="false">IF(OR(B1624="",F1624=""),"",B1624-F1624)</f>
        <v/>
      </c>
      <c r="H1624" s="13"/>
      <c r="I1624" s="13"/>
      <c r="J1624" s="13"/>
      <c r="K1624" s="25"/>
      <c r="L1624" s="25"/>
      <c r="M1624" s="25"/>
      <c r="N1624" s="25"/>
      <c r="O1624" s="26"/>
      <c r="P1624" s="16" t="str">
        <f aca="false">IF(O1624="","",IFERROR(1/(1/(IF(K1624="",INDEX(CONFIG!$F$5:$F$14,MATCH(D1624,CONFIG!$D$5:$D$14,0)),K1624)*IF(M1624="",INDEX(CONFIG!$H$5:$H$14,MATCH(D1624,CONFIG!$D$5:$D$14,0)),M1624))),""))</f>
        <v/>
      </c>
      <c r="Q1624" s="16" t="str">
        <f aca="false">IF(OR(O1624="",P1624=""),"",O1624/P1624)</f>
        <v/>
      </c>
      <c r="R1624" s="16" t="str">
        <f aca="false">IF(Q1624="","",Q1624*0.0980665)</f>
        <v/>
      </c>
      <c r="S1624" s="16" t="str">
        <f aca="false">IF(Q1624="","",IFERROR(Q1624/(1/(1/INDEX(CONFIG!$I$5:$I$14,MATCH(D1624,CONFIG!$D$5:$D$14,0)))),""))</f>
        <v/>
      </c>
      <c r="T1624" s="13"/>
      <c r="U1624" s="13"/>
      <c r="V1624" s="13"/>
      <c r="W1624" s="13"/>
      <c r="X1624" s="22" t="str">
        <f aca="false">IF(Q1624="","",Q1624^2)</f>
        <v/>
      </c>
      <c r="Y1624" s="22" t="str">
        <f aca="false">IF(AND(C1624&lt;&gt;"",C1624=CERTIFICADO!$E$4,OR(CERTIFICADO!$E$5="",B1624=CERTIFICADO!$E$5)),MAX($Y$4:Y1623)+1,"")</f>
        <v/>
      </c>
    </row>
    <row r="1625" customFormat="false" ht="15" hidden="false" customHeight="false" outlineLevel="0" collapsed="false">
      <c r="A1625" s="11" t="str">
        <f aca="false">IF(C1625="","",ROW()-4)</f>
        <v/>
      </c>
      <c r="B1625" s="12"/>
      <c r="C1625" s="13"/>
      <c r="D1625" s="23" t="str">
        <f aca="false">IF(C1625="","",IFERROR(INDEX(LOTES!$D$5:$D$1004,MATCH(C1625,LOTES!$F$5:$F$1004,0)),"¿Lote?"))</f>
        <v/>
      </c>
      <c r="E1625" s="11" t="str">
        <f aca="false">IF(C1625="","",IFERROR(INDEX(LOTES!$C$5:$C$1004,MATCH(C1625,LOTES!$F$5:$F$1004,0)),""))</f>
        <v/>
      </c>
      <c r="F1625" s="24" t="str">
        <f aca="false">IF(C1625="","",IFERROR(INDEX(LOTES!$B$5:$B$1004,MATCH(C1625,LOTES!$F$5:$F$1004,0)),""))</f>
        <v/>
      </c>
      <c r="G1625" s="15" t="str">
        <f aca="false">IF(OR(B1625="",F1625=""),"",B1625-F1625)</f>
        <v/>
      </c>
      <c r="H1625" s="13"/>
      <c r="I1625" s="13"/>
      <c r="J1625" s="13"/>
      <c r="K1625" s="25"/>
      <c r="L1625" s="25"/>
      <c r="M1625" s="25"/>
      <c r="N1625" s="25"/>
      <c r="O1625" s="26"/>
      <c r="P1625" s="16" t="str">
        <f aca="false">IF(O1625="","",IFERROR(1/(1/(IF(K1625="",INDEX(CONFIG!$F$5:$F$14,MATCH(D1625,CONFIG!$D$5:$D$14,0)),K1625)*IF(M1625="",INDEX(CONFIG!$H$5:$H$14,MATCH(D1625,CONFIG!$D$5:$D$14,0)),M1625))),""))</f>
        <v/>
      </c>
      <c r="Q1625" s="16" t="str">
        <f aca="false">IF(OR(O1625="",P1625=""),"",O1625/P1625)</f>
        <v/>
      </c>
      <c r="R1625" s="16" t="str">
        <f aca="false">IF(Q1625="","",Q1625*0.0980665)</f>
        <v/>
      </c>
      <c r="S1625" s="16" t="str">
        <f aca="false">IF(Q1625="","",IFERROR(Q1625/(1/(1/INDEX(CONFIG!$I$5:$I$14,MATCH(D1625,CONFIG!$D$5:$D$14,0)))),""))</f>
        <v/>
      </c>
      <c r="T1625" s="13"/>
      <c r="U1625" s="13"/>
      <c r="V1625" s="13"/>
      <c r="W1625" s="13"/>
      <c r="X1625" s="22" t="str">
        <f aca="false">IF(Q1625="","",Q1625^2)</f>
        <v/>
      </c>
      <c r="Y1625" s="22" t="str">
        <f aca="false">IF(AND(C1625&lt;&gt;"",C1625=CERTIFICADO!$E$4,OR(CERTIFICADO!$E$5="",B1625=CERTIFICADO!$E$5)),MAX($Y$4:Y1624)+1,"")</f>
        <v/>
      </c>
    </row>
    <row r="1626" customFormat="false" ht="15" hidden="false" customHeight="false" outlineLevel="0" collapsed="false">
      <c r="A1626" s="11" t="str">
        <f aca="false">IF(C1626="","",ROW()-4)</f>
        <v/>
      </c>
      <c r="B1626" s="12"/>
      <c r="C1626" s="13"/>
      <c r="D1626" s="23" t="str">
        <f aca="false">IF(C1626="","",IFERROR(INDEX(LOTES!$D$5:$D$1004,MATCH(C1626,LOTES!$F$5:$F$1004,0)),"¿Lote?"))</f>
        <v/>
      </c>
      <c r="E1626" s="11" t="str">
        <f aca="false">IF(C1626="","",IFERROR(INDEX(LOTES!$C$5:$C$1004,MATCH(C1626,LOTES!$F$5:$F$1004,0)),""))</f>
        <v/>
      </c>
      <c r="F1626" s="24" t="str">
        <f aca="false">IF(C1626="","",IFERROR(INDEX(LOTES!$B$5:$B$1004,MATCH(C1626,LOTES!$F$5:$F$1004,0)),""))</f>
        <v/>
      </c>
      <c r="G1626" s="15" t="str">
        <f aca="false">IF(OR(B1626="",F1626=""),"",B1626-F1626)</f>
        <v/>
      </c>
      <c r="H1626" s="13"/>
      <c r="I1626" s="13"/>
      <c r="J1626" s="13"/>
      <c r="K1626" s="25"/>
      <c r="L1626" s="25"/>
      <c r="M1626" s="25"/>
      <c r="N1626" s="25"/>
      <c r="O1626" s="26"/>
      <c r="P1626" s="16" t="str">
        <f aca="false">IF(O1626="","",IFERROR(1/(1/(IF(K1626="",INDEX(CONFIG!$F$5:$F$14,MATCH(D1626,CONFIG!$D$5:$D$14,0)),K1626)*IF(M1626="",INDEX(CONFIG!$H$5:$H$14,MATCH(D1626,CONFIG!$D$5:$D$14,0)),M1626))),""))</f>
        <v/>
      </c>
      <c r="Q1626" s="16" t="str">
        <f aca="false">IF(OR(O1626="",P1626=""),"",O1626/P1626)</f>
        <v/>
      </c>
      <c r="R1626" s="16" t="str">
        <f aca="false">IF(Q1626="","",Q1626*0.0980665)</f>
        <v/>
      </c>
      <c r="S1626" s="16" t="str">
        <f aca="false">IF(Q1626="","",IFERROR(Q1626/(1/(1/INDEX(CONFIG!$I$5:$I$14,MATCH(D1626,CONFIG!$D$5:$D$14,0)))),""))</f>
        <v/>
      </c>
      <c r="T1626" s="13"/>
      <c r="U1626" s="13"/>
      <c r="V1626" s="13"/>
      <c r="W1626" s="13"/>
      <c r="X1626" s="22" t="str">
        <f aca="false">IF(Q1626="","",Q1626^2)</f>
        <v/>
      </c>
      <c r="Y1626" s="22" t="str">
        <f aca="false">IF(AND(C1626&lt;&gt;"",C1626=CERTIFICADO!$E$4,OR(CERTIFICADO!$E$5="",B1626=CERTIFICADO!$E$5)),MAX($Y$4:Y1625)+1,"")</f>
        <v/>
      </c>
    </row>
    <row r="1627" customFormat="false" ht="15" hidden="false" customHeight="false" outlineLevel="0" collapsed="false">
      <c r="A1627" s="11" t="str">
        <f aca="false">IF(C1627="","",ROW()-4)</f>
        <v/>
      </c>
      <c r="B1627" s="12"/>
      <c r="C1627" s="13"/>
      <c r="D1627" s="23" t="str">
        <f aca="false">IF(C1627="","",IFERROR(INDEX(LOTES!$D$5:$D$1004,MATCH(C1627,LOTES!$F$5:$F$1004,0)),"¿Lote?"))</f>
        <v/>
      </c>
      <c r="E1627" s="11" t="str">
        <f aca="false">IF(C1627="","",IFERROR(INDEX(LOTES!$C$5:$C$1004,MATCH(C1627,LOTES!$F$5:$F$1004,0)),""))</f>
        <v/>
      </c>
      <c r="F1627" s="24" t="str">
        <f aca="false">IF(C1627="","",IFERROR(INDEX(LOTES!$B$5:$B$1004,MATCH(C1627,LOTES!$F$5:$F$1004,0)),""))</f>
        <v/>
      </c>
      <c r="G1627" s="15" t="str">
        <f aca="false">IF(OR(B1627="",F1627=""),"",B1627-F1627)</f>
        <v/>
      </c>
      <c r="H1627" s="13"/>
      <c r="I1627" s="13"/>
      <c r="J1627" s="13"/>
      <c r="K1627" s="25"/>
      <c r="L1627" s="25"/>
      <c r="M1627" s="25"/>
      <c r="N1627" s="25"/>
      <c r="O1627" s="26"/>
      <c r="P1627" s="16" t="str">
        <f aca="false">IF(O1627="","",IFERROR(1/(1/(IF(K1627="",INDEX(CONFIG!$F$5:$F$14,MATCH(D1627,CONFIG!$D$5:$D$14,0)),K1627)*IF(M1627="",INDEX(CONFIG!$H$5:$H$14,MATCH(D1627,CONFIG!$D$5:$D$14,0)),M1627))),""))</f>
        <v/>
      </c>
      <c r="Q1627" s="16" t="str">
        <f aca="false">IF(OR(O1627="",P1627=""),"",O1627/P1627)</f>
        <v/>
      </c>
      <c r="R1627" s="16" t="str">
        <f aca="false">IF(Q1627="","",Q1627*0.0980665)</f>
        <v/>
      </c>
      <c r="S1627" s="16" t="str">
        <f aca="false">IF(Q1627="","",IFERROR(Q1627/(1/(1/INDEX(CONFIG!$I$5:$I$14,MATCH(D1627,CONFIG!$D$5:$D$14,0)))),""))</f>
        <v/>
      </c>
      <c r="T1627" s="13"/>
      <c r="U1627" s="13"/>
      <c r="V1627" s="13"/>
      <c r="W1627" s="13"/>
      <c r="X1627" s="22" t="str">
        <f aca="false">IF(Q1627="","",Q1627^2)</f>
        <v/>
      </c>
      <c r="Y1627" s="22" t="str">
        <f aca="false">IF(AND(C1627&lt;&gt;"",C1627=CERTIFICADO!$E$4,OR(CERTIFICADO!$E$5="",B1627=CERTIFICADO!$E$5)),MAX($Y$4:Y1626)+1,"")</f>
        <v/>
      </c>
    </row>
    <row r="1628" customFormat="false" ht="15" hidden="false" customHeight="false" outlineLevel="0" collapsed="false">
      <c r="A1628" s="11" t="str">
        <f aca="false">IF(C1628="","",ROW()-4)</f>
        <v/>
      </c>
      <c r="B1628" s="12"/>
      <c r="C1628" s="13"/>
      <c r="D1628" s="23" t="str">
        <f aca="false">IF(C1628="","",IFERROR(INDEX(LOTES!$D$5:$D$1004,MATCH(C1628,LOTES!$F$5:$F$1004,0)),"¿Lote?"))</f>
        <v/>
      </c>
      <c r="E1628" s="11" t="str">
        <f aca="false">IF(C1628="","",IFERROR(INDEX(LOTES!$C$5:$C$1004,MATCH(C1628,LOTES!$F$5:$F$1004,0)),""))</f>
        <v/>
      </c>
      <c r="F1628" s="24" t="str">
        <f aca="false">IF(C1628="","",IFERROR(INDEX(LOTES!$B$5:$B$1004,MATCH(C1628,LOTES!$F$5:$F$1004,0)),""))</f>
        <v/>
      </c>
      <c r="G1628" s="15" t="str">
        <f aca="false">IF(OR(B1628="",F1628=""),"",B1628-F1628)</f>
        <v/>
      </c>
      <c r="H1628" s="13"/>
      <c r="I1628" s="13"/>
      <c r="J1628" s="13"/>
      <c r="K1628" s="25"/>
      <c r="L1628" s="25"/>
      <c r="M1628" s="25"/>
      <c r="N1628" s="25"/>
      <c r="O1628" s="26"/>
      <c r="P1628" s="16" t="str">
        <f aca="false">IF(O1628="","",IFERROR(1/(1/(IF(K1628="",INDEX(CONFIG!$F$5:$F$14,MATCH(D1628,CONFIG!$D$5:$D$14,0)),K1628)*IF(M1628="",INDEX(CONFIG!$H$5:$H$14,MATCH(D1628,CONFIG!$D$5:$D$14,0)),M1628))),""))</f>
        <v/>
      </c>
      <c r="Q1628" s="16" t="str">
        <f aca="false">IF(OR(O1628="",P1628=""),"",O1628/P1628)</f>
        <v/>
      </c>
      <c r="R1628" s="16" t="str">
        <f aca="false">IF(Q1628="","",Q1628*0.0980665)</f>
        <v/>
      </c>
      <c r="S1628" s="16" t="str">
        <f aca="false">IF(Q1628="","",IFERROR(Q1628/(1/(1/INDEX(CONFIG!$I$5:$I$14,MATCH(D1628,CONFIG!$D$5:$D$14,0)))),""))</f>
        <v/>
      </c>
      <c r="T1628" s="13"/>
      <c r="U1628" s="13"/>
      <c r="V1628" s="13"/>
      <c r="W1628" s="13"/>
      <c r="X1628" s="22" t="str">
        <f aca="false">IF(Q1628="","",Q1628^2)</f>
        <v/>
      </c>
      <c r="Y1628" s="22" t="str">
        <f aca="false">IF(AND(C1628&lt;&gt;"",C1628=CERTIFICADO!$E$4,OR(CERTIFICADO!$E$5="",B1628=CERTIFICADO!$E$5)),MAX($Y$4:Y1627)+1,"")</f>
        <v/>
      </c>
    </row>
    <row r="1629" customFormat="false" ht="15" hidden="false" customHeight="false" outlineLevel="0" collapsed="false">
      <c r="A1629" s="11" t="str">
        <f aca="false">IF(C1629="","",ROW()-4)</f>
        <v/>
      </c>
      <c r="B1629" s="12"/>
      <c r="C1629" s="13"/>
      <c r="D1629" s="23" t="str">
        <f aca="false">IF(C1629="","",IFERROR(INDEX(LOTES!$D$5:$D$1004,MATCH(C1629,LOTES!$F$5:$F$1004,0)),"¿Lote?"))</f>
        <v/>
      </c>
      <c r="E1629" s="11" t="str">
        <f aca="false">IF(C1629="","",IFERROR(INDEX(LOTES!$C$5:$C$1004,MATCH(C1629,LOTES!$F$5:$F$1004,0)),""))</f>
        <v/>
      </c>
      <c r="F1629" s="24" t="str">
        <f aca="false">IF(C1629="","",IFERROR(INDEX(LOTES!$B$5:$B$1004,MATCH(C1629,LOTES!$F$5:$F$1004,0)),""))</f>
        <v/>
      </c>
      <c r="G1629" s="15" t="str">
        <f aca="false">IF(OR(B1629="",F1629=""),"",B1629-F1629)</f>
        <v/>
      </c>
      <c r="H1629" s="13"/>
      <c r="I1629" s="13"/>
      <c r="J1629" s="13"/>
      <c r="K1629" s="25"/>
      <c r="L1629" s="25"/>
      <c r="M1629" s="25"/>
      <c r="N1629" s="25"/>
      <c r="O1629" s="26"/>
      <c r="P1629" s="16" t="str">
        <f aca="false">IF(O1629="","",IFERROR(1/(1/(IF(K1629="",INDEX(CONFIG!$F$5:$F$14,MATCH(D1629,CONFIG!$D$5:$D$14,0)),K1629)*IF(M1629="",INDEX(CONFIG!$H$5:$H$14,MATCH(D1629,CONFIG!$D$5:$D$14,0)),M1629))),""))</f>
        <v/>
      </c>
      <c r="Q1629" s="16" t="str">
        <f aca="false">IF(OR(O1629="",P1629=""),"",O1629/P1629)</f>
        <v/>
      </c>
      <c r="R1629" s="16" t="str">
        <f aca="false">IF(Q1629="","",Q1629*0.0980665)</f>
        <v/>
      </c>
      <c r="S1629" s="16" t="str">
        <f aca="false">IF(Q1629="","",IFERROR(Q1629/(1/(1/INDEX(CONFIG!$I$5:$I$14,MATCH(D1629,CONFIG!$D$5:$D$14,0)))),""))</f>
        <v/>
      </c>
      <c r="T1629" s="13"/>
      <c r="U1629" s="13"/>
      <c r="V1629" s="13"/>
      <c r="W1629" s="13"/>
      <c r="X1629" s="22" t="str">
        <f aca="false">IF(Q1629="","",Q1629^2)</f>
        <v/>
      </c>
      <c r="Y1629" s="22" t="str">
        <f aca="false">IF(AND(C1629&lt;&gt;"",C1629=CERTIFICADO!$E$4,OR(CERTIFICADO!$E$5="",B1629=CERTIFICADO!$E$5)),MAX($Y$4:Y1628)+1,"")</f>
        <v/>
      </c>
    </row>
    <row r="1630" customFormat="false" ht="15" hidden="false" customHeight="false" outlineLevel="0" collapsed="false">
      <c r="A1630" s="11" t="str">
        <f aca="false">IF(C1630="","",ROW()-4)</f>
        <v/>
      </c>
      <c r="B1630" s="12"/>
      <c r="C1630" s="13"/>
      <c r="D1630" s="23" t="str">
        <f aca="false">IF(C1630="","",IFERROR(INDEX(LOTES!$D$5:$D$1004,MATCH(C1630,LOTES!$F$5:$F$1004,0)),"¿Lote?"))</f>
        <v/>
      </c>
      <c r="E1630" s="11" t="str">
        <f aca="false">IF(C1630="","",IFERROR(INDEX(LOTES!$C$5:$C$1004,MATCH(C1630,LOTES!$F$5:$F$1004,0)),""))</f>
        <v/>
      </c>
      <c r="F1630" s="24" t="str">
        <f aca="false">IF(C1630="","",IFERROR(INDEX(LOTES!$B$5:$B$1004,MATCH(C1630,LOTES!$F$5:$F$1004,0)),""))</f>
        <v/>
      </c>
      <c r="G1630" s="15" t="str">
        <f aca="false">IF(OR(B1630="",F1630=""),"",B1630-F1630)</f>
        <v/>
      </c>
      <c r="H1630" s="13"/>
      <c r="I1630" s="13"/>
      <c r="J1630" s="13"/>
      <c r="K1630" s="25"/>
      <c r="L1630" s="25"/>
      <c r="M1630" s="25"/>
      <c r="N1630" s="25"/>
      <c r="O1630" s="26"/>
      <c r="P1630" s="16" t="str">
        <f aca="false">IF(O1630="","",IFERROR(1/(1/(IF(K1630="",INDEX(CONFIG!$F$5:$F$14,MATCH(D1630,CONFIG!$D$5:$D$14,0)),K1630)*IF(M1630="",INDEX(CONFIG!$H$5:$H$14,MATCH(D1630,CONFIG!$D$5:$D$14,0)),M1630))),""))</f>
        <v/>
      </c>
      <c r="Q1630" s="16" t="str">
        <f aca="false">IF(OR(O1630="",P1630=""),"",O1630/P1630)</f>
        <v/>
      </c>
      <c r="R1630" s="16" t="str">
        <f aca="false">IF(Q1630="","",Q1630*0.0980665)</f>
        <v/>
      </c>
      <c r="S1630" s="16" t="str">
        <f aca="false">IF(Q1630="","",IFERROR(Q1630/(1/(1/INDEX(CONFIG!$I$5:$I$14,MATCH(D1630,CONFIG!$D$5:$D$14,0)))),""))</f>
        <v/>
      </c>
      <c r="T1630" s="13"/>
      <c r="U1630" s="13"/>
      <c r="V1630" s="13"/>
      <c r="W1630" s="13"/>
      <c r="X1630" s="22" t="str">
        <f aca="false">IF(Q1630="","",Q1630^2)</f>
        <v/>
      </c>
      <c r="Y1630" s="22" t="str">
        <f aca="false">IF(AND(C1630&lt;&gt;"",C1630=CERTIFICADO!$E$4,OR(CERTIFICADO!$E$5="",B1630=CERTIFICADO!$E$5)),MAX($Y$4:Y1629)+1,"")</f>
        <v/>
      </c>
    </row>
    <row r="1631" customFormat="false" ht="15" hidden="false" customHeight="false" outlineLevel="0" collapsed="false">
      <c r="A1631" s="11" t="str">
        <f aca="false">IF(C1631="","",ROW()-4)</f>
        <v/>
      </c>
      <c r="B1631" s="12"/>
      <c r="C1631" s="13"/>
      <c r="D1631" s="23" t="str">
        <f aca="false">IF(C1631="","",IFERROR(INDEX(LOTES!$D$5:$D$1004,MATCH(C1631,LOTES!$F$5:$F$1004,0)),"¿Lote?"))</f>
        <v/>
      </c>
      <c r="E1631" s="11" t="str">
        <f aca="false">IF(C1631="","",IFERROR(INDEX(LOTES!$C$5:$C$1004,MATCH(C1631,LOTES!$F$5:$F$1004,0)),""))</f>
        <v/>
      </c>
      <c r="F1631" s="24" t="str">
        <f aca="false">IF(C1631="","",IFERROR(INDEX(LOTES!$B$5:$B$1004,MATCH(C1631,LOTES!$F$5:$F$1004,0)),""))</f>
        <v/>
      </c>
      <c r="G1631" s="15" t="str">
        <f aca="false">IF(OR(B1631="",F1631=""),"",B1631-F1631)</f>
        <v/>
      </c>
      <c r="H1631" s="13"/>
      <c r="I1631" s="13"/>
      <c r="J1631" s="13"/>
      <c r="K1631" s="25"/>
      <c r="L1631" s="25"/>
      <c r="M1631" s="25"/>
      <c r="N1631" s="25"/>
      <c r="O1631" s="26"/>
      <c r="P1631" s="16" t="str">
        <f aca="false">IF(O1631="","",IFERROR(1/(1/(IF(K1631="",INDEX(CONFIG!$F$5:$F$14,MATCH(D1631,CONFIG!$D$5:$D$14,0)),K1631)*IF(M1631="",INDEX(CONFIG!$H$5:$H$14,MATCH(D1631,CONFIG!$D$5:$D$14,0)),M1631))),""))</f>
        <v/>
      </c>
      <c r="Q1631" s="16" t="str">
        <f aca="false">IF(OR(O1631="",P1631=""),"",O1631/P1631)</f>
        <v/>
      </c>
      <c r="R1631" s="16" t="str">
        <f aca="false">IF(Q1631="","",Q1631*0.0980665)</f>
        <v/>
      </c>
      <c r="S1631" s="16" t="str">
        <f aca="false">IF(Q1631="","",IFERROR(Q1631/(1/(1/INDEX(CONFIG!$I$5:$I$14,MATCH(D1631,CONFIG!$D$5:$D$14,0)))),""))</f>
        <v/>
      </c>
      <c r="T1631" s="13"/>
      <c r="U1631" s="13"/>
      <c r="V1631" s="13"/>
      <c r="W1631" s="13"/>
      <c r="X1631" s="22" t="str">
        <f aca="false">IF(Q1631="","",Q1631^2)</f>
        <v/>
      </c>
      <c r="Y1631" s="22" t="str">
        <f aca="false">IF(AND(C1631&lt;&gt;"",C1631=CERTIFICADO!$E$4,OR(CERTIFICADO!$E$5="",B1631=CERTIFICADO!$E$5)),MAX($Y$4:Y1630)+1,"")</f>
        <v/>
      </c>
    </row>
    <row r="1632" customFormat="false" ht="15" hidden="false" customHeight="false" outlineLevel="0" collapsed="false">
      <c r="A1632" s="11" t="str">
        <f aca="false">IF(C1632="","",ROW()-4)</f>
        <v/>
      </c>
      <c r="B1632" s="12"/>
      <c r="C1632" s="13"/>
      <c r="D1632" s="23" t="str">
        <f aca="false">IF(C1632="","",IFERROR(INDEX(LOTES!$D$5:$D$1004,MATCH(C1632,LOTES!$F$5:$F$1004,0)),"¿Lote?"))</f>
        <v/>
      </c>
      <c r="E1632" s="11" t="str">
        <f aca="false">IF(C1632="","",IFERROR(INDEX(LOTES!$C$5:$C$1004,MATCH(C1632,LOTES!$F$5:$F$1004,0)),""))</f>
        <v/>
      </c>
      <c r="F1632" s="24" t="str">
        <f aca="false">IF(C1632="","",IFERROR(INDEX(LOTES!$B$5:$B$1004,MATCH(C1632,LOTES!$F$5:$F$1004,0)),""))</f>
        <v/>
      </c>
      <c r="G1632" s="15" t="str">
        <f aca="false">IF(OR(B1632="",F1632=""),"",B1632-F1632)</f>
        <v/>
      </c>
      <c r="H1632" s="13"/>
      <c r="I1632" s="13"/>
      <c r="J1632" s="13"/>
      <c r="K1632" s="25"/>
      <c r="L1632" s="25"/>
      <c r="M1632" s="25"/>
      <c r="N1632" s="25"/>
      <c r="O1632" s="26"/>
      <c r="P1632" s="16" t="str">
        <f aca="false">IF(O1632="","",IFERROR(1/(1/(IF(K1632="",INDEX(CONFIG!$F$5:$F$14,MATCH(D1632,CONFIG!$D$5:$D$14,0)),K1632)*IF(M1632="",INDEX(CONFIG!$H$5:$H$14,MATCH(D1632,CONFIG!$D$5:$D$14,0)),M1632))),""))</f>
        <v/>
      </c>
      <c r="Q1632" s="16" t="str">
        <f aca="false">IF(OR(O1632="",P1632=""),"",O1632/P1632)</f>
        <v/>
      </c>
      <c r="R1632" s="16" t="str">
        <f aca="false">IF(Q1632="","",Q1632*0.0980665)</f>
        <v/>
      </c>
      <c r="S1632" s="16" t="str">
        <f aca="false">IF(Q1632="","",IFERROR(Q1632/(1/(1/INDEX(CONFIG!$I$5:$I$14,MATCH(D1632,CONFIG!$D$5:$D$14,0)))),""))</f>
        <v/>
      </c>
      <c r="T1632" s="13"/>
      <c r="U1632" s="13"/>
      <c r="V1632" s="13"/>
      <c r="W1632" s="13"/>
      <c r="X1632" s="22" t="str">
        <f aca="false">IF(Q1632="","",Q1632^2)</f>
        <v/>
      </c>
      <c r="Y1632" s="22" t="str">
        <f aca="false">IF(AND(C1632&lt;&gt;"",C1632=CERTIFICADO!$E$4,OR(CERTIFICADO!$E$5="",B1632=CERTIFICADO!$E$5)),MAX($Y$4:Y1631)+1,"")</f>
        <v/>
      </c>
    </row>
    <row r="1633" customFormat="false" ht="15" hidden="false" customHeight="false" outlineLevel="0" collapsed="false">
      <c r="A1633" s="11" t="str">
        <f aca="false">IF(C1633="","",ROW()-4)</f>
        <v/>
      </c>
      <c r="B1633" s="12"/>
      <c r="C1633" s="13"/>
      <c r="D1633" s="23" t="str">
        <f aca="false">IF(C1633="","",IFERROR(INDEX(LOTES!$D$5:$D$1004,MATCH(C1633,LOTES!$F$5:$F$1004,0)),"¿Lote?"))</f>
        <v/>
      </c>
      <c r="E1633" s="11" t="str">
        <f aca="false">IF(C1633="","",IFERROR(INDEX(LOTES!$C$5:$C$1004,MATCH(C1633,LOTES!$F$5:$F$1004,0)),""))</f>
        <v/>
      </c>
      <c r="F1633" s="24" t="str">
        <f aca="false">IF(C1633="","",IFERROR(INDEX(LOTES!$B$5:$B$1004,MATCH(C1633,LOTES!$F$5:$F$1004,0)),""))</f>
        <v/>
      </c>
      <c r="G1633" s="15" t="str">
        <f aca="false">IF(OR(B1633="",F1633=""),"",B1633-F1633)</f>
        <v/>
      </c>
      <c r="H1633" s="13"/>
      <c r="I1633" s="13"/>
      <c r="J1633" s="13"/>
      <c r="K1633" s="25"/>
      <c r="L1633" s="25"/>
      <c r="M1633" s="25"/>
      <c r="N1633" s="25"/>
      <c r="O1633" s="26"/>
      <c r="P1633" s="16" t="str">
        <f aca="false">IF(O1633="","",IFERROR(1/(1/(IF(K1633="",INDEX(CONFIG!$F$5:$F$14,MATCH(D1633,CONFIG!$D$5:$D$14,0)),K1633)*IF(M1633="",INDEX(CONFIG!$H$5:$H$14,MATCH(D1633,CONFIG!$D$5:$D$14,0)),M1633))),""))</f>
        <v/>
      </c>
      <c r="Q1633" s="16" t="str">
        <f aca="false">IF(OR(O1633="",P1633=""),"",O1633/P1633)</f>
        <v/>
      </c>
      <c r="R1633" s="16" t="str">
        <f aca="false">IF(Q1633="","",Q1633*0.0980665)</f>
        <v/>
      </c>
      <c r="S1633" s="16" t="str">
        <f aca="false">IF(Q1633="","",IFERROR(Q1633/(1/(1/INDEX(CONFIG!$I$5:$I$14,MATCH(D1633,CONFIG!$D$5:$D$14,0)))),""))</f>
        <v/>
      </c>
      <c r="T1633" s="13"/>
      <c r="U1633" s="13"/>
      <c r="V1633" s="13"/>
      <c r="W1633" s="13"/>
      <c r="X1633" s="22" t="str">
        <f aca="false">IF(Q1633="","",Q1633^2)</f>
        <v/>
      </c>
      <c r="Y1633" s="22" t="str">
        <f aca="false">IF(AND(C1633&lt;&gt;"",C1633=CERTIFICADO!$E$4,OR(CERTIFICADO!$E$5="",B1633=CERTIFICADO!$E$5)),MAX($Y$4:Y1632)+1,"")</f>
        <v/>
      </c>
    </row>
    <row r="1634" customFormat="false" ht="15" hidden="false" customHeight="false" outlineLevel="0" collapsed="false">
      <c r="A1634" s="11" t="str">
        <f aca="false">IF(C1634="","",ROW()-4)</f>
        <v/>
      </c>
      <c r="B1634" s="12"/>
      <c r="C1634" s="13"/>
      <c r="D1634" s="23" t="str">
        <f aca="false">IF(C1634="","",IFERROR(INDEX(LOTES!$D$5:$D$1004,MATCH(C1634,LOTES!$F$5:$F$1004,0)),"¿Lote?"))</f>
        <v/>
      </c>
      <c r="E1634" s="11" t="str">
        <f aca="false">IF(C1634="","",IFERROR(INDEX(LOTES!$C$5:$C$1004,MATCH(C1634,LOTES!$F$5:$F$1004,0)),""))</f>
        <v/>
      </c>
      <c r="F1634" s="24" t="str">
        <f aca="false">IF(C1634="","",IFERROR(INDEX(LOTES!$B$5:$B$1004,MATCH(C1634,LOTES!$F$5:$F$1004,0)),""))</f>
        <v/>
      </c>
      <c r="G1634" s="15" t="str">
        <f aca="false">IF(OR(B1634="",F1634=""),"",B1634-F1634)</f>
        <v/>
      </c>
      <c r="H1634" s="13"/>
      <c r="I1634" s="13"/>
      <c r="J1634" s="13"/>
      <c r="K1634" s="25"/>
      <c r="L1634" s="25"/>
      <c r="M1634" s="25"/>
      <c r="N1634" s="25"/>
      <c r="O1634" s="26"/>
      <c r="P1634" s="16" t="str">
        <f aca="false">IF(O1634="","",IFERROR(1/(1/(IF(K1634="",INDEX(CONFIG!$F$5:$F$14,MATCH(D1634,CONFIG!$D$5:$D$14,0)),K1634)*IF(M1634="",INDEX(CONFIG!$H$5:$H$14,MATCH(D1634,CONFIG!$D$5:$D$14,0)),M1634))),""))</f>
        <v/>
      </c>
      <c r="Q1634" s="16" t="str">
        <f aca="false">IF(OR(O1634="",P1634=""),"",O1634/P1634)</f>
        <v/>
      </c>
      <c r="R1634" s="16" t="str">
        <f aca="false">IF(Q1634="","",Q1634*0.0980665)</f>
        <v/>
      </c>
      <c r="S1634" s="16" t="str">
        <f aca="false">IF(Q1634="","",IFERROR(Q1634/(1/(1/INDEX(CONFIG!$I$5:$I$14,MATCH(D1634,CONFIG!$D$5:$D$14,0)))),""))</f>
        <v/>
      </c>
      <c r="T1634" s="13"/>
      <c r="U1634" s="13"/>
      <c r="V1634" s="13"/>
      <c r="W1634" s="13"/>
      <c r="X1634" s="22" t="str">
        <f aca="false">IF(Q1634="","",Q1634^2)</f>
        <v/>
      </c>
      <c r="Y1634" s="22" t="str">
        <f aca="false">IF(AND(C1634&lt;&gt;"",C1634=CERTIFICADO!$E$4,OR(CERTIFICADO!$E$5="",B1634=CERTIFICADO!$E$5)),MAX($Y$4:Y1633)+1,"")</f>
        <v/>
      </c>
    </row>
    <row r="1635" customFormat="false" ht="15" hidden="false" customHeight="false" outlineLevel="0" collapsed="false">
      <c r="A1635" s="11" t="str">
        <f aca="false">IF(C1635="","",ROW()-4)</f>
        <v/>
      </c>
      <c r="B1635" s="12"/>
      <c r="C1635" s="13"/>
      <c r="D1635" s="23" t="str">
        <f aca="false">IF(C1635="","",IFERROR(INDEX(LOTES!$D$5:$D$1004,MATCH(C1635,LOTES!$F$5:$F$1004,0)),"¿Lote?"))</f>
        <v/>
      </c>
      <c r="E1635" s="11" t="str">
        <f aca="false">IF(C1635="","",IFERROR(INDEX(LOTES!$C$5:$C$1004,MATCH(C1635,LOTES!$F$5:$F$1004,0)),""))</f>
        <v/>
      </c>
      <c r="F1635" s="24" t="str">
        <f aca="false">IF(C1635="","",IFERROR(INDEX(LOTES!$B$5:$B$1004,MATCH(C1635,LOTES!$F$5:$F$1004,0)),""))</f>
        <v/>
      </c>
      <c r="G1635" s="15" t="str">
        <f aca="false">IF(OR(B1635="",F1635=""),"",B1635-F1635)</f>
        <v/>
      </c>
      <c r="H1635" s="13"/>
      <c r="I1635" s="13"/>
      <c r="J1635" s="13"/>
      <c r="K1635" s="25"/>
      <c r="L1635" s="25"/>
      <c r="M1635" s="25"/>
      <c r="N1635" s="25"/>
      <c r="O1635" s="26"/>
      <c r="P1635" s="16" t="str">
        <f aca="false">IF(O1635="","",IFERROR(1/(1/(IF(K1635="",INDEX(CONFIG!$F$5:$F$14,MATCH(D1635,CONFIG!$D$5:$D$14,0)),K1635)*IF(M1635="",INDEX(CONFIG!$H$5:$H$14,MATCH(D1635,CONFIG!$D$5:$D$14,0)),M1635))),""))</f>
        <v/>
      </c>
      <c r="Q1635" s="16" t="str">
        <f aca="false">IF(OR(O1635="",P1635=""),"",O1635/P1635)</f>
        <v/>
      </c>
      <c r="R1635" s="16" t="str">
        <f aca="false">IF(Q1635="","",Q1635*0.0980665)</f>
        <v/>
      </c>
      <c r="S1635" s="16" t="str">
        <f aca="false">IF(Q1635="","",IFERROR(Q1635/(1/(1/INDEX(CONFIG!$I$5:$I$14,MATCH(D1635,CONFIG!$D$5:$D$14,0)))),""))</f>
        <v/>
      </c>
      <c r="T1635" s="13"/>
      <c r="U1635" s="13"/>
      <c r="V1635" s="13"/>
      <c r="W1635" s="13"/>
      <c r="X1635" s="22" t="str">
        <f aca="false">IF(Q1635="","",Q1635^2)</f>
        <v/>
      </c>
      <c r="Y1635" s="22" t="str">
        <f aca="false">IF(AND(C1635&lt;&gt;"",C1635=CERTIFICADO!$E$4,OR(CERTIFICADO!$E$5="",B1635=CERTIFICADO!$E$5)),MAX($Y$4:Y1634)+1,"")</f>
        <v/>
      </c>
    </row>
    <row r="1636" customFormat="false" ht="15" hidden="false" customHeight="false" outlineLevel="0" collapsed="false">
      <c r="A1636" s="11" t="str">
        <f aca="false">IF(C1636="","",ROW()-4)</f>
        <v/>
      </c>
      <c r="B1636" s="12"/>
      <c r="C1636" s="13"/>
      <c r="D1636" s="23" t="str">
        <f aca="false">IF(C1636="","",IFERROR(INDEX(LOTES!$D$5:$D$1004,MATCH(C1636,LOTES!$F$5:$F$1004,0)),"¿Lote?"))</f>
        <v/>
      </c>
      <c r="E1636" s="11" t="str">
        <f aca="false">IF(C1636="","",IFERROR(INDEX(LOTES!$C$5:$C$1004,MATCH(C1636,LOTES!$F$5:$F$1004,0)),""))</f>
        <v/>
      </c>
      <c r="F1636" s="24" t="str">
        <f aca="false">IF(C1636="","",IFERROR(INDEX(LOTES!$B$5:$B$1004,MATCH(C1636,LOTES!$F$5:$F$1004,0)),""))</f>
        <v/>
      </c>
      <c r="G1636" s="15" t="str">
        <f aca="false">IF(OR(B1636="",F1636=""),"",B1636-F1636)</f>
        <v/>
      </c>
      <c r="H1636" s="13"/>
      <c r="I1636" s="13"/>
      <c r="J1636" s="13"/>
      <c r="K1636" s="25"/>
      <c r="L1636" s="25"/>
      <c r="M1636" s="25"/>
      <c r="N1636" s="25"/>
      <c r="O1636" s="26"/>
      <c r="P1636" s="16" t="str">
        <f aca="false">IF(O1636="","",IFERROR(1/(1/(IF(K1636="",INDEX(CONFIG!$F$5:$F$14,MATCH(D1636,CONFIG!$D$5:$D$14,0)),K1636)*IF(M1636="",INDEX(CONFIG!$H$5:$H$14,MATCH(D1636,CONFIG!$D$5:$D$14,0)),M1636))),""))</f>
        <v/>
      </c>
      <c r="Q1636" s="16" t="str">
        <f aca="false">IF(OR(O1636="",P1636=""),"",O1636/P1636)</f>
        <v/>
      </c>
      <c r="R1636" s="16" t="str">
        <f aca="false">IF(Q1636="","",Q1636*0.0980665)</f>
        <v/>
      </c>
      <c r="S1636" s="16" t="str">
        <f aca="false">IF(Q1636="","",IFERROR(Q1636/(1/(1/INDEX(CONFIG!$I$5:$I$14,MATCH(D1636,CONFIG!$D$5:$D$14,0)))),""))</f>
        <v/>
      </c>
      <c r="T1636" s="13"/>
      <c r="U1636" s="13"/>
      <c r="V1636" s="13"/>
      <c r="W1636" s="13"/>
      <c r="X1636" s="22" t="str">
        <f aca="false">IF(Q1636="","",Q1636^2)</f>
        <v/>
      </c>
      <c r="Y1636" s="22" t="str">
        <f aca="false">IF(AND(C1636&lt;&gt;"",C1636=CERTIFICADO!$E$4,OR(CERTIFICADO!$E$5="",B1636=CERTIFICADO!$E$5)),MAX($Y$4:Y1635)+1,"")</f>
        <v/>
      </c>
    </row>
    <row r="1637" customFormat="false" ht="15" hidden="false" customHeight="false" outlineLevel="0" collapsed="false">
      <c r="A1637" s="11" t="str">
        <f aca="false">IF(C1637="","",ROW()-4)</f>
        <v/>
      </c>
      <c r="B1637" s="12"/>
      <c r="C1637" s="13"/>
      <c r="D1637" s="23" t="str">
        <f aca="false">IF(C1637="","",IFERROR(INDEX(LOTES!$D$5:$D$1004,MATCH(C1637,LOTES!$F$5:$F$1004,0)),"¿Lote?"))</f>
        <v/>
      </c>
      <c r="E1637" s="11" t="str">
        <f aca="false">IF(C1637="","",IFERROR(INDEX(LOTES!$C$5:$C$1004,MATCH(C1637,LOTES!$F$5:$F$1004,0)),""))</f>
        <v/>
      </c>
      <c r="F1637" s="24" t="str">
        <f aca="false">IF(C1637="","",IFERROR(INDEX(LOTES!$B$5:$B$1004,MATCH(C1637,LOTES!$F$5:$F$1004,0)),""))</f>
        <v/>
      </c>
      <c r="G1637" s="15" t="str">
        <f aca="false">IF(OR(B1637="",F1637=""),"",B1637-F1637)</f>
        <v/>
      </c>
      <c r="H1637" s="13"/>
      <c r="I1637" s="13"/>
      <c r="J1637" s="13"/>
      <c r="K1637" s="25"/>
      <c r="L1637" s="25"/>
      <c r="M1637" s="25"/>
      <c r="N1637" s="25"/>
      <c r="O1637" s="26"/>
      <c r="P1637" s="16" t="str">
        <f aca="false">IF(O1637="","",IFERROR(1/(1/(IF(K1637="",INDEX(CONFIG!$F$5:$F$14,MATCH(D1637,CONFIG!$D$5:$D$14,0)),K1637)*IF(M1637="",INDEX(CONFIG!$H$5:$H$14,MATCH(D1637,CONFIG!$D$5:$D$14,0)),M1637))),""))</f>
        <v/>
      </c>
      <c r="Q1637" s="16" t="str">
        <f aca="false">IF(OR(O1637="",P1637=""),"",O1637/P1637)</f>
        <v/>
      </c>
      <c r="R1637" s="16" t="str">
        <f aca="false">IF(Q1637="","",Q1637*0.0980665)</f>
        <v/>
      </c>
      <c r="S1637" s="16" t="str">
        <f aca="false">IF(Q1637="","",IFERROR(Q1637/(1/(1/INDEX(CONFIG!$I$5:$I$14,MATCH(D1637,CONFIG!$D$5:$D$14,0)))),""))</f>
        <v/>
      </c>
      <c r="T1637" s="13"/>
      <c r="U1637" s="13"/>
      <c r="V1637" s="13"/>
      <c r="W1637" s="13"/>
      <c r="X1637" s="22" t="str">
        <f aca="false">IF(Q1637="","",Q1637^2)</f>
        <v/>
      </c>
      <c r="Y1637" s="22" t="str">
        <f aca="false">IF(AND(C1637&lt;&gt;"",C1637=CERTIFICADO!$E$4,OR(CERTIFICADO!$E$5="",B1637=CERTIFICADO!$E$5)),MAX($Y$4:Y1636)+1,"")</f>
        <v/>
      </c>
    </row>
    <row r="1638" customFormat="false" ht="15" hidden="false" customHeight="false" outlineLevel="0" collapsed="false">
      <c r="A1638" s="11" t="str">
        <f aca="false">IF(C1638="","",ROW()-4)</f>
        <v/>
      </c>
      <c r="B1638" s="12"/>
      <c r="C1638" s="13"/>
      <c r="D1638" s="23" t="str">
        <f aca="false">IF(C1638="","",IFERROR(INDEX(LOTES!$D$5:$D$1004,MATCH(C1638,LOTES!$F$5:$F$1004,0)),"¿Lote?"))</f>
        <v/>
      </c>
      <c r="E1638" s="11" t="str">
        <f aca="false">IF(C1638="","",IFERROR(INDEX(LOTES!$C$5:$C$1004,MATCH(C1638,LOTES!$F$5:$F$1004,0)),""))</f>
        <v/>
      </c>
      <c r="F1638" s="24" t="str">
        <f aca="false">IF(C1638="","",IFERROR(INDEX(LOTES!$B$5:$B$1004,MATCH(C1638,LOTES!$F$5:$F$1004,0)),""))</f>
        <v/>
      </c>
      <c r="G1638" s="15" t="str">
        <f aca="false">IF(OR(B1638="",F1638=""),"",B1638-F1638)</f>
        <v/>
      </c>
      <c r="H1638" s="13"/>
      <c r="I1638" s="13"/>
      <c r="J1638" s="13"/>
      <c r="K1638" s="25"/>
      <c r="L1638" s="25"/>
      <c r="M1638" s="25"/>
      <c r="N1638" s="25"/>
      <c r="O1638" s="26"/>
      <c r="P1638" s="16" t="str">
        <f aca="false">IF(O1638="","",IFERROR(1/(1/(IF(K1638="",INDEX(CONFIG!$F$5:$F$14,MATCH(D1638,CONFIG!$D$5:$D$14,0)),K1638)*IF(M1638="",INDEX(CONFIG!$H$5:$H$14,MATCH(D1638,CONFIG!$D$5:$D$14,0)),M1638))),""))</f>
        <v/>
      </c>
      <c r="Q1638" s="16" t="str">
        <f aca="false">IF(OR(O1638="",P1638=""),"",O1638/P1638)</f>
        <v/>
      </c>
      <c r="R1638" s="16" t="str">
        <f aca="false">IF(Q1638="","",Q1638*0.0980665)</f>
        <v/>
      </c>
      <c r="S1638" s="16" t="str">
        <f aca="false">IF(Q1638="","",IFERROR(Q1638/(1/(1/INDEX(CONFIG!$I$5:$I$14,MATCH(D1638,CONFIG!$D$5:$D$14,0)))),""))</f>
        <v/>
      </c>
      <c r="T1638" s="13"/>
      <c r="U1638" s="13"/>
      <c r="V1638" s="13"/>
      <c r="W1638" s="13"/>
      <c r="X1638" s="22" t="str">
        <f aca="false">IF(Q1638="","",Q1638^2)</f>
        <v/>
      </c>
      <c r="Y1638" s="22" t="str">
        <f aca="false">IF(AND(C1638&lt;&gt;"",C1638=CERTIFICADO!$E$4,OR(CERTIFICADO!$E$5="",B1638=CERTIFICADO!$E$5)),MAX($Y$4:Y1637)+1,"")</f>
        <v/>
      </c>
    </row>
    <row r="1639" customFormat="false" ht="15" hidden="false" customHeight="false" outlineLevel="0" collapsed="false">
      <c r="A1639" s="11" t="str">
        <f aca="false">IF(C1639="","",ROW()-4)</f>
        <v/>
      </c>
      <c r="B1639" s="12"/>
      <c r="C1639" s="13"/>
      <c r="D1639" s="23" t="str">
        <f aca="false">IF(C1639="","",IFERROR(INDEX(LOTES!$D$5:$D$1004,MATCH(C1639,LOTES!$F$5:$F$1004,0)),"¿Lote?"))</f>
        <v/>
      </c>
      <c r="E1639" s="11" t="str">
        <f aca="false">IF(C1639="","",IFERROR(INDEX(LOTES!$C$5:$C$1004,MATCH(C1639,LOTES!$F$5:$F$1004,0)),""))</f>
        <v/>
      </c>
      <c r="F1639" s="24" t="str">
        <f aca="false">IF(C1639="","",IFERROR(INDEX(LOTES!$B$5:$B$1004,MATCH(C1639,LOTES!$F$5:$F$1004,0)),""))</f>
        <v/>
      </c>
      <c r="G1639" s="15" t="str">
        <f aca="false">IF(OR(B1639="",F1639=""),"",B1639-F1639)</f>
        <v/>
      </c>
      <c r="H1639" s="13"/>
      <c r="I1639" s="13"/>
      <c r="J1639" s="13"/>
      <c r="K1639" s="25"/>
      <c r="L1639" s="25"/>
      <c r="M1639" s="25"/>
      <c r="N1639" s="25"/>
      <c r="O1639" s="26"/>
      <c r="P1639" s="16" t="str">
        <f aca="false">IF(O1639="","",IFERROR(1/(1/(IF(K1639="",INDEX(CONFIG!$F$5:$F$14,MATCH(D1639,CONFIG!$D$5:$D$14,0)),K1639)*IF(M1639="",INDEX(CONFIG!$H$5:$H$14,MATCH(D1639,CONFIG!$D$5:$D$14,0)),M1639))),""))</f>
        <v/>
      </c>
      <c r="Q1639" s="16" t="str">
        <f aca="false">IF(OR(O1639="",P1639=""),"",O1639/P1639)</f>
        <v/>
      </c>
      <c r="R1639" s="16" t="str">
        <f aca="false">IF(Q1639="","",Q1639*0.0980665)</f>
        <v/>
      </c>
      <c r="S1639" s="16" t="str">
        <f aca="false">IF(Q1639="","",IFERROR(Q1639/(1/(1/INDEX(CONFIG!$I$5:$I$14,MATCH(D1639,CONFIG!$D$5:$D$14,0)))),""))</f>
        <v/>
      </c>
      <c r="T1639" s="13"/>
      <c r="U1639" s="13"/>
      <c r="V1639" s="13"/>
      <c r="W1639" s="13"/>
      <c r="X1639" s="22" t="str">
        <f aca="false">IF(Q1639="","",Q1639^2)</f>
        <v/>
      </c>
      <c r="Y1639" s="22" t="str">
        <f aca="false">IF(AND(C1639&lt;&gt;"",C1639=CERTIFICADO!$E$4,OR(CERTIFICADO!$E$5="",B1639=CERTIFICADO!$E$5)),MAX($Y$4:Y1638)+1,"")</f>
        <v/>
      </c>
    </row>
    <row r="1640" customFormat="false" ht="15" hidden="false" customHeight="false" outlineLevel="0" collapsed="false">
      <c r="A1640" s="11" t="str">
        <f aca="false">IF(C1640="","",ROW()-4)</f>
        <v/>
      </c>
      <c r="B1640" s="12"/>
      <c r="C1640" s="13"/>
      <c r="D1640" s="23" t="str">
        <f aca="false">IF(C1640="","",IFERROR(INDEX(LOTES!$D$5:$D$1004,MATCH(C1640,LOTES!$F$5:$F$1004,0)),"¿Lote?"))</f>
        <v/>
      </c>
      <c r="E1640" s="11" t="str">
        <f aca="false">IF(C1640="","",IFERROR(INDEX(LOTES!$C$5:$C$1004,MATCH(C1640,LOTES!$F$5:$F$1004,0)),""))</f>
        <v/>
      </c>
      <c r="F1640" s="24" t="str">
        <f aca="false">IF(C1640="","",IFERROR(INDEX(LOTES!$B$5:$B$1004,MATCH(C1640,LOTES!$F$5:$F$1004,0)),""))</f>
        <v/>
      </c>
      <c r="G1640" s="15" t="str">
        <f aca="false">IF(OR(B1640="",F1640=""),"",B1640-F1640)</f>
        <v/>
      </c>
      <c r="H1640" s="13"/>
      <c r="I1640" s="13"/>
      <c r="J1640" s="13"/>
      <c r="K1640" s="25"/>
      <c r="L1640" s="25"/>
      <c r="M1640" s="25"/>
      <c r="N1640" s="25"/>
      <c r="O1640" s="26"/>
      <c r="P1640" s="16" t="str">
        <f aca="false">IF(O1640="","",IFERROR(1/(1/(IF(K1640="",INDEX(CONFIG!$F$5:$F$14,MATCH(D1640,CONFIG!$D$5:$D$14,0)),K1640)*IF(M1640="",INDEX(CONFIG!$H$5:$H$14,MATCH(D1640,CONFIG!$D$5:$D$14,0)),M1640))),""))</f>
        <v/>
      </c>
      <c r="Q1640" s="16" t="str">
        <f aca="false">IF(OR(O1640="",P1640=""),"",O1640/P1640)</f>
        <v/>
      </c>
      <c r="R1640" s="16" t="str">
        <f aca="false">IF(Q1640="","",Q1640*0.0980665)</f>
        <v/>
      </c>
      <c r="S1640" s="16" t="str">
        <f aca="false">IF(Q1640="","",IFERROR(Q1640/(1/(1/INDEX(CONFIG!$I$5:$I$14,MATCH(D1640,CONFIG!$D$5:$D$14,0)))),""))</f>
        <v/>
      </c>
      <c r="T1640" s="13"/>
      <c r="U1640" s="13"/>
      <c r="V1640" s="13"/>
      <c r="W1640" s="13"/>
      <c r="X1640" s="22" t="str">
        <f aca="false">IF(Q1640="","",Q1640^2)</f>
        <v/>
      </c>
      <c r="Y1640" s="22" t="str">
        <f aca="false">IF(AND(C1640&lt;&gt;"",C1640=CERTIFICADO!$E$4,OR(CERTIFICADO!$E$5="",B1640=CERTIFICADO!$E$5)),MAX($Y$4:Y1639)+1,"")</f>
        <v/>
      </c>
    </row>
    <row r="1641" customFormat="false" ht="15" hidden="false" customHeight="false" outlineLevel="0" collapsed="false">
      <c r="A1641" s="11" t="str">
        <f aca="false">IF(C1641="","",ROW()-4)</f>
        <v/>
      </c>
      <c r="B1641" s="12"/>
      <c r="C1641" s="13"/>
      <c r="D1641" s="23" t="str">
        <f aca="false">IF(C1641="","",IFERROR(INDEX(LOTES!$D$5:$D$1004,MATCH(C1641,LOTES!$F$5:$F$1004,0)),"¿Lote?"))</f>
        <v/>
      </c>
      <c r="E1641" s="11" t="str">
        <f aca="false">IF(C1641="","",IFERROR(INDEX(LOTES!$C$5:$C$1004,MATCH(C1641,LOTES!$F$5:$F$1004,0)),""))</f>
        <v/>
      </c>
      <c r="F1641" s="24" t="str">
        <f aca="false">IF(C1641="","",IFERROR(INDEX(LOTES!$B$5:$B$1004,MATCH(C1641,LOTES!$F$5:$F$1004,0)),""))</f>
        <v/>
      </c>
      <c r="G1641" s="15" t="str">
        <f aca="false">IF(OR(B1641="",F1641=""),"",B1641-F1641)</f>
        <v/>
      </c>
      <c r="H1641" s="13"/>
      <c r="I1641" s="13"/>
      <c r="J1641" s="13"/>
      <c r="K1641" s="25"/>
      <c r="L1641" s="25"/>
      <c r="M1641" s="25"/>
      <c r="N1641" s="25"/>
      <c r="O1641" s="26"/>
      <c r="P1641" s="16" t="str">
        <f aca="false">IF(O1641="","",IFERROR(1/(1/(IF(K1641="",INDEX(CONFIG!$F$5:$F$14,MATCH(D1641,CONFIG!$D$5:$D$14,0)),K1641)*IF(M1641="",INDEX(CONFIG!$H$5:$H$14,MATCH(D1641,CONFIG!$D$5:$D$14,0)),M1641))),""))</f>
        <v/>
      </c>
      <c r="Q1641" s="16" t="str">
        <f aca="false">IF(OR(O1641="",P1641=""),"",O1641/P1641)</f>
        <v/>
      </c>
      <c r="R1641" s="16" t="str">
        <f aca="false">IF(Q1641="","",Q1641*0.0980665)</f>
        <v/>
      </c>
      <c r="S1641" s="16" t="str">
        <f aca="false">IF(Q1641="","",IFERROR(Q1641/(1/(1/INDEX(CONFIG!$I$5:$I$14,MATCH(D1641,CONFIG!$D$5:$D$14,0)))),""))</f>
        <v/>
      </c>
      <c r="T1641" s="13"/>
      <c r="U1641" s="13"/>
      <c r="V1641" s="13"/>
      <c r="W1641" s="13"/>
      <c r="X1641" s="22" t="str">
        <f aca="false">IF(Q1641="","",Q1641^2)</f>
        <v/>
      </c>
      <c r="Y1641" s="22" t="str">
        <f aca="false">IF(AND(C1641&lt;&gt;"",C1641=CERTIFICADO!$E$4,OR(CERTIFICADO!$E$5="",B1641=CERTIFICADO!$E$5)),MAX($Y$4:Y1640)+1,"")</f>
        <v/>
      </c>
    </row>
    <row r="1642" customFormat="false" ht="15" hidden="false" customHeight="false" outlineLevel="0" collapsed="false">
      <c r="A1642" s="11" t="str">
        <f aca="false">IF(C1642="","",ROW()-4)</f>
        <v/>
      </c>
      <c r="B1642" s="12"/>
      <c r="C1642" s="13"/>
      <c r="D1642" s="23" t="str">
        <f aca="false">IF(C1642="","",IFERROR(INDEX(LOTES!$D$5:$D$1004,MATCH(C1642,LOTES!$F$5:$F$1004,0)),"¿Lote?"))</f>
        <v/>
      </c>
      <c r="E1642" s="11" t="str">
        <f aca="false">IF(C1642="","",IFERROR(INDEX(LOTES!$C$5:$C$1004,MATCH(C1642,LOTES!$F$5:$F$1004,0)),""))</f>
        <v/>
      </c>
      <c r="F1642" s="24" t="str">
        <f aca="false">IF(C1642="","",IFERROR(INDEX(LOTES!$B$5:$B$1004,MATCH(C1642,LOTES!$F$5:$F$1004,0)),""))</f>
        <v/>
      </c>
      <c r="G1642" s="15" t="str">
        <f aca="false">IF(OR(B1642="",F1642=""),"",B1642-F1642)</f>
        <v/>
      </c>
      <c r="H1642" s="13"/>
      <c r="I1642" s="13"/>
      <c r="J1642" s="13"/>
      <c r="K1642" s="25"/>
      <c r="L1642" s="25"/>
      <c r="M1642" s="25"/>
      <c r="N1642" s="25"/>
      <c r="O1642" s="26"/>
      <c r="P1642" s="16" t="str">
        <f aca="false">IF(O1642="","",IFERROR(1/(1/(IF(K1642="",INDEX(CONFIG!$F$5:$F$14,MATCH(D1642,CONFIG!$D$5:$D$14,0)),K1642)*IF(M1642="",INDEX(CONFIG!$H$5:$H$14,MATCH(D1642,CONFIG!$D$5:$D$14,0)),M1642))),""))</f>
        <v/>
      </c>
      <c r="Q1642" s="16" t="str">
        <f aca="false">IF(OR(O1642="",P1642=""),"",O1642/P1642)</f>
        <v/>
      </c>
      <c r="R1642" s="16" t="str">
        <f aca="false">IF(Q1642="","",Q1642*0.0980665)</f>
        <v/>
      </c>
      <c r="S1642" s="16" t="str">
        <f aca="false">IF(Q1642="","",IFERROR(Q1642/(1/(1/INDEX(CONFIG!$I$5:$I$14,MATCH(D1642,CONFIG!$D$5:$D$14,0)))),""))</f>
        <v/>
      </c>
      <c r="T1642" s="13"/>
      <c r="U1642" s="13"/>
      <c r="V1642" s="13"/>
      <c r="W1642" s="13"/>
      <c r="X1642" s="22" t="str">
        <f aca="false">IF(Q1642="","",Q1642^2)</f>
        <v/>
      </c>
      <c r="Y1642" s="22" t="str">
        <f aca="false">IF(AND(C1642&lt;&gt;"",C1642=CERTIFICADO!$E$4,OR(CERTIFICADO!$E$5="",B1642=CERTIFICADO!$E$5)),MAX($Y$4:Y1641)+1,"")</f>
        <v/>
      </c>
    </row>
    <row r="1643" customFormat="false" ht="15" hidden="false" customHeight="false" outlineLevel="0" collapsed="false">
      <c r="A1643" s="11" t="str">
        <f aca="false">IF(C1643="","",ROW()-4)</f>
        <v/>
      </c>
      <c r="B1643" s="12"/>
      <c r="C1643" s="13"/>
      <c r="D1643" s="23" t="str">
        <f aca="false">IF(C1643="","",IFERROR(INDEX(LOTES!$D$5:$D$1004,MATCH(C1643,LOTES!$F$5:$F$1004,0)),"¿Lote?"))</f>
        <v/>
      </c>
      <c r="E1643" s="11" t="str">
        <f aca="false">IF(C1643="","",IFERROR(INDEX(LOTES!$C$5:$C$1004,MATCH(C1643,LOTES!$F$5:$F$1004,0)),""))</f>
        <v/>
      </c>
      <c r="F1643" s="24" t="str">
        <f aca="false">IF(C1643="","",IFERROR(INDEX(LOTES!$B$5:$B$1004,MATCH(C1643,LOTES!$F$5:$F$1004,0)),""))</f>
        <v/>
      </c>
      <c r="G1643" s="15" t="str">
        <f aca="false">IF(OR(B1643="",F1643=""),"",B1643-F1643)</f>
        <v/>
      </c>
      <c r="H1643" s="13"/>
      <c r="I1643" s="13"/>
      <c r="J1643" s="13"/>
      <c r="K1643" s="25"/>
      <c r="L1643" s="25"/>
      <c r="M1643" s="25"/>
      <c r="N1643" s="25"/>
      <c r="O1643" s="26"/>
      <c r="P1643" s="16" t="str">
        <f aca="false">IF(O1643="","",IFERROR(1/(1/(IF(K1643="",INDEX(CONFIG!$F$5:$F$14,MATCH(D1643,CONFIG!$D$5:$D$14,0)),K1643)*IF(M1643="",INDEX(CONFIG!$H$5:$H$14,MATCH(D1643,CONFIG!$D$5:$D$14,0)),M1643))),""))</f>
        <v/>
      </c>
      <c r="Q1643" s="16" t="str">
        <f aca="false">IF(OR(O1643="",P1643=""),"",O1643/P1643)</f>
        <v/>
      </c>
      <c r="R1643" s="16" t="str">
        <f aca="false">IF(Q1643="","",Q1643*0.0980665)</f>
        <v/>
      </c>
      <c r="S1643" s="16" t="str">
        <f aca="false">IF(Q1643="","",IFERROR(Q1643/(1/(1/INDEX(CONFIG!$I$5:$I$14,MATCH(D1643,CONFIG!$D$5:$D$14,0)))),""))</f>
        <v/>
      </c>
      <c r="T1643" s="13"/>
      <c r="U1643" s="13"/>
      <c r="V1643" s="13"/>
      <c r="W1643" s="13"/>
      <c r="X1643" s="22" t="str">
        <f aca="false">IF(Q1643="","",Q1643^2)</f>
        <v/>
      </c>
      <c r="Y1643" s="22" t="str">
        <f aca="false">IF(AND(C1643&lt;&gt;"",C1643=CERTIFICADO!$E$4,OR(CERTIFICADO!$E$5="",B1643=CERTIFICADO!$E$5)),MAX($Y$4:Y1642)+1,"")</f>
        <v/>
      </c>
    </row>
    <row r="1644" customFormat="false" ht="15" hidden="false" customHeight="false" outlineLevel="0" collapsed="false">
      <c r="A1644" s="11" t="str">
        <f aca="false">IF(C1644="","",ROW()-4)</f>
        <v/>
      </c>
      <c r="B1644" s="12"/>
      <c r="C1644" s="13"/>
      <c r="D1644" s="23" t="str">
        <f aca="false">IF(C1644="","",IFERROR(INDEX(LOTES!$D$5:$D$1004,MATCH(C1644,LOTES!$F$5:$F$1004,0)),"¿Lote?"))</f>
        <v/>
      </c>
      <c r="E1644" s="11" t="str">
        <f aca="false">IF(C1644="","",IFERROR(INDEX(LOTES!$C$5:$C$1004,MATCH(C1644,LOTES!$F$5:$F$1004,0)),""))</f>
        <v/>
      </c>
      <c r="F1644" s="24" t="str">
        <f aca="false">IF(C1644="","",IFERROR(INDEX(LOTES!$B$5:$B$1004,MATCH(C1644,LOTES!$F$5:$F$1004,0)),""))</f>
        <v/>
      </c>
      <c r="G1644" s="15" t="str">
        <f aca="false">IF(OR(B1644="",F1644=""),"",B1644-F1644)</f>
        <v/>
      </c>
      <c r="H1644" s="13"/>
      <c r="I1644" s="13"/>
      <c r="J1644" s="13"/>
      <c r="K1644" s="25"/>
      <c r="L1644" s="25"/>
      <c r="M1644" s="25"/>
      <c r="N1644" s="25"/>
      <c r="O1644" s="26"/>
      <c r="P1644" s="16" t="str">
        <f aca="false">IF(O1644="","",IFERROR(1/(1/(IF(K1644="",INDEX(CONFIG!$F$5:$F$14,MATCH(D1644,CONFIG!$D$5:$D$14,0)),K1644)*IF(M1644="",INDEX(CONFIG!$H$5:$H$14,MATCH(D1644,CONFIG!$D$5:$D$14,0)),M1644))),""))</f>
        <v/>
      </c>
      <c r="Q1644" s="16" t="str">
        <f aca="false">IF(OR(O1644="",P1644=""),"",O1644/P1644)</f>
        <v/>
      </c>
      <c r="R1644" s="16" t="str">
        <f aca="false">IF(Q1644="","",Q1644*0.0980665)</f>
        <v/>
      </c>
      <c r="S1644" s="16" t="str">
        <f aca="false">IF(Q1644="","",IFERROR(Q1644/(1/(1/INDEX(CONFIG!$I$5:$I$14,MATCH(D1644,CONFIG!$D$5:$D$14,0)))),""))</f>
        <v/>
      </c>
      <c r="T1644" s="13"/>
      <c r="U1644" s="13"/>
      <c r="V1644" s="13"/>
      <c r="W1644" s="13"/>
      <c r="X1644" s="22" t="str">
        <f aca="false">IF(Q1644="","",Q1644^2)</f>
        <v/>
      </c>
      <c r="Y1644" s="22" t="str">
        <f aca="false">IF(AND(C1644&lt;&gt;"",C1644=CERTIFICADO!$E$4,OR(CERTIFICADO!$E$5="",B1644=CERTIFICADO!$E$5)),MAX($Y$4:Y1643)+1,"")</f>
        <v/>
      </c>
    </row>
    <row r="1645" customFormat="false" ht="15" hidden="false" customHeight="false" outlineLevel="0" collapsed="false">
      <c r="A1645" s="11" t="str">
        <f aca="false">IF(C1645="","",ROW()-4)</f>
        <v/>
      </c>
      <c r="B1645" s="12"/>
      <c r="C1645" s="13"/>
      <c r="D1645" s="23" t="str">
        <f aca="false">IF(C1645="","",IFERROR(INDEX(LOTES!$D$5:$D$1004,MATCH(C1645,LOTES!$F$5:$F$1004,0)),"¿Lote?"))</f>
        <v/>
      </c>
      <c r="E1645" s="11" t="str">
        <f aca="false">IF(C1645="","",IFERROR(INDEX(LOTES!$C$5:$C$1004,MATCH(C1645,LOTES!$F$5:$F$1004,0)),""))</f>
        <v/>
      </c>
      <c r="F1645" s="24" t="str">
        <f aca="false">IF(C1645="","",IFERROR(INDEX(LOTES!$B$5:$B$1004,MATCH(C1645,LOTES!$F$5:$F$1004,0)),""))</f>
        <v/>
      </c>
      <c r="G1645" s="15" t="str">
        <f aca="false">IF(OR(B1645="",F1645=""),"",B1645-F1645)</f>
        <v/>
      </c>
      <c r="H1645" s="13"/>
      <c r="I1645" s="13"/>
      <c r="J1645" s="13"/>
      <c r="K1645" s="25"/>
      <c r="L1645" s="25"/>
      <c r="M1645" s="25"/>
      <c r="N1645" s="25"/>
      <c r="O1645" s="26"/>
      <c r="P1645" s="16" t="str">
        <f aca="false">IF(O1645="","",IFERROR(1/(1/(IF(K1645="",INDEX(CONFIG!$F$5:$F$14,MATCH(D1645,CONFIG!$D$5:$D$14,0)),K1645)*IF(M1645="",INDEX(CONFIG!$H$5:$H$14,MATCH(D1645,CONFIG!$D$5:$D$14,0)),M1645))),""))</f>
        <v/>
      </c>
      <c r="Q1645" s="16" t="str">
        <f aca="false">IF(OR(O1645="",P1645=""),"",O1645/P1645)</f>
        <v/>
      </c>
      <c r="R1645" s="16" t="str">
        <f aca="false">IF(Q1645="","",Q1645*0.0980665)</f>
        <v/>
      </c>
      <c r="S1645" s="16" t="str">
        <f aca="false">IF(Q1645="","",IFERROR(Q1645/(1/(1/INDEX(CONFIG!$I$5:$I$14,MATCH(D1645,CONFIG!$D$5:$D$14,0)))),""))</f>
        <v/>
      </c>
      <c r="T1645" s="13"/>
      <c r="U1645" s="13"/>
      <c r="V1645" s="13"/>
      <c r="W1645" s="13"/>
      <c r="X1645" s="22" t="str">
        <f aca="false">IF(Q1645="","",Q1645^2)</f>
        <v/>
      </c>
      <c r="Y1645" s="22" t="str">
        <f aca="false">IF(AND(C1645&lt;&gt;"",C1645=CERTIFICADO!$E$4,OR(CERTIFICADO!$E$5="",B1645=CERTIFICADO!$E$5)),MAX($Y$4:Y1644)+1,"")</f>
        <v/>
      </c>
    </row>
    <row r="1646" customFormat="false" ht="15" hidden="false" customHeight="false" outlineLevel="0" collapsed="false">
      <c r="A1646" s="11" t="str">
        <f aca="false">IF(C1646="","",ROW()-4)</f>
        <v/>
      </c>
      <c r="B1646" s="12"/>
      <c r="C1646" s="13"/>
      <c r="D1646" s="23" t="str">
        <f aca="false">IF(C1646="","",IFERROR(INDEX(LOTES!$D$5:$D$1004,MATCH(C1646,LOTES!$F$5:$F$1004,0)),"¿Lote?"))</f>
        <v/>
      </c>
      <c r="E1646" s="11" t="str">
        <f aca="false">IF(C1646="","",IFERROR(INDEX(LOTES!$C$5:$C$1004,MATCH(C1646,LOTES!$F$5:$F$1004,0)),""))</f>
        <v/>
      </c>
      <c r="F1646" s="24" t="str">
        <f aca="false">IF(C1646="","",IFERROR(INDEX(LOTES!$B$5:$B$1004,MATCH(C1646,LOTES!$F$5:$F$1004,0)),""))</f>
        <v/>
      </c>
      <c r="G1646" s="15" t="str">
        <f aca="false">IF(OR(B1646="",F1646=""),"",B1646-F1646)</f>
        <v/>
      </c>
      <c r="H1646" s="13"/>
      <c r="I1646" s="13"/>
      <c r="J1646" s="13"/>
      <c r="K1646" s="25"/>
      <c r="L1646" s="25"/>
      <c r="M1646" s="25"/>
      <c r="N1646" s="25"/>
      <c r="O1646" s="26"/>
      <c r="P1646" s="16" t="str">
        <f aca="false">IF(O1646="","",IFERROR(1/(1/(IF(K1646="",INDEX(CONFIG!$F$5:$F$14,MATCH(D1646,CONFIG!$D$5:$D$14,0)),K1646)*IF(M1646="",INDEX(CONFIG!$H$5:$H$14,MATCH(D1646,CONFIG!$D$5:$D$14,0)),M1646))),""))</f>
        <v/>
      </c>
      <c r="Q1646" s="16" t="str">
        <f aca="false">IF(OR(O1646="",P1646=""),"",O1646/P1646)</f>
        <v/>
      </c>
      <c r="R1646" s="16" t="str">
        <f aca="false">IF(Q1646="","",Q1646*0.0980665)</f>
        <v/>
      </c>
      <c r="S1646" s="16" t="str">
        <f aca="false">IF(Q1646="","",IFERROR(Q1646/(1/(1/INDEX(CONFIG!$I$5:$I$14,MATCH(D1646,CONFIG!$D$5:$D$14,0)))),""))</f>
        <v/>
      </c>
      <c r="T1646" s="13"/>
      <c r="U1646" s="13"/>
      <c r="V1646" s="13"/>
      <c r="W1646" s="13"/>
      <c r="X1646" s="22" t="str">
        <f aca="false">IF(Q1646="","",Q1646^2)</f>
        <v/>
      </c>
      <c r="Y1646" s="22" t="str">
        <f aca="false">IF(AND(C1646&lt;&gt;"",C1646=CERTIFICADO!$E$4,OR(CERTIFICADO!$E$5="",B1646=CERTIFICADO!$E$5)),MAX($Y$4:Y1645)+1,"")</f>
        <v/>
      </c>
    </row>
    <row r="1647" customFormat="false" ht="15" hidden="false" customHeight="false" outlineLevel="0" collapsed="false">
      <c r="A1647" s="11" t="str">
        <f aca="false">IF(C1647="","",ROW()-4)</f>
        <v/>
      </c>
      <c r="B1647" s="12"/>
      <c r="C1647" s="13"/>
      <c r="D1647" s="23" t="str">
        <f aca="false">IF(C1647="","",IFERROR(INDEX(LOTES!$D$5:$D$1004,MATCH(C1647,LOTES!$F$5:$F$1004,0)),"¿Lote?"))</f>
        <v/>
      </c>
      <c r="E1647" s="11" t="str">
        <f aca="false">IF(C1647="","",IFERROR(INDEX(LOTES!$C$5:$C$1004,MATCH(C1647,LOTES!$F$5:$F$1004,0)),""))</f>
        <v/>
      </c>
      <c r="F1647" s="24" t="str">
        <f aca="false">IF(C1647="","",IFERROR(INDEX(LOTES!$B$5:$B$1004,MATCH(C1647,LOTES!$F$5:$F$1004,0)),""))</f>
        <v/>
      </c>
      <c r="G1647" s="15" t="str">
        <f aca="false">IF(OR(B1647="",F1647=""),"",B1647-F1647)</f>
        <v/>
      </c>
      <c r="H1647" s="13"/>
      <c r="I1647" s="13"/>
      <c r="J1647" s="13"/>
      <c r="K1647" s="25"/>
      <c r="L1647" s="25"/>
      <c r="M1647" s="25"/>
      <c r="N1647" s="25"/>
      <c r="O1647" s="26"/>
      <c r="P1647" s="16" t="str">
        <f aca="false">IF(O1647="","",IFERROR(1/(1/(IF(K1647="",INDEX(CONFIG!$F$5:$F$14,MATCH(D1647,CONFIG!$D$5:$D$14,0)),K1647)*IF(M1647="",INDEX(CONFIG!$H$5:$H$14,MATCH(D1647,CONFIG!$D$5:$D$14,0)),M1647))),""))</f>
        <v/>
      </c>
      <c r="Q1647" s="16" t="str">
        <f aca="false">IF(OR(O1647="",P1647=""),"",O1647/P1647)</f>
        <v/>
      </c>
      <c r="R1647" s="16" t="str">
        <f aca="false">IF(Q1647="","",Q1647*0.0980665)</f>
        <v/>
      </c>
      <c r="S1647" s="16" t="str">
        <f aca="false">IF(Q1647="","",IFERROR(Q1647/(1/(1/INDEX(CONFIG!$I$5:$I$14,MATCH(D1647,CONFIG!$D$5:$D$14,0)))),""))</f>
        <v/>
      </c>
      <c r="T1647" s="13"/>
      <c r="U1647" s="13"/>
      <c r="V1647" s="13"/>
      <c r="W1647" s="13"/>
      <c r="X1647" s="22" t="str">
        <f aca="false">IF(Q1647="","",Q1647^2)</f>
        <v/>
      </c>
      <c r="Y1647" s="22" t="str">
        <f aca="false">IF(AND(C1647&lt;&gt;"",C1647=CERTIFICADO!$E$4,OR(CERTIFICADO!$E$5="",B1647=CERTIFICADO!$E$5)),MAX($Y$4:Y1646)+1,"")</f>
        <v/>
      </c>
    </row>
    <row r="1648" customFormat="false" ht="15" hidden="false" customHeight="false" outlineLevel="0" collapsed="false">
      <c r="A1648" s="11" t="str">
        <f aca="false">IF(C1648="","",ROW()-4)</f>
        <v/>
      </c>
      <c r="B1648" s="12"/>
      <c r="C1648" s="13"/>
      <c r="D1648" s="23" t="str">
        <f aca="false">IF(C1648="","",IFERROR(INDEX(LOTES!$D$5:$D$1004,MATCH(C1648,LOTES!$F$5:$F$1004,0)),"¿Lote?"))</f>
        <v/>
      </c>
      <c r="E1648" s="11" t="str">
        <f aca="false">IF(C1648="","",IFERROR(INDEX(LOTES!$C$5:$C$1004,MATCH(C1648,LOTES!$F$5:$F$1004,0)),""))</f>
        <v/>
      </c>
      <c r="F1648" s="24" t="str">
        <f aca="false">IF(C1648="","",IFERROR(INDEX(LOTES!$B$5:$B$1004,MATCH(C1648,LOTES!$F$5:$F$1004,0)),""))</f>
        <v/>
      </c>
      <c r="G1648" s="15" t="str">
        <f aca="false">IF(OR(B1648="",F1648=""),"",B1648-F1648)</f>
        <v/>
      </c>
      <c r="H1648" s="13"/>
      <c r="I1648" s="13"/>
      <c r="J1648" s="13"/>
      <c r="K1648" s="25"/>
      <c r="L1648" s="25"/>
      <c r="M1648" s="25"/>
      <c r="N1648" s="25"/>
      <c r="O1648" s="26"/>
      <c r="P1648" s="16" t="str">
        <f aca="false">IF(O1648="","",IFERROR(1/(1/(IF(K1648="",INDEX(CONFIG!$F$5:$F$14,MATCH(D1648,CONFIG!$D$5:$D$14,0)),K1648)*IF(M1648="",INDEX(CONFIG!$H$5:$H$14,MATCH(D1648,CONFIG!$D$5:$D$14,0)),M1648))),""))</f>
        <v/>
      </c>
      <c r="Q1648" s="16" t="str">
        <f aca="false">IF(OR(O1648="",P1648=""),"",O1648/P1648)</f>
        <v/>
      </c>
      <c r="R1648" s="16" t="str">
        <f aca="false">IF(Q1648="","",Q1648*0.0980665)</f>
        <v/>
      </c>
      <c r="S1648" s="16" t="str">
        <f aca="false">IF(Q1648="","",IFERROR(Q1648/(1/(1/INDEX(CONFIG!$I$5:$I$14,MATCH(D1648,CONFIG!$D$5:$D$14,0)))),""))</f>
        <v/>
      </c>
      <c r="T1648" s="13"/>
      <c r="U1648" s="13"/>
      <c r="V1648" s="13"/>
      <c r="W1648" s="13"/>
      <c r="X1648" s="22" t="str">
        <f aca="false">IF(Q1648="","",Q1648^2)</f>
        <v/>
      </c>
      <c r="Y1648" s="22" t="str">
        <f aca="false">IF(AND(C1648&lt;&gt;"",C1648=CERTIFICADO!$E$4,OR(CERTIFICADO!$E$5="",B1648=CERTIFICADO!$E$5)),MAX($Y$4:Y1647)+1,"")</f>
        <v/>
      </c>
    </row>
    <row r="1649" customFormat="false" ht="15" hidden="false" customHeight="false" outlineLevel="0" collapsed="false">
      <c r="A1649" s="11" t="str">
        <f aca="false">IF(C1649="","",ROW()-4)</f>
        <v/>
      </c>
      <c r="B1649" s="12"/>
      <c r="C1649" s="13"/>
      <c r="D1649" s="23" t="str">
        <f aca="false">IF(C1649="","",IFERROR(INDEX(LOTES!$D$5:$D$1004,MATCH(C1649,LOTES!$F$5:$F$1004,0)),"¿Lote?"))</f>
        <v/>
      </c>
      <c r="E1649" s="11" t="str">
        <f aca="false">IF(C1649="","",IFERROR(INDEX(LOTES!$C$5:$C$1004,MATCH(C1649,LOTES!$F$5:$F$1004,0)),""))</f>
        <v/>
      </c>
      <c r="F1649" s="24" t="str">
        <f aca="false">IF(C1649="","",IFERROR(INDEX(LOTES!$B$5:$B$1004,MATCH(C1649,LOTES!$F$5:$F$1004,0)),""))</f>
        <v/>
      </c>
      <c r="G1649" s="15" t="str">
        <f aca="false">IF(OR(B1649="",F1649=""),"",B1649-F1649)</f>
        <v/>
      </c>
      <c r="H1649" s="13"/>
      <c r="I1649" s="13"/>
      <c r="J1649" s="13"/>
      <c r="K1649" s="25"/>
      <c r="L1649" s="25"/>
      <c r="M1649" s="25"/>
      <c r="N1649" s="25"/>
      <c r="O1649" s="26"/>
      <c r="P1649" s="16" t="str">
        <f aca="false">IF(O1649="","",IFERROR(1/(1/(IF(K1649="",INDEX(CONFIG!$F$5:$F$14,MATCH(D1649,CONFIG!$D$5:$D$14,0)),K1649)*IF(M1649="",INDEX(CONFIG!$H$5:$H$14,MATCH(D1649,CONFIG!$D$5:$D$14,0)),M1649))),""))</f>
        <v/>
      </c>
      <c r="Q1649" s="16" t="str">
        <f aca="false">IF(OR(O1649="",P1649=""),"",O1649/P1649)</f>
        <v/>
      </c>
      <c r="R1649" s="16" t="str">
        <f aca="false">IF(Q1649="","",Q1649*0.0980665)</f>
        <v/>
      </c>
      <c r="S1649" s="16" t="str">
        <f aca="false">IF(Q1649="","",IFERROR(Q1649/(1/(1/INDEX(CONFIG!$I$5:$I$14,MATCH(D1649,CONFIG!$D$5:$D$14,0)))),""))</f>
        <v/>
      </c>
      <c r="T1649" s="13"/>
      <c r="U1649" s="13"/>
      <c r="V1649" s="13"/>
      <c r="W1649" s="13"/>
      <c r="X1649" s="22" t="str">
        <f aca="false">IF(Q1649="","",Q1649^2)</f>
        <v/>
      </c>
      <c r="Y1649" s="22" t="str">
        <f aca="false">IF(AND(C1649&lt;&gt;"",C1649=CERTIFICADO!$E$4,OR(CERTIFICADO!$E$5="",B1649=CERTIFICADO!$E$5)),MAX($Y$4:Y1648)+1,"")</f>
        <v/>
      </c>
    </row>
    <row r="1650" customFormat="false" ht="15" hidden="false" customHeight="false" outlineLevel="0" collapsed="false">
      <c r="A1650" s="11" t="str">
        <f aca="false">IF(C1650="","",ROW()-4)</f>
        <v/>
      </c>
      <c r="B1650" s="12"/>
      <c r="C1650" s="13"/>
      <c r="D1650" s="23" t="str">
        <f aca="false">IF(C1650="","",IFERROR(INDEX(LOTES!$D$5:$D$1004,MATCH(C1650,LOTES!$F$5:$F$1004,0)),"¿Lote?"))</f>
        <v/>
      </c>
      <c r="E1650" s="11" t="str">
        <f aca="false">IF(C1650="","",IFERROR(INDEX(LOTES!$C$5:$C$1004,MATCH(C1650,LOTES!$F$5:$F$1004,0)),""))</f>
        <v/>
      </c>
      <c r="F1650" s="24" t="str">
        <f aca="false">IF(C1650="","",IFERROR(INDEX(LOTES!$B$5:$B$1004,MATCH(C1650,LOTES!$F$5:$F$1004,0)),""))</f>
        <v/>
      </c>
      <c r="G1650" s="15" t="str">
        <f aca="false">IF(OR(B1650="",F1650=""),"",B1650-F1650)</f>
        <v/>
      </c>
      <c r="H1650" s="13"/>
      <c r="I1650" s="13"/>
      <c r="J1650" s="13"/>
      <c r="K1650" s="25"/>
      <c r="L1650" s="25"/>
      <c r="M1650" s="25"/>
      <c r="N1650" s="25"/>
      <c r="O1650" s="26"/>
      <c r="P1650" s="16" t="str">
        <f aca="false">IF(O1650="","",IFERROR(1/(1/(IF(K1650="",INDEX(CONFIG!$F$5:$F$14,MATCH(D1650,CONFIG!$D$5:$D$14,0)),K1650)*IF(M1650="",INDEX(CONFIG!$H$5:$H$14,MATCH(D1650,CONFIG!$D$5:$D$14,0)),M1650))),""))</f>
        <v/>
      </c>
      <c r="Q1650" s="16" t="str">
        <f aca="false">IF(OR(O1650="",P1650=""),"",O1650/P1650)</f>
        <v/>
      </c>
      <c r="R1650" s="16" t="str">
        <f aca="false">IF(Q1650="","",Q1650*0.0980665)</f>
        <v/>
      </c>
      <c r="S1650" s="16" t="str">
        <f aca="false">IF(Q1650="","",IFERROR(Q1650/(1/(1/INDEX(CONFIG!$I$5:$I$14,MATCH(D1650,CONFIG!$D$5:$D$14,0)))),""))</f>
        <v/>
      </c>
      <c r="T1650" s="13"/>
      <c r="U1650" s="13"/>
      <c r="V1650" s="13"/>
      <c r="W1650" s="13"/>
      <c r="X1650" s="22" t="str">
        <f aca="false">IF(Q1650="","",Q1650^2)</f>
        <v/>
      </c>
      <c r="Y1650" s="22" t="str">
        <f aca="false">IF(AND(C1650&lt;&gt;"",C1650=CERTIFICADO!$E$4,OR(CERTIFICADO!$E$5="",B1650=CERTIFICADO!$E$5)),MAX($Y$4:Y1649)+1,"")</f>
        <v/>
      </c>
    </row>
    <row r="1651" customFormat="false" ht="15" hidden="false" customHeight="false" outlineLevel="0" collapsed="false">
      <c r="A1651" s="11" t="str">
        <f aca="false">IF(C1651="","",ROW()-4)</f>
        <v/>
      </c>
      <c r="B1651" s="12"/>
      <c r="C1651" s="13"/>
      <c r="D1651" s="23" t="str">
        <f aca="false">IF(C1651="","",IFERROR(INDEX(LOTES!$D$5:$D$1004,MATCH(C1651,LOTES!$F$5:$F$1004,0)),"¿Lote?"))</f>
        <v/>
      </c>
      <c r="E1651" s="11" t="str">
        <f aca="false">IF(C1651="","",IFERROR(INDEX(LOTES!$C$5:$C$1004,MATCH(C1651,LOTES!$F$5:$F$1004,0)),""))</f>
        <v/>
      </c>
      <c r="F1651" s="24" t="str">
        <f aca="false">IF(C1651="","",IFERROR(INDEX(LOTES!$B$5:$B$1004,MATCH(C1651,LOTES!$F$5:$F$1004,0)),""))</f>
        <v/>
      </c>
      <c r="G1651" s="15" t="str">
        <f aca="false">IF(OR(B1651="",F1651=""),"",B1651-F1651)</f>
        <v/>
      </c>
      <c r="H1651" s="13"/>
      <c r="I1651" s="13"/>
      <c r="J1651" s="13"/>
      <c r="K1651" s="25"/>
      <c r="L1651" s="25"/>
      <c r="M1651" s="25"/>
      <c r="N1651" s="25"/>
      <c r="O1651" s="26"/>
      <c r="P1651" s="16" t="str">
        <f aca="false">IF(O1651="","",IFERROR(1/(1/(IF(K1651="",INDEX(CONFIG!$F$5:$F$14,MATCH(D1651,CONFIG!$D$5:$D$14,0)),K1651)*IF(M1651="",INDEX(CONFIG!$H$5:$H$14,MATCH(D1651,CONFIG!$D$5:$D$14,0)),M1651))),""))</f>
        <v/>
      </c>
      <c r="Q1651" s="16" t="str">
        <f aca="false">IF(OR(O1651="",P1651=""),"",O1651/P1651)</f>
        <v/>
      </c>
      <c r="R1651" s="16" t="str">
        <f aca="false">IF(Q1651="","",Q1651*0.0980665)</f>
        <v/>
      </c>
      <c r="S1651" s="16" t="str">
        <f aca="false">IF(Q1651="","",IFERROR(Q1651/(1/(1/INDEX(CONFIG!$I$5:$I$14,MATCH(D1651,CONFIG!$D$5:$D$14,0)))),""))</f>
        <v/>
      </c>
      <c r="T1651" s="13"/>
      <c r="U1651" s="13"/>
      <c r="V1651" s="13"/>
      <c r="W1651" s="13"/>
      <c r="X1651" s="22" t="str">
        <f aca="false">IF(Q1651="","",Q1651^2)</f>
        <v/>
      </c>
      <c r="Y1651" s="22" t="str">
        <f aca="false">IF(AND(C1651&lt;&gt;"",C1651=CERTIFICADO!$E$4,OR(CERTIFICADO!$E$5="",B1651=CERTIFICADO!$E$5)),MAX($Y$4:Y1650)+1,"")</f>
        <v/>
      </c>
    </row>
    <row r="1652" customFormat="false" ht="15" hidden="false" customHeight="false" outlineLevel="0" collapsed="false">
      <c r="A1652" s="11" t="str">
        <f aca="false">IF(C1652="","",ROW()-4)</f>
        <v/>
      </c>
      <c r="B1652" s="12"/>
      <c r="C1652" s="13"/>
      <c r="D1652" s="23" t="str">
        <f aca="false">IF(C1652="","",IFERROR(INDEX(LOTES!$D$5:$D$1004,MATCH(C1652,LOTES!$F$5:$F$1004,0)),"¿Lote?"))</f>
        <v/>
      </c>
      <c r="E1652" s="11" t="str">
        <f aca="false">IF(C1652="","",IFERROR(INDEX(LOTES!$C$5:$C$1004,MATCH(C1652,LOTES!$F$5:$F$1004,0)),""))</f>
        <v/>
      </c>
      <c r="F1652" s="24" t="str">
        <f aca="false">IF(C1652="","",IFERROR(INDEX(LOTES!$B$5:$B$1004,MATCH(C1652,LOTES!$F$5:$F$1004,0)),""))</f>
        <v/>
      </c>
      <c r="G1652" s="15" t="str">
        <f aca="false">IF(OR(B1652="",F1652=""),"",B1652-F1652)</f>
        <v/>
      </c>
      <c r="H1652" s="13"/>
      <c r="I1652" s="13"/>
      <c r="J1652" s="13"/>
      <c r="K1652" s="25"/>
      <c r="L1652" s="25"/>
      <c r="M1652" s="25"/>
      <c r="N1652" s="25"/>
      <c r="O1652" s="26"/>
      <c r="P1652" s="16" t="str">
        <f aca="false">IF(O1652="","",IFERROR(1/(1/(IF(K1652="",INDEX(CONFIG!$F$5:$F$14,MATCH(D1652,CONFIG!$D$5:$D$14,0)),K1652)*IF(M1652="",INDEX(CONFIG!$H$5:$H$14,MATCH(D1652,CONFIG!$D$5:$D$14,0)),M1652))),""))</f>
        <v/>
      </c>
      <c r="Q1652" s="16" t="str">
        <f aca="false">IF(OR(O1652="",P1652=""),"",O1652/P1652)</f>
        <v/>
      </c>
      <c r="R1652" s="16" t="str">
        <f aca="false">IF(Q1652="","",Q1652*0.0980665)</f>
        <v/>
      </c>
      <c r="S1652" s="16" t="str">
        <f aca="false">IF(Q1652="","",IFERROR(Q1652/(1/(1/INDEX(CONFIG!$I$5:$I$14,MATCH(D1652,CONFIG!$D$5:$D$14,0)))),""))</f>
        <v/>
      </c>
      <c r="T1652" s="13"/>
      <c r="U1652" s="13"/>
      <c r="V1652" s="13"/>
      <c r="W1652" s="13"/>
      <c r="X1652" s="22" t="str">
        <f aca="false">IF(Q1652="","",Q1652^2)</f>
        <v/>
      </c>
      <c r="Y1652" s="22" t="str">
        <f aca="false">IF(AND(C1652&lt;&gt;"",C1652=CERTIFICADO!$E$4,OR(CERTIFICADO!$E$5="",B1652=CERTIFICADO!$E$5)),MAX($Y$4:Y1651)+1,"")</f>
        <v/>
      </c>
    </row>
    <row r="1653" customFormat="false" ht="15" hidden="false" customHeight="false" outlineLevel="0" collapsed="false">
      <c r="A1653" s="11" t="str">
        <f aca="false">IF(C1653="","",ROW()-4)</f>
        <v/>
      </c>
      <c r="B1653" s="12"/>
      <c r="C1653" s="13"/>
      <c r="D1653" s="23" t="str">
        <f aca="false">IF(C1653="","",IFERROR(INDEX(LOTES!$D$5:$D$1004,MATCH(C1653,LOTES!$F$5:$F$1004,0)),"¿Lote?"))</f>
        <v/>
      </c>
      <c r="E1653" s="11" t="str">
        <f aca="false">IF(C1653="","",IFERROR(INDEX(LOTES!$C$5:$C$1004,MATCH(C1653,LOTES!$F$5:$F$1004,0)),""))</f>
        <v/>
      </c>
      <c r="F1653" s="24" t="str">
        <f aca="false">IF(C1653="","",IFERROR(INDEX(LOTES!$B$5:$B$1004,MATCH(C1653,LOTES!$F$5:$F$1004,0)),""))</f>
        <v/>
      </c>
      <c r="G1653" s="15" t="str">
        <f aca="false">IF(OR(B1653="",F1653=""),"",B1653-F1653)</f>
        <v/>
      </c>
      <c r="H1653" s="13"/>
      <c r="I1653" s="13"/>
      <c r="J1653" s="13"/>
      <c r="K1653" s="25"/>
      <c r="L1653" s="25"/>
      <c r="M1653" s="25"/>
      <c r="N1653" s="25"/>
      <c r="O1653" s="26"/>
      <c r="P1653" s="16" t="str">
        <f aca="false">IF(O1653="","",IFERROR(1/(1/(IF(K1653="",INDEX(CONFIG!$F$5:$F$14,MATCH(D1653,CONFIG!$D$5:$D$14,0)),K1653)*IF(M1653="",INDEX(CONFIG!$H$5:$H$14,MATCH(D1653,CONFIG!$D$5:$D$14,0)),M1653))),""))</f>
        <v/>
      </c>
      <c r="Q1653" s="16" t="str">
        <f aca="false">IF(OR(O1653="",P1653=""),"",O1653/P1653)</f>
        <v/>
      </c>
      <c r="R1653" s="16" t="str">
        <f aca="false">IF(Q1653="","",Q1653*0.0980665)</f>
        <v/>
      </c>
      <c r="S1653" s="16" t="str">
        <f aca="false">IF(Q1653="","",IFERROR(Q1653/(1/(1/INDEX(CONFIG!$I$5:$I$14,MATCH(D1653,CONFIG!$D$5:$D$14,0)))),""))</f>
        <v/>
      </c>
      <c r="T1653" s="13"/>
      <c r="U1653" s="13"/>
      <c r="V1653" s="13"/>
      <c r="W1653" s="13"/>
      <c r="X1653" s="22" t="str">
        <f aca="false">IF(Q1653="","",Q1653^2)</f>
        <v/>
      </c>
      <c r="Y1653" s="22" t="str">
        <f aca="false">IF(AND(C1653&lt;&gt;"",C1653=CERTIFICADO!$E$4,OR(CERTIFICADO!$E$5="",B1653=CERTIFICADO!$E$5)),MAX($Y$4:Y1652)+1,"")</f>
        <v/>
      </c>
    </row>
    <row r="1654" customFormat="false" ht="15" hidden="false" customHeight="false" outlineLevel="0" collapsed="false">
      <c r="A1654" s="11" t="str">
        <f aca="false">IF(C1654="","",ROW()-4)</f>
        <v/>
      </c>
      <c r="B1654" s="12"/>
      <c r="C1654" s="13"/>
      <c r="D1654" s="23" t="str">
        <f aca="false">IF(C1654="","",IFERROR(INDEX(LOTES!$D$5:$D$1004,MATCH(C1654,LOTES!$F$5:$F$1004,0)),"¿Lote?"))</f>
        <v/>
      </c>
      <c r="E1654" s="11" t="str">
        <f aca="false">IF(C1654="","",IFERROR(INDEX(LOTES!$C$5:$C$1004,MATCH(C1654,LOTES!$F$5:$F$1004,0)),""))</f>
        <v/>
      </c>
      <c r="F1654" s="24" t="str">
        <f aca="false">IF(C1654="","",IFERROR(INDEX(LOTES!$B$5:$B$1004,MATCH(C1654,LOTES!$F$5:$F$1004,0)),""))</f>
        <v/>
      </c>
      <c r="G1654" s="15" t="str">
        <f aca="false">IF(OR(B1654="",F1654=""),"",B1654-F1654)</f>
        <v/>
      </c>
      <c r="H1654" s="13"/>
      <c r="I1654" s="13"/>
      <c r="J1654" s="13"/>
      <c r="K1654" s="25"/>
      <c r="L1654" s="25"/>
      <c r="M1654" s="25"/>
      <c r="N1654" s="25"/>
      <c r="O1654" s="26"/>
      <c r="P1654" s="16" t="str">
        <f aca="false">IF(O1654="","",IFERROR(1/(1/(IF(K1654="",INDEX(CONFIG!$F$5:$F$14,MATCH(D1654,CONFIG!$D$5:$D$14,0)),K1654)*IF(M1654="",INDEX(CONFIG!$H$5:$H$14,MATCH(D1654,CONFIG!$D$5:$D$14,0)),M1654))),""))</f>
        <v/>
      </c>
      <c r="Q1654" s="16" t="str">
        <f aca="false">IF(OR(O1654="",P1654=""),"",O1654/P1654)</f>
        <v/>
      </c>
      <c r="R1654" s="16" t="str">
        <f aca="false">IF(Q1654="","",Q1654*0.0980665)</f>
        <v/>
      </c>
      <c r="S1654" s="16" t="str">
        <f aca="false">IF(Q1654="","",IFERROR(Q1654/(1/(1/INDEX(CONFIG!$I$5:$I$14,MATCH(D1654,CONFIG!$D$5:$D$14,0)))),""))</f>
        <v/>
      </c>
      <c r="T1654" s="13"/>
      <c r="U1654" s="13"/>
      <c r="V1654" s="13"/>
      <c r="W1654" s="13"/>
      <c r="X1654" s="22" t="str">
        <f aca="false">IF(Q1654="","",Q1654^2)</f>
        <v/>
      </c>
      <c r="Y1654" s="22" t="str">
        <f aca="false">IF(AND(C1654&lt;&gt;"",C1654=CERTIFICADO!$E$4,OR(CERTIFICADO!$E$5="",B1654=CERTIFICADO!$E$5)),MAX($Y$4:Y1653)+1,"")</f>
        <v/>
      </c>
    </row>
    <row r="1655" customFormat="false" ht="15" hidden="false" customHeight="false" outlineLevel="0" collapsed="false">
      <c r="A1655" s="11" t="str">
        <f aca="false">IF(C1655="","",ROW()-4)</f>
        <v/>
      </c>
      <c r="B1655" s="12"/>
      <c r="C1655" s="13"/>
      <c r="D1655" s="23" t="str">
        <f aca="false">IF(C1655="","",IFERROR(INDEX(LOTES!$D$5:$D$1004,MATCH(C1655,LOTES!$F$5:$F$1004,0)),"¿Lote?"))</f>
        <v/>
      </c>
      <c r="E1655" s="11" t="str">
        <f aca="false">IF(C1655="","",IFERROR(INDEX(LOTES!$C$5:$C$1004,MATCH(C1655,LOTES!$F$5:$F$1004,0)),""))</f>
        <v/>
      </c>
      <c r="F1655" s="24" t="str">
        <f aca="false">IF(C1655="","",IFERROR(INDEX(LOTES!$B$5:$B$1004,MATCH(C1655,LOTES!$F$5:$F$1004,0)),""))</f>
        <v/>
      </c>
      <c r="G1655" s="15" t="str">
        <f aca="false">IF(OR(B1655="",F1655=""),"",B1655-F1655)</f>
        <v/>
      </c>
      <c r="H1655" s="13"/>
      <c r="I1655" s="13"/>
      <c r="J1655" s="13"/>
      <c r="K1655" s="25"/>
      <c r="L1655" s="25"/>
      <c r="M1655" s="25"/>
      <c r="N1655" s="25"/>
      <c r="O1655" s="26"/>
      <c r="P1655" s="16" t="str">
        <f aca="false">IF(O1655="","",IFERROR(1/(1/(IF(K1655="",INDEX(CONFIG!$F$5:$F$14,MATCH(D1655,CONFIG!$D$5:$D$14,0)),K1655)*IF(M1655="",INDEX(CONFIG!$H$5:$H$14,MATCH(D1655,CONFIG!$D$5:$D$14,0)),M1655))),""))</f>
        <v/>
      </c>
      <c r="Q1655" s="16" t="str">
        <f aca="false">IF(OR(O1655="",P1655=""),"",O1655/P1655)</f>
        <v/>
      </c>
      <c r="R1655" s="16" t="str">
        <f aca="false">IF(Q1655="","",Q1655*0.0980665)</f>
        <v/>
      </c>
      <c r="S1655" s="16" t="str">
        <f aca="false">IF(Q1655="","",IFERROR(Q1655/(1/(1/INDEX(CONFIG!$I$5:$I$14,MATCH(D1655,CONFIG!$D$5:$D$14,0)))),""))</f>
        <v/>
      </c>
      <c r="T1655" s="13"/>
      <c r="U1655" s="13"/>
      <c r="V1655" s="13"/>
      <c r="W1655" s="13"/>
      <c r="X1655" s="22" t="str">
        <f aca="false">IF(Q1655="","",Q1655^2)</f>
        <v/>
      </c>
      <c r="Y1655" s="22" t="str">
        <f aca="false">IF(AND(C1655&lt;&gt;"",C1655=CERTIFICADO!$E$4,OR(CERTIFICADO!$E$5="",B1655=CERTIFICADO!$E$5)),MAX($Y$4:Y1654)+1,"")</f>
        <v/>
      </c>
    </row>
    <row r="1656" customFormat="false" ht="15" hidden="false" customHeight="false" outlineLevel="0" collapsed="false">
      <c r="A1656" s="11" t="str">
        <f aca="false">IF(C1656="","",ROW()-4)</f>
        <v/>
      </c>
      <c r="B1656" s="12"/>
      <c r="C1656" s="13"/>
      <c r="D1656" s="23" t="str">
        <f aca="false">IF(C1656="","",IFERROR(INDEX(LOTES!$D$5:$D$1004,MATCH(C1656,LOTES!$F$5:$F$1004,0)),"¿Lote?"))</f>
        <v/>
      </c>
      <c r="E1656" s="11" t="str">
        <f aca="false">IF(C1656="","",IFERROR(INDEX(LOTES!$C$5:$C$1004,MATCH(C1656,LOTES!$F$5:$F$1004,0)),""))</f>
        <v/>
      </c>
      <c r="F1656" s="24" t="str">
        <f aca="false">IF(C1656="","",IFERROR(INDEX(LOTES!$B$5:$B$1004,MATCH(C1656,LOTES!$F$5:$F$1004,0)),""))</f>
        <v/>
      </c>
      <c r="G1656" s="15" t="str">
        <f aca="false">IF(OR(B1656="",F1656=""),"",B1656-F1656)</f>
        <v/>
      </c>
      <c r="H1656" s="13"/>
      <c r="I1656" s="13"/>
      <c r="J1656" s="13"/>
      <c r="K1656" s="25"/>
      <c r="L1656" s="25"/>
      <c r="M1656" s="25"/>
      <c r="N1656" s="25"/>
      <c r="O1656" s="26"/>
      <c r="P1656" s="16" t="str">
        <f aca="false">IF(O1656="","",IFERROR(1/(1/(IF(K1656="",INDEX(CONFIG!$F$5:$F$14,MATCH(D1656,CONFIG!$D$5:$D$14,0)),K1656)*IF(M1656="",INDEX(CONFIG!$H$5:$H$14,MATCH(D1656,CONFIG!$D$5:$D$14,0)),M1656))),""))</f>
        <v/>
      </c>
      <c r="Q1656" s="16" t="str">
        <f aca="false">IF(OR(O1656="",P1656=""),"",O1656/P1656)</f>
        <v/>
      </c>
      <c r="R1656" s="16" t="str">
        <f aca="false">IF(Q1656="","",Q1656*0.0980665)</f>
        <v/>
      </c>
      <c r="S1656" s="16" t="str">
        <f aca="false">IF(Q1656="","",IFERROR(Q1656/(1/(1/INDEX(CONFIG!$I$5:$I$14,MATCH(D1656,CONFIG!$D$5:$D$14,0)))),""))</f>
        <v/>
      </c>
      <c r="T1656" s="13"/>
      <c r="U1656" s="13"/>
      <c r="V1656" s="13"/>
      <c r="W1656" s="13"/>
      <c r="X1656" s="22" t="str">
        <f aca="false">IF(Q1656="","",Q1656^2)</f>
        <v/>
      </c>
      <c r="Y1656" s="22" t="str">
        <f aca="false">IF(AND(C1656&lt;&gt;"",C1656=CERTIFICADO!$E$4,OR(CERTIFICADO!$E$5="",B1656=CERTIFICADO!$E$5)),MAX($Y$4:Y1655)+1,"")</f>
        <v/>
      </c>
    </row>
    <row r="1657" customFormat="false" ht="15" hidden="false" customHeight="false" outlineLevel="0" collapsed="false">
      <c r="A1657" s="11" t="str">
        <f aca="false">IF(C1657="","",ROW()-4)</f>
        <v/>
      </c>
      <c r="B1657" s="12"/>
      <c r="C1657" s="13"/>
      <c r="D1657" s="23" t="str">
        <f aca="false">IF(C1657="","",IFERROR(INDEX(LOTES!$D$5:$D$1004,MATCH(C1657,LOTES!$F$5:$F$1004,0)),"¿Lote?"))</f>
        <v/>
      </c>
      <c r="E1657" s="11" t="str">
        <f aca="false">IF(C1657="","",IFERROR(INDEX(LOTES!$C$5:$C$1004,MATCH(C1657,LOTES!$F$5:$F$1004,0)),""))</f>
        <v/>
      </c>
      <c r="F1657" s="24" t="str">
        <f aca="false">IF(C1657="","",IFERROR(INDEX(LOTES!$B$5:$B$1004,MATCH(C1657,LOTES!$F$5:$F$1004,0)),""))</f>
        <v/>
      </c>
      <c r="G1657" s="15" t="str">
        <f aca="false">IF(OR(B1657="",F1657=""),"",B1657-F1657)</f>
        <v/>
      </c>
      <c r="H1657" s="13"/>
      <c r="I1657" s="13"/>
      <c r="J1657" s="13"/>
      <c r="K1657" s="25"/>
      <c r="L1657" s="25"/>
      <c r="M1657" s="25"/>
      <c r="N1657" s="25"/>
      <c r="O1657" s="26"/>
      <c r="P1657" s="16" t="str">
        <f aca="false">IF(O1657="","",IFERROR(1/(1/(IF(K1657="",INDEX(CONFIG!$F$5:$F$14,MATCH(D1657,CONFIG!$D$5:$D$14,0)),K1657)*IF(M1657="",INDEX(CONFIG!$H$5:$H$14,MATCH(D1657,CONFIG!$D$5:$D$14,0)),M1657))),""))</f>
        <v/>
      </c>
      <c r="Q1657" s="16" t="str">
        <f aca="false">IF(OR(O1657="",P1657=""),"",O1657/P1657)</f>
        <v/>
      </c>
      <c r="R1657" s="16" t="str">
        <f aca="false">IF(Q1657="","",Q1657*0.0980665)</f>
        <v/>
      </c>
      <c r="S1657" s="16" t="str">
        <f aca="false">IF(Q1657="","",IFERROR(Q1657/(1/(1/INDEX(CONFIG!$I$5:$I$14,MATCH(D1657,CONFIG!$D$5:$D$14,0)))),""))</f>
        <v/>
      </c>
      <c r="T1657" s="13"/>
      <c r="U1657" s="13"/>
      <c r="V1657" s="13"/>
      <c r="W1657" s="13"/>
      <c r="X1657" s="22" t="str">
        <f aca="false">IF(Q1657="","",Q1657^2)</f>
        <v/>
      </c>
      <c r="Y1657" s="22" t="str">
        <f aca="false">IF(AND(C1657&lt;&gt;"",C1657=CERTIFICADO!$E$4,OR(CERTIFICADO!$E$5="",B1657=CERTIFICADO!$E$5)),MAX($Y$4:Y1656)+1,"")</f>
        <v/>
      </c>
    </row>
    <row r="1658" customFormat="false" ht="15" hidden="false" customHeight="false" outlineLevel="0" collapsed="false">
      <c r="A1658" s="11" t="str">
        <f aca="false">IF(C1658="","",ROW()-4)</f>
        <v/>
      </c>
      <c r="B1658" s="12"/>
      <c r="C1658" s="13"/>
      <c r="D1658" s="23" t="str">
        <f aca="false">IF(C1658="","",IFERROR(INDEX(LOTES!$D$5:$D$1004,MATCH(C1658,LOTES!$F$5:$F$1004,0)),"¿Lote?"))</f>
        <v/>
      </c>
      <c r="E1658" s="11" t="str">
        <f aca="false">IF(C1658="","",IFERROR(INDEX(LOTES!$C$5:$C$1004,MATCH(C1658,LOTES!$F$5:$F$1004,0)),""))</f>
        <v/>
      </c>
      <c r="F1658" s="24" t="str">
        <f aca="false">IF(C1658="","",IFERROR(INDEX(LOTES!$B$5:$B$1004,MATCH(C1658,LOTES!$F$5:$F$1004,0)),""))</f>
        <v/>
      </c>
      <c r="G1658" s="15" t="str">
        <f aca="false">IF(OR(B1658="",F1658=""),"",B1658-F1658)</f>
        <v/>
      </c>
      <c r="H1658" s="13"/>
      <c r="I1658" s="13"/>
      <c r="J1658" s="13"/>
      <c r="K1658" s="25"/>
      <c r="L1658" s="25"/>
      <c r="M1658" s="25"/>
      <c r="N1658" s="25"/>
      <c r="O1658" s="26"/>
      <c r="P1658" s="16" t="str">
        <f aca="false">IF(O1658="","",IFERROR(1/(1/(IF(K1658="",INDEX(CONFIG!$F$5:$F$14,MATCH(D1658,CONFIG!$D$5:$D$14,0)),K1658)*IF(M1658="",INDEX(CONFIG!$H$5:$H$14,MATCH(D1658,CONFIG!$D$5:$D$14,0)),M1658))),""))</f>
        <v/>
      </c>
      <c r="Q1658" s="16" t="str">
        <f aca="false">IF(OR(O1658="",P1658=""),"",O1658/P1658)</f>
        <v/>
      </c>
      <c r="R1658" s="16" t="str">
        <f aca="false">IF(Q1658="","",Q1658*0.0980665)</f>
        <v/>
      </c>
      <c r="S1658" s="16" t="str">
        <f aca="false">IF(Q1658="","",IFERROR(Q1658/(1/(1/INDEX(CONFIG!$I$5:$I$14,MATCH(D1658,CONFIG!$D$5:$D$14,0)))),""))</f>
        <v/>
      </c>
      <c r="T1658" s="13"/>
      <c r="U1658" s="13"/>
      <c r="V1658" s="13"/>
      <c r="W1658" s="13"/>
      <c r="X1658" s="22" t="str">
        <f aca="false">IF(Q1658="","",Q1658^2)</f>
        <v/>
      </c>
      <c r="Y1658" s="22" t="str">
        <f aca="false">IF(AND(C1658&lt;&gt;"",C1658=CERTIFICADO!$E$4,OR(CERTIFICADO!$E$5="",B1658=CERTIFICADO!$E$5)),MAX($Y$4:Y1657)+1,"")</f>
        <v/>
      </c>
    </row>
    <row r="1659" customFormat="false" ht="15" hidden="false" customHeight="false" outlineLevel="0" collapsed="false">
      <c r="A1659" s="11" t="str">
        <f aca="false">IF(C1659="","",ROW()-4)</f>
        <v/>
      </c>
      <c r="B1659" s="12"/>
      <c r="C1659" s="13"/>
      <c r="D1659" s="23" t="str">
        <f aca="false">IF(C1659="","",IFERROR(INDEX(LOTES!$D$5:$D$1004,MATCH(C1659,LOTES!$F$5:$F$1004,0)),"¿Lote?"))</f>
        <v/>
      </c>
      <c r="E1659" s="11" t="str">
        <f aca="false">IF(C1659="","",IFERROR(INDEX(LOTES!$C$5:$C$1004,MATCH(C1659,LOTES!$F$5:$F$1004,0)),""))</f>
        <v/>
      </c>
      <c r="F1659" s="24" t="str">
        <f aca="false">IF(C1659="","",IFERROR(INDEX(LOTES!$B$5:$B$1004,MATCH(C1659,LOTES!$F$5:$F$1004,0)),""))</f>
        <v/>
      </c>
      <c r="G1659" s="15" t="str">
        <f aca="false">IF(OR(B1659="",F1659=""),"",B1659-F1659)</f>
        <v/>
      </c>
      <c r="H1659" s="13"/>
      <c r="I1659" s="13"/>
      <c r="J1659" s="13"/>
      <c r="K1659" s="25"/>
      <c r="L1659" s="25"/>
      <c r="M1659" s="25"/>
      <c r="N1659" s="25"/>
      <c r="O1659" s="26"/>
      <c r="P1659" s="16" t="str">
        <f aca="false">IF(O1659="","",IFERROR(1/(1/(IF(K1659="",INDEX(CONFIG!$F$5:$F$14,MATCH(D1659,CONFIG!$D$5:$D$14,0)),K1659)*IF(M1659="",INDEX(CONFIG!$H$5:$H$14,MATCH(D1659,CONFIG!$D$5:$D$14,0)),M1659))),""))</f>
        <v/>
      </c>
      <c r="Q1659" s="16" t="str">
        <f aca="false">IF(OR(O1659="",P1659=""),"",O1659/P1659)</f>
        <v/>
      </c>
      <c r="R1659" s="16" t="str">
        <f aca="false">IF(Q1659="","",Q1659*0.0980665)</f>
        <v/>
      </c>
      <c r="S1659" s="16" t="str">
        <f aca="false">IF(Q1659="","",IFERROR(Q1659/(1/(1/INDEX(CONFIG!$I$5:$I$14,MATCH(D1659,CONFIG!$D$5:$D$14,0)))),""))</f>
        <v/>
      </c>
      <c r="T1659" s="13"/>
      <c r="U1659" s="13"/>
      <c r="V1659" s="13"/>
      <c r="W1659" s="13"/>
      <c r="X1659" s="22" t="str">
        <f aca="false">IF(Q1659="","",Q1659^2)</f>
        <v/>
      </c>
      <c r="Y1659" s="22" t="str">
        <f aca="false">IF(AND(C1659&lt;&gt;"",C1659=CERTIFICADO!$E$4,OR(CERTIFICADO!$E$5="",B1659=CERTIFICADO!$E$5)),MAX($Y$4:Y1658)+1,"")</f>
        <v/>
      </c>
    </row>
    <row r="1660" customFormat="false" ht="15" hidden="false" customHeight="false" outlineLevel="0" collapsed="false">
      <c r="A1660" s="11" t="str">
        <f aca="false">IF(C1660="","",ROW()-4)</f>
        <v/>
      </c>
      <c r="B1660" s="12"/>
      <c r="C1660" s="13"/>
      <c r="D1660" s="23" t="str">
        <f aca="false">IF(C1660="","",IFERROR(INDEX(LOTES!$D$5:$D$1004,MATCH(C1660,LOTES!$F$5:$F$1004,0)),"¿Lote?"))</f>
        <v/>
      </c>
      <c r="E1660" s="11" t="str">
        <f aca="false">IF(C1660="","",IFERROR(INDEX(LOTES!$C$5:$C$1004,MATCH(C1660,LOTES!$F$5:$F$1004,0)),""))</f>
        <v/>
      </c>
      <c r="F1660" s="24" t="str">
        <f aca="false">IF(C1660="","",IFERROR(INDEX(LOTES!$B$5:$B$1004,MATCH(C1660,LOTES!$F$5:$F$1004,0)),""))</f>
        <v/>
      </c>
      <c r="G1660" s="15" t="str">
        <f aca="false">IF(OR(B1660="",F1660=""),"",B1660-F1660)</f>
        <v/>
      </c>
      <c r="H1660" s="13"/>
      <c r="I1660" s="13"/>
      <c r="J1660" s="13"/>
      <c r="K1660" s="25"/>
      <c r="L1660" s="25"/>
      <c r="M1660" s="25"/>
      <c r="N1660" s="25"/>
      <c r="O1660" s="26"/>
      <c r="P1660" s="16" t="str">
        <f aca="false">IF(O1660="","",IFERROR(1/(1/(IF(K1660="",INDEX(CONFIG!$F$5:$F$14,MATCH(D1660,CONFIG!$D$5:$D$14,0)),K1660)*IF(M1660="",INDEX(CONFIG!$H$5:$H$14,MATCH(D1660,CONFIG!$D$5:$D$14,0)),M1660))),""))</f>
        <v/>
      </c>
      <c r="Q1660" s="16" t="str">
        <f aca="false">IF(OR(O1660="",P1660=""),"",O1660/P1660)</f>
        <v/>
      </c>
      <c r="R1660" s="16" t="str">
        <f aca="false">IF(Q1660="","",Q1660*0.0980665)</f>
        <v/>
      </c>
      <c r="S1660" s="16" t="str">
        <f aca="false">IF(Q1660="","",IFERROR(Q1660/(1/(1/INDEX(CONFIG!$I$5:$I$14,MATCH(D1660,CONFIG!$D$5:$D$14,0)))),""))</f>
        <v/>
      </c>
      <c r="T1660" s="13"/>
      <c r="U1660" s="13"/>
      <c r="V1660" s="13"/>
      <c r="W1660" s="13"/>
      <c r="X1660" s="22" t="str">
        <f aca="false">IF(Q1660="","",Q1660^2)</f>
        <v/>
      </c>
      <c r="Y1660" s="22" t="str">
        <f aca="false">IF(AND(C1660&lt;&gt;"",C1660=CERTIFICADO!$E$4,OR(CERTIFICADO!$E$5="",B1660=CERTIFICADO!$E$5)),MAX($Y$4:Y1659)+1,"")</f>
        <v/>
      </c>
    </row>
    <row r="1661" customFormat="false" ht="15" hidden="false" customHeight="false" outlineLevel="0" collapsed="false">
      <c r="A1661" s="11" t="str">
        <f aca="false">IF(C1661="","",ROW()-4)</f>
        <v/>
      </c>
      <c r="B1661" s="12"/>
      <c r="C1661" s="13"/>
      <c r="D1661" s="23" t="str">
        <f aca="false">IF(C1661="","",IFERROR(INDEX(LOTES!$D$5:$D$1004,MATCH(C1661,LOTES!$F$5:$F$1004,0)),"¿Lote?"))</f>
        <v/>
      </c>
      <c r="E1661" s="11" t="str">
        <f aca="false">IF(C1661="","",IFERROR(INDEX(LOTES!$C$5:$C$1004,MATCH(C1661,LOTES!$F$5:$F$1004,0)),""))</f>
        <v/>
      </c>
      <c r="F1661" s="24" t="str">
        <f aca="false">IF(C1661="","",IFERROR(INDEX(LOTES!$B$5:$B$1004,MATCH(C1661,LOTES!$F$5:$F$1004,0)),""))</f>
        <v/>
      </c>
      <c r="G1661" s="15" t="str">
        <f aca="false">IF(OR(B1661="",F1661=""),"",B1661-F1661)</f>
        <v/>
      </c>
      <c r="H1661" s="13"/>
      <c r="I1661" s="13"/>
      <c r="J1661" s="13"/>
      <c r="K1661" s="25"/>
      <c r="L1661" s="25"/>
      <c r="M1661" s="25"/>
      <c r="N1661" s="25"/>
      <c r="O1661" s="26"/>
      <c r="P1661" s="16" t="str">
        <f aca="false">IF(O1661="","",IFERROR(1/(1/(IF(K1661="",INDEX(CONFIG!$F$5:$F$14,MATCH(D1661,CONFIG!$D$5:$D$14,0)),K1661)*IF(M1661="",INDEX(CONFIG!$H$5:$H$14,MATCH(D1661,CONFIG!$D$5:$D$14,0)),M1661))),""))</f>
        <v/>
      </c>
      <c r="Q1661" s="16" t="str">
        <f aca="false">IF(OR(O1661="",P1661=""),"",O1661/P1661)</f>
        <v/>
      </c>
      <c r="R1661" s="16" t="str">
        <f aca="false">IF(Q1661="","",Q1661*0.0980665)</f>
        <v/>
      </c>
      <c r="S1661" s="16" t="str">
        <f aca="false">IF(Q1661="","",IFERROR(Q1661/(1/(1/INDEX(CONFIG!$I$5:$I$14,MATCH(D1661,CONFIG!$D$5:$D$14,0)))),""))</f>
        <v/>
      </c>
      <c r="T1661" s="13"/>
      <c r="U1661" s="13"/>
      <c r="V1661" s="13"/>
      <c r="W1661" s="13"/>
      <c r="X1661" s="22" t="str">
        <f aca="false">IF(Q1661="","",Q1661^2)</f>
        <v/>
      </c>
      <c r="Y1661" s="22" t="str">
        <f aca="false">IF(AND(C1661&lt;&gt;"",C1661=CERTIFICADO!$E$4,OR(CERTIFICADO!$E$5="",B1661=CERTIFICADO!$E$5)),MAX($Y$4:Y1660)+1,"")</f>
        <v/>
      </c>
    </row>
    <row r="1662" customFormat="false" ht="15" hidden="false" customHeight="false" outlineLevel="0" collapsed="false">
      <c r="A1662" s="11" t="str">
        <f aca="false">IF(C1662="","",ROW()-4)</f>
        <v/>
      </c>
      <c r="B1662" s="12"/>
      <c r="C1662" s="13"/>
      <c r="D1662" s="23" t="str">
        <f aca="false">IF(C1662="","",IFERROR(INDEX(LOTES!$D$5:$D$1004,MATCH(C1662,LOTES!$F$5:$F$1004,0)),"¿Lote?"))</f>
        <v/>
      </c>
      <c r="E1662" s="11" t="str">
        <f aca="false">IF(C1662="","",IFERROR(INDEX(LOTES!$C$5:$C$1004,MATCH(C1662,LOTES!$F$5:$F$1004,0)),""))</f>
        <v/>
      </c>
      <c r="F1662" s="24" t="str">
        <f aca="false">IF(C1662="","",IFERROR(INDEX(LOTES!$B$5:$B$1004,MATCH(C1662,LOTES!$F$5:$F$1004,0)),""))</f>
        <v/>
      </c>
      <c r="G1662" s="15" t="str">
        <f aca="false">IF(OR(B1662="",F1662=""),"",B1662-F1662)</f>
        <v/>
      </c>
      <c r="H1662" s="13"/>
      <c r="I1662" s="13"/>
      <c r="J1662" s="13"/>
      <c r="K1662" s="25"/>
      <c r="L1662" s="25"/>
      <c r="M1662" s="25"/>
      <c r="N1662" s="25"/>
      <c r="O1662" s="26"/>
      <c r="P1662" s="16" t="str">
        <f aca="false">IF(O1662="","",IFERROR(1/(1/(IF(K1662="",INDEX(CONFIG!$F$5:$F$14,MATCH(D1662,CONFIG!$D$5:$D$14,0)),K1662)*IF(M1662="",INDEX(CONFIG!$H$5:$H$14,MATCH(D1662,CONFIG!$D$5:$D$14,0)),M1662))),""))</f>
        <v/>
      </c>
      <c r="Q1662" s="16" t="str">
        <f aca="false">IF(OR(O1662="",P1662=""),"",O1662/P1662)</f>
        <v/>
      </c>
      <c r="R1662" s="16" t="str">
        <f aca="false">IF(Q1662="","",Q1662*0.0980665)</f>
        <v/>
      </c>
      <c r="S1662" s="16" t="str">
        <f aca="false">IF(Q1662="","",IFERROR(Q1662/(1/(1/INDEX(CONFIG!$I$5:$I$14,MATCH(D1662,CONFIG!$D$5:$D$14,0)))),""))</f>
        <v/>
      </c>
      <c r="T1662" s="13"/>
      <c r="U1662" s="13"/>
      <c r="V1662" s="13"/>
      <c r="W1662" s="13"/>
      <c r="X1662" s="22" t="str">
        <f aca="false">IF(Q1662="","",Q1662^2)</f>
        <v/>
      </c>
      <c r="Y1662" s="22" t="str">
        <f aca="false">IF(AND(C1662&lt;&gt;"",C1662=CERTIFICADO!$E$4,OR(CERTIFICADO!$E$5="",B1662=CERTIFICADO!$E$5)),MAX($Y$4:Y1661)+1,"")</f>
        <v/>
      </c>
    </row>
    <row r="1663" customFormat="false" ht="15" hidden="false" customHeight="false" outlineLevel="0" collapsed="false">
      <c r="A1663" s="11" t="str">
        <f aca="false">IF(C1663="","",ROW()-4)</f>
        <v/>
      </c>
      <c r="B1663" s="12"/>
      <c r="C1663" s="13"/>
      <c r="D1663" s="23" t="str">
        <f aca="false">IF(C1663="","",IFERROR(INDEX(LOTES!$D$5:$D$1004,MATCH(C1663,LOTES!$F$5:$F$1004,0)),"¿Lote?"))</f>
        <v/>
      </c>
      <c r="E1663" s="11" t="str">
        <f aca="false">IF(C1663="","",IFERROR(INDEX(LOTES!$C$5:$C$1004,MATCH(C1663,LOTES!$F$5:$F$1004,0)),""))</f>
        <v/>
      </c>
      <c r="F1663" s="24" t="str">
        <f aca="false">IF(C1663="","",IFERROR(INDEX(LOTES!$B$5:$B$1004,MATCH(C1663,LOTES!$F$5:$F$1004,0)),""))</f>
        <v/>
      </c>
      <c r="G1663" s="15" t="str">
        <f aca="false">IF(OR(B1663="",F1663=""),"",B1663-F1663)</f>
        <v/>
      </c>
      <c r="H1663" s="13"/>
      <c r="I1663" s="13"/>
      <c r="J1663" s="13"/>
      <c r="K1663" s="25"/>
      <c r="L1663" s="25"/>
      <c r="M1663" s="25"/>
      <c r="N1663" s="25"/>
      <c r="O1663" s="26"/>
      <c r="P1663" s="16" t="str">
        <f aca="false">IF(O1663="","",IFERROR(1/(1/(IF(K1663="",INDEX(CONFIG!$F$5:$F$14,MATCH(D1663,CONFIG!$D$5:$D$14,0)),K1663)*IF(M1663="",INDEX(CONFIG!$H$5:$H$14,MATCH(D1663,CONFIG!$D$5:$D$14,0)),M1663))),""))</f>
        <v/>
      </c>
      <c r="Q1663" s="16" t="str">
        <f aca="false">IF(OR(O1663="",P1663=""),"",O1663/P1663)</f>
        <v/>
      </c>
      <c r="R1663" s="16" t="str">
        <f aca="false">IF(Q1663="","",Q1663*0.0980665)</f>
        <v/>
      </c>
      <c r="S1663" s="16" t="str">
        <f aca="false">IF(Q1663="","",IFERROR(Q1663/(1/(1/INDEX(CONFIG!$I$5:$I$14,MATCH(D1663,CONFIG!$D$5:$D$14,0)))),""))</f>
        <v/>
      </c>
      <c r="T1663" s="13"/>
      <c r="U1663" s="13"/>
      <c r="V1663" s="13"/>
      <c r="W1663" s="13"/>
      <c r="X1663" s="22" t="str">
        <f aca="false">IF(Q1663="","",Q1663^2)</f>
        <v/>
      </c>
      <c r="Y1663" s="22" t="str">
        <f aca="false">IF(AND(C1663&lt;&gt;"",C1663=CERTIFICADO!$E$4,OR(CERTIFICADO!$E$5="",B1663=CERTIFICADO!$E$5)),MAX($Y$4:Y1662)+1,"")</f>
        <v/>
      </c>
    </row>
    <row r="1664" customFormat="false" ht="15" hidden="false" customHeight="false" outlineLevel="0" collapsed="false">
      <c r="A1664" s="11" t="str">
        <f aca="false">IF(C1664="","",ROW()-4)</f>
        <v/>
      </c>
      <c r="B1664" s="12"/>
      <c r="C1664" s="13"/>
      <c r="D1664" s="23" t="str">
        <f aca="false">IF(C1664="","",IFERROR(INDEX(LOTES!$D$5:$D$1004,MATCH(C1664,LOTES!$F$5:$F$1004,0)),"¿Lote?"))</f>
        <v/>
      </c>
      <c r="E1664" s="11" t="str">
        <f aca="false">IF(C1664="","",IFERROR(INDEX(LOTES!$C$5:$C$1004,MATCH(C1664,LOTES!$F$5:$F$1004,0)),""))</f>
        <v/>
      </c>
      <c r="F1664" s="24" t="str">
        <f aca="false">IF(C1664="","",IFERROR(INDEX(LOTES!$B$5:$B$1004,MATCH(C1664,LOTES!$F$5:$F$1004,0)),""))</f>
        <v/>
      </c>
      <c r="G1664" s="15" t="str">
        <f aca="false">IF(OR(B1664="",F1664=""),"",B1664-F1664)</f>
        <v/>
      </c>
      <c r="H1664" s="13"/>
      <c r="I1664" s="13"/>
      <c r="J1664" s="13"/>
      <c r="K1664" s="25"/>
      <c r="L1664" s="25"/>
      <c r="M1664" s="25"/>
      <c r="N1664" s="25"/>
      <c r="O1664" s="26"/>
      <c r="P1664" s="16" t="str">
        <f aca="false">IF(O1664="","",IFERROR(1/(1/(IF(K1664="",INDEX(CONFIG!$F$5:$F$14,MATCH(D1664,CONFIG!$D$5:$D$14,0)),K1664)*IF(M1664="",INDEX(CONFIG!$H$5:$H$14,MATCH(D1664,CONFIG!$D$5:$D$14,0)),M1664))),""))</f>
        <v/>
      </c>
      <c r="Q1664" s="16" t="str">
        <f aca="false">IF(OR(O1664="",P1664=""),"",O1664/P1664)</f>
        <v/>
      </c>
      <c r="R1664" s="16" t="str">
        <f aca="false">IF(Q1664="","",Q1664*0.0980665)</f>
        <v/>
      </c>
      <c r="S1664" s="16" t="str">
        <f aca="false">IF(Q1664="","",IFERROR(Q1664/(1/(1/INDEX(CONFIG!$I$5:$I$14,MATCH(D1664,CONFIG!$D$5:$D$14,0)))),""))</f>
        <v/>
      </c>
      <c r="T1664" s="13"/>
      <c r="U1664" s="13"/>
      <c r="V1664" s="13"/>
      <c r="W1664" s="13"/>
      <c r="X1664" s="22" t="str">
        <f aca="false">IF(Q1664="","",Q1664^2)</f>
        <v/>
      </c>
      <c r="Y1664" s="22" t="str">
        <f aca="false">IF(AND(C1664&lt;&gt;"",C1664=CERTIFICADO!$E$4,OR(CERTIFICADO!$E$5="",B1664=CERTIFICADO!$E$5)),MAX($Y$4:Y1663)+1,"")</f>
        <v/>
      </c>
    </row>
    <row r="1665" customFormat="false" ht="15" hidden="false" customHeight="false" outlineLevel="0" collapsed="false">
      <c r="A1665" s="11" t="str">
        <f aca="false">IF(C1665="","",ROW()-4)</f>
        <v/>
      </c>
      <c r="B1665" s="12"/>
      <c r="C1665" s="13"/>
      <c r="D1665" s="23" t="str">
        <f aca="false">IF(C1665="","",IFERROR(INDEX(LOTES!$D$5:$D$1004,MATCH(C1665,LOTES!$F$5:$F$1004,0)),"¿Lote?"))</f>
        <v/>
      </c>
      <c r="E1665" s="11" t="str">
        <f aca="false">IF(C1665="","",IFERROR(INDEX(LOTES!$C$5:$C$1004,MATCH(C1665,LOTES!$F$5:$F$1004,0)),""))</f>
        <v/>
      </c>
      <c r="F1665" s="24" t="str">
        <f aca="false">IF(C1665="","",IFERROR(INDEX(LOTES!$B$5:$B$1004,MATCH(C1665,LOTES!$F$5:$F$1004,0)),""))</f>
        <v/>
      </c>
      <c r="G1665" s="15" t="str">
        <f aca="false">IF(OR(B1665="",F1665=""),"",B1665-F1665)</f>
        <v/>
      </c>
      <c r="H1665" s="13"/>
      <c r="I1665" s="13"/>
      <c r="J1665" s="13"/>
      <c r="K1665" s="25"/>
      <c r="L1665" s="25"/>
      <c r="M1665" s="25"/>
      <c r="N1665" s="25"/>
      <c r="O1665" s="26"/>
      <c r="P1665" s="16" t="str">
        <f aca="false">IF(O1665="","",IFERROR(1/(1/(IF(K1665="",INDEX(CONFIG!$F$5:$F$14,MATCH(D1665,CONFIG!$D$5:$D$14,0)),K1665)*IF(M1665="",INDEX(CONFIG!$H$5:$H$14,MATCH(D1665,CONFIG!$D$5:$D$14,0)),M1665))),""))</f>
        <v/>
      </c>
      <c r="Q1665" s="16" t="str">
        <f aca="false">IF(OR(O1665="",P1665=""),"",O1665/P1665)</f>
        <v/>
      </c>
      <c r="R1665" s="16" t="str">
        <f aca="false">IF(Q1665="","",Q1665*0.0980665)</f>
        <v/>
      </c>
      <c r="S1665" s="16" t="str">
        <f aca="false">IF(Q1665="","",IFERROR(Q1665/(1/(1/INDEX(CONFIG!$I$5:$I$14,MATCH(D1665,CONFIG!$D$5:$D$14,0)))),""))</f>
        <v/>
      </c>
      <c r="T1665" s="13"/>
      <c r="U1665" s="13"/>
      <c r="V1665" s="13"/>
      <c r="W1665" s="13"/>
      <c r="X1665" s="22" t="str">
        <f aca="false">IF(Q1665="","",Q1665^2)</f>
        <v/>
      </c>
      <c r="Y1665" s="22" t="str">
        <f aca="false">IF(AND(C1665&lt;&gt;"",C1665=CERTIFICADO!$E$4,OR(CERTIFICADO!$E$5="",B1665=CERTIFICADO!$E$5)),MAX($Y$4:Y1664)+1,"")</f>
        <v/>
      </c>
    </row>
    <row r="1666" customFormat="false" ht="15" hidden="false" customHeight="false" outlineLevel="0" collapsed="false">
      <c r="A1666" s="11" t="str">
        <f aca="false">IF(C1666="","",ROW()-4)</f>
        <v/>
      </c>
      <c r="B1666" s="12"/>
      <c r="C1666" s="13"/>
      <c r="D1666" s="23" t="str">
        <f aca="false">IF(C1666="","",IFERROR(INDEX(LOTES!$D$5:$D$1004,MATCH(C1666,LOTES!$F$5:$F$1004,0)),"¿Lote?"))</f>
        <v/>
      </c>
      <c r="E1666" s="11" t="str">
        <f aca="false">IF(C1666="","",IFERROR(INDEX(LOTES!$C$5:$C$1004,MATCH(C1666,LOTES!$F$5:$F$1004,0)),""))</f>
        <v/>
      </c>
      <c r="F1666" s="24" t="str">
        <f aca="false">IF(C1666="","",IFERROR(INDEX(LOTES!$B$5:$B$1004,MATCH(C1666,LOTES!$F$5:$F$1004,0)),""))</f>
        <v/>
      </c>
      <c r="G1666" s="15" t="str">
        <f aca="false">IF(OR(B1666="",F1666=""),"",B1666-F1666)</f>
        <v/>
      </c>
      <c r="H1666" s="13"/>
      <c r="I1666" s="13"/>
      <c r="J1666" s="13"/>
      <c r="K1666" s="25"/>
      <c r="L1666" s="25"/>
      <c r="M1666" s="25"/>
      <c r="N1666" s="25"/>
      <c r="O1666" s="26"/>
      <c r="P1666" s="16" t="str">
        <f aca="false">IF(O1666="","",IFERROR(1/(1/(IF(K1666="",INDEX(CONFIG!$F$5:$F$14,MATCH(D1666,CONFIG!$D$5:$D$14,0)),K1666)*IF(M1666="",INDEX(CONFIG!$H$5:$H$14,MATCH(D1666,CONFIG!$D$5:$D$14,0)),M1666))),""))</f>
        <v/>
      </c>
      <c r="Q1666" s="16" t="str">
        <f aca="false">IF(OR(O1666="",P1666=""),"",O1666/P1666)</f>
        <v/>
      </c>
      <c r="R1666" s="16" t="str">
        <f aca="false">IF(Q1666="","",Q1666*0.0980665)</f>
        <v/>
      </c>
      <c r="S1666" s="16" t="str">
        <f aca="false">IF(Q1666="","",IFERROR(Q1666/(1/(1/INDEX(CONFIG!$I$5:$I$14,MATCH(D1666,CONFIG!$D$5:$D$14,0)))),""))</f>
        <v/>
      </c>
      <c r="T1666" s="13"/>
      <c r="U1666" s="13"/>
      <c r="V1666" s="13"/>
      <c r="W1666" s="13"/>
      <c r="X1666" s="22" t="str">
        <f aca="false">IF(Q1666="","",Q1666^2)</f>
        <v/>
      </c>
      <c r="Y1666" s="22" t="str">
        <f aca="false">IF(AND(C1666&lt;&gt;"",C1666=CERTIFICADO!$E$4,OR(CERTIFICADO!$E$5="",B1666=CERTIFICADO!$E$5)),MAX($Y$4:Y1665)+1,"")</f>
        <v/>
      </c>
    </row>
    <row r="1667" customFormat="false" ht="15" hidden="false" customHeight="false" outlineLevel="0" collapsed="false">
      <c r="A1667" s="11" t="str">
        <f aca="false">IF(C1667="","",ROW()-4)</f>
        <v/>
      </c>
      <c r="B1667" s="12"/>
      <c r="C1667" s="13"/>
      <c r="D1667" s="23" t="str">
        <f aca="false">IF(C1667="","",IFERROR(INDEX(LOTES!$D$5:$D$1004,MATCH(C1667,LOTES!$F$5:$F$1004,0)),"¿Lote?"))</f>
        <v/>
      </c>
      <c r="E1667" s="11" t="str">
        <f aca="false">IF(C1667="","",IFERROR(INDEX(LOTES!$C$5:$C$1004,MATCH(C1667,LOTES!$F$5:$F$1004,0)),""))</f>
        <v/>
      </c>
      <c r="F1667" s="24" t="str">
        <f aca="false">IF(C1667="","",IFERROR(INDEX(LOTES!$B$5:$B$1004,MATCH(C1667,LOTES!$F$5:$F$1004,0)),""))</f>
        <v/>
      </c>
      <c r="G1667" s="15" t="str">
        <f aca="false">IF(OR(B1667="",F1667=""),"",B1667-F1667)</f>
        <v/>
      </c>
      <c r="H1667" s="13"/>
      <c r="I1667" s="13"/>
      <c r="J1667" s="13"/>
      <c r="K1667" s="25"/>
      <c r="L1667" s="25"/>
      <c r="M1667" s="25"/>
      <c r="N1667" s="25"/>
      <c r="O1667" s="26"/>
      <c r="P1667" s="16" t="str">
        <f aca="false">IF(O1667="","",IFERROR(1/(1/(IF(K1667="",INDEX(CONFIG!$F$5:$F$14,MATCH(D1667,CONFIG!$D$5:$D$14,0)),K1667)*IF(M1667="",INDEX(CONFIG!$H$5:$H$14,MATCH(D1667,CONFIG!$D$5:$D$14,0)),M1667))),""))</f>
        <v/>
      </c>
      <c r="Q1667" s="16" t="str">
        <f aca="false">IF(OR(O1667="",P1667=""),"",O1667/P1667)</f>
        <v/>
      </c>
      <c r="R1667" s="16" t="str">
        <f aca="false">IF(Q1667="","",Q1667*0.0980665)</f>
        <v/>
      </c>
      <c r="S1667" s="16" t="str">
        <f aca="false">IF(Q1667="","",IFERROR(Q1667/(1/(1/INDEX(CONFIG!$I$5:$I$14,MATCH(D1667,CONFIG!$D$5:$D$14,0)))),""))</f>
        <v/>
      </c>
      <c r="T1667" s="13"/>
      <c r="U1667" s="13"/>
      <c r="V1667" s="13"/>
      <c r="W1667" s="13"/>
      <c r="X1667" s="22" t="str">
        <f aca="false">IF(Q1667="","",Q1667^2)</f>
        <v/>
      </c>
      <c r="Y1667" s="22" t="str">
        <f aca="false">IF(AND(C1667&lt;&gt;"",C1667=CERTIFICADO!$E$4,OR(CERTIFICADO!$E$5="",B1667=CERTIFICADO!$E$5)),MAX($Y$4:Y1666)+1,"")</f>
        <v/>
      </c>
    </row>
    <row r="1668" customFormat="false" ht="15" hidden="false" customHeight="false" outlineLevel="0" collapsed="false">
      <c r="A1668" s="11" t="str">
        <f aca="false">IF(C1668="","",ROW()-4)</f>
        <v/>
      </c>
      <c r="B1668" s="12"/>
      <c r="C1668" s="13"/>
      <c r="D1668" s="23" t="str">
        <f aca="false">IF(C1668="","",IFERROR(INDEX(LOTES!$D$5:$D$1004,MATCH(C1668,LOTES!$F$5:$F$1004,0)),"¿Lote?"))</f>
        <v/>
      </c>
      <c r="E1668" s="11" t="str">
        <f aca="false">IF(C1668="","",IFERROR(INDEX(LOTES!$C$5:$C$1004,MATCH(C1668,LOTES!$F$5:$F$1004,0)),""))</f>
        <v/>
      </c>
      <c r="F1668" s="24" t="str">
        <f aca="false">IF(C1668="","",IFERROR(INDEX(LOTES!$B$5:$B$1004,MATCH(C1668,LOTES!$F$5:$F$1004,0)),""))</f>
        <v/>
      </c>
      <c r="G1668" s="15" t="str">
        <f aca="false">IF(OR(B1668="",F1668=""),"",B1668-F1668)</f>
        <v/>
      </c>
      <c r="H1668" s="13"/>
      <c r="I1668" s="13"/>
      <c r="J1668" s="13"/>
      <c r="K1668" s="25"/>
      <c r="L1668" s="25"/>
      <c r="M1668" s="25"/>
      <c r="N1668" s="25"/>
      <c r="O1668" s="26"/>
      <c r="P1668" s="16" t="str">
        <f aca="false">IF(O1668="","",IFERROR(1/(1/(IF(K1668="",INDEX(CONFIG!$F$5:$F$14,MATCH(D1668,CONFIG!$D$5:$D$14,0)),K1668)*IF(M1668="",INDEX(CONFIG!$H$5:$H$14,MATCH(D1668,CONFIG!$D$5:$D$14,0)),M1668))),""))</f>
        <v/>
      </c>
      <c r="Q1668" s="16" t="str">
        <f aca="false">IF(OR(O1668="",P1668=""),"",O1668/P1668)</f>
        <v/>
      </c>
      <c r="R1668" s="16" t="str">
        <f aca="false">IF(Q1668="","",Q1668*0.0980665)</f>
        <v/>
      </c>
      <c r="S1668" s="16" t="str">
        <f aca="false">IF(Q1668="","",IFERROR(Q1668/(1/(1/INDEX(CONFIG!$I$5:$I$14,MATCH(D1668,CONFIG!$D$5:$D$14,0)))),""))</f>
        <v/>
      </c>
      <c r="T1668" s="13"/>
      <c r="U1668" s="13"/>
      <c r="V1668" s="13"/>
      <c r="W1668" s="13"/>
      <c r="X1668" s="22" t="str">
        <f aca="false">IF(Q1668="","",Q1668^2)</f>
        <v/>
      </c>
      <c r="Y1668" s="22" t="str">
        <f aca="false">IF(AND(C1668&lt;&gt;"",C1668=CERTIFICADO!$E$4,OR(CERTIFICADO!$E$5="",B1668=CERTIFICADO!$E$5)),MAX($Y$4:Y1667)+1,"")</f>
        <v/>
      </c>
    </row>
    <row r="1669" customFormat="false" ht="15" hidden="false" customHeight="false" outlineLevel="0" collapsed="false">
      <c r="A1669" s="11" t="str">
        <f aca="false">IF(C1669="","",ROW()-4)</f>
        <v/>
      </c>
      <c r="B1669" s="12"/>
      <c r="C1669" s="13"/>
      <c r="D1669" s="23" t="str">
        <f aca="false">IF(C1669="","",IFERROR(INDEX(LOTES!$D$5:$D$1004,MATCH(C1669,LOTES!$F$5:$F$1004,0)),"¿Lote?"))</f>
        <v/>
      </c>
      <c r="E1669" s="11" t="str">
        <f aca="false">IF(C1669="","",IFERROR(INDEX(LOTES!$C$5:$C$1004,MATCH(C1669,LOTES!$F$5:$F$1004,0)),""))</f>
        <v/>
      </c>
      <c r="F1669" s="24" t="str">
        <f aca="false">IF(C1669="","",IFERROR(INDEX(LOTES!$B$5:$B$1004,MATCH(C1669,LOTES!$F$5:$F$1004,0)),""))</f>
        <v/>
      </c>
      <c r="G1669" s="15" t="str">
        <f aca="false">IF(OR(B1669="",F1669=""),"",B1669-F1669)</f>
        <v/>
      </c>
      <c r="H1669" s="13"/>
      <c r="I1669" s="13"/>
      <c r="J1669" s="13"/>
      <c r="K1669" s="25"/>
      <c r="L1669" s="25"/>
      <c r="M1669" s="25"/>
      <c r="N1669" s="25"/>
      <c r="O1669" s="26"/>
      <c r="P1669" s="16" t="str">
        <f aca="false">IF(O1669="","",IFERROR(1/(1/(IF(K1669="",INDEX(CONFIG!$F$5:$F$14,MATCH(D1669,CONFIG!$D$5:$D$14,0)),K1669)*IF(M1669="",INDEX(CONFIG!$H$5:$H$14,MATCH(D1669,CONFIG!$D$5:$D$14,0)),M1669))),""))</f>
        <v/>
      </c>
      <c r="Q1669" s="16" t="str">
        <f aca="false">IF(OR(O1669="",P1669=""),"",O1669/P1669)</f>
        <v/>
      </c>
      <c r="R1669" s="16" t="str">
        <f aca="false">IF(Q1669="","",Q1669*0.0980665)</f>
        <v/>
      </c>
      <c r="S1669" s="16" t="str">
        <f aca="false">IF(Q1669="","",IFERROR(Q1669/(1/(1/INDEX(CONFIG!$I$5:$I$14,MATCH(D1669,CONFIG!$D$5:$D$14,0)))),""))</f>
        <v/>
      </c>
      <c r="T1669" s="13"/>
      <c r="U1669" s="13"/>
      <c r="V1669" s="13"/>
      <c r="W1669" s="13"/>
      <c r="X1669" s="22" t="str">
        <f aca="false">IF(Q1669="","",Q1669^2)</f>
        <v/>
      </c>
      <c r="Y1669" s="22" t="str">
        <f aca="false">IF(AND(C1669&lt;&gt;"",C1669=CERTIFICADO!$E$4,OR(CERTIFICADO!$E$5="",B1669=CERTIFICADO!$E$5)),MAX($Y$4:Y1668)+1,"")</f>
        <v/>
      </c>
    </row>
    <row r="1670" customFormat="false" ht="15" hidden="false" customHeight="false" outlineLevel="0" collapsed="false">
      <c r="A1670" s="11" t="str">
        <f aca="false">IF(C1670="","",ROW()-4)</f>
        <v/>
      </c>
      <c r="B1670" s="12"/>
      <c r="C1670" s="13"/>
      <c r="D1670" s="23" t="str">
        <f aca="false">IF(C1670="","",IFERROR(INDEX(LOTES!$D$5:$D$1004,MATCH(C1670,LOTES!$F$5:$F$1004,0)),"¿Lote?"))</f>
        <v/>
      </c>
      <c r="E1670" s="11" t="str">
        <f aca="false">IF(C1670="","",IFERROR(INDEX(LOTES!$C$5:$C$1004,MATCH(C1670,LOTES!$F$5:$F$1004,0)),""))</f>
        <v/>
      </c>
      <c r="F1670" s="24" t="str">
        <f aca="false">IF(C1670="","",IFERROR(INDEX(LOTES!$B$5:$B$1004,MATCH(C1670,LOTES!$F$5:$F$1004,0)),""))</f>
        <v/>
      </c>
      <c r="G1670" s="15" t="str">
        <f aca="false">IF(OR(B1670="",F1670=""),"",B1670-F1670)</f>
        <v/>
      </c>
      <c r="H1670" s="13"/>
      <c r="I1670" s="13"/>
      <c r="J1670" s="13"/>
      <c r="K1670" s="25"/>
      <c r="L1670" s="25"/>
      <c r="M1670" s="25"/>
      <c r="N1670" s="25"/>
      <c r="O1670" s="26"/>
      <c r="P1670" s="16" t="str">
        <f aca="false">IF(O1670="","",IFERROR(1/(1/(IF(K1670="",INDEX(CONFIG!$F$5:$F$14,MATCH(D1670,CONFIG!$D$5:$D$14,0)),K1670)*IF(M1670="",INDEX(CONFIG!$H$5:$H$14,MATCH(D1670,CONFIG!$D$5:$D$14,0)),M1670))),""))</f>
        <v/>
      </c>
      <c r="Q1670" s="16" t="str">
        <f aca="false">IF(OR(O1670="",P1670=""),"",O1670/P1670)</f>
        <v/>
      </c>
      <c r="R1670" s="16" t="str">
        <f aca="false">IF(Q1670="","",Q1670*0.0980665)</f>
        <v/>
      </c>
      <c r="S1670" s="16" t="str">
        <f aca="false">IF(Q1670="","",IFERROR(Q1670/(1/(1/INDEX(CONFIG!$I$5:$I$14,MATCH(D1670,CONFIG!$D$5:$D$14,0)))),""))</f>
        <v/>
      </c>
      <c r="T1670" s="13"/>
      <c r="U1670" s="13"/>
      <c r="V1670" s="13"/>
      <c r="W1670" s="13"/>
      <c r="X1670" s="22" t="str">
        <f aca="false">IF(Q1670="","",Q1670^2)</f>
        <v/>
      </c>
      <c r="Y1670" s="22" t="str">
        <f aca="false">IF(AND(C1670&lt;&gt;"",C1670=CERTIFICADO!$E$4,OR(CERTIFICADO!$E$5="",B1670=CERTIFICADO!$E$5)),MAX($Y$4:Y1669)+1,"")</f>
        <v/>
      </c>
    </row>
    <row r="1671" customFormat="false" ht="15" hidden="false" customHeight="false" outlineLevel="0" collapsed="false">
      <c r="A1671" s="11" t="str">
        <f aca="false">IF(C1671="","",ROW()-4)</f>
        <v/>
      </c>
      <c r="B1671" s="12"/>
      <c r="C1671" s="13"/>
      <c r="D1671" s="23" t="str">
        <f aca="false">IF(C1671="","",IFERROR(INDEX(LOTES!$D$5:$D$1004,MATCH(C1671,LOTES!$F$5:$F$1004,0)),"¿Lote?"))</f>
        <v/>
      </c>
      <c r="E1671" s="11" t="str">
        <f aca="false">IF(C1671="","",IFERROR(INDEX(LOTES!$C$5:$C$1004,MATCH(C1671,LOTES!$F$5:$F$1004,0)),""))</f>
        <v/>
      </c>
      <c r="F1671" s="24" t="str">
        <f aca="false">IF(C1671="","",IFERROR(INDEX(LOTES!$B$5:$B$1004,MATCH(C1671,LOTES!$F$5:$F$1004,0)),""))</f>
        <v/>
      </c>
      <c r="G1671" s="15" t="str">
        <f aca="false">IF(OR(B1671="",F1671=""),"",B1671-F1671)</f>
        <v/>
      </c>
      <c r="H1671" s="13"/>
      <c r="I1671" s="13"/>
      <c r="J1671" s="13"/>
      <c r="K1671" s="25"/>
      <c r="L1671" s="25"/>
      <c r="M1671" s="25"/>
      <c r="N1671" s="25"/>
      <c r="O1671" s="26"/>
      <c r="P1671" s="16" t="str">
        <f aca="false">IF(O1671="","",IFERROR(1/(1/(IF(K1671="",INDEX(CONFIG!$F$5:$F$14,MATCH(D1671,CONFIG!$D$5:$D$14,0)),K1671)*IF(M1671="",INDEX(CONFIG!$H$5:$H$14,MATCH(D1671,CONFIG!$D$5:$D$14,0)),M1671))),""))</f>
        <v/>
      </c>
      <c r="Q1671" s="16" t="str">
        <f aca="false">IF(OR(O1671="",P1671=""),"",O1671/P1671)</f>
        <v/>
      </c>
      <c r="R1671" s="16" t="str">
        <f aca="false">IF(Q1671="","",Q1671*0.0980665)</f>
        <v/>
      </c>
      <c r="S1671" s="16" t="str">
        <f aca="false">IF(Q1671="","",IFERROR(Q1671/(1/(1/INDEX(CONFIG!$I$5:$I$14,MATCH(D1671,CONFIG!$D$5:$D$14,0)))),""))</f>
        <v/>
      </c>
      <c r="T1671" s="13"/>
      <c r="U1671" s="13"/>
      <c r="V1671" s="13"/>
      <c r="W1671" s="13"/>
      <c r="X1671" s="22" t="str">
        <f aca="false">IF(Q1671="","",Q1671^2)</f>
        <v/>
      </c>
      <c r="Y1671" s="22" t="str">
        <f aca="false">IF(AND(C1671&lt;&gt;"",C1671=CERTIFICADO!$E$4,OR(CERTIFICADO!$E$5="",B1671=CERTIFICADO!$E$5)),MAX($Y$4:Y1670)+1,"")</f>
        <v/>
      </c>
    </row>
    <row r="1672" customFormat="false" ht="15" hidden="false" customHeight="false" outlineLevel="0" collapsed="false">
      <c r="A1672" s="11" t="str">
        <f aca="false">IF(C1672="","",ROW()-4)</f>
        <v/>
      </c>
      <c r="B1672" s="12"/>
      <c r="C1672" s="13"/>
      <c r="D1672" s="23" t="str">
        <f aca="false">IF(C1672="","",IFERROR(INDEX(LOTES!$D$5:$D$1004,MATCH(C1672,LOTES!$F$5:$F$1004,0)),"¿Lote?"))</f>
        <v/>
      </c>
      <c r="E1672" s="11" t="str">
        <f aca="false">IF(C1672="","",IFERROR(INDEX(LOTES!$C$5:$C$1004,MATCH(C1672,LOTES!$F$5:$F$1004,0)),""))</f>
        <v/>
      </c>
      <c r="F1672" s="24" t="str">
        <f aca="false">IF(C1672="","",IFERROR(INDEX(LOTES!$B$5:$B$1004,MATCH(C1672,LOTES!$F$5:$F$1004,0)),""))</f>
        <v/>
      </c>
      <c r="G1672" s="15" t="str">
        <f aca="false">IF(OR(B1672="",F1672=""),"",B1672-F1672)</f>
        <v/>
      </c>
      <c r="H1672" s="13"/>
      <c r="I1672" s="13"/>
      <c r="J1672" s="13"/>
      <c r="K1672" s="25"/>
      <c r="L1672" s="25"/>
      <c r="M1672" s="25"/>
      <c r="N1672" s="25"/>
      <c r="O1672" s="26"/>
      <c r="P1672" s="16" t="str">
        <f aca="false">IF(O1672="","",IFERROR(1/(1/(IF(K1672="",INDEX(CONFIG!$F$5:$F$14,MATCH(D1672,CONFIG!$D$5:$D$14,0)),K1672)*IF(M1672="",INDEX(CONFIG!$H$5:$H$14,MATCH(D1672,CONFIG!$D$5:$D$14,0)),M1672))),""))</f>
        <v/>
      </c>
      <c r="Q1672" s="16" t="str">
        <f aca="false">IF(OR(O1672="",P1672=""),"",O1672/P1672)</f>
        <v/>
      </c>
      <c r="R1672" s="16" t="str">
        <f aca="false">IF(Q1672="","",Q1672*0.0980665)</f>
        <v/>
      </c>
      <c r="S1672" s="16" t="str">
        <f aca="false">IF(Q1672="","",IFERROR(Q1672/(1/(1/INDEX(CONFIG!$I$5:$I$14,MATCH(D1672,CONFIG!$D$5:$D$14,0)))),""))</f>
        <v/>
      </c>
      <c r="T1672" s="13"/>
      <c r="U1672" s="13"/>
      <c r="V1672" s="13"/>
      <c r="W1672" s="13"/>
      <c r="X1672" s="22" t="str">
        <f aca="false">IF(Q1672="","",Q1672^2)</f>
        <v/>
      </c>
      <c r="Y1672" s="22" t="str">
        <f aca="false">IF(AND(C1672&lt;&gt;"",C1672=CERTIFICADO!$E$4,OR(CERTIFICADO!$E$5="",B1672=CERTIFICADO!$E$5)),MAX($Y$4:Y1671)+1,"")</f>
        <v/>
      </c>
    </row>
    <row r="1673" customFormat="false" ht="15" hidden="false" customHeight="false" outlineLevel="0" collapsed="false">
      <c r="A1673" s="11" t="str">
        <f aca="false">IF(C1673="","",ROW()-4)</f>
        <v/>
      </c>
      <c r="B1673" s="12"/>
      <c r="C1673" s="13"/>
      <c r="D1673" s="23" t="str">
        <f aca="false">IF(C1673="","",IFERROR(INDEX(LOTES!$D$5:$D$1004,MATCH(C1673,LOTES!$F$5:$F$1004,0)),"¿Lote?"))</f>
        <v/>
      </c>
      <c r="E1673" s="11" t="str">
        <f aca="false">IF(C1673="","",IFERROR(INDEX(LOTES!$C$5:$C$1004,MATCH(C1673,LOTES!$F$5:$F$1004,0)),""))</f>
        <v/>
      </c>
      <c r="F1673" s="24" t="str">
        <f aca="false">IF(C1673="","",IFERROR(INDEX(LOTES!$B$5:$B$1004,MATCH(C1673,LOTES!$F$5:$F$1004,0)),""))</f>
        <v/>
      </c>
      <c r="G1673" s="15" t="str">
        <f aca="false">IF(OR(B1673="",F1673=""),"",B1673-F1673)</f>
        <v/>
      </c>
      <c r="H1673" s="13"/>
      <c r="I1673" s="13"/>
      <c r="J1673" s="13"/>
      <c r="K1673" s="25"/>
      <c r="L1673" s="25"/>
      <c r="M1673" s="25"/>
      <c r="N1673" s="25"/>
      <c r="O1673" s="26"/>
      <c r="P1673" s="16" t="str">
        <f aca="false">IF(O1673="","",IFERROR(1/(1/(IF(K1673="",INDEX(CONFIG!$F$5:$F$14,MATCH(D1673,CONFIG!$D$5:$D$14,0)),K1673)*IF(M1673="",INDEX(CONFIG!$H$5:$H$14,MATCH(D1673,CONFIG!$D$5:$D$14,0)),M1673))),""))</f>
        <v/>
      </c>
      <c r="Q1673" s="16" t="str">
        <f aca="false">IF(OR(O1673="",P1673=""),"",O1673/P1673)</f>
        <v/>
      </c>
      <c r="R1673" s="16" t="str">
        <f aca="false">IF(Q1673="","",Q1673*0.0980665)</f>
        <v/>
      </c>
      <c r="S1673" s="16" t="str">
        <f aca="false">IF(Q1673="","",IFERROR(Q1673/(1/(1/INDEX(CONFIG!$I$5:$I$14,MATCH(D1673,CONFIG!$D$5:$D$14,0)))),""))</f>
        <v/>
      </c>
      <c r="T1673" s="13"/>
      <c r="U1673" s="13"/>
      <c r="V1673" s="13"/>
      <c r="W1673" s="13"/>
      <c r="X1673" s="22" t="str">
        <f aca="false">IF(Q1673="","",Q1673^2)</f>
        <v/>
      </c>
      <c r="Y1673" s="22" t="str">
        <f aca="false">IF(AND(C1673&lt;&gt;"",C1673=CERTIFICADO!$E$4,OR(CERTIFICADO!$E$5="",B1673=CERTIFICADO!$E$5)),MAX($Y$4:Y1672)+1,"")</f>
        <v/>
      </c>
    </row>
    <row r="1674" customFormat="false" ht="15" hidden="false" customHeight="false" outlineLevel="0" collapsed="false">
      <c r="A1674" s="11" t="str">
        <f aca="false">IF(C1674="","",ROW()-4)</f>
        <v/>
      </c>
      <c r="B1674" s="12"/>
      <c r="C1674" s="13"/>
      <c r="D1674" s="23" t="str">
        <f aca="false">IF(C1674="","",IFERROR(INDEX(LOTES!$D$5:$D$1004,MATCH(C1674,LOTES!$F$5:$F$1004,0)),"¿Lote?"))</f>
        <v/>
      </c>
      <c r="E1674" s="11" t="str">
        <f aca="false">IF(C1674="","",IFERROR(INDEX(LOTES!$C$5:$C$1004,MATCH(C1674,LOTES!$F$5:$F$1004,0)),""))</f>
        <v/>
      </c>
      <c r="F1674" s="24" t="str">
        <f aca="false">IF(C1674="","",IFERROR(INDEX(LOTES!$B$5:$B$1004,MATCH(C1674,LOTES!$F$5:$F$1004,0)),""))</f>
        <v/>
      </c>
      <c r="G1674" s="15" t="str">
        <f aca="false">IF(OR(B1674="",F1674=""),"",B1674-F1674)</f>
        <v/>
      </c>
      <c r="H1674" s="13"/>
      <c r="I1674" s="13"/>
      <c r="J1674" s="13"/>
      <c r="K1674" s="25"/>
      <c r="L1674" s="25"/>
      <c r="M1674" s="25"/>
      <c r="N1674" s="25"/>
      <c r="O1674" s="26"/>
      <c r="P1674" s="16" t="str">
        <f aca="false">IF(O1674="","",IFERROR(1/(1/(IF(K1674="",INDEX(CONFIG!$F$5:$F$14,MATCH(D1674,CONFIG!$D$5:$D$14,0)),K1674)*IF(M1674="",INDEX(CONFIG!$H$5:$H$14,MATCH(D1674,CONFIG!$D$5:$D$14,0)),M1674))),""))</f>
        <v/>
      </c>
      <c r="Q1674" s="16" t="str">
        <f aca="false">IF(OR(O1674="",P1674=""),"",O1674/P1674)</f>
        <v/>
      </c>
      <c r="R1674" s="16" t="str">
        <f aca="false">IF(Q1674="","",Q1674*0.0980665)</f>
        <v/>
      </c>
      <c r="S1674" s="16" t="str">
        <f aca="false">IF(Q1674="","",IFERROR(Q1674/(1/(1/INDEX(CONFIG!$I$5:$I$14,MATCH(D1674,CONFIG!$D$5:$D$14,0)))),""))</f>
        <v/>
      </c>
      <c r="T1674" s="13"/>
      <c r="U1674" s="13"/>
      <c r="V1674" s="13"/>
      <c r="W1674" s="13"/>
      <c r="X1674" s="22" t="str">
        <f aca="false">IF(Q1674="","",Q1674^2)</f>
        <v/>
      </c>
      <c r="Y1674" s="22" t="str">
        <f aca="false">IF(AND(C1674&lt;&gt;"",C1674=CERTIFICADO!$E$4,OR(CERTIFICADO!$E$5="",B1674=CERTIFICADO!$E$5)),MAX($Y$4:Y1673)+1,"")</f>
        <v/>
      </c>
    </row>
    <row r="1675" customFormat="false" ht="15" hidden="false" customHeight="false" outlineLevel="0" collapsed="false">
      <c r="A1675" s="11" t="str">
        <f aca="false">IF(C1675="","",ROW()-4)</f>
        <v/>
      </c>
      <c r="B1675" s="12"/>
      <c r="C1675" s="13"/>
      <c r="D1675" s="23" t="str">
        <f aca="false">IF(C1675="","",IFERROR(INDEX(LOTES!$D$5:$D$1004,MATCH(C1675,LOTES!$F$5:$F$1004,0)),"¿Lote?"))</f>
        <v/>
      </c>
      <c r="E1675" s="11" t="str">
        <f aca="false">IF(C1675="","",IFERROR(INDEX(LOTES!$C$5:$C$1004,MATCH(C1675,LOTES!$F$5:$F$1004,0)),""))</f>
        <v/>
      </c>
      <c r="F1675" s="24" t="str">
        <f aca="false">IF(C1675="","",IFERROR(INDEX(LOTES!$B$5:$B$1004,MATCH(C1675,LOTES!$F$5:$F$1004,0)),""))</f>
        <v/>
      </c>
      <c r="G1675" s="15" t="str">
        <f aca="false">IF(OR(B1675="",F1675=""),"",B1675-F1675)</f>
        <v/>
      </c>
      <c r="H1675" s="13"/>
      <c r="I1675" s="13"/>
      <c r="J1675" s="13"/>
      <c r="K1675" s="25"/>
      <c r="L1675" s="25"/>
      <c r="M1675" s="25"/>
      <c r="N1675" s="25"/>
      <c r="O1675" s="26"/>
      <c r="P1675" s="16" t="str">
        <f aca="false">IF(O1675="","",IFERROR(1/(1/(IF(K1675="",INDEX(CONFIG!$F$5:$F$14,MATCH(D1675,CONFIG!$D$5:$D$14,0)),K1675)*IF(M1675="",INDEX(CONFIG!$H$5:$H$14,MATCH(D1675,CONFIG!$D$5:$D$14,0)),M1675))),""))</f>
        <v/>
      </c>
      <c r="Q1675" s="16" t="str">
        <f aca="false">IF(OR(O1675="",P1675=""),"",O1675/P1675)</f>
        <v/>
      </c>
      <c r="R1675" s="16" t="str">
        <f aca="false">IF(Q1675="","",Q1675*0.0980665)</f>
        <v/>
      </c>
      <c r="S1675" s="16" t="str">
        <f aca="false">IF(Q1675="","",IFERROR(Q1675/(1/(1/INDEX(CONFIG!$I$5:$I$14,MATCH(D1675,CONFIG!$D$5:$D$14,0)))),""))</f>
        <v/>
      </c>
      <c r="T1675" s="13"/>
      <c r="U1675" s="13"/>
      <c r="V1675" s="13"/>
      <c r="W1675" s="13"/>
      <c r="X1675" s="22" t="str">
        <f aca="false">IF(Q1675="","",Q1675^2)</f>
        <v/>
      </c>
      <c r="Y1675" s="22" t="str">
        <f aca="false">IF(AND(C1675&lt;&gt;"",C1675=CERTIFICADO!$E$4,OR(CERTIFICADO!$E$5="",B1675=CERTIFICADO!$E$5)),MAX($Y$4:Y1674)+1,"")</f>
        <v/>
      </c>
    </row>
    <row r="1676" customFormat="false" ht="15" hidden="false" customHeight="false" outlineLevel="0" collapsed="false">
      <c r="A1676" s="11" t="str">
        <f aca="false">IF(C1676="","",ROW()-4)</f>
        <v/>
      </c>
      <c r="B1676" s="12"/>
      <c r="C1676" s="13"/>
      <c r="D1676" s="23" t="str">
        <f aca="false">IF(C1676="","",IFERROR(INDEX(LOTES!$D$5:$D$1004,MATCH(C1676,LOTES!$F$5:$F$1004,0)),"¿Lote?"))</f>
        <v/>
      </c>
      <c r="E1676" s="11" t="str">
        <f aca="false">IF(C1676="","",IFERROR(INDEX(LOTES!$C$5:$C$1004,MATCH(C1676,LOTES!$F$5:$F$1004,0)),""))</f>
        <v/>
      </c>
      <c r="F1676" s="24" t="str">
        <f aca="false">IF(C1676="","",IFERROR(INDEX(LOTES!$B$5:$B$1004,MATCH(C1676,LOTES!$F$5:$F$1004,0)),""))</f>
        <v/>
      </c>
      <c r="G1676" s="15" t="str">
        <f aca="false">IF(OR(B1676="",F1676=""),"",B1676-F1676)</f>
        <v/>
      </c>
      <c r="H1676" s="13"/>
      <c r="I1676" s="13"/>
      <c r="J1676" s="13"/>
      <c r="K1676" s="25"/>
      <c r="L1676" s="25"/>
      <c r="M1676" s="25"/>
      <c r="N1676" s="25"/>
      <c r="O1676" s="26"/>
      <c r="P1676" s="16" t="str">
        <f aca="false">IF(O1676="","",IFERROR(1/(1/(IF(K1676="",INDEX(CONFIG!$F$5:$F$14,MATCH(D1676,CONFIG!$D$5:$D$14,0)),K1676)*IF(M1676="",INDEX(CONFIG!$H$5:$H$14,MATCH(D1676,CONFIG!$D$5:$D$14,0)),M1676))),""))</f>
        <v/>
      </c>
      <c r="Q1676" s="16" t="str">
        <f aca="false">IF(OR(O1676="",P1676=""),"",O1676/P1676)</f>
        <v/>
      </c>
      <c r="R1676" s="16" t="str">
        <f aca="false">IF(Q1676="","",Q1676*0.0980665)</f>
        <v/>
      </c>
      <c r="S1676" s="16" t="str">
        <f aca="false">IF(Q1676="","",IFERROR(Q1676/(1/(1/INDEX(CONFIG!$I$5:$I$14,MATCH(D1676,CONFIG!$D$5:$D$14,0)))),""))</f>
        <v/>
      </c>
      <c r="T1676" s="13"/>
      <c r="U1676" s="13"/>
      <c r="V1676" s="13"/>
      <c r="W1676" s="13"/>
      <c r="X1676" s="22" t="str">
        <f aca="false">IF(Q1676="","",Q1676^2)</f>
        <v/>
      </c>
      <c r="Y1676" s="22" t="str">
        <f aca="false">IF(AND(C1676&lt;&gt;"",C1676=CERTIFICADO!$E$4,OR(CERTIFICADO!$E$5="",B1676=CERTIFICADO!$E$5)),MAX($Y$4:Y1675)+1,"")</f>
        <v/>
      </c>
    </row>
    <row r="1677" customFormat="false" ht="15" hidden="false" customHeight="false" outlineLevel="0" collapsed="false">
      <c r="A1677" s="11" t="str">
        <f aca="false">IF(C1677="","",ROW()-4)</f>
        <v/>
      </c>
      <c r="B1677" s="12"/>
      <c r="C1677" s="13"/>
      <c r="D1677" s="23" t="str">
        <f aca="false">IF(C1677="","",IFERROR(INDEX(LOTES!$D$5:$D$1004,MATCH(C1677,LOTES!$F$5:$F$1004,0)),"¿Lote?"))</f>
        <v/>
      </c>
      <c r="E1677" s="11" t="str">
        <f aca="false">IF(C1677="","",IFERROR(INDEX(LOTES!$C$5:$C$1004,MATCH(C1677,LOTES!$F$5:$F$1004,0)),""))</f>
        <v/>
      </c>
      <c r="F1677" s="24" t="str">
        <f aca="false">IF(C1677="","",IFERROR(INDEX(LOTES!$B$5:$B$1004,MATCH(C1677,LOTES!$F$5:$F$1004,0)),""))</f>
        <v/>
      </c>
      <c r="G1677" s="15" t="str">
        <f aca="false">IF(OR(B1677="",F1677=""),"",B1677-F1677)</f>
        <v/>
      </c>
      <c r="H1677" s="13"/>
      <c r="I1677" s="13"/>
      <c r="J1677" s="13"/>
      <c r="K1677" s="25"/>
      <c r="L1677" s="25"/>
      <c r="M1677" s="25"/>
      <c r="N1677" s="25"/>
      <c r="O1677" s="26"/>
      <c r="P1677" s="16" t="str">
        <f aca="false">IF(O1677="","",IFERROR(1/(1/(IF(K1677="",INDEX(CONFIG!$F$5:$F$14,MATCH(D1677,CONFIG!$D$5:$D$14,0)),K1677)*IF(M1677="",INDEX(CONFIG!$H$5:$H$14,MATCH(D1677,CONFIG!$D$5:$D$14,0)),M1677))),""))</f>
        <v/>
      </c>
      <c r="Q1677" s="16" t="str">
        <f aca="false">IF(OR(O1677="",P1677=""),"",O1677/P1677)</f>
        <v/>
      </c>
      <c r="R1677" s="16" t="str">
        <f aca="false">IF(Q1677="","",Q1677*0.0980665)</f>
        <v/>
      </c>
      <c r="S1677" s="16" t="str">
        <f aca="false">IF(Q1677="","",IFERROR(Q1677/(1/(1/INDEX(CONFIG!$I$5:$I$14,MATCH(D1677,CONFIG!$D$5:$D$14,0)))),""))</f>
        <v/>
      </c>
      <c r="T1677" s="13"/>
      <c r="U1677" s="13"/>
      <c r="V1677" s="13"/>
      <c r="W1677" s="13"/>
      <c r="X1677" s="22" t="str">
        <f aca="false">IF(Q1677="","",Q1677^2)</f>
        <v/>
      </c>
      <c r="Y1677" s="22" t="str">
        <f aca="false">IF(AND(C1677&lt;&gt;"",C1677=CERTIFICADO!$E$4,OR(CERTIFICADO!$E$5="",B1677=CERTIFICADO!$E$5)),MAX($Y$4:Y1676)+1,"")</f>
        <v/>
      </c>
    </row>
    <row r="1678" customFormat="false" ht="15" hidden="false" customHeight="false" outlineLevel="0" collapsed="false">
      <c r="A1678" s="11" t="str">
        <f aca="false">IF(C1678="","",ROW()-4)</f>
        <v/>
      </c>
      <c r="B1678" s="12"/>
      <c r="C1678" s="13"/>
      <c r="D1678" s="23" t="str">
        <f aca="false">IF(C1678="","",IFERROR(INDEX(LOTES!$D$5:$D$1004,MATCH(C1678,LOTES!$F$5:$F$1004,0)),"¿Lote?"))</f>
        <v/>
      </c>
      <c r="E1678" s="11" t="str">
        <f aca="false">IF(C1678="","",IFERROR(INDEX(LOTES!$C$5:$C$1004,MATCH(C1678,LOTES!$F$5:$F$1004,0)),""))</f>
        <v/>
      </c>
      <c r="F1678" s="24" t="str">
        <f aca="false">IF(C1678="","",IFERROR(INDEX(LOTES!$B$5:$B$1004,MATCH(C1678,LOTES!$F$5:$F$1004,0)),""))</f>
        <v/>
      </c>
      <c r="G1678" s="15" t="str">
        <f aca="false">IF(OR(B1678="",F1678=""),"",B1678-F1678)</f>
        <v/>
      </c>
      <c r="H1678" s="13"/>
      <c r="I1678" s="13"/>
      <c r="J1678" s="13"/>
      <c r="K1678" s="25"/>
      <c r="L1678" s="25"/>
      <c r="M1678" s="25"/>
      <c r="N1678" s="25"/>
      <c r="O1678" s="26"/>
      <c r="P1678" s="16" t="str">
        <f aca="false">IF(O1678="","",IFERROR(1/(1/(IF(K1678="",INDEX(CONFIG!$F$5:$F$14,MATCH(D1678,CONFIG!$D$5:$D$14,0)),K1678)*IF(M1678="",INDEX(CONFIG!$H$5:$H$14,MATCH(D1678,CONFIG!$D$5:$D$14,0)),M1678))),""))</f>
        <v/>
      </c>
      <c r="Q1678" s="16" t="str">
        <f aca="false">IF(OR(O1678="",P1678=""),"",O1678/P1678)</f>
        <v/>
      </c>
      <c r="R1678" s="16" t="str">
        <f aca="false">IF(Q1678="","",Q1678*0.0980665)</f>
        <v/>
      </c>
      <c r="S1678" s="16" t="str">
        <f aca="false">IF(Q1678="","",IFERROR(Q1678/(1/(1/INDEX(CONFIG!$I$5:$I$14,MATCH(D1678,CONFIG!$D$5:$D$14,0)))),""))</f>
        <v/>
      </c>
      <c r="T1678" s="13"/>
      <c r="U1678" s="13"/>
      <c r="V1678" s="13"/>
      <c r="W1678" s="13"/>
      <c r="X1678" s="22" t="str">
        <f aca="false">IF(Q1678="","",Q1678^2)</f>
        <v/>
      </c>
      <c r="Y1678" s="22" t="str">
        <f aca="false">IF(AND(C1678&lt;&gt;"",C1678=CERTIFICADO!$E$4,OR(CERTIFICADO!$E$5="",B1678=CERTIFICADO!$E$5)),MAX($Y$4:Y1677)+1,"")</f>
        <v/>
      </c>
    </row>
    <row r="1679" customFormat="false" ht="15" hidden="false" customHeight="false" outlineLevel="0" collapsed="false">
      <c r="A1679" s="11" t="str">
        <f aca="false">IF(C1679="","",ROW()-4)</f>
        <v/>
      </c>
      <c r="B1679" s="12"/>
      <c r="C1679" s="13"/>
      <c r="D1679" s="23" t="str">
        <f aca="false">IF(C1679="","",IFERROR(INDEX(LOTES!$D$5:$D$1004,MATCH(C1679,LOTES!$F$5:$F$1004,0)),"¿Lote?"))</f>
        <v/>
      </c>
      <c r="E1679" s="11" t="str">
        <f aca="false">IF(C1679="","",IFERROR(INDEX(LOTES!$C$5:$C$1004,MATCH(C1679,LOTES!$F$5:$F$1004,0)),""))</f>
        <v/>
      </c>
      <c r="F1679" s="24" t="str">
        <f aca="false">IF(C1679="","",IFERROR(INDEX(LOTES!$B$5:$B$1004,MATCH(C1679,LOTES!$F$5:$F$1004,0)),""))</f>
        <v/>
      </c>
      <c r="G1679" s="15" t="str">
        <f aca="false">IF(OR(B1679="",F1679=""),"",B1679-F1679)</f>
        <v/>
      </c>
      <c r="H1679" s="13"/>
      <c r="I1679" s="13"/>
      <c r="J1679" s="13"/>
      <c r="K1679" s="25"/>
      <c r="L1679" s="25"/>
      <c r="M1679" s="25"/>
      <c r="N1679" s="25"/>
      <c r="O1679" s="26"/>
      <c r="P1679" s="16" t="str">
        <f aca="false">IF(O1679="","",IFERROR(1/(1/(IF(K1679="",INDEX(CONFIG!$F$5:$F$14,MATCH(D1679,CONFIG!$D$5:$D$14,0)),K1679)*IF(M1679="",INDEX(CONFIG!$H$5:$H$14,MATCH(D1679,CONFIG!$D$5:$D$14,0)),M1679))),""))</f>
        <v/>
      </c>
      <c r="Q1679" s="16" t="str">
        <f aca="false">IF(OR(O1679="",P1679=""),"",O1679/P1679)</f>
        <v/>
      </c>
      <c r="R1679" s="16" t="str">
        <f aca="false">IF(Q1679="","",Q1679*0.0980665)</f>
        <v/>
      </c>
      <c r="S1679" s="16" t="str">
        <f aca="false">IF(Q1679="","",IFERROR(Q1679/(1/(1/INDEX(CONFIG!$I$5:$I$14,MATCH(D1679,CONFIG!$D$5:$D$14,0)))),""))</f>
        <v/>
      </c>
      <c r="T1679" s="13"/>
      <c r="U1679" s="13"/>
      <c r="V1679" s="13"/>
      <c r="W1679" s="13"/>
      <c r="X1679" s="22" t="str">
        <f aca="false">IF(Q1679="","",Q1679^2)</f>
        <v/>
      </c>
      <c r="Y1679" s="22" t="str">
        <f aca="false">IF(AND(C1679&lt;&gt;"",C1679=CERTIFICADO!$E$4,OR(CERTIFICADO!$E$5="",B1679=CERTIFICADO!$E$5)),MAX($Y$4:Y1678)+1,"")</f>
        <v/>
      </c>
    </row>
    <row r="1680" customFormat="false" ht="15" hidden="false" customHeight="false" outlineLevel="0" collapsed="false">
      <c r="A1680" s="11" t="str">
        <f aca="false">IF(C1680="","",ROW()-4)</f>
        <v/>
      </c>
      <c r="B1680" s="12"/>
      <c r="C1680" s="13"/>
      <c r="D1680" s="23" t="str">
        <f aca="false">IF(C1680="","",IFERROR(INDEX(LOTES!$D$5:$D$1004,MATCH(C1680,LOTES!$F$5:$F$1004,0)),"¿Lote?"))</f>
        <v/>
      </c>
      <c r="E1680" s="11" t="str">
        <f aca="false">IF(C1680="","",IFERROR(INDEX(LOTES!$C$5:$C$1004,MATCH(C1680,LOTES!$F$5:$F$1004,0)),""))</f>
        <v/>
      </c>
      <c r="F1680" s="24" t="str">
        <f aca="false">IF(C1680="","",IFERROR(INDEX(LOTES!$B$5:$B$1004,MATCH(C1680,LOTES!$F$5:$F$1004,0)),""))</f>
        <v/>
      </c>
      <c r="G1680" s="15" t="str">
        <f aca="false">IF(OR(B1680="",F1680=""),"",B1680-F1680)</f>
        <v/>
      </c>
      <c r="H1680" s="13"/>
      <c r="I1680" s="13"/>
      <c r="J1680" s="13"/>
      <c r="K1680" s="25"/>
      <c r="L1680" s="25"/>
      <c r="M1680" s="25"/>
      <c r="N1680" s="25"/>
      <c r="O1680" s="26"/>
      <c r="P1680" s="16" t="str">
        <f aca="false">IF(O1680="","",IFERROR(1/(1/(IF(K1680="",INDEX(CONFIG!$F$5:$F$14,MATCH(D1680,CONFIG!$D$5:$D$14,0)),K1680)*IF(M1680="",INDEX(CONFIG!$H$5:$H$14,MATCH(D1680,CONFIG!$D$5:$D$14,0)),M1680))),""))</f>
        <v/>
      </c>
      <c r="Q1680" s="16" t="str">
        <f aca="false">IF(OR(O1680="",P1680=""),"",O1680/P1680)</f>
        <v/>
      </c>
      <c r="R1680" s="16" t="str">
        <f aca="false">IF(Q1680="","",Q1680*0.0980665)</f>
        <v/>
      </c>
      <c r="S1680" s="16" t="str">
        <f aca="false">IF(Q1680="","",IFERROR(Q1680/(1/(1/INDEX(CONFIG!$I$5:$I$14,MATCH(D1680,CONFIG!$D$5:$D$14,0)))),""))</f>
        <v/>
      </c>
      <c r="T1680" s="13"/>
      <c r="U1680" s="13"/>
      <c r="V1680" s="13"/>
      <c r="W1680" s="13"/>
      <c r="X1680" s="22" t="str">
        <f aca="false">IF(Q1680="","",Q1680^2)</f>
        <v/>
      </c>
      <c r="Y1680" s="22" t="str">
        <f aca="false">IF(AND(C1680&lt;&gt;"",C1680=CERTIFICADO!$E$4,OR(CERTIFICADO!$E$5="",B1680=CERTIFICADO!$E$5)),MAX($Y$4:Y1679)+1,"")</f>
        <v/>
      </c>
    </row>
    <row r="1681" customFormat="false" ht="15" hidden="false" customHeight="false" outlineLevel="0" collapsed="false">
      <c r="A1681" s="11" t="str">
        <f aca="false">IF(C1681="","",ROW()-4)</f>
        <v/>
      </c>
      <c r="B1681" s="12"/>
      <c r="C1681" s="13"/>
      <c r="D1681" s="23" t="str">
        <f aca="false">IF(C1681="","",IFERROR(INDEX(LOTES!$D$5:$D$1004,MATCH(C1681,LOTES!$F$5:$F$1004,0)),"¿Lote?"))</f>
        <v/>
      </c>
      <c r="E1681" s="11" t="str">
        <f aca="false">IF(C1681="","",IFERROR(INDEX(LOTES!$C$5:$C$1004,MATCH(C1681,LOTES!$F$5:$F$1004,0)),""))</f>
        <v/>
      </c>
      <c r="F1681" s="24" t="str">
        <f aca="false">IF(C1681="","",IFERROR(INDEX(LOTES!$B$5:$B$1004,MATCH(C1681,LOTES!$F$5:$F$1004,0)),""))</f>
        <v/>
      </c>
      <c r="G1681" s="15" t="str">
        <f aca="false">IF(OR(B1681="",F1681=""),"",B1681-F1681)</f>
        <v/>
      </c>
      <c r="H1681" s="13"/>
      <c r="I1681" s="13"/>
      <c r="J1681" s="13"/>
      <c r="K1681" s="25"/>
      <c r="L1681" s="25"/>
      <c r="M1681" s="25"/>
      <c r="N1681" s="25"/>
      <c r="O1681" s="26"/>
      <c r="P1681" s="16" t="str">
        <f aca="false">IF(O1681="","",IFERROR(1/(1/(IF(K1681="",INDEX(CONFIG!$F$5:$F$14,MATCH(D1681,CONFIG!$D$5:$D$14,0)),K1681)*IF(M1681="",INDEX(CONFIG!$H$5:$H$14,MATCH(D1681,CONFIG!$D$5:$D$14,0)),M1681))),""))</f>
        <v/>
      </c>
      <c r="Q1681" s="16" t="str">
        <f aca="false">IF(OR(O1681="",P1681=""),"",O1681/P1681)</f>
        <v/>
      </c>
      <c r="R1681" s="16" t="str">
        <f aca="false">IF(Q1681="","",Q1681*0.0980665)</f>
        <v/>
      </c>
      <c r="S1681" s="16" t="str">
        <f aca="false">IF(Q1681="","",IFERROR(Q1681/(1/(1/INDEX(CONFIG!$I$5:$I$14,MATCH(D1681,CONFIG!$D$5:$D$14,0)))),""))</f>
        <v/>
      </c>
      <c r="T1681" s="13"/>
      <c r="U1681" s="13"/>
      <c r="V1681" s="13"/>
      <c r="W1681" s="13"/>
      <c r="X1681" s="22" t="str">
        <f aca="false">IF(Q1681="","",Q1681^2)</f>
        <v/>
      </c>
      <c r="Y1681" s="22" t="str">
        <f aca="false">IF(AND(C1681&lt;&gt;"",C1681=CERTIFICADO!$E$4,OR(CERTIFICADO!$E$5="",B1681=CERTIFICADO!$E$5)),MAX($Y$4:Y1680)+1,"")</f>
        <v/>
      </c>
    </row>
    <row r="1682" customFormat="false" ht="15" hidden="false" customHeight="false" outlineLevel="0" collapsed="false">
      <c r="A1682" s="11" t="str">
        <f aca="false">IF(C1682="","",ROW()-4)</f>
        <v/>
      </c>
      <c r="B1682" s="12"/>
      <c r="C1682" s="13"/>
      <c r="D1682" s="23" t="str">
        <f aca="false">IF(C1682="","",IFERROR(INDEX(LOTES!$D$5:$D$1004,MATCH(C1682,LOTES!$F$5:$F$1004,0)),"¿Lote?"))</f>
        <v/>
      </c>
      <c r="E1682" s="11" t="str">
        <f aca="false">IF(C1682="","",IFERROR(INDEX(LOTES!$C$5:$C$1004,MATCH(C1682,LOTES!$F$5:$F$1004,0)),""))</f>
        <v/>
      </c>
      <c r="F1682" s="24" t="str">
        <f aca="false">IF(C1682="","",IFERROR(INDEX(LOTES!$B$5:$B$1004,MATCH(C1682,LOTES!$F$5:$F$1004,0)),""))</f>
        <v/>
      </c>
      <c r="G1682" s="15" t="str">
        <f aca="false">IF(OR(B1682="",F1682=""),"",B1682-F1682)</f>
        <v/>
      </c>
      <c r="H1682" s="13"/>
      <c r="I1682" s="13"/>
      <c r="J1682" s="13"/>
      <c r="K1682" s="25"/>
      <c r="L1682" s="25"/>
      <c r="M1682" s="25"/>
      <c r="N1682" s="25"/>
      <c r="O1682" s="26"/>
      <c r="P1682" s="16" t="str">
        <f aca="false">IF(O1682="","",IFERROR(1/(1/(IF(K1682="",INDEX(CONFIG!$F$5:$F$14,MATCH(D1682,CONFIG!$D$5:$D$14,0)),K1682)*IF(M1682="",INDEX(CONFIG!$H$5:$H$14,MATCH(D1682,CONFIG!$D$5:$D$14,0)),M1682))),""))</f>
        <v/>
      </c>
      <c r="Q1682" s="16" t="str">
        <f aca="false">IF(OR(O1682="",P1682=""),"",O1682/P1682)</f>
        <v/>
      </c>
      <c r="R1682" s="16" t="str">
        <f aca="false">IF(Q1682="","",Q1682*0.0980665)</f>
        <v/>
      </c>
      <c r="S1682" s="16" t="str">
        <f aca="false">IF(Q1682="","",IFERROR(Q1682/(1/(1/INDEX(CONFIG!$I$5:$I$14,MATCH(D1682,CONFIG!$D$5:$D$14,0)))),""))</f>
        <v/>
      </c>
      <c r="T1682" s="13"/>
      <c r="U1682" s="13"/>
      <c r="V1682" s="13"/>
      <c r="W1682" s="13"/>
      <c r="X1682" s="22" t="str">
        <f aca="false">IF(Q1682="","",Q1682^2)</f>
        <v/>
      </c>
      <c r="Y1682" s="22" t="str">
        <f aca="false">IF(AND(C1682&lt;&gt;"",C1682=CERTIFICADO!$E$4,OR(CERTIFICADO!$E$5="",B1682=CERTIFICADO!$E$5)),MAX($Y$4:Y1681)+1,"")</f>
        <v/>
      </c>
    </row>
    <row r="1683" customFormat="false" ht="15" hidden="false" customHeight="false" outlineLevel="0" collapsed="false">
      <c r="A1683" s="11" t="str">
        <f aca="false">IF(C1683="","",ROW()-4)</f>
        <v/>
      </c>
      <c r="B1683" s="12"/>
      <c r="C1683" s="13"/>
      <c r="D1683" s="23" t="str">
        <f aca="false">IF(C1683="","",IFERROR(INDEX(LOTES!$D$5:$D$1004,MATCH(C1683,LOTES!$F$5:$F$1004,0)),"¿Lote?"))</f>
        <v/>
      </c>
      <c r="E1683" s="11" t="str">
        <f aca="false">IF(C1683="","",IFERROR(INDEX(LOTES!$C$5:$C$1004,MATCH(C1683,LOTES!$F$5:$F$1004,0)),""))</f>
        <v/>
      </c>
      <c r="F1683" s="24" t="str">
        <f aca="false">IF(C1683="","",IFERROR(INDEX(LOTES!$B$5:$B$1004,MATCH(C1683,LOTES!$F$5:$F$1004,0)),""))</f>
        <v/>
      </c>
      <c r="G1683" s="15" t="str">
        <f aca="false">IF(OR(B1683="",F1683=""),"",B1683-F1683)</f>
        <v/>
      </c>
      <c r="H1683" s="13"/>
      <c r="I1683" s="13"/>
      <c r="J1683" s="13"/>
      <c r="K1683" s="25"/>
      <c r="L1683" s="25"/>
      <c r="M1683" s="25"/>
      <c r="N1683" s="25"/>
      <c r="O1683" s="26"/>
      <c r="P1683" s="16" t="str">
        <f aca="false">IF(O1683="","",IFERROR(1/(1/(IF(K1683="",INDEX(CONFIG!$F$5:$F$14,MATCH(D1683,CONFIG!$D$5:$D$14,0)),K1683)*IF(M1683="",INDEX(CONFIG!$H$5:$H$14,MATCH(D1683,CONFIG!$D$5:$D$14,0)),M1683))),""))</f>
        <v/>
      </c>
      <c r="Q1683" s="16" t="str">
        <f aca="false">IF(OR(O1683="",P1683=""),"",O1683/P1683)</f>
        <v/>
      </c>
      <c r="R1683" s="16" t="str">
        <f aca="false">IF(Q1683="","",Q1683*0.0980665)</f>
        <v/>
      </c>
      <c r="S1683" s="16" t="str">
        <f aca="false">IF(Q1683="","",IFERROR(Q1683/(1/(1/INDEX(CONFIG!$I$5:$I$14,MATCH(D1683,CONFIG!$D$5:$D$14,0)))),""))</f>
        <v/>
      </c>
      <c r="T1683" s="13"/>
      <c r="U1683" s="13"/>
      <c r="V1683" s="13"/>
      <c r="W1683" s="13"/>
      <c r="X1683" s="22" t="str">
        <f aca="false">IF(Q1683="","",Q1683^2)</f>
        <v/>
      </c>
      <c r="Y1683" s="22" t="str">
        <f aca="false">IF(AND(C1683&lt;&gt;"",C1683=CERTIFICADO!$E$4,OR(CERTIFICADO!$E$5="",B1683=CERTIFICADO!$E$5)),MAX($Y$4:Y1682)+1,"")</f>
        <v/>
      </c>
    </row>
    <row r="1684" customFormat="false" ht="15" hidden="false" customHeight="false" outlineLevel="0" collapsed="false">
      <c r="A1684" s="11" t="str">
        <f aca="false">IF(C1684="","",ROW()-4)</f>
        <v/>
      </c>
      <c r="B1684" s="12"/>
      <c r="C1684" s="13"/>
      <c r="D1684" s="23" t="str">
        <f aca="false">IF(C1684="","",IFERROR(INDEX(LOTES!$D$5:$D$1004,MATCH(C1684,LOTES!$F$5:$F$1004,0)),"¿Lote?"))</f>
        <v/>
      </c>
      <c r="E1684" s="11" t="str">
        <f aca="false">IF(C1684="","",IFERROR(INDEX(LOTES!$C$5:$C$1004,MATCH(C1684,LOTES!$F$5:$F$1004,0)),""))</f>
        <v/>
      </c>
      <c r="F1684" s="24" t="str">
        <f aca="false">IF(C1684="","",IFERROR(INDEX(LOTES!$B$5:$B$1004,MATCH(C1684,LOTES!$F$5:$F$1004,0)),""))</f>
        <v/>
      </c>
      <c r="G1684" s="15" t="str">
        <f aca="false">IF(OR(B1684="",F1684=""),"",B1684-F1684)</f>
        <v/>
      </c>
      <c r="H1684" s="13"/>
      <c r="I1684" s="13"/>
      <c r="J1684" s="13"/>
      <c r="K1684" s="25"/>
      <c r="L1684" s="25"/>
      <c r="M1684" s="25"/>
      <c r="N1684" s="25"/>
      <c r="O1684" s="26"/>
      <c r="P1684" s="16" t="str">
        <f aca="false">IF(O1684="","",IFERROR(1/(1/(IF(K1684="",INDEX(CONFIG!$F$5:$F$14,MATCH(D1684,CONFIG!$D$5:$D$14,0)),K1684)*IF(M1684="",INDEX(CONFIG!$H$5:$H$14,MATCH(D1684,CONFIG!$D$5:$D$14,0)),M1684))),""))</f>
        <v/>
      </c>
      <c r="Q1684" s="16" t="str">
        <f aca="false">IF(OR(O1684="",P1684=""),"",O1684/P1684)</f>
        <v/>
      </c>
      <c r="R1684" s="16" t="str">
        <f aca="false">IF(Q1684="","",Q1684*0.0980665)</f>
        <v/>
      </c>
      <c r="S1684" s="16" t="str">
        <f aca="false">IF(Q1684="","",IFERROR(Q1684/(1/(1/INDEX(CONFIG!$I$5:$I$14,MATCH(D1684,CONFIG!$D$5:$D$14,0)))),""))</f>
        <v/>
      </c>
      <c r="T1684" s="13"/>
      <c r="U1684" s="13"/>
      <c r="V1684" s="13"/>
      <c r="W1684" s="13"/>
      <c r="X1684" s="22" t="str">
        <f aca="false">IF(Q1684="","",Q1684^2)</f>
        <v/>
      </c>
      <c r="Y1684" s="22" t="str">
        <f aca="false">IF(AND(C1684&lt;&gt;"",C1684=CERTIFICADO!$E$4,OR(CERTIFICADO!$E$5="",B1684=CERTIFICADO!$E$5)),MAX($Y$4:Y1683)+1,"")</f>
        <v/>
      </c>
    </row>
    <row r="1685" customFormat="false" ht="15" hidden="false" customHeight="false" outlineLevel="0" collapsed="false">
      <c r="A1685" s="11" t="str">
        <f aca="false">IF(C1685="","",ROW()-4)</f>
        <v/>
      </c>
      <c r="B1685" s="12"/>
      <c r="C1685" s="13"/>
      <c r="D1685" s="23" t="str">
        <f aca="false">IF(C1685="","",IFERROR(INDEX(LOTES!$D$5:$D$1004,MATCH(C1685,LOTES!$F$5:$F$1004,0)),"¿Lote?"))</f>
        <v/>
      </c>
      <c r="E1685" s="11" t="str">
        <f aca="false">IF(C1685="","",IFERROR(INDEX(LOTES!$C$5:$C$1004,MATCH(C1685,LOTES!$F$5:$F$1004,0)),""))</f>
        <v/>
      </c>
      <c r="F1685" s="24" t="str">
        <f aca="false">IF(C1685="","",IFERROR(INDEX(LOTES!$B$5:$B$1004,MATCH(C1685,LOTES!$F$5:$F$1004,0)),""))</f>
        <v/>
      </c>
      <c r="G1685" s="15" t="str">
        <f aca="false">IF(OR(B1685="",F1685=""),"",B1685-F1685)</f>
        <v/>
      </c>
      <c r="H1685" s="13"/>
      <c r="I1685" s="13"/>
      <c r="J1685" s="13"/>
      <c r="K1685" s="25"/>
      <c r="L1685" s="25"/>
      <c r="M1685" s="25"/>
      <c r="N1685" s="25"/>
      <c r="O1685" s="26"/>
      <c r="P1685" s="16" t="str">
        <f aca="false">IF(O1685="","",IFERROR(1/(1/(IF(K1685="",INDEX(CONFIG!$F$5:$F$14,MATCH(D1685,CONFIG!$D$5:$D$14,0)),K1685)*IF(M1685="",INDEX(CONFIG!$H$5:$H$14,MATCH(D1685,CONFIG!$D$5:$D$14,0)),M1685))),""))</f>
        <v/>
      </c>
      <c r="Q1685" s="16" t="str">
        <f aca="false">IF(OR(O1685="",P1685=""),"",O1685/P1685)</f>
        <v/>
      </c>
      <c r="R1685" s="16" t="str">
        <f aca="false">IF(Q1685="","",Q1685*0.0980665)</f>
        <v/>
      </c>
      <c r="S1685" s="16" t="str">
        <f aca="false">IF(Q1685="","",IFERROR(Q1685/(1/(1/INDEX(CONFIG!$I$5:$I$14,MATCH(D1685,CONFIG!$D$5:$D$14,0)))),""))</f>
        <v/>
      </c>
      <c r="T1685" s="13"/>
      <c r="U1685" s="13"/>
      <c r="V1685" s="13"/>
      <c r="W1685" s="13"/>
      <c r="X1685" s="22" t="str">
        <f aca="false">IF(Q1685="","",Q1685^2)</f>
        <v/>
      </c>
      <c r="Y1685" s="22" t="str">
        <f aca="false">IF(AND(C1685&lt;&gt;"",C1685=CERTIFICADO!$E$4,OR(CERTIFICADO!$E$5="",B1685=CERTIFICADO!$E$5)),MAX($Y$4:Y1684)+1,"")</f>
        <v/>
      </c>
    </row>
    <row r="1686" customFormat="false" ht="15" hidden="false" customHeight="false" outlineLevel="0" collapsed="false">
      <c r="A1686" s="11" t="str">
        <f aca="false">IF(C1686="","",ROW()-4)</f>
        <v/>
      </c>
      <c r="B1686" s="12"/>
      <c r="C1686" s="13"/>
      <c r="D1686" s="23" t="str">
        <f aca="false">IF(C1686="","",IFERROR(INDEX(LOTES!$D$5:$D$1004,MATCH(C1686,LOTES!$F$5:$F$1004,0)),"¿Lote?"))</f>
        <v/>
      </c>
      <c r="E1686" s="11" t="str">
        <f aca="false">IF(C1686="","",IFERROR(INDEX(LOTES!$C$5:$C$1004,MATCH(C1686,LOTES!$F$5:$F$1004,0)),""))</f>
        <v/>
      </c>
      <c r="F1686" s="24" t="str">
        <f aca="false">IF(C1686="","",IFERROR(INDEX(LOTES!$B$5:$B$1004,MATCH(C1686,LOTES!$F$5:$F$1004,0)),""))</f>
        <v/>
      </c>
      <c r="G1686" s="15" t="str">
        <f aca="false">IF(OR(B1686="",F1686=""),"",B1686-F1686)</f>
        <v/>
      </c>
      <c r="H1686" s="13"/>
      <c r="I1686" s="13"/>
      <c r="J1686" s="13"/>
      <c r="K1686" s="25"/>
      <c r="L1686" s="25"/>
      <c r="M1686" s="25"/>
      <c r="N1686" s="25"/>
      <c r="O1686" s="26"/>
      <c r="P1686" s="16" t="str">
        <f aca="false">IF(O1686="","",IFERROR(1/(1/(IF(K1686="",INDEX(CONFIG!$F$5:$F$14,MATCH(D1686,CONFIG!$D$5:$D$14,0)),K1686)*IF(M1686="",INDEX(CONFIG!$H$5:$H$14,MATCH(D1686,CONFIG!$D$5:$D$14,0)),M1686))),""))</f>
        <v/>
      </c>
      <c r="Q1686" s="16" t="str">
        <f aca="false">IF(OR(O1686="",P1686=""),"",O1686/P1686)</f>
        <v/>
      </c>
      <c r="R1686" s="16" t="str">
        <f aca="false">IF(Q1686="","",Q1686*0.0980665)</f>
        <v/>
      </c>
      <c r="S1686" s="16" t="str">
        <f aca="false">IF(Q1686="","",IFERROR(Q1686/(1/(1/INDEX(CONFIG!$I$5:$I$14,MATCH(D1686,CONFIG!$D$5:$D$14,0)))),""))</f>
        <v/>
      </c>
      <c r="T1686" s="13"/>
      <c r="U1686" s="13"/>
      <c r="V1686" s="13"/>
      <c r="W1686" s="13"/>
      <c r="X1686" s="22" t="str">
        <f aca="false">IF(Q1686="","",Q1686^2)</f>
        <v/>
      </c>
      <c r="Y1686" s="22" t="str">
        <f aca="false">IF(AND(C1686&lt;&gt;"",C1686=CERTIFICADO!$E$4,OR(CERTIFICADO!$E$5="",B1686=CERTIFICADO!$E$5)),MAX($Y$4:Y1685)+1,"")</f>
        <v/>
      </c>
    </row>
    <row r="1687" customFormat="false" ht="15" hidden="false" customHeight="false" outlineLevel="0" collapsed="false">
      <c r="A1687" s="11" t="str">
        <f aca="false">IF(C1687="","",ROW()-4)</f>
        <v/>
      </c>
      <c r="B1687" s="12"/>
      <c r="C1687" s="13"/>
      <c r="D1687" s="23" t="str">
        <f aca="false">IF(C1687="","",IFERROR(INDEX(LOTES!$D$5:$D$1004,MATCH(C1687,LOTES!$F$5:$F$1004,0)),"¿Lote?"))</f>
        <v/>
      </c>
      <c r="E1687" s="11" t="str">
        <f aca="false">IF(C1687="","",IFERROR(INDEX(LOTES!$C$5:$C$1004,MATCH(C1687,LOTES!$F$5:$F$1004,0)),""))</f>
        <v/>
      </c>
      <c r="F1687" s="24" t="str">
        <f aca="false">IF(C1687="","",IFERROR(INDEX(LOTES!$B$5:$B$1004,MATCH(C1687,LOTES!$F$5:$F$1004,0)),""))</f>
        <v/>
      </c>
      <c r="G1687" s="15" t="str">
        <f aca="false">IF(OR(B1687="",F1687=""),"",B1687-F1687)</f>
        <v/>
      </c>
      <c r="H1687" s="13"/>
      <c r="I1687" s="13"/>
      <c r="J1687" s="13"/>
      <c r="K1687" s="25"/>
      <c r="L1687" s="25"/>
      <c r="M1687" s="25"/>
      <c r="N1687" s="25"/>
      <c r="O1687" s="26"/>
      <c r="P1687" s="16" t="str">
        <f aca="false">IF(O1687="","",IFERROR(1/(1/(IF(K1687="",INDEX(CONFIG!$F$5:$F$14,MATCH(D1687,CONFIG!$D$5:$D$14,0)),K1687)*IF(M1687="",INDEX(CONFIG!$H$5:$H$14,MATCH(D1687,CONFIG!$D$5:$D$14,0)),M1687))),""))</f>
        <v/>
      </c>
      <c r="Q1687" s="16" t="str">
        <f aca="false">IF(OR(O1687="",P1687=""),"",O1687/P1687)</f>
        <v/>
      </c>
      <c r="R1687" s="16" t="str">
        <f aca="false">IF(Q1687="","",Q1687*0.0980665)</f>
        <v/>
      </c>
      <c r="S1687" s="16" t="str">
        <f aca="false">IF(Q1687="","",IFERROR(Q1687/(1/(1/INDEX(CONFIG!$I$5:$I$14,MATCH(D1687,CONFIG!$D$5:$D$14,0)))),""))</f>
        <v/>
      </c>
      <c r="T1687" s="13"/>
      <c r="U1687" s="13"/>
      <c r="V1687" s="13"/>
      <c r="W1687" s="13"/>
      <c r="X1687" s="22" t="str">
        <f aca="false">IF(Q1687="","",Q1687^2)</f>
        <v/>
      </c>
      <c r="Y1687" s="22" t="str">
        <f aca="false">IF(AND(C1687&lt;&gt;"",C1687=CERTIFICADO!$E$4,OR(CERTIFICADO!$E$5="",B1687=CERTIFICADO!$E$5)),MAX($Y$4:Y1686)+1,"")</f>
        <v/>
      </c>
    </row>
    <row r="1688" customFormat="false" ht="15" hidden="false" customHeight="false" outlineLevel="0" collapsed="false">
      <c r="A1688" s="11" t="str">
        <f aca="false">IF(C1688="","",ROW()-4)</f>
        <v/>
      </c>
      <c r="B1688" s="12"/>
      <c r="C1688" s="13"/>
      <c r="D1688" s="23" t="str">
        <f aca="false">IF(C1688="","",IFERROR(INDEX(LOTES!$D$5:$D$1004,MATCH(C1688,LOTES!$F$5:$F$1004,0)),"¿Lote?"))</f>
        <v/>
      </c>
      <c r="E1688" s="11" t="str">
        <f aca="false">IF(C1688="","",IFERROR(INDEX(LOTES!$C$5:$C$1004,MATCH(C1688,LOTES!$F$5:$F$1004,0)),""))</f>
        <v/>
      </c>
      <c r="F1688" s="24" t="str">
        <f aca="false">IF(C1688="","",IFERROR(INDEX(LOTES!$B$5:$B$1004,MATCH(C1688,LOTES!$F$5:$F$1004,0)),""))</f>
        <v/>
      </c>
      <c r="G1688" s="15" t="str">
        <f aca="false">IF(OR(B1688="",F1688=""),"",B1688-F1688)</f>
        <v/>
      </c>
      <c r="H1688" s="13"/>
      <c r="I1688" s="13"/>
      <c r="J1688" s="13"/>
      <c r="K1688" s="25"/>
      <c r="L1688" s="25"/>
      <c r="M1688" s="25"/>
      <c r="N1688" s="25"/>
      <c r="O1688" s="26"/>
      <c r="P1688" s="16" t="str">
        <f aca="false">IF(O1688="","",IFERROR(1/(1/(IF(K1688="",INDEX(CONFIG!$F$5:$F$14,MATCH(D1688,CONFIG!$D$5:$D$14,0)),K1688)*IF(M1688="",INDEX(CONFIG!$H$5:$H$14,MATCH(D1688,CONFIG!$D$5:$D$14,0)),M1688))),""))</f>
        <v/>
      </c>
      <c r="Q1688" s="16" t="str">
        <f aca="false">IF(OR(O1688="",P1688=""),"",O1688/P1688)</f>
        <v/>
      </c>
      <c r="R1688" s="16" t="str">
        <f aca="false">IF(Q1688="","",Q1688*0.0980665)</f>
        <v/>
      </c>
      <c r="S1688" s="16" t="str">
        <f aca="false">IF(Q1688="","",IFERROR(Q1688/(1/(1/INDEX(CONFIG!$I$5:$I$14,MATCH(D1688,CONFIG!$D$5:$D$14,0)))),""))</f>
        <v/>
      </c>
      <c r="T1688" s="13"/>
      <c r="U1688" s="13"/>
      <c r="V1688" s="13"/>
      <c r="W1688" s="13"/>
      <c r="X1688" s="22" t="str">
        <f aca="false">IF(Q1688="","",Q1688^2)</f>
        <v/>
      </c>
      <c r="Y1688" s="22" t="str">
        <f aca="false">IF(AND(C1688&lt;&gt;"",C1688=CERTIFICADO!$E$4,OR(CERTIFICADO!$E$5="",B1688=CERTIFICADO!$E$5)),MAX($Y$4:Y1687)+1,"")</f>
        <v/>
      </c>
    </row>
    <row r="1689" customFormat="false" ht="15" hidden="false" customHeight="false" outlineLevel="0" collapsed="false">
      <c r="A1689" s="11" t="str">
        <f aca="false">IF(C1689="","",ROW()-4)</f>
        <v/>
      </c>
      <c r="B1689" s="12"/>
      <c r="C1689" s="13"/>
      <c r="D1689" s="23" t="str">
        <f aca="false">IF(C1689="","",IFERROR(INDEX(LOTES!$D$5:$D$1004,MATCH(C1689,LOTES!$F$5:$F$1004,0)),"¿Lote?"))</f>
        <v/>
      </c>
      <c r="E1689" s="11" t="str">
        <f aca="false">IF(C1689="","",IFERROR(INDEX(LOTES!$C$5:$C$1004,MATCH(C1689,LOTES!$F$5:$F$1004,0)),""))</f>
        <v/>
      </c>
      <c r="F1689" s="24" t="str">
        <f aca="false">IF(C1689="","",IFERROR(INDEX(LOTES!$B$5:$B$1004,MATCH(C1689,LOTES!$F$5:$F$1004,0)),""))</f>
        <v/>
      </c>
      <c r="G1689" s="15" t="str">
        <f aca="false">IF(OR(B1689="",F1689=""),"",B1689-F1689)</f>
        <v/>
      </c>
      <c r="H1689" s="13"/>
      <c r="I1689" s="13"/>
      <c r="J1689" s="13"/>
      <c r="K1689" s="25"/>
      <c r="L1689" s="25"/>
      <c r="M1689" s="25"/>
      <c r="N1689" s="25"/>
      <c r="O1689" s="26"/>
      <c r="P1689" s="16" t="str">
        <f aca="false">IF(O1689="","",IFERROR(1/(1/(IF(K1689="",INDEX(CONFIG!$F$5:$F$14,MATCH(D1689,CONFIG!$D$5:$D$14,0)),K1689)*IF(M1689="",INDEX(CONFIG!$H$5:$H$14,MATCH(D1689,CONFIG!$D$5:$D$14,0)),M1689))),""))</f>
        <v/>
      </c>
      <c r="Q1689" s="16" t="str">
        <f aca="false">IF(OR(O1689="",P1689=""),"",O1689/P1689)</f>
        <v/>
      </c>
      <c r="R1689" s="16" t="str">
        <f aca="false">IF(Q1689="","",Q1689*0.0980665)</f>
        <v/>
      </c>
      <c r="S1689" s="16" t="str">
        <f aca="false">IF(Q1689="","",IFERROR(Q1689/(1/(1/INDEX(CONFIG!$I$5:$I$14,MATCH(D1689,CONFIG!$D$5:$D$14,0)))),""))</f>
        <v/>
      </c>
      <c r="T1689" s="13"/>
      <c r="U1689" s="13"/>
      <c r="V1689" s="13"/>
      <c r="W1689" s="13"/>
      <c r="X1689" s="22" t="str">
        <f aca="false">IF(Q1689="","",Q1689^2)</f>
        <v/>
      </c>
      <c r="Y1689" s="22" t="str">
        <f aca="false">IF(AND(C1689&lt;&gt;"",C1689=CERTIFICADO!$E$4,OR(CERTIFICADO!$E$5="",B1689=CERTIFICADO!$E$5)),MAX($Y$4:Y1688)+1,"")</f>
        <v/>
      </c>
    </row>
    <row r="1690" customFormat="false" ht="15" hidden="false" customHeight="false" outlineLevel="0" collapsed="false">
      <c r="A1690" s="11" t="str">
        <f aca="false">IF(C1690="","",ROW()-4)</f>
        <v/>
      </c>
      <c r="B1690" s="12"/>
      <c r="C1690" s="13"/>
      <c r="D1690" s="23" t="str">
        <f aca="false">IF(C1690="","",IFERROR(INDEX(LOTES!$D$5:$D$1004,MATCH(C1690,LOTES!$F$5:$F$1004,0)),"¿Lote?"))</f>
        <v/>
      </c>
      <c r="E1690" s="11" t="str">
        <f aca="false">IF(C1690="","",IFERROR(INDEX(LOTES!$C$5:$C$1004,MATCH(C1690,LOTES!$F$5:$F$1004,0)),""))</f>
        <v/>
      </c>
      <c r="F1690" s="24" t="str">
        <f aca="false">IF(C1690="","",IFERROR(INDEX(LOTES!$B$5:$B$1004,MATCH(C1690,LOTES!$F$5:$F$1004,0)),""))</f>
        <v/>
      </c>
      <c r="G1690" s="15" t="str">
        <f aca="false">IF(OR(B1690="",F1690=""),"",B1690-F1690)</f>
        <v/>
      </c>
      <c r="H1690" s="13"/>
      <c r="I1690" s="13"/>
      <c r="J1690" s="13"/>
      <c r="K1690" s="25"/>
      <c r="L1690" s="25"/>
      <c r="M1690" s="25"/>
      <c r="N1690" s="25"/>
      <c r="O1690" s="26"/>
      <c r="P1690" s="16" t="str">
        <f aca="false">IF(O1690="","",IFERROR(1/(1/(IF(K1690="",INDEX(CONFIG!$F$5:$F$14,MATCH(D1690,CONFIG!$D$5:$D$14,0)),K1690)*IF(M1690="",INDEX(CONFIG!$H$5:$H$14,MATCH(D1690,CONFIG!$D$5:$D$14,0)),M1690))),""))</f>
        <v/>
      </c>
      <c r="Q1690" s="16" t="str">
        <f aca="false">IF(OR(O1690="",P1690=""),"",O1690/P1690)</f>
        <v/>
      </c>
      <c r="R1690" s="16" t="str">
        <f aca="false">IF(Q1690="","",Q1690*0.0980665)</f>
        <v/>
      </c>
      <c r="S1690" s="16" t="str">
        <f aca="false">IF(Q1690="","",IFERROR(Q1690/(1/(1/INDEX(CONFIG!$I$5:$I$14,MATCH(D1690,CONFIG!$D$5:$D$14,0)))),""))</f>
        <v/>
      </c>
      <c r="T1690" s="13"/>
      <c r="U1690" s="13"/>
      <c r="V1690" s="13"/>
      <c r="W1690" s="13"/>
      <c r="X1690" s="22" t="str">
        <f aca="false">IF(Q1690="","",Q1690^2)</f>
        <v/>
      </c>
      <c r="Y1690" s="22" t="str">
        <f aca="false">IF(AND(C1690&lt;&gt;"",C1690=CERTIFICADO!$E$4,OR(CERTIFICADO!$E$5="",B1690=CERTIFICADO!$E$5)),MAX($Y$4:Y1689)+1,"")</f>
        <v/>
      </c>
    </row>
    <row r="1691" customFormat="false" ht="15" hidden="false" customHeight="false" outlineLevel="0" collapsed="false">
      <c r="A1691" s="11" t="str">
        <f aca="false">IF(C1691="","",ROW()-4)</f>
        <v/>
      </c>
      <c r="B1691" s="12"/>
      <c r="C1691" s="13"/>
      <c r="D1691" s="23" t="str">
        <f aca="false">IF(C1691="","",IFERROR(INDEX(LOTES!$D$5:$D$1004,MATCH(C1691,LOTES!$F$5:$F$1004,0)),"¿Lote?"))</f>
        <v/>
      </c>
      <c r="E1691" s="11" t="str">
        <f aca="false">IF(C1691="","",IFERROR(INDEX(LOTES!$C$5:$C$1004,MATCH(C1691,LOTES!$F$5:$F$1004,0)),""))</f>
        <v/>
      </c>
      <c r="F1691" s="24" t="str">
        <f aca="false">IF(C1691="","",IFERROR(INDEX(LOTES!$B$5:$B$1004,MATCH(C1691,LOTES!$F$5:$F$1004,0)),""))</f>
        <v/>
      </c>
      <c r="G1691" s="15" t="str">
        <f aca="false">IF(OR(B1691="",F1691=""),"",B1691-F1691)</f>
        <v/>
      </c>
      <c r="H1691" s="13"/>
      <c r="I1691" s="13"/>
      <c r="J1691" s="13"/>
      <c r="K1691" s="25"/>
      <c r="L1691" s="25"/>
      <c r="M1691" s="25"/>
      <c r="N1691" s="25"/>
      <c r="O1691" s="26"/>
      <c r="P1691" s="16" t="str">
        <f aca="false">IF(O1691="","",IFERROR(1/(1/(IF(K1691="",INDEX(CONFIG!$F$5:$F$14,MATCH(D1691,CONFIG!$D$5:$D$14,0)),K1691)*IF(M1691="",INDEX(CONFIG!$H$5:$H$14,MATCH(D1691,CONFIG!$D$5:$D$14,0)),M1691))),""))</f>
        <v/>
      </c>
      <c r="Q1691" s="16" t="str">
        <f aca="false">IF(OR(O1691="",P1691=""),"",O1691/P1691)</f>
        <v/>
      </c>
      <c r="R1691" s="16" t="str">
        <f aca="false">IF(Q1691="","",Q1691*0.0980665)</f>
        <v/>
      </c>
      <c r="S1691" s="16" t="str">
        <f aca="false">IF(Q1691="","",IFERROR(Q1691/(1/(1/INDEX(CONFIG!$I$5:$I$14,MATCH(D1691,CONFIG!$D$5:$D$14,0)))),""))</f>
        <v/>
      </c>
      <c r="T1691" s="13"/>
      <c r="U1691" s="13"/>
      <c r="V1691" s="13"/>
      <c r="W1691" s="13"/>
      <c r="X1691" s="22" t="str">
        <f aca="false">IF(Q1691="","",Q1691^2)</f>
        <v/>
      </c>
      <c r="Y1691" s="22" t="str">
        <f aca="false">IF(AND(C1691&lt;&gt;"",C1691=CERTIFICADO!$E$4,OR(CERTIFICADO!$E$5="",B1691=CERTIFICADO!$E$5)),MAX($Y$4:Y1690)+1,"")</f>
        <v/>
      </c>
    </row>
    <row r="1692" customFormat="false" ht="15" hidden="false" customHeight="false" outlineLevel="0" collapsed="false">
      <c r="A1692" s="11" t="str">
        <f aca="false">IF(C1692="","",ROW()-4)</f>
        <v/>
      </c>
      <c r="B1692" s="12"/>
      <c r="C1692" s="13"/>
      <c r="D1692" s="23" t="str">
        <f aca="false">IF(C1692="","",IFERROR(INDEX(LOTES!$D$5:$D$1004,MATCH(C1692,LOTES!$F$5:$F$1004,0)),"¿Lote?"))</f>
        <v/>
      </c>
      <c r="E1692" s="11" t="str">
        <f aca="false">IF(C1692="","",IFERROR(INDEX(LOTES!$C$5:$C$1004,MATCH(C1692,LOTES!$F$5:$F$1004,0)),""))</f>
        <v/>
      </c>
      <c r="F1692" s="24" t="str">
        <f aca="false">IF(C1692="","",IFERROR(INDEX(LOTES!$B$5:$B$1004,MATCH(C1692,LOTES!$F$5:$F$1004,0)),""))</f>
        <v/>
      </c>
      <c r="G1692" s="15" t="str">
        <f aca="false">IF(OR(B1692="",F1692=""),"",B1692-F1692)</f>
        <v/>
      </c>
      <c r="H1692" s="13"/>
      <c r="I1692" s="13"/>
      <c r="J1692" s="13"/>
      <c r="K1692" s="25"/>
      <c r="L1692" s="25"/>
      <c r="M1692" s="25"/>
      <c r="N1692" s="25"/>
      <c r="O1692" s="26"/>
      <c r="P1692" s="16" t="str">
        <f aca="false">IF(O1692="","",IFERROR(1/(1/(IF(K1692="",INDEX(CONFIG!$F$5:$F$14,MATCH(D1692,CONFIG!$D$5:$D$14,0)),K1692)*IF(M1692="",INDEX(CONFIG!$H$5:$H$14,MATCH(D1692,CONFIG!$D$5:$D$14,0)),M1692))),""))</f>
        <v/>
      </c>
      <c r="Q1692" s="16" t="str">
        <f aca="false">IF(OR(O1692="",P1692=""),"",O1692/P1692)</f>
        <v/>
      </c>
      <c r="R1692" s="16" t="str">
        <f aca="false">IF(Q1692="","",Q1692*0.0980665)</f>
        <v/>
      </c>
      <c r="S1692" s="16" t="str">
        <f aca="false">IF(Q1692="","",IFERROR(Q1692/(1/(1/INDEX(CONFIG!$I$5:$I$14,MATCH(D1692,CONFIG!$D$5:$D$14,0)))),""))</f>
        <v/>
      </c>
      <c r="T1692" s="13"/>
      <c r="U1692" s="13"/>
      <c r="V1692" s="13"/>
      <c r="W1692" s="13"/>
      <c r="X1692" s="22" t="str">
        <f aca="false">IF(Q1692="","",Q1692^2)</f>
        <v/>
      </c>
      <c r="Y1692" s="22" t="str">
        <f aca="false">IF(AND(C1692&lt;&gt;"",C1692=CERTIFICADO!$E$4,OR(CERTIFICADO!$E$5="",B1692=CERTIFICADO!$E$5)),MAX($Y$4:Y1691)+1,"")</f>
        <v/>
      </c>
    </row>
    <row r="1693" customFormat="false" ht="15" hidden="false" customHeight="false" outlineLevel="0" collapsed="false">
      <c r="A1693" s="11" t="str">
        <f aca="false">IF(C1693="","",ROW()-4)</f>
        <v/>
      </c>
      <c r="B1693" s="12"/>
      <c r="C1693" s="13"/>
      <c r="D1693" s="23" t="str">
        <f aca="false">IF(C1693="","",IFERROR(INDEX(LOTES!$D$5:$D$1004,MATCH(C1693,LOTES!$F$5:$F$1004,0)),"¿Lote?"))</f>
        <v/>
      </c>
      <c r="E1693" s="11" t="str">
        <f aca="false">IF(C1693="","",IFERROR(INDEX(LOTES!$C$5:$C$1004,MATCH(C1693,LOTES!$F$5:$F$1004,0)),""))</f>
        <v/>
      </c>
      <c r="F1693" s="24" t="str">
        <f aca="false">IF(C1693="","",IFERROR(INDEX(LOTES!$B$5:$B$1004,MATCH(C1693,LOTES!$F$5:$F$1004,0)),""))</f>
        <v/>
      </c>
      <c r="G1693" s="15" t="str">
        <f aca="false">IF(OR(B1693="",F1693=""),"",B1693-F1693)</f>
        <v/>
      </c>
      <c r="H1693" s="13"/>
      <c r="I1693" s="13"/>
      <c r="J1693" s="13"/>
      <c r="K1693" s="25"/>
      <c r="L1693" s="25"/>
      <c r="M1693" s="25"/>
      <c r="N1693" s="25"/>
      <c r="O1693" s="26"/>
      <c r="P1693" s="16" t="str">
        <f aca="false">IF(O1693="","",IFERROR(1/(1/(IF(K1693="",INDEX(CONFIG!$F$5:$F$14,MATCH(D1693,CONFIG!$D$5:$D$14,0)),K1693)*IF(M1693="",INDEX(CONFIG!$H$5:$H$14,MATCH(D1693,CONFIG!$D$5:$D$14,0)),M1693))),""))</f>
        <v/>
      </c>
      <c r="Q1693" s="16" t="str">
        <f aca="false">IF(OR(O1693="",P1693=""),"",O1693/P1693)</f>
        <v/>
      </c>
      <c r="R1693" s="16" t="str">
        <f aca="false">IF(Q1693="","",Q1693*0.0980665)</f>
        <v/>
      </c>
      <c r="S1693" s="16" t="str">
        <f aca="false">IF(Q1693="","",IFERROR(Q1693/(1/(1/INDEX(CONFIG!$I$5:$I$14,MATCH(D1693,CONFIG!$D$5:$D$14,0)))),""))</f>
        <v/>
      </c>
      <c r="T1693" s="13"/>
      <c r="U1693" s="13"/>
      <c r="V1693" s="13"/>
      <c r="W1693" s="13"/>
      <c r="X1693" s="22" t="str">
        <f aca="false">IF(Q1693="","",Q1693^2)</f>
        <v/>
      </c>
      <c r="Y1693" s="22" t="str">
        <f aca="false">IF(AND(C1693&lt;&gt;"",C1693=CERTIFICADO!$E$4,OR(CERTIFICADO!$E$5="",B1693=CERTIFICADO!$E$5)),MAX($Y$4:Y1692)+1,"")</f>
        <v/>
      </c>
    </row>
    <row r="1694" customFormat="false" ht="15" hidden="false" customHeight="false" outlineLevel="0" collapsed="false">
      <c r="A1694" s="11" t="str">
        <f aca="false">IF(C1694="","",ROW()-4)</f>
        <v/>
      </c>
      <c r="B1694" s="12"/>
      <c r="C1694" s="13"/>
      <c r="D1694" s="23" t="str">
        <f aca="false">IF(C1694="","",IFERROR(INDEX(LOTES!$D$5:$D$1004,MATCH(C1694,LOTES!$F$5:$F$1004,0)),"¿Lote?"))</f>
        <v/>
      </c>
      <c r="E1694" s="11" t="str">
        <f aca="false">IF(C1694="","",IFERROR(INDEX(LOTES!$C$5:$C$1004,MATCH(C1694,LOTES!$F$5:$F$1004,0)),""))</f>
        <v/>
      </c>
      <c r="F1694" s="24" t="str">
        <f aca="false">IF(C1694="","",IFERROR(INDEX(LOTES!$B$5:$B$1004,MATCH(C1694,LOTES!$F$5:$F$1004,0)),""))</f>
        <v/>
      </c>
      <c r="G1694" s="15" t="str">
        <f aca="false">IF(OR(B1694="",F1694=""),"",B1694-F1694)</f>
        <v/>
      </c>
      <c r="H1694" s="13"/>
      <c r="I1694" s="13"/>
      <c r="J1694" s="13"/>
      <c r="K1694" s="25"/>
      <c r="L1694" s="25"/>
      <c r="M1694" s="25"/>
      <c r="N1694" s="25"/>
      <c r="O1694" s="26"/>
      <c r="P1694" s="16" t="str">
        <f aca="false">IF(O1694="","",IFERROR(1/(1/(IF(K1694="",INDEX(CONFIG!$F$5:$F$14,MATCH(D1694,CONFIG!$D$5:$D$14,0)),K1694)*IF(M1694="",INDEX(CONFIG!$H$5:$H$14,MATCH(D1694,CONFIG!$D$5:$D$14,0)),M1694))),""))</f>
        <v/>
      </c>
      <c r="Q1694" s="16" t="str">
        <f aca="false">IF(OR(O1694="",P1694=""),"",O1694/P1694)</f>
        <v/>
      </c>
      <c r="R1694" s="16" t="str">
        <f aca="false">IF(Q1694="","",Q1694*0.0980665)</f>
        <v/>
      </c>
      <c r="S1694" s="16" t="str">
        <f aca="false">IF(Q1694="","",IFERROR(Q1694/(1/(1/INDEX(CONFIG!$I$5:$I$14,MATCH(D1694,CONFIG!$D$5:$D$14,0)))),""))</f>
        <v/>
      </c>
      <c r="T1694" s="13"/>
      <c r="U1694" s="13"/>
      <c r="V1694" s="13"/>
      <c r="W1694" s="13"/>
      <c r="X1694" s="22" t="str">
        <f aca="false">IF(Q1694="","",Q1694^2)</f>
        <v/>
      </c>
      <c r="Y1694" s="22" t="str">
        <f aca="false">IF(AND(C1694&lt;&gt;"",C1694=CERTIFICADO!$E$4,OR(CERTIFICADO!$E$5="",B1694=CERTIFICADO!$E$5)),MAX($Y$4:Y1693)+1,"")</f>
        <v/>
      </c>
    </row>
    <row r="1695" customFormat="false" ht="15" hidden="false" customHeight="false" outlineLevel="0" collapsed="false">
      <c r="A1695" s="11" t="str">
        <f aca="false">IF(C1695="","",ROW()-4)</f>
        <v/>
      </c>
      <c r="B1695" s="12"/>
      <c r="C1695" s="13"/>
      <c r="D1695" s="23" t="str">
        <f aca="false">IF(C1695="","",IFERROR(INDEX(LOTES!$D$5:$D$1004,MATCH(C1695,LOTES!$F$5:$F$1004,0)),"¿Lote?"))</f>
        <v/>
      </c>
      <c r="E1695" s="11" t="str">
        <f aca="false">IF(C1695="","",IFERROR(INDEX(LOTES!$C$5:$C$1004,MATCH(C1695,LOTES!$F$5:$F$1004,0)),""))</f>
        <v/>
      </c>
      <c r="F1695" s="24" t="str">
        <f aca="false">IF(C1695="","",IFERROR(INDEX(LOTES!$B$5:$B$1004,MATCH(C1695,LOTES!$F$5:$F$1004,0)),""))</f>
        <v/>
      </c>
      <c r="G1695" s="15" t="str">
        <f aca="false">IF(OR(B1695="",F1695=""),"",B1695-F1695)</f>
        <v/>
      </c>
      <c r="H1695" s="13"/>
      <c r="I1695" s="13"/>
      <c r="J1695" s="13"/>
      <c r="K1695" s="25"/>
      <c r="L1695" s="25"/>
      <c r="M1695" s="25"/>
      <c r="N1695" s="25"/>
      <c r="O1695" s="26"/>
      <c r="P1695" s="16" t="str">
        <f aca="false">IF(O1695="","",IFERROR(1/(1/(IF(K1695="",INDEX(CONFIG!$F$5:$F$14,MATCH(D1695,CONFIG!$D$5:$D$14,0)),K1695)*IF(M1695="",INDEX(CONFIG!$H$5:$H$14,MATCH(D1695,CONFIG!$D$5:$D$14,0)),M1695))),""))</f>
        <v/>
      </c>
      <c r="Q1695" s="16" t="str">
        <f aca="false">IF(OR(O1695="",P1695=""),"",O1695/P1695)</f>
        <v/>
      </c>
      <c r="R1695" s="16" t="str">
        <f aca="false">IF(Q1695="","",Q1695*0.0980665)</f>
        <v/>
      </c>
      <c r="S1695" s="16" t="str">
        <f aca="false">IF(Q1695="","",IFERROR(Q1695/(1/(1/INDEX(CONFIG!$I$5:$I$14,MATCH(D1695,CONFIG!$D$5:$D$14,0)))),""))</f>
        <v/>
      </c>
      <c r="T1695" s="13"/>
      <c r="U1695" s="13"/>
      <c r="V1695" s="13"/>
      <c r="W1695" s="13"/>
      <c r="X1695" s="22" t="str">
        <f aca="false">IF(Q1695="","",Q1695^2)</f>
        <v/>
      </c>
      <c r="Y1695" s="22" t="str">
        <f aca="false">IF(AND(C1695&lt;&gt;"",C1695=CERTIFICADO!$E$4,OR(CERTIFICADO!$E$5="",B1695=CERTIFICADO!$E$5)),MAX($Y$4:Y1694)+1,"")</f>
        <v/>
      </c>
    </row>
    <row r="1696" customFormat="false" ht="15" hidden="false" customHeight="false" outlineLevel="0" collapsed="false">
      <c r="A1696" s="11" t="str">
        <f aca="false">IF(C1696="","",ROW()-4)</f>
        <v/>
      </c>
      <c r="B1696" s="12"/>
      <c r="C1696" s="13"/>
      <c r="D1696" s="23" t="str">
        <f aca="false">IF(C1696="","",IFERROR(INDEX(LOTES!$D$5:$D$1004,MATCH(C1696,LOTES!$F$5:$F$1004,0)),"¿Lote?"))</f>
        <v/>
      </c>
      <c r="E1696" s="11" t="str">
        <f aca="false">IF(C1696="","",IFERROR(INDEX(LOTES!$C$5:$C$1004,MATCH(C1696,LOTES!$F$5:$F$1004,0)),""))</f>
        <v/>
      </c>
      <c r="F1696" s="24" t="str">
        <f aca="false">IF(C1696="","",IFERROR(INDEX(LOTES!$B$5:$B$1004,MATCH(C1696,LOTES!$F$5:$F$1004,0)),""))</f>
        <v/>
      </c>
      <c r="G1696" s="15" t="str">
        <f aca="false">IF(OR(B1696="",F1696=""),"",B1696-F1696)</f>
        <v/>
      </c>
      <c r="H1696" s="13"/>
      <c r="I1696" s="13"/>
      <c r="J1696" s="13"/>
      <c r="K1696" s="25"/>
      <c r="L1696" s="25"/>
      <c r="M1696" s="25"/>
      <c r="N1696" s="25"/>
      <c r="O1696" s="26"/>
      <c r="P1696" s="16" t="str">
        <f aca="false">IF(O1696="","",IFERROR(1/(1/(IF(K1696="",INDEX(CONFIG!$F$5:$F$14,MATCH(D1696,CONFIG!$D$5:$D$14,0)),K1696)*IF(M1696="",INDEX(CONFIG!$H$5:$H$14,MATCH(D1696,CONFIG!$D$5:$D$14,0)),M1696))),""))</f>
        <v/>
      </c>
      <c r="Q1696" s="16" t="str">
        <f aca="false">IF(OR(O1696="",P1696=""),"",O1696/P1696)</f>
        <v/>
      </c>
      <c r="R1696" s="16" t="str">
        <f aca="false">IF(Q1696="","",Q1696*0.0980665)</f>
        <v/>
      </c>
      <c r="S1696" s="16" t="str">
        <f aca="false">IF(Q1696="","",IFERROR(Q1696/(1/(1/INDEX(CONFIG!$I$5:$I$14,MATCH(D1696,CONFIG!$D$5:$D$14,0)))),""))</f>
        <v/>
      </c>
      <c r="T1696" s="13"/>
      <c r="U1696" s="13"/>
      <c r="V1696" s="13"/>
      <c r="W1696" s="13"/>
      <c r="X1696" s="22" t="str">
        <f aca="false">IF(Q1696="","",Q1696^2)</f>
        <v/>
      </c>
      <c r="Y1696" s="22" t="str">
        <f aca="false">IF(AND(C1696&lt;&gt;"",C1696=CERTIFICADO!$E$4,OR(CERTIFICADO!$E$5="",B1696=CERTIFICADO!$E$5)),MAX($Y$4:Y1695)+1,"")</f>
        <v/>
      </c>
    </row>
    <row r="1697" customFormat="false" ht="15" hidden="false" customHeight="false" outlineLevel="0" collapsed="false">
      <c r="A1697" s="11" t="str">
        <f aca="false">IF(C1697="","",ROW()-4)</f>
        <v/>
      </c>
      <c r="B1697" s="12"/>
      <c r="C1697" s="13"/>
      <c r="D1697" s="23" t="str">
        <f aca="false">IF(C1697="","",IFERROR(INDEX(LOTES!$D$5:$D$1004,MATCH(C1697,LOTES!$F$5:$F$1004,0)),"¿Lote?"))</f>
        <v/>
      </c>
      <c r="E1697" s="11" t="str">
        <f aca="false">IF(C1697="","",IFERROR(INDEX(LOTES!$C$5:$C$1004,MATCH(C1697,LOTES!$F$5:$F$1004,0)),""))</f>
        <v/>
      </c>
      <c r="F1697" s="24" t="str">
        <f aca="false">IF(C1697="","",IFERROR(INDEX(LOTES!$B$5:$B$1004,MATCH(C1697,LOTES!$F$5:$F$1004,0)),""))</f>
        <v/>
      </c>
      <c r="G1697" s="15" t="str">
        <f aca="false">IF(OR(B1697="",F1697=""),"",B1697-F1697)</f>
        <v/>
      </c>
      <c r="H1697" s="13"/>
      <c r="I1697" s="13"/>
      <c r="J1697" s="13"/>
      <c r="K1697" s="25"/>
      <c r="L1697" s="25"/>
      <c r="M1697" s="25"/>
      <c r="N1697" s="25"/>
      <c r="O1697" s="26"/>
      <c r="P1697" s="16" t="str">
        <f aca="false">IF(O1697="","",IFERROR(1/(1/(IF(K1697="",INDEX(CONFIG!$F$5:$F$14,MATCH(D1697,CONFIG!$D$5:$D$14,0)),K1697)*IF(M1697="",INDEX(CONFIG!$H$5:$H$14,MATCH(D1697,CONFIG!$D$5:$D$14,0)),M1697))),""))</f>
        <v/>
      </c>
      <c r="Q1697" s="16" t="str">
        <f aca="false">IF(OR(O1697="",P1697=""),"",O1697/P1697)</f>
        <v/>
      </c>
      <c r="R1697" s="16" t="str">
        <f aca="false">IF(Q1697="","",Q1697*0.0980665)</f>
        <v/>
      </c>
      <c r="S1697" s="16" t="str">
        <f aca="false">IF(Q1697="","",IFERROR(Q1697/(1/(1/INDEX(CONFIG!$I$5:$I$14,MATCH(D1697,CONFIG!$D$5:$D$14,0)))),""))</f>
        <v/>
      </c>
      <c r="T1697" s="13"/>
      <c r="U1697" s="13"/>
      <c r="V1697" s="13"/>
      <c r="W1697" s="13"/>
      <c r="X1697" s="22" t="str">
        <f aca="false">IF(Q1697="","",Q1697^2)</f>
        <v/>
      </c>
      <c r="Y1697" s="22" t="str">
        <f aca="false">IF(AND(C1697&lt;&gt;"",C1697=CERTIFICADO!$E$4,OR(CERTIFICADO!$E$5="",B1697=CERTIFICADO!$E$5)),MAX($Y$4:Y1696)+1,"")</f>
        <v/>
      </c>
    </row>
    <row r="1698" customFormat="false" ht="15" hidden="false" customHeight="false" outlineLevel="0" collapsed="false">
      <c r="A1698" s="11" t="str">
        <f aca="false">IF(C1698="","",ROW()-4)</f>
        <v/>
      </c>
      <c r="B1698" s="12"/>
      <c r="C1698" s="13"/>
      <c r="D1698" s="23" t="str">
        <f aca="false">IF(C1698="","",IFERROR(INDEX(LOTES!$D$5:$D$1004,MATCH(C1698,LOTES!$F$5:$F$1004,0)),"¿Lote?"))</f>
        <v/>
      </c>
      <c r="E1698" s="11" t="str">
        <f aca="false">IF(C1698="","",IFERROR(INDEX(LOTES!$C$5:$C$1004,MATCH(C1698,LOTES!$F$5:$F$1004,0)),""))</f>
        <v/>
      </c>
      <c r="F1698" s="24" t="str">
        <f aca="false">IF(C1698="","",IFERROR(INDEX(LOTES!$B$5:$B$1004,MATCH(C1698,LOTES!$F$5:$F$1004,0)),""))</f>
        <v/>
      </c>
      <c r="G1698" s="15" t="str">
        <f aca="false">IF(OR(B1698="",F1698=""),"",B1698-F1698)</f>
        <v/>
      </c>
      <c r="H1698" s="13"/>
      <c r="I1698" s="13"/>
      <c r="J1698" s="13"/>
      <c r="K1698" s="25"/>
      <c r="L1698" s="25"/>
      <c r="M1698" s="25"/>
      <c r="N1698" s="25"/>
      <c r="O1698" s="26"/>
      <c r="P1698" s="16" t="str">
        <f aca="false">IF(O1698="","",IFERROR(1/(1/(IF(K1698="",INDEX(CONFIG!$F$5:$F$14,MATCH(D1698,CONFIG!$D$5:$D$14,0)),K1698)*IF(M1698="",INDEX(CONFIG!$H$5:$H$14,MATCH(D1698,CONFIG!$D$5:$D$14,0)),M1698))),""))</f>
        <v/>
      </c>
      <c r="Q1698" s="16" t="str">
        <f aca="false">IF(OR(O1698="",P1698=""),"",O1698/P1698)</f>
        <v/>
      </c>
      <c r="R1698" s="16" t="str">
        <f aca="false">IF(Q1698="","",Q1698*0.0980665)</f>
        <v/>
      </c>
      <c r="S1698" s="16" t="str">
        <f aca="false">IF(Q1698="","",IFERROR(Q1698/(1/(1/INDEX(CONFIG!$I$5:$I$14,MATCH(D1698,CONFIG!$D$5:$D$14,0)))),""))</f>
        <v/>
      </c>
      <c r="T1698" s="13"/>
      <c r="U1698" s="13"/>
      <c r="V1698" s="13"/>
      <c r="W1698" s="13"/>
      <c r="X1698" s="22" t="str">
        <f aca="false">IF(Q1698="","",Q1698^2)</f>
        <v/>
      </c>
      <c r="Y1698" s="22" t="str">
        <f aca="false">IF(AND(C1698&lt;&gt;"",C1698=CERTIFICADO!$E$4,OR(CERTIFICADO!$E$5="",B1698=CERTIFICADO!$E$5)),MAX($Y$4:Y1697)+1,"")</f>
        <v/>
      </c>
    </row>
    <row r="1699" customFormat="false" ht="15" hidden="false" customHeight="false" outlineLevel="0" collapsed="false">
      <c r="A1699" s="11" t="str">
        <f aca="false">IF(C1699="","",ROW()-4)</f>
        <v/>
      </c>
      <c r="B1699" s="12"/>
      <c r="C1699" s="13"/>
      <c r="D1699" s="23" t="str">
        <f aca="false">IF(C1699="","",IFERROR(INDEX(LOTES!$D$5:$D$1004,MATCH(C1699,LOTES!$F$5:$F$1004,0)),"¿Lote?"))</f>
        <v/>
      </c>
      <c r="E1699" s="11" t="str">
        <f aca="false">IF(C1699="","",IFERROR(INDEX(LOTES!$C$5:$C$1004,MATCH(C1699,LOTES!$F$5:$F$1004,0)),""))</f>
        <v/>
      </c>
      <c r="F1699" s="24" t="str">
        <f aca="false">IF(C1699="","",IFERROR(INDEX(LOTES!$B$5:$B$1004,MATCH(C1699,LOTES!$F$5:$F$1004,0)),""))</f>
        <v/>
      </c>
      <c r="G1699" s="15" t="str">
        <f aca="false">IF(OR(B1699="",F1699=""),"",B1699-F1699)</f>
        <v/>
      </c>
      <c r="H1699" s="13"/>
      <c r="I1699" s="13"/>
      <c r="J1699" s="13"/>
      <c r="K1699" s="25"/>
      <c r="L1699" s="25"/>
      <c r="M1699" s="25"/>
      <c r="N1699" s="25"/>
      <c r="O1699" s="26"/>
      <c r="P1699" s="16" t="str">
        <f aca="false">IF(O1699="","",IFERROR(1/(1/(IF(K1699="",INDEX(CONFIG!$F$5:$F$14,MATCH(D1699,CONFIG!$D$5:$D$14,0)),K1699)*IF(M1699="",INDEX(CONFIG!$H$5:$H$14,MATCH(D1699,CONFIG!$D$5:$D$14,0)),M1699))),""))</f>
        <v/>
      </c>
      <c r="Q1699" s="16" t="str">
        <f aca="false">IF(OR(O1699="",P1699=""),"",O1699/P1699)</f>
        <v/>
      </c>
      <c r="R1699" s="16" t="str">
        <f aca="false">IF(Q1699="","",Q1699*0.0980665)</f>
        <v/>
      </c>
      <c r="S1699" s="16" t="str">
        <f aca="false">IF(Q1699="","",IFERROR(Q1699/(1/(1/INDEX(CONFIG!$I$5:$I$14,MATCH(D1699,CONFIG!$D$5:$D$14,0)))),""))</f>
        <v/>
      </c>
      <c r="T1699" s="13"/>
      <c r="U1699" s="13"/>
      <c r="V1699" s="13"/>
      <c r="W1699" s="13"/>
      <c r="X1699" s="22" t="str">
        <f aca="false">IF(Q1699="","",Q1699^2)</f>
        <v/>
      </c>
      <c r="Y1699" s="22" t="str">
        <f aca="false">IF(AND(C1699&lt;&gt;"",C1699=CERTIFICADO!$E$4,OR(CERTIFICADO!$E$5="",B1699=CERTIFICADO!$E$5)),MAX($Y$4:Y1698)+1,"")</f>
        <v/>
      </c>
    </row>
    <row r="1700" customFormat="false" ht="15" hidden="false" customHeight="false" outlineLevel="0" collapsed="false">
      <c r="A1700" s="11" t="str">
        <f aca="false">IF(C1700="","",ROW()-4)</f>
        <v/>
      </c>
      <c r="B1700" s="12"/>
      <c r="C1700" s="13"/>
      <c r="D1700" s="23" t="str">
        <f aca="false">IF(C1700="","",IFERROR(INDEX(LOTES!$D$5:$D$1004,MATCH(C1700,LOTES!$F$5:$F$1004,0)),"¿Lote?"))</f>
        <v/>
      </c>
      <c r="E1700" s="11" t="str">
        <f aca="false">IF(C1700="","",IFERROR(INDEX(LOTES!$C$5:$C$1004,MATCH(C1700,LOTES!$F$5:$F$1004,0)),""))</f>
        <v/>
      </c>
      <c r="F1700" s="24" t="str">
        <f aca="false">IF(C1700="","",IFERROR(INDEX(LOTES!$B$5:$B$1004,MATCH(C1700,LOTES!$F$5:$F$1004,0)),""))</f>
        <v/>
      </c>
      <c r="G1700" s="15" t="str">
        <f aca="false">IF(OR(B1700="",F1700=""),"",B1700-F1700)</f>
        <v/>
      </c>
      <c r="H1700" s="13"/>
      <c r="I1700" s="13"/>
      <c r="J1700" s="13"/>
      <c r="K1700" s="25"/>
      <c r="L1700" s="25"/>
      <c r="M1700" s="25"/>
      <c r="N1700" s="25"/>
      <c r="O1700" s="26"/>
      <c r="P1700" s="16" t="str">
        <f aca="false">IF(O1700="","",IFERROR(1/(1/(IF(K1700="",INDEX(CONFIG!$F$5:$F$14,MATCH(D1700,CONFIG!$D$5:$D$14,0)),K1700)*IF(M1700="",INDEX(CONFIG!$H$5:$H$14,MATCH(D1700,CONFIG!$D$5:$D$14,0)),M1700))),""))</f>
        <v/>
      </c>
      <c r="Q1700" s="16" t="str">
        <f aca="false">IF(OR(O1700="",P1700=""),"",O1700/P1700)</f>
        <v/>
      </c>
      <c r="R1700" s="16" t="str">
        <f aca="false">IF(Q1700="","",Q1700*0.0980665)</f>
        <v/>
      </c>
      <c r="S1700" s="16" t="str">
        <f aca="false">IF(Q1700="","",IFERROR(Q1700/(1/(1/INDEX(CONFIG!$I$5:$I$14,MATCH(D1700,CONFIG!$D$5:$D$14,0)))),""))</f>
        <v/>
      </c>
      <c r="T1700" s="13"/>
      <c r="U1700" s="13"/>
      <c r="V1700" s="13"/>
      <c r="W1700" s="13"/>
      <c r="X1700" s="22" t="str">
        <f aca="false">IF(Q1700="","",Q1700^2)</f>
        <v/>
      </c>
      <c r="Y1700" s="22" t="str">
        <f aca="false">IF(AND(C1700&lt;&gt;"",C1700=CERTIFICADO!$E$4,OR(CERTIFICADO!$E$5="",B1700=CERTIFICADO!$E$5)),MAX($Y$4:Y1699)+1,"")</f>
        <v/>
      </c>
    </row>
    <row r="1701" customFormat="false" ht="15" hidden="false" customHeight="false" outlineLevel="0" collapsed="false">
      <c r="A1701" s="11" t="str">
        <f aca="false">IF(C1701="","",ROW()-4)</f>
        <v/>
      </c>
      <c r="B1701" s="12"/>
      <c r="C1701" s="13"/>
      <c r="D1701" s="23" t="str">
        <f aca="false">IF(C1701="","",IFERROR(INDEX(LOTES!$D$5:$D$1004,MATCH(C1701,LOTES!$F$5:$F$1004,0)),"¿Lote?"))</f>
        <v/>
      </c>
      <c r="E1701" s="11" t="str">
        <f aca="false">IF(C1701="","",IFERROR(INDEX(LOTES!$C$5:$C$1004,MATCH(C1701,LOTES!$F$5:$F$1004,0)),""))</f>
        <v/>
      </c>
      <c r="F1701" s="24" t="str">
        <f aca="false">IF(C1701="","",IFERROR(INDEX(LOTES!$B$5:$B$1004,MATCH(C1701,LOTES!$F$5:$F$1004,0)),""))</f>
        <v/>
      </c>
      <c r="G1701" s="15" t="str">
        <f aca="false">IF(OR(B1701="",F1701=""),"",B1701-F1701)</f>
        <v/>
      </c>
      <c r="H1701" s="13"/>
      <c r="I1701" s="13"/>
      <c r="J1701" s="13"/>
      <c r="K1701" s="25"/>
      <c r="L1701" s="25"/>
      <c r="M1701" s="25"/>
      <c r="N1701" s="25"/>
      <c r="O1701" s="26"/>
      <c r="P1701" s="16" t="str">
        <f aca="false">IF(O1701="","",IFERROR(1/(1/(IF(K1701="",INDEX(CONFIG!$F$5:$F$14,MATCH(D1701,CONFIG!$D$5:$D$14,0)),K1701)*IF(M1701="",INDEX(CONFIG!$H$5:$H$14,MATCH(D1701,CONFIG!$D$5:$D$14,0)),M1701))),""))</f>
        <v/>
      </c>
      <c r="Q1701" s="16" t="str">
        <f aca="false">IF(OR(O1701="",P1701=""),"",O1701/P1701)</f>
        <v/>
      </c>
      <c r="R1701" s="16" t="str">
        <f aca="false">IF(Q1701="","",Q1701*0.0980665)</f>
        <v/>
      </c>
      <c r="S1701" s="16" t="str">
        <f aca="false">IF(Q1701="","",IFERROR(Q1701/(1/(1/INDEX(CONFIG!$I$5:$I$14,MATCH(D1701,CONFIG!$D$5:$D$14,0)))),""))</f>
        <v/>
      </c>
      <c r="T1701" s="13"/>
      <c r="U1701" s="13"/>
      <c r="V1701" s="13"/>
      <c r="W1701" s="13"/>
      <c r="X1701" s="22" t="str">
        <f aca="false">IF(Q1701="","",Q1701^2)</f>
        <v/>
      </c>
      <c r="Y1701" s="22" t="str">
        <f aca="false">IF(AND(C1701&lt;&gt;"",C1701=CERTIFICADO!$E$4,OR(CERTIFICADO!$E$5="",B1701=CERTIFICADO!$E$5)),MAX($Y$4:Y1700)+1,"")</f>
        <v/>
      </c>
    </row>
    <row r="1702" customFormat="false" ht="15" hidden="false" customHeight="false" outlineLevel="0" collapsed="false">
      <c r="A1702" s="11" t="str">
        <f aca="false">IF(C1702="","",ROW()-4)</f>
        <v/>
      </c>
      <c r="B1702" s="12"/>
      <c r="C1702" s="13"/>
      <c r="D1702" s="23" t="str">
        <f aca="false">IF(C1702="","",IFERROR(INDEX(LOTES!$D$5:$D$1004,MATCH(C1702,LOTES!$F$5:$F$1004,0)),"¿Lote?"))</f>
        <v/>
      </c>
      <c r="E1702" s="11" t="str">
        <f aca="false">IF(C1702="","",IFERROR(INDEX(LOTES!$C$5:$C$1004,MATCH(C1702,LOTES!$F$5:$F$1004,0)),""))</f>
        <v/>
      </c>
      <c r="F1702" s="24" t="str">
        <f aca="false">IF(C1702="","",IFERROR(INDEX(LOTES!$B$5:$B$1004,MATCH(C1702,LOTES!$F$5:$F$1004,0)),""))</f>
        <v/>
      </c>
      <c r="G1702" s="15" t="str">
        <f aca="false">IF(OR(B1702="",F1702=""),"",B1702-F1702)</f>
        <v/>
      </c>
      <c r="H1702" s="13"/>
      <c r="I1702" s="13"/>
      <c r="J1702" s="13"/>
      <c r="K1702" s="25"/>
      <c r="L1702" s="25"/>
      <c r="M1702" s="25"/>
      <c r="N1702" s="25"/>
      <c r="O1702" s="26"/>
      <c r="P1702" s="16" t="str">
        <f aca="false">IF(O1702="","",IFERROR(1/(1/(IF(K1702="",INDEX(CONFIG!$F$5:$F$14,MATCH(D1702,CONFIG!$D$5:$D$14,0)),K1702)*IF(M1702="",INDEX(CONFIG!$H$5:$H$14,MATCH(D1702,CONFIG!$D$5:$D$14,0)),M1702))),""))</f>
        <v/>
      </c>
      <c r="Q1702" s="16" t="str">
        <f aca="false">IF(OR(O1702="",P1702=""),"",O1702/P1702)</f>
        <v/>
      </c>
      <c r="R1702" s="16" t="str">
        <f aca="false">IF(Q1702="","",Q1702*0.0980665)</f>
        <v/>
      </c>
      <c r="S1702" s="16" t="str">
        <f aca="false">IF(Q1702="","",IFERROR(Q1702/(1/(1/INDEX(CONFIG!$I$5:$I$14,MATCH(D1702,CONFIG!$D$5:$D$14,0)))),""))</f>
        <v/>
      </c>
      <c r="T1702" s="13"/>
      <c r="U1702" s="13"/>
      <c r="V1702" s="13"/>
      <c r="W1702" s="13"/>
      <c r="X1702" s="22" t="str">
        <f aca="false">IF(Q1702="","",Q1702^2)</f>
        <v/>
      </c>
      <c r="Y1702" s="22" t="str">
        <f aca="false">IF(AND(C1702&lt;&gt;"",C1702=CERTIFICADO!$E$4,OR(CERTIFICADO!$E$5="",B1702=CERTIFICADO!$E$5)),MAX($Y$4:Y1701)+1,"")</f>
        <v/>
      </c>
    </row>
    <row r="1703" customFormat="false" ht="15" hidden="false" customHeight="false" outlineLevel="0" collapsed="false">
      <c r="A1703" s="11" t="str">
        <f aca="false">IF(C1703="","",ROW()-4)</f>
        <v/>
      </c>
      <c r="B1703" s="12"/>
      <c r="C1703" s="13"/>
      <c r="D1703" s="23" t="str">
        <f aca="false">IF(C1703="","",IFERROR(INDEX(LOTES!$D$5:$D$1004,MATCH(C1703,LOTES!$F$5:$F$1004,0)),"¿Lote?"))</f>
        <v/>
      </c>
      <c r="E1703" s="11" t="str">
        <f aca="false">IF(C1703="","",IFERROR(INDEX(LOTES!$C$5:$C$1004,MATCH(C1703,LOTES!$F$5:$F$1004,0)),""))</f>
        <v/>
      </c>
      <c r="F1703" s="24" t="str">
        <f aca="false">IF(C1703="","",IFERROR(INDEX(LOTES!$B$5:$B$1004,MATCH(C1703,LOTES!$F$5:$F$1004,0)),""))</f>
        <v/>
      </c>
      <c r="G1703" s="15" t="str">
        <f aca="false">IF(OR(B1703="",F1703=""),"",B1703-F1703)</f>
        <v/>
      </c>
      <c r="H1703" s="13"/>
      <c r="I1703" s="13"/>
      <c r="J1703" s="13"/>
      <c r="K1703" s="25"/>
      <c r="L1703" s="25"/>
      <c r="M1703" s="25"/>
      <c r="N1703" s="25"/>
      <c r="O1703" s="26"/>
      <c r="P1703" s="16" t="str">
        <f aca="false">IF(O1703="","",IFERROR(1/(1/(IF(K1703="",INDEX(CONFIG!$F$5:$F$14,MATCH(D1703,CONFIG!$D$5:$D$14,0)),K1703)*IF(M1703="",INDEX(CONFIG!$H$5:$H$14,MATCH(D1703,CONFIG!$D$5:$D$14,0)),M1703))),""))</f>
        <v/>
      </c>
      <c r="Q1703" s="16" t="str">
        <f aca="false">IF(OR(O1703="",P1703=""),"",O1703/P1703)</f>
        <v/>
      </c>
      <c r="R1703" s="16" t="str">
        <f aca="false">IF(Q1703="","",Q1703*0.0980665)</f>
        <v/>
      </c>
      <c r="S1703" s="16" t="str">
        <f aca="false">IF(Q1703="","",IFERROR(Q1703/(1/(1/INDEX(CONFIG!$I$5:$I$14,MATCH(D1703,CONFIG!$D$5:$D$14,0)))),""))</f>
        <v/>
      </c>
      <c r="T1703" s="13"/>
      <c r="U1703" s="13"/>
      <c r="V1703" s="13"/>
      <c r="W1703" s="13"/>
      <c r="X1703" s="22" t="str">
        <f aca="false">IF(Q1703="","",Q1703^2)</f>
        <v/>
      </c>
      <c r="Y1703" s="22" t="str">
        <f aca="false">IF(AND(C1703&lt;&gt;"",C1703=CERTIFICADO!$E$4,OR(CERTIFICADO!$E$5="",B1703=CERTIFICADO!$E$5)),MAX($Y$4:Y1702)+1,"")</f>
        <v/>
      </c>
    </row>
    <row r="1704" customFormat="false" ht="15" hidden="false" customHeight="false" outlineLevel="0" collapsed="false">
      <c r="A1704" s="11" t="str">
        <f aca="false">IF(C1704="","",ROW()-4)</f>
        <v/>
      </c>
      <c r="B1704" s="12"/>
      <c r="C1704" s="13"/>
      <c r="D1704" s="23" t="str">
        <f aca="false">IF(C1704="","",IFERROR(INDEX(LOTES!$D$5:$D$1004,MATCH(C1704,LOTES!$F$5:$F$1004,0)),"¿Lote?"))</f>
        <v/>
      </c>
      <c r="E1704" s="11" t="str">
        <f aca="false">IF(C1704="","",IFERROR(INDEX(LOTES!$C$5:$C$1004,MATCH(C1704,LOTES!$F$5:$F$1004,0)),""))</f>
        <v/>
      </c>
      <c r="F1704" s="24" t="str">
        <f aca="false">IF(C1704="","",IFERROR(INDEX(LOTES!$B$5:$B$1004,MATCH(C1704,LOTES!$F$5:$F$1004,0)),""))</f>
        <v/>
      </c>
      <c r="G1704" s="15" t="str">
        <f aca="false">IF(OR(B1704="",F1704=""),"",B1704-F1704)</f>
        <v/>
      </c>
      <c r="H1704" s="13"/>
      <c r="I1704" s="13"/>
      <c r="J1704" s="13"/>
      <c r="K1704" s="25"/>
      <c r="L1704" s="25"/>
      <c r="M1704" s="25"/>
      <c r="N1704" s="25"/>
      <c r="O1704" s="26"/>
      <c r="P1704" s="16" t="str">
        <f aca="false">IF(O1704="","",IFERROR(1/(1/(IF(K1704="",INDEX(CONFIG!$F$5:$F$14,MATCH(D1704,CONFIG!$D$5:$D$14,0)),K1704)*IF(M1704="",INDEX(CONFIG!$H$5:$H$14,MATCH(D1704,CONFIG!$D$5:$D$14,0)),M1704))),""))</f>
        <v/>
      </c>
      <c r="Q1704" s="16" t="str">
        <f aca="false">IF(OR(O1704="",P1704=""),"",O1704/P1704)</f>
        <v/>
      </c>
      <c r="R1704" s="16" t="str">
        <f aca="false">IF(Q1704="","",Q1704*0.0980665)</f>
        <v/>
      </c>
      <c r="S1704" s="16" t="str">
        <f aca="false">IF(Q1704="","",IFERROR(Q1704/(1/(1/INDEX(CONFIG!$I$5:$I$14,MATCH(D1704,CONFIG!$D$5:$D$14,0)))),""))</f>
        <v/>
      </c>
      <c r="T1704" s="13"/>
      <c r="U1704" s="13"/>
      <c r="V1704" s="13"/>
      <c r="W1704" s="13"/>
      <c r="X1704" s="22" t="str">
        <f aca="false">IF(Q1704="","",Q1704^2)</f>
        <v/>
      </c>
      <c r="Y1704" s="22" t="str">
        <f aca="false">IF(AND(C1704&lt;&gt;"",C1704=CERTIFICADO!$E$4,OR(CERTIFICADO!$E$5="",B1704=CERTIFICADO!$E$5)),MAX($Y$4:Y1703)+1,"")</f>
        <v/>
      </c>
    </row>
    <row r="1705" customFormat="false" ht="15" hidden="false" customHeight="false" outlineLevel="0" collapsed="false">
      <c r="A1705" s="11" t="str">
        <f aca="false">IF(C1705="","",ROW()-4)</f>
        <v/>
      </c>
      <c r="B1705" s="12"/>
      <c r="C1705" s="13"/>
      <c r="D1705" s="23" t="str">
        <f aca="false">IF(C1705="","",IFERROR(INDEX(LOTES!$D$5:$D$1004,MATCH(C1705,LOTES!$F$5:$F$1004,0)),"¿Lote?"))</f>
        <v/>
      </c>
      <c r="E1705" s="11" t="str">
        <f aca="false">IF(C1705="","",IFERROR(INDEX(LOTES!$C$5:$C$1004,MATCH(C1705,LOTES!$F$5:$F$1004,0)),""))</f>
        <v/>
      </c>
      <c r="F1705" s="24" t="str">
        <f aca="false">IF(C1705="","",IFERROR(INDEX(LOTES!$B$5:$B$1004,MATCH(C1705,LOTES!$F$5:$F$1004,0)),""))</f>
        <v/>
      </c>
      <c r="G1705" s="15" t="str">
        <f aca="false">IF(OR(B1705="",F1705=""),"",B1705-F1705)</f>
        <v/>
      </c>
      <c r="H1705" s="13"/>
      <c r="I1705" s="13"/>
      <c r="J1705" s="13"/>
      <c r="K1705" s="25"/>
      <c r="L1705" s="25"/>
      <c r="M1705" s="25"/>
      <c r="N1705" s="25"/>
      <c r="O1705" s="26"/>
      <c r="P1705" s="16" t="str">
        <f aca="false">IF(O1705="","",IFERROR(1/(1/(IF(K1705="",INDEX(CONFIG!$F$5:$F$14,MATCH(D1705,CONFIG!$D$5:$D$14,0)),K1705)*IF(M1705="",INDEX(CONFIG!$H$5:$H$14,MATCH(D1705,CONFIG!$D$5:$D$14,0)),M1705))),""))</f>
        <v/>
      </c>
      <c r="Q1705" s="16" t="str">
        <f aca="false">IF(OR(O1705="",P1705=""),"",O1705/P1705)</f>
        <v/>
      </c>
      <c r="R1705" s="16" t="str">
        <f aca="false">IF(Q1705="","",Q1705*0.0980665)</f>
        <v/>
      </c>
      <c r="S1705" s="16" t="str">
        <f aca="false">IF(Q1705="","",IFERROR(Q1705/(1/(1/INDEX(CONFIG!$I$5:$I$14,MATCH(D1705,CONFIG!$D$5:$D$14,0)))),""))</f>
        <v/>
      </c>
      <c r="T1705" s="13"/>
      <c r="U1705" s="13"/>
      <c r="V1705" s="13"/>
      <c r="W1705" s="13"/>
      <c r="X1705" s="22" t="str">
        <f aca="false">IF(Q1705="","",Q1705^2)</f>
        <v/>
      </c>
      <c r="Y1705" s="22" t="str">
        <f aca="false">IF(AND(C1705&lt;&gt;"",C1705=CERTIFICADO!$E$4,OR(CERTIFICADO!$E$5="",B1705=CERTIFICADO!$E$5)),MAX($Y$4:Y1704)+1,"")</f>
        <v/>
      </c>
    </row>
    <row r="1706" customFormat="false" ht="15" hidden="false" customHeight="false" outlineLevel="0" collapsed="false">
      <c r="A1706" s="11" t="str">
        <f aca="false">IF(C1706="","",ROW()-4)</f>
        <v/>
      </c>
      <c r="B1706" s="12"/>
      <c r="C1706" s="13"/>
      <c r="D1706" s="23" t="str">
        <f aca="false">IF(C1706="","",IFERROR(INDEX(LOTES!$D$5:$D$1004,MATCH(C1706,LOTES!$F$5:$F$1004,0)),"¿Lote?"))</f>
        <v/>
      </c>
      <c r="E1706" s="11" t="str">
        <f aca="false">IF(C1706="","",IFERROR(INDEX(LOTES!$C$5:$C$1004,MATCH(C1706,LOTES!$F$5:$F$1004,0)),""))</f>
        <v/>
      </c>
      <c r="F1706" s="24" t="str">
        <f aca="false">IF(C1706="","",IFERROR(INDEX(LOTES!$B$5:$B$1004,MATCH(C1706,LOTES!$F$5:$F$1004,0)),""))</f>
        <v/>
      </c>
      <c r="G1706" s="15" t="str">
        <f aca="false">IF(OR(B1706="",F1706=""),"",B1706-F1706)</f>
        <v/>
      </c>
      <c r="H1706" s="13"/>
      <c r="I1706" s="13"/>
      <c r="J1706" s="13"/>
      <c r="K1706" s="25"/>
      <c r="L1706" s="25"/>
      <c r="M1706" s="25"/>
      <c r="N1706" s="25"/>
      <c r="O1706" s="26"/>
      <c r="P1706" s="16" t="str">
        <f aca="false">IF(O1706="","",IFERROR(1/(1/(IF(K1706="",INDEX(CONFIG!$F$5:$F$14,MATCH(D1706,CONFIG!$D$5:$D$14,0)),K1706)*IF(M1706="",INDEX(CONFIG!$H$5:$H$14,MATCH(D1706,CONFIG!$D$5:$D$14,0)),M1706))),""))</f>
        <v/>
      </c>
      <c r="Q1706" s="16" t="str">
        <f aca="false">IF(OR(O1706="",P1706=""),"",O1706/P1706)</f>
        <v/>
      </c>
      <c r="R1706" s="16" t="str">
        <f aca="false">IF(Q1706="","",Q1706*0.0980665)</f>
        <v/>
      </c>
      <c r="S1706" s="16" t="str">
        <f aca="false">IF(Q1706="","",IFERROR(Q1706/(1/(1/INDEX(CONFIG!$I$5:$I$14,MATCH(D1706,CONFIG!$D$5:$D$14,0)))),""))</f>
        <v/>
      </c>
      <c r="T1706" s="13"/>
      <c r="U1706" s="13"/>
      <c r="V1706" s="13"/>
      <c r="W1706" s="13"/>
      <c r="X1706" s="22" t="str">
        <f aca="false">IF(Q1706="","",Q1706^2)</f>
        <v/>
      </c>
      <c r="Y1706" s="22" t="str">
        <f aca="false">IF(AND(C1706&lt;&gt;"",C1706=CERTIFICADO!$E$4,OR(CERTIFICADO!$E$5="",B1706=CERTIFICADO!$E$5)),MAX($Y$4:Y1705)+1,"")</f>
        <v/>
      </c>
    </row>
    <row r="1707" customFormat="false" ht="15" hidden="false" customHeight="false" outlineLevel="0" collapsed="false">
      <c r="A1707" s="11" t="str">
        <f aca="false">IF(C1707="","",ROW()-4)</f>
        <v/>
      </c>
      <c r="B1707" s="12"/>
      <c r="C1707" s="13"/>
      <c r="D1707" s="23" t="str">
        <f aca="false">IF(C1707="","",IFERROR(INDEX(LOTES!$D$5:$D$1004,MATCH(C1707,LOTES!$F$5:$F$1004,0)),"¿Lote?"))</f>
        <v/>
      </c>
      <c r="E1707" s="11" t="str">
        <f aca="false">IF(C1707="","",IFERROR(INDEX(LOTES!$C$5:$C$1004,MATCH(C1707,LOTES!$F$5:$F$1004,0)),""))</f>
        <v/>
      </c>
      <c r="F1707" s="24" t="str">
        <f aca="false">IF(C1707="","",IFERROR(INDEX(LOTES!$B$5:$B$1004,MATCH(C1707,LOTES!$F$5:$F$1004,0)),""))</f>
        <v/>
      </c>
      <c r="G1707" s="15" t="str">
        <f aca="false">IF(OR(B1707="",F1707=""),"",B1707-F1707)</f>
        <v/>
      </c>
      <c r="H1707" s="13"/>
      <c r="I1707" s="13"/>
      <c r="J1707" s="13"/>
      <c r="K1707" s="25"/>
      <c r="L1707" s="25"/>
      <c r="M1707" s="25"/>
      <c r="N1707" s="25"/>
      <c r="O1707" s="26"/>
      <c r="P1707" s="16" t="str">
        <f aca="false">IF(O1707="","",IFERROR(1/(1/(IF(K1707="",INDEX(CONFIG!$F$5:$F$14,MATCH(D1707,CONFIG!$D$5:$D$14,0)),K1707)*IF(M1707="",INDEX(CONFIG!$H$5:$H$14,MATCH(D1707,CONFIG!$D$5:$D$14,0)),M1707))),""))</f>
        <v/>
      </c>
      <c r="Q1707" s="16" t="str">
        <f aca="false">IF(OR(O1707="",P1707=""),"",O1707/P1707)</f>
        <v/>
      </c>
      <c r="R1707" s="16" t="str">
        <f aca="false">IF(Q1707="","",Q1707*0.0980665)</f>
        <v/>
      </c>
      <c r="S1707" s="16" t="str">
        <f aca="false">IF(Q1707="","",IFERROR(Q1707/(1/(1/INDEX(CONFIG!$I$5:$I$14,MATCH(D1707,CONFIG!$D$5:$D$14,0)))),""))</f>
        <v/>
      </c>
      <c r="T1707" s="13"/>
      <c r="U1707" s="13"/>
      <c r="V1707" s="13"/>
      <c r="W1707" s="13"/>
      <c r="X1707" s="22" t="str">
        <f aca="false">IF(Q1707="","",Q1707^2)</f>
        <v/>
      </c>
      <c r="Y1707" s="22" t="str">
        <f aca="false">IF(AND(C1707&lt;&gt;"",C1707=CERTIFICADO!$E$4,OR(CERTIFICADO!$E$5="",B1707=CERTIFICADO!$E$5)),MAX($Y$4:Y1706)+1,"")</f>
        <v/>
      </c>
    </row>
    <row r="1708" customFormat="false" ht="15" hidden="false" customHeight="false" outlineLevel="0" collapsed="false">
      <c r="A1708" s="11" t="str">
        <f aca="false">IF(C1708="","",ROW()-4)</f>
        <v/>
      </c>
      <c r="B1708" s="12"/>
      <c r="C1708" s="13"/>
      <c r="D1708" s="23" t="str">
        <f aca="false">IF(C1708="","",IFERROR(INDEX(LOTES!$D$5:$D$1004,MATCH(C1708,LOTES!$F$5:$F$1004,0)),"¿Lote?"))</f>
        <v/>
      </c>
      <c r="E1708" s="11" t="str">
        <f aca="false">IF(C1708="","",IFERROR(INDEX(LOTES!$C$5:$C$1004,MATCH(C1708,LOTES!$F$5:$F$1004,0)),""))</f>
        <v/>
      </c>
      <c r="F1708" s="24" t="str">
        <f aca="false">IF(C1708="","",IFERROR(INDEX(LOTES!$B$5:$B$1004,MATCH(C1708,LOTES!$F$5:$F$1004,0)),""))</f>
        <v/>
      </c>
      <c r="G1708" s="15" t="str">
        <f aca="false">IF(OR(B1708="",F1708=""),"",B1708-F1708)</f>
        <v/>
      </c>
      <c r="H1708" s="13"/>
      <c r="I1708" s="13"/>
      <c r="J1708" s="13"/>
      <c r="K1708" s="25"/>
      <c r="L1708" s="25"/>
      <c r="M1708" s="25"/>
      <c r="N1708" s="25"/>
      <c r="O1708" s="26"/>
      <c r="P1708" s="16" t="str">
        <f aca="false">IF(O1708="","",IFERROR(1/(1/(IF(K1708="",INDEX(CONFIG!$F$5:$F$14,MATCH(D1708,CONFIG!$D$5:$D$14,0)),K1708)*IF(M1708="",INDEX(CONFIG!$H$5:$H$14,MATCH(D1708,CONFIG!$D$5:$D$14,0)),M1708))),""))</f>
        <v/>
      </c>
      <c r="Q1708" s="16" t="str">
        <f aca="false">IF(OR(O1708="",P1708=""),"",O1708/P1708)</f>
        <v/>
      </c>
      <c r="R1708" s="16" t="str">
        <f aca="false">IF(Q1708="","",Q1708*0.0980665)</f>
        <v/>
      </c>
      <c r="S1708" s="16" t="str">
        <f aca="false">IF(Q1708="","",IFERROR(Q1708/(1/(1/INDEX(CONFIG!$I$5:$I$14,MATCH(D1708,CONFIG!$D$5:$D$14,0)))),""))</f>
        <v/>
      </c>
      <c r="T1708" s="13"/>
      <c r="U1708" s="13"/>
      <c r="V1708" s="13"/>
      <c r="W1708" s="13"/>
      <c r="X1708" s="22" t="str">
        <f aca="false">IF(Q1708="","",Q1708^2)</f>
        <v/>
      </c>
      <c r="Y1708" s="22" t="str">
        <f aca="false">IF(AND(C1708&lt;&gt;"",C1708=CERTIFICADO!$E$4,OR(CERTIFICADO!$E$5="",B1708=CERTIFICADO!$E$5)),MAX($Y$4:Y1707)+1,"")</f>
        <v/>
      </c>
    </row>
    <row r="1709" customFormat="false" ht="15" hidden="false" customHeight="false" outlineLevel="0" collapsed="false">
      <c r="A1709" s="11" t="str">
        <f aca="false">IF(C1709="","",ROW()-4)</f>
        <v/>
      </c>
      <c r="B1709" s="12"/>
      <c r="C1709" s="13"/>
      <c r="D1709" s="23" t="str">
        <f aca="false">IF(C1709="","",IFERROR(INDEX(LOTES!$D$5:$D$1004,MATCH(C1709,LOTES!$F$5:$F$1004,0)),"¿Lote?"))</f>
        <v/>
      </c>
      <c r="E1709" s="11" t="str">
        <f aca="false">IF(C1709="","",IFERROR(INDEX(LOTES!$C$5:$C$1004,MATCH(C1709,LOTES!$F$5:$F$1004,0)),""))</f>
        <v/>
      </c>
      <c r="F1709" s="24" t="str">
        <f aca="false">IF(C1709="","",IFERROR(INDEX(LOTES!$B$5:$B$1004,MATCH(C1709,LOTES!$F$5:$F$1004,0)),""))</f>
        <v/>
      </c>
      <c r="G1709" s="15" t="str">
        <f aca="false">IF(OR(B1709="",F1709=""),"",B1709-F1709)</f>
        <v/>
      </c>
      <c r="H1709" s="13"/>
      <c r="I1709" s="13"/>
      <c r="J1709" s="13"/>
      <c r="K1709" s="25"/>
      <c r="L1709" s="25"/>
      <c r="M1709" s="25"/>
      <c r="N1709" s="25"/>
      <c r="O1709" s="26"/>
      <c r="P1709" s="16" t="str">
        <f aca="false">IF(O1709="","",IFERROR(1/(1/(IF(K1709="",INDEX(CONFIG!$F$5:$F$14,MATCH(D1709,CONFIG!$D$5:$D$14,0)),K1709)*IF(M1709="",INDEX(CONFIG!$H$5:$H$14,MATCH(D1709,CONFIG!$D$5:$D$14,0)),M1709))),""))</f>
        <v/>
      </c>
      <c r="Q1709" s="16" t="str">
        <f aca="false">IF(OR(O1709="",P1709=""),"",O1709/P1709)</f>
        <v/>
      </c>
      <c r="R1709" s="16" t="str">
        <f aca="false">IF(Q1709="","",Q1709*0.0980665)</f>
        <v/>
      </c>
      <c r="S1709" s="16" t="str">
        <f aca="false">IF(Q1709="","",IFERROR(Q1709/(1/(1/INDEX(CONFIG!$I$5:$I$14,MATCH(D1709,CONFIG!$D$5:$D$14,0)))),""))</f>
        <v/>
      </c>
      <c r="T1709" s="13"/>
      <c r="U1709" s="13"/>
      <c r="V1709" s="13"/>
      <c r="W1709" s="13"/>
      <c r="X1709" s="22" t="str">
        <f aca="false">IF(Q1709="","",Q1709^2)</f>
        <v/>
      </c>
      <c r="Y1709" s="22" t="str">
        <f aca="false">IF(AND(C1709&lt;&gt;"",C1709=CERTIFICADO!$E$4,OR(CERTIFICADO!$E$5="",B1709=CERTIFICADO!$E$5)),MAX($Y$4:Y1708)+1,"")</f>
        <v/>
      </c>
    </row>
    <row r="1710" customFormat="false" ht="15" hidden="false" customHeight="false" outlineLevel="0" collapsed="false">
      <c r="A1710" s="11" t="str">
        <f aca="false">IF(C1710="","",ROW()-4)</f>
        <v/>
      </c>
      <c r="B1710" s="12"/>
      <c r="C1710" s="13"/>
      <c r="D1710" s="23" t="str">
        <f aca="false">IF(C1710="","",IFERROR(INDEX(LOTES!$D$5:$D$1004,MATCH(C1710,LOTES!$F$5:$F$1004,0)),"¿Lote?"))</f>
        <v/>
      </c>
      <c r="E1710" s="11" t="str">
        <f aca="false">IF(C1710="","",IFERROR(INDEX(LOTES!$C$5:$C$1004,MATCH(C1710,LOTES!$F$5:$F$1004,0)),""))</f>
        <v/>
      </c>
      <c r="F1710" s="24" t="str">
        <f aca="false">IF(C1710="","",IFERROR(INDEX(LOTES!$B$5:$B$1004,MATCH(C1710,LOTES!$F$5:$F$1004,0)),""))</f>
        <v/>
      </c>
      <c r="G1710" s="15" t="str">
        <f aca="false">IF(OR(B1710="",F1710=""),"",B1710-F1710)</f>
        <v/>
      </c>
      <c r="H1710" s="13"/>
      <c r="I1710" s="13"/>
      <c r="J1710" s="13"/>
      <c r="K1710" s="25"/>
      <c r="L1710" s="25"/>
      <c r="M1710" s="25"/>
      <c r="N1710" s="25"/>
      <c r="O1710" s="26"/>
      <c r="P1710" s="16" t="str">
        <f aca="false">IF(O1710="","",IFERROR(1/(1/(IF(K1710="",INDEX(CONFIG!$F$5:$F$14,MATCH(D1710,CONFIG!$D$5:$D$14,0)),K1710)*IF(M1710="",INDEX(CONFIG!$H$5:$H$14,MATCH(D1710,CONFIG!$D$5:$D$14,0)),M1710))),""))</f>
        <v/>
      </c>
      <c r="Q1710" s="16" t="str">
        <f aca="false">IF(OR(O1710="",P1710=""),"",O1710/P1710)</f>
        <v/>
      </c>
      <c r="R1710" s="16" t="str">
        <f aca="false">IF(Q1710="","",Q1710*0.0980665)</f>
        <v/>
      </c>
      <c r="S1710" s="16" t="str">
        <f aca="false">IF(Q1710="","",IFERROR(Q1710/(1/(1/INDEX(CONFIG!$I$5:$I$14,MATCH(D1710,CONFIG!$D$5:$D$14,0)))),""))</f>
        <v/>
      </c>
      <c r="T1710" s="13"/>
      <c r="U1710" s="13"/>
      <c r="V1710" s="13"/>
      <c r="W1710" s="13"/>
      <c r="X1710" s="22" t="str">
        <f aca="false">IF(Q1710="","",Q1710^2)</f>
        <v/>
      </c>
      <c r="Y1710" s="22" t="str">
        <f aca="false">IF(AND(C1710&lt;&gt;"",C1710=CERTIFICADO!$E$4,OR(CERTIFICADO!$E$5="",B1710=CERTIFICADO!$E$5)),MAX($Y$4:Y1709)+1,"")</f>
        <v/>
      </c>
    </row>
    <row r="1711" customFormat="false" ht="15" hidden="false" customHeight="false" outlineLevel="0" collapsed="false">
      <c r="A1711" s="11" t="str">
        <f aca="false">IF(C1711="","",ROW()-4)</f>
        <v/>
      </c>
      <c r="B1711" s="12"/>
      <c r="C1711" s="13"/>
      <c r="D1711" s="23" t="str">
        <f aca="false">IF(C1711="","",IFERROR(INDEX(LOTES!$D$5:$D$1004,MATCH(C1711,LOTES!$F$5:$F$1004,0)),"¿Lote?"))</f>
        <v/>
      </c>
      <c r="E1711" s="11" t="str">
        <f aca="false">IF(C1711="","",IFERROR(INDEX(LOTES!$C$5:$C$1004,MATCH(C1711,LOTES!$F$5:$F$1004,0)),""))</f>
        <v/>
      </c>
      <c r="F1711" s="24" t="str">
        <f aca="false">IF(C1711="","",IFERROR(INDEX(LOTES!$B$5:$B$1004,MATCH(C1711,LOTES!$F$5:$F$1004,0)),""))</f>
        <v/>
      </c>
      <c r="G1711" s="15" t="str">
        <f aca="false">IF(OR(B1711="",F1711=""),"",B1711-F1711)</f>
        <v/>
      </c>
      <c r="H1711" s="13"/>
      <c r="I1711" s="13"/>
      <c r="J1711" s="13"/>
      <c r="K1711" s="25"/>
      <c r="L1711" s="25"/>
      <c r="M1711" s="25"/>
      <c r="N1711" s="25"/>
      <c r="O1711" s="26"/>
      <c r="P1711" s="16" t="str">
        <f aca="false">IF(O1711="","",IFERROR(1/(1/(IF(K1711="",INDEX(CONFIG!$F$5:$F$14,MATCH(D1711,CONFIG!$D$5:$D$14,0)),K1711)*IF(M1711="",INDEX(CONFIG!$H$5:$H$14,MATCH(D1711,CONFIG!$D$5:$D$14,0)),M1711))),""))</f>
        <v/>
      </c>
      <c r="Q1711" s="16" t="str">
        <f aca="false">IF(OR(O1711="",P1711=""),"",O1711/P1711)</f>
        <v/>
      </c>
      <c r="R1711" s="16" t="str">
        <f aca="false">IF(Q1711="","",Q1711*0.0980665)</f>
        <v/>
      </c>
      <c r="S1711" s="16" t="str">
        <f aca="false">IF(Q1711="","",IFERROR(Q1711/(1/(1/INDEX(CONFIG!$I$5:$I$14,MATCH(D1711,CONFIG!$D$5:$D$14,0)))),""))</f>
        <v/>
      </c>
      <c r="T1711" s="13"/>
      <c r="U1711" s="13"/>
      <c r="V1711" s="13"/>
      <c r="W1711" s="13"/>
      <c r="X1711" s="22" t="str">
        <f aca="false">IF(Q1711="","",Q1711^2)</f>
        <v/>
      </c>
      <c r="Y1711" s="22" t="str">
        <f aca="false">IF(AND(C1711&lt;&gt;"",C1711=CERTIFICADO!$E$4,OR(CERTIFICADO!$E$5="",B1711=CERTIFICADO!$E$5)),MAX($Y$4:Y1710)+1,"")</f>
        <v/>
      </c>
    </row>
    <row r="1712" customFormat="false" ht="15" hidden="false" customHeight="false" outlineLevel="0" collapsed="false">
      <c r="A1712" s="11" t="str">
        <f aca="false">IF(C1712="","",ROW()-4)</f>
        <v/>
      </c>
      <c r="B1712" s="12"/>
      <c r="C1712" s="13"/>
      <c r="D1712" s="23" t="str">
        <f aca="false">IF(C1712="","",IFERROR(INDEX(LOTES!$D$5:$D$1004,MATCH(C1712,LOTES!$F$5:$F$1004,0)),"¿Lote?"))</f>
        <v/>
      </c>
      <c r="E1712" s="11" t="str">
        <f aca="false">IF(C1712="","",IFERROR(INDEX(LOTES!$C$5:$C$1004,MATCH(C1712,LOTES!$F$5:$F$1004,0)),""))</f>
        <v/>
      </c>
      <c r="F1712" s="24" t="str">
        <f aca="false">IF(C1712="","",IFERROR(INDEX(LOTES!$B$5:$B$1004,MATCH(C1712,LOTES!$F$5:$F$1004,0)),""))</f>
        <v/>
      </c>
      <c r="G1712" s="15" t="str">
        <f aca="false">IF(OR(B1712="",F1712=""),"",B1712-F1712)</f>
        <v/>
      </c>
      <c r="H1712" s="13"/>
      <c r="I1712" s="13"/>
      <c r="J1712" s="13"/>
      <c r="K1712" s="25"/>
      <c r="L1712" s="25"/>
      <c r="M1712" s="25"/>
      <c r="N1712" s="25"/>
      <c r="O1712" s="26"/>
      <c r="P1712" s="16" t="str">
        <f aca="false">IF(O1712="","",IFERROR(1/(1/(IF(K1712="",INDEX(CONFIG!$F$5:$F$14,MATCH(D1712,CONFIG!$D$5:$D$14,0)),K1712)*IF(M1712="",INDEX(CONFIG!$H$5:$H$14,MATCH(D1712,CONFIG!$D$5:$D$14,0)),M1712))),""))</f>
        <v/>
      </c>
      <c r="Q1712" s="16" t="str">
        <f aca="false">IF(OR(O1712="",P1712=""),"",O1712/P1712)</f>
        <v/>
      </c>
      <c r="R1712" s="16" t="str">
        <f aca="false">IF(Q1712="","",Q1712*0.0980665)</f>
        <v/>
      </c>
      <c r="S1712" s="16" t="str">
        <f aca="false">IF(Q1712="","",IFERROR(Q1712/(1/(1/INDEX(CONFIG!$I$5:$I$14,MATCH(D1712,CONFIG!$D$5:$D$14,0)))),""))</f>
        <v/>
      </c>
      <c r="T1712" s="13"/>
      <c r="U1712" s="13"/>
      <c r="V1712" s="13"/>
      <c r="W1712" s="13"/>
      <c r="X1712" s="22" t="str">
        <f aca="false">IF(Q1712="","",Q1712^2)</f>
        <v/>
      </c>
      <c r="Y1712" s="22" t="str">
        <f aca="false">IF(AND(C1712&lt;&gt;"",C1712=CERTIFICADO!$E$4,OR(CERTIFICADO!$E$5="",B1712=CERTIFICADO!$E$5)),MAX($Y$4:Y1711)+1,"")</f>
        <v/>
      </c>
    </row>
    <row r="1713" customFormat="false" ht="15" hidden="false" customHeight="false" outlineLevel="0" collapsed="false">
      <c r="A1713" s="11" t="str">
        <f aca="false">IF(C1713="","",ROW()-4)</f>
        <v/>
      </c>
      <c r="B1713" s="12"/>
      <c r="C1713" s="13"/>
      <c r="D1713" s="23" t="str">
        <f aca="false">IF(C1713="","",IFERROR(INDEX(LOTES!$D$5:$D$1004,MATCH(C1713,LOTES!$F$5:$F$1004,0)),"¿Lote?"))</f>
        <v/>
      </c>
      <c r="E1713" s="11" t="str">
        <f aca="false">IF(C1713="","",IFERROR(INDEX(LOTES!$C$5:$C$1004,MATCH(C1713,LOTES!$F$5:$F$1004,0)),""))</f>
        <v/>
      </c>
      <c r="F1713" s="24" t="str">
        <f aca="false">IF(C1713="","",IFERROR(INDEX(LOTES!$B$5:$B$1004,MATCH(C1713,LOTES!$F$5:$F$1004,0)),""))</f>
        <v/>
      </c>
      <c r="G1713" s="15" t="str">
        <f aca="false">IF(OR(B1713="",F1713=""),"",B1713-F1713)</f>
        <v/>
      </c>
      <c r="H1713" s="13"/>
      <c r="I1713" s="13"/>
      <c r="J1713" s="13"/>
      <c r="K1713" s="25"/>
      <c r="L1713" s="25"/>
      <c r="M1713" s="25"/>
      <c r="N1713" s="25"/>
      <c r="O1713" s="26"/>
      <c r="P1713" s="16" t="str">
        <f aca="false">IF(O1713="","",IFERROR(1/(1/(IF(K1713="",INDEX(CONFIG!$F$5:$F$14,MATCH(D1713,CONFIG!$D$5:$D$14,0)),K1713)*IF(M1713="",INDEX(CONFIG!$H$5:$H$14,MATCH(D1713,CONFIG!$D$5:$D$14,0)),M1713))),""))</f>
        <v/>
      </c>
      <c r="Q1713" s="16" t="str">
        <f aca="false">IF(OR(O1713="",P1713=""),"",O1713/P1713)</f>
        <v/>
      </c>
      <c r="R1713" s="16" t="str">
        <f aca="false">IF(Q1713="","",Q1713*0.0980665)</f>
        <v/>
      </c>
      <c r="S1713" s="16" t="str">
        <f aca="false">IF(Q1713="","",IFERROR(Q1713/(1/(1/INDEX(CONFIG!$I$5:$I$14,MATCH(D1713,CONFIG!$D$5:$D$14,0)))),""))</f>
        <v/>
      </c>
      <c r="T1713" s="13"/>
      <c r="U1713" s="13"/>
      <c r="V1713" s="13"/>
      <c r="W1713" s="13"/>
      <c r="X1713" s="22" t="str">
        <f aca="false">IF(Q1713="","",Q1713^2)</f>
        <v/>
      </c>
      <c r="Y1713" s="22" t="str">
        <f aca="false">IF(AND(C1713&lt;&gt;"",C1713=CERTIFICADO!$E$4,OR(CERTIFICADO!$E$5="",B1713=CERTIFICADO!$E$5)),MAX($Y$4:Y1712)+1,"")</f>
        <v/>
      </c>
    </row>
    <row r="1714" customFormat="false" ht="15" hidden="false" customHeight="false" outlineLevel="0" collapsed="false">
      <c r="A1714" s="11" t="str">
        <f aca="false">IF(C1714="","",ROW()-4)</f>
        <v/>
      </c>
      <c r="B1714" s="12"/>
      <c r="C1714" s="13"/>
      <c r="D1714" s="23" t="str">
        <f aca="false">IF(C1714="","",IFERROR(INDEX(LOTES!$D$5:$D$1004,MATCH(C1714,LOTES!$F$5:$F$1004,0)),"¿Lote?"))</f>
        <v/>
      </c>
      <c r="E1714" s="11" t="str">
        <f aca="false">IF(C1714="","",IFERROR(INDEX(LOTES!$C$5:$C$1004,MATCH(C1714,LOTES!$F$5:$F$1004,0)),""))</f>
        <v/>
      </c>
      <c r="F1714" s="24" t="str">
        <f aca="false">IF(C1714="","",IFERROR(INDEX(LOTES!$B$5:$B$1004,MATCH(C1714,LOTES!$F$5:$F$1004,0)),""))</f>
        <v/>
      </c>
      <c r="G1714" s="15" t="str">
        <f aca="false">IF(OR(B1714="",F1714=""),"",B1714-F1714)</f>
        <v/>
      </c>
      <c r="H1714" s="13"/>
      <c r="I1714" s="13"/>
      <c r="J1714" s="13"/>
      <c r="K1714" s="25"/>
      <c r="L1714" s="25"/>
      <c r="M1714" s="25"/>
      <c r="N1714" s="25"/>
      <c r="O1714" s="26"/>
      <c r="P1714" s="16" t="str">
        <f aca="false">IF(O1714="","",IFERROR(1/(1/(IF(K1714="",INDEX(CONFIG!$F$5:$F$14,MATCH(D1714,CONFIG!$D$5:$D$14,0)),K1714)*IF(M1714="",INDEX(CONFIG!$H$5:$H$14,MATCH(D1714,CONFIG!$D$5:$D$14,0)),M1714))),""))</f>
        <v/>
      </c>
      <c r="Q1714" s="16" t="str">
        <f aca="false">IF(OR(O1714="",P1714=""),"",O1714/P1714)</f>
        <v/>
      </c>
      <c r="R1714" s="16" t="str">
        <f aca="false">IF(Q1714="","",Q1714*0.0980665)</f>
        <v/>
      </c>
      <c r="S1714" s="16" t="str">
        <f aca="false">IF(Q1714="","",IFERROR(Q1714/(1/(1/INDEX(CONFIG!$I$5:$I$14,MATCH(D1714,CONFIG!$D$5:$D$14,0)))),""))</f>
        <v/>
      </c>
      <c r="T1714" s="13"/>
      <c r="U1714" s="13"/>
      <c r="V1714" s="13"/>
      <c r="W1714" s="13"/>
      <c r="X1714" s="22" t="str">
        <f aca="false">IF(Q1714="","",Q1714^2)</f>
        <v/>
      </c>
      <c r="Y1714" s="22" t="str">
        <f aca="false">IF(AND(C1714&lt;&gt;"",C1714=CERTIFICADO!$E$4,OR(CERTIFICADO!$E$5="",B1714=CERTIFICADO!$E$5)),MAX($Y$4:Y1713)+1,"")</f>
        <v/>
      </c>
    </row>
    <row r="1715" customFormat="false" ht="15" hidden="false" customHeight="false" outlineLevel="0" collapsed="false">
      <c r="A1715" s="11" t="str">
        <f aca="false">IF(C1715="","",ROW()-4)</f>
        <v/>
      </c>
      <c r="B1715" s="12"/>
      <c r="C1715" s="13"/>
      <c r="D1715" s="23" t="str">
        <f aca="false">IF(C1715="","",IFERROR(INDEX(LOTES!$D$5:$D$1004,MATCH(C1715,LOTES!$F$5:$F$1004,0)),"¿Lote?"))</f>
        <v/>
      </c>
      <c r="E1715" s="11" t="str">
        <f aca="false">IF(C1715="","",IFERROR(INDEX(LOTES!$C$5:$C$1004,MATCH(C1715,LOTES!$F$5:$F$1004,0)),""))</f>
        <v/>
      </c>
      <c r="F1715" s="24" t="str">
        <f aca="false">IF(C1715="","",IFERROR(INDEX(LOTES!$B$5:$B$1004,MATCH(C1715,LOTES!$F$5:$F$1004,0)),""))</f>
        <v/>
      </c>
      <c r="G1715" s="15" t="str">
        <f aca="false">IF(OR(B1715="",F1715=""),"",B1715-F1715)</f>
        <v/>
      </c>
      <c r="H1715" s="13"/>
      <c r="I1715" s="13"/>
      <c r="J1715" s="13"/>
      <c r="K1715" s="25"/>
      <c r="L1715" s="25"/>
      <c r="M1715" s="25"/>
      <c r="N1715" s="25"/>
      <c r="O1715" s="26"/>
      <c r="P1715" s="16" t="str">
        <f aca="false">IF(O1715="","",IFERROR(1/(1/(IF(K1715="",INDEX(CONFIG!$F$5:$F$14,MATCH(D1715,CONFIG!$D$5:$D$14,0)),K1715)*IF(M1715="",INDEX(CONFIG!$H$5:$H$14,MATCH(D1715,CONFIG!$D$5:$D$14,0)),M1715))),""))</f>
        <v/>
      </c>
      <c r="Q1715" s="16" t="str">
        <f aca="false">IF(OR(O1715="",P1715=""),"",O1715/P1715)</f>
        <v/>
      </c>
      <c r="R1715" s="16" t="str">
        <f aca="false">IF(Q1715="","",Q1715*0.0980665)</f>
        <v/>
      </c>
      <c r="S1715" s="16" t="str">
        <f aca="false">IF(Q1715="","",IFERROR(Q1715/(1/(1/INDEX(CONFIG!$I$5:$I$14,MATCH(D1715,CONFIG!$D$5:$D$14,0)))),""))</f>
        <v/>
      </c>
      <c r="T1715" s="13"/>
      <c r="U1715" s="13"/>
      <c r="V1715" s="13"/>
      <c r="W1715" s="13"/>
      <c r="X1715" s="22" t="str">
        <f aca="false">IF(Q1715="","",Q1715^2)</f>
        <v/>
      </c>
      <c r="Y1715" s="22" t="str">
        <f aca="false">IF(AND(C1715&lt;&gt;"",C1715=CERTIFICADO!$E$4,OR(CERTIFICADO!$E$5="",B1715=CERTIFICADO!$E$5)),MAX($Y$4:Y1714)+1,"")</f>
        <v/>
      </c>
    </row>
    <row r="1716" customFormat="false" ht="15" hidden="false" customHeight="false" outlineLevel="0" collapsed="false">
      <c r="A1716" s="11" t="str">
        <f aca="false">IF(C1716="","",ROW()-4)</f>
        <v/>
      </c>
      <c r="B1716" s="12"/>
      <c r="C1716" s="13"/>
      <c r="D1716" s="23" t="str">
        <f aca="false">IF(C1716="","",IFERROR(INDEX(LOTES!$D$5:$D$1004,MATCH(C1716,LOTES!$F$5:$F$1004,0)),"¿Lote?"))</f>
        <v/>
      </c>
      <c r="E1716" s="11" t="str">
        <f aca="false">IF(C1716="","",IFERROR(INDEX(LOTES!$C$5:$C$1004,MATCH(C1716,LOTES!$F$5:$F$1004,0)),""))</f>
        <v/>
      </c>
      <c r="F1716" s="24" t="str">
        <f aca="false">IF(C1716="","",IFERROR(INDEX(LOTES!$B$5:$B$1004,MATCH(C1716,LOTES!$F$5:$F$1004,0)),""))</f>
        <v/>
      </c>
      <c r="G1716" s="15" t="str">
        <f aca="false">IF(OR(B1716="",F1716=""),"",B1716-F1716)</f>
        <v/>
      </c>
      <c r="H1716" s="13"/>
      <c r="I1716" s="13"/>
      <c r="J1716" s="13"/>
      <c r="K1716" s="25"/>
      <c r="L1716" s="25"/>
      <c r="M1716" s="25"/>
      <c r="N1716" s="25"/>
      <c r="O1716" s="26"/>
      <c r="P1716" s="16" t="str">
        <f aca="false">IF(O1716="","",IFERROR(1/(1/(IF(K1716="",INDEX(CONFIG!$F$5:$F$14,MATCH(D1716,CONFIG!$D$5:$D$14,0)),K1716)*IF(M1716="",INDEX(CONFIG!$H$5:$H$14,MATCH(D1716,CONFIG!$D$5:$D$14,0)),M1716))),""))</f>
        <v/>
      </c>
      <c r="Q1716" s="16" t="str">
        <f aca="false">IF(OR(O1716="",P1716=""),"",O1716/P1716)</f>
        <v/>
      </c>
      <c r="R1716" s="16" t="str">
        <f aca="false">IF(Q1716="","",Q1716*0.0980665)</f>
        <v/>
      </c>
      <c r="S1716" s="16" t="str">
        <f aca="false">IF(Q1716="","",IFERROR(Q1716/(1/(1/INDEX(CONFIG!$I$5:$I$14,MATCH(D1716,CONFIG!$D$5:$D$14,0)))),""))</f>
        <v/>
      </c>
      <c r="T1716" s="13"/>
      <c r="U1716" s="13"/>
      <c r="V1716" s="13"/>
      <c r="W1716" s="13"/>
      <c r="X1716" s="22" t="str">
        <f aca="false">IF(Q1716="","",Q1716^2)</f>
        <v/>
      </c>
      <c r="Y1716" s="22" t="str">
        <f aca="false">IF(AND(C1716&lt;&gt;"",C1716=CERTIFICADO!$E$4,OR(CERTIFICADO!$E$5="",B1716=CERTIFICADO!$E$5)),MAX($Y$4:Y1715)+1,"")</f>
        <v/>
      </c>
    </row>
    <row r="1717" customFormat="false" ht="15" hidden="false" customHeight="false" outlineLevel="0" collapsed="false">
      <c r="A1717" s="11" t="str">
        <f aca="false">IF(C1717="","",ROW()-4)</f>
        <v/>
      </c>
      <c r="B1717" s="12"/>
      <c r="C1717" s="13"/>
      <c r="D1717" s="23" t="str">
        <f aca="false">IF(C1717="","",IFERROR(INDEX(LOTES!$D$5:$D$1004,MATCH(C1717,LOTES!$F$5:$F$1004,0)),"¿Lote?"))</f>
        <v/>
      </c>
      <c r="E1717" s="11" t="str">
        <f aca="false">IF(C1717="","",IFERROR(INDEX(LOTES!$C$5:$C$1004,MATCH(C1717,LOTES!$F$5:$F$1004,0)),""))</f>
        <v/>
      </c>
      <c r="F1717" s="24" t="str">
        <f aca="false">IF(C1717="","",IFERROR(INDEX(LOTES!$B$5:$B$1004,MATCH(C1717,LOTES!$F$5:$F$1004,0)),""))</f>
        <v/>
      </c>
      <c r="G1717" s="15" t="str">
        <f aca="false">IF(OR(B1717="",F1717=""),"",B1717-F1717)</f>
        <v/>
      </c>
      <c r="H1717" s="13"/>
      <c r="I1717" s="13"/>
      <c r="J1717" s="13"/>
      <c r="K1717" s="25"/>
      <c r="L1717" s="25"/>
      <c r="M1717" s="25"/>
      <c r="N1717" s="25"/>
      <c r="O1717" s="26"/>
      <c r="P1717" s="16" t="str">
        <f aca="false">IF(O1717="","",IFERROR(1/(1/(IF(K1717="",INDEX(CONFIG!$F$5:$F$14,MATCH(D1717,CONFIG!$D$5:$D$14,0)),K1717)*IF(M1717="",INDEX(CONFIG!$H$5:$H$14,MATCH(D1717,CONFIG!$D$5:$D$14,0)),M1717))),""))</f>
        <v/>
      </c>
      <c r="Q1717" s="16" t="str">
        <f aca="false">IF(OR(O1717="",P1717=""),"",O1717/P1717)</f>
        <v/>
      </c>
      <c r="R1717" s="16" t="str">
        <f aca="false">IF(Q1717="","",Q1717*0.0980665)</f>
        <v/>
      </c>
      <c r="S1717" s="16" t="str">
        <f aca="false">IF(Q1717="","",IFERROR(Q1717/(1/(1/INDEX(CONFIG!$I$5:$I$14,MATCH(D1717,CONFIG!$D$5:$D$14,0)))),""))</f>
        <v/>
      </c>
      <c r="T1717" s="13"/>
      <c r="U1717" s="13"/>
      <c r="V1717" s="13"/>
      <c r="W1717" s="13"/>
      <c r="X1717" s="22" t="str">
        <f aca="false">IF(Q1717="","",Q1717^2)</f>
        <v/>
      </c>
      <c r="Y1717" s="22" t="str">
        <f aca="false">IF(AND(C1717&lt;&gt;"",C1717=CERTIFICADO!$E$4,OR(CERTIFICADO!$E$5="",B1717=CERTIFICADO!$E$5)),MAX($Y$4:Y1716)+1,"")</f>
        <v/>
      </c>
    </row>
    <row r="1718" customFormat="false" ht="15" hidden="false" customHeight="false" outlineLevel="0" collapsed="false">
      <c r="A1718" s="11" t="str">
        <f aca="false">IF(C1718="","",ROW()-4)</f>
        <v/>
      </c>
      <c r="B1718" s="12"/>
      <c r="C1718" s="13"/>
      <c r="D1718" s="23" t="str">
        <f aca="false">IF(C1718="","",IFERROR(INDEX(LOTES!$D$5:$D$1004,MATCH(C1718,LOTES!$F$5:$F$1004,0)),"¿Lote?"))</f>
        <v/>
      </c>
      <c r="E1718" s="11" t="str">
        <f aca="false">IF(C1718="","",IFERROR(INDEX(LOTES!$C$5:$C$1004,MATCH(C1718,LOTES!$F$5:$F$1004,0)),""))</f>
        <v/>
      </c>
      <c r="F1718" s="24" t="str">
        <f aca="false">IF(C1718="","",IFERROR(INDEX(LOTES!$B$5:$B$1004,MATCH(C1718,LOTES!$F$5:$F$1004,0)),""))</f>
        <v/>
      </c>
      <c r="G1718" s="15" t="str">
        <f aca="false">IF(OR(B1718="",F1718=""),"",B1718-F1718)</f>
        <v/>
      </c>
      <c r="H1718" s="13"/>
      <c r="I1718" s="13"/>
      <c r="J1718" s="13"/>
      <c r="K1718" s="25"/>
      <c r="L1718" s="25"/>
      <c r="M1718" s="25"/>
      <c r="N1718" s="25"/>
      <c r="O1718" s="26"/>
      <c r="P1718" s="16" t="str">
        <f aca="false">IF(O1718="","",IFERROR(1/(1/(IF(K1718="",INDEX(CONFIG!$F$5:$F$14,MATCH(D1718,CONFIG!$D$5:$D$14,0)),K1718)*IF(M1718="",INDEX(CONFIG!$H$5:$H$14,MATCH(D1718,CONFIG!$D$5:$D$14,0)),M1718))),""))</f>
        <v/>
      </c>
      <c r="Q1718" s="16" t="str">
        <f aca="false">IF(OR(O1718="",P1718=""),"",O1718/P1718)</f>
        <v/>
      </c>
      <c r="R1718" s="16" t="str">
        <f aca="false">IF(Q1718="","",Q1718*0.0980665)</f>
        <v/>
      </c>
      <c r="S1718" s="16" t="str">
        <f aca="false">IF(Q1718="","",IFERROR(Q1718/(1/(1/INDEX(CONFIG!$I$5:$I$14,MATCH(D1718,CONFIG!$D$5:$D$14,0)))),""))</f>
        <v/>
      </c>
      <c r="T1718" s="13"/>
      <c r="U1718" s="13"/>
      <c r="V1718" s="13"/>
      <c r="W1718" s="13"/>
      <c r="X1718" s="22" t="str">
        <f aca="false">IF(Q1718="","",Q1718^2)</f>
        <v/>
      </c>
      <c r="Y1718" s="22" t="str">
        <f aca="false">IF(AND(C1718&lt;&gt;"",C1718=CERTIFICADO!$E$4,OR(CERTIFICADO!$E$5="",B1718=CERTIFICADO!$E$5)),MAX($Y$4:Y1717)+1,"")</f>
        <v/>
      </c>
    </row>
    <row r="1719" customFormat="false" ht="15" hidden="false" customHeight="false" outlineLevel="0" collapsed="false">
      <c r="A1719" s="11" t="str">
        <f aca="false">IF(C1719="","",ROW()-4)</f>
        <v/>
      </c>
      <c r="B1719" s="12"/>
      <c r="C1719" s="13"/>
      <c r="D1719" s="23" t="str">
        <f aca="false">IF(C1719="","",IFERROR(INDEX(LOTES!$D$5:$D$1004,MATCH(C1719,LOTES!$F$5:$F$1004,0)),"¿Lote?"))</f>
        <v/>
      </c>
      <c r="E1719" s="11" t="str">
        <f aca="false">IF(C1719="","",IFERROR(INDEX(LOTES!$C$5:$C$1004,MATCH(C1719,LOTES!$F$5:$F$1004,0)),""))</f>
        <v/>
      </c>
      <c r="F1719" s="24" t="str">
        <f aca="false">IF(C1719="","",IFERROR(INDEX(LOTES!$B$5:$B$1004,MATCH(C1719,LOTES!$F$5:$F$1004,0)),""))</f>
        <v/>
      </c>
      <c r="G1719" s="15" t="str">
        <f aca="false">IF(OR(B1719="",F1719=""),"",B1719-F1719)</f>
        <v/>
      </c>
      <c r="H1719" s="13"/>
      <c r="I1719" s="13"/>
      <c r="J1719" s="13"/>
      <c r="K1719" s="25"/>
      <c r="L1719" s="25"/>
      <c r="M1719" s="25"/>
      <c r="N1719" s="25"/>
      <c r="O1719" s="26"/>
      <c r="P1719" s="16" t="str">
        <f aca="false">IF(O1719="","",IFERROR(1/(1/(IF(K1719="",INDEX(CONFIG!$F$5:$F$14,MATCH(D1719,CONFIG!$D$5:$D$14,0)),K1719)*IF(M1719="",INDEX(CONFIG!$H$5:$H$14,MATCH(D1719,CONFIG!$D$5:$D$14,0)),M1719))),""))</f>
        <v/>
      </c>
      <c r="Q1719" s="16" t="str">
        <f aca="false">IF(OR(O1719="",P1719=""),"",O1719/P1719)</f>
        <v/>
      </c>
      <c r="R1719" s="16" t="str">
        <f aca="false">IF(Q1719="","",Q1719*0.0980665)</f>
        <v/>
      </c>
      <c r="S1719" s="16" t="str">
        <f aca="false">IF(Q1719="","",IFERROR(Q1719/(1/(1/INDEX(CONFIG!$I$5:$I$14,MATCH(D1719,CONFIG!$D$5:$D$14,0)))),""))</f>
        <v/>
      </c>
      <c r="T1719" s="13"/>
      <c r="U1719" s="13"/>
      <c r="V1719" s="13"/>
      <c r="W1719" s="13"/>
      <c r="X1719" s="22" t="str">
        <f aca="false">IF(Q1719="","",Q1719^2)</f>
        <v/>
      </c>
      <c r="Y1719" s="22" t="str">
        <f aca="false">IF(AND(C1719&lt;&gt;"",C1719=CERTIFICADO!$E$4,OR(CERTIFICADO!$E$5="",B1719=CERTIFICADO!$E$5)),MAX($Y$4:Y1718)+1,"")</f>
        <v/>
      </c>
    </row>
    <row r="1720" customFormat="false" ht="15" hidden="false" customHeight="false" outlineLevel="0" collapsed="false">
      <c r="A1720" s="11" t="str">
        <f aca="false">IF(C1720="","",ROW()-4)</f>
        <v/>
      </c>
      <c r="B1720" s="12"/>
      <c r="C1720" s="13"/>
      <c r="D1720" s="23" t="str">
        <f aca="false">IF(C1720="","",IFERROR(INDEX(LOTES!$D$5:$D$1004,MATCH(C1720,LOTES!$F$5:$F$1004,0)),"¿Lote?"))</f>
        <v/>
      </c>
      <c r="E1720" s="11" t="str">
        <f aca="false">IF(C1720="","",IFERROR(INDEX(LOTES!$C$5:$C$1004,MATCH(C1720,LOTES!$F$5:$F$1004,0)),""))</f>
        <v/>
      </c>
      <c r="F1720" s="24" t="str">
        <f aca="false">IF(C1720="","",IFERROR(INDEX(LOTES!$B$5:$B$1004,MATCH(C1720,LOTES!$F$5:$F$1004,0)),""))</f>
        <v/>
      </c>
      <c r="G1720" s="15" t="str">
        <f aca="false">IF(OR(B1720="",F1720=""),"",B1720-F1720)</f>
        <v/>
      </c>
      <c r="H1720" s="13"/>
      <c r="I1720" s="13"/>
      <c r="J1720" s="13"/>
      <c r="K1720" s="25"/>
      <c r="L1720" s="25"/>
      <c r="M1720" s="25"/>
      <c r="N1720" s="25"/>
      <c r="O1720" s="26"/>
      <c r="P1720" s="16" t="str">
        <f aca="false">IF(O1720="","",IFERROR(1/(1/(IF(K1720="",INDEX(CONFIG!$F$5:$F$14,MATCH(D1720,CONFIG!$D$5:$D$14,0)),K1720)*IF(M1720="",INDEX(CONFIG!$H$5:$H$14,MATCH(D1720,CONFIG!$D$5:$D$14,0)),M1720))),""))</f>
        <v/>
      </c>
      <c r="Q1720" s="16" t="str">
        <f aca="false">IF(OR(O1720="",P1720=""),"",O1720/P1720)</f>
        <v/>
      </c>
      <c r="R1720" s="16" t="str">
        <f aca="false">IF(Q1720="","",Q1720*0.0980665)</f>
        <v/>
      </c>
      <c r="S1720" s="16" t="str">
        <f aca="false">IF(Q1720="","",IFERROR(Q1720/(1/(1/INDEX(CONFIG!$I$5:$I$14,MATCH(D1720,CONFIG!$D$5:$D$14,0)))),""))</f>
        <v/>
      </c>
      <c r="T1720" s="13"/>
      <c r="U1720" s="13"/>
      <c r="V1720" s="13"/>
      <c r="W1720" s="13"/>
      <c r="X1720" s="22" t="str">
        <f aca="false">IF(Q1720="","",Q1720^2)</f>
        <v/>
      </c>
      <c r="Y1720" s="22" t="str">
        <f aca="false">IF(AND(C1720&lt;&gt;"",C1720=CERTIFICADO!$E$4,OR(CERTIFICADO!$E$5="",B1720=CERTIFICADO!$E$5)),MAX($Y$4:Y1719)+1,"")</f>
        <v/>
      </c>
    </row>
    <row r="1721" customFormat="false" ht="15" hidden="false" customHeight="false" outlineLevel="0" collapsed="false">
      <c r="A1721" s="11" t="str">
        <f aca="false">IF(C1721="","",ROW()-4)</f>
        <v/>
      </c>
      <c r="B1721" s="12"/>
      <c r="C1721" s="13"/>
      <c r="D1721" s="23" t="str">
        <f aca="false">IF(C1721="","",IFERROR(INDEX(LOTES!$D$5:$D$1004,MATCH(C1721,LOTES!$F$5:$F$1004,0)),"¿Lote?"))</f>
        <v/>
      </c>
      <c r="E1721" s="11" t="str">
        <f aca="false">IF(C1721="","",IFERROR(INDEX(LOTES!$C$5:$C$1004,MATCH(C1721,LOTES!$F$5:$F$1004,0)),""))</f>
        <v/>
      </c>
      <c r="F1721" s="24" t="str">
        <f aca="false">IF(C1721="","",IFERROR(INDEX(LOTES!$B$5:$B$1004,MATCH(C1721,LOTES!$F$5:$F$1004,0)),""))</f>
        <v/>
      </c>
      <c r="G1721" s="15" t="str">
        <f aca="false">IF(OR(B1721="",F1721=""),"",B1721-F1721)</f>
        <v/>
      </c>
      <c r="H1721" s="13"/>
      <c r="I1721" s="13"/>
      <c r="J1721" s="13"/>
      <c r="K1721" s="25"/>
      <c r="L1721" s="25"/>
      <c r="M1721" s="25"/>
      <c r="N1721" s="25"/>
      <c r="O1721" s="26"/>
      <c r="P1721" s="16" t="str">
        <f aca="false">IF(O1721="","",IFERROR(1/(1/(IF(K1721="",INDEX(CONFIG!$F$5:$F$14,MATCH(D1721,CONFIG!$D$5:$D$14,0)),K1721)*IF(M1721="",INDEX(CONFIG!$H$5:$H$14,MATCH(D1721,CONFIG!$D$5:$D$14,0)),M1721))),""))</f>
        <v/>
      </c>
      <c r="Q1721" s="16" t="str">
        <f aca="false">IF(OR(O1721="",P1721=""),"",O1721/P1721)</f>
        <v/>
      </c>
      <c r="R1721" s="16" t="str">
        <f aca="false">IF(Q1721="","",Q1721*0.0980665)</f>
        <v/>
      </c>
      <c r="S1721" s="16" t="str">
        <f aca="false">IF(Q1721="","",IFERROR(Q1721/(1/(1/INDEX(CONFIG!$I$5:$I$14,MATCH(D1721,CONFIG!$D$5:$D$14,0)))),""))</f>
        <v/>
      </c>
      <c r="T1721" s="13"/>
      <c r="U1721" s="13"/>
      <c r="V1721" s="13"/>
      <c r="W1721" s="13"/>
      <c r="X1721" s="22" t="str">
        <f aca="false">IF(Q1721="","",Q1721^2)</f>
        <v/>
      </c>
      <c r="Y1721" s="22" t="str">
        <f aca="false">IF(AND(C1721&lt;&gt;"",C1721=CERTIFICADO!$E$4,OR(CERTIFICADO!$E$5="",B1721=CERTIFICADO!$E$5)),MAX($Y$4:Y1720)+1,"")</f>
        <v/>
      </c>
    </row>
    <row r="1722" customFormat="false" ht="15" hidden="false" customHeight="false" outlineLevel="0" collapsed="false">
      <c r="A1722" s="11" t="str">
        <f aca="false">IF(C1722="","",ROW()-4)</f>
        <v/>
      </c>
      <c r="B1722" s="12"/>
      <c r="C1722" s="13"/>
      <c r="D1722" s="23" t="str">
        <f aca="false">IF(C1722="","",IFERROR(INDEX(LOTES!$D$5:$D$1004,MATCH(C1722,LOTES!$F$5:$F$1004,0)),"¿Lote?"))</f>
        <v/>
      </c>
      <c r="E1722" s="11" t="str">
        <f aca="false">IF(C1722="","",IFERROR(INDEX(LOTES!$C$5:$C$1004,MATCH(C1722,LOTES!$F$5:$F$1004,0)),""))</f>
        <v/>
      </c>
      <c r="F1722" s="24" t="str">
        <f aca="false">IF(C1722="","",IFERROR(INDEX(LOTES!$B$5:$B$1004,MATCH(C1722,LOTES!$F$5:$F$1004,0)),""))</f>
        <v/>
      </c>
      <c r="G1722" s="15" t="str">
        <f aca="false">IF(OR(B1722="",F1722=""),"",B1722-F1722)</f>
        <v/>
      </c>
      <c r="H1722" s="13"/>
      <c r="I1722" s="13"/>
      <c r="J1722" s="13"/>
      <c r="K1722" s="25"/>
      <c r="L1722" s="25"/>
      <c r="M1722" s="25"/>
      <c r="N1722" s="25"/>
      <c r="O1722" s="26"/>
      <c r="P1722" s="16" t="str">
        <f aca="false">IF(O1722="","",IFERROR(1/(1/(IF(K1722="",INDEX(CONFIG!$F$5:$F$14,MATCH(D1722,CONFIG!$D$5:$D$14,0)),K1722)*IF(M1722="",INDEX(CONFIG!$H$5:$H$14,MATCH(D1722,CONFIG!$D$5:$D$14,0)),M1722))),""))</f>
        <v/>
      </c>
      <c r="Q1722" s="16" t="str">
        <f aca="false">IF(OR(O1722="",P1722=""),"",O1722/P1722)</f>
        <v/>
      </c>
      <c r="R1722" s="16" t="str">
        <f aca="false">IF(Q1722="","",Q1722*0.0980665)</f>
        <v/>
      </c>
      <c r="S1722" s="16" t="str">
        <f aca="false">IF(Q1722="","",IFERROR(Q1722/(1/(1/INDEX(CONFIG!$I$5:$I$14,MATCH(D1722,CONFIG!$D$5:$D$14,0)))),""))</f>
        <v/>
      </c>
      <c r="T1722" s="13"/>
      <c r="U1722" s="13"/>
      <c r="V1722" s="13"/>
      <c r="W1722" s="13"/>
      <c r="X1722" s="22" t="str">
        <f aca="false">IF(Q1722="","",Q1722^2)</f>
        <v/>
      </c>
      <c r="Y1722" s="22" t="str">
        <f aca="false">IF(AND(C1722&lt;&gt;"",C1722=CERTIFICADO!$E$4,OR(CERTIFICADO!$E$5="",B1722=CERTIFICADO!$E$5)),MAX($Y$4:Y1721)+1,"")</f>
        <v/>
      </c>
    </row>
    <row r="1723" customFormat="false" ht="15" hidden="false" customHeight="false" outlineLevel="0" collapsed="false">
      <c r="A1723" s="11" t="str">
        <f aca="false">IF(C1723="","",ROW()-4)</f>
        <v/>
      </c>
      <c r="B1723" s="12"/>
      <c r="C1723" s="13"/>
      <c r="D1723" s="23" t="str">
        <f aca="false">IF(C1723="","",IFERROR(INDEX(LOTES!$D$5:$D$1004,MATCH(C1723,LOTES!$F$5:$F$1004,0)),"¿Lote?"))</f>
        <v/>
      </c>
      <c r="E1723" s="11" t="str">
        <f aca="false">IF(C1723="","",IFERROR(INDEX(LOTES!$C$5:$C$1004,MATCH(C1723,LOTES!$F$5:$F$1004,0)),""))</f>
        <v/>
      </c>
      <c r="F1723" s="24" t="str">
        <f aca="false">IF(C1723="","",IFERROR(INDEX(LOTES!$B$5:$B$1004,MATCH(C1723,LOTES!$F$5:$F$1004,0)),""))</f>
        <v/>
      </c>
      <c r="G1723" s="15" t="str">
        <f aca="false">IF(OR(B1723="",F1723=""),"",B1723-F1723)</f>
        <v/>
      </c>
      <c r="H1723" s="13"/>
      <c r="I1723" s="13"/>
      <c r="J1723" s="13"/>
      <c r="K1723" s="25"/>
      <c r="L1723" s="25"/>
      <c r="M1723" s="25"/>
      <c r="N1723" s="25"/>
      <c r="O1723" s="26"/>
      <c r="P1723" s="16" t="str">
        <f aca="false">IF(O1723="","",IFERROR(1/(1/(IF(K1723="",INDEX(CONFIG!$F$5:$F$14,MATCH(D1723,CONFIG!$D$5:$D$14,0)),K1723)*IF(M1723="",INDEX(CONFIG!$H$5:$H$14,MATCH(D1723,CONFIG!$D$5:$D$14,0)),M1723))),""))</f>
        <v/>
      </c>
      <c r="Q1723" s="16" t="str">
        <f aca="false">IF(OR(O1723="",P1723=""),"",O1723/P1723)</f>
        <v/>
      </c>
      <c r="R1723" s="16" t="str">
        <f aca="false">IF(Q1723="","",Q1723*0.0980665)</f>
        <v/>
      </c>
      <c r="S1723" s="16" t="str">
        <f aca="false">IF(Q1723="","",IFERROR(Q1723/(1/(1/INDEX(CONFIG!$I$5:$I$14,MATCH(D1723,CONFIG!$D$5:$D$14,0)))),""))</f>
        <v/>
      </c>
      <c r="T1723" s="13"/>
      <c r="U1723" s="13"/>
      <c r="V1723" s="13"/>
      <c r="W1723" s="13"/>
      <c r="X1723" s="22" t="str">
        <f aca="false">IF(Q1723="","",Q1723^2)</f>
        <v/>
      </c>
      <c r="Y1723" s="22" t="str">
        <f aca="false">IF(AND(C1723&lt;&gt;"",C1723=CERTIFICADO!$E$4,OR(CERTIFICADO!$E$5="",B1723=CERTIFICADO!$E$5)),MAX($Y$4:Y1722)+1,"")</f>
        <v/>
      </c>
    </row>
    <row r="1724" customFormat="false" ht="15" hidden="false" customHeight="false" outlineLevel="0" collapsed="false">
      <c r="A1724" s="11" t="str">
        <f aca="false">IF(C1724="","",ROW()-4)</f>
        <v/>
      </c>
      <c r="B1724" s="12"/>
      <c r="C1724" s="13"/>
      <c r="D1724" s="23" t="str">
        <f aca="false">IF(C1724="","",IFERROR(INDEX(LOTES!$D$5:$D$1004,MATCH(C1724,LOTES!$F$5:$F$1004,0)),"¿Lote?"))</f>
        <v/>
      </c>
      <c r="E1724" s="11" t="str">
        <f aca="false">IF(C1724="","",IFERROR(INDEX(LOTES!$C$5:$C$1004,MATCH(C1724,LOTES!$F$5:$F$1004,0)),""))</f>
        <v/>
      </c>
      <c r="F1724" s="24" t="str">
        <f aca="false">IF(C1724="","",IFERROR(INDEX(LOTES!$B$5:$B$1004,MATCH(C1724,LOTES!$F$5:$F$1004,0)),""))</f>
        <v/>
      </c>
      <c r="G1724" s="15" t="str">
        <f aca="false">IF(OR(B1724="",F1724=""),"",B1724-F1724)</f>
        <v/>
      </c>
      <c r="H1724" s="13"/>
      <c r="I1724" s="13"/>
      <c r="J1724" s="13"/>
      <c r="K1724" s="25"/>
      <c r="L1724" s="25"/>
      <c r="M1724" s="25"/>
      <c r="N1724" s="25"/>
      <c r="O1724" s="26"/>
      <c r="P1724" s="16" t="str">
        <f aca="false">IF(O1724="","",IFERROR(1/(1/(IF(K1724="",INDEX(CONFIG!$F$5:$F$14,MATCH(D1724,CONFIG!$D$5:$D$14,0)),K1724)*IF(M1724="",INDEX(CONFIG!$H$5:$H$14,MATCH(D1724,CONFIG!$D$5:$D$14,0)),M1724))),""))</f>
        <v/>
      </c>
      <c r="Q1724" s="16" t="str">
        <f aca="false">IF(OR(O1724="",P1724=""),"",O1724/P1724)</f>
        <v/>
      </c>
      <c r="R1724" s="16" t="str">
        <f aca="false">IF(Q1724="","",Q1724*0.0980665)</f>
        <v/>
      </c>
      <c r="S1724" s="16" t="str">
        <f aca="false">IF(Q1724="","",IFERROR(Q1724/(1/(1/INDEX(CONFIG!$I$5:$I$14,MATCH(D1724,CONFIG!$D$5:$D$14,0)))),""))</f>
        <v/>
      </c>
      <c r="T1724" s="13"/>
      <c r="U1724" s="13"/>
      <c r="V1724" s="13"/>
      <c r="W1724" s="13"/>
      <c r="X1724" s="22" t="str">
        <f aca="false">IF(Q1724="","",Q1724^2)</f>
        <v/>
      </c>
      <c r="Y1724" s="22" t="str">
        <f aca="false">IF(AND(C1724&lt;&gt;"",C1724=CERTIFICADO!$E$4,OR(CERTIFICADO!$E$5="",B1724=CERTIFICADO!$E$5)),MAX($Y$4:Y1723)+1,"")</f>
        <v/>
      </c>
    </row>
    <row r="1725" customFormat="false" ht="15" hidden="false" customHeight="false" outlineLevel="0" collapsed="false">
      <c r="A1725" s="11" t="str">
        <f aca="false">IF(C1725="","",ROW()-4)</f>
        <v/>
      </c>
      <c r="B1725" s="12"/>
      <c r="C1725" s="13"/>
      <c r="D1725" s="23" t="str">
        <f aca="false">IF(C1725="","",IFERROR(INDEX(LOTES!$D$5:$D$1004,MATCH(C1725,LOTES!$F$5:$F$1004,0)),"¿Lote?"))</f>
        <v/>
      </c>
      <c r="E1725" s="11" t="str">
        <f aca="false">IF(C1725="","",IFERROR(INDEX(LOTES!$C$5:$C$1004,MATCH(C1725,LOTES!$F$5:$F$1004,0)),""))</f>
        <v/>
      </c>
      <c r="F1725" s="24" t="str">
        <f aca="false">IF(C1725="","",IFERROR(INDEX(LOTES!$B$5:$B$1004,MATCH(C1725,LOTES!$F$5:$F$1004,0)),""))</f>
        <v/>
      </c>
      <c r="G1725" s="15" t="str">
        <f aca="false">IF(OR(B1725="",F1725=""),"",B1725-F1725)</f>
        <v/>
      </c>
      <c r="H1725" s="13"/>
      <c r="I1725" s="13"/>
      <c r="J1725" s="13"/>
      <c r="K1725" s="25"/>
      <c r="L1725" s="25"/>
      <c r="M1725" s="25"/>
      <c r="N1725" s="25"/>
      <c r="O1725" s="26"/>
      <c r="P1725" s="16" t="str">
        <f aca="false">IF(O1725="","",IFERROR(1/(1/(IF(K1725="",INDEX(CONFIG!$F$5:$F$14,MATCH(D1725,CONFIG!$D$5:$D$14,0)),K1725)*IF(M1725="",INDEX(CONFIG!$H$5:$H$14,MATCH(D1725,CONFIG!$D$5:$D$14,0)),M1725))),""))</f>
        <v/>
      </c>
      <c r="Q1725" s="16" t="str">
        <f aca="false">IF(OR(O1725="",P1725=""),"",O1725/P1725)</f>
        <v/>
      </c>
      <c r="R1725" s="16" t="str">
        <f aca="false">IF(Q1725="","",Q1725*0.0980665)</f>
        <v/>
      </c>
      <c r="S1725" s="16" t="str">
        <f aca="false">IF(Q1725="","",IFERROR(Q1725/(1/(1/INDEX(CONFIG!$I$5:$I$14,MATCH(D1725,CONFIG!$D$5:$D$14,0)))),""))</f>
        <v/>
      </c>
      <c r="T1725" s="13"/>
      <c r="U1725" s="13"/>
      <c r="V1725" s="13"/>
      <c r="W1725" s="13"/>
      <c r="X1725" s="22" t="str">
        <f aca="false">IF(Q1725="","",Q1725^2)</f>
        <v/>
      </c>
      <c r="Y1725" s="22" t="str">
        <f aca="false">IF(AND(C1725&lt;&gt;"",C1725=CERTIFICADO!$E$4,OR(CERTIFICADO!$E$5="",B1725=CERTIFICADO!$E$5)),MAX($Y$4:Y1724)+1,"")</f>
        <v/>
      </c>
    </row>
    <row r="1726" customFormat="false" ht="15" hidden="false" customHeight="false" outlineLevel="0" collapsed="false">
      <c r="A1726" s="11" t="str">
        <f aca="false">IF(C1726="","",ROW()-4)</f>
        <v/>
      </c>
      <c r="B1726" s="12"/>
      <c r="C1726" s="13"/>
      <c r="D1726" s="23" t="str">
        <f aca="false">IF(C1726="","",IFERROR(INDEX(LOTES!$D$5:$D$1004,MATCH(C1726,LOTES!$F$5:$F$1004,0)),"¿Lote?"))</f>
        <v/>
      </c>
      <c r="E1726" s="11" t="str">
        <f aca="false">IF(C1726="","",IFERROR(INDEX(LOTES!$C$5:$C$1004,MATCH(C1726,LOTES!$F$5:$F$1004,0)),""))</f>
        <v/>
      </c>
      <c r="F1726" s="24" t="str">
        <f aca="false">IF(C1726="","",IFERROR(INDEX(LOTES!$B$5:$B$1004,MATCH(C1726,LOTES!$F$5:$F$1004,0)),""))</f>
        <v/>
      </c>
      <c r="G1726" s="15" t="str">
        <f aca="false">IF(OR(B1726="",F1726=""),"",B1726-F1726)</f>
        <v/>
      </c>
      <c r="H1726" s="13"/>
      <c r="I1726" s="13"/>
      <c r="J1726" s="13"/>
      <c r="K1726" s="25"/>
      <c r="L1726" s="25"/>
      <c r="M1726" s="25"/>
      <c r="N1726" s="25"/>
      <c r="O1726" s="26"/>
      <c r="P1726" s="16" t="str">
        <f aca="false">IF(O1726="","",IFERROR(1/(1/(IF(K1726="",INDEX(CONFIG!$F$5:$F$14,MATCH(D1726,CONFIG!$D$5:$D$14,0)),K1726)*IF(M1726="",INDEX(CONFIG!$H$5:$H$14,MATCH(D1726,CONFIG!$D$5:$D$14,0)),M1726))),""))</f>
        <v/>
      </c>
      <c r="Q1726" s="16" t="str">
        <f aca="false">IF(OR(O1726="",P1726=""),"",O1726/P1726)</f>
        <v/>
      </c>
      <c r="R1726" s="16" t="str">
        <f aca="false">IF(Q1726="","",Q1726*0.0980665)</f>
        <v/>
      </c>
      <c r="S1726" s="16" t="str">
        <f aca="false">IF(Q1726="","",IFERROR(Q1726/(1/(1/INDEX(CONFIG!$I$5:$I$14,MATCH(D1726,CONFIG!$D$5:$D$14,0)))),""))</f>
        <v/>
      </c>
      <c r="T1726" s="13"/>
      <c r="U1726" s="13"/>
      <c r="V1726" s="13"/>
      <c r="W1726" s="13"/>
      <c r="X1726" s="22" t="str">
        <f aca="false">IF(Q1726="","",Q1726^2)</f>
        <v/>
      </c>
      <c r="Y1726" s="22" t="str">
        <f aca="false">IF(AND(C1726&lt;&gt;"",C1726=CERTIFICADO!$E$4,OR(CERTIFICADO!$E$5="",B1726=CERTIFICADO!$E$5)),MAX($Y$4:Y1725)+1,"")</f>
        <v/>
      </c>
    </row>
    <row r="1727" customFormat="false" ht="15" hidden="false" customHeight="false" outlineLevel="0" collapsed="false">
      <c r="A1727" s="11" t="str">
        <f aca="false">IF(C1727="","",ROW()-4)</f>
        <v/>
      </c>
      <c r="B1727" s="12"/>
      <c r="C1727" s="13"/>
      <c r="D1727" s="23" t="str">
        <f aca="false">IF(C1727="","",IFERROR(INDEX(LOTES!$D$5:$D$1004,MATCH(C1727,LOTES!$F$5:$F$1004,0)),"¿Lote?"))</f>
        <v/>
      </c>
      <c r="E1727" s="11" t="str">
        <f aca="false">IF(C1727="","",IFERROR(INDEX(LOTES!$C$5:$C$1004,MATCH(C1727,LOTES!$F$5:$F$1004,0)),""))</f>
        <v/>
      </c>
      <c r="F1727" s="24" t="str">
        <f aca="false">IF(C1727="","",IFERROR(INDEX(LOTES!$B$5:$B$1004,MATCH(C1727,LOTES!$F$5:$F$1004,0)),""))</f>
        <v/>
      </c>
      <c r="G1727" s="15" t="str">
        <f aca="false">IF(OR(B1727="",F1727=""),"",B1727-F1727)</f>
        <v/>
      </c>
      <c r="H1727" s="13"/>
      <c r="I1727" s="13"/>
      <c r="J1727" s="13"/>
      <c r="K1727" s="25"/>
      <c r="L1727" s="25"/>
      <c r="M1727" s="25"/>
      <c r="N1727" s="25"/>
      <c r="O1727" s="26"/>
      <c r="P1727" s="16" t="str">
        <f aca="false">IF(O1727="","",IFERROR(1/(1/(IF(K1727="",INDEX(CONFIG!$F$5:$F$14,MATCH(D1727,CONFIG!$D$5:$D$14,0)),K1727)*IF(M1727="",INDEX(CONFIG!$H$5:$H$14,MATCH(D1727,CONFIG!$D$5:$D$14,0)),M1727))),""))</f>
        <v/>
      </c>
      <c r="Q1727" s="16" t="str">
        <f aca="false">IF(OR(O1727="",P1727=""),"",O1727/P1727)</f>
        <v/>
      </c>
      <c r="R1727" s="16" t="str">
        <f aca="false">IF(Q1727="","",Q1727*0.0980665)</f>
        <v/>
      </c>
      <c r="S1727" s="16" t="str">
        <f aca="false">IF(Q1727="","",IFERROR(Q1727/(1/(1/INDEX(CONFIG!$I$5:$I$14,MATCH(D1727,CONFIG!$D$5:$D$14,0)))),""))</f>
        <v/>
      </c>
      <c r="T1727" s="13"/>
      <c r="U1727" s="13"/>
      <c r="V1727" s="13"/>
      <c r="W1727" s="13"/>
      <c r="X1727" s="22" t="str">
        <f aca="false">IF(Q1727="","",Q1727^2)</f>
        <v/>
      </c>
      <c r="Y1727" s="22" t="str">
        <f aca="false">IF(AND(C1727&lt;&gt;"",C1727=CERTIFICADO!$E$4,OR(CERTIFICADO!$E$5="",B1727=CERTIFICADO!$E$5)),MAX($Y$4:Y1726)+1,"")</f>
        <v/>
      </c>
    </row>
    <row r="1728" customFormat="false" ht="15" hidden="false" customHeight="false" outlineLevel="0" collapsed="false">
      <c r="A1728" s="11" t="str">
        <f aca="false">IF(C1728="","",ROW()-4)</f>
        <v/>
      </c>
      <c r="B1728" s="12"/>
      <c r="C1728" s="13"/>
      <c r="D1728" s="23" t="str">
        <f aca="false">IF(C1728="","",IFERROR(INDEX(LOTES!$D$5:$D$1004,MATCH(C1728,LOTES!$F$5:$F$1004,0)),"¿Lote?"))</f>
        <v/>
      </c>
      <c r="E1728" s="11" t="str">
        <f aca="false">IF(C1728="","",IFERROR(INDEX(LOTES!$C$5:$C$1004,MATCH(C1728,LOTES!$F$5:$F$1004,0)),""))</f>
        <v/>
      </c>
      <c r="F1728" s="24" t="str">
        <f aca="false">IF(C1728="","",IFERROR(INDEX(LOTES!$B$5:$B$1004,MATCH(C1728,LOTES!$F$5:$F$1004,0)),""))</f>
        <v/>
      </c>
      <c r="G1728" s="15" t="str">
        <f aca="false">IF(OR(B1728="",F1728=""),"",B1728-F1728)</f>
        <v/>
      </c>
      <c r="H1728" s="13"/>
      <c r="I1728" s="13"/>
      <c r="J1728" s="13"/>
      <c r="K1728" s="25"/>
      <c r="L1728" s="25"/>
      <c r="M1728" s="25"/>
      <c r="N1728" s="25"/>
      <c r="O1728" s="26"/>
      <c r="P1728" s="16" t="str">
        <f aca="false">IF(O1728="","",IFERROR(1/(1/(IF(K1728="",INDEX(CONFIG!$F$5:$F$14,MATCH(D1728,CONFIG!$D$5:$D$14,0)),K1728)*IF(M1728="",INDEX(CONFIG!$H$5:$H$14,MATCH(D1728,CONFIG!$D$5:$D$14,0)),M1728))),""))</f>
        <v/>
      </c>
      <c r="Q1728" s="16" t="str">
        <f aca="false">IF(OR(O1728="",P1728=""),"",O1728/P1728)</f>
        <v/>
      </c>
      <c r="R1728" s="16" t="str">
        <f aca="false">IF(Q1728="","",Q1728*0.0980665)</f>
        <v/>
      </c>
      <c r="S1728" s="16" t="str">
        <f aca="false">IF(Q1728="","",IFERROR(Q1728/(1/(1/INDEX(CONFIG!$I$5:$I$14,MATCH(D1728,CONFIG!$D$5:$D$14,0)))),""))</f>
        <v/>
      </c>
      <c r="T1728" s="13"/>
      <c r="U1728" s="13"/>
      <c r="V1728" s="13"/>
      <c r="W1728" s="13"/>
      <c r="X1728" s="22" t="str">
        <f aca="false">IF(Q1728="","",Q1728^2)</f>
        <v/>
      </c>
      <c r="Y1728" s="22" t="str">
        <f aca="false">IF(AND(C1728&lt;&gt;"",C1728=CERTIFICADO!$E$4,OR(CERTIFICADO!$E$5="",B1728=CERTIFICADO!$E$5)),MAX($Y$4:Y1727)+1,"")</f>
        <v/>
      </c>
    </row>
    <row r="1729" customFormat="false" ht="15" hidden="false" customHeight="false" outlineLevel="0" collapsed="false">
      <c r="A1729" s="11" t="str">
        <f aca="false">IF(C1729="","",ROW()-4)</f>
        <v/>
      </c>
      <c r="B1729" s="12"/>
      <c r="C1729" s="13"/>
      <c r="D1729" s="23" t="str">
        <f aca="false">IF(C1729="","",IFERROR(INDEX(LOTES!$D$5:$D$1004,MATCH(C1729,LOTES!$F$5:$F$1004,0)),"¿Lote?"))</f>
        <v/>
      </c>
      <c r="E1729" s="11" t="str">
        <f aca="false">IF(C1729="","",IFERROR(INDEX(LOTES!$C$5:$C$1004,MATCH(C1729,LOTES!$F$5:$F$1004,0)),""))</f>
        <v/>
      </c>
      <c r="F1729" s="24" t="str">
        <f aca="false">IF(C1729="","",IFERROR(INDEX(LOTES!$B$5:$B$1004,MATCH(C1729,LOTES!$F$5:$F$1004,0)),""))</f>
        <v/>
      </c>
      <c r="G1729" s="15" t="str">
        <f aca="false">IF(OR(B1729="",F1729=""),"",B1729-F1729)</f>
        <v/>
      </c>
      <c r="H1729" s="13"/>
      <c r="I1729" s="13"/>
      <c r="J1729" s="13"/>
      <c r="K1729" s="25"/>
      <c r="L1729" s="25"/>
      <c r="M1729" s="25"/>
      <c r="N1729" s="25"/>
      <c r="O1729" s="26"/>
      <c r="P1729" s="16" t="str">
        <f aca="false">IF(O1729="","",IFERROR(1/(1/(IF(K1729="",INDEX(CONFIG!$F$5:$F$14,MATCH(D1729,CONFIG!$D$5:$D$14,0)),K1729)*IF(M1729="",INDEX(CONFIG!$H$5:$H$14,MATCH(D1729,CONFIG!$D$5:$D$14,0)),M1729))),""))</f>
        <v/>
      </c>
      <c r="Q1729" s="16" t="str">
        <f aca="false">IF(OR(O1729="",P1729=""),"",O1729/P1729)</f>
        <v/>
      </c>
      <c r="R1729" s="16" t="str">
        <f aca="false">IF(Q1729="","",Q1729*0.0980665)</f>
        <v/>
      </c>
      <c r="S1729" s="16" t="str">
        <f aca="false">IF(Q1729="","",IFERROR(Q1729/(1/(1/INDEX(CONFIG!$I$5:$I$14,MATCH(D1729,CONFIG!$D$5:$D$14,0)))),""))</f>
        <v/>
      </c>
      <c r="T1729" s="13"/>
      <c r="U1729" s="13"/>
      <c r="V1729" s="13"/>
      <c r="W1729" s="13"/>
      <c r="X1729" s="22" t="str">
        <f aca="false">IF(Q1729="","",Q1729^2)</f>
        <v/>
      </c>
      <c r="Y1729" s="22" t="str">
        <f aca="false">IF(AND(C1729&lt;&gt;"",C1729=CERTIFICADO!$E$4,OR(CERTIFICADO!$E$5="",B1729=CERTIFICADO!$E$5)),MAX($Y$4:Y1728)+1,"")</f>
        <v/>
      </c>
    </row>
    <row r="1730" customFormat="false" ht="15" hidden="false" customHeight="false" outlineLevel="0" collapsed="false">
      <c r="A1730" s="11" t="str">
        <f aca="false">IF(C1730="","",ROW()-4)</f>
        <v/>
      </c>
      <c r="B1730" s="12"/>
      <c r="C1730" s="13"/>
      <c r="D1730" s="23" t="str">
        <f aca="false">IF(C1730="","",IFERROR(INDEX(LOTES!$D$5:$D$1004,MATCH(C1730,LOTES!$F$5:$F$1004,0)),"¿Lote?"))</f>
        <v/>
      </c>
      <c r="E1730" s="11" t="str">
        <f aca="false">IF(C1730="","",IFERROR(INDEX(LOTES!$C$5:$C$1004,MATCH(C1730,LOTES!$F$5:$F$1004,0)),""))</f>
        <v/>
      </c>
      <c r="F1730" s="24" t="str">
        <f aca="false">IF(C1730="","",IFERROR(INDEX(LOTES!$B$5:$B$1004,MATCH(C1730,LOTES!$F$5:$F$1004,0)),""))</f>
        <v/>
      </c>
      <c r="G1730" s="15" t="str">
        <f aca="false">IF(OR(B1730="",F1730=""),"",B1730-F1730)</f>
        <v/>
      </c>
      <c r="H1730" s="13"/>
      <c r="I1730" s="13"/>
      <c r="J1730" s="13"/>
      <c r="K1730" s="25"/>
      <c r="L1730" s="25"/>
      <c r="M1730" s="25"/>
      <c r="N1730" s="25"/>
      <c r="O1730" s="26"/>
      <c r="P1730" s="16" t="str">
        <f aca="false">IF(O1730="","",IFERROR(1/(1/(IF(K1730="",INDEX(CONFIG!$F$5:$F$14,MATCH(D1730,CONFIG!$D$5:$D$14,0)),K1730)*IF(M1730="",INDEX(CONFIG!$H$5:$H$14,MATCH(D1730,CONFIG!$D$5:$D$14,0)),M1730))),""))</f>
        <v/>
      </c>
      <c r="Q1730" s="16" t="str">
        <f aca="false">IF(OR(O1730="",P1730=""),"",O1730/P1730)</f>
        <v/>
      </c>
      <c r="R1730" s="16" t="str">
        <f aca="false">IF(Q1730="","",Q1730*0.0980665)</f>
        <v/>
      </c>
      <c r="S1730" s="16" t="str">
        <f aca="false">IF(Q1730="","",IFERROR(Q1730/(1/(1/INDEX(CONFIG!$I$5:$I$14,MATCH(D1730,CONFIG!$D$5:$D$14,0)))),""))</f>
        <v/>
      </c>
      <c r="T1730" s="13"/>
      <c r="U1730" s="13"/>
      <c r="V1730" s="13"/>
      <c r="W1730" s="13"/>
      <c r="X1730" s="22" t="str">
        <f aca="false">IF(Q1730="","",Q1730^2)</f>
        <v/>
      </c>
      <c r="Y1730" s="22" t="str">
        <f aca="false">IF(AND(C1730&lt;&gt;"",C1730=CERTIFICADO!$E$4,OR(CERTIFICADO!$E$5="",B1730=CERTIFICADO!$E$5)),MAX($Y$4:Y1729)+1,"")</f>
        <v/>
      </c>
    </row>
    <row r="1731" customFormat="false" ht="15" hidden="false" customHeight="false" outlineLevel="0" collapsed="false">
      <c r="A1731" s="11" t="str">
        <f aca="false">IF(C1731="","",ROW()-4)</f>
        <v/>
      </c>
      <c r="B1731" s="12"/>
      <c r="C1731" s="13"/>
      <c r="D1731" s="23" t="str">
        <f aca="false">IF(C1731="","",IFERROR(INDEX(LOTES!$D$5:$D$1004,MATCH(C1731,LOTES!$F$5:$F$1004,0)),"¿Lote?"))</f>
        <v/>
      </c>
      <c r="E1731" s="11" t="str">
        <f aca="false">IF(C1731="","",IFERROR(INDEX(LOTES!$C$5:$C$1004,MATCH(C1731,LOTES!$F$5:$F$1004,0)),""))</f>
        <v/>
      </c>
      <c r="F1731" s="24" t="str">
        <f aca="false">IF(C1731="","",IFERROR(INDEX(LOTES!$B$5:$B$1004,MATCH(C1731,LOTES!$F$5:$F$1004,0)),""))</f>
        <v/>
      </c>
      <c r="G1731" s="15" t="str">
        <f aca="false">IF(OR(B1731="",F1731=""),"",B1731-F1731)</f>
        <v/>
      </c>
      <c r="H1731" s="13"/>
      <c r="I1731" s="13"/>
      <c r="J1731" s="13"/>
      <c r="K1731" s="25"/>
      <c r="L1731" s="25"/>
      <c r="M1731" s="25"/>
      <c r="N1731" s="25"/>
      <c r="O1731" s="26"/>
      <c r="P1731" s="16" t="str">
        <f aca="false">IF(O1731="","",IFERROR(1/(1/(IF(K1731="",INDEX(CONFIG!$F$5:$F$14,MATCH(D1731,CONFIG!$D$5:$D$14,0)),K1731)*IF(M1731="",INDEX(CONFIG!$H$5:$H$14,MATCH(D1731,CONFIG!$D$5:$D$14,0)),M1731))),""))</f>
        <v/>
      </c>
      <c r="Q1731" s="16" t="str">
        <f aca="false">IF(OR(O1731="",P1731=""),"",O1731/P1731)</f>
        <v/>
      </c>
      <c r="R1731" s="16" t="str">
        <f aca="false">IF(Q1731="","",Q1731*0.0980665)</f>
        <v/>
      </c>
      <c r="S1731" s="16" t="str">
        <f aca="false">IF(Q1731="","",IFERROR(Q1731/(1/(1/INDEX(CONFIG!$I$5:$I$14,MATCH(D1731,CONFIG!$D$5:$D$14,0)))),""))</f>
        <v/>
      </c>
      <c r="T1731" s="13"/>
      <c r="U1731" s="13"/>
      <c r="V1731" s="13"/>
      <c r="W1731" s="13"/>
      <c r="X1731" s="22" t="str">
        <f aca="false">IF(Q1731="","",Q1731^2)</f>
        <v/>
      </c>
      <c r="Y1731" s="22" t="str">
        <f aca="false">IF(AND(C1731&lt;&gt;"",C1731=CERTIFICADO!$E$4,OR(CERTIFICADO!$E$5="",B1731=CERTIFICADO!$E$5)),MAX($Y$4:Y1730)+1,"")</f>
        <v/>
      </c>
    </row>
    <row r="1732" customFormat="false" ht="15" hidden="false" customHeight="false" outlineLevel="0" collapsed="false">
      <c r="A1732" s="11" t="str">
        <f aca="false">IF(C1732="","",ROW()-4)</f>
        <v/>
      </c>
      <c r="B1732" s="12"/>
      <c r="C1732" s="13"/>
      <c r="D1732" s="23" t="str">
        <f aca="false">IF(C1732="","",IFERROR(INDEX(LOTES!$D$5:$D$1004,MATCH(C1732,LOTES!$F$5:$F$1004,0)),"¿Lote?"))</f>
        <v/>
      </c>
      <c r="E1732" s="11" t="str">
        <f aca="false">IF(C1732="","",IFERROR(INDEX(LOTES!$C$5:$C$1004,MATCH(C1732,LOTES!$F$5:$F$1004,0)),""))</f>
        <v/>
      </c>
      <c r="F1732" s="24" t="str">
        <f aca="false">IF(C1732="","",IFERROR(INDEX(LOTES!$B$5:$B$1004,MATCH(C1732,LOTES!$F$5:$F$1004,0)),""))</f>
        <v/>
      </c>
      <c r="G1732" s="15" t="str">
        <f aca="false">IF(OR(B1732="",F1732=""),"",B1732-F1732)</f>
        <v/>
      </c>
      <c r="H1732" s="13"/>
      <c r="I1732" s="13"/>
      <c r="J1732" s="13"/>
      <c r="K1732" s="25"/>
      <c r="L1732" s="25"/>
      <c r="M1732" s="25"/>
      <c r="N1732" s="25"/>
      <c r="O1732" s="26"/>
      <c r="P1732" s="16" t="str">
        <f aca="false">IF(O1732="","",IFERROR(1/(1/(IF(K1732="",INDEX(CONFIG!$F$5:$F$14,MATCH(D1732,CONFIG!$D$5:$D$14,0)),K1732)*IF(M1732="",INDEX(CONFIG!$H$5:$H$14,MATCH(D1732,CONFIG!$D$5:$D$14,0)),M1732))),""))</f>
        <v/>
      </c>
      <c r="Q1732" s="16" t="str">
        <f aca="false">IF(OR(O1732="",P1732=""),"",O1732/P1732)</f>
        <v/>
      </c>
      <c r="R1732" s="16" t="str">
        <f aca="false">IF(Q1732="","",Q1732*0.0980665)</f>
        <v/>
      </c>
      <c r="S1732" s="16" t="str">
        <f aca="false">IF(Q1732="","",IFERROR(Q1732/(1/(1/INDEX(CONFIG!$I$5:$I$14,MATCH(D1732,CONFIG!$D$5:$D$14,0)))),""))</f>
        <v/>
      </c>
      <c r="T1732" s="13"/>
      <c r="U1732" s="13"/>
      <c r="V1732" s="13"/>
      <c r="W1732" s="13"/>
      <c r="X1732" s="22" t="str">
        <f aca="false">IF(Q1732="","",Q1732^2)</f>
        <v/>
      </c>
      <c r="Y1732" s="22" t="str">
        <f aca="false">IF(AND(C1732&lt;&gt;"",C1732=CERTIFICADO!$E$4,OR(CERTIFICADO!$E$5="",B1732=CERTIFICADO!$E$5)),MAX($Y$4:Y1731)+1,"")</f>
        <v/>
      </c>
    </row>
    <row r="1733" customFormat="false" ht="15" hidden="false" customHeight="false" outlineLevel="0" collapsed="false">
      <c r="A1733" s="11" t="str">
        <f aca="false">IF(C1733="","",ROW()-4)</f>
        <v/>
      </c>
      <c r="B1733" s="12"/>
      <c r="C1733" s="13"/>
      <c r="D1733" s="23" t="str">
        <f aca="false">IF(C1733="","",IFERROR(INDEX(LOTES!$D$5:$D$1004,MATCH(C1733,LOTES!$F$5:$F$1004,0)),"¿Lote?"))</f>
        <v/>
      </c>
      <c r="E1733" s="11" t="str">
        <f aca="false">IF(C1733="","",IFERROR(INDEX(LOTES!$C$5:$C$1004,MATCH(C1733,LOTES!$F$5:$F$1004,0)),""))</f>
        <v/>
      </c>
      <c r="F1733" s="24" t="str">
        <f aca="false">IF(C1733="","",IFERROR(INDEX(LOTES!$B$5:$B$1004,MATCH(C1733,LOTES!$F$5:$F$1004,0)),""))</f>
        <v/>
      </c>
      <c r="G1733" s="15" t="str">
        <f aca="false">IF(OR(B1733="",F1733=""),"",B1733-F1733)</f>
        <v/>
      </c>
      <c r="H1733" s="13"/>
      <c r="I1733" s="13"/>
      <c r="J1733" s="13"/>
      <c r="K1733" s="25"/>
      <c r="L1733" s="25"/>
      <c r="M1733" s="25"/>
      <c r="N1733" s="25"/>
      <c r="O1733" s="26"/>
      <c r="P1733" s="16" t="str">
        <f aca="false">IF(O1733="","",IFERROR(1/(1/(IF(K1733="",INDEX(CONFIG!$F$5:$F$14,MATCH(D1733,CONFIG!$D$5:$D$14,0)),K1733)*IF(M1733="",INDEX(CONFIG!$H$5:$H$14,MATCH(D1733,CONFIG!$D$5:$D$14,0)),M1733))),""))</f>
        <v/>
      </c>
      <c r="Q1733" s="16" t="str">
        <f aca="false">IF(OR(O1733="",P1733=""),"",O1733/P1733)</f>
        <v/>
      </c>
      <c r="R1733" s="16" t="str">
        <f aca="false">IF(Q1733="","",Q1733*0.0980665)</f>
        <v/>
      </c>
      <c r="S1733" s="16" t="str">
        <f aca="false">IF(Q1733="","",IFERROR(Q1733/(1/(1/INDEX(CONFIG!$I$5:$I$14,MATCH(D1733,CONFIG!$D$5:$D$14,0)))),""))</f>
        <v/>
      </c>
      <c r="T1733" s="13"/>
      <c r="U1733" s="13"/>
      <c r="V1733" s="13"/>
      <c r="W1733" s="13"/>
      <c r="X1733" s="22" t="str">
        <f aca="false">IF(Q1733="","",Q1733^2)</f>
        <v/>
      </c>
      <c r="Y1733" s="22" t="str">
        <f aca="false">IF(AND(C1733&lt;&gt;"",C1733=CERTIFICADO!$E$4,OR(CERTIFICADO!$E$5="",B1733=CERTIFICADO!$E$5)),MAX($Y$4:Y1732)+1,"")</f>
        <v/>
      </c>
    </row>
    <row r="1734" customFormat="false" ht="15" hidden="false" customHeight="false" outlineLevel="0" collapsed="false">
      <c r="A1734" s="11" t="str">
        <f aca="false">IF(C1734="","",ROW()-4)</f>
        <v/>
      </c>
      <c r="B1734" s="12"/>
      <c r="C1734" s="13"/>
      <c r="D1734" s="23" t="str">
        <f aca="false">IF(C1734="","",IFERROR(INDEX(LOTES!$D$5:$D$1004,MATCH(C1734,LOTES!$F$5:$F$1004,0)),"¿Lote?"))</f>
        <v/>
      </c>
      <c r="E1734" s="11" t="str">
        <f aca="false">IF(C1734="","",IFERROR(INDEX(LOTES!$C$5:$C$1004,MATCH(C1734,LOTES!$F$5:$F$1004,0)),""))</f>
        <v/>
      </c>
      <c r="F1734" s="24" t="str">
        <f aca="false">IF(C1734="","",IFERROR(INDEX(LOTES!$B$5:$B$1004,MATCH(C1734,LOTES!$F$5:$F$1004,0)),""))</f>
        <v/>
      </c>
      <c r="G1734" s="15" t="str">
        <f aca="false">IF(OR(B1734="",F1734=""),"",B1734-F1734)</f>
        <v/>
      </c>
      <c r="H1734" s="13"/>
      <c r="I1734" s="13"/>
      <c r="J1734" s="13"/>
      <c r="K1734" s="25"/>
      <c r="L1734" s="25"/>
      <c r="M1734" s="25"/>
      <c r="N1734" s="25"/>
      <c r="O1734" s="26"/>
      <c r="P1734" s="16" t="str">
        <f aca="false">IF(O1734="","",IFERROR(1/(1/(IF(K1734="",INDEX(CONFIG!$F$5:$F$14,MATCH(D1734,CONFIG!$D$5:$D$14,0)),K1734)*IF(M1734="",INDEX(CONFIG!$H$5:$H$14,MATCH(D1734,CONFIG!$D$5:$D$14,0)),M1734))),""))</f>
        <v/>
      </c>
      <c r="Q1734" s="16" t="str">
        <f aca="false">IF(OR(O1734="",P1734=""),"",O1734/P1734)</f>
        <v/>
      </c>
      <c r="R1734" s="16" t="str">
        <f aca="false">IF(Q1734="","",Q1734*0.0980665)</f>
        <v/>
      </c>
      <c r="S1734" s="16" t="str">
        <f aca="false">IF(Q1734="","",IFERROR(Q1734/(1/(1/INDEX(CONFIG!$I$5:$I$14,MATCH(D1734,CONFIG!$D$5:$D$14,0)))),""))</f>
        <v/>
      </c>
      <c r="T1734" s="13"/>
      <c r="U1734" s="13"/>
      <c r="V1734" s="13"/>
      <c r="W1734" s="13"/>
      <c r="X1734" s="22" t="str">
        <f aca="false">IF(Q1734="","",Q1734^2)</f>
        <v/>
      </c>
      <c r="Y1734" s="22" t="str">
        <f aca="false">IF(AND(C1734&lt;&gt;"",C1734=CERTIFICADO!$E$4,OR(CERTIFICADO!$E$5="",B1734=CERTIFICADO!$E$5)),MAX($Y$4:Y1733)+1,"")</f>
        <v/>
      </c>
    </row>
    <row r="1735" customFormat="false" ht="15" hidden="false" customHeight="false" outlineLevel="0" collapsed="false">
      <c r="A1735" s="11" t="str">
        <f aca="false">IF(C1735="","",ROW()-4)</f>
        <v/>
      </c>
      <c r="B1735" s="12"/>
      <c r="C1735" s="13"/>
      <c r="D1735" s="23" t="str">
        <f aca="false">IF(C1735="","",IFERROR(INDEX(LOTES!$D$5:$D$1004,MATCH(C1735,LOTES!$F$5:$F$1004,0)),"¿Lote?"))</f>
        <v/>
      </c>
      <c r="E1735" s="11" t="str">
        <f aca="false">IF(C1735="","",IFERROR(INDEX(LOTES!$C$5:$C$1004,MATCH(C1735,LOTES!$F$5:$F$1004,0)),""))</f>
        <v/>
      </c>
      <c r="F1735" s="24" t="str">
        <f aca="false">IF(C1735="","",IFERROR(INDEX(LOTES!$B$5:$B$1004,MATCH(C1735,LOTES!$F$5:$F$1004,0)),""))</f>
        <v/>
      </c>
      <c r="G1735" s="15" t="str">
        <f aca="false">IF(OR(B1735="",F1735=""),"",B1735-F1735)</f>
        <v/>
      </c>
      <c r="H1735" s="13"/>
      <c r="I1735" s="13"/>
      <c r="J1735" s="13"/>
      <c r="K1735" s="25"/>
      <c r="L1735" s="25"/>
      <c r="M1735" s="25"/>
      <c r="N1735" s="25"/>
      <c r="O1735" s="26"/>
      <c r="P1735" s="16" t="str">
        <f aca="false">IF(O1735="","",IFERROR(1/(1/(IF(K1735="",INDEX(CONFIG!$F$5:$F$14,MATCH(D1735,CONFIG!$D$5:$D$14,0)),K1735)*IF(M1735="",INDEX(CONFIG!$H$5:$H$14,MATCH(D1735,CONFIG!$D$5:$D$14,0)),M1735))),""))</f>
        <v/>
      </c>
      <c r="Q1735" s="16" t="str">
        <f aca="false">IF(OR(O1735="",P1735=""),"",O1735/P1735)</f>
        <v/>
      </c>
      <c r="R1735" s="16" t="str">
        <f aca="false">IF(Q1735="","",Q1735*0.0980665)</f>
        <v/>
      </c>
      <c r="S1735" s="16" t="str">
        <f aca="false">IF(Q1735="","",IFERROR(Q1735/(1/(1/INDEX(CONFIG!$I$5:$I$14,MATCH(D1735,CONFIG!$D$5:$D$14,0)))),""))</f>
        <v/>
      </c>
      <c r="T1735" s="13"/>
      <c r="U1735" s="13"/>
      <c r="V1735" s="13"/>
      <c r="W1735" s="13"/>
      <c r="X1735" s="22" t="str">
        <f aca="false">IF(Q1735="","",Q1735^2)</f>
        <v/>
      </c>
      <c r="Y1735" s="22" t="str">
        <f aca="false">IF(AND(C1735&lt;&gt;"",C1735=CERTIFICADO!$E$4,OR(CERTIFICADO!$E$5="",B1735=CERTIFICADO!$E$5)),MAX($Y$4:Y1734)+1,"")</f>
        <v/>
      </c>
    </row>
    <row r="1736" customFormat="false" ht="15" hidden="false" customHeight="false" outlineLevel="0" collapsed="false">
      <c r="A1736" s="11" t="str">
        <f aca="false">IF(C1736="","",ROW()-4)</f>
        <v/>
      </c>
      <c r="B1736" s="12"/>
      <c r="C1736" s="13"/>
      <c r="D1736" s="23" t="str">
        <f aca="false">IF(C1736="","",IFERROR(INDEX(LOTES!$D$5:$D$1004,MATCH(C1736,LOTES!$F$5:$F$1004,0)),"¿Lote?"))</f>
        <v/>
      </c>
      <c r="E1736" s="11" t="str">
        <f aca="false">IF(C1736="","",IFERROR(INDEX(LOTES!$C$5:$C$1004,MATCH(C1736,LOTES!$F$5:$F$1004,0)),""))</f>
        <v/>
      </c>
      <c r="F1736" s="24" t="str">
        <f aca="false">IF(C1736="","",IFERROR(INDEX(LOTES!$B$5:$B$1004,MATCH(C1736,LOTES!$F$5:$F$1004,0)),""))</f>
        <v/>
      </c>
      <c r="G1736" s="15" t="str">
        <f aca="false">IF(OR(B1736="",F1736=""),"",B1736-F1736)</f>
        <v/>
      </c>
      <c r="H1736" s="13"/>
      <c r="I1736" s="13"/>
      <c r="J1736" s="13"/>
      <c r="K1736" s="25"/>
      <c r="L1736" s="25"/>
      <c r="M1736" s="25"/>
      <c r="N1736" s="25"/>
      <c r="O1736" s="26"/>
      <c r="P1736" s="16" t="str">
        <f aca="false">IF(O1736="","",IFERROR(1/(1/(IF(K1736="",INDEX(CONFIG!$F$5:$F$14,MATCH(D1736,CONFIG!$D$5:$D$14,0)),K1736)*IF(M1736="",INDEX(CONFIG!$H$5:$H$14,MATCH(D1736,CONFIG!$D$5:$D$14,0)),M1736))),""))</f>
        <v/>
      </c>
      <c r="Q1736" s="16" t="str">
        <f aca="false">IF(OR(O1736="",P1736=""),"",O1736/P1736)</f>
        <v/>
      </c>
      <c r="R1736" s="16" t="str">
        <f aca="false">IF(Q1736="","",Q1736*0.0980665)</f>
        <v/>
      </c>
      <c r="S1736" s="16" t="str">
        <f aca="false">IF(Q1736="","",IFERROR(Q1736/(1/(1/INDEX(CONFIG!$I$5:$I$14,MATCH(D1736,CONFIG!$D$5:$D$14,0)))),""))</f>
        <v/>
      </c>
      <c r="T1736" s="13"/>
      <c r="U1736" s="13"/>
      <c r="V1736" s="13"/>
      <c r="W1736" s="13"/>
      <c r="X1736" s="22" t="str">
        <f aca="false">IF(Q1736="","",Q1736^2)</f>
        <v/>
      </c>
      <c r="Y1736" s="22" t="str">
        <f aca="false">IF(AND(C1736&lt;&gt;"",C1736=CERTIFICADO!$E$4,OR(CERTIFICADO!$E$5="",B1736=CERTIFICADO!$E$5)),MAX($Y$4:Y1735)+1,"")</f>
        <v/>
      </c>
    </row>
    <row r="1737" customFormat="false" ht="15" hidden="false" customHeight="false" outlineLevel="0" collapsed="false">
      <c r="A1737" s="11" t="str">
        <f aca="false">IF(C1737="","",ROW()-4)</f>
        <v/>
      </c>
      <c r="B1737" s="12"/>
      <c r="C1737" s="13"/>
      <c r="D1737" s="23" t="str">
        <f aca="false">IF(C1737="","",IFERROR(INDEX(LOTES!$D$5:$D$1004,MATCH(C1737,LOTES!$F$5:$F$1004,0)),"¿Lote?"))</f>
        <v/>
      </c>
      <c r="E1737" s="11" t="str">
        <f aca="false">IF(C1737="","",IFERROR(INDEX(LOTES!$C$5:$C$1004,MATCH(C1737,LOTES!$F$5:$F$1004,0)),""))</f>
        <v/>
      </c>
      <c r="F1737" s="24" t="str">
        <f aca="false">IF(C1737="","",IFERROR(INDEX(LOTES!$B$5:$B$1004,MATCH(C1737,LOTES!$F$5:$F$1004,0)),""))</f>
        <v/>
      </c>
      <c r="G1737" s="15" t="str">
        <f aca="false">IF(OR(B1737="",F1737=""),"",B1737-F1737)</f>
        <v/>
      </c>
      <c r="H1737" s="13"/>
      <c r="I1737" s="13"/>
      <c r="J1737" s="13"/>
      <c r="K1737" s="25"/>
      <c r="L1737" s="25"/>
      <c r="M1737" s="25"/>
      <c r="N1737" s="25"/>
      <c r="O1737" s="26"/>
      <c r="P1737" s="16" t="str">
        <f aca="false">IF(O1737="","",IFERROR(1/(1/(IF(K1737="",INDEX(CONFIG!$F$5:$F$14,MATCH(D1737,CONFIG!$D$5:$D$14,0)),K1737)*IF(M1737="",INDEX(CONFIG!$H$5:$H$14,MATCH(D1737,CONFIG!$D$5:$D$14,0)),M1737))),""))</f>
        <v/>
      </c>
      <c r="Q1737" s="16" t="str">
        <f aca="false">IF(OR(O1737="",P1737=""),"",O1737/P1737)</f>
        <v/>
      </c>
      <c r="R1737" s="16" t="str">
        <f aca="false">IF(Q1737="","",Q1737*0.0980665)</f>
        <v/>
      </c>
      <c r="S1737" s="16" t="str">
        <f aca="false">IF(Q1737="","",IFERROR(Q1737/(1/(1/INDEX(CONFIG!$I$5:$I$14,MATCH(D1737,CONFIG!$D$5:$D$14,0)))),""))</f>
        <v/>
      </c>
      <c r="T1737" s="13"/>
      <c r="U1737" s="13"/>
      <c r="V1737" s="13"/>
      <c r="W1737" s="13"/>
      <c r="X1737" s="22" t="str">
        <f aca="false">IF(Q1737="","",Q1737^2)</f>
        <v/>
      </c>
      <c r="Y1737" s="22" t="str">
        <f aca="false">IF(AND(C1737&lt;&gt;"",C1737=CERTIFICADO!$E$4,OR(CERTIFICADO!$E$5="",B1737=CERTIFICADO!$E$5)),MAX($Y$4:Y1736)+1,"")</f>
        <v/>
      </c>
    </row>
    <row r="1738" customFormat="false" ht="15" hidden="false" customHeight="false" outlineLevel="0" collapsed="false">
      <c r="A1738" s="11" t="str">
        <f aca="false">IF(C1738="","",ROW()-4)</f>
        <v/>
      </c>
      <c r="B1738" s="12"/>
      <c r="C1738" s="13"/>
      <c r="D1738" s="23" t="str">
        <f aca="false">IF(C1738="","",IFERROR(INDEX(LOTES!$D$5:$D$1004,MATCH(C1738,LOTES!$F$5:$F$1004,0)),"¿Lote?"))</f>
        <v/>
      </c>
      <c r="E1738" s="11" t="str">
        <f aca="false">IF(C1738="","",IFERROR(INDEX(LOTES!$C$5:$C$1004,MATCH(C1738,LOTES!$F$5:$F$1004,0)),""))</f>
        <v/>
      </c>
      <c r="F1738" s="24" t="str">
        <f aca="false">IF(C1738="","",IFERROR(INDEX(LOTES!$B$5:$B$1004,MATCH(C1738,LOTES!$F$5:$F$1004,0)),""))</f>
        <v/>
      </c>
      <c r="G1738" s="15" t="str">
        <f aca="false">IF(OR(B1738="",F1738=""),"",B1738-F1738)</f>
        <v/>
      </c>
      <c r="H1738" s="13"/>
      <c r="I1738" s="13"/>
      <c r="J1738" s="13"/>
      <c r="K1738" s="25"/>
      <c r="L1738" s="25"/>
      <c r="M1738" s="25"/>
      <c r="N1738" s="25"/>
      <c r="O1738" s="26"/>
      <c r="P1738" s="16" t="str">
        <f aca="false">IF(O1738="","",IFERROR(1/(1/(IF(K1738="",INDEX(CONFIG!$F$5:$F$14,MATCH(D1738,CONFIG!$D$5:$D$14,0)),K1738)*IF(M1738="",INDEX(CONFIG!$H$5:$H$14,MATCH(D1738,CONFIG!$D$5:$D$14,0)),M1738))),""))</f>
        <v/>
      </c>
      <c r="Q1738" s="16" t="str">
        <f aca="false">IF(OR(O1738="",P1738=""),"",O1738/P1738)</f>
        <v/>
      </c>
      <c r="R1738" s="16" t="str">
        <f aca="false">IF(Q1738="","",Q1738*0.0980665)</f>
        <v/>
      </c>
      <c r="S1738" s="16" t="str">
        <f aca="false">IF(Q1738="","",IFERROR(Q1738/(1/(1/INDEX(CONFIG!$I$5:$I$14,MATCH(D1738,CONFIG!$D$5:$D$14,0)))),""))</f>
        <v/>
      </c>
      <c r="T1738" s="13"/>
      <c r="U1738" s="13"/>
      <c r="V1738" s="13"/>
      <c r="W1738" s="13"/>
      <c r="X1738" s="22" t="str">
        <f aca="false">IF(Q1738="","",Q1738^2)</f>
        <v/>
      </c>
      <c r="Y1738" s="22" t="str">
        <f aca="false">IF(AND(C1738&lt;&gt;"",C1738=CERTIFICADO!$E$4,OR(CERTIFICADO!$E$5="",B1738=CERTIFICADO!$E$5)),MAX($Y$4:Y1737)+1,"")</f>
        <v/>
      </c>
    </row>
    <row r="1739" customFormat="false" ht="15" hidden="false" customHeight="false" outlineLevel="0" collapsed="false">
      <c r="A1739" s="11" t="str">
        <f aca="false">IF(C1739="","",ROW()-4)</f>
        <v/>
      </c>
      <c r="B1739" s="12"/>
      <c r="C1739" s="13"/>
      <c r="D1739" s="23" t="str">
        <f aca="false">IF(C1739="","",IFERROR(INDEX(LOTES!$D$5:$D$1004,MATCH(C1739,LOTES!$F$5:$F$1004,0)),"¿Lote?"))</f>
        <v/>
      </c>
      <c r="E1739" s="11" t="str">
        <f aca="false">IF(C1739="","",IFERROR(INDEX(LOTES!$C$5:$C$1004,MATCH(C1739,LOTES!$F$5:$F$1004,0)),""))</f>
        <v/>
      </c>
      <c r="F1739" s="24" t="str">
        <f aca="false">IF(C1739="","",IFERROR(INDEX(LOTES!$B$5:$B$1004,MATCH(C1739,LOTES!$F$5:$F$1004,0)),""))</f>
        <v/>
      </c>
      <c r="G1739" s="15" t="str">
        <f aca="false">IF(OR(B1739="",F1739=""),"",B1739-F1739)</f>
        <v/>
      </c>
      <c r="H1739" s="13"/>
      <c r="I1739" s="13"/>
      <c r="J1739" s="13"/>
      <c r="K1739" s="25"/>
      <c r="L1739" s="25"/>
      <c r="M1739" s="25"/>
      <c r="N1739" s="25"/>
      <c r="O1739" s="26"/>
      <c r="P1739" s="16" t="str">
        <f aca="false">IF(O1739="","",IFERROR(1/(1/(IF(K1739="",INDEX(CONFIG!$F$5:$F$14,MATCH(D1739,CONFIG!$D$5:$D$14,0)),K1739)*IF(M1739="",INDEX(CONFIG!$H$5:$H$14,MATCH(D1739,CONFIG!$D$5:$D$14,0)),M1739))),""))</f>
        <v/>
      </c>
      <c r="Q1739" s="16" t="str">
        <f aca="false">IF(OR(O1739="",P1739=""),"",O1739/P1739)</f>
        <v/>
      </c>
      <c r="R1739" s="16" t="str">
        <f aca="false">IF(Q1739="","",Q1739*0.0980665)</f>
        <v/>
      </c>
      <c r="S1739" s="16" t="str">
        <f aca="false">IF(Q1739="","",IFERROR(Q1739/(1/(1/INDEX(CONFIG!$I$5:$I$14,MATCH(D1739,CONFIG!$D$5:$D$14,0)))),""))</f>
        <v/>
      </c>
      <c r="T1739" s="13"/>
      <c r="U1739" s="13"/>
      <c r="V1739" s="13"/>
      <c r="W1739" s="13"/>
      <c r="X1739" s="22" t="str">
        <f aca="false">IF(Q1739="","",Q1739^2)</f>
        <v/>
      </c>
      <c r="Y1739" s="22" t="str">
        <f aca="false">IF(AND(C1739&lt;&gt;"",C1739=CERTIFICADO!$E$4,OR(CERTIFICADO!$E$5="",B1739=CERTIFICADO!$E$5)),MAX($Y$4:Y1738)+1,"")</f>
        <v/>
      </c>
    </row>
    <row r="1740" customFormat="false" ht="15" hidden="false" customHeight="false" outlineLevel="0" collapsed="false">
      <c r="A1740" s="11" t="str">
        <f aca="false">IF(C1740="","",ROW()-4)</f>
        <v/>
      </c>
      <c r="B1740" s="12"/>
      <c r="C1740" s="13"/>
      <c r="D1740" s="23" t="str">
        <f aca="false">IF(C1740="","",IFERROR(INDEX(LOTES!$D$5:$D$1004,MATCH(C1740,LOTES!$F$5:$F$1004,0)),"¿Lote?"))</f>
        <v/>
      </c>
      <c r="E1740" s="11" t="str">
        <f aca="false">IF(C1740="","",IFERROR(INDEX(LOTES!$C$5:$C$1004,MATCH(C1740,LOTES!$F$5:$F$1004,0)),""))</f>
        <v/>
      </c>
      <c r="F1740" s="24" t="str">
        <f aca="false">IF(C1740="","",IFERROR(INDEX(LOTES!$B$5:$B$1004,MATCH(C1740,LOTES!$F$5:$F$1004,0)),""))</f>
        <v/>
      </c>
      <c r="G1740" s="15" t="str">
        <f aca="false">IF(OR(B1740="",F1740=""),"",B1740-F1740)</f>
        <v/>
      </c>
      <c r="H1740" s="13"/>
      <c r="I1740" s="13"/>
      <c r="J1740" s="13"/>
      <c r="K1740" s="25"/>
      <c r="L1740" s="25"/>
      <c r="M1740" s="25"/>
      <c r="N1740" s="25"/>
      <c r="O1740" s="26"/>
      <c r="P1740" s="16" t="str">
        <f aca="false">IF(O1740="","",IFERROR(1/(1/(IF(K1740="",INDEX(CONFIG!$F$5:$F$14,MATCH(D1740,CONFIG!$D$5:$D$14,0)),K1740)*IF(M1740="",INDEX(CONFIG!$H$5:$H$14,MATCH(D1740,CONFIG!$D$5:$D$14,0)),M1740))),""))</f>
        <v/>
      </c>
      <c r="Q1740" s="16" t="str">
        <f aca="false">IF(OR(O1740="",P1740=""),"",O1740/P1740)</f>
        <v/>
      </c>
      <c r="R1740" s="16" t="str">
        <f aca="false">IF(Q1740="","",Q1740*0.0980665)</f>
        <v/>
      </c>
      <c r="S1740" s="16" t="str">
        <f aca="false">IF(Q1740="","",IFERROR(Q1740/(1/(1/INDEX(CONFIG!$I$5:$I$14,MATCH(D1740,CONFIG!$D$5:$D$14,0)))),""))</f>
        <v/>
      </c>
      <c r="T1740" s="13"/>
      <c r="U1740" s="13"/>
      <c r="V1740" s="13"/>
      <c r="W1740" s="13"/>
      <c r="X1740" s="22" t="str">
        <f aca="false">IF(Q1740="","",Q1740^2)</f>
        <v/>
      </c>
      <c r="Y1740" s="22" t="str">
        <f aca="false">IF(AND(C1740&lt;&gt;"",C1740=CERTIFICADO!$E$4,OR(CERTIFICADO!$E$5="",B1740=CERTIFICADO!$E$5)),MAX($Y$4:Y1739)+1,"")</f>
        <v/>
      </c>
    </row>
    <row r="1741" customFormat="false" ht="15" hidden="false" customHeight="false" outlineLevel="0" collapsed="false">
      <c r="A1741" s="11" t="str">
        <f aca="false">IF(C1741="","",ROW()-4)</f>
        <v/>
      </c>
      <c r="B1741" s="12"/>
      <c r="C1741" s="13"/>
      <c r="D1741" s="23" t="str">
        <f aca="false">IF(C1741="","",IFERROR(INDEX(LOTES!$D$5:$D$1004,MATCH(C1741,LOTES!$F$5:$F$1004,0)),"¿Lote?"))</f>
        <v/>
      </c>
      <c r="E1741" s="11" t="str">
        <f aca="false">IF(C1741="","",IFERROR(INDEX(LOTES!$C$5:$C$1004,MATCH(C1741,LOTES!$F$5:$F$1004,0)),""))</f>
        <v/>
      </c>
      <c r="F1741" s="24" t="str">
        <f aca="false">IF(C1741="","",IFERROR(INDEX(LOTES!$B$5:$B$1004,MATCH(C1741,LOTES!$F$5:$F$1004,0)),""))</f>
        <v/>
      </c>
      <c r="G1741" s="15" t="str">
        <f aca="false">IF(OR(B1741="",F1741=""),"",B1741-F1741)</f>
        <v/>
      </c>
      <c r="H1741" s="13"/>
      <c r="I1741" s="13"/>
      <c r="J1741" s="13"/>
      <c r="K1741" s="25"/>
      <c r="L1741" s="25"/>
      <c r="M1741" s="25"/>
      <c r="N1741" s="25"/>
      <c r="O1741" s="26"/>
      <c r="P1741" s="16" t="str">
        <f aca="false">IF(O1741="","",IFERROR(1/(1/(IF(K1741="",INDEX(CONFIG!$F$5:$F$14,MATCH(D1741,CONFIG!$D$5:$D$14,0)),K1741)*IF(M1741="",INDEX(CONFIG!$H$5:$H$14,MATCH(D1741,CONFIG!$D$5:$D$14,0)),M1741))),""))</f>
        <v/>
      </c>
      <c r="Q1741" s="16" t="str">
        <f aca="false">IF(OR(O1741="",P1741=""),"",O1741/P1741)</f>
        <v/>
      </c>
      <c r="R1741" s="16" t="str">
        <f aca="false">IF(Q1741="","",Q1741*0.0980665)</f>
        <v/>
      </c>
      <c r="S1741" s="16" t="str">
        <f aca="false">IF(Q1741="","",IFERROR(Q1741/(1/(1/INDEX(CONFIG!$I$5:$I$14,MATCH(D1741,CONFIG!$D$5:$D$14,0)))),""))</f>
        <v/>
      </c>
      <c r="T1741" s="13"/>
      <c r="U1741" s="13"/>
      <c r="V1741" s="13"/>
      <c r="W1741" s="13"/>
      <c r="X1741" s="22" t="str">
        <f aca="false">IF(Q1741="","",Q1741^2)</f>
        <v/>
      </c>
      <c r="Y1741" s="22" t="str">
        <f aca="false">IF(AND(C1741&lt;&gt;"",C1741=CERTIFICADO!$E$4,OR(CERTIFICADO!$E$5="",B1741=CERTIFICADO!$E$5)),MAX($Y$4:Y1740)+1,"")</f>
        <v/>
      </c>
    </row>
    <row r="1742" customFormat="false" ht="15" hidden="false" customHeight="false" outlineLevel="0" collapsed="false">
      <c r="A1742" s="11" t="str">
        <f aca="false">IF(C1742="","",ROW()-4)</f>
        <v/>
      </c>
      <c r="B1742" s="12"/>
      <c r="C1742" s="13"/>
      <c r="D1742" s="23" t="str">
        <f aca="false">IF(C1742="","",IFERROR(INDEX(LOTES!$D$5:$D$1004,MATCH(C1742,LOTES!$F$5:$F$1004,0)),"¿Lote?"))</f>
        <v/>
      </c>
      <c r="E1742" s="11" t="str">
        <f aca="false">IF(C1742="","",IFERROR(INDEX(LOTES!$C$5:$C$1004,MATCH(C1742,LOTES!$F$5:$F$1004,0)),""))</f>
        <v/>
      </c>
      <c r="F1742" s="24" t="str">
        <f aca="false">IF(C1742="","",IFERROR(INDEX(LOTES!$B$5:$B$1004,MATCH(C1742,LOTES!$F$5:$F$1004,0)),""))</f>
        <v/>
      </c>
      <c r="G1742" s="15" t="str">
        <f aca="false">IF(OR(B1742="",F1742=""),"",B1742-F1742)</f>
        <v/>
      </c>
      <c r="H1742" s="13"/>
      <c r="I1742" s="13"/>
      <c r="J1742" s="13"/>
      <c r="K1742" s="25"/>
      <c r="L1742" s="25"/>
      <c r="M1742" s="25"/>
      <c r="N1742" s="25"/>
      <c r="O1742" s="26"/>
      <c r="P1742" s="16" t="str">
        <f aca="false">IF(O1742="","",IFERROR(1/(1/(IF(K1742="",INDEX(CONFIG!$F$5:$F$14,MATCH(D1742,CONFIG!$D$5:$D$14,0)),K1742)*IF(M1742="",INDEX(CONFIG!$H$5:$H$14,MATCH(D1742,CONFIG!$D$5:$D$14,0)),M1742))),""))</f>
        <v/>
      </c>
      <c r="Q1742" s="16" t="str">
        <f aca="false">IF(OR(O1742="",P1742=""),"",O1742/P1742)</f>
        <v/>
      </c>
      <c r="R1742" s="16" t="str">
        <f aca="false">IF(Q1742="","",Q1742*0.0980665)</f>
        <v/>
      </c>
      <c r="S1742" s="16" t="str">
        <f aca="false">IF(Q1742="","",IFERROR(Q1742/(1/(1/INDEX(CONFIG!$I$5:$I$14,MATCH(D1742,CONFIG!$D$5:$D$14,0)))),""))</f>
        <v/>
      </c>
      <c r="T1742" s="13"/>
      <c r="U1742" s="13"/>
      <c r="V1742" s="13"/>
      <c r="W1742" s="13"/>
      <c r="X1742" s="22" t="str">
        <f aca="false">IF(Q1742="","",Q1742^2)</f>
        <v/>
      </c>
      <c r="Y1742" s="22" t="str">
        <f aca="false">IF(AND(C1742&lt;&gt;"",C1742=CERTIFICADO!$E$4,OR(CERTIFICADO!$E$5="",B1742=CERTIFICADO!$E$5)),MAX($Y$4:Y1741)+1,"")</f>
        <v/>
      </c>
    </row>
    <row r="1743" customFormat="false" ht="15" hidden="false" customHeight="false" outlineLevel="0" collapsed="false">
      <c r="A1743" s="11" t="str">
        <f aca="false">IF(C1743="","",ROW()-4)</f>
        <v/>
      </c>
      <c r="B1743" s="12"/>
      <c r="C1743" s="13"/>
      <c r="D1743" s="23" t="str">
        <f aca="false">IF(C1743="","",IFERROR(INDEX(LOTES!$D$5:$D$1004,MATCH(C1743,LOTES!$F$5:$F$1004,0)),"¿Lote?"))</f>
        <v/>
      </c>
      <c r="E1743" s="11" t="str">
        <f aca="false">IF(C1743="","",IFERROR(INDEX(LOTES!$C$5:$C$1004,MATCH(C1743,LOTES!$F$5:$F$1004,0)),""))</f>
        <v/>
      </c>
      <c r="F1743" s="24" t="str">
        <f aca="false">IF(C1743="","",IFERROR(INDEX(LOTES!$B$5:$B$1004,MATCH(C1743,LOTES!$F$5:$F$1004,0)),""))</f>
        <v/>
      </c>
      <c r="G1743" s="15" t="str">
        <f aca="false">IF(OR(B1743="",F1743=""),"",B1743-F1743)</f>
        <v/>
      </c>
      <c r="H1743" s="13"/>
      <c r="I1743" s="13"/>
      <c r="J1743" s="13"/>
      <c r="K1743" s="25"/>
      <c r="L1743" s="25"/>
      <c r="M1743" s="25"/>
      <c r="N1743" s="25"/>
      <c r="O1743" s="26"/>
      <c r="P1743" s="16" t="str">
        <f aca="false">IF(O1743="","",IFERROR(1/(1/(IF(K1743="",INDEX(CONFIG!$F$5:$F$14,MATCH(D1743,CONFIG!$D$5:$D$14,0)),K1743)*IF(M1743="",INDEX(CONFIG!$H$5:$H$14,MATCH(D1743,CONFIG!$D$5:$D$14,0)),M1743))),""))</f>
        <v/>
      </c>
      <c r="Q1743" s="16" t="str">
        <f aca="false">IF(OR(O1743="",P1743=""),"",O1743/P1743)</f>
        <v/>
      </c>
      <c r="R1743" s="16" t="str">
        <f aca="false">IF(Q1743="","",Q1743*0.0980665)</f>
        <v/>
      </c>
      <c r="S1743" s="16" t="str">
        <f aca="false">IF(Q1743="","",IFERROR(Q1743/(1/(1/INDEX(CONFIG!$I$5:$I$14,MATCH(D1743,CONFIG!$D$5:$D$14,0)))),""))</f>
        <v/>
      </c>
      <c r="T1743" s="13"/>
      <c r="U1743" s="13"/>
      <c r="V1743" s="13"/>
      <c r="W1743" s="13"/>
      <c r="X1743" s="22" t="str">
        <f aca="false">IF(Q1743="","",Q1743^2)</f>
        <v/>
      </c>
      <c r="Y1743" s="22" t="str">
        <f aca="false">IF(AND(C1743&lt;&gt;"",C1743=CERTIFICADO!$E$4,OR(CERTIFICADO!$E$5="",B1743=CERTIFICADO!$E$5)),MAX($Y$4:Y1742)+1,"")</f>
        <v/>
      </c>
    </row>
    <row r="1744" customFormat="false" ht="15" hidden="false" customHeight="false" outlineLevel="0" collapsed="false">
      <c r="A1744" s="11" t="str">
        <f aca="false">IF(C1744="","",ROW()-4)</f>
        <v/>
      </c>
      <c r="B1744" s="12"/>
      <c r="C1744" s="13"/>
      <c r="D1744" s="23" t="str">
        <f aca="false">IF(C1744="","",IFERROR(INDEX(LOTES!$D$5:$D$1004,MATCH(C1744,LOTES!$F$5:$F$1004,0)),"¿Lote?"))</f>
        <v/>
      </c>
      <c r="E1744" s="11" t="str">
        <f aca="false">IF(C1744="","",IFERROR(INDEX(LOTES!$C$5:$C$1004,MATCH(C1744,LOTES!$F$5:$F$1004,0)),""))</f>
        <v/>
      </c>
      <c r="F1744" s="24" t="str">
        <f aca="false">IF(C1744="","",IFERROR(INDEX(LOTES!$B$5:$B$1004,MATCH(C1744,LOTES!$F$5:$F$1004,0)),""))</f>
        <v/>
      </c>
      <c r="G1744" s="15" t="str">
        <f aca="false">IF(OR(B1744="",F1744=""),"",B1744-F1744)</f>
        <v/>
      </c>
      <c r="H1744" s="13"/>
      <c r="I1744" s="13"/>
      <c r="J1744" s="13"/>
      <c r="K1744" s="25"/>
      <c r="L1744" s="25"/>
      <c r="M1744" s="25"/>
      <c r="N1744" s="25"/>
      <c r="O1744" s="26"/>
      <c r="P1744" s="16" t="str">
        <f aca="false">IF(O1744="","",IFERROR(1/(1/(IF(K1744="",INDEX(CONFIG!$F$5:$F$14,MATCH(D1744,CONFIG!$D$5:$D$14,0)),K1744)*IF(M1744="",INDEX(CONFIG!$H$5:$H$14,MATCH(D1744,CONFIG!$D$5:$D$14,0)),M1744))),""))</f>
        <v/>
      </c>
      <c r="Q1744" s="16" t="str">
        <f aca="false">IF(OR(O1744="",P1744=""),"",O1744/P1744)</f>
        <v/>
      </c>
      <c r="R1744" s="16" t="str">
        <f aca="false">IF(Q1744="","",Q1744*0.0980665)</f>
        <v/>
      </c>
      <c r="S1744" s="16" t="str">
        <f aca="false">IF(Q1744="","",IFERROR(Q1744/(1/(1/INDEX(CONFIG!$I$5:$I$14,MATCH(D1744,CONFIG!$D$5:$D$14,0)))),""))</f>
        <v/>
      </c>
      <c r="T1744" s="13"/>
      <c r="U1744" s="13"/>
      <c r="V1744" s="13"/>
      <c r="W1744" s="13"/>
      <c r="X1744" s="22" t="str">
        <f aca="false">IF(Q1744="","",Q1744^2)</f>
        <v/>
      </c>
      <c r="Y1744" s="22" t="str">
        <f aca="false">IF(AND(C1744&lt;&gt;"",C1744=CERTIFICADO!$E$4,OR(CERTIFICADO!$E$5="",B1744=CERTIFICADO!$E$5)),MAX($Y$4:Y1743)+1,"")</f>
        <v/>
      </c>
    </row>
    <row r="1745" customFormat="false" ht="15" hidden="false" customHeight="false" outlineLevel="0" collapsed="false">
      <c r="A1745" s="11" t="str">
        <f aca="false">IF(C1745="","",ROW()-4)</f>
        <v/>
      </c>
      <c r="B1745" s="12"/>
      <c r="C1745" s="13"/>
      <c r="D1745" s="23" t="str">
        <f aca="false">IF(C1745="","",IFERROR(INDEX(LOTES!$D$5:$D$1004,MATCH(C1745,LOTES!$F$5:$F$1004,0)),"¿Lote?"))</f>
        <v/>
      </c>
      <c r="E1745" s="11" t="str">
        <f aca="false">IF(C1745="","",IFERROR(INDEX(LOTES!$C$5:$C$1004,MATCH(C1745,LOTES!$F$5:$F$1004,0)),""))</f>
        <v/>
      </c>
      <c r="F1745" s="24" t="str">
        <f aca="false">IF(C1745="","",IFERROR(INDEX(LOTES!$B$5:$B$1004,MATCH(C1745,LOTES!$F$5:$F$1004,0)),""))</f>
        <v/>
      </c>
      <c r="G1745" s="15" t="str">
        <f aca="false">IF(OR(B1745="",F1745=""),"",B1745-F1745)</f>
        <v/>
      </c>
      <c r="H1745" s="13"/>
      <c r="I1745" s="13"/>
      <c r="J1745" s="13"/>
      <c r="K1745" s="25"/>
      <c r="L1745" s="25"/>
      <c r="M1745" s="25"/>
      <c r="N1745" s="25"/>
      <c r="O1745" s="26"/>
      <c r="P1745" s="16" t="str">
        <f aca="false">IF(O1745="","",IFERROR(1/(1/(IF(K1745="",INDEX(CONFIG!$F$5:$F$14,MATCH(D1745,CONFIG!$D$5:$D$14,0)),K1745)*IF(M1745="",INDEX(CONFIG!$H$5:$H$14,MATCH(D1745,CONFIG!$D$5:$D$14,0)),M1745))),""))</f>
        <v/>
      </c>
      <c r="Q1745" s="16" t="str">
        <f aca="false">IF(OR(O1745="",P1745=""),"",O1745/P1745)</f>
        <v/>
      </c>
      <c r="R1745" s="16" t="str">
        <f aca="false">IF(Q1745="","",Q1745*0.0980665)</f>
        <v/>
      </c>
      <c r="S1745" s="16" t="str">
        <f aca="false">IF(Q1745="","",IFERROR(Q1745/(1/(1/INDEX(CONFIG!$I$5:$I$14,MATCH(D1745,CONFIG!$D$5:$D$14,0)))),""))</f>
        <v/>
      </c>
      <c r="T1745" s="13"/>
      <c r="U1745" s="13"/>
      <c r="V1745" s="13"/>
      <c r="W1745" s="13"/>
      <c r="X1745" s="22" t="str">
        <f aca="false">IF(Q1745="","",Q1745^2)</f>
        <v/>
      </c>
      <c r="Y1745" s="22" t="str">
        <f aca="false">IF(AND(C1745&lt;&gt;"",C1745=CERTIFICADO!$E$4,OR(CERTIFICADO!$E$5="",B1745=CERTIFICADO!$E$5)),MAX($Y$4:Y1744)+1,"")</f>
        <v/>
      </c>
    </row>
    <row r="1746" customFormat="false" ht="15" hidden="false" customHeight="false" outlineLevel="0" collapsed="false">
      <c r="A1746" s="11" t="str">
        <f aca="false">IF(C1746="","",ROW()-4)</f>
        <v/>
      </c>
      <c r="B1746" s="12"/>
      <c r="C1746" s="13"/>
      <c r="D1746" s="23" t="str">
        <f aca="false">IF(C1746="","",IFERROR(INDEX(LOTES!$D$5:$D$1004,MATCH(C1746,LOTES!$F$5:$F$1004,0)),"¿Lote?"))</f>
        <v/>
      </c>
      <c r="E1746" s="11" t="str">
        <f aca="false">IF(C1746="","",IFERROR(INDEX(LOTES!$C$5:$C$1004,MATCH(C1746,LOTES!$F$5:$F$1004,0)),""))</f>
        <v/>
      </c>
      <c r="F1746" s="24" t="str">
        <f aca="false">IF(C1746="","",IFERROR(INDEX(LOTES!$B$5:$B$1004,MATCH(C1746,LOTES!$F$5:$F$1004,0)),""))</f>
        <v/>
      </c>
      <c r="G1746" s="15" t="str">
        <f aca="false">IF(OR(B1746="",F1746=""),"",B1746-F1746)</f>
        <v/>
      </c>
      <c r="H1746" s="13"/>
      <c r="I1746" s="13"/>
      <c r="J1746" s="13"/>
      <c r="K1746" s="25"/>
      <c r="L1746" s="25"/>
      <c r="M1746" s="25"/>
      <c r="N1746" s="25"/>
      <c r="O1746" s="26"/>
      <c r="P1746" s="16" t="str">
        <f aca="false">IF(O1746="","",IFERROR(1/(1/(IF(K1746="",INDEX(CONFIG!$F$5:$F$14,MATCH(D1746,CONFIG!$D$5:$D$14,0)),K1746)*IF(M1746="",INDEX(CONFIG!$H$5:$H$14,MATCH(D1746,CONFIG!$D$5:$D$14,0)),M1746))),""))</f>
        <v/>
      </c>
      <c r="Q1746" s="16" t="str">
        <f aca="false">IF(OR(O1746="",P1746=""),"",O1746/P1746)</f>
        <v/>
      </c>
      <c r="R1746" s="16" t="str">
        <f aca="false">IF(Q1746="","",Q1746*0.0980665)</f>
        <v/>
      </c>
      <c r="S1746" s="16" t="str">
        <f aca="false">IF(Q1746="","",IFERROR(Q1746/(1/(1/INDEX(CONFIG!$I$5:$I$14,MATCH(D1746,CONFIG!$D$5:$D$14,0)))),""))</f>
        <v/>
      </c>
      <c r="T1746" s="13"/>
      <c r="U1746" s="13"/>
      <c r="V1746" s="13"/>
      <c r="W1746" s="13"/>
      <c r="X1746" s="22" t="str">
        <f aca="false">IF(Q1746="","",Q1746^2)</f>
        <v/>
      </c>
      <c r="Y1746" s="22" t="str">
        <f aca="false">IF(AND(C1746&lt;&gt;"",C1746=CERTIFICADO!$E$4,OR(CERTIFICADO!$E$5="",B1746=CERTIFICADO!$E$5)),MAX($Y$4:Y1745)+1,"")</f>
        <v/>
      </c>
    </row>
    <row r="1747" customFormat="false" ht="15" hidden="false" customHeight="false" outlineLevel="0" collapsed="false">
      <c r="A1747" s="11" t="str">
        <f aca="false">IF(C1747="","",ROW()-4)</f>
        <v/>
      </c>
      <c r="B1747" s="12"/>
      <c r="C1747" s="13"/>
      <c r="D1747" s="23" t="str">
        <f aca="false">IF(C1747="","",IFERROR(INDEX(LOTES!$D$5:$D$1004,MATCH(C1747,LOTES!$F$5:$F$1004,0)),"¿Lote?"))</f>
        <v/>
      </c>
      <c r="E1747" s="11" t="str">
        <f aca="false">IF(C1747="","",IFERROR(INDEX(LOTES!$C$5:$C$1004,MATCH(C1747,LOTES!$F$5:$F$1004,0)),""))</f>
        <v/>
      </c>
      <c r="F1747" s="24" t="str">
        <f aca="false">IF(C1747="","",IFERROR(INDEX(LOTES!$B$5:$B$1004,MATCH(C1747,LOTES!$F$5:$F$1004,0)),""))</f>
        <v/>
      </c>
      <c r="G1747" s="15" t="str">
        <f aca="false">IF(OR(B1747="",F1747=""),"",B1747-F1747)</f>
        <v/>
      </c>
      <c r="H1747" s="13"/>
      <c r="I1747" s="13"/>
      <c r="J1747" s="13"/>
      <c r="K1747" s="25"/>
      <c r="L1747" s="25"/>
      <c r="M1747" s="25"/>
      <c r="N1747" s="25"/>
      <c r="O1747" s="26"/>
      <c r="P1747" s="16" t="str">
        <f aca="false">IF(O1747="","",IFERROR(1/(1/(IF(K1747="",INDEX(CONFIG!$F$5:$F$14,MATCH(D1747,CONFIG!$D$5:$D$14,0)),K1747)*IF(M1747="",INDEX(CONFIG!$H$5:$H$14,MATCH(D1747,CONFIG!$D$5:$D$14,0)),M1747))),""))</f>
        <v/>
      </c>
      <c r="Q1747" s="16" t="str">
        <f aca="false">IF(OR(O1747="",P1747=""),"",O1747/P1747)</f>
        <v/>
      </c>
      <c r="R1747" s="16" t="str">
        <f aca="false">IF(Q1747="","",Q1747*0.0980665)</f>
        <v/>
      </c>
      <c r="S1747" s="16" t="str">
        <f aca="false">IF(Q1747="","",IFERROR(Q1747/(1/(1/INDEX(CONFIG!$I$5:$I$14,MATCH(D1747,CONFIG!$D$5:$D$14,0)))),""))</f>
        <v/>
      </c>
      <c r="T1747" s="13"/>
      <c r="U1747" s="13"/>
      <c r="V1747" s="13"/>
      <c r="W1747" s="13"/>
      <c r="X1747" s="22" t="str">
        <f aca="false">IF(Q1747="","",Q1747^2)</f>
        <v/>
      </c>
      <c r="Y1747" s="22" t="str">
        <f aca="false">IF(AND(C1747&lt;&gt;"",C1747=CERTIFICADO!$E$4,OR(CERTIFICADO!$E$5="",B1747=CERTIFICADO!$E$5)),MAX($Y$4:Y1746)+1,"")</f>
        <v/>
      </c>
    </row>
    <row r="1748" customFormat="false" ht="15" hidden="false" customHeight="false" outlineLevel="0" collapsed="false">
      <c r="A1748" s="11" t="str">
        <f aca="false">IF(C1748="","",ROW()-4)</f>
        <v/>
      </c>
      <c r="B1748" s="12"/>
      <c r="C1748" s="13"/>
      <c r="D1748" s="23" t="str">
        <f aca="false">IF(C1748="","",IFERROR(INDEX(LOTES!$D$5:$D$1004,MATCH(C1748,LOTES!$F$5:$F$1004,0)),"¿Lote?"))</f>
        <v/>
      </c>
      <c r="E1748" s="11" t="str">
        <f aca="false">IF(C1748="","",IFERROR(INDEX(LOTES!$C$5:$C$1004,MATCH(C1748,LOTES!$F$5:$F$1004,0)),""))</f>
        <v/>
      </c>
      <c r="F1748" s="24" t="str">
        <f aca="false">IF(C1748="","",IFERROR(INDEX(LOTES!$B$5:$B$1004,MATCH(C1748,LOTES!$F$5:$F$1004,0)),""))</f>
        <v/>
      </c>
      <c r="G1748" s="15" t="str">
        <f aca="false">IF(OR(B1748="",F1748=""),"",B1748-F1748)</f>
        <v/>
      </c>
      <c r="H1748" s="13"/>
      <c r="I1748" s="13"/>
      <c r="J1748" s="13"/>
      <c r="K1748" s="25"/>
      <c r="L1748" s="25"/>
      <c r="M1748" s="25"/>
      <c r="N1748" s="25"/>
      <c r="O1748" s="26"/>
      <c r="P1748" s="16" t="str">
        <f aca="false">IF(O1748="","",IFERROR(1/(1/(IF(K1748="",INDEX(CONFIG!$F$5:$F$14,MATCH(D1748,CONFIG!$D$5:$D$14,0)),K1748)*IF(M1748="",INDEX(CONFIG!$H$5:$H$14,MATCH(D1748,CONFIG!$D$5:$D$14,0)),M1748))),""))</f>
        <v/>
      </c>
      <c r="Q1748" s="16" t="str">
        <f aca="false">IF(OR(O1748="",P1748=""),"",O1748/P1748)</f>
        <v/>
      </c>
      <c r="R1748" s="16" t="str">
        <f aca="false">IF(Q1748="","",Q1748*0.0980665)</f>
        <v/>
      </c>
      <c r="S1748" s="16" t="str">
        <f aca="false">IF(Q1748="","",IFERROR(Q1748/(1/(1/INDEX(CONFIG!$I$5:$I$14,MATCH(D1748,CONFIG!$D$5:$D$14,0)))),""))</f>
        <v/>
      </c>
      <c r="T1748" s="13"/>
      <c r="U1748" s="13"/>
      <c r="V1748" s="13"/>
      <c r="W1748" s="13"/>
      <c r="X1748" s="22" t="str">
        <f aca="false">IF(Q1748="","",Q1748^2)</f>
        <v/>
      </c>
      <c r="Y1748" s="22" t="str">
        <f aca="false">IF(AND(C1748&lt;&gt;"",C1748=CERTIFICADO!$E$4,OR(CERTIFICADO!$E$5="",B1748=CERTIFICADO!$E$5)),MAX($Y$4:Y1747)+1,"")</f>
        <v/>
      </c>
    </row>
    <row r="1749" customFormat="false" ht="15" hidden="false" customHeight="false" outlineLevel="0" collapsed="false">
      <c r="A1749" s="11" t="str">
        <f aca="false">IF(C1749="","",ROW()-4)</f>
        <v/>
      </c>
      <c r="B1749" s="12"/>
      <c r="C1749" s="13"/>
      <c r="D1749" s="23" t="str">
        <f aca="false">IF(C1749="","",IFERROR(INDEX(LOTES!$D$5:$D$1004,MATCH(C1749,LOTES!$F$5:$F$1004,0)),"¿Lote?"))</f>
        <v/>
      </c>
      <c r="E1749" s="11" t="str">
        <f aca="false">IF(C1749="","",IFERROR(INDEX(LOTES!$C$5:$C$1004,MATCH(C1749,LOTES!$F$5:$F$1004,0)),""))</f>
        <v/>
      </c>
      <c r="F1749" s="24" t="str">
        <f aca="false">IF(C1749="","",IFERROR(INDEX(LOTES!$B$5:$B$1004,MATCH(C1749,LOTES!$F$5:$F$1004,0)),""))</f>
        <v/>
      </c>
      <c r="G1749" s="15" t="str">
        <f aca="false">IF(OR(B1749="",F1749=""),"",B1749-F1749)</f>
        <v/>
      </c>
      <c r="H1749" s="13"/>
      <c r="I1749" s="13"/>
      <c r="J1749" s="13"/>
      <c r="K1749" s="25"/>
      <c r="L1749" s="25"/>
      <c r="M1749" s="25"/>
      <c r="N1749" s="25"/>
      <c r="O1749" s="26"/>
      <c r="P1749" s="16" t="str">
        <f aca="false">IF(O1749="","",IFERROR(1/(1/(IF(K1749="",INDEX(CONFIG!$F$5:$F$14,MATCH(D1749,CONFIG!$D$5:$D$14,0)),K1749)*IF(M1749="",INDEX(CONFIG!$H$5:$H$14,MATCH(D1749,CONFIG!$D$5:$D$14,0)),M1749))),""))</f>
        <v/>
      </c>
      <c r="Q1749" s="16" t="str">
        <f aca="false">IF(OR(O1749="",P1749=""),"",O1749/P1749)</f>
        <v/>
      </c>
      <c r="R1749" s="16" t="str">
        <f aca="false">IF(Q1749="","",Q1749*0.0980665)</f>
        <v/>
      </c>
      <c r="S1749" s="16" t="str">
        <f aca="false">IF(Q1749="","",IFERROR(Q1749/(1/(1/INDEX(CONFIG!$I$5:$I$14,MATCH(D1749,CONFIG!$D$5:$D$14,0)))),""))</f>
        <v/>
      </c>
      <c r="T1749" s="13"/>
      <c r="U1749" s="13"/>
      <c r="V1749" s="13"/>
      <c r="W1749" s="13"/>
      <c r="X1749" s="22" t="str">
        <f aca="false">IF(Q1749="","",Q1749^2)</f>
        <v/>
      </c>
      <c r="Y1749" s="22" t="str">
        <f aca="false">IF(AND(C1749&lt;&gt;"",C1749=CERTIFICADO!$E$4,OR(CERTIFICADO!$E$5="",B1749=CERTIFICADO!$E$5)),MAX($Y$4:Y1748)+1,"")</f>
        <v/>
      </c>
    </row>
    <row r="1750" customFormat="false" ht="15" hidden="false" customHeight="false" outlineLevel="0" collapsed="false">
      <c r="A1750" s="11" t="str">
        <f aca="false">IF(C1750="","",ROW()-4)</f>
        <v/>
      </c>
      <c r="B1750" s="12"/>
      <c r="C1750" s="13"/>
      <c r="D1750" s="23" t="str">
        <f aca="false">IF(C1750="","",IFERROR(INDEX(LOTES!$D$5:$D$1004,MATCH(C1750,LOTES!$F$5:$F$1004,0)),"¿Lote?"))</f>
        <v/>
      </c>
      <c r="E1750" s="11" t="str">
        <f aca="false">IF(C1750="","",IFERROR(INDEX(LOTES!$C$5:$C$1004,MATCH(C1750,LOTES!$F$5:$F$1004,0)),""))</f>
        <v/>
      </c>
      <c r="F1750" s="24" t="str">
        <f aca="false">IF(C1750="","",IFERROR(INDEX(LOTES!$B$5:$B$1004,MATCH(C1750,LOTES!$F$5:$F$1004,0)),""))</f>
        <v/>
      </c>
      <c r="G1750" s="15" t="str">
        <f aca="false">IF(OR(B1750="",F1750=""),"",B1750-F1750)</f>
        <v/>
      </c>
      <c r="H1750" s="13"/>
      <c r="I1750" s="13"/>
      <c r="J1750" s="13"/>
      <c r="K1750" s="25"/>
      <c r="L1750" s="25"/>
      <c r="M1750" s="25"/>
      <c r="N1750" s="25"/>
      <c r="O1750" s="26"/>
      <c r="P1750" s="16" t="str">
        <f aca="false">IF(O1750="","",IFERROR(1/(1/(IF(K1750="",INDEX(CONFIG!$F$5:$F$14,MATCH(D1750,CONFIG!$D$5:$D$14,0)),K1750)*IF(M1750="",INDEX(CONFIG!$H$5:$H$14,MATCH(D1750,CONFIG!$D$5:$D$14,0)),M1750))),""))</f>
        <v/>
      </c>
      <c r="Q1750" s="16" t="str">
        <f aca="false">IF(OR(O1750="",P1750=""),"",O1750/P1750)</f>
        <v/>
      </c>
      <c r="R1750" s="16" t="str">
        <f aca="false">IF(Q1750="","",Q1750*0.0980665)</f>
        <v/>
      </c>
      <c r="S1750" s="16" t="str">
        <f aca="false">IF(Q1750="","",IFERROR(Q1750/(1/(1/INDEX(CONFIG!$I$5:$I$14,MATCH(D1750,CONFIG!$D$5:$D$14,0)))),""))</f>
        <v/>
      </c>
      <c r="T1750" s="13"/>
      <c r="U1750" s="13"/>
      <c r="V1750" s="13"/>
      <c r="W1750" s="13"/>
      <c r="X1750" s="22" t="str">
        <f aca="false">IF(Q1750="","",Q1750^2)</f>
        <v/>
      </c>
      <c r="Y1750" s="22" t="str">
        <f aca="false">IF(AND(C1750&lt;&gt;"",C1750=CERTIFICADO!$E$4,OR(CERTIFICADO!$E$5="",B1750=CERTIFICADO!$E$5)),MAX($Y$4:Y1749)+1,"")</f>
        <v/>
      </c>
    </row>
    <row r="1751" customFormat="false" ht="15" hidden="false" customHeight="false" outlineLevel="0" collapsed="false">
      <c r="A1751" s="11" t="str">
        <f aca="false">IF(C1751="","",ROW()-4)</f>
        <v/>
      </c>
      <c r="B1751" s="12"/>
      <c r="C1751" s="13"/>
      <c r="D1751" s="23" t="str">
        <f aca="false">IF(C1751="","",IFERROR(INDEX(LOTES!$D$5:$D$1004,MATCH(C1751,LOTES!$F$5:$F$1004,0)),"¿Lote?"))</f>
        <v/>
      </c>
      <c r="E1751" s="11" t="str">
        <f aca="false">IF(C1751="","",IFERROR(INDEX(LOTES!$C$5:$C$1004,MATCH(C1751,LOTES!$F$5:$F$1004,0)),""))</f>
        <v/>
      </c>
      <c r="F1751" s="24" t="str">
        <f aca="false">IF(C1751="","",IFERROR(INDEX(LOTES!$B$5:$B$1004,MATCH(C1751,LOTES!$F$5:$F$1004,0)),""))</f>
        <v/>
      </c>
      <c r="G1751" s="15" t="str">
        <f aca="false">IF(OR(B1751="",F1751=""),"",B1751-F1751)</f>
        <v/>
      </c>
      <c r="H1751" s="13"/>
      <c r="I1751" s="13"/>
      <c r="J1751" s="13"/>
      <c r="K1751" s="25"/>
      <c r="L1751" s="25"/>
      <c r="M1751" s="25"/>
      <c r="N1751" s="25"/>
      <c r="O1751" s="26"/>
      <c r="P1751" s="16" t="str">
        <f aca="false">IF(O1751="","",IFERROR(1/(1/(IF(K1751="",INDEX(CONFIG!$F$5:$F$14,MATCH(D1751,CONFIG!$D$5:$D$14,0)),K1751)*IF(M1751="",INDEX(CONFIG!$H$5:$H$14,MATCH(D1751,CONFIG!$D$5:$D$14,0)),M1751))),""))</f>
        <v/>
      </c>
      <c r="Q1751" s="16" t="str">
        <f aca="false">IF(OR(O1751="",P1751=""),"",O1751/P1751)</f>
        <v/>
      </c>
      <c r="R1751" s="16" t="str">
        <f aca="false">IF(Q1751="","",Q1751*0.0980665)</f>
        <v/>
      </c>
      <c r="S1751" s="16" t="str">
        <f aca="false">IF(Q1751="","",IFERROR(Q1751/(1/(1/INDEX(CONFIG!$I$5:$I$14,MATCH(D1751,CONFIG!$D$5:$D$14,0)))),""))</f>
        <v/>
      </c>
      <c r="T1751" s="13"/>
      <c r="U1751" s="13"/>
      <c r="V1751" s="13"/>
      <c r="W1751" s="13"/>
      <c r="X1751" s="22" t="str">
        <f aca="false">IF(Q1751="","",Q1751^2)</f>
        <v/>
      </c>
      <c r="Y1751" s="22" t="str">
        <f aca="false">IF(AND(C1751&lt;&gt;"",C1751=CERTIFICADO!$E$4,OR(CERTIFICADO!$E$5="",B1751=CERTIFICADO!$E$5)),MAX($Y$4:Y1750)+1,"")</f>
        <v/>
      </c>
    </row>
    <row r="1752" customFormat="false" ht="15" hidden="false" customHeight="false" outlineLevel="0" collapsed="false">
      <c r="A1752" s="11" t="str">
        <f aca="false">IF(C1752="","",ROW()-4)</f>
        <v/>
      </c>
      <c r="B1752" s="12"/>
      <c r="C1752" s="13"/>
      <c r="D1752" s="23" t="str">
        <f aca="false">IF(C1752="","",IFERROR(INDEX(LOTES!$D$5:$D$1004,MATCH(C1752,LOTES!$F$5:$F$1004,0)),"¿Lote?"))</f>
        <v/>
      </c>
      <c r="E1752" s="11" t="str">
        <f aca="false">IF(C1752="","",IFERROR(INDEX(LOTES!$C$5:$C$1004,MATCH(C1752,LOTES!$F$5:$F$1004,0)),""))</f>
        <v/>
      </c>
      <c r="F1752" s="24" t="str">
        <f aca="false">IF(C1752="","",IFERROR(INDEX(LOTES!$B$5:$B$1004,MATCH(C1752,LOTES!$F$5:$F$1004,0)),""))</f>
        <v/>
      </c>
      <c r="G1752" s="15" t="str">
        <f aca="false">IF(OR(B1752="",F1752=""),"",B1752-F1752)</f>
        <v/>
      </c>
      <c r="H1752" s="13"/>
      <c r="I1752" s="13"/>
      <c r="J1752" s="13"/>
      <c r="K1752" s="25"/>
      <c r="L1752" s="25"/>
      <c r="M1752" s="25"/>
      <c r="N1752" s="25"/>
      <c r="O1752" s="26"/>
      <c r="P1752" s="16" t="str">
        <f aca="false">IF(O1752="","",IFERROR(1/(1/(IF(K1752="",INDEX(CONFIG!$F$5:$F$14,MATCH(D1752,CONFIG!$D$5:$D$14,0)),K1752)*IF(M1752="",INDEX(CONFIG!$H$5:$H$14,MATCH(D1752,CONFIG!$D$5:$D$14,0)),M1752))),""))</f>
        <v/>
      </c>
      <c r="Q1752" s="16" t="str">
        <f aca="false">IF(OR(O1752="",P1752=""),"",O1752/P1752)</f>
        <v/>
      </c>
      <c r="R1752" s="16" t="str">
        <f aca="false">IF(Q1752="","",Q1752*0.0980665)</f>
        <v/>
      </c>
      <c r="S1752" s="16" t="str">
        <f aca="false">IF(Q1752="","",IFERROR(Q1752/(1/(1/INDEX(CONFIG!$I$5:$I$14,MATCH(D1752,CONFIG!$D$5:$D$14,0)))),""))</f>
        <v/>
      </c>
      <c r="T1752" s="13"/>
      <c r="U1752" s="13"/>
      <c r="V1752" s="13"/>
      <c r="W1752" s="13"/>
      <c r="X1752" s="22" t="str">
        <f aca="false">IF(Q1752="","",Q1752^2)</f>
        <v/>
      </c>
      <c r="Y1752" s="22" t="str">
        <f aca="false">IF(AND(C1752&lt;&gt;"",C1752=CERTIFICADO!$E$4,OR(CERTIFICADO!$E$5="",B1752=CERTIFICADO!$E$5)),MAX($Y$4:Y1751)+1,"")</f>
        <v/>
      </c>
    </row>
    <row r="1753" customFormat="false" ht="15" hidden="false" customHeight="false" outlineLevel="0" collapsed="false">
      <c r="A1753" s="11" t="str">
        <f aca="false">IF(C1753="","",ROW()-4)</f>
        <v/>
      </c>
      <c r="B1753" s="12"/>
      <c r="C1753" s="13"/>
      <c r="D1753" s="23" t="str">
        <f aca="false">IF(C1753="","",IFERROR(INDEX(LOTES!$D$5:$D$1004,MATCH(C1753,LOTES!$F$5:$F$1004,0)),"¿Lote?"))</f>
        <v/>
      </c>
      <c r="E1753" s="11" t="str">
        <f aca="false">IF(C1753="","",IFERROR(INDEX(LOTES!$C$5:$C$1004,MATCH(C1753,LOTES!$F$5:$F$1004,0)),""))</f>
        <v/>
      </c>
      <c r="F1753" s="24" t="str">
        <f aca="false">IF(C1753="","",IFERROR(INDEX(LOTES!$B$5:$B$1004,MATCH(C1753,LOTES!$F$5:$F$1004,0)),""))</f>
        <v/>
      </c>
      <c r="G1753" s="15" t="str">
        <f aca="false">IF(OR(B1753="",F1753=""),"",B1753-F1753)</f>
        <v/>
      </c>
      <c r="H1753" s="13"/>
      <c r="I1753" s="13"/>
      <c r="J1753" s="13"/>
      <c r="K1753" s="25"/>
      <c r="L1753" s="25"/>
      <c r="M1753" s="25"/>
      <c r="N1753" s="25"/>
      <c r="O1753" s="26"/>
      <c r="P1753" s="16" t="str">
        <f aca="false">IF(O1753="","",IFERROR(1/(1/(IF(K1753="",INDEX(CONFIG!$F$5:$F$14,MATCH(D1753,CONFIG!$D$5:$D$14,0)),K1753)*IF(M1753="",INDEX(CONFIG!$H$5:$H$14,MATCH(D1753,CONFIG!$D$5:$D$14,0)),M1753))),""))</f>
        <v/>
      </c>
      <c r="Q1753" s="16" t="str">
        <f aca="false">IF(OR(O1753="",P1753=""),"",O1753/P1753)</f>
        <v/>
      </c>
      <c r="R1753" s="16" t="str">
        <f aca="false">IF(Q1753="","",Q1753*0.0980665)</f>
        <v/>
      </c>
      <c r="S1753" s="16" t="str">
        <f aca="false">IF(Q1753="","",IFERROR(Q1753/(1/(1/INDEX(CONFIG!$I$5:$I$14,MATCH(D1753,CONFIG!$D$5:$D$14,0)))),""))</f>
        <v/>
      </c>
      <c r="T1753" s="13"/>
      <c r="U1753" s="13"/>
      <c r="V1753" s="13"/>
      <c r="W1753" s="13"/>
      <c r="X1753" s="22" t="str">
        <f aca="false">IF(Q1753="","",Q1753^2)</f>
        <v/>
      </c>
      <c r="Y1753" s="22" t="str">
        <f aca="false">IF(AND(C1753&lt;&gt;"",C1753=CERTIFICADO!$E$4,OR(CERTIFICADO!$E$5="",B1753=CERTIFICADO!$E$5)),MAX($Y$4:Y1752)+1,"")</f>
        <v/>
      </c>
    </row>
    <row r="1754" customFormat="false" ht="15" hidden="false" customHeight="false" outlineLevel="0" collapsed="false">
      <c r="A1754" s="11" t="str">
        <f aca="false">IF(C1754="","",ROW()-4)</f>
        <v/>
      </c>
      <c r="B1754" s="12"/>
      <c r="C1754" s="13"/>
      <c r="D1754" s="23" t="str">
        <f aca="false">IF(C1754="","",IFERROR(INDEX(LOTES!$D$5:$D$1004,MATCH(C1754,LOTES!$F$5:$F$1004,0)),"¿Lote?"))</f>
        <v/>
      </c>
      <c r="E1754" s="11" t="str">
        <f aca="false">IF(C1754="","",IFERROR(INDEX(LOTES!$C$5:$C$1004,MATCH(C1754,LOTES!$F$5:$F$1004,0)),""))</f>
        <v/>
      </c>
      <c r="F1754" s="24" t="str">
        <f aca="false">IF(C1754="","",IFERROR(INDEX(LOTES!$B$5:$B$1004,MATCH(C1754,LOTES!$F$5:$F$1004,0)),""))</f>
        <v/>
      </c>
      <c r="G1754" s="15" t="str">
        <f aca="false">IF(OR(B1754="",F1754=""),"",B1754-F1754)</f>
        <v/>
      </c>
      <c r="H1754" s="13"/>
      <c r="I1754" s="13"/>
      <c r="J1754" s="13"/>
      <c r="K1754" s="25"/>
      <c r="L1754" s="25"/>
      <c r="M1754" s="25"/>
      <c r="N1754" s="25"/>
      <c r="O1754" s="26"/>
      <c r="P1754" s="16" t="str">
        <f aca="false">IF(O1754="","",IFERROR(1/(1/(IF(K1754="",INDEX(CONFIG!$F$5:$F$14,MATCH(D1754,CONFIG!$D$5:$D$14,0)),K1754)*IF(M1754="",INDEX(CONFIG!$H$5:$H$14,MATCH(D1754,CONFIG!$D$5:$D$14,0)),M1754))),""))</f>
        <v/>
      </c>
      <c r="Q1754" s="16" t="str">
        <f aca="false">IF(OR(O1754="",P1754=""),"",O1754/P1754)</f>
        <v/>
      </c>
      <c r="R1754" s="16" t="str">
        <f aca="false">IF(Q1754="","",Q1754*0.0980665)</f>
        <v/>
      </c>
      <c r="S1754" s="16" t="str">
        <f aca="false">IF(Q1754="","",IFERROR(Q1754/(1/(1/INDEX(CONFIG!$I$5:$I$14,MATCH(D1754,CONFIG!$D$5:$D$14,0)))),""))</f>
        <v/>
      </c>
      <c r="T1754" s="13"/>
      <c r="U1754" s="13"/>
      <c r="V1754" s="13"/>
      <c r="W1754" s="13"/>
      <c r="X1754" s="22" t="str">
        <f aca="false">IF(Q1754="","",Q1754^2)</f>
        <v/>
      </c>
      <c r="Y1754" s="22" t="str">
        <f aca="false">IF(AND(C1754&lt;&gt;"",C1754=CERTIFICADO!$E$4,OR(CERTIFICADO!$E$5="",B1754=CERTIFICADO!$E$5)),MAX($Y$4:Y1753)+1,"")</f>
        <v/>
      </c>
    </row>
    <row r="1755" customFormat="false" ht="15" hidden="false" customHeight="false" outlineLevel="0" collapsed="false">
      <c r="A1755" s="11" t="str">
        <f aca="false">IF(C1755="","",ROW()-4)</f>
        <v/>
      </c>
      <c r="B1755" s="12"/>
      <c r="C1755" s="13"/>
      <c r="D1755" s="23" t="str">
        <f aca="false">IF(C1755="","",IFERROR(INDEX(LOTES!$D$5:$D$1004,MATCH(C1755,LOTES!$F$5:$F$1004,0)),"¿Lote?"))</f>
        <v/>
      </c>
      <c r="E1755" s="11" t="str">
        <f aca="false">IF(C1755="","",IFERROR(INDEX(LOTES!$C$5:$C$1004,MATCH(C1755,LOTES!$F$5:$F$1004,0)),""))</f>
        <v/>
      </c>
      <c r="F1755" s="24" t="str">
        <f aca="false">IF(C1755="","",IFERROR(INDEX(LOTES!$B$5:$B$1004,MATCH(C1755,LOTES!$F$5:$F$1004,0)),""))</f>
        <v/>
      </c>
      <c r="G1755" s="15" t="str">
        <f aca="false">IF(OR(B1755="",F1755=""),"",B1755-F1755)</f>
        <v/>
      </c>
      <c r="H1755" s="13"/>
      <c r="I1755" s="13"/>
      <c r="J1755" s="13"/>
      <c r="K1755" s="25"/>
      <c r="L1755" s="25"/>
      <c r="M1755" s="25"/>
      <c r="N1755" s="25"/>
      <c r="O1755" s="26"/>
      <c r="P1755" s="16" t="str">
        <f aca="false">IF(O1755="","",IFERROR(1/(1/(IF(K1755="",INDEX(CONFIG!$F$5:$F$14,MATCH(D1755,CONFIG!$D$5:$D$14,0)),K1755)*IF(M1755="",INDEX(CONFIG!$H$5:$H$14,MATCH(D1755,CONFIG!$D$5:$D$14,0)),M1755))),""))</f>
        <v/>
      </c>
      <c r="Q1755" s="16" t="str">
        <f aca="false">IF(OR(O1755="",P1755=""),"",O1755/P1755)</f>
        <v/>
      </c>
      <c r="R1755" s="16" t="str">
        <f aca="false">IF(Q1755="","",Q1755*0.0980665)</f>
        <v/>
      </c>
      <c r="S1755" s="16" t="str">
        <f aca="false">IF(Q1755="","",IFERROR(Q1755/(1/(1/INDEX(CONFIG!$I$5:$I$14,MATCH(D1755,CONFIG!$D$5:$D$14,0)))),""))</f>
        <v/>
      </c>
      <c r="T1755" s="13"/>
      <c r="U1755" s="13"/>
      <c r="V1755" s="13"/>
      <c r="W1755" s="13"/>
      <c r="X1755" s="22" t="str">
        <f aca="false">IF(Q1755="","",Q1755^2)</f>
        <v/>
      </c>
      <c r="Y1755" s="22" t="str">
        <f aca="false">IF(AND(C1755&lt;&gt;"",C1755=CERTIFICADO!$E$4,OR(CERTIFICADO!$E$5="",B1755=CERTIFICADO!$E$5)),MAX($Y$4:Y1754)+1,"")</f>
        <v/>
      </c>
    </row>
    <row r="1756" customFormat="false" ht="15" hidden="false" customHeight="false" outlineLevel="0" collapsed="false">
      <c r="A1756" s="11" t="str">
        <f aca="false">IF(C1756="","",ROW()-4)</f>
        <v/>
      </c>
      <c r="B1756" s="12"/>
      <c r="C1756" s="13"/>
      <c r="D1756" s="23" t="str">
        <f aca="false">IF(C1756="","",IFERROR(INDEX(LOTES!$D$5:$D$1004,MATCH(C1756,LOTES!$F$5:$F$1004,0)),"¿Lote?"))</f>
        <v/>
      </c>
      <c r="E1756" s="11" t="str">
        <f aca="false">IF(C1756="","",IFERROR(INDEX(LOTES!$C$5:$C$1004,MATCH(C1756,LOTES!$F$5:$F$1004,0)),""))</f>
        <v/>
      </c>
      <c r="F1756" s="24" t="str">
        <f aca="false">IF(C1756="","",IFERROR(INDEX(LOTES!$B$5:$B$1004,MATCH(C1756,LOTES!$F$5:$F$1004,0)),""))</f>
        <v/>
      </c>
      <c r="G1756" s="15" t="str">
        <f aca="false">IF(OR(B1756="",F1756=""),"",B1756-F1756)</f>
        <v/>
      </c>
      <c r="H1756" s="13"/>
      <c r="I1756" s="13"/>
      <c r="J1756" s="13"/>
      <c r="K1756" s="25"/>
      <c r="L1756" s="25"/>
      <c r="M1756" s="25"/>
      <c r="N1756" s="25"/>
      <c r="O1756" s="26"/>
      <c r="P1756" s="16" t="str">
        <f aca="false">IF(O1756="","",IFERROR(1/(1/(IF(K1756="",INDEX(CONFIG!$F$5:$F$14,MATCH(D1756,CONFIG!$D$5:$D$14,0)),K1756)*IF(M1756="",INDEX(CONFIG!$H$5:$H$14,MATCH(D1756,CONFIG!$D$5:$D$14,0)),M1756))),""))</f>
        <v/>
      </c>
      <c r="Q1756" s="16" t="str">
        <f aca="false">IF(OR(O1756="",P1756=""),"",O1756/P1756)</f>
        <v/>
      </c>
      <c r="R1756" s="16" t="str">
        <f aca="false">IF(Q1756="","",Q1756*0.0980665)</f>
        <v/>
      </c>
      <c r="S1756" s="16" t="str">
        <f aca="false">IF(Q1756="","",IFERROR(Q1756/(1/(1/INDEX(CONFIG!$I$5:$I$14,MATCH(D1756,CONFIG!$D$5:$D$14,0)))),""))</f>
        <v/>
      </c>
      <c r="T1756" s="13"/>
      <c r="U1756" s="13"/>
      <c r="V1756" s="13"/>
      <c r="W1756" s="13"/>
      <c r="X1756" s="22" t="str">
        <f aca="false">IF(Q1756="","",Q1756^2)</f>
        <v/>
      </c>
      <c r="Y1756" s="22" t="str">
        <f aca="false">IF(AND(C1756&lt;&gt;"",C1756=CERTIFICADO!$E$4,OR(CERTIFICADO!$E$5="",B1756=CERTIFICADO!$E$5)),MAX($Y$4:Y1755)+1,"")</f>
        <v/>
      </c>
    </row>
    <row r="1757" customFormat="false" ht="15" hidden="false" customHeight="false" outlineLevel="0" collapsed="false">
      <c r="A1757" s="11" t="str">
        <f aca="false">IF(C1757="","",ROW()-4)</f>
        <v/>
      </c>
      <c r="B1757" s="12"/>
      <c r="C1757" s="13"/>
      <c r="D1757" s="23" t="str">
        <f aca="false">IF(C1757="","",IFERROR(INDEX(LOTES!$D$5:$D$1004,MATCH(C1757,LOTES!$F$5:$F$1004,0)),"¿Lote?"))</f>
        <v/>
      </c>
      <c r="E1757" s="11" t="str">
        <f aca="false">IF(C1757="","",IFERROR(INDEX(LOTES!$C$5:$C$1004,MATCH(C1757,LOTES!$F$5:$F$1004,0)),""))</f>
        <v/>
      </c>
      <c r="F1757" s="24" t="str">
        <f aca="false">IF(C1757="","",IFERROR(INDEX(LOTES!$B$5:$B$1004,MATCH(C1757,LOTES!$F$5:$F$1004,0)),""))</f>
        <v/>
      </c>
      <c r="G1757" s="15" t="str">
        <f aca="false">IF(OR(B1757="",F1757=""),"",B1757-F1757)</f>
        <v/>
      </c>
      <c r="H1757" s="13"/>
      <c r="I1757" s="13"/>
      <c r="J1757" s="13"/>
      <c r="K1757" s="25"/>
      <c r="L1757" s="25"/>
      <c r="M1757" s="25"/>
      <c r="N1757" s="25"/>
      <c r="O1757" s="26"/>
      <c r="P1757" s="16" t="str">
        <f aca="false">IF(O1757="","",IFERROR(1/(1/(IF(K1757="",INDEX(CONFIG!$F$5:$F$14,MATCH(D1757,CONFIG!$D$5:$D$14,0)),K1757)*IF(M1757="",INDEX(CONFIG!$H$5:$H$14,MATCH(D1757,CONFIG!$D$5:$D$14,0)),M1757))),""))</f>
        <v/>
      </c>
      <c r="Q1757" s="16" t="str">
        <f aca="false">IF(OR(O1757="",P1757=""),"",O1757/P1757)</f>
        <v/>
      </c>
      <c r="R1757" s="16" t="str">
        <f aca="false">IF(Q1757="","",Q1757*0.0980665)</f>
        <v/>
      </c>
      <c r="S1757" s="16" t="str">
        <f aca="false">IF(Q1757="","",IFERROR(Q1757/(1/(1/INDEX(CONFIG!$I$5:$I$14,MATCH(D1757,CONFIG!$D$5:$D$14,0)))),""))</f>
        <v/>
      </c>
      <c r="T1757" s="13"/>
      <c r="U1757" s="13"/>
      <c r="V1757" s="13"/>
      <c r="W1757" s="13"/>
      <c r="X1757" s="22" t="str">
        <f aca="false">IF(Q1757="","",Q1757^2)</f>
        <v/>
      </c>
      <c r="Y1757" s="22" t="str">
        <f aca="false">IF(AND(C1757&lt;&gt;"",C1757=CERTIFICADO!$E$4,OR(CERTIFICADO!$E$5="",B1757=CERTIFICADO!$E$5)),MAX($Y$4:Y1756)+1,"")</f>
        <v/>
      </c>
    </row>
    <row r="1758" customFormat="false" ht="15" hidden="false" customHeight="false" outlineLevel="0" collapsed="false">
      <c r="A1758" s="11" t="str">
        <f aca="false">IF(C1758="","",ROW()-4)</f>
        <v/>
      </c>
      <c r="B1758" s="12"/>
      <c r="C1758" s="13"/>
      <c r="D1758" s="23" t="str">
        <f aca="false">IF(C1758="","",IFERROR(INDEX(LOTES!$D$5:$D$1004,MATCH(C1758,LOTES!$F$5:$F$1004,0)),"¿Lote?"))</f>
        <v/>
      </c>
      <c r="E1758" s="11" t="str">
        <f aca="false">IF(C1758="","",IFERROR(INDEX(LOTES!$C$5:$C$1004,MATCH(C1758,LOTES!$F$5:$F$1004,0)),""))</f>
        <v/>
      </c>
      <c r="F1758" s="24" t="str">
        <f aca="false">IF(C1758="","",IFERROR(INDEX(LOTES!$B$5:$B$1004,MATCH(C1758,LOTES!$F$5:$F$1004,0)),""))</f>
        <v/>
      </c>
      <c r="G1758" s="15" t="str">
        <f aca="false">IF(OR(B1758="",F1758=""),"",B1758-F1758)</f>
        <v/>
      </c>
      <c r="H1758" s="13"/>
      <c r="I1758" s="13"/>
      <c r="J1758" s="13"/>
      <c r="K1758" s="25"/>
      <c r="L1758" s="25"/>
      <c r="M1758" s="25"/>
      <c r="N1758" s="25"/>
      <c r="O1758" s="26"/>
      <c r="P1758" s="16" t="str">
        <f aca="false">IF(O1758="","",IFERROR(1/(1/(IF(K1758="",INDEX(CONFIG!$F$5:$F$14,MATCH(D1758,CONFIG!$D$5:$D$14,0)),K1758)*IF(M1758="",INDEX(CONFIG!$H$5:$H$14,MATCH(D1758,CONFIG!$D$5:$D$14,0)),M1758))),""))</f>
        <v/>
      </c>
      <c r="Q1758" s="16" t="str">
        <f aca="false">IF(OR(O1758="",P1758=""),"",O1758/P1758)</f>
        <v/>
      </c>
      <c r="R1758" s="16" t="str">
        <f aca="false">IF(Q1758="","",Q1758*0.0980665)</f>
        <v/>
      </c>
      <c r="S1758" s="16" t="str">
        <f aca="false">IF(Q1758="","",IFERROR(Q1758/(1/(1/INDEX(CONFIG!$I$5:$I$14,MATCH(D1758,CONFIG!$D$5:$D$14,0)))),""))</f>
        <v/>
      </c>
      <c r="T1758" s="13"/>
      <c r="U1758" s="13"/>
      <c r="V1758" s="13"/>
      <c r="W1758" s="13"/>
      <c r="X1758" s="22" t="str">
        <f aca="false">IF(Q1758="","",Q1758^2)</f>
        <v/>
      </c>
      <c r="Y1758" s="22" t="str">
        <f aca="false">IF(AND(C1758&lt;&gt;"",C1758=CERTIFICADO!$E$4,OR(CERTIFICADO!$E$5="",B1758=CERTIFICADO!$E$5)),MAX($Y$4:Y1757)+1,"")</f>
        <v/>
      </c>
    </row>
    <row r="1759" customFormat="false" ht="15" hidden="false" customHeight="false" outlineLevel="0" collapsed="false">
      <c r="A1759" s="11" t="str">
        <f aca="false">IF(C1759="","",ROW()-4)</f>
        <v/>
      </c>
      <c r="B1759" s="12"/>
      <c r="C1759" s="13"/>
      <c r="D1759" s="23" t="str">
        <f aca="false">IF(C1759="","",IFERROR(INDEX(LOTES!$D$5:$D$1004,MATCH(C1759,LOTES!$F$5:$F$1004,0)),"¿Lote?"))</f>
        <v/>
      </c>
      <c r="E1759" s="11" t="str">
        <f aca="false">IF(C1759="","",IFERROR(INDEX(LOTES!$C$5:$C$1004,MATCH(C1759,LOTES!$F$5:$F$1004,0)),""))</f>
        <v/>
      </c>
      <c r="F1759" s="24" t="str">
        <f aca="false">IF(C1759="","",IFERROR(INDEX(LOTES!$B$5:$B$1004,MATCH(C1759,LOTES!$F$5:$F$1004,0)),""))</f>
        <v/>
      </c>
      <c r="G1759" s="15" t="str">
        <f aca="false">IF(OR(B1759="",F1759=""),"",B1759-F1759)</f>
        <v/>
      </c>
      <c r="H1759" s="13"/>
      <c r="I1759" s="13"/>
      <c r="J1759" s="13"/>
      <c r="K1759" s="25"/>
      <c r="L1759" s="25"/>
      <c r="M1759" s="25"/>
      <c r="N1759" s="25"/>
      <c r="O1759" s="26"/>
      <c r="P1759" s="16" t="str">
        <f aca="false">IF(O1759="","",IFERROR(1/(1/(IF(K1759="",INDEX(CONFIG!$F$5:$F$14,MATCH(D1759,CONFIG!$D$5:$D$14,0)),K1759)*IF(M1759="",INDEX(CONFIG!$H$5:$H$14,MATCH(D1759,CONFIG!$D$5:$D$14,0)),M1759))),""))</f>
        <v/>
      </c>
      <c r="Q1759" s="16" t="str">
        <f aca="false">IF(OR(O1759="",P1759=""),"",O1759/P1759)</f>
        <v/>
      </c>
      <c r="R1759" s="16" t="str">
        <f aca="false">IF(Q1759="","",Q1759*0.0980665)</f>
        <v/>
      </c>
      <c r="S1759" s="16" t="str">
        <f aca="false">IF(Q1759="","",IFERROR(Q1759/(1/(1/INDEX(CONFIG!$I$5:$I$14,MATCH(D1759,CONFIG!$D$5:$D$14,0)))),""))</f>
        <v/>
      </c>
      <c r="T1759" s="13"/>
      <c r="U1759" s="13"/>
      <c r="V1759" s="13"/>
      <c r="W1759" s="13"/>
      <c r="X1759" s="22" t="str">
        <f aca="false">IF(Q1759="","",Q1759^2)</f>
        <v/>
      </c>
      <c r="Y1759" s="22" t="str">
        <f aca="false">IF(AND(C1759&lt;&gt;"",C1759=CERTIFICADO!$E$4,OR(CERTIFICADO!$E$5="",B1759=CERTIFICADO!$E$5)),MAX($Y$4:Y1758)+1,"")</f>
        <v/>
      </c>
    </row>
    <row r="1760" customFormat="false" ht="15" hidden="false" customHeight="false" outlineLevel="0" collapsed="false">
      <c r="A1760" s="11" t="str">
        <f aca="false">IF(C1760="","",ROW()-4)</f>
        <v/>
      </c>
      <c r="B1760" s="12"/>
      <c r="C1760" s="13"/>
      <c r="D1760" s="23" t="str">
        <f aca="false">IF(C1760="","",IFERROR(INDEX(LOTES!$D$5:$D$1004,MATCH(C1760,LOTES!$F$5:$F$1004,0)),"¿Lote?"))</f>
        <v/>
      </c>
      <c r="E1760" s="11" t="str">
        <f aca="false">IF(C1760="","",IFERROR(INDEX(LOTES!$C$5:$C$1004,MATCH(C1760,LOTES!$F$5:$F$1004,0)),""))</f>
        <v/>
      </c>
      <c r="F1760" s="24" t="str">
        <f aca="false">IF(C1760="","",IFERROR(INDEX(LOTES!$B$5:$B$1004,MATCH(C1760,LOTES!$F$5:$F$1004,0)),""))</f>
        <v/>
      </c>
      <c r="G1760" s="15" t="str">
        <f aca="false">IF(OR(B1760="",F1760=""),"",B1760-F1760)</f>
        <v/>
      </c>
      <c r="H1760" s="13"/>
      <c r="I1760" s="13"/>
      <c r="J1760" s="13"/>
      <c r="K1760" s="25"/>
      <c r="L1760" s="25"/>
      <c r="M1760" s="25"/>
      <c r="N1760" s="25"/>
      <c r="O1760" s="26"/>
      <c r="P1760" s="16" t="str">
        <f aca="false">IF(O1760="","",IFERROR(1/(1/(IF(K1760="",INDEX(CONFIG!$F$5:$F$14,MATCH(D1760,CONFIG!$D$5:$D$14,0)),K1760)*IF(M1760="",INDEX(CONFIG!$H$5:$H$14,MATCH(D1760,CONFIG!$D$5:$D$14,0)),M1760))),""))</f>
        <v/>
      </c>
      <c r="Q1760" s="16" t="str">
        <f aca="false">IF(OR(O1760="",P1760=""),"",O1760/P1760)</f>
        <v/>
      </c>
      <c r="R1760" s="16" t="str">
        <f aca="false">IF(Q1760="","",Q1760*0.0980665)</f>
        <v/>
      </c>
      <c r="S1760" s="16" t="str">
        <f aca="false">IF(Q1760="","",IFERROR(Q1760/(1/(1/INDEX(CONFIG!$I$5:$I$14,MATCH(D1760,CONFIG!$D$5:$D$14,0)))),""))</f>
        <v/>
      </c>
      <c r="T1760" s="13"/>
      <c r="U1760" s="13"/>
      <c r="V1760" s="13"/>
      <c r="W1760" s="13"/>
      <c r="X1760" s="22" t="str">
        <f aca="false">IF(Q1760="","",Q1760^2)</f>
        <v/>
      </c>
      <c r="Y1760" s="22" t="str">
        <f aca="false">IF(AND(C1760&lt;&gt;"",C1760=CERTIFICADO!$E$4,OR(CERTIFICADO!$E$5="",B1760=CERTIFICADO!$E$5)),MAX($Y$4:Y1759)+1,"")</f>
        <v/>
      </c>
    </row>
    <row r="1761" customFormat="false" ht="15" hidden="false" customHeight="false" outlineLevel="0" collapsed="false">
      <c r="A1761" s="11" t="str">
        <f aca="false">IF(C1761="","",ROW()-4)</f>
        <v/>
      </c>
      <c r="B1761" s="12"/>
      <c r="C1761" s="13"/>
      <c r="D1761" s="23" t="str">
        <f aca="false">IF(C1761="","",IFERROR(INDEX(LOTES!$D$5:$D$1004,MATCH(C1761,LOTES!$F$5:$F$1004,0)),"¿Lote?"))</f>
        <v/>
      </c>
      <c r="E1761" s="11" t="str">
        <f aca="false">IF(C1761="","",IFERROR(INDEX(LOTES!$C$5:$C$1004,MATCH(C1761,LOTES!$F$5:$F$1004,0)),""))</f>
        <v/>
      </c>
      <c r="F1761" s="24" t="str">
        <f aca="false">IF(C1761="","",IFERROR(INDEX(LOTES!$B$5:$B$1004,MATCH(C1761,LOTES!$F$5:$F$1004,0)),""))</f>
        <v/>
      </c>
      <c r="G1761" s="15" t="str">
        <f aca="false">IF(OR(B1761="",F1761=""),"",B1761-F1761)</f>
        <v/>
      </c>
      <c r="H1761" s="13"/>
      <c r="I1761" s="13"/>
      <c r="J1761" s="13"/>
      <c r="K1761" s="25"/>
      <c r="L1761" s="25"/>
      <c r="M1761" s="25"/>
      <c r="N1761" s="25"/>
      <c r="O1761" s="26"/>
      <c r="P1761" s="16" t="str">
        <f aca="false">IF(O1761="","",IFERROR(1/(1/(IF(K1761="",INDEX(CONFIG!$F$5:$F$14,MATCH(D1761,CONFIG!$D$5:$D$14,0)),K1761)*IF(M1761="",INDEX(CONFIG!$H$5:$H$14,MATCH(D1761,CONFIG!$D$5:$D$14,0)),M1761))),""))</f>
        <v/>
      </c>
      <c r="Q1761" s="16" t="str">
        <f aca="false">IF(OR(O1761="",P1761=""),"",O1761/P1761)</f>
        <v/>
      </c>
      <c r="R1761" s="16" t="str">
        <f aca="false">IF(Q1761="","",Q1761*0.0980665)</f>
        <v/>
      </c>
      <c r="S1761" s="16" t="str">
        <f aca="false">IF(Q1761="","",IFERROR(Q1761/(1/(1/INDEX(CONFIG!$I$5:$I$14,MATCH(D1761,CONFIG!$D$5:$D$14,0)))),""))</f>
        <v/>
      </c>
      <c r="T1761" s="13"/>
      <c r="U1761" s="13"/>
      <c r="V1761" s="13"/>
      <c r="W1761" s="13"/>
      <c r="X1761" s="22" t="str">
        <f aca="false">IF(Q1761="","",Q1761^2)</f>
        <v/>
      </c>
      <c r="Y1761" s="22" t="str">
        <f aca="false">IF(AND(C1761&lt;&gt;"",C1761=CERTIFICADO!$E$4,OR(CERTIFICADO!$E$5="",B1761=CERTIFICADO!$E$5)),MAX($Y$4:Y1760)+1,"")</f>
        <v/>
      </c>
    </row>
    <row r="1762" customFormat="false" ht="15" hidden="false" customHeight="false" outlineLevel="0" collapsed="false">
      <c r="A1762" s="11" t="str">
        <f aca="false">IF(C1762="","",ROW()-4)</f>
        <v/>
      </c>
      <c r="B1762" s="12"/>
      <c r="C1762" s="13"/>
      <c r="D1762" s="23" t="str">
        <f aca="false">IF(C1762="","",IFERROR(INDEX(LOTES!$D$5:$D$1004,MATCH(C1762,LOTES!$F$5:$F$1004,0)),"¿Lote?"))</f>
        <v/>
      </c>
      <c r="E1762" s="11" t="str">
        <f aca="false">IF(C1762="","",IFERROR(INDEX(LOTES!$C$5:$C$1004,MATCH(C1762,LOTES!$F$5:$F$1004,0)),""))</f>
        <v/>
      </c>
      <c r="F1762" s="24" t="str">
        <f aca="false">IF(C1762="","",IFERROR(INDEX(LOTES!$B$5:$B$1004,MATCH(C1762,LOTES!$F$5:$F$1004,0)),""))</f>
        <v/>
      </c>
      <c r="G1762" s="15" t="str">
        <f aca="false">IF(OR(B1762="",F1762=""),"",B1762-F1762)</f>
        <v/>
      </c>
      <c r="H1762" s="13"/>
      <c r="I1762" s="13"/>
      <c r="J1762" s="13"/>
      <c r="K1762" s="25"/>
      <c r="L1762" s="25"/>
      <c r="M1762" s="25"/>
      <c r="N1762" s="25"/>
      <c r="O1762" s="26"/>
      <c r="P1762" s="16" t="str">
        <f aca="false">IF(O1762="","",IFERROR(1/(1/(IF(K1762="",INDEX(CONFIG!$F$5:$F$14,MATCH(D1762,CONFIG!$D$5:$D$14,0)),K1762)*IF(M1762="",INDEX(CONFIG!$H$5:$H$14,MATCH(D1762,CONFIG!$D$5:$D$14,0)),M1762))),""))</f>
        <v/>
      </c>
      <c r="Q1762" s="16" t="str">
        <f aca="false">IF(OR(O1762="",P1762=""),"",O1762/P1762)</f>
        <v/>
      </c>
      <c r="R1762" s="16" t="str">
        <f aca="false">IF(Q1762="","",Q1762*0.0980665)</f>
        <v/>
      </c>
      <c r="S1762" s="16" t="str">
        <f aca="false">IF(Q1762="","",IFERROR(Q1762/(1/(1/INDEX(CONFIG!$I$5:$I$14,MATCH(D1762,CONFIG!$D$5:$D$14,0)))),""))</f>
        <v/>
      </c>
      <c r="T1762" s="13"/>
      <c r="U1762" s="13"/>
      <c r="V1762" s="13"/>
      <c r="W1762" s="13"/>
      <c r="X1762" s="22" t="str">
        <f aca="false">IF(Q1762="","",Q1762^2)</f>
        <v/>
      </c>
      <c r="Y1762" s="22" t="str">
        <f aca="false">IF(AND(C1762&lt;&gt;"",C1762=CERTIFICADO!$E$4,OR(CERTIFICADO!$E$5="",B1762=CERTIFICADO!$E$5)),MAX($Y$4:Y1761)+1,"")</f>
        <v/>
      </c>
    </row>
    <row r="1763" customFormat="false" ht="15" hidden="false" customHeight="false" outlineLevel="0" collapsed="false">
      <c r="A1763" s="11" t="str">
        <f aca="false">IF(C1763="","",ROW()-4)</f>
        <v/>
      </c>
      <c r="B1763" s="12"/>
      <c r="C1763" s="13"/>
      <c r="D1763" s="23" t="str">
        <f aca="false">IF(C1763="","",IFERROR(INDEX(LOTES!$D$5:$D$1004,MATCH(C1763,LOTES!$F$5:$F$1004,0)),"¿Lote?"))</f>
        <v/>
      </c>
      <c r="E1763" s="11" t="str">
        <f aca="false">IF(C1763="","",IFERROR(INDEX(LOTES!$C$5:$C$1004,MATCH(C1763,LOTES!$F$5:$F$1004,0)),""))</f>
        <v/>
      </c>
      <c r="F1763" s="24" t="str">
        <f aca="false">IF(C1763="","",IFERROR(INDEX(LOTES!$B$5:$B$1004,MATCH(C1763,LOTES!$F$5:$F$1004,0)),""))</f>
        <v/>
      </c>
      <c r="G1763" s="15" t="str">
        <f aca="false">IF(OR(B1763="",F1763=""),"",B1763-F1763)</f>
        <v/>
      </c>
      <c r="H1763" s="13"/>
      <c r="I1763" s="13"/>
      <c r="J1763" s="13"/>
      <c r="K1763" s="25"/>
      <c r="L1763" s="25"/>
      <c r="M1763" s="25"/>
      <c r="N1763" s="25"/>
      <c r="O1763" s="26"/>
      <c r="P1763" s="16" t="str">
        <f aca="false">IF(O1763="","",IFERROR(1/(1/(IF(K1763="",INDEX(CONFIG!$F$5:$F$14,MATCH(D1763,CONFIG!$D$5:$D$14,0)),K1763)*IF(M1763="",INDEX(CONFIG!$H$5:$H$14,MATCH(D1763,CONFIG!$D$5:$D$14,0)),M1763))),""))</f>
        <v/>
      </c>
      <c r="Q1763" s="16" t="str">
        <f aca="false">IF(OR(O1763="",P1763=""),"",O1763/P1763)</f>
        <v/>
      </c>
      <c r="R1763" s="16" t="str">
        <f aca="false">IF(Q1763="","",Q1763*0.0980665)</f>
        <v/>
      </c>
      <c r="S1763" s="16" t="str">
        <f aca="false">IF(Q1763="","",IFERROR(Q1763/(1/(1/INDEX(CONFIG!$I$5:$I$14,MATCH(D1763,CONFIG!$D$5:$D$14,0)))),""))</f>
        <v/>
      </c>
      <c r="T1763" s="13"/>
      <c r="U1763" s="13"/>
      <c r="V1763" s="13"/>
      <c r="W1763" s="13"/>
      <c r="X1763" s="22" t="str">
        <f aca="false">IF(Q1763="","",Q1763^2)</f>
        <v/>
      </c>
      <c r="Y1763" s="22" t="str">
        <f aca="false">IF(AND(C1763&lt;&gt;"",C1763=CERTIFICADO!$E$4,OR(CERTIFICADO!$E$5="",B1763=CERTIFICADO!$E$5)),MAX($Y$4:Y1762)+1,"")</f>
        <v/>
      </c>
    </row>
    <row r="1764" customFormat="false" ht="15" hidden="false" customHeight="false" outlineLevel="0" collapsed="false">
      <c r="A1764" s="11" t="str">
        <f aca="false">IF(C1764="","",ROW()-4)</f>
        <v/>
      </c>
      <c r="B1764" s="12"/>
      <c r="C1764" s="13"/>
      <c r="D1764" s="23" t="str">
        <f aca="false">IF(C1764="","",IFERROR(INDEX(LOTES!$D$5:$D$1004,MATCH(C1764,LOTES!$F$5:$F$1004,0)),"¿Lote?"))</f>
        <v/>
      </c>
      <c r="E1764" s="11" t="str">
        <f aca="false">IF(C1764="","",IFERROR(INDEX(LOTES!$C$5:$C$1004,MATCH(C1764,LOTES!$F$5:$F$1004,0)),""))</f>
        <v/>
      </c>
      <c r="F1764" s="24" t="str">
        <f aca="false">IF(C1764="","",IFERROR(INDEX(LOTES!$B$5:$B$1004,MATCH(C1764,LOTES!$F$5:$F$1004,0)),""))</f>
        <v/>
      </c>
      <c r="G1764" s="15" t="str">
        <f aca="false">IF(OR(B1764="",F1764=""),"",B1764-F1764)</f>
        <v/>
      </c>
      <c r="H1764" s="13"/>
      <c r="I1764" s="13"/>
      <c r="J1764" s="13"/>
      <c r="K1764" s="25"/>
      <c r="L1764" s="25"/>
      <c r="M1764" s="25"/>
      <c r="N1764" s="25"/>
      <c r="O1764" s="26"/>
      <c r="P1764" s="16" t="str">
        <f aca="false">IF(O1764="","",IFERROR(1/(1/(IF(K1764="",INDEX(CONFIG!$F$5:$F$14,MATCH(D1764,CONFIG!$D$5:$D$14,0)),K1764)*IF(M1764="",INDEX(CONFIG!$H$5:$H$14,MATCH(D1764,CONFIG!$D$5:$D$14,0)),M1764))),""))</f>
        <v/>
      </c>
      <c r="Q1764" s="16" t="str">
        <f aca="false">IF(OR(O1764="",P1764=""),"",O1764/P1764)</f>
        <v/>
      </c>
      <c r="R1764" s="16" t="str">
        <f aca="false">IF(Q1764="","",Q1764*0.0980665)</f>
        <v/>
      </c>
      <c r="S1764" s="16" t="str">
        <f aca="false">IF(Q1764="","",IFERROR(Q1764/(1/(1/INDEX(CONFIG!$I$5:$I$14,MATCH(D1764,CONFIG!$D$5:$D$14,0)))),""))</f>
        <v/>
      </c>
      <c r="T1764" s="13"/>
      <c r="U1764" s="13"/>
      <c r="V1764" s="13"/>
      <c r="W1764" s="13"/>
      <c r="X1764" s="22" t="str">
        <f aca="false">IF(Q1764="","",Q1764^2)</f>
        <v/>
      </c>
      <c r="Y1764" s="22" t="str">
        <f aca="false">IF(AND(C1764&lt;&gt;"",C1764=CERTIFICADO!$E$4,OR(CERTIFICADO!$E$5="",B1764=CERTIFICADO!$E$5)),MAX($Y$4:Y1763)+1,"")</f>
        <v/>
      </c>
    </row>
    <row r="1765" customFormat="false" ht="15" hidden="false" customHeight="false" outlineLevel="0" collapsed="false">
      <c r="A1765" s="11" t="str">
        <f aca="false">IF(C1765="","",ROW()-4)</f>
        <v/>
      </c>
      <c r="B1765" s="12"/>
      <c r="C1765" s="13"/>
      <c r="D1765" s="23" t="str">
        <f aca="false">IF(C1765="","",IFERROR(INDEX(LOTES!$D$5:$D$1004,MATCH(C1765,LOTES!$F$5:$F$1004,0)),"¿Lote?"))</f>
        <v/>
      </c>
      <c r="E1765" s="11" t="str">
        <f aca="false">IF(C1765="","",IFERROR(INDEX(LOTES!$C$5:$C$1004,MATCH(C1765,LOTES!$F$5:$F$1004,0)),""))</f>
        <v/>
      </c>
      <c r="F1765" s="24" t="str">
        <f aca="false">IF(C1765="","",IFERROR(INDEX(LOTES!$B$5:$B$1004,MATCH(C1765,LOTES!$F$5:$F$1004,0)),""))</f>
        <v/>
      </c>
      <c r="G1765" s="15" t="str">
        <f aca="false">IF(OR(B1765="",F1765=""),"",B1765-F1765)</f>
        <v/>
      </c>
      <c r="H1765" s="13"/>
      <c r="I1765" s="13"/>
      <c r="J1765" s="13"/>
      <c r="K1765" s="25"/>
      <c r="L1765" s="25"/>
      <c r="M1765" s="25"/>
      <c r="N1765" s="25"/>
      <c r="O1765" s="26"/>
      <c r="P1765" s="16" t="str">
        <f aca="false">IF(O1765="","",IFERROR(1/(1/(IF(K1765="",INDEX(CONFIG!$F$5:$F$14,MATCH(D1765,CONFIG!$D$5:$D$14,0)),K1765)*IF(M1765="",INDEX(CONFIG!$H$5:$H$14,MATCH(D1765,CONFIG!$D$5:$D$14,0)),M1765))),""))</f>
        <v/>
      </c>
      <c r="Q1765" s="16" t="str">
        <f aca="false">IF(OR(O1765="",P1765=""),"",O1765/P1765)</f>
        <v/>
      </c>
      <c r="R1765" s="16" t="str">
        <f aca="false">IF(Q1765="","",Q1765*0.0980665)</f>
        <v/>
      </c>
      <c r="S1765" s="16" t="str">
        <f aca="false">IF(Q1765="","",IFERROR(Q1765/(1/(1/INDEX(CONFIG!$I$5:$I$14,MATCH(D1765,CONFIG!$D$5:$D$14,0)))),""))</f>
        <v/>
      </c>
      <c r="T1765" s="13"/>
      <c r="U1765" s="13"/>
      <c r="V1765" s="13"/>
      <c r="W1765" s="13"/>
      <c r="X1765" s="22" t="str">
        <f aca="false">IF(Q1765="","",Q1765^2)</f>
        <v/>
      </c>
      <c r="Y1765" s="22" t="str">
        <f aca="false">IF(AND(C1765&lt;&gt;"",C1765=CERTIFICADO!$E$4,OR(CERTIFICADO!$E$5="",B1765=CERTIFICADO!$E$5)),MAX($Y$4:Y1764)+1,"")</f>
        <v/>
      </c>
    </row>
    <row r="1766" customFormat="false" ht="15" hidden="false" customHeight="false" outlineLevel="0" collapsed="false">
      <c r="A1766" s="11" t="str">
        <f aca="false">IF(C1766="","",ROW()-4)</f>
        <v/>
      </c>
      <c r="B1766" s="12"/>
      <c r="C1766" s="13"/>
      <c r="D1766" s="23" t="str">
        <f aca="false">IF(C1766="","",IFERROR(INDEX(LOTES!$D$5:$D$1004,MATCH(C1766,LOTES!$F$5:$F$1004,0)),"¿Lote?"))</f>
        <v/>
      </c>
      <c r="E1766" s="11" t="str">
        <f aca="false">IF(C1766="","",IFERROR(INDEX(LOTES!$C$5:$C$1004,MATCH(C1766,LOTES!$F$5:$F$1004,0)),""))</f>
        <v/>
      </c>
      <c r="F1766" s="24" t="str">
        <f aca="false">IF(C1766="","",IFERROR(INDEX(LOTES!$B$5:$B$1004,MATCH(C1766,LOTES!$F$5:$F$1004,0)),""))</f>
        <v/>
      </c>
      <c r="G1766" s="15" t="str">
        <f aca="false">IF(OR(B1766="",F1766=""),"",B1766-F1766)</f>
        <v/>
      </c>
      <c r="H1766" s="13"/>
      <c r="I1766" s="13"/>
      <c r="J1766" s="13"/>
      <c r="K1766" s="25"/>
      <c r="L1766" s="25"/>
      <c r="M1766" s="25"/>
      <c r="N1766" s="25"/>
      <c r="O1766" s="26"/>
      <c r="P1766" s="16" t="str">
        <f aca="false">IF(O1766="","",IFERROR(1/(1/(IF(K1766="",INDEX(CONFIG!$F$5:$F$14,MATCH(D1766,CONFIG!$D$5:$D$14,0)),K1766)*IF(M1766="",INDEX(CONFIG!$H$5:$H$14,MATCH(D1766,CONFIG!$D$5:$D$14,0)),M1766))),""))</f>
        <v/>
      </c>
      <c r="Q1766" s="16" t="str">
        <f aca="false">IF(OR(O1766="",P1766=""),"",O1766/P1766)</f>
        <v/>
      </c>
      <c r="R1766" s="16" t="str">
        <f aca="false">IF(Q1766="","",Q1766*0.0980665)</f>
        <v/>
      </c>
      <c r="S1766" s="16" t="str">
        <f aca="false">IF(Q1766="","",IFERROR(Q1766/(1/(1/INDEX(CONFIG!$I$5:$I$14,MATCH(D1766,CONFIG!$D$5:$D$14,0)))),""))</f>
        <v/>
      </c>
      <c r="T1766" s="13"/>
      <c r="U1766" s="13"/>
      <c r="V1766" s="13"/>
      <c r="W1766" s="13"/>
      <c r="X1766" s="22" t="str">
        <f aca="false">IF(Q1766="","",Q1766^2)</f>
        <v/>
      </c>
      <c r="Y1766" s="22" t="str">
        <f aca="false">IF(AND(C1766&lt;&gt;"",C1766=CERTIFICADO!$E$4,OR(CERTIFICADO!$E$5="",B1766=CERTIFICADO!$E$5)),MAX($Y$4:Y1765)+1,"")</f>
        <v/>
      </c>
    </row>
    <row r="1767" customFormat="false" ht="15" hidden="false" customHeight="false" outlineLevel="0" collapsed="false">
      <c r="A1767" s="11" t="str">
        <f aca="false">IF(C1767="","",ROW()-4)</f>
        <v/>
      </c>
      <c r="B1767" s="12"/>
      <c r="C1767" s="13"/>
      <c r="D1767" s="23" t="str">
        <f aca="false">IF(C1767="","",IFERROR(INDEX(LOTES!$D$5:$D$1004,MATCH(C1767,LOTES!$F$5:$F$1004,0)),"¿Lote?"))</f>
        <v/>
      </c>
      <c r="E1767" s="11" t="str">
        <f aca="false">IF(C1767="","",IFERROR(INDEX(LOTES!$C$5:$C$1004,MATCH(C1767,LOTES!$F$5:$F$1004,0)),""))</f>
        <v/>
      </c>
      <c r="F1767" s="24" t="str">
        <f aca="false">IF(C1767="","",IFERROR(INDEX(LOTES!$B$5:$B$1004,MATCH(C1767,LOTES!$F$5:$F$1004,0)),""))</f>
        <v/>
      </c>
      <c r="G1767" s="15" t="str">
        <f aca="false">IF(OR(B1767="",F1767=""),"",B1767-F1767)</f>
        <v/>
      </c>
      <c r="H1767" s="13"/>
      <c r="I1767" s="13"/>
      <c r="J1767" s="13"/>
      <c r="K1767" s="25"/>
      <c r="L1767" s="25"/>
      <c r="M1767" s="25"/>
      <c r="N1767" s="25"/>
      <c r="O1767" s="26"/>
      <c r="P1767" s="16" t="str">
        <f aca="false">IF(O1767="","",IFERROR(1/(1/(IF(K1767="",INDEX(CONFIG!$F$5:$F$14,MATCH(D1767,CONFIG!$D$5:$D$14,0)),K1767)*IF(M1767="",INDEX(CONFIG!$H$5:$H$14,MATCH(D1767,CONFIG!$D$5:$D$14,0)),M1767))),""))</f>
        <v/>
      </c>
      <c r="Q1767" s="16" t="str">
        <f aca="false">IF(OR(O1767="",P1767=""),"",O1767/P1767)</f>
        <v/>
      </c>
      <c r="R1767" s="16" t="str">
        <f aca="false">IF(Q1767="","",Q1767*0.0980665)</f>
        <v/>
      </c>
      <c r="S1767" s="16" t="str">
        <f aca="false">IF(Q1767="","",IFERROR(Q1767/(1/(1/INDEX(CONFIG!$I$5:$I$14,MATCH(D1767,CONFIG!$D$5:$D$14,0)))),""))</f>
        <v/>
      </c>
      <c r="T1767" s="13"/>
      <c r="U1767" s="13"/>
      <c r="V1767" s="13"/>
      <c r="W1767" s="13"/>
      <c r="X1767" s="22" t="str">
        <f aca="false">IF(Q1767="","",Q1767^2)</f>
        <v/>
      </c>
      <c r="Y1767" s="22" t="str">
        <f aca="false">IF(AND(C1767&lt;&gt;"",C1767=CERTIFICADO!$E$4,OR(CERTIFICADO!$E$5="",B1767=CERTIFICADO!$E$5)),MAX($Y$4:Y1766)+1,"")</f>
        <v/>
      </c>
    </row>
    <row r="1768" customFormat="false" ht="15" hidden="false" customHeight="false" outlineLevel="0" collapsed="false">
      <c r="A1768" s="11" t="str">
        <f aca="false">IF(C1768="","",ROW()-4)</f>
        <v/>
      </c>
      <c r="B1768" s="12"/>
      <c r="C1768" s="13"/>
      <c r="D1768" s="23" t="str">
        <f aca="false">IF(C1768="","",IFERROR(INDEX(LOTES!$D$5:$D$1004,MATCH(C1768,LOTES!$F$5:$F$1004,0)),"¿Lote?"))</f>
        <v/>
      </c>
      <c r="E1768" s="11" t="str">
        <f aca="false">IF(C1768="","",IFERROR(INDEX(LOTES!$C$5:$C$1004,MATCH(C1768,LOTES!$F$5:$F$1004,0)),""))</f>
        <v/>
      </c>
      <c r="F1768" s="24" t="str">
        <f aca="false">IF(C1768="","",IFERROR(INDEX(LOTES!$B$5:$B$1004,MATCH(C1768,LOTES!$F$5:$F$1004,0)),""))</f>
        <v/>
      </c>
      <c r="G1768" s="15" t="str">
        <f aca="false">IF(OR(B1768="",F1768=""),"",B1768-F1768)</f>
        <v/>
      </c>
      <c r="H1768" s="13"/>
      <c r="I1768" s="13"/>
      <c r="J1768" s="13"/>
      <c r="K1768" s="25"/>
      <c r="L1768" s="25"/>
      <c r="M1768" s="25"/>
      <c r="N1768" s="25"/>
      <c r="O1768" s="26"/>
      <c r="P1768" s="16" t="str">
        <f aca="false">IF(O1768="","",IFERROR(1/(1/(IF(K1768="",INDEX(CONFIG!$F$5:$F$14,MATCH(D1768,CONFIG!$D$5:$D$14,0)),K1768)*IF(M1768="",INDEX(CONFIG!$H$5:$H$14,MATCH(D1768,CONFIG!$D$5:$D$14,0)),M1768))),""))</f>
        <v/>
      </c>
      <c r="Q1768" s="16" t="str">
        <f aca="false">IF(OR(O1768="",P1768=""),"",O1768/P1768)</f>
        <v/>
      </c>
      <c r="R1768" s="16" t="str">
        <f aca="false">IF(Q1768="","",Q1768*0.0980665)</f>
        <v/>
      </c>
      <c r="S1768" s="16" t="str">
        <f aca="false">IF(Q1768="","",IFERROR(Q1768/(1/(1/INDEX(CONFIG!$I$5:$I$14,MATCH(D1768,CONFIG!$D$5:$D$14,0)))),""))</f>
        <v/>
      </c>
      <c r="T1768" s="13"/>
      <c r="U1768" s="13"/>
      <c r="V1768" s="13"/>
      <c r="W1768" s="13"/>
      <c r="X1768" s="22" t="str">
        <f aca="false">IF(Q1768="","",Q1768^2)</f>
        <v/>
      </c>
      <c r="Y1768" s="22" t="str">
        <f aca="false">IF(AND(C1768&lt;&gt;"",C1768=CERTIFICADO!$E$4,OR(CERTIFICADO!$E$5="",B1768=CERTIFICADO!$E$5)),MAX($Y$4:Y1767)+1,"")</f>
        <v/>
      </c>
    </row>
    <row r="1769" customFormat="false" ht="15" hidden="false" customHeight="false" outlineLevel="0" collapsed="false">
      <c r="A1769" s="11" t="str">
        <f aca="false">IF(C1769="","",ROW()-4)</f>
        <v/>
      </c>
      <c r="B1769" s="12"/>
      <c r="C1769" s="13"/>
      <c r="D1769" s="23" t="str">
        <f aca="false">IF(C1769="","",IFERROR(INDEX(LOTES!$D$5:$D$1004,MATCH(C1769,LOTES!$F$5:$F$1004,0)),"¿Lote?"))</f>
        <v/>
      </c>
      <c r="E1769" s="11" t="str">
        <f aca="false">IF(C1769="","",IFERROR(INDEX(LOTES!$C$5:$C$1004,MATCH(C1769,LOTES!$F$5:$F$1004,0)),""))</f>
        <v/>
      </c>
      <c r="F1769" s="24" t="str">
        <f aca="false">IF(C1769="","",IFERROR(INDEX(LOTES!$B$5:$B$1004,MATCH(C1769,LOTES!$F$5:$F$1004,0)),""))</f>
        <v/>
      </c>
      <c r="G1769" s="15" t="str">
        <f aca="false">IF(OR(B1769="",F1769=""),"",B1769-F1769)</f>
        <v/>
      </c>
      <c r="H1769" s="13"/>
      <c r="I1769" s="13"/>
      <c r="J1769" s="13"/>
      <c r="K1769" s="25"/>
      <c r="L1769" s="25"/>
      <c r="M1769" s="25"/>
      <c r="N1769" s="25"/>
      <c r="O1769" s="26"/>
      <c r="P1769" s="16" t="str">
        <f aca="false">IF(O1769="","",IFERROR(1/(1/(IF(K1769="",INDEX(CONFIG!$F$5:$F$14,MATCH(D1769,CONFIG!$D$5:$D$14,0)),K1769)*IF(M1769="",INDEX(CONFIG!$H$5:$H$14,MATCH(D1769,CONFIG!$D$5:$D$14,0)),M1769))),""))</f>
        <v/>
      </c>
      <c r="Q1769" s="16" t="str">
        <f aca="false">IF(OR(O1769="",P1769=""),"",O1769/P1769)</f>
        <v/>
      </c>
      <c r="R1769" s="16" t="str">
        <f aca="false">IF(Q1769="","",Q1769*0.0980665)</f>
        <v/>
      </c>
      <c r="S1769" s="16" t="str">
        <f aca="false">IF(Q1769="","",IFERROR(Q1769/(1/(1/INDEX(CONFIG!$I$5:$I$14,MATCH(D1769,CONFIG!$D$5:$D$14,0)))),""))</f>
        <v/>
      </c>
      <c r="T1769" s="13"/>
      <c r="U1769" s="13"/>
      <c r="V1769" s="13"/>
      <c r="W1769" s="13"/>
      <c r="X1769" s="22" t="str">
        <f aca="false">IF(Q1769="","",Q1769^2)</f>
        <v/>
      </c>
      <c r="Y1769" s="22" t="str">
        <f aca="false">IF(AND(C1769&lt;&gt;"",C1769=CERTIFICADO!$E$4,OR(CERTIFICADO!$E$5="",B1769=CERTIFICADO!$E$5)),MAX($Y$4:Y1768)+1,"")</f>
        <v/>
      </c>
    </row>
    <row r="1770" customFormat="false" ht="15" hidden="false" customHeight="false" outlineLevel="0" collapsed="false">
      <c r="A1770" s="11" t="str">
        <f aca="false">IF(C1770="","",ROW()-4)</f>
        <v/>
      </c>
      <c r="B1770" s="12"/>
      <c r="C1770" s="13"/>
      <c r="D1770" s="23" t="str">
        <f aca="false">IF(C1770="","",IFERROR(INDEX(LOTES!$D$5:$D$1004,MATCH(C1770,LOTES!$F$5:$F$1004,0)),"¿Lote?"))</f>
        <v/>
      </c>
      <c r="E1770" s="11" t="str">
        <f aca="false">IF(C1770="","",IFERROR(INDEX(LOTES!$C$5:$C$1004,MATCH(C1770,LOTES!$F$5:$F$1004,0)),""))</f>
        <v/>
      </c>
      <c r="F1770" s="24" t="str">
        <f aca="false">IF(C1770="","",IFERROR(INDEX(LOTES!$B$5:$B$1004,MATCH(C1770,LOTES!$F$5:$F$1004,0)),""))</f>
        <v/>
      </c>
      <c r="G1770" s="15" t="str">
        <f aca="false">IF(OR(B1770="",F1770=""),"",B1770-F1770)</f>
        <v/>
      </c>
      <c r="H1770" s="13"/>
      <c r="I1770" s="13"/>
      <c r="J1770" s="13"/>
      <c r="K1770" s="25"/>
      <c r="L1770" s="25"/>
      <c r="M1770" s="25"/>
      <c r="N1770" s="25"/>
      <c r="O1770" s="26"/>
      <c r="P1770" s="16" t="str">
        <f aca="false">IF(O1770="","",IFERROR(1/(1/(IF(K1770="",INDEX(CONFIG!$F$5:$F$14,MATCH(D1770,CONFIG!$D$5:$D$14,0)),K1770)*IF(M1770="",INDEX(CONFIG!$H$5:$H$14,MATCH(D1770,CONFIG!$D$5:$D$14,0)),M1770))),""))</f>
        <v/>
      </c>
      <c r="Q1770" s="16" t="str">
        <f aca="false">IF(OR(O1770="",P1770=""),"",O1770/P1770)</f>
        <v/>
      </c>
      <c r="R1770" s="16" t="str">
        <f aca="false">IF(Q1770="","",Q1770*0.0980665)</f>
        <v/>
      </c>
      <c r="S1770" s="16" t="str">
        <f aca="false">IF(Q1770="","",IFERROR(Q1770/(1/(1/INDEX(CONFIG!$I$5:$I$14,MATCH(D1770,CONFIG!$D$5:$D$14,0)))),""))</f>
        <v/>
      </c>
      <c r="T1770" s="13"/>
      <c r="U1770" s="13"/>
      <c r="V1770" s="13"/>
      <c r="W1770" s="13"/>
      <c r="X1770" s="22" t="str">
        <f aca="false">IF(Q1770="","",Q1770^2)</f>
        <v/>
      </c>
      <c r="Y1770" s="22" t="str">
        <f aca="false">IF(AND(C1770&lt;&gt;"",C1770=CERTIFICADO!$E$4,OR(CERTIFICADO!$E$5="",B1770=CERTIFICADO!$E$5)),MAX($Y$4:Y1769)+1,"")</f>
        <v/>
      </c>
    </row>
    <row r="1771" customFormat="false" ht="15" hidden="false" customHeight="false" outlineLevel="0" collapsed="false">
      <c r="A1771" s="11" t="str">
        <f aca="false">IF(C1771="","",ROW()-4)</f>
        <v/>
      </c>
      <c r="B1771" s="12"/>
      <c r="C1771" s="13"/>
      <c r="D1771" s="23" t="str">
        <f aca="false">IF(C1771="","",IFERROR(INDEX(LOTES!$D$5:$D$1004,MATCH(C1771,LOTES!$F$5:$F$1004,0)),"¿Lote?"))</f>
        <v/>
      </c>
      <c r="E1771" s="11" t="str">
        <f aca="false">IF(C1771="","",IFERROR(INDEX(LOTES!$C$5:$C$1004,MATCH(C1771,LOTES!$F$5:$F$1004,0)),""))</f>
        <v/>
      </c>
      <c r="F1771" s="24" t="str">
        <f aca="false">IF(C1771="","",IFERROR(INDEX(LOTES!$B$5:$B$1004,MATCH(C1771,LOTES!$F$5:$F$1004,0)),""))</f>
        <v/>
      </c>
      <c r="G1771" s="15" t="str">
        <f aca="false">IF(OR(B1771="",F1771=""),"",B1771-F1771)</f>
        <v/>
      </c>
      <c r="H1771" s="13"/>
      <c r="I1771" s="13"/>
      <c r="J1771" s="13"/>
      <c r="K1771" s="25"/>
      <c r="L1771" s="25"/>
      <c r="M1771" s="25"/>
      <c r="N1771" s="25"/>
      <c r="O1771" s="26"/>
      <c r="P1771" s="16" t="str">
        <f aca="false">IF(O1771="","",IFERROR(1/(1/(IF(K1771="",INDEX(CONFIG!$F$5:$F$14,MATCH(D1771,CONFIG!$D$5:$D$14,0)),K1771)*IF(M1771="",INDEX(CONFIG!$H$5:$H$14,MATCH(D1771,CONFIG!$D$5:$D$14,0)),M1771))),""))</f>
        <v/>
      </c>
      <c r="Q1771" s="16" t="str">
        <f aca="false">IF(OR(O1771="",P1771=""),"",O1771/P1771)</f>
        <v/>
      </c>
      <c r="R1771" s="16" t="str">
        <f aca="false">IF(Q1771="","",Q1771*0.0980665)</f>
        <v/>
      </c>
      <c r="S1771" s="16" t="str">
        <f aca="false">IF(Q1771="","",IFERROR(Q1771/(1/(1/INDEX(CONFIG!$I$5:$I$14,MATCH(D1771,CONFIG!$D$5:$D$14,0)))),""))</f>
        <v/>
      </c>
      <c r="T1771" s="13"/>
      <c r="U1771" s="13"/>
      <c r="V1771" s="13"/>
      <c r="W1771" s="13"/>
      <c r="X1771" s="22" t="str">
        <f aca="false">IF(Q1771="","",Q1771^2)</f>
        <v/>
      </c>
      <c r="Y1771" s="22" t="str">
        <f aca="false">IF(AND(C1771&lt;&gt;"",C1771=CERTIFICADO!$E$4,OR(CERTIFICADO!$E$5="",B1771=CERTIFICADO!$E$5)),MAX($Y$4:Y1770)+1,"")</f>
        <v/>
      </c>
    </row>
    <row r="1772" customFormat="false" ht="15" hidden="false" customHeight="false" outlineLevel="0" collapsed="false">
      <c r="A1772" s="11" t="str">
        <f aca="false">IF(C1772="","",ROW()-4)</f>
        <v/>
      </c>
      <c r="B1772" s="12"/>
      <c r="C1772" s="13"/>
      <c r="D1772" s="23" t="str">
        <f aca="false">IF(C1772="","",IFERROR(INDEX(LOTES!$D$5:$D$1004,MATCH(C1772,LOTES!$F$5:$F$1004,0)),"¿Lote?"))</f>
        <v/>
      </c>
      <c r="E1772" s="11" t="str">
        <f aca="false">IF(C1772="","",IFERROR(INDEX(LOTES!$C$5:$C$1004,MATCH(C1772,LOTES!$F$5:$F$1004,0)),""))</f>
        <v/>
      </c>
      <c r="F1772" s="24" t="str">
        <f aca="false">IF(C1772="","",IFERROR(INDEX(LOTES!$B$5:$B$1004,MATCH(C1772,LOTES!$F$5:$F$1004,0)),""))</f>
        <v/>
      </c>
      <c r="G1772" s="15" t="str">
        <f aca="false">IF(OR(B1772="",F1772=""),"",B1772-F1772)</f>
        <v/>
      </c>
      <c r="H1772" s="13"/>
      <c r="I1772" s="13"/>
      <c r="J1772" s="13"/>
      <c r="K1772" s="25"/>
      <c r="L1772" s="25"/>
      <c r="M1772" s="25"/>
      <c r="N1772" s="25"/>
      <c r="O1772" s="26"/>
      <c r="P1772" s="16" t="str">
        <f aca="false">IF(O1772="","",IFERROR(1/(1/(IF(K1772="",INDEX(CONFIG!$F$5:$F$14,MATCH(D1772,CONFIG!$D$5:$D$14,0)),K1772)*IF(M1772="",INDEX(CONFIG!$H$5:$H$14,MATCH(D1772,CONFIG!$D$5:$D$14,0)),M1772))),""))</f>
        <v/>
      </c>
      <c r="Q1772" s="16" t="str">
        <f aca="false">IF(OR(O1772="",P1772=""),"",O1772/P1772)</f>
        <v/>
      </c>
      <c r="R1772" s="16" t="str">
        <f aca="false">IF(Q1772="","",Q1772*0.0980665)</f>
        <v/>
      </c>
      <c r="S1772" s="16" t="str">
        <f aca="false">IF(Q1772="","",IFERROR(Q1772/(1/(1/INDEX(CONFIG!$I$5:$I$14,MATCH(D1772,CONFIG!$D$5:$D$14,0)))),""))</f>
        <v/>
      </c>
      <c r="T1772" s="13"/>
      <c r="U1772" s="13"/>
      <c r="V1772" s="13"/>
      <c r="W1772" s="13"/>
      <c r="X1772" s="22" t="str">
        <f aca="false">IF(Q1772="","",Q1772^2)</f>
        <v/>
      </c>
      <c r="Y1772" s="22" t="str">
        <f aca="false">IF(AND(C1772&lt;&gt;"",C1772=CERTIFICADO!$E$4,OR(CERTIFICADO!$E$5="",B1772=CERTIFICADO!$E$5)),MAX($Y$4:Y1771)+1,"")</f>
        <v/>
      </c>
    </row>
    <row r="1773" customFormat="false" ht="15" hidden="false" customHeight="false" outlineLevel="0" collapsed="false">
      <c r="A1773" s="11" t="str">
        <f aca="false">IF(C1773="","",ROW()-4)</f>
        <v/>
      </c>
      <c r="B1773" s="12"/>
      <c r="C1773" s="13"/>
      <c r="D1773" s="23" t="str">
        <f aca="false">IF(C1773="","",IFERROR(INDEX(LOTES!$D$5:$D$1004,MATCH(C1773,LOTES!$F$5:$F$1004,0)),"¿Lote?"))</f>
        <v/>
      </c>
      <c r="E1773" s="11" t="str">
        <f aca="false">IF(C1773="","",IFERROR(INDEX(LOTES!$C$5:$C$1004,MATCH(C1773,LOTES!$F$5:$F$1004,0)),""))</f>
        <v/>
      </c>
      <c r="F1773" s="24" t="str">
        <f aca="false">IF(C1773="","",IFERROR(INDEX(LOTES!$B$5:$B$1004,MATCH(C1773,LOTES!$F$5:$F$1004,0)),""))</f>
        <v/>
      </c>
      <c r="G1773" s="15" t="str">
        <f aca="false">IF(OR(B1773="",F1773=""),"",B1773-F1773)</f>
        <v/>
      </c>
      <c r="H1773" s="13"/>
      <c r="I1773" s="13"/>
      <c r="J1773" s="13"/>
      <c r="K1773" s="25"/>
      <c r="L1773" s="25"/>
      <c r="M1773" s="25"/>
      <c r="N1773" s="25"/>
      <c r="O1773" s="26"/>
      <c r="P1773" s="16" t="str">
        <f aca="false">IF(O1773="","",IFERROR(1/(1/(IF(K1773="",INDEX(CONFIG!$F$5:$F$14,MATCH(D1773,CONFIG!$D$5:$D$14,0)),K1773)*IF(M1773="",INDEX(CONFIG!$H$5:$H$14,MATCH(D1773,CONFIG!$D$5:$D$14,0)),M1773))),""))</f>
        <v/>
      </c>
      <c r="Q1773" s="16" t="str">
        <f aca="false">IF(OR(O1773="",P1773=""),"",O1773/P1773)</f>
        <v/>
      </c>
      <c r="R1773" s="16" t="str">
        <f aca="false">IF(Q1773="","",Q1773*0.0980665)</f>
        <v/>
      </c>
      <c r="S1773" s="16" t="str">
        <f aca="false">IF(Q1773="","",IFERROR(Q1773/(1/(1/INDEX(CONFIG!$I$5:$I$14,MATCH(D1773,CONFIG!$D$5:$D$14,0)))),""))</f>
        <v/>
      </c>
      <c r="T1773" s="13"/>
      <c r="U1773" s="13"/>
      <c r="V1773" s="13"/>
      <c r="W1773" s="13"/>
      <c r="X1773" s="22" t="str">
        <f aca="false">IF(Q1773="","",Q1773^2)</f>
        <v/>
      </c>
      <c r="Y1773" s="22" t="str">
        <f aca="false">IF(AND(C1773&lt;&gt;"",C1773=CERTIFICADO!$E$4,OR(CERTIFICADO!$E$5="",B1773=CERTIFICADO!$E$5)),MAX($Y$4:Y1772)+1,"")</f>
        <v/>
      </c>
    </row>
    <row r="1774" customFormat="false" ht="15" hidden="false" customHeight="false" outlineLevel="0" collapsed="false">
      <c r="A1774" s="11" t="str">
        <f aca="false">IF(C1774="","",ROW()-4)</f>
        <v/>
      </c>
      <c r="B1774" s="12"/>
      <c r="C1774" s="13"/>
      <c r="D1774" s="23" t="str">
        <f aca="false">IF(C1774="","",IFERROR(INDEX(LOTES!$D$5:$D$1004,MATCH(C1774,LOTES!$F$5:$F$1004,0)),"¿Lote?"))</f>
        <v/>
      </c>
      <c r="E1774" s="11" t="str">
        <f aca="false">IF(C1774="","",IFERROR(INDEX(LOTES!$C$5:$C$1004,MATCH(C1774,LOTES!$F$5:$F$1004,0)),""))</f>
        <v/>
      </c>
      <c r="F1774" s="24" t="str">
        <f aca="false">IF(C1774="","",IFERROR(INDEX(LOTES!$B$5:$B$1004,MATCH(C1774,LOTES!$F$5:$F$1004,0)),""))</f>
        <v/>
      </c>
      <c r="G1774" s="15" t="str">
        <f aca="false">IF(OR(B1774="",F1774=""),"",B1774-F1774)</f>
        <v/>
      </c>
      <c r="H1774" s="13"/>
      <c r="I1774" s="13"/>
      <c r="J1774" s="13"/>
      <c r="K1774" s="25"/>
      <c r="L1774" s="25"/>
      <c r="M1774" s="25"/>
      <c r="N1774" s="25"/>
      <c r="O1774" s="26"/>
      <c r="P1774" s="16" t="str">
        <f aca="false">IF(O1774="","",IFERROR(1/(1/(IF(K1774="",INDEX(CONFIG!$F$5:$F$14,MATCH(D1774,CONFIG!$D$5:$D$14,0)),K1774)*IF(M1774="",INDEX(CONFIG!$H$5:$H$14,MATCH(D1774,CONFIG!$D$5:$D$14,0)),M1774))),""))</f>
        <v/>
      </c>
      <c r="Q1774" s="16" t="str">
        <f aca="false">IF(OR(O1774="",P1774=""),"",O1774/P1774)</f>
        <v/>
      </c>
      <c r="R1774" s="16" t="str">
        <f aca="false">IF(Q1774="","",Q1774*0.0980665)</f>
        <v/>
      </c>
      <c r="S1774" s="16" t="str">
        <f aca="false">IF(Q1774="","",IFERROR(Q1774/(1/(1/INDEX(CONFIG!$I$5:$I$14,MATCH(D1774,CONFIG!$D$5:$D$14,0)))),""))</f>
        <v/>
      </c>
      <c r="T1774" s="13"/>
      <c r="U1774" s="13"/>
      <c r="V1774" s="13"/>
      <c r="W1774" s="13"/>
      <c r="X1774" s="22" t="str">
        <f aca="false">IF(Q1774="","",Q1774^2)</f>
        <v/>
      </c>
      <c r="Y1774" s="22" t="str">
        <f aca="false">IF(AND(C1774&lt;&gt;"",C1774=CERTIFICADO!$E$4,OR(CERTIFICADO!$E$5="",B1774=CERTIFICADO!$E$5)),MAX($Y$4:Y1773)+1,"")</f>
        <v/>
      </c>
    </row>
    <row r="1775" customFormat="false" ht="15" hidden="false" customHeight="false" outlineLevel="0" collapsed="false">
      <c r="A1775" s="11" t="str">
        <f aca="false">IF(C1775="","",ROW()-4)</f>
        <v/>
      </c>
      <c r="B1775" s="12"/>
      <c r="C1775" s="13"/>
      <c r="D1775" s="23" t="str">
        <f aca="false">IF(C1775="","",IFERROR(INDEX(LOTES!$D$5:$D$1004,MATCH(C1775,LOTES!$F$5:$F$1004,0)),"¿Lote?"))</f>
        <v/>
      </c>
      <c r="E1775" s="11" t="str">
        <f aca="false">IF(C1775="","",IFERROR(INDEX(LOTES!$C$5:$C$1004,MATCH(C1775,LOTES!$F$5:$F$1004,0)),""))</f>
        <v/>
      </c>
      <c r="F1775" s="24" t="str">
        <f aca="false">IF(C1775="","",IFERROR(INDEX(LOTES!$B$5:$B$1004,MATCH(C1775,LOTES!$F$5:$F$1004,0)),""))</f>
        <v/>
      </c>
      <c r="G1775" s="15" t="str">
        <f aca="false">IF(OR(B1775="",F1775=""),"",B1775-F1775)</f>
        <v/>
      </c>
      <c r="H1775" s="13"/>
      <c r="I1775" s="13"/>
      <c r="J1775" s="13"/>
      <c r="K1775" s="25"/>
      <c r="L1775" s="25"/>
      <c r="M1775" s="25"/>
      <c r="N1775" s="25"/>
      <c r="O1775" s="26"/>
      <c r="P1775" s="16" t="str">
        <f aca="false">IF(O1775="","",IFERROR(1/(1/(IF(K1775="",INDEX(CONFIG!$F$5:$F$14,MATCH(D1775,CONFIG!$D$5:$D$14,0)),K1775)*IF(M1775="",INDEX(CONFIG!$H$5:$H$14,MATCH(D1775,CONFIG!$D$5:$D$14,0)),M1775))),""))</f>
        <v/>
      </c>
      <c r="Q1775" s="16" t="str">
        <f aca="false">IF(OR(O1775="",P1775=""),"",O1775/P1775)</f>
        <v/>
      </c>
      <c r="R1775" s="16" t="str">
        <f aca="false">IF(Q1775="","",Q1775*0.0980665)</f>
        <v/>
      </c>
      <c r="S1775" s="16" t="str">
        <f aca="false">IF(Q1775="","",IFERROR(Q1775/(1/(1/INDEX(CONFIG!$I$5:$I$14,MATCH(D1775,CONFIG!$D$5:$D$14,0)))),""))</f>
        <v/>
      </c>
      <c r="T1775" s="13"/>
      <c r="U1775" s="13"/>
      <c r="V1775" s="13"/>
      <c r="W1775" s="13"/>
      <c r="X1775" s="22" t="str">
        <f aca="false">IF(Q1775="","",Q1775^2)</f>
        <v/>
      </c>
      <c r="Y1775" s="22" t="str">
        <f aca="false">IF(AND(C1775&lt;&gt;"",C1775=CERTIFICADO!$E$4,OR(CERTIFICADO!$E$5="",B1775=CERTIFICADO!$E$5)),MAX($Y$4:Y1774)+1,"")</f>
        <v/>
      </c>
    </row>
    <row r="1776" customFormat="false" ht="15" hidden="false" customHeight="false" outlineLevel="0" collapsed="false">
      <c r="A1776" s="11" t="str">
        <f aca="false">IF(C1776="","",ROW()-4)</f>
        <v/>
      </c>
      <c r="B1776" s="12"/>
      <c r="C1776" s="13"/>
      <c r="D1776" s="23" t="str">
        <f aca="false">IF(C1776="","",IFERROR(INDEX(LOTES!$D$5:$D$1004,MATCH(C1776,LOTES!$F$5:$F$1004,0)),"¿Lote?"))</f>
        <v/>
      </c>
      <c r="E1776" s="11" t="str">
        <f aca="false">IF(C1776="","",IFERROR(INDEX(LOTES!$C$5:$C$1004,MATCH(C1776,LOTES!$F$5:$F$1004,0)),""))</f>
        <v/>
      </c>
      <c r="F1776" s="24" t="str">
        <f aca="false">IF(C1776="","",IFERROR(INDEX(LOTES!$B$5:$B$1004,MATCH(C1776,LOTES!$F$5:$F$1004,0)),""))</f>
        <v/>
      </c>
      <c r="G1776" s="15" t="str">
        <f aca="false">IF(OR(B1776="",F1776=""),"",B1776-F1776)</f>
        <v/>
      </c>
      <c r="H1776" s="13"/>
      <c r="I1776" s="13"/>
      <c r="J1776" s="13"/>
      <c r="K1776" s="25"/>
      <c r="L1776" s="25"/>
      <c r="M1776" s="25"/>
      <c r="N1776" s="25"/>
      <c r="O1776" s="26"/>
      <c r="P1776" s="16" t="str">
        <f aca="false">IF(O1776="","",IFERROR(1/(1/(IF(K1776="",INDEX(CONFIG!$F$5:$F$14,MATCH(D1776,CONFIG!$D$5:$D$14,0)),K1776)*IF(M1776="",INDEX(CONFIG!$H$5:$H$14,MATCH(D1776,CONFIG!$D$5:$D$14,0)),M1776))),""))</f>
        <v/>
      </c>
      <c r="Q1776" s="16" t="str">
        <f aca="false">IF(OR(O1776="",P1776=""),"",O1776/P1776)</f>
        <v/>
      </c>
      <c r="R1776" s="16" t="str">
        <f aca="false">IF(Q1776="","",Q1776*0.0980665)</f>
        <v/>
      </c>
      <c r="S1776" s="16" t="str">
        <f aca="false">IF(Q1776="","",IFERROR(Q1776/(1/(1/INDEX(CONFIG!$I$5:$I$14,MATCH(D1776,CONFIG!$D$5:$D$14,0)))),""))</f>
        <v/>
      </c>
      <c r="T1776" s="13"/>
      <c r="U1776" s="13"/>
      <c r="V1776" s="13"/>
      <c r="W1776" s="13"/>
      <c r="X1776" s="22" t="str">
        <f aca="false">IF(Q1776="","",Q1776^2)</f>
        <v/>
      </c>
      <c r="Y1776" s="22" t="str">
        <f aca="false">IF(AND(C1776&lt;&gt;"",C1776=CERTIFICADO!$E$4,OR(CERTIFICADO!$E$5="",B1776=CERTIFICADO!$E$5)),MAX($Y$4:Y1775)+1,"")</f>
        <v/>
      </c>
    </row>
    <row r="1777" customFormat="false" ht="15" hidden="false" customHeight="false" outlineLevel="0" collapsed="false">
      <c r="A1777" s="11" t="str">
        <f aca="false">IF(C1777="","",ROW()-4)</f>
        <v/>
      </c>
      <c r="B1777" s="12"/>
      <c r="C1777" s="13"/>
      <c r="D1777" s="23" t="str">
        <f aca="false">IF(C1777="","",IFERROR(INDEX(LOTES!$D$5:$D$1004,MATCH(C1777,LOTES!$F$5:$F$1004,0)),"¿Lote?"))</f>
        <v/>
      </c>
      <c r="E1777" s="11" t="str">
        <f aca="false">IF(C1777="","",IFERROR(INDEX(LOTES!$C$5:$C$1004,MATCH(C1777,LOTES!$F$5:$F$1004,0)),""))</f>
        <v/>
      </c>
      <c r="F1777" s="24" t="str">
        <f aca="false">IF(C1777="","",IFERROR(INDEX(LOTES!$B$5:$B$1004,MATCH(C1777,LOTES!$F$5:$F$1004,0)),""))</f>
        <v/>
      </c>
      <c r="G1777" s="15" t="str">
        <f aca="false">IF(OR(B1777="",F1777=""),"",B1777-F1777)</f>
        <v/>
      </c>
      <c r="H1777" s="13"/>
      <c r="I1777" s="13"/>
      <c r="J1777" s="13"/>
      <c r="K1777" s="25"/>
      <c r="L1777" s="25"/>
      <c r="M1777" s="25"/>
      <c r="N1777" s="25"/>
      <c r="O1777" s="26"/>
      <c r="P1777" s="16" t="str">
        <f aca="false">IF(O1777="","",IFERROR(1/(1/(IF(K1777="",INDEX(CONFIG!$F$5:$F$14,MATCH(D1777,CONFIG!$D$5:$D$14,0)),K1777)*IF(M1777="",INDEX(CONFIG!$H$5:$H$14,MATCH(D1777,CONFIG!$D$5:$D$14,0)),M1777))),""))</f>
        <v/>
      </c>
      <c r="Q1777" s="16" t="str">
        <f aca="false">IF(OR(O1777="",P1777=""),"",O1777/P1777)</f>
        <v/>
      </c>
      <c r="R1777" s="16" t="str">
        <f aca="false">IF(Q1777="","",Q1777*0.0980665)</f>
        <v/>
      </c>
      <c r="S1777" s="16" t="str">
        <f aca="false">IF(Q1777="","",IFERROR(Q1777/(1/(1/INDEX(CONFIG!$I$5:$I$14,MATCH(D1777,CONFIG!$D$5:$D$14,0)))),""))</f>
        <v/>
      </c>
      <c r="T1777" s="13"/>
      <c r="U1777" s="13"/>
      <c r="V1777" s="13"/>
      <c r="W1777" s="13"/>
      <c r="X1777" s="22" t="str">
        <f aca="false">IF(Q1777="","",Q1777^2)</f>
        <v/>
      </c>
      <c r="Y1777" s="22" t="str">
        <f aca="false">IF(AND(C1777&lt;&gt;"",C1777=CERTIFICADO!$E$4,OR(CERTIFICADO!$E$5="",B1777=CERTIFICADO!$E$5)),MAX($Y$4:Y1776)+1,"")</f>
        <v/>
      </c>
    </row>
    <row r="1778" customFormat="false" ht="15" hidden="false" customHeight="false" outlineLevel="0" collapsed="false">
      <c r="A1778" s="11" t="str">
        <f aca="false">IF(C1778="","",ROW()-4)</f>
        <v/>
      </c>
      <c r="B1778" s="12"/>
      <c r="C1778" s="13"/>
      <c r="D1778" s="23" t="str">
        <f aca="false">IF(C1778="","",IFERROR(INDEX(LOTES!$D$5:$D$1004,MATCH(C1778,LOTES!$F$5:$F$1004,0)),"¿Lote?"))</f>
        <v/>
      </c>
      <c r="E1778" s="11" t="str">
        <f aca="false">IF(C1778="","",IFERROR(INDEX(LOTES!$C$5:$C$1004,MATCH(C1778,LOTES!$F$5:$F$1004,0)),""))</f>
        <v/>
      </c>
      <c r="F1778" s="24" t="str">
        <f aca="false">IF(C1778="","",IFERROR(INDEX(LOTES!$B$5:$B$1004,MATCH(C1778,LOTES!$F$5:$F$1004,0)),""))</f>
        <v/>
      </c>
      <c r="G1778" s="15" t="str">
        <f aca="false">IF(OR(B1778="",F1778=""),"",B1778-F1778)</f>
        <v/>
      </c>
      <c r="H1778" s="13"/>
      <c r="I1778" s="13"/>
      <c r="J1778" s="13"/>
      <c r="K1778" s="25"/>
      <c r="L1778" s="25"/>
      <c r="M1778" s="25"/>
      <c r="N1778" s="25"/>
      <c r="O1778" s="26"/>
      <c r="P1778" s="16" t="str">
        <f aca="false">IF(O1778="","",IFERROR(1/(1/(IF(K1778="",INDEX(CONFIG!$F$5:$F$14,MATCH(D1778,CONFIG!$D$5:$D$14,0)),K1778)*IF(M1778="",INDEX(CONFIG!$H$5:$H$14,MATCH(D1778,CONFIG!$D$5:$D$14,0)),M1778))),""))</f>
        <v/>
      </c>
      <c r="Q1778" s="16" t="str">
        <f aca="false">IF(OR(O1778="",P1778=""),"",O1778/P1778)</f>
        <v/>
      </c>
      <c r="R1778" s="16" t="str">
        <f aca="false">IF(Q1778="","",Q1778*0.0980665)</f>
        <v/>
      </c>
      <c r="S1778" s="16" t="str">
        <f aca="false">IF(Q1778="","",IFERROR(Q1778/(1/(1/INDEX(CONFIG!$I$5:$I$14,MATCH(D1778,CONFIG!$D$5:$D$14,0)))),""))</f>
        <v/>
      </c>
      <c r="T1778" s="13"/>
      <c r="U1778" s="13"/>
      <c r="V1778" s="13"/>
      <c r="W1778" s="13"/>
      <c r="X1778" s="22" t="str">
        <f aca="false">IF(Q1778="","",Q1778^2)</f>
        <v/>
      </c>
      <c r="Y1778" s="22" t="str">
        <f aca="false">IF(AND(C1778&lt;&gt;"",C1778=CERTIFICADO!$E$4,OR(CERTIFICADO!$E$5="",B1778=CERTIFICADO!$E$5)),MAX($Y$4:Y1777)+1,"")</f>
        <v/>
      </c>
    </row>
    <row r="1779" customFormat="false" ht="15" hidden="false" customHeight="false" outlineLevel="0" collapsed="false">
      <c r="A1779" s="11" t="str">
        <f aca="false">IF(C1779="","",ROW()-4)</f>
        <v/>
      </c>
      <c r="B1779" s="12"/>
      <c r="C1779" s="13"/>
      <c r="D1779" s="23" t="str">
        <f aca="false">IF(C1779="","",IFERROR(INDEX(LOTES!$D$5:$D$1004,MATCH(C1779,LOTES!$F$5:$F$1004,0)),"¿Lote?"))</f>
        <v/>
      </c>
      <c r="E1779" s="11" t="str">
        <f aca="false">IF(C1779="","",IFERROR(INDEX(LOTES!$C$5:$C$1004,MATCH(C1779,LOTES!$F$5:$F$1004,0)),""))</f>
        <v/>
      </c>
      <c r="F1779" s="24" t="str">
        <f aca="false">IF(C1779="","",IFERROR(INDEX(LOTES!$B$5:$B$1004,MATCH(C1779,LOTES!$F$5:$F$1004,0)),""))</f>
        <v/>
      </c>
      <c r="G1779" s="15" t="str">
        <f aca="false">IF(OR(B1779="",F1779=""),"",B1779-F1779)</f>
        <v/>
      </c>
      <c r="H1779" s="13"/>
      <c r="I1779" s="13"/>
      <c r="J1779" s="13"/>
      <c r="K1779" s="25"/>
      <c r="L1779" s="25"/>
      <c r="M1779" s="25"/>
      <c r="N1779" s="25"/>
      <c r="O1779" s="26"/>
      <c r="P1779" s="16" t="str">
        <f aca="false">IF(O1779="","",IFERROR(1/(1/(IF(K1779="",INDEX(CONFIG!$F$5:$F$14,MATCH(D1779,CONFIG!$D$5:$D$14,0)),K1779)*IF(M1779="",INDEX(CONFIG!$H$5:$H$14,MATCH(D1779,CONFIG!$D$5:$D$14,0)),M1779))),""))</f>
        <v/>
      </c>
      <c r="Q1779" s="16" t="str">
        <f aca="false">IF(OR(O1779="",P1779=""),"",O1779/P1779)</f>
        <v/>
      </c>
      <c r="R1779" s="16" t="str">
        <f aca="false">IF(Q1779="","",Q1779*0.0980665)</f>
        <v/>
      </c>
      <c r="S1779" s="16" t="str">
        <f aca="false">IF(Q1779="","",IFERROR(Q1779/(1/(1/INDEX(CONFIG!$I$5:$I$14,MATCH(D1779,CONFIG!$D$5:$D$14,0)))),""))</f>
        <v/>
      </c>
      <c r="T1779" s="13"/>
      <c r="U1779" s="13"/>
      <c r="V1779" s="13"/>
      <c r="W1779" s="13"/>
      <c r="X1779" s="22" t="str">
        <f aca="false">IF(Q1779="","",Q1779^2)</f>
        <v/>
      </c>
      <c r="Y1779" s="22" t="str">
        <f aca="false">IF(AND(C1779&lt;&gt;"",C1779=CERTIFICADO!$E$4,OR(CERTIFICADO!$E$5="",B1779=CERTIFICADO!$E$5)),MAX($Y$4:Y1778)+1,"")</f>
        <v/>
      </c>
    </row>
    <row r="1780" customFormat="false" ht="15" hidden="false" customHeight="false" outlineLevel="0" collapsed="false">
      <c r="A1780" s="11" t="str">
        <f aca="false">IF(C1780="","",ROW()-4)</f>
        <v/>
      </c>
      <c r="B1780" s="12"/>
      <c r="C1780" s="13"/>
      <c r="D1780" s="23" t="str">
        <f aca="false">IF(C1780="","",IFERROR(INDEX(LOTES!$D$5:$D$1004,MATCH(C1780,LOTES!$F$5:$F$1004,0)),"¿Lote?"))</f>
        <v/>
      </c>
      <c r="E1780" s="11" t="str">
        <f aca="false">IF(C1780="","",IFERROR(INDEX(LOTES!$C$5:$C$1004,MATCH(C1780,LOTES!$F$5:$F$1004,0)),""))</f>
        <v/>
      </c>
      <c r="F1780" s="24" t="str">
        <f aca="false">IF(C1780="","",IFERROR(INDEX(LOTES!$B$5:$B$1004,MATCH(C1780,LOTES!$F$5:$F$1004,0)),""))</f>
        <v/>
      </c>
      <c r="G1780" s="15" t="str">
        <f aca="false">IF(OR(B1780="",F1780=""),"",B1780-F1780)</f>
        <v/>
      </c>
      <c r="H1780" s="13"/>
      <c r="I1780" s="13"/>
      <c r="J1780" s="13"/>
      <c r="K1780" s="25"/>
      <c r="L1780" s="25"/>
      <c r="M1780" s="25"/>
      <c r="N1780" s="25"/>
      <c r="O1780" s="26"/>
      <c r="P1780" s="16" t="str">
        <f aca="false">IF(O1780="","",IFERROR(1/(1/(IF(K1780="",INDEX(CONFIG!$F$5:$F$14,MATCH(D1780,CONFIG!$D$5:$D$14,0)),K1780)*IF(M1780="",INDEX(CONFIG!$H$5:$H$14,MATCH(D1780,CONFIG!$D$5:$D$14,0)),M1780))),""))</f>
        <v/>
      </c>
      <c r="Q1780" s="16" t="str">
        <f aca="false">IF(OR(O1780="",P1780=""),"",O1780/P1780)</f>
        <v/>
      </c>
      <c r="R1780" s="16" t="str">
        <f aca="false">IF(Q1780="","",Q1780*0.0980665)</f>
        <v/>
      </c>
      <c r="S1780" s="16" t="str">
        <f aca="false">IF(Q1780="","",IFERROR(Q1780/(1/(1/INDEX(CONFIG!$I$5:$I$14,MATCH(D1780,CONFIG!$D$5:$D$14,0)))),""))</f>
        <v/>
      </c>
      <c r="T1780" s="13"/>
      <c r="U1780" s="13"/>
      <c r="V1780" s="13"/>
      <c r="W1780" s="13"/>
      <c r="X1780" s="22" t="str">
        <f aca="false">IF(Q1780="","",Q1780^2)</f>
        <v/>
      </c>
      <c r="Y1780" s="22" t="str">
        <f aca="false">IF(AND(C1780&lt;&gt;"",C1780=CERTIFICADO!$E$4,OR(CERTIFICADO!$E$5="",B1780=CERTIFICADO!$E$5)),MAX($Y$4:Y1779)+1,"")</f>
        <v/>
      </c>
    </row>
    <row r="1781" customFormat="false" ht="15" hidden="false" customHeight="false" outlineLevel="0" collapsed="false">
      <c r="A1781" s="11" t="str">
        <f aca="false">IF(C1781="","",ROW()-4)</f>
        <v/>
      </c>
      <c r="B1781" s="12"/>
      <c r="C1781" s="13"/>
      <c r="D1781" s="23" t="str">
        <f aca="false">IF(C1781="","",IFERROR(INDEX(LOTES!$D$5:$D$1004,MATCH(C1781,LOTES!$F$5:$F$1004,0)),"¿Lote?"))</f>
        <v/>
      </c>
      <c r="E1781" s="11" t="str">
        <f aca="false">IF(C1781="","",IFERROR(INDEX(LOTES!$C$5:$C$1004,MATCH(C1781,LOTES!$F$5:$F$1004,0)),""))</f>
        <v/>
      </c>
      <c r="F1781" s="24" t="str">
        <f aca="false">IF(C1781="","",IFERROR(INDEX(LOTES!$B$5:$B$1004,MATCH(C1781,LOTES!$F$5:$F$1004,0)),""))</f>
        <v/>
      </c>
      <c r="G1781" s="15" t="str">
        <f aca="false">IF(OR(B1781="",F1781=""),"",B1781-F1781)</f>
        <v/>
      </c>
      <c r="H1781" s="13"/>
      <c r="I1781" s="13"/>
      <c r="J1781" s="13"/>
      <c r="K1781" s="25"/>
      <c r="L1781" s="25"/>
      <c r="M1781" s="25"/>
      <c r="N1781" s="25"/>
      <c r="O1781" s="26"/>
      <c r="P1781" s="16" t="str">
        <f aca="false">IF(O1781="","",IFERROR(1/(1/(IF(K1781="",INDEX(CONFIG!$F$5:$F$14,MATCH(D1781,CONFIG!$D$5:$D$14,0)),K1781)*IF(M1781="",INDEX(CONFIG!$H$5:$H$14,MATCH(D1781,CONFIG!$D$5:$D$14,0)),M1781))),""))</f>
        <v/>
      </c>
      <c r="Q1781" s="16" t="str">
        <f aca="false">IF(OR(O1781="",P1781=""),"",O1781/P1781)</f>
        <v/>
      </c>
      <c r="R1781" s="16" t="str">
        <f aca="false">IF(Q1781="","",Q1781*0.0980665)</f>
        <v/>
      </c>
      <c r="S1781" s="16" t="str">
        <f aca="false">IF(Q1781="","",IFERROR(Q1781/(1/(1/INDEX(CONFIG!$I$5:$I$14,MATCH(D1781,CONFIG!$D$5:$D$14,0)))),""))</f>
        <v/>
      </c>
      <c r="T1781" s="13"/>
      <c r="U1781" s="13"/>
      <c r="V1781" s="13"/>
      <c r="W1781" s="13"/>
      <c r="X1781" s="22" t="str">
        <f aca="false">IF(Q1781="","",Q1781^2)</f>
        <v/>
      </c>
      <c r="Y1781" s="22" t="str">
        <f aca="false">IF(AND(C1781&lt;&gt;"",C1781=CERTIFICADO!$E$4,OR(CERTIFICADO!$E$5="",B1781=CERTIFICADO!$E$5)),MAX($Y$4:Y1780)+1,"")</f>
        <v/>
      </c>
    </row>
    <row r="1782" customFormat="false" ht="15" hidden="false" customHeight="false" outlineLevel="0" collapsed="false">
      <c r="A1782" s="11" t="str">
        <f aca="false">IF(C1782="","",ROW()-4)</f>
        <v/>
      </c>
      <c r="B1782" s="12"/>
      <c r="C1782" s="13"/>
      <c r="D1782" s="23" t="str">
        <f aca="false">IF(C1782="","",IFERROR(INDEX(LOTES!$D$5:$D$1004,MATCH(C1782,LOTES!$F$5:$F$1004,0)),"¿Lote?"))</f>
        <v/>
      </c>
      <c r="E1782" s="11" t="str">
        <f aca="false">IF(C1782="","",IFERROR(INDEX(LOTES!$C$5:$C$1004,MATCH(C1782,LOTES!$F$5:$F$1004,0)),""))</f>
        <v/>
      </c>
      <c r="F1782" s="24" t="str">
        <f aca="false">IF(C1782="","",IFERROR(INDEX(LOTES!$B$5:$B$1004,MATCH(C1782,LOTES!$F$5:$F$1004,0)),""))</f>
        <v/>
      </c>
      <c r="G1782" s="15" t="str">
        <f aca="false">IF(OR(B1782="",F1782=""),"",B1782-F1782)</f>
        <v/>
      </c>
      <c r="H1782" s="13"/>
      <c r="I1782" s="13"/>
      <c r="J1782" s="13"/>
      <c r="K1782" s="25"/>
      <c r="L1782" s="25"/>
      <c r="M1782" s="25"/>
      <c r="N1782" s="25"/>
      <c r="O1782" s="26"/>
      <c r="P1782" s="16" t="str">
        <f aca="false">IF(O1782="","",IFERROR(1/(1/(IF(K1782="",INDEX(CONFIG!$F$5:$F$14,MATCH(D1782,CONFIG!$D$5:$D$14,0)),K1782)*IF(M1782="",INDEX(CONFIG!$H$5:$H$14,MATCH(D1782,CONFIG!$D$5:$D$14,0)),M1782))),""))</f>
        <v/>
      </c>
      <c r="Q1782" s="16" t="str">
        <f aca="false">IF(OR(O1782="",P1782=""),"",O1782/P1782)</f>
        <v/>
      </c>
      <c r="R1782" s="16" t="str">
        <f aca="false">IF(Q1782="","",Q1782*0.0980665)</f>
        <v/>
      </c>
      <c r="S1782" s="16" t="str">
        <f aca="false">IF(Q1782="","",IFERROR(Q1782/(1/(1/INDEX(CONFIG!$I$5:$I$14,MATCH(D1782,CONFIG!$D$5:$D$14,0)))),""))</f>
        <v/>
      </c>
      <c r="T1782" s="13"/>
      <c r="U1782" s="13"/>
      <c r="V1782" s="13"/>
      <c r="W1782" s="13"/>
      <c r="X1782" s="22" t="str">
        <f aca="false">IF(Q1782="","",Q1782^2)</f>
        <v/>
      </c>
      <c r="Y1782" s="22" t="str">
        <f aca="false">IF(AND(C1782&lt;&gt;"",C1782=CERTIFICADO!$E$4,OR(CERTIFICADO!$E$5="",B1782=CERTIFICADO!$E$5)),MAX($Y$4:Y1781)+1,"")</f>
        <v/>
      </c>
    </row>
    <row r="1783" customFormat="false" ht="15" hidden="false" customHeight="false" outlineLevel="0" collapsed="false">
      <c r="A1783" s="11" t="str">
        <f aca="false">IF(C1783="","",ROW()-4)</f>
        <v/>
      </c>
      <c r="B1783" s="12"/>
      <c r="C1783" s="13"/>
      <c r="D1783" s="23" t="str">
        <f aca="false">IF(C1783="","",IFERROR(INDEX(LOTES!$D$5:$D$1004,MATCH(C1783,LOTES!$F$5:$F$1004,0)),"¿Lote?"))</f>
        <v/>
      </c>
      <c r="E1783" s="11" t="str">
        <f aca="false">IF(C1783="","",IFERROR(INDEX(LOTES!$C$5:$C$1004,MATCH(C1783,LOTES!$F$5:$F$1004,0)),""))</f>
        <v/>
      </c>
      <c r="F1783" s="24" t="str">
        <f aca="false">IF(C1783="","",IFERROR(INDEX(LOTES!$B$5:$B$1004,MATCH(C1783,LOTES!$F$5:$F$1004,0)),""))</f>
        <v/>
      </c>
      <c r="G1783" s="15" t="str">
        <f aca="false">IF(OR(B1783="",F1783=""),"",B1783-F1783)</f>
        <v/>
      </c>
      <c r="H1783" s="13"/>
      <c r="I1783" s="13"/>
      <c r="J1783" s="13"/>
      <c r="K1783" s="25"/>
      <c r="L1783" s="25"/>
      <c r="M1783" s="25"/>
      <c r="N1783" s="25"/>
      <c r="O1783" s="26"/>
      <c r="P1783" s="16" t="str">
        <f aca="false">IF(O1783="","",IFERROR(1/(1/(IF(K1783="",INDEX(CONFIG!$F$5:$F$14,MATCH(D1783,CONFIG!$D$5:$D$14,0)),K1783)*IF(M1783="",INDEX(CONFIG!$H$5:$H$14,MATCH(D1783,CONFIG!$D$5:$D$14,0)),M1783))),""))</f>
        <v/>
      </c>
      <c r="Q1783" s="16" t="str">
        <f aca="false">IF(OR(O1783="",P1783=""),"",O1783/P1783)</f>
        <v/>
      </c>
      <c r="R1783" s="16" t="str">
        <f aca="false">IF(Q1783="","",Q1783*0.0980665)</f>
        <v/>
      </c>
      <c r="S1783" s="16" t="str">
        <f aca="false">IF(Q1783="","",IFERROR(Q1783/(1/(1/INDEX(CONFIG!$I$5:$I$14,MATCH(D1783,CONFIG!$D$5:$D$14,0)))),""))</f>
        <v/>
      </c>
      <c r="T1783" s="13"/>
      <c r="U1783" s="13"/>
      <c r="V1783" s="13"/>
      <c r="W1783" s="13"/>
      <c r="X1783" s="22" t="str">
        <f aca="false">IF(Q1783="","",Q1783^2)</f>
        <v/>
      </c>
      <c r="Y1783" s="22" t="str">
        <f aca="false">IF(AND(C1783&lt;&gt;"",C1783=CERTIFICADO!$E$4,OR(CERTIFICADO!$E$5="",B1783=CERTIFICADO!$E$5)),MAX($Y$4:Y1782)+1,"")</f>
        <v/>
      </c>
    </row>
    <row r="1784" customFormat="false" ht="15" hidden="false" customHeight="false" outlineLevel="0" collapsed="false">
      <c r="A1784" s="11" t="str">
        <f aca="false">IF(C1784="","",ROW()-4)</f>
        <v/>
      </c>
      <c r="B1784" s="12"/>
      <c r="C1784" s="13"/>
      <c r="D1784" s="23" t="str">
        <f aca="false">IF(C1784="","",IFERROR(INDEX(LOTES!$D$5:$D$1004,MATCH(C1784,LOTES!$F$5:$F$1004,0)),"¿Lote?"))</f>
        <v/>
      </c>
      <c r="E1784" s="11" t="str">
        <f aca="false">IF(C1784="","",IFERROR(INDEX(LOTES!$C$5:$C$1004,MATCH(C1784,LOTES!$F$5:$F$1004,0)),""))</f>
        <v/>
      </c>
      <c r="F1784" s="24" t="str">
        <f aca="false">IF(C1784="","",IFERROR(INDEX(LOTES!$B$5:$B$1004,MATCH(C1784,LOTES!$F$5:$F$1004,0)),""))</f>
        <v/>
      </c>
      <c r="G1784" s="15" t="str">
        <f aca="false">IF(OR(B1784="",F1784=""),"",B1784-F1784)</f>
        <v/>
      </c>
      <c r="H1784" s="13"/>
      <c r="I1784" s="13"/>
      <c r="J1784" s="13"/>
      <c r="K1784" s="25"/>
      <c r="L1784" s="25"/>
      <c r="M1784" s="25"/>
      <c r="N1784" s="25"/>
      <c r="O1784" s="26"/>
      <c r="P1784" s="16" t="str">
        <f aca="false">IF(O1784="","",IFERROR(1/(1/(IF(K1784="",INDEX(CONFIG!$F$5:$F$14,MATCH(D1784,CONFIG!$D$5:$D$14,0)),K1784)*IF(M1784="",INDEX(CONFIG!$H$5:$H$14,MATCH(D1784,CONFIG!$D$5:$D$14,0)),M1784))),""))</f>
        <v/>
      </c>
      <c r="Q1784" s="16" t="str">
        <f aca="false">IF(OR(O1784="",P1784=""),"",O1784/P1784)</f>
        <v/>
      </c>
      <c r="R1784" s="16" t="str">
        <f aca="false">IF(Q1784="","",Q1784*0.0980665)</f>
        <v/>
      </c>
      <c r="S1784" s="16" t="str">
        <f aca="false">IF(Q1784="","",IFERROR(Q1784/(1/(1/INDEX(CONFIG!$I$5:$I$14,MATCH(D1784,CONFIG!$D$5:$D$14,0)))),""))</f>
        <v/>
      </c>
      <c r="T1784" s="13"/>
      <c r="U1784" s="13"/>
      <c r="V1784" s="13"/>
      <c r="W1784" s="13"/>
      <c r="X1784" s="22" t="str">
        <f aca="false">IF(Q1784="","",Q1784^2)</f>
        <v/>
      </c>
      <c r="Y1784" s="22" t="str">
        <f aca="false">IF(AND(C1784&lt;&gt;"",C1784=CERTIFICADO!$E$4,OR(CERTIFICADO!$E$5="",B1784=CERTIFICADO!$E$5)),MAX($Y$4:Y1783)+1,"")</f>
        <v/>
      </c>
    </row>
    <row r="1785" customFormat="false" ht="15" hidden="false" customHeight="false" outlineLevel="0" collapsed="false">
      <c r="A1785" s="11" t="str">
        <f aca="false">IF(C1785="","",ROW()-4)</f>
        <v/>
      </c>
      <c r="B1785" s="12"/>
      <c r="C1785" s="13"/>
      <c r="D1785" s="23" t="str">
        <f aca="false">IF(C1785="","",IFERROR(INDEX(LOTES!$D$5:$D$1004,MATCH(C1785,LOTES!$F$5:$F$1004,0)),"¿Lote?"))</f>
        <v/>
      </c>
      <c r="E1785" s="11" t="str">
        <f aca="false">IF(C1785="","",IFERROR(INDEX(LOTES!$C$5:$C$1004,MATCH(C1785,LOTES!$F$5:$F$1004,0)),""))</f>
        <v/>
      </c>
      <c r="F1785" s="24" t="str">
        <f aca="false">IF(C1785="","",IFERROR(INDEX(LOTES!$B$5:$B$1004,MATCH(C1785,LOTES!$F$5:$F$1004,0)),""))</f>
        <v/>
      </c>
      <c r="G1785" s="15" t="str">
        <f aca="false">IF(OR(B1785="",F1785=""),"",B1785-F1785)</f>
        <v/>
      </c>
      <c r="H1785" s="13"/>
      <c r="I1785" s="13"/>
      <c r="J1785" s="13"/>
      <c r="K1785" s="25"/>
      <c r="L1785" s="25"/>
      <c r="M1785" s="25"/>
      <c r="N1785" s="25"/>
      <c r="O1785" s="26"/>
      <c r="P1785" s="16" t="str">
        <f aca="false">IF(O1785="","",IFERROR(1/(1/(IF(K1785="",INDEX(CONFIG!$F$5:$F$14,MATCH(D1785,CONFIG!$D$5:$D$14,0)),K1785)*IF(M1785="",INDEX(CONFIG!$H$5:$H$14,MATCH(D1785,CONFIG!$D$5:$D$14,0)),M1785))),""))</f>
        <v/>
      </c>
      <c r="Q1785" s="16" t="str">
        <f aca="false">IF(OR(O1785="",P1785=""),"",O1785/P1785)</f>
        <v/>
      </c>
      <c r="R1785" s="16" t="str">
        <f aca="false">IF(Q1785="","",Q1785*0.0980665)</f>
        <v/>
      </c>
      <c r="S1785" s="16" t="str">
        <f aca="false">IF(Q1785="","",IFERROR(Q1785/(1/(1/INDEX(CONFIG!$I$5:$I$14,MATCH(D1785,CONFIG!$D$5:$D$14,0)))),""))</f>
        <v/>
      </c>
      <c r="T1785" s="13"/>
      <c r="U1785" s="13"/>
      <c r="V1785" s="13"/>
      <c r="W1785" s="13"/>
      <c r="X1785" s="22" t="str">
        <f aca="false">IF(Q1785="","",Q1785^2)</f>
        <v/>
      </c>
      <c r="Y1785" s="22" t="str">
        <f aca="false">IF(AND(C1785&lt;&gt;"",C1785=CERTIFICADO!$E$4,OR(CERTIFICADO!$E$5="",B1785=CERTIFICADO!$E$5)),MAX($Y$4:Y1784)+1,"")</f>
        <v/>
      </c>
    </row>
    <row r="1786" customFormat="false" ht="15" hidden="false" customHeight="false" outlineLevel="0" collapsed="false">
      <c r="A1786" s="11" t="str">
        <f aca="false">IF(C1786="","",ROW()-4)</f>
        <v/>
      </c>
      <c r="B1786" s="12"/>
      <c r="C1786" s="13"/>
      <c r="D1786" s="23" t="str">
        <f aca="false">IF(C1786="","",IFERROR(INDEX(LOTES!$D$5:$D$1004,MATCH(C1786,LOTES!$F$5:$F$1004,0)),"¿Lote?"))</f>
        <v/>
      </c>
      <c r="E1786" s="11" t="str">
        <f aca="false">IF(C1786="","",IFERROR(INDEX(LOTES!$C$5:$C$1004,MATCH(C1786,LOTES!$F$5:$F$1004,0)),""))</f>
        <v/>
      </c>
      <c r="F1786" s="24" t="str">
        <f aca="false">IF(C1786="","",IFERROR(INDEX(LOTES!$B$5:$B$1004,MATCH(C1786,LOTES!$F$5:$F$1004,0)),""))</f>
        <v/>
      </c>
      <c r="G1786" s="15" t="str">
        <f aca="false">IF(OR(B1786="",F1786=""),"",B1786-F1786)</f>
        <v/>
      </c>
      <c r="H1786" s="13"/>
      <c r="I1786" s="13"/>
      <c r="J1786" s="13"/>
      <c r="K1786" s="25"/>
      <c r="L1786" s="25"/>
      <c r="M1786" s="25"/>
      <c r="N1786" s="25"/>
      <c r="O1786" s="26"/>
      <c r="P1786" s="16" t="str">
        <f aca="false">IF(O1786="","",IFERROR(1/(1/(IF(K1786="",INDEX(CONFIG!$F$5:$F$14,MATCH(D1786,CONFIG!$D$5:$D$14,0)),K1786)*IF(M1786="",INDEX(CONFIG!$H$5:$H$14,MATCH(D1786,CONFIG!$D$5:$D$14,0)),M1786))),""))</f>
        <v/>
      </c>
      <c r="Q1786" s="16" t="str">
        <f aca="false">IF(OR(O1786="",P1786=""),"",O1786/P1786)</f>
        <v/>
      </c>
      <c r="R1786" s="16" t="str">
        <f aca="false">IF(Q1786="","",Q1786*0.0980665)</f>
        <v/>
      </c>
      <c r="S1786" s="16" t="str">
        <f aca="false">IF(Q1786="","",IFERROR(Q1786/(1/(1/INDEX(CONFIG!$I$5:$I$14,MATCH(D1786,CONFIG!$D$5:$D$14,0)))),""))</f>
        <v/>
      </c>
      <c r="T1786" s="13"/>
      <c r="U1786" s="13"/>
      <c r="V1786" s="13"/>
      <c r="W1786" s="13"/>
      <c r="X1786" s="22" t="str">
        <f aca="false">IF(Q1786="","",Q1786^2)</f>
        <v/>
      </c>
      <c r="Y1786" s="22" t="str">
        <f aca="false">IF(AND(C1786&lt;&gt;"",C1786=CERTIFICADO!$E$4,OR(CERTIFICADO!$E$5="",B1786=CERTIFICADO!$E$5)),MAX($Y$4:Y1785)+1,"")</f>
        <v/>
      </c>
    </row>
    <row r="1787" customFormat="false" ht="15" hidden="false" customHeight="false" outlineLevel="0" collapsed="false">
      <c r="A1787" s="11" t="str">
        <f aca="false">IF(C1787="","",ROW()-4)</f>
        <v/>
      </c>
      <c r="B1787" s="12"/>
      <c r="C1787" s="13"/>
      <c r="D1787" s="23" t="str">
        <f aca="false">IF(C1787="","",IFERROR(INDEX(LOTES!$D$5:$D$1004,MATCH(C1787,LOTES!$F$5:$F$1004,0)),"¿Lote?"))</f>
        <v/>
      </c>
      <c r="E1787" s="11" t="str">
        <f aca="false">IF(C1787="","",IFERROR(INDEX(LOTES!$C$5:$C$1004,MATCH(C1787,LOTES!$F$5:$F$1004,0)),""))</f>
        <v/>
      </c>
      <c r="F1787" s="24" t="str">
        <f aca="false">IF(C1787="","",IFERROR(INDEX(LOTES!$B$5:$B$1004,MATCH(C1787,LOTES!$F$5:$F$1004,0)),""))</f>
        <v/>
      </c>
      <c r="G1787" s="15" t="str">
        <f aca="false">IF(OR(B1787="",F1787=""),"",B1787-F1787)</f>
        <v/>
      </c>
      <c r="H1787" s="13"/>
      <c r="I1787" s="13"/>
      <c r="J1787" s="13"/>
      <c r="K1787" s="25"/>
      <c r="L1787" s="25"/>
      <c r="M1787" s="25"/>
      <c r="N1787" s="25"/>
      <c r="O1787" s="26"/>
      <c r="P1787" s="16" t="str">
        <f aca="false">IF(O1787="","",IFERROR(1/(1/(IF(K1787="",INDEX(CONFIG!$F$5:$F$14,MATCH(D1787,CONFIG!$D$5:$D$14,0)),K1787)*IF(M1787="",INDEX(CONFIG!$H$5:$H$14,MATCH(D1787,CONFIG!$D$5:$D$14,0)),M1787))),""))</f>
        <v/>
      </c>
      <c r="Q1787" s="16" t="str">
        <f aca="false">IF(OR(O1787="",P1787=""),"",O1787/P1787)</f>
        <v/>
      </c>
      <c r="R1787" s="16" t="str">
        <f aca="false">IF(Q1787="","",Q1787*0.0980665)</f>
        <v/>
      </c>
      <c r="S1787" s="16" t="str">
        <f aca="false">IF(Q1787="","",IFERROR(Q1787/(1/(1/INDEX(CONFIG!$I$5:$I$14,MATCH(D1787,CONFIG!$D$5:$D$14,0)))),""))</f>
        <v/>
      </c>
      <c r="T1787" s="13"/>
      <c r="U1787" s="13"/>
      <c r="V1787" s="13"/>
      <c r="W1787" s="13"/>
      <c r="X1787" s="22" t="str">
        <f aca="false">IF(Q1787="","",Q1787^2)</f>
        <v/>
      </c>
      <c r="Y1787" s="22" t="str">
        <f aca="false">IF(AND(C1787&lt;&gt;"",C1787=CERTIFICADO!$E$4,OR(CERTIFICADO!$E$5="",B1787=CERTIFICADO!$E$5)),MAX($Y$4:Y1786)+1,"")</f>
        <v/>
      </c>
    </row>
    <row r="1788" customFormat="false" ht="15" hidden="false" customHeight="false" outlineLevel="0" collapsed="false">
      <c r="A1788" s="11" t="str">
        <f aca="false">IF(C1788="","",ROW()-4)</f>
        <v/>
      </c>
      <c r="B1788" s="12"/>
      <c r="C1788" s="13"/>
      <c r="D1788" s="23" t="str">
        <f aca="false">IF(C1788="","",IFERROR(INDEX(LOTES!$D$5:$D$1004,MATCH(C1788,LOTES!$F$5:$F$1004,0)),"¿Lote?"))</f>
        <v/>
      </c>
      <c r="E1788" s="11" t="str">
        <f aca="false">IF(C1788="","",IFERROR(INDEX(LOTES!$C$5:$C$1004,MATCH(C1788,LOTES!$F$5:$F$1004,0)),""))</f>
        <v/>
      </c>
      <c r="F1788" s="24" t="str">
        <f aca="false">IF(C1788="","",IFERROR(INDEX(LOTES!$B$5:$B$1004,MATCH(C1788,LOTES!$F$5:$F$1004,0)),""))</f>
        <v/>
      </c>
      <c r="G1788" s="15" t="str">
        <f aca="false">IF(OR(B1788="",F1788=""),"",B1788-F1788)</f>
        <v/>
      </c>
      <c r="H1788" s="13"/>
      <c r="I1788" s="13"/>
      <c r="J1788" s="13"/>
      <c r="K1788" s="25"/>
      <c r="L1788" s="25"/>
      <c r="M1788" s="25"/>
      <c r="N1788" s="25"/>
      <c r="O1788" s="26"/>
      <c r="P1788" s="16" t="str">
        <f aca="false">IF(O1788="","",IFERROR(1/(1/(IF(K1788="",INDEX(CONFIG!$F$5:$F$14,MATCH(D1788,CONFIG!$D$5:$D$14,0)),K1788)*IF(M1788="",INDEX(CONFIG!$H$5:$H$14,MATCH(D1788,CONFIG!$D$5:$D$14,0)),M1788))),""))</f>
        <v/>
      </c>
      <c r="Q1788" s="16" t="str">
        <f aca="false">IF(OR(O1788="",P1788=""),"",O1788/P1788)</f>
        <v/>
      </c>
      <c r="R1788" s="16" t="str">
        <f aca="false">IF(Q1788="","",Q1788*0.0980665)</f>
        <v/>
      </c>
      <c r="S1788" s="16" t="str">
        <f aca="false">IF(Q1788="","",IFERROR(Q1788/(1/(1/INDEX(CONFIG!$I$5:$I$14,MATCH(D1788,CONFIG!$D$5:$D$14,0)))),""))</f>
        <v/>
      </c>
      <c r="T1788" s="13"/>
      <c r="U1788" s="13"/>
      <c r="V1788" s="13"/>
      <c r="W1788" s="13"/>
      <c r="X1788" s="22" t="str">
        <f aca="false">IF(Q1788="","",Q1788^2)</f>
        <v/>
      </c>
      <c r="Y1788" s="22" t="str">
        <f aca="false">IF(AND(C1788&lt;&gt;"",C1788=CERTIFICADO!$E$4,OR(CERTIFICADO!$E$5="",B1788=CERTIFICADO!$E$5)),MAX($Y$4:Y1787)+1,"")</f>
        <v/>
      </c>
    </row>
    <row r="1789" customFormat="false" ht="15" hidden="false" customHeight="false" outlineLevel="0" collapsed="false">
      <c r="A1789" s="11" t="str">
        <f aca="false">IF(C1789="","",ROW()-4)</f>
        <v/>
      </c>
      <c r="B1789" s="12"/>
      <c r="C1789" s="13"/>
      <c r="D1789" s="23" t="str">
        <f aca="false">IF(C1789="","",IFERROR(INDEX(LOTES!$D$5:$D$1004,MATCH(C1789,LOTES!$F$5:$F$1004,0)),"¿Lote?"))</f>
        <v/>
      </c>
      <c r="E1789" s="11" t="str">
        <f aca="false">IF(C1789="","",IFERROR(INDEX(LOTES!$C$5:$C$1004,MATCH(C1789,LOTES!$F$5:$F$1004,0)),""))</f>
        <v/>
      </c>
      <c r="F1789" s="24" t="str">
        <f aca="false">IF(C1789="","",IFERROR(INDEX(LOTES!$B$5:$B$1004,MATCH(C1789,LOTES!$F$5:$F$1004,0)),""))</f>
        <v/>
      </c>
      <c r="G1789" s="15" t="str">
        <f aca="false">IF(OR(B1789="",F1789=""),"",B1789-F1789)</f>
        <v/>
      </c>
      <c r="H1789" s="13"/>
      <c r="I1789" s="13"/>
      <c r="J1789" s="13"/>
      <c r="K1789" s="25"/>
      <c r="L1789" s="25"/>
      <c r="M1789" s="25"/>
      <c r="N1789" s="25"/>
      <c r="O1789" s="26"/>
      <c r="P1789" s="16" t="str">
        <f aca="false">IF(O1789="","",IFERROR(1/(1/(IF(K1789="",INDEX(CONFIG!$F$5:$F$14,MATCH(D1789,CONFIG!$D$5:$D$14,0)),K1789)*IF(M1789="",INDEX(CONFIG!$H$5:$H$14,MATCH(D1789,CONFIG!$D$5:$D$14,0)),M1789))),""))</f>
        <v/>
      </c>
      <c r="Q1789" s="16" t="str">
        <f aca="false">IF(OR(O1789="",P1789=""),"",O1789/P1789)</f>
        <v/>
      </c>
      <c r="R1789" s="16" t="str">
        <f aca="false">IF(Q1789="","",Q1789*0.0980665)</f>
        <v/>
      </c>
      <c r="S1789" s="16" t="str">
        <f aca="false">IF(Q1789="","",IFERROR(Q1789/(1/(1/INDEX(CONFIG!$I$5:$I$14,MATCH(D1789,CONFIG!$D$5:$D$14,0)))),""))</f>
        <v/>
      </c>
      <c r="T1789" s="13"/>
      <c r="U1789" s="13"/>
      <c r="V1789" s="13"/>
      <c r="W1789" s="13"/>
      <c r="X1789" s="22" t="str">
        <f aca="false">IF(Q1789="","",Q1789^2)</f>
        <v/>
      </c>
      <c r="Y1789" s="22" t="str">
        <f aca="false">IF(AND(C1789&lt;&gt;"",C1789=CERTIFICADO!$E$4,OR(CERTIFICADO!$E$5="",B1789=CERTIFICADO!$E$5)),MAX($Y$4:Y1788)+1,"")</f>
        <v/>
      </c>
    </row>
    <row r="1790" customFormat="false" ht="15" hidden="false" customHeight="false" outlineLevel="0" collapsed="false">
      <c r="A1790" s="11" t="str">
        <f aca="false">IF(C1790="","",ROW()-4)</f>
        <v/>
      </c>
      <c r="B1790" s="12"/>
      <c r="C1790" s="13"/>
      <c r="D1790" s="23" t="str">
        <f aca="false">IF(C1790="","",IFERROR(INDEX(LOTES!$D$5:$D$1004,MATCH(C1790,LOTES!$F$5:$F$1004,0)),"¿Lote?"))</f>
        <v/>
      </c>
      <c r="E1790" s="11" t="str">
        <f aca="false">IF(C1790="","",IFERROR(INDEX(LOTES!$C$5:$C$1004,MATCH(C1790,LOTES!$F$5:$F$1004,0)),""))</f>
        <v/>
      </c>
      <c r="F1790" s="24" t="str">
        <f aca="false">IF(C1790="","",IFERROR(INDEX(LOTES!$B$5:$B$1004,MATCH(C1790,LOTES!$F$5:$F$1004,0)),""))</f>
        <v/>
      </c>
      <c r="G1790" s="15" t="str">
        <f aca="false">IF(OR(B1790="",F1790=""),"",B1790-F1790)</f>
        <v/>
      </c>
      <c r="H1790" s="13"/>
      <c r="I1790" s="13"/>
      <c r="J1790" s="13"/>
      <c r="K1790" s="25"/>
      <c r="L1790" s="25"/>
      <c r="M1790" s="25"/>
      <c r="N1790" s="25"/>
      <c r="O1790" s="26"/>
      <c r="P1790" s="16" t="str">
        <f aca="false">IF(O1790="","",IFERROR(1/(1/(IF(K1790="",INDEX(CONFIG!$F$5:$F$14,MATCH(D1790,CONFIG!$D$5:$D$14,0)),K1790)*IF(M1790="",INDEX(CONFIG!$H$5:$H$14,MATCH(D1790,CONFIG!$D$5:$D$14,0)),M1790))),""))</f>
        <v/>
      </c>
      <c r="Q1790" s="16" t="str">
        <f aca="false">IF(OR(O1790="",P1790=""),"",O1790/P1790)</f>
        <v/>
      </c>
      <c r="R1790" s="16" t="str">
        <f aca="false">IF(Q1790="","",Q1790*0.0980665)</f>
        <v/>
      </c>
      <c r="S1790" s="16" t="str">
        <f aca="false">IF(Q1790="","",IFERROR(Q1790/(1/(1/INDEX(CONFIG!$I$5:$I$14,MATCH(D1790,CONFIG!$D$5:$D$14,0)))),""))</f>
        <v/>
      </c>
      <c r="T1790" s="13"/>
      <c r="U1790" s="13"/>
      <c r="V1790" s="13"/>
      <c r="W1790" s="13"/>
      <c r="X1790" s="22" t="str">
        <f aca="false">IF(Q1790="","",Q1790^2)</f>
        <v/>
      </c>
      <c r="Y1790" s="22" t="str">
        <f aca="false">IF(AND(C1790&lt;&gt;"",C1790=CERTIFICADO!$E$4,OR(CERTIFICADO!$E$5="",B1790=CERTIFICADO!$E$5)),MAX($Y$4:Y1789)+1,"")</f>
        <v/>
      </c>
    </row>
    <row r="1791" customFormat="false" ht="15" hidden="false" customHeight="false" outlineLevel="0" collapsed="false">
      <c r="A1791" s="11" t="str">
        <f aca="false">IF(C1791="","",ROW()-4)</f>
        <v/>
      </c>
      <c r="B1791" s="12"/>
      <c r="C1791" s="13"/>
      <c r="D1791" s="23" t="str">
        <f aca="false">IF(C1791="","",IFERROR(INDEX(LOTES!$D$5:$D$1004,MATCH(C1791,LOTES!$F$5:$F$1004,0)),"¿Lote?"))</f>
        <v/>
      </c>
      <c r="E1791" s="11" t="str">
        <f aca="false">IF(C1791="","",IFERROR(INDEX(LOTES!$C$5:$C$1004,MATCH(C1791,LOTES!$F$5:$F$1004,0)),""))</f>
        <v/>
      </c>
      <c r="F1791" s="24" t="str">
        <f aca="false">IF(C1791="","",IFERROR(INDEX(LOTES!$B$5:$B$1004,MATCH(C1791,LOTES!$F$5:$F$1004,0)),""))</f>
        <v/>
      </c>
      <c r="G1791" s="15" t="str">
        <f aca="false">IF(OR(B1791="",F1791=""),"",B1791-F1791)</f>
        <v/>
      </c>
      <c r="H1791" s="13"/>
      <c r="I1791" s="13"/>
      <c r="J1791" s="13"/>
      <c r="K1791" s="25"/>
      <c r="L1791" s="25"/>
      <c r="M1791" s="25"/>
      <c r="N1791" s="25"/>
      <c r="O1791" s="26"/>
      <c r="P1791" s="16" t="str">
        <f aca="false">IF(O1791="","",IFERROR(1/(1/(IF(K1791="",INDEX(CONFIG!$F$5:$F$14,MATCH(D1791,CONFIG!$D$5:$D$14,0)),K1791)*IF(M1791="",INDEX(CONFIG!$H$5:$H$14,MATCH(D1791,CONFIG!$D$5:$D$14,0)),M1791))),""))</f>
        <v/>
      </c>
      <c r="Q1791" s="16" t="str">
        <f aca="false">IF(OR(O1791="",P1791=""),"",O1791/P1791)</f>
        <v/>
      </c>
      <c r="R1791" s="16" t="str">
        <f aca="false">IF(Q1791="","",Q1791*0.0980665)</f>
        <v/>
      </c>
      <c r="S1791" s="16" t="str">
        <f aca="false">IF(Q1791="","",IFERROR(Q1791/(1/(1/INDEX(CONFIG!$I$5:$I$14,MATCH(D1791,CONFIG!$D$5:$D$14,0)))),""))</f>
        <v/>
      </c>
      <c r="T1791" s="13"/>
      <c r="U1791" s="13"/>
      <c r="V1791" s="13"/>
      <c r="W1791" s="13"/>
      <c r="X1791" s="22" t="str">
        <f aca="false">IF(Q1791="","",Q1791^2)</f>
        <v/>
      </c>
      <c r="Y1791" s="22" t="str">
        <f aca="false">IF(AND(C1791&lt;&gt;"",C1791=CERTIFICADO!$E$4,OR(CERTIFICADO!$E$5="",B1791=CERTIFICADO!$E$5)),MAX($Y$4:Y1790)+1,"")</f>
        <v/>
      </c>
    </row>
    <row r="1792" customFormat="false" ht="15" hidden="false" customHeight="false" outlineLevel="0" collapsed="false">
      <c r="A1792" s="11" t="str">
        <f aca="false">IF(C1792="","",ROW()-4)</f>
        <v/>
      </c>
      <c r="B1792" s="12"/>
      <c r="C1792" s="13"/>
      <c r="D1792" s="23" t="str">
        <f aca="false">IF(C1792="","",IFERROR(INDEX(LOTES!$D$5:$D$1004,MATCH(C1792,LOTES!$F$5:$F$1004,0)),"¿Lote?"))</f>
        <v/>
      </c>
      <c r="E1792" s="11" t="str">
        <f aca="false">IF(C1792="","",IFERROR(INDEX(LOTES!$C$5:$C$1004,MATCH(C1792,LOTES!$F$5:$F$1004,0)),""))</f>
        <v/>
      </c>
      <c r="F1792" s="24" t="str">
        <f aca="false">IF(C1792="","",IFERROR(INDEX(LOTES!$B$5:$B$1004,MATCH(C1792,LOTES!$F$5:$F$1004,0)),""))</f>
        <v/>
      </c>
      <c r="G1792" s="15" t="str">
        <f aca="false">IF(OR(B1792="",F1792=""),"",B1792-F1792)</f>
        <v/>
      </c>
      <c r="H1792" s="13"/>
      <c r="I1792" s="13"/>
      <c r="J1792" s="13"/>
      <c r="K1792" s="25"/>
      <c r="L1792" s="25"/>
      <c r="M1792" s="25"/>
      <c r="N1792" s="25"/>
      <c r="O1792" s="26"/>
      <c r="P1792" s="16" t="str">
        <f aca="false">IF(O1792="","",IFERROR(1/(1/(IF(K1792="",INDEX(CONFIG!$F$5:$F$14,MATCH(D1792,CONFIG!$D$5:$D$14,0)),K1792)*IF(M1792="",INDEX(CONFIG!$H$5:$H$14,MATCH(D1792,CONFIG!$D$5:$D$14,0)),M1792))),""))</f>
        <v/>
      </c>
      <c r="Q1792" s="16" t="str">
        <f aca="false">IF(OR(O1792="",P1792=""),"",O1792/P1792)</f>
        <v/>
      </c>
      <c r="R1792" s="16" t="str">
        <f aca="false">IF(Q1792="","",Q1792*0.0980665)</f>
        <v/>
      </c>
      <c r="S1792" s="16" t="str">
        <f aca="false">IF(Q1792="","",IFERROR(Q1792/(1/(1/INDEX(CONFIG!$I$5:$I$14,MATCH(D1792,CONFIG!$D$5:$D$14,0)))),""))</f>
        <v/>
      </c>
      <c r="T1792" s="13"/>
      <c r="U1792" s="13"/>
      <c r="V1792" s="13"/>
      <c r="W1792" s="13"/>
      <c r="X1792" s="22" t="str">
        <f aca="false">IF(Q1792="","",Q1792^2)</f>
        <v/>
      </c>
      <c r="Y1792" s="22" t="str">
        <f aca="false">IF(AND(C1792&lt;&gt;"",C1792=CERTIFICADO!$E$4,OR(CERTIFICADO!$E$5="",B1792=CERTIFICADO!$E$5)),MAX($Y$4:Y1791)+1,"")</f>
        <v/>
      </c>
    </row>
    <row r="1793" customFormat="false" ht="15" hidden="false" customHeight="false" outlineLevel="0" collapsed="false">
      <c r="A1793" s="11" t="str">
        <f aca="false">IF(C1793="","",ROW()-4)</f>
        <v/>
      </c>
      <c r="B1793" s="12"/>
      <c r="C1793" s="13"/>
      <c r="D1793" s="23" t="str">
        <f aca="false">IF(C1793="","",IFERROR(INDEX(LOTES!$D$5:$D$1004,MATCH(C1793,LOTES!$F$5:$F$1004,0)),"¿Lote?"))</f>
        <v/>
      </c>
      <c r="E1793" s="11" t="str">
        <f aca="false">IF(C1793="","",IFERROR(INDEX(LOTES!$C$5:$C$1004,MATCH(C1793,LOTES!$F$5:$F$1004,0)),""))</f>
        <v/>
      </c>
      <c r="F1793" s="24" t="str">
        <f aca="false">IF(C1793="","",IFERROR(INDEX(LOTES!$B$5:$B$1004,MATCH(C1793,LOTES!$F$5:$F$1004,0)),""))</f>
        <v/>
      </c>
      <c r="G1793" s="15" t="str">
        <f aca="false">IF(OR(B1793="",F1793=""),"",B1793-F1793)</f>
        <v/>
      </c>
      <c r="H1793" s="13"/>
      <c r="I1793" s="13"/>
      <c r="J1793" s="13"/>
      <c r="K1793" s="25"/>
      <c r="L1793" s="25"/>
      <c r="M1793" s="25"/>
      <c r="N1793" s="25"/>
      <c r="O1793" s="26"/>
      <c r="P1793" s="16" t="str">
        <f aca="false">IF(O1793="","",IFERROR(1/(1/(IF(K1793="",INDEX(CONFIG!$F$5:$F$14,MATCH(D1793,CONFIG!$D$5:$D$14,0)),K1793)*IF(M1793="",INDEX(CONFIG!$H$5:$H$14,MATCH(D1793,CONFIG!$D$5:$D$14,0)),M1793))),""))</f>
        <v/>
      </c>
      <c r="Q1793" s="16" t="str">
        <f aca="false">IF(OR(O1793="",P1793=""),"",O1793/P1793)</f>
        <v/>
      </c>
      <c r="R1793" s="16" t="str">
        <f aca="false">IF(Q1793="","",Q1793*0.0980665)</f>
        <v/>
      </c>
      <c r="S1793" s="16" t="str">
        <f aca="false">IF(Q1793="","",IFERROR(Q1793/(1/(1/INDEX(CONFIG!$I$5:$I$14,MATCH(D1793,CONFIG!$D$5:$D$14,0)))),""))</f>
        <v/>
      </c>
      <c r="T1793" s="13"/>
      <c r="U1793" s="13"/>
      <c r="V1793" s="13"/>
      <c r="W1793" s="13"/>
      <c r="X1793" s="22" t="str">
        <f aca="false">IF(Q1793="","",Q1793^2)</f>
        <v/>
      </c>
      <c r="Y1793" s="22" t="str">
        <f aca="false">IF(AND(C1793&lt;&gt;"",C1793=CERTIFICADO!$E$4,OR(CERTIFICADO!$E$5="",B1793=CERTIFICADO!$E$5)),MAX($Y$4:Y1792)+1,"")</f>
        <v/>
      </c>
    </row>
    <row r="1794" customFormat="false" ht="15" hidden="false" customHeight="false" outlineLevel="0" collapsed="false">
      <c r="A1794" s="11" t="str">
        <f aca="false">IF(C1794="","",ROW()-4)</f>
        <v/>
      </c>
      <c r="B1794" s="12"/>
      <c r="C1794" s="13"/>
      <c r="D1794" s="23" t="str">
        <f aca="false">IF(C1794="","",IFERROR(INDEX(LOTES!$D$5:$D$1004,MATCH(C1794,LOTES!$F$5:$F$1004,0)),"¿Lote?"))</f>
        <v/>
      </c>
      <c r="E1794" s="11" t="str">
        <f aca="false">IF(C1794="","",IFERROR(INDEX(LOTES!$C$5:$C$1004,MATCH(C1794,LOTES!$F$5:$F$1004,0)),""))</f>
        <v/>
      </c>
      <c r="F1794" s="24" t="str">
        <f aca="false">IF(C1794="","",IFERROR(INDEX(LOTES!$B$5:$B$1004,MATCH(C1794,LOTES!$F$5:$F$1004,0)),""))</f>
        <v/>
      </c>
      <c r="G1794" s="15" t="str">
        <f aca="false">IF(OR(B1794="",F1794=""),"",B1794-F1794)</f>
        <v/>
      </c>
      <c r="H1794" s="13"/>
      <c r="I1794" s="13"/>
      <c r="J1794" s="13"/>
      <c r="K1794" s="25"/>
      <c r="L1794" s="25"/>
      <c r="M1794" s="25"/>
      <c r="N1794" s="25"/>
      <c r="O1794" s="26"/>
      <c r="P1794" s="16" t="str">
        <f aca="false">IF(O1794="","",IFERROR(1/(1/(IF(K1794="",INDEX(CONFIG!$F$5:$F$14,MATCH(D1794,CONFIG!$D$5:$D$14,0)),K1794)*IF(M1794="",INDEX(CONFIG!$H$5:$H$14,MATCH(D1794,CONFIG!$D$5:$D$14,0)),M1794))),""))</f>
        <v/>
      </c>
      <c r="Q1794" s="16" t="str">
        <f aca="false">IF(OR(O1794="",P1794=""),"",O1794/P1794)</f>
        <v/>
      </c>
      <c r="R1794" s="16" t="str">
        <f aca="false">IF(Q1794="","",Q1794*0.0980665)</f>
        <v/>
      </c>
      <c r="S1794" s="16" t="str">
        <f aca="false">IF(Q1794="","",IFERROR(Q1794/(1/(1/INDEX(CONFIG!$I$5:$I$14,MATCH(D1794,CONFIG!$D$5:$D$14,0)))),""))</f>
        <v/>
      </c>
      <c r="T1794" s="13"/>
      <c r="U1794" s="13"/>
      <c r="V1794" s="13"/>
      <c r="W1794" s="13"/>
      <c r="X1794" s="22" t="str">
        <f aca="false">IF(Q1794="","",Q1794^2)</f>
        <v/>
      </c>
      <c r="Y1794" s="22" t="str">
        <f aca="false">IF(AND(C1794&lt;&gt;"",C1794=CERTIFICADO!$E$4,OR(CERTIFICADO!$E$5="",B1794=CERTIFICADO!$E$5)),MAX($Y$4:Y1793)+1,"")</f>
        <v/>
      </c>
    </row>
    <row r="1795" customFormat="false" ht="15" hidden="false" customHeight="false" outlineLevel="0" collapsed="false">
      <c r="A1795" s="11" t="str">
        <f aca="false">IF(C1795="","",ROW()-4)</f>
        <v/>
      </c>
      <c r="B1795" s="12"/>
      <c r="C1795" s="13"/>
      <c r="D1795" s="23" t="str">
        <f aca="false">IF(C1795="","",IFERROR(INDEX(LOTES!$D$5:$D$1004,MATCH(C1795,LOTES!$F$5:$F$1004,0)),"¿Lote?"))</f>
        <v/>
      </c>
      <c r="E1795" s="11" t="str">
        <f aca="false">IF(C1795="","",IFERROR(INDEX(LOTES!$C$5:$C$1004,MATCH(C1795,LOTES!$F$5:$F$1004,0)),""))</f>
        <v/>
      </c>
      <c r="F1795" s="24" t="str">
        <f aca="false">IF(C1795="","",IFERROR(INDEX(LOTES!$B$5:$B$1004,MATCH(C1795,LOTES!$F$5:$F$1004,0)),""))</f>
        <v/>
      </c>
      <c r="G1795" s="15" t="str">
        <f aca="false">IF(OR(B1795="",F1795=""),"",B1795-F1795)</f>
        <v/>
      </c>
      <c r="H1795" s="13"/>
      <c r="I1795" s="13"/>
      <c r="J1795" s="13"/>
      <c r="K1795" s="25"/>
      <c r="L1795" s="25"/>
      <c r="M1795" s="25"/>
      <c r="N1795" s="25"/>
      <c r="O1795" s="26"/>
      <c r="P1795" s="16" t="str">
        <f aca="false">IF(O1795="","",IFERROR(1/(1/(IF(K1795="",INDEX(CONFIG!$F$5:$F$14,MATCH(D1795,CONFIG!$D$5:$D$14,0)),K1795)*IF(M1795="",INDEX(CONFIG!$H$5:$H$14,MATCH(D1795,CONFIG!$D$5:$D$14,0)),M1795))),""))</f>
        <v/>
      </c>
      <c r="Q1795" s="16" t="str">
        <f aca="false">IF(OR(O1795="",P1795=""),"",O1795/P1795)</f>
        <v/>
      </c>
      <c r="R1795" s="16" t="str">
        <f aca="false">IF(Q1795="","",Q1795*0.0980665)</f>
        <v/>
      </c>
      <c r="S1795" s="16" t="str">
        <f aca="false">IF(Q1795="","",IFERROR(Q1795/(1/(1/INDEX(CONFIG!$I$5:$I$14,MATCH(D1795,CONFIG!$D$5:$D$14,0)))),""))</f>
        <v/>
      </c>
      <c r="T1795" s="13"/>
      <c r="U1795" s="13"/>
      <c r="V1795" s="13"/>
      <c r="W1795" s="13"/>
      <c r="X1795" s="22" t="str">
        <f aca="false">IF(Q1795="","",Q1795^2)</f>
        <v/>
      </c>
      <c r="Y1795" s="22" t="str">
        <f aca="false">IF(AND(C1795&lt;&gt;"",C1795=CERTIFICADO!$E$4,OR(CERTIFICADO!$E$5="",B1795=CERTIFICADO!$E$5)),MAX($Y$4:Y1794)+1,"")</f>
        <v/>
      </c>
    </row>
    <row r="1796" customFormat="false" ht="15" hidden="false" customHeight="false" outlineLevel="0" collapsed="false">
      <c r="A1796" s="11" t="str">
        <f aca="false">IF(C1796="","",ROW()-4)</f>
        <v/>
      </c>
      <c r="B1796" s="12"/>
      <c r="C1796" s="13"/>
      <c r="D1796" s="23" t="str">
        <f aca="false">IF(C1796="","",IFERROR(INDEX(LOTES!$D$5:$D$1004,MATCH(C1796,LOTES!$F$5:$F$1004,0)),"¿Lote?"))</f>
        <v/>
      </c>
      <c r="E1796" s="11" t="str">
        <f aca="false">IF(C1796="","",IFERROR(INDEX(LOTES!$C$5:$C$1004,MATCH(C1796,LOTES!$F$5:$F$1004,0)),""))</f>
        <v/>
      </c>
      <c r="F1796" s="24" t="str">
        <f aca="false">IF(C1796="","",IFERROR(INDEX(LOTES!$B$5:$B$1004,MATCH(C1796,LOTES!$F$5:$F$1004,0)),""))</f>
        <v/>
      </c>
      <c r="G1796" s="15" t="str">
        <f aca="false">IF(OR(B1796="",F1796=""),"",B1796-F1796)</f>
        <v/>
      </c>
      <c r="H1796" s="13"/>
      <c r="I1796" s="13"/>
      <c r="J1796" s="13"/>
      <c r="K1796" s="25"/>
      <c r="L1796" s="25"/>
      <c r="M1796" s="25"/>
      <c r="N1796" s="25"/>
      <c r="O1796" s="26"/>
      <c r="P1796" s="16" t="str">
        <f aca="false">IF(O1796="","",IFERROR(1/(1/(IF(K1796="",INDEX(CONFIG!$F$5:$F$14,MATCH(D1796,CONFIG!$D$5:$D$14,0)),K1796)*IF(M1796="",INDEX(CONFIG!$H$5:$H$14,MATCH(D1796,CONFIG!$D$5:$D$14,0)),M1796))),""))</f>
        <v/>
      </c>
      <c r="Q1796" s="16" t="str">
        <f aca="false">IF(OR(O1796="",P1796=""),"",O1796/P1796)</f>
        <v/>
      </c>
      <c r="R1796" s="16" t="str">
        <f aca="false">IF(Q1796="","",Q1796*0.0980665)</f>
        <v/>
      </c>
      <c r="S1796" s="16" t="str">
        <f aca="false">IF(Q1796="","",IFERROR(Q1796/(1/(1/INDEX(CONFIG!$I$5:$I$14,MATCH(D1796,CONFIG!$D$5:$D$14,0)))),""))</f>
        <v/>
      </c>
      <c r="T1796" s="13"/>
      <c r="U1796" s="13"/>
      <c r="V1796" s="13"/>
      <c r="W1796" s="13"/>
      <c r="X1796" s="22" t="str">
        <f aca="false">IF(Q1796="","",Q1796^2)</f>
        <v/>
      </c>
      <c r="Y1796" s="22" t="str">
        <f aca="false">IF(AND(C1796&lt;&gt;"",C1796=CERTIFICADO!$E$4,OR(CERTIFICADO!$E$5="",B1796=CERTIFICADO!$E$5)),MAX($Y$4:Y1795)+1,"")</f>
        <v/>
      </c>
    </row>
    <row r="1797" customFormat="false" ht="15" hidden="false" customHeight="false" outlineLevel="0" collapsed="false">
      <c r="A1797" s="11" t="str">
        <f aca="false">IF(C1797="","",ROW()-4)</f>
        <v/>
      </c>
      <c r="B1797" s="12"/>
      <c r="C1797" s="13"/>
      <c r="D1797" s="23" t="str">
        <f aca="false">IF(C1797="","",IFERROR(INDEX(LOTES!$D$5:$D$1004,MATCH(C1797,LOTES!$F$5:$F$1004,0)),"¿Lote?"))</f>
        <v/>
      </c>
      <c r="E1797" s="11" t="str">
        <f aca="false">IF(C1797="","",IFERROR(INDEX(LOTES!$C$5:$C$1004,MATCH(C1797,LOTES!$F$5:$F$1004,0)),""))</f>
        <v/>
      </c>
      <c r="F1797" s="24" t="str">
        <f aca="false">IF(C1797="","",IFERROR(INDEX(LOTES!$B$5:$B$1004,MATCH(C1797,LOTES!$F$5:$F$1004,0)),""))</f>
        <v/>
      </c>
      <c r="G1797" s="15" t="str">
        <f aca="false">IF(OR(B1797="",F1797=""),"",B1797-F1797)</f>
        <v/>
      </c>
      <c r="H1797" s="13"/>
      <c r="I1797" s="13"/>
      <c r="J1797" s="13"/>
      <c r="K1797" s="25"/>
      <c r="L1797" s="25"/>
      <c r="M1797" s="25"/>
      <c r="N1797" s="25"/>
      <c r="O1797" s="26"/>
      <c r="P1797" s="16" t="str">
        <f aca="false">IF(O1797="","",IFERROR(1/(1/(IF(K1797="",INDEX(CONFIG!$F$5:$F$14,MATCH(D1797,CONFIG!$D$5:$D$14,0)),K1797)*IF(M1797="",INDEX(CONFIG!$H$5:$H$14,MATCH(D1797,CONFIG!$D$5:$D$14,0)),M1797))),""))</f>
        <v/>
      </c>
      <c r="Q1797" s="16" t="str">
        <f aca="false">IF(OR(O1797="",P1797=""),"",O1797/P1797)</f>
        <v/>
      </c>
      <c r="R1797" s="16" t="str">
        <f aca="false">IF(Q1797="","",Q1797*0.0980665)</f>
        <v/>
      </c>
      <c r="S1797" s="16" t="str">
        <f aca="false">IF(Q1797="","",IFERROR(Q1797/(1/(1/INDEX(CONFIG!$I$5:$I$14,MATCH(D1797,CONFIG!$D$5:$D$14,0)))),""))</f>
        <v/>
      </c>
      <c r="T1797" s="13"/>
      <c r="U1797" s="13"/>
      <c r="V1797" s="13"/>
      <c r="W1797" s="13"/>
      <c r="X1797" s="22" t="str">
        <f aca="false">IF(Q1797="","",Q1797^2)</f>
        <v/>
      </c>
      <c r="Y1797" s="22" t="str">
        <f aca="false">IF(AND(C1797&lt;&gt;"",C1797=CERTIFICADO!$E$4,OR(CERTIFICADO!$E$5="",B1797=CERTIFICADO!$E$5)),MAX($Y$4:Y1796)+1,"")</f>
        <v/>
      </c>
    </row>
    <row r="1798" customFormat="false" ht="15" hidden="false" customHeight="false" outlineLevel="0" collapsed="false">
      <c r="A1798" s="11" t="str">
        <f aca="false">IF(C1798="","",ROW()-4)</f>
        <v/>
      </c>
      <c r="B1798" s="12"/>
      <c r="C1798" s="13"/>
      <c r="D1798" s="23" t="str">
        <f aca="false">IF(C1798="","",IFERROR(INDEX(LOTES!$D$5:$D$1004,MATCH(C1798,LOTES!$F$5:$F$1004,0)),"¿Lote?"))</f>
        <v/>
      </c>
      <c r="E1798" s="11" t="str">
        <f aca="false">IF(C1798="","",IFERROR(INDEX(LOTES!$C$5:$C$1004,MATCH(C1798,LOTES!$F$5:$F$1004,0)),""))</f>
        <v/>
      </c>
      <c r="F1798" s="24" t="str">
        <f aca="false">IF(C1798="","",IFERROR(INDEX(LOTES!$B$5:$B$1004,MATCH(C1798,LOTES!$F$5:$F$1004,0)),""))</f>
        <v/>
      </c>
      <c r="G1798" s="15" t="str">
        <f aca="false">IF(OR(B1798="",F1798=""),"",B1798-F1798)</f>
        <v/>
      </c>
      <c r="H1798" s="13"/>
      <c r="I1798" s="13"/>
      <c r="J1798" s="13"/>
      <c r="K1798" s="25"/>
      <c r="L1798" s="25"/>
      <c r="M1798" s="25"/>
      <c r="N1798" s="25"/>
      <c r="O1798" s="26"/>
      <c r="P1798" s="16" t="str">
        <f aca="false">IF(O1798="","",IFERROR(1/(1/(IF(K1798="",INDEX(CONFIG!$F$5:$F$14,MATCH(D1798,CONFIG!$D$5:$D$14,0)),K1798)*IF(M1798="",INDEX(CONFIG!$H$5:$H$14,MATCH(D1798,CONFIG!$D$5:$D$14,0)),M1798))),""))</f>
        <v/>
      </c>
      <c r="Q1798" s="16" t="str">
        <f aca="false">IF(OR(O1798="",P1798=""),"",O1798/P1798)</f>
        <v/>
      </c>
      <c r="R1798" s="16" t="str">
        <f aca="false">IF(Q1798="","",Q1798*0.0980665)</f>
        <v/>
      </c>
      <c r="S1798" s="16" t="str">
        <f aca="false">IF(Q1798="","",IFERROR(Q1798/(1/(1/INDEX(CONFIG!$I$5:$I$14,MATCH(D1798,CONFIG!$D$5:$D$14,0)))),""))</f>
        <v/>
      </c>
      <c r="T1798" s="13"/>
      <c r="U1798" s="13"/>
      <c r="V1798" s="13"/>
      <c r="W1798" s="13"/>
      <c r="X1798" s="22" t="str">
        <f aca="false">IF(Q1798="","",Q1798^2)</f>
        <v/>
      </c>
      <c r="Y1798" s="22" t="str">
        <f aca="false">IF(AND(C1798&lt;&gt;"",C1798=CERTIFICADO!$E$4,OR(CERTIFICADO!$E$5="",B1798=CERTIFICADO!$E$5)),MAX($Y$4:Y1797)+1,"")</f>
        <v/>
      </c>
    </row>
    <row r="1799" customFormat="false" ht="15" hidden="false" customHeight="false" outlineLevel="0" collapsed="false">
      <c r="A1799" s="11" t="str">
        <f aca="false">IF(C1799="","",ROW()-4)</f>
        <v/>
      </c>
      <c r="B1799" s="12"/>
      <c r="C1799" s="13"/>
      <c r="D1799" s="23" t="str">
        <f aca="false">IF(C1799="","",IFERROR(INDEX(LOTES!$D$5:$D$1004,MATCH(C1799,LOTES!$F$5:$F$1004,0)),"¿Lote?"))</f>
        <v/>
      </c>
      <c r="E1799" s="11" t="str">
        <f aca="false">IF(C1799="","",IFERROR(INDEX(LOTES!$C$5:$C$1004,MATCH(C1799,LOTES!$F$5:$F$1004,0)),""))</f>
        <v/>
      </c>
      <c r="F1799" s="24" t="str">
        <f aca="false">IF(C1799="","",IFERROR(INDEX(LOTES!$B$5:$B$1004,MATCH(C1799,LOTES!$F$5:$F$1004,0)),""))</f>
        <v/>
      </c>
      <c r="G1799" s="15" t="str">
        <f aca="false">IF(OR(B1799="",F1799=""),"",B1799-F1799)</f>
        <v/>
      </c>
      <c r="H1799" s="13"/>
      <c r="I1799" s="13"/>
      <c r="J1799" s="13"/>
      <c r="K1799" s="25"/>
      <c r="L1799" s="25"/>
      <c r="M1799" s="25"/>
      <c r="N1799" s="25"/>
      <c r="O1799" s="26"/>
      <c r="P1799" s="16" t="str">
        <f aca="false">IF(O1799="","",IFERROR(1/(1/(IF(K1799="",INDEX(CONFIG!$F$5:$F$14,MATCH(D1799,CONFIG!$D$5:$D$14,0)),K1799)*IF(M1799="",INDEX(CONFIG!$H$5:$H$14,MATCH(D1799,CONFIG!$D$5:$D$14,0)),M1799))),""))</f>
        <v/>
      </c>
      <c r="Q1799" s="16" t="str">
        <f aca="false">IF(OR(O1799="",P1799=""),"",O1799/P1799)</f>
        <v/>
      </c>
      <c r="R1799" s="16" t="str">
        <f aca="false">IF(Q1799="","",Q1799*0.0980665)</f>
        <v/>
      </c>
      <c r="S1799" s="16" t="str">
        <f aca="false">IF(Q1799="","",IFERROR(Q1799/(1/(1/INDEX(CONFIG!$I$5:$I$14,MATCH(D1799,CONFIG!$D$5:$D$14,0)))),""))</f>
        <v/>
      </c>
      <c r="T1799" s="13"/>
      <c r="U1799" s="13"/>
      <c r="V1799" s="13"/>
      <c r="W1799" s="13"/>
      <c r="X1799" s="22" t="str">
        <f aca="false">IF(Q1799="","",Q1799^2)</f>
        <v/>
      </c>
      <c r="Y1799" s="22" t="str">
        <f aca="false">IF(AND(C1799&lt;&gt;"",C1799=CERTIFICADO!$E$4,OR(CERTIFICADO!$E$5="",B1799=CERTIFICADO!$E$5)),MAX($Y$4:Y1798)+1,"")</f>
        <v/>
      </c>
    </row>
    <row r="1800" customFormat="false" ht="15" hidden="false" customHeight="false" outlineLevel="0" collapsed="false">
      <c r="A1800" s="11" t="str">
        <f aca="false">IF(C1800="","",ROW()-4)</f>
        <v/>
      </c>
      <c r="B1800" s="12"/>
      <c r="C1800" s="13"/>
      <c r="D1800" s="23" t="str">
        <f aca="false">IF(C1800="","",IFERROR(INDEX(LOTES!$D$5:$D$1004,MATCH(C1800,LOTES!$F$5:$F$1004,0)),"¿Lote?"))</f>
        <v/>
      </c>
      <c r="E1800" s="11" t="str">
        <f aca="false">IF(C1800="","",IFERROR(INDEX(LOTES!$C$5:$C$1004,MATCH(C1800,LOTES!$F$5:$F$1004,0)),""))</f>
        <v/>
      </c>
      <c r="F1800" s="24" t="str">
        <f aca="false">IF(C1800="","",IFERROR(INDEX(LOTES!$B$5:$B$1004,MATCH(C1800,LOTES!$F$5:$F$1004,0)),""))</f>
        <v/>
      </c>
      <c r="G1800" s="15" t="str">
        <f aca="false">IF(OR(B1800="",F1800=""),"",B1800-F1800)</f>
        <v/>
      </c>
      <c r="H1800" s="13"/>
      <c r="I1800" s="13"/>
      <c r="J1800" s="13"/>
      <c r="K1800" s="25"/>
      <c r="L1800" s="25"/>
      <c r="M1800" s="25"/>
      <c r="N1800" s="25"/>
      <c r="O1800" s="26"/>
      <c r="P1800" s="16" t="str">
        <f aca="false">IF(O1800="","",IFERROR(1/(1/(IF(K1800="",INDEX(CONFIG!$F$5:$F$14,MATCH(D1800,CONFIG!$D$5:$D$14,0)),K1800)*IF(M1800="",INDEX(CONFIG!$H$5:$H$14,MATCH(D1800,CONFIG!$D$5:$D$14,0)),M1800))),""))</f>
        <v/>
      </c>
      <c r="Q1800" s="16" t="str">
        <f aca="false">IF(OR(O1800="",P1800=""),"",O1800/P1800)</f>
        <v/>
      </c>
      <c r="R1800" s="16" t="str">
        <f aca="false">IF(Q1800="","",Q1800*0.0980665)</f>
        <v/>
      </c>
      <c r="S1800" s="16" t="str">
        <f aca="false">IF(Q1800="","",IFERROR(Q1800/(1/(1/INDEX(CONFIG!$I$5:$I$14,MATCH(D1800,CONFIG!$D$5:$D$14,0)))),""))</f>
        <v/>
      </c>
      <c r="T1800" s="13"/>
      <c r="U1800" s="13"/>
      <c r="V1800" s="13"/>
      <c r="W1800" s="13"/>
      <c r="X1800" s="22" t="str">
        <f aca="false">IF(Q1800="","",Q1800^2)</f>
        <v/>
      </c>
      <c r="Y1800" s="22" t="str">
        <f aca="false">IF(AND(C1800&lt;&gt;"",C1800=CERTIFICADO!$E$4,OR(CERTIFICADO!$E$5="",B1800=CERTIFICADO!$E$5)),MAX($Y$4:Y1799)+1,"")</f>
        <v/>
      </c>
    </row>
    <row r="1801" customFormat="false" ht="15" hidden="false" customHeight="false" outlineLevel="0" collapsed="false">
      <c r="A1801" s="11" t="str">
        <f aca="false">IF(C1801="","",ROW()-4)</f>
        <v/>
      </c>
      <c r="B1801" s="12"/>
      <c r="C1801" s="13"/>
      <c r="D1801" s="23" t="str">
        <f aca="false">IF(C1801="","",IFERROR(INDEX(LOTES!$D$5:$D$1004,MATCH(C1801,LOTES!$F$5:$F$1004,0)),"¿Lote?"))</f>
        <v/>
      </c>
      <c r="E1801" s="11" t="str">
        <f aca="false">IF(C1801="","",IFERROR(INDEX(LOTES!$C$5:$C$1004,MATCH(C1801,LOTES!$F$5:$F$1004,0)),""))</f>
        <v/>
      </c>
      <c r="F1801" s="24" t="str">
        <f aca="false">IF(C1801="","",IFERROR(INDEX(LOTES!$B$5:$B$1004,MATCH(C1801,LOTES!$F$5:$F$1004,0)),""))</f>
        <v/>
      </c>
      <c r="G1801" s="15" t="str">
        <f aca="false">IF(OR(B1801="",F1801=""),"",B1801-F1801)</f>
        <v/>
      </c>
      <c r="H1801" s="13"/>
      <c r="I1801" s="13"/>
      <c r="J1801" s="13"/>
      <c r="K1801" s="25"/>
      <c r="L1801" s="25"/>
      <c r="M1801" s="25"/>
      <c r="N1801" s="25"/>
      <c r="O1801" s="26"/>
      <c r="P1801" s="16" t="str">
        <f aca="false">IF(O1801="","",IFERROR(1/(1/(IF(K1801="",INDEX(CONFIG!$F$5:$F$14,MATCH(D1801,CONFIG!$D$5:$D$14,0)),K1801)*IF(M1801="",INDEX(CONFIG!$H$5:$H$14,MATCH(D1801,CONFIG!$D$5:$D$14,0)),M1801))),""))</f>
        <v/>
      </c>
      <c r="Q1801" s="16" t="str">
        <f aca="false">IF(OR(O1801="",P1801=""),"",O1801/P1801)</f>
        <v/>
      </c>
      <c r="R1801" s="16" t="str">
        <f aca="false">IF(Q1801="","",Q1801*0.0980665)</f>
        <v/>
      </c>
      <c r="S1801" s="16" t="str">
        <f aca="false">IF(Q1801="","",IFERROR(Q1801/(1/(1/INDEX(CONFIG!$I$5:$I$14,MATCH(D1801,CONFIG!$D$5:$D$14,0)))),""))</f>
        <v/>
      </c>
      <c r="T1801" s="13"/>
      <c r="U1801" s="13"/>
      <c r="V1801" s="13"/>
      <c r="W1801" s="13"/>
      <c r="X1801" s="22" t="str">
        <f aca="false">IF(Q1801="","",Q1801^2)</f>
        <v/>
      </c>
      <c r="Y1801" s="22" t="str">
        <f aca="false">IF(AND(C1801&lt;&gt;"",C1801=CERTIFICADO!$E$4,OR(CERTIFICADO!$E$5="",B1801=CERTIFICADO!$E$5)),MAX($Y$4:Y1800)+1,"")</f>
        <v/>
      </c>
    </row>
    <row r="1802" customFormat="false" ht="15" hidden="false" customHeight="false" outlineLevel="0" collapsed="false">
      <c r="A1802" s="11" t="str">
        <f aca="false">IF(C1802="","",ROW()-4)</f>
        <v/>
      </c>
      <c r="B1802" s="12"/>
      <c r="C1802" s="13"/>
      <c r="D1802" s="23" t="str">
        <f aca="false">IF(C1802="","",IFERROR(INDEX(LOTES!$D$5:$D$1004,MATCH(C1802,LOTES!$F$5:$F$1004,0)),"¿Lote?"))</f>
        <v/>
      </c>
      <c r="E1802" s="11" t="str">
        <f aca="false">IF(C1802="","",IFERROR(INDEX(LOTES!$C$5:$C$1004,MATCH(C1802,LOTES!$F$5:$F$1004,0)),""))</f>
        <v/>
      </c>
      <c r="F1802" s="24" t="str">
        <f aca="false">IF(C1802="","",IFERROR(INDEX(LOTES!$B$5:$B$1004,MATCH(C1802,LOTES!$F$5:$F$1004,0)),""))</f>
        <v/>
      </c>
      <c r="G1802" s="15" t="str">
        <f aca="false">IF(OR(B1802="",F1802=""),"",B1802-F1802)</f>
        <v/>
      </c>
      <c r="H1802" s="13"/>
      <c r="I1802" s="13"/>
      <c r="J1802" s="13"/>
      <c r="K1802" s="25"/>
      <c r="L1802" s="25"/>
      <c r="M1802" s="25"/>
      <c r="N1802" s="25"/>
      <c r="O1802" s="26"/>
      <c r="P1802" s="16" t="str">
        <f aca="false">IF(O1802="","",IFERROR(1/(1/(IF(K1802="",INDEX(CONFIG!$F$5:$F$14,MATCH(D1802,CONFIG!$D$5:$D$14,0)),K1802)*IF(M1802="",INDEX(CONFIG!$H$5:$H$14,MATCH(D1802,CONFIG!$D$5:$D$14,0)),M1802))),""))</f>
        <v/>
      </c>
      <c r="Q1802" s="16" t="str">
        <f aca="false">IF(OR(O1802="",P1802=""),"",O1802/P1802)</f>
        <v/>
      </c>
      <c r="R1802" s="16" t="str">
        <f aca="false">IF(Q1802="","",Q1802*0.0980665)</f>
        <v/>
      </c>
      <c r="S1802" s="16" t="str">
        <f aca="false">IF(Q1802="","",IFERROR(Q1802/(1/(1/INDEX(CONFIG!$I$5:$I$14,MATCH(D1802,CONFIG!$D$5:$D$14,0)))),""))</f>
        <v/>
      </c>
      <c r="T1802" s="13"/>
      <c r="U1802" s="13"/>
      <c r="V1802" s="13"/>
      <c r="W1802" s="13"/>
      <c r="X1802" s="22" t="str">
        <f aca="false">IF(Q1802="","",Q1802^2)</f>
        <v/>
      </c>
      <c r="Y1802" s="22" t="str">
        <f aca="false">IF(AND(C1802&lt;&gt;"",C1802=CERTIFICADO!$E$4,OR(CERTIFICADO!$E$5="",B1802=CERTIFICADO!$E$5)),MAX($Y$4:Y1801)+1,"")</f>
        <v/>
      </c>
    </row>
    <row r="1803" customFormat="false" ht="15" hidden="false" customHeight="false" outlineLevel="0" collapsed="false">
      <c r="A1803" s="11" t="str">
        <f aca="false">IF(C1803="","",ROW()-4)</f>
        <v/>
      </c>
      <c r="B1803" s="12"/>
      <c r="C1803" s="13"/>
      <c r="D1803" s="23" t="str">
        <f aca="false">IF(C1803="","",IFERROR(INDEX(LOTES!$D$5:$D$1004,MATCH(C1803,LOTES!$F$5:$F$1004,0)),"¿Lote?"))</f>
        <v/>
      </c>
      <c r="E1803" s="11" t="str">
        <f aca="false">IF(C1803="","",IFERROR(INDEX(LOTES!$C$5:$C$1004,MATCH(C1803,LOTES!$F$5:$F$1004,0)),""))</f>
        <v/>
      </c>
      <c r="F1803" s="24" t="str">
        <f aca="false">IF(C1803="","",IFERROR(INDEX(LOTES!$B$5:$B$1004,MATCH(C1803,LOTES!$F$5:$F$1004,0)),""))</f>
        <v/>
      </c>
      <c r="G1803" s="15" t="str">
        <f aca="false">IF(OR(B1803="",F1803=""),"",B1803-F1803)</f>
        <v/>
      </c>
      <c r="H1803" s="13"/>
      <c r="I1803" s="13"/>
      <c r="J1803" s="13"/>
      <c r="K1803" s="25"/>
      <c r="L1803" s="25"/>
      <c r="M1803" s="25"/>
      <c r="N1803" s="25"/>
      <c r="O1803" s="26"/>
      <c r="P1803" s="16" t="str">
        <f aca="false">IF(O1803="","",IFERROR(1/(1/(IF(K1803="",INDEX(CONFIG!$F$5:$F$14,MATCH(D1803,CONFIG!$D$5:$D$14,0)),K1803)*IF(M1803="",INDEX(CONFIG!$H$5:$H$14,MATCH(D1803,CONFIG!$D$5:$D$14,0)),M1803))),""))</f>
        <v/>
      </c>
      <c r="Q1803" s="16" t="str">
        <f aca="false">IF(OR(O1803="",P1803=""),"",O1803/P1803)</f>
        <v/>
      </c>
      <c r="R1803" s="16" t="str">
        <f aca="false">IF(Q1803="","",Q1803*0.0980665)</f>
        <v/>
      </c>
      <c r="S1803" s="16" t="str">
        <f aca="false">IF(Q1803="","",IFERROR(Q1803/(1/(1/INDEX(CONFIG!$I$5:$I$14,MATCH(D1803,CONFIG!$D$5:$D$14,0)))),""))</f>
        <v/>
      </c>
      <c r="T1803" s="13"/>
      <c r="U1803" s="13"/>
      <c r="V1803" s="13"/>
      <c r="W1803" s="13"/>
      <c r="X1803" s="22" t="str">
        <f aca="false">IF(Q1803="","",Q1803^2)</f>
        <v/>
      </c>
      <c r="Y1803" s="22" t="str">
        <f aca="false">IF(AND(C1803&lt;&gt;"",C1803=CERTIFICADO!$E$4,OR(CERTIFICADO!$E$5="",B1803=CERTIFICADO!$E$5)),MAX($Y$4:Y1802)+1,"")</f>
        <v/>
      </c>
    </row>
    <row r="1804" customFormat="false" ht="15" hidden="false" customHeight="false" outlineLevel="0" collapsed="false">
      <c r="A1804" s="11" t="str">
        <f aca="false">IF(C1804="","",ROW()-4)</f>
        <v/>
      </c>
      <c r="B1804" s="12"/>
      <c r="C1804" s="13"/>
      <c r="D1804" s="23" t="str">
        <f aca="false">IF(C1804="","",IFERROR(INDEX(LOTES!$D$5:$D$1004,MATCH(C1804,LOTES!$F$5:$F$1004,0)),"¿Lote?"))</f>
        <v/>
      </c>
      <c r="E1804" s="11" t="str">
        <f aca="false">IF(C1804="","",IFERROR(INDEX(LOTES!$C$5:$C$1004,MATCH(C1804,LOTES!$F$5:$F$1004,0)),""))</f>
        <v/>
      </c>
      <c r="F1804" s="24" t="str">
        <f aca="false">IF(C1804="","",IFERROR(INDEX(LOTES!$B$5:$B$1004,MATCH(C1804,LOTES!$F$5:$F$1004,0)),""))</f>
        <v/>
      </c>
      <c r="G1804" s="15" t="str">
        <f aca="false">IF(OR(B1804="",F1804=""),"",B1804-F1804)</f>
        <v/>
      </c>
      <c r="H1804" s="13"/>
      <c r="I1804" s="13"/>
      <c r="J1804" s="13"/>
      <c r="K1804" s="25"/>
      <c r="L1804" s="25"/>
      <c r="M1804" s="25"/>
      <c r="N1804" s="25"/>
      <c r="O1804" s="26"/>
      <c r="P1804" s="16" t="str">
        <f aca="false">IF(O1804="","",IFERROR(1/(1/(IF(K1804="",INDEX(CONFIG!$F$5:$F$14,MATCH(D1804,CONFIG!$D$5:$D$14,0)),K1804)*IF(M1804="",INDEX(CONFIG!$H$5:$H$14,MATCH(D1804,CONFIG!$D$5:$D$14,0)),M1804))),""))</f>
        <v/>
      </c>
      <c r="Q1804" s="16" t="str">
        <f aca="false">IF(OR(O1804="",P1804=""),"",O1804/P1804)</f>
        <v/>
      </c>
      <c r="R1804" s="16" t="str">
        <f aca="false">IF(Q1804="","",Q1804*0.0980665)</f>
        <v/>
      </c>
      <c r="S1804" s="16" t="str">
        <f aca="false">IF(Q1804="","",IFERROR(Q1804/(1/(1/INDEX(CONFIG!$I$5:$I$14,MATCH(D1804,CONFIG!$D$5:$D$14,0)))),""))</f>
        <v/>
      </c>
      <c r="T1804" s="13"/>
      <c r="U1804" s="13"/>
      <c r="V1804" s="13"/>
      <c r="W1804" s="13"/>
      <c r="X1804" s="22" t="str">
        <f aca="false">IF(Q1804="","",Q1804^2)</f>
        <v/>
      </c>
      <c r="Y1804" s="22" t="str">
        <f aca="false">IF(AND(C1804&lt;&gt;"",C1804=CERTIFICADO!$E$4,OR(CERTIFICADO!$E$5="",B1804=CERTIFICADO!$E$5)),MAX($Y$4:Y1803)+1,"")</f>
        <v/>
      </c>
    </row>
    <row r="1805" customFormat="false" ht="15" hidden="false" customHeight="false" outlineLevel="0" collapsed="false">
      <c r="A1805" s="11" t="str">
        <f aca="false">IF(C1805="","",ROW()-4)</f>
        <v/>
      </c>
      <c r="B1805" s="12"/>
      <c r="C1805" s="13"/>
      <c r="D1805" s="23" t="str">
        <f aca="false">IF(C1805="","",IFERROR(INDEX(LOTES!$D$5:$D$1004,MATCH(C1805,LOTES!$F$5:$F$1004,0)),"¿Lote?"))</f>
        <v/>
      </c>
      <c r="E1805" s="11" t="str">
        <f aca="false">IF(C1805="","",IFERROR(INDEX(LOTES!$C$5:$C$1004,MATCH(C1805,LOTES!$F$5:$F$1004,0)),""))</f>
        <v/>
      </c>
      <c r="F1805" s="24" t="str">
        <f aca="false">IF(C1805="","",IFERROR(INDEX(LOTES!$B$5:$B$1004,MATCH(C1805,LOTES!$F$5:$F$1004,0)),""))</f>
        <v/>
      </c>
      <c r="G1805" s="15" t="str">
        <f aca="false">IF(OR(B1805="",F1805=""),"",B1805-F1805)</f>
        <v/>
      </c>
      <c r="H1805" s="13"/>
      <c r="I1805" s="13"/>
      <c r="J1805" s="13"/>
      <c r="K1805" s="25"/>
      <c r="L1805" s="25"/>
      <c r="M1805" s="25"/>
      <c r="N1805" s="25"/>
      <c r="O1805" s="26"/>
      <c r="P1805" s="16" t="str">
        <f aca="false">IF(O1805="","",IFERROR(1/(1/(IF(K1805="",INDEX(CONFIG!$F$5:$F$14,MATCH(D1805,CONFIG!$D$5:$D$14,0)),K1805)*IF(M1805="",INDEX(CONFIG!$H$5:$H$14,MATCH(D1805,CONFIG!$D$5:$D$14,0)),M1805))),""))</f>
        <v/>
      </c>
      <c r="Q1805" s="16" t="str">
        <f aca="false">IF(OR(O1805="",P1805=""),"",O1805/P1805)</f>
        <v/>
      </c>
      <c r="R1805" s="16" t="str">
        <f aca="false">IF(Q1805="","",Q1805*0.0980665)</f>
        <v/>
      </c>
      <c r="S1805" s="16" t="str">
        <f aca="false">IF(Q1805="","",IFERROR(Q1805/(1/(1/INDEX(CONFIG!$I$5:$I$14,MATCH(D1805,CONFIG!$D$5:$D$14,0)))),""))</f>
        <v/>
      </c>
      <c r="T1805" s="13"/>
      <c r="U1805" s="13"/>
      <c r="V1805" s="13"/>
      <c r="W1805" s="13"/>
      <c r="X1805" s="22" t="str">
        <f aca="false">IF(Q1805="","",Q1805^2)</f>
        <v/>
      </c>
      <c r="Y1805" s="22" t="str">
        <f aca="false">IF(AND(C1805&lt;&gt;"",C1805=CERTIFICADO!$E$4,OR(CERTIFICADO!$E$5="",B1805=CERTIFICADO!$E$5)),MAX($Y$4:Y1804)+1,"")</f>
        <v/>
      </c>
    </row>
    <row r="1806" customFormat="false" ht="15" hidden="false" customHeight="false" outlineLevel="0" collapsed="false">
      <c r="A1806" s="11" t="str">
        <f aca="false">IF(C1806="","",ROW()-4)</f>
        <v/>
      </c>
      <c r="B1806" s="12"/>
      <c r="C1806" s="13"/>
      <c r="D1806" s="23" t="str">
        <f aca="false">IF(C1806="","",IFERROR(INDEX(LOTES!$D$5:$D$1004,MATCH(C1806,LOTES!$F$5:$F$1004,0)),"¿Lote?"))</f>
        <v/>
      </c>
      <c r="E1806" s="11" t="str">
        <f aca="false">IF(C1806="","",IFERROR(INDEX(LOTES!$C$5:$C$1004,MATCH(C1806,LOTES!$F$5:$F$1004,0)),""))</f>
        <v/>
      </c>
      <c r="F1806" s="24" t="str">
        <f aca="false">IF(C1806="","",IFERROR(INDEX(LOTES!$B$5:$B$1004,MATCH(C1806,LOTES!$F$5:$F$1004,0)),""))</f>
        <v/>
      </c>
      <c r="G1806" s="15" t="str">
        <f aca="false">IF(OR(B1806="",F1806=""),"",B1806-F1806)</f>
        <v/>
      </c>
      <c r="H1806" s="13"/>
      <c r="I1806" s="13"/>
      <c r="J1806" s="13"/>
      <c r="K1806" s="25"/>
      <c r="L1806" s="25"/>
      <c r="M1806" s="25"/>
      <c r="N1806" s="25"/>
      <c r="O1806" s="26"/>
      <c r="P1806" s="16" t="str">
        <f aca="false">IF(O1806="","",IFERROR(1/(1/(IF(K1806="",INDEX(CONFIG!$F$5:$F$14,MATCH(D1806,CONFIG!$D$5:$D$14,0)),K1806)*IF(M1806="",INDEX(CONFIG!$H$5:$H$14,MATCH(D1806,CONFIG!$D$5:$D$14,0)),M1806))),""))</f>
        <v/>
      </c>
      <c r="Q1806" s="16" t="str">
        <f aca="false">IF(OR(O1806="",P1806=""),"",O1806/P1806)</f>
        <v/>
      </c>
      <c r="R1806" s="16" t="str">
        <f aca="false">IF(Q1806="","",Q1806*0.0980665)</f>
        <v/>
      </c>
      <c r="S1806" s="16" t="str">
        <f aca="false">IF(Q1806="","",IFERROR(Q1806/(1/(1/INDEX(CONFIG!$I$5:$I$14,MATCH(D1806,CONFIG!$D$5:$D$14,0)))),""))</f>
        <v/>
      </c>
      <c r="T1806" s="13"/>
      <c r="U1806" s="13"/>
      <c r="V1806" s="13"/>
      <c r="W1806" s="13"/>
      <c r="X1806" s="22" t="str">
        <f aca="false">IF(Q1806="","",Q1806^2)</f>
        <v/>
      </c>
      <c r="Y1806" s="22" t="str">
        <f aca="false">IF(AND(C1806&lt;&gt;"",C1806=CERTIFICADO!$E$4,OR(CERTIFICADO!$E$5="",B1806=CERTIFICADO!$E$5)),MAX($Y$4:Y1805)+1,"")</f>
        <v/>
      </c>
    </row>
    <row r="1807" customFormat="false" ht="15" hidden="false" customHeight="false" outlineLevel="0" collapsed="false">
      <c r="A1807" s="11" t="str">
        <f aca="false">IF(C1807="","",ROW()-4)</f>
        <v/>
      </c>
      <c r="B1807" s="12"/>
      <c r="C1807" s="13"/>
      <c r="D1807" s="23" t="str">
        <f aca="false">IF(C1807="","",IFERROR(INDEX(LOTES!$D$5:$D$1004,MATCH(C1807,LOTES!$F$5:$F$1004,0)),"¿Lote?"))</f>
        <v/>
      </c>
      <c r="E1807" s="11" t="str">
        <f aca="false">IF(C1807="","",IFERROR(INDEX(LOTES!$C$5:$C$1004,MATCH(C1807,LOTES!$F$5:$F$1004,0)),""))</f>
        <v/>
      </c>
      <c r="F1807" s="24" t="str">
        <f aca="false">IF(C1807="","",IFERROR(INDEX(LOTES!$B$5:$B$1004,MATCH(C1807,LOTES!$F$5:$F$1004,0)),""))</f>
        <v/>
      </c>
      <c r="G1807" s="15" t="str">
        <f aca="false">IF(OR(B1807="",F1807=""),"",B1807-F1807)</f>
        <v/>
      </c>
      <c r="H1807" s="13"/>
      <c r="I1807" s="13"/>
      <c r="J1807" s="13"/>
      <c r="K1807" s="25"/>
      <c r="L1807" s="25"/>
      <c r="M1807" s="25"/>
      <c r="N1807" s="25"/>
      <c r="O1807" s="26"/>
      <c r="P1807" s="16" t="str">
        <f aca="false">IF(O1807="","",IFERROR(1/(1/(IF(K1807="",INDEX(CONFIG!$F$5:$F$14,MATCH(D1807,CONFIG!$D$5:$D$14,0)),K1807)*IF(M1807="",INDEX(CONFIG!$H$5:$H$14,MATCH(D1807,CONFIG!$D$5:$D$14,0)),M1807))),""))</f>
        <v/>
      </c>
      <c r="Q1807" s="16" t="str">
        <f aca="false">IF(OR(O1807="",P1807=""),"",O1807/P1807)</f>
        <v/>
      </c>
      <c r="R1807" s="16" t="str">
        <f aca="false">IF(Q1807="","",Q1807*0.0980665)</f>
        <v/>
      </c>
      <c r="S1807" s="16" t="str">
        <f aca="false">IF(Q1807="","",IFERROR(Q1807/(1/(1/INDEX(CONFIG!$I$5:$I$14,MATCH(D1807,CONFIG!$D$5:$D$14,0)))),""))</f>
        <v/>
      </c>
      <c r="T1807" s="13"/>
      <c r="U1807" s="13"/>
      <c r="V1807" s="13"/>
      <c r="W1807" s="13"/>
      <c r="X1807" s="22" t="str">
        <f aca="false">IF(Q1807="","",Q1807^2)</f>
        <v/>
      </c>
      <c r="Y1807" s="22" t="str">
        <f aca="false">IF(AND(C1807&lt;&gt;"",C1807=CERTIFICADO!$E$4,OR(CERTIFICADO!$E$5="",B1807=CERTIFICADO!$E$5)),MAX($Y$4:Y1806)+1,"")</f>
        <v/>
      </c>
    </row>
    <row r="1808" customFormat="false" ht="15" hidden="false" customHeight="false" outlineLevel="0" collapsed="false">
      <c r="A1808" s="11" t="str">
        <f aca="false">IF(C1808="","",ROW()-4)</f>
        <v/>
      </c>
      <c r="B1808" s="12"/>
      <c r="C1808" s="13"/>
      <c r="D1808" s="23" t="str">
        <f aca="false">IF(C1808="","",IFERROR(INDEX(LOTES!$D$5:$D$1004,MATCH(C1808,LOTES!$F$5:$F$1004,0)),"¿Lote?"))</f>
        <v/>
      </c>
      <c r="E1808" s="11" t="str">
        <f aca="false">IF(C1808="","",IFERROR(INDEX(LOTES!$C$5:$C$1004,MATCH(C1808,LOTES!$F$5:$F$1004,0)),""))</f>
        <v/>
      </c>
      <c r="F1808" s="24" t="str">
        <f aca="false">IF(C1808="","",IFERROR(INDEX(LOTES!$B$5:$B$1004,MATCH(C1808,LOTES!$F$5:$F$1004,0)),""))</f>
        <v/>
      </c>
      <c r="G1808" s="15" t="str">
        <f aca="false">IF(OR(B1808="",F1808=""),"",B1808-F1808)</f>
        <v/>
      </c>
      <c r="H1808" s="13"/>
      <c r="I1808" s="13"/>
      <c r="J1808" s="13"/>
      <c r="K1808" s="25"/>
      <c r="L1808" s="25"/>
      <c r="M1808" s="25"/>
      <c r="N1808" s="25"/>
      <c r="O1808" s="26"/>
      <c r="P1808" s="16" t="str">
        <f aca="false">IF(O1808="","",IFERROR(1/(1/(IF(K1808="",INDEX(CONFIG!$F$5:$F$14,MATCH(D1808,CONFIG!$D$5:$D$14,0)),K1808)*IF(M1808="",INDEX(CONFIG!$H$5:$H$14,MATCH(D1808,CONFIG!$D$5:$D$14,0)),M1808))),""))</f>
        <v/>
      </c>
      <c r="Q1808" s="16" t="str">
        <f aca="false">IF(OR(O1808="",P1808=""),"",O1808/P1808)</f>
        <v/>
      </c>
      <c r="R1808" s="16" t="str">
        <f aca="false">IF(Q1808="","",Q1808*0.0980665)</f>
        <v/>
      </c>
      <c r="S1808" s="16" t="str">
        <f aca="false">IF(Q1808="","",IFERROR(Q1808/(1/(1/INDEX(CONFIG!$I$5:$I$14,MATCH(D1808,CONFIG!$D$5:$D$14,0)))),""))</f>
        <v/>
      </c>
      <c r="T1808" s="13"/>
      <c r="U1808" s="13"/>
      <c r="V1808" s="13"/>
      <c r="W1808" s="13"/>
      <c r="X1808" s="22" t="str">
        <f aca="false">IF(Q1808="","",Q1808^2)</f>
        <v/>
      </c>
      <c r="Y1808" s="22" t="str">
        <f aca="false">IF(AND(C1808&lt;&gt;"",C1808=CERTIFICADO!$E$4,OR(CERTIFICADO!$E$5="",B1808=CERTIFICADO!$E$5)),MAX($Y$4:Y1807)+1,"")</f>
        <v/>
      </c>
    </row>
    <row r="1809" customFormat="false" ht="15" hidden="false" customHeight="false" outlineLevel="0" collapsed="false">
      <c r="A1809" s="11" t="str">
        <f aca="false">IF(C1809="","",ROW()-4)</f>
        <v/>
      </c>
      <c r="B1809" s="12"/>
      <c r="C1809" s="13"/>
      <c r="D1809" s="23" t="str">
        <f aca="false">IF(C1809="","",IFERROR(INDEX(LOTES!$D$5:$D$1004,MATCH(C1809,LOTES!$F$5:$F$1004,0)),"¿Lote?"))</f>
        <v/>
      </c>
      <c r="E1809" s="11" t="str">
        <f aca="false">IF(C1809="","",IFERROR(INDEX(LOTES!$C$5:$C$1004,MATCH(C1809,LOTES!$F$5:$F$1004,0)),""))</f>
        <v/>
      </c>
      <c r="F1809" s="24" t="str">
        <f aca="false">IF(C1809="","",IFERROR(INDEX(LOTES!$B$5:$B$1004,MATCH(C1809,LOTES!$F$5:$F$1004,0)),""))</f>
        <v/>
      </c>
      <c r="G1809" s="15" t="str">
        <f aca="false">IF(OR(B1809="",F1809=""),"",B1809-F1809)</f>
        <v/>
      </c>
      <c r="H1809" s="13"/>
      <c r="I1809" s="13"/>
      <c r="J1809" s="13"/>
      <c r="K1809" s="25"/>
      <c r="L1809" s="25"/>
      <c r="M1809" s="25"/>
      <c r="N1809" s="25"/>
      <c r="O1809" s="26"/>
      <c r="P1809" s="16" t="str">
        <f aca="false">IF(O1809="","",IFERROR(1/(1/(IF(K1809="",INDEX(CONFIG!$F$5:$F$14,MATCH(D1809,CONFIG!$D$5:$D$14,0)),K1809)*IF(M1809="",INDEX(CONFIG!$H$5:$H$14,MATCH(D1809,CONFIG!$D$5:$D$14,0)),M1809))),""))</f>
        <v/>
      </c>
      <c r="Q1809" s="16" t="str">
        <f aca="false">IF(OR(O1809="",P1809=""),"",O1809/P1809)</f>
        <v/>
      </c>
      <c r="R1809" s="16" t="str">
        <f aca="false">IF(Q1809="","",Q1809*0.0980665)</f>
        <v/>
      </c>
      <c r="S1809" s="16" t="str">
        <f aca="false">IF(Q1809="","",IFERROR(Q1809/(1/(1/INDEX(CONFIG!$I$5:$I$14,MATCH(D1809,CONFIG!$D$5:$D$14,0)))),""))</f>
        <v/>
      </c>
      <c r="T1809" s="13"/>
      <c r="U1809" s="13"/>
      <c r="V1809" s="13"/>
      <c r="W1809" s="13"/>
      <c r="X1809" s="22" t="str">
        <f aca="false">IF(Q1809="","",Q1809^2)</f>
        <v/>
      </c>
      <c r="Y1809" s="22" t="str">
        <f aca="false">IF(AND(C1809&lt;&gt;"",C1809=CERTIFICADO!$E$4,OR(CERTIFICADO!$E$5="",B1809=CERTIFICADO!$E$5)),MAX($Y$4:Y1808)+1,"")</f>
        <v/>
      </c>
    </row>
    <row r="1810" customFormat="false" ht="15" hidden="false" customHeight="false" outlineLevel="0" collapsed="false">
      <c r="A1810" s="11" t="str">
        <f aca="false">IF(C1810="","",ROW()-4)</f>
        <v/>
      </c>
      <c r="B1810" s="12"/>
      <c r="C1810" s="13"/>
      <c r="D1810" s="23" t="str">
        <f aca="false">IF(C1810="","",IFERROR(INDEX(LOTES!$D$5:$D$1004,MATCH(C1810,LOTES!$F$5:$F$1004,0)),"¿Lote?"))</f>
        <v/>
      </c>
      <c r="E1810" s="11" t="str">
        <f aca="false">IF(C1810="","",IFERROR(INDEX(LOTES!$C$5:$C$1004,MATCH(C1810,LOTES!$F$5:$F$1004,0)),""))</f>
        <v/>
      </c>
      <c r="F1810" s="24" t="str">
        <f aca="false">IF(C1810="","",IFERROR(INDEX(LOTES!$B$5:$B$1004,MATCH(C1810,LOTES!$F$5:$F$1004,0)),""))</f>
        <v/>
      </c>
      <c r="G1810" s="15" t="str">
        <f aca="false">IF(OR(B1810="",F1810=""),"",B1810-F1810)</f>
        <v/>
      </c>
      <c r="H1810" s="13"/>
      <c r="I1810" s="13"/>
      <c r="J1810" s="13"/>
      <c r="K1810" s="25"/>
      <c r="L1810" s="25"/>
      <c r="M1810" s="25"/>
      <c r="N1810" s="25"/>
      <c r="O1810" s="26"/>
      <c r="P1810" s="16" t="str">
        <f aca="false">IF(O1810="","",IFERROR(1/(1/(IF(K1810="",INDEX(CONFIG!$F$5:$F$14,MATCH(D1810,CONFIG!$D$5:$D$14,0)),K1810)*IF(M1810="",INDEX(CONFIG!$H$5:$H$14,MATCH(D1810,CONFIG!$D$5:$D$14,0)),M1810))),""))</f>
        <v/>
      </c>
      <c r="Q1810" s="16" t="str">
        <f aca="false">IF(OR(O1810="",P1810=""),"",O1810/P1810)</f>
        <v/>
      </c>
      <c r="R1810" s="16" t="str">
        <f aca="false">IF(Q1810="","",Q1810*0.0980665)</f>
        <v/>
      </c>
      <c r="S1810" s="16" t="str">
        <f aca="false">IF(Q1810="","",IFERROR(Q1810/(1/(1/INDEX(CONFIG!$I$5:$I$14,MATCH(D1810,CONFIG!$D$5:$D$14,0)))),""))</f>
        <v/>
      </c>
      <c r="T1810" s="13"/>
      <c r="U1810" s="13"/>
      <c r="V1810" s="13"/>
      <c r="W1810" s="13"/>
      <c r="X1810" s="22" t="str">
        <f aca="false">IF(Q1810="","",Q1810^2)</f>
        <v/>
      </c>
      <c r="Y1810" s="22" t="str">
        <f aca="false">IF(AND(C1810&lt;&gt;"",C1810=CERTIFICADO!$E$4,OR(CERTIFICADO!$E$5="",B1810=CERTIFICADO!$E$5)),MAX($Y$4:Y1809)+1,"")</f>
        <v/>
      </c>
    </row>
    <row r="1811" customFormat="false" ht="15" hidden="false" customHeight="false" outlineLevel="0" collapsed="false">
      <c r="A1811" s="11" t="str">
        <f aca="false">IF(C1811="","",ROW()-4)</f>
        <v/>
      </c>
      <c r="B1811" s="12"/>
      <c r="C1811" s="13"/>
      <c r="D1811" s="23" t="str">
        <f aca="false">IF(C1811="","",IFERROR(INDEX(LOTES!$D$5:$D$1004,MATCH(C1811,LOTES!$F$5:$F$1004,0)),"¿Lote?"))</f>
        <v/>
      </c>
      <c r="E1811" s="11" t="str">
        <f aca="false">IF(C1811="","",IFERROR(INDEX(LOTES!$C$5:$C$1004,MATCH(C1811,LOTES!$F$5:$F$1004,0)),""))</f>
        <v/>
      </c>
      <c r="F1811" s="24" t="str">
        <f aca="false">IF(C1811="","",IFERROR(INDEX(LOTES!$B$5:$B$1004,MATCH(C1811,LOTES!$F$5:$F$1004,0)),""))</f>
        <v/>
      </c>
      <c r="G1811" s="15" t="str">
        <f aca="false">IF(OR(B1811="",F1811=""),"",B1811-F1811)</f>
        <v/>
      </c>
      <c r="H1811" s="13"/>
      <c r="I1811" s="13"/>
      <c r="J1811" s="13"/>
      <c r="K1811" s="25"/>
      <c r="L1811" s="25"/>
      <c r="M1811" s="25"/>
      <c r="N1811" s="25"/>
      <c r="O1811" s="26"/>
      <c r="P1811" s="16" t="str">
        <f aca="false">IF(O1811="","",IFERROR(1/(1/(IF(K1811="",INDEX(CONFIG!$F$5:$F$14,MATCH(D1811,CONFIG!$D$5:$D$14,0)),K1811)*IF(M1811="",INDEX(CONFIG!$H$5:$H$14,MATCH(D1811,CONFIG!$D$5:$D$14,0)),M1811))),""))</f>
        <v/>
      </c>
      <c r="Q1811" s="16" t="str">
        <f aca="false">IF(OR(O1811="",P1811=""),"",O1811/P1811)</f>
        <v/>
      </c>
      <c r="R1811" s="16" t="str">
        <f aca="false">IF(Q1811="","",Q1811*0.0980665)</f>
        <v/>
      </c>
      <c r="S1811" s="16" t="str">
        <f aca="false">IF(Q1811="","",IFERROR(Q1811/(1/(1/INDEX(CONFIG!$I$5:$I$14,MATCH(D1811,CONFIG!$D$5:$D$14,0)))),""))</f>
        <v/>
      </c>
      <c r="T1811" s="13"/>
      <c r="U1811" s="13"/>
      <c r="V1811" s="13"/>
      <c r="W1811" s="13"/>
      <c r="X1811" s="22" t="str">
        <f aca="false">IF(Q1811="","",Q1811^2)</f>
        <v/>
      </c>
      <c r="Y1811" s="22" t="str">
        <f aca="false">IF(AND(C1811&lt;&gt;"",C1811=CERTIFICADO!$E$4,OR(CERTIFICADO!$E$5="",B1811=CERTIFICADO!$E$5)),MAX($Y$4:Y1810)+1,"")</f>
        <v/>
      </c>
    </row>
    <row r="1812" customFormat="false" ht="15" hidden="false" customHeight="false" outlineLevel="0" collapsed="false">
      <c r="A1812" s="11" t="str">
        <f aca="false">IF(C1812="","",ROW()-4)</f>
        <v/>
      </c>
      <c r="B1812" s="12"/>
      <c r="C1812" s="13"/>
      <c r="D1812" s="23" t="str">
        <f aca="false">IF(C1812="","",IFERROR(INDEX(LOTES!$D$5:$D$1004,MATCH(C1812,LOTES!$F$5:$F$1004,0)),"¿Lote?"))</f>
        <v/>
      </c>
      <c r="E1812" s="11" t="str">
        <f aca="false">IF(C1812="","",IFERROR(INDEX(LOTES!$C$5:$C$1004,MATCH(C1812,LOTES!$F$5:$F$1004,0)),""))</f>
        <v/>
      </c>
      <c r="F1812" s="24" t="str">
        <f aca="false">IF(C1812="","",IFERROR(INDEX(LOTES!$B$5:$B$1004,MATCH(C1812,LOTES!$F$5:$F$1004,0)),""))</f>
        <v/>
      </c>
      <c r="G1812" s="15" t="str">
        <f aca="false">IF(OR(B1812="",F1812=""),"",B1812-F1812)</f>
        <v/>
      </c>
      <c r="H1812" s="13"/>
      <c r="I1812" s="13"/>
      <c r="J1812" s="13"/>
      <c r="K1812" s="25"/>
      <c r="L1812" s="25"/>
      <c r="M1812" s="25"/>
      <c r="N1812" s="25"/>
      <c r="O1812" s="26"/>
      <c r="P1812" s="16" t="str">
        <f aca="false">IF(O1812="","",IFERROR(1/(1/(IF(K1812="",INDEX(CONFIG!$F$5:$F$14,MATCH(D1812,CONFIG!$D$5:$D$14,0)),K1812)*IF(M1812="",INDEX(CONFIG!$H$5:$H$14,MATCH(D1812,CONFIG!$D$5:$D$14,0)),M1812))),""))</f>
        <v/>
      </c>
      <c r="Q1812" s="16" t="str">
        <f aca="false">IF(OR(O1812="",P1812=""),"",O1812/P1812)</f>
        <v/>
      </c>
      <c r="R1812" s="16" t="str">
        <f aca="false">IF(Q1812="","",Q1812*0.0980665)</f>
        <v/>
      </c>
      <c r="S1812" s="16" t="str">
        <f aca="false">IF(Q1812="","",IFERROR(Q1812/(1/(1/INDEX(CONFIG!$I$5:$I$14,MATCH(D1812,CONFIG!$D$5:$D$14,0)))),""))</f>
        <v/>
      </c>
      <c r="T1812" s="13"/>
      <c r="U1812" s="13"/>
      <c r="V1812" s="13"/>
      <c r="W1812" s="13"/>
      <c r="X1812" s="22" t="str">
        <f aca="false">IF(Q1812="","",Q1812^2)</f>
        <v/>
      </c>
      <c r="Y1812" s="22" t="str">
        <f aca="false">IF(AND(C1812&lt;&gt;"",C1812=CERTIFICADO!$E$4,OR(CERTIFICADO!$E$5="",B1812=CERTIFICADO!$E$5)),MAX($Y$4:Y1811)+1,"")</f>
        <v/>
      </c>
    </row>
    <row r="1813" customFormat="false" ht="15" hidden="false" customHeight="false" outlineLevel="0" collapsed="false">
      <c r="A1813" s="11" t="str">
        <f aca="false">IF(C1813="","",ROW()-4)</f>
        <v/>
      </c>
      <c r="B1813" s="12"/>
      <c r="C1813" s="13"/>
      <c r="D1813" s="23" t="str">
        <f aca="false">IF(C1813="","",IFERROR(INDEX(LOTES!$D$5:$D$1004,MATCH(C1813,LOTES!$F$5:$F$1004,0)),"¿Lote?"))</f>
        <v/>
      </c>
      <c r="E1813" s="11" t="str">
        <f aca="false">IF(C1813="","",IFERROR(INDEX(LOTES!$C$5:$C$1004,MATCH(C1813,LOTES!$F$5:$F$1004,0)),""))</f>
        <v/>
      </c>
      <c r="F1813" s="24" t="str">
        <f aca="false">IF(C1813="","",IFERROR(INDEX(LOTES!$B$5:$B$1004,MATCH(C1813,LOTES!$F$5:$F$1004,0)),""))</f>
        <v/>
      </c>
      <c r="G1813" s="15" t="str">
        <f aca="false">IF(OR(B1813="",F1813=""),"",B1813-F1813)</f>
        <v/>
      </c>
      <c r="H1813" s="13"/>
      <c r="I1813" s="13"/>
      <c r="J1813" s="13"/>
      <c r="K1813" s="25"/>
      <c r="L1813" s="25"/>
      <c r="M1813" s="25"/>
      <c r="N1813" s="25"/>
      <c r="O1813" s="26"/>
      <c r="P1813" s="16" t="str">
        <f aca="false">IF(O1813="","",IFERROR(1/(1/(IF(K1813="",INDEX(CONFIG!$F$5:$F$14,MATCH(D1813,CONFIG!$D$5:$D$14,0)),K1813)*IF(M1813="",INDEX(CONFIG!$H$5:$H$14,MATCH(D1813,CONFIG!$D$5:$D$14,0)),M1813))),""))</f>
        <v/>
      </c>
      <c r="Q1813" s="16" t="str">
        <f aca="false">IF(OR(O1813="",P1813=""),"",O1813/P1813)</f>
        <v/>
      </c>
      <c r="R1813" s="16" t="str">
        <f aca="false">IF(Q1813="","",Q1813*0.0980665)</f>
        <v/>
      </c>
      <c r="S1813" s="16" t="str">
        <f aca="false">IF(Q1813="","",IFERROR(Q1813/(1/(1/INDEX(CONFIG!$I$5:$I$14,MATCH(D1813,CONFIG!$D$5:$D$14,0)))),""))</f>
        <v/>
      </c>
      <c r="T1813" s="13"/>
      <c r="U1813" s="13"/>
      <c r="V1813" s="13"/>
      <c r="W1813" s="13"/>
      <c r="X1813" s="22" t="str">
        <f aca="false">IF(Q1813="","",Q1813^2)</f>
        <v/>
      </c>
      <c r="Y1813" s="22" t="str">
        <f aca="false">IF(AND(C1813&lt;&gt;"",C1813=CERTIFICADO!$E$4,OR(CERTIFICADO!$E$5="",B1813=CERTIFICADO!$E$5)),MAX($Y$4:Y1812)+1,"")</f>
        <v/>
      </c>
    </row>
    <row r="1814" customFormat="false" ht="15" hidden="false" customHeight="false" outlineLevel="0" collapsed="false">
      <c r="A1814" s="11" t="str">
        <f aca="false">IF(C1814="","",ROW()-4)</f>
        <v/>
      </c>
      <c r="B1814" s="12"/>
      <c r="C1814" s="13"/>
      <c r="D1814" s="23" t="str">
        <f aca="false">IF(C1814="","",IFERROR(INDEX(LOTES!$D$5:$D$1004,MATCH(C1814,LOTES!$F$5:$F$1004,0)),"¿Lote?"))</f>
        <v/>
      </c>
      <c r="E1814" s="11" t="str">
        <f aca="false">IF(C1814="","",IFERROR(INDEX(LOTES!$C$5:$C$1004,MATCH(C1814,LOTES!$F$5:$F$1004,0)),""))</f>
        <v/>
      </c>
      <c r="F1814" s="24" t="str">
        <f aca="false">IF(C1814="","",IFERROR(INDEX(LOTES!$B$5:$B$1004,MATCH(C1814,LOTES!$F$5:$F$1004,0)),""))</f>
        <v/>
      </c>
      <c r="G1814" s="15" t="str">
        <f aca="false">IF(OR(B1814="",F1814=""),"",B1814-F1814)</f>
        <v/>
      </c>
      <c r="H1814" s="13"/>
      <c r="I1814" s="13"/>
      <c r="J1814" s="13"/>
      <c r="K1814" s="25"/>
      <c r="L1814" s="25"/>
      <c r="M1814" s="25"/>
      <c r="N1814" s="25"/>
      <c r="O1814" s="26"/>
      <c r="P1814" s="16" t="str">
        <f aca="false">IF(O1814="","",IFERROR(1/(1/(IF(K1814="",INDEX(CONFIG!$F$5:$F$14,MATCH(D1814,CONFIG!$D$5:$D$14,0)),K1814)*IF(M1814="",INDEX(CONFIG!$H$5:$H$14,MATCH(D1814,CONFIG!$D$5:$D$14,0)),M1814))),""))</f>
        <v/>
      </c>
      <c r="Q1814" s="16" t="str">
        <f aca="false">IF(OR(O1814="",P1814=""),"",O1814/P1814)</f>
        <v/>
      </c>
      <c r="R1814" s="16" t="str">
        <f aca="false">IF(Q1814="","",Q1814*0.0980665)</f>
        <v/>
      </c>
      <c r="S1814" s="16" t="str">
        <f aca="false">IF(Q1814="","",IFERROR(Q1814/(1/(1/INDEX(CONFIG!$I$5:$I$14,MATCH(D1814,CONFIG!$D$5:$D$14,0)))),""))</f>
        <v/>
      </c>
      <c r="T1814" s="13"/>
      <c r="U1814" s="13"/>
      <c r="V1814" s="13"/>
      <c r="W1814" s="13"/>
      <c r="X1814" s="22" t="str">
        <f aca="false">IF(Q1814="","",Q1814^2)</f>
        <v/>
      </c>
      <c r="Y1814" s="22" t="str">
        <f aca="false">IF(AND(C1814&lt;&gt;"",C1814=CERTIFICADO!$E$4,OR(CERTIFICADO!$E$5="",B1814=CERTIFICADO!$E$5)),MAX($Y$4:Y1813)+1,"")</f>
        <v/>
      </c>
    </row>
    <row r="1815" customFormat="false" ht="15" hidden="false" customHeight="false" outlineLevel="0" collapsed="false">
      <c r="A1815" s="11" t="str">
        <f aca="false">IF(C1815="","",ROW()-4)</f>
        <v/>
      </c>
      <c r="B1815" s="12"/>
      <c r="C1815" s="13"/>
      <c r="D1815" s="23" t="str">
        <f aca="false">IF(C1815="","",IFERROR(INDEX(LOTES!$D$5:$D$1004,MATCH(C1815,LOTES!$F$5:$F$1004,0)),"¿Lote?"))</f>
        <v/>
      </c>
      <c r="E1815" s="11" t="str">
        <f aca="false">IF(C1815="","",IFERROR(INDEX(LOTES!$C$5:$C$1004,MATCH(C1815,LOTES!$F$5:$F$1004,0)),""))</f>
        <v/>
      </c>
      <c r="F1815" s="24" t="str">
        <f aca="false">IF(C1815="","",IFERROR(INDEX(LOTES!$B$5:$B$1004,MATCH(C1815,LOTES!$F$5:$F$1004,0)),""))</f>
        <v/>
      </c>
      <c r="G1815" s="15" t="str">
        <f aca="false">IF(OR(B1815="",F1815=""),"",B1815-F1815)</f>
        <v/>
      </c>
      <c r="H1815" s="13"/>
      <c r="I1815" s="13"/>
      <c r="J1815" s="13"/>
      <c r="K1815" s="25"/>
      <c r="L1815" s="25"/>
      <c r="M1815" s="25"/>
      <c r="N1815" s="25"/>
      <c r="O1815" s="26"/>
      <c r="P1815" s="16" t="str">
        <f aca="false">IF(O1815="","",IFERROR(1/(1/(IF(K1815="",INDEX(CONFIG!$F$5:$F$14,MATCH(D1815,CONFIG!$D$5:$D$14,0)),K1815)*IF(M1815="",INDEX(CONFIG!$H$5:$H$14,MATCH(D1815,CONFIG!$D$5:$D$14,0)),M1815))),""))</f>
        <v/>
      </c>
      <c r="Q1815" s="16" t="str">
        <f aca="false">IF(OR(O1815="",P1815=""),"",O1815/P1815)</f>
        <v/>
      </c>
      <c r="R1815" s="16" t="str">
        <f aca="false">IF(Q1815="","",Q1815*0.0980665)</f>
        <v/>
      </c>
      <c r="S1815" s="16" t="str">
        <f aca="false">IF(Q1815="","",IFERROR(Q1815/(1/(1/INDEX(CONFIG!$I$5:$I$14,MATCH(D1815,CONFIG!$D$5:$D$14,0)))),""))</f>
        <v/>
      </c>
      <c r="T1815" s="13"/>
      <c r="U1815" s="13"/>
      <c r="V1815" s="13"/>
      <c r="W1815" s="13"/>
      <c r="X1815" s="22" t="str">
        <f aca="false">IF(Q1815="","",Q1815^2)</f>
        <v/>
      </c>
      <c r="Y1815" s="22" t="str">
        <f aca="false">IF(AND(C1815&lt;&gt;"",C1815=CERTIFICADO!$E$4,OR(CERTIFICADO!$E$5="",B1815=CERTIFICADO!$E$5)),MAX($Y$4:Y1814)+1,"")</f>
        <v/>
      </c>
    </row>
    <row r="1816" customFormat="false" ht="15" hidden="false" customHeight="false" outlineLevel="0" collapsed="false">
      <c r="A1816" s="11" t="str">
        <f aca="false">IF(C1816="","",ROW()-4)</f>
        <v/>
      </c>
      <c r="B1816" s="12"/>
      <c r="C1816" s="13"/>
      <c r="D1816" s="23" t="str">
        <f aca="false">IF(C1816="","",IFERROR(INDEX(LOTES!$D$5:$D$1004,MATCH(C1816,LOTES!$F$5:$F$1004,0)),"¿Lote?"))</f>
        <v/>
      </c>
      <c r="E1816" s="11" t="str">
        <f aca="false">IF(C1816="","",IFERROR(INDEX(LOTES!$C$5:$C$1004,MATCH(C1816,LOTES!$F$5:$F$1004,0)),""))</f>
        <v/>
      </c>
      <c r="F1816" s="24" t="str">
        <f aca="false">IF(C1816="","",IFERROR(INDEX(LOTES!$B$5:$B$1004,MATCH(C1816,LOTES!$F$5:$F$1004,0)),""))</f>
        <v/>
      </c>
      <c r="G1816" s="15" t="str">
        <f aca="false">IF(OR(B1816="",F1816=""),"",B1816-F1816)</f>
        <v/>
      </c>
      <c r="H1816" s="13"/>
      <c r="I1816" s="13"/>
      <c r="J1816" s="13"/>
      <c r="K1816" s="25"/>
      <c r="L1816" s="25"/>
      <c r="M1816" s="25"/>
      <c r="N1816" s="25"/>
      <c r="O1816" s="26"/>
      <c r="P1816" s="16" t="str">
        <f aca="false">IF(O1816="","",IFERROR(1/(1/(IF(K1816="",INDEX(CONFIG!$F$5:$F$14,MATCH(D1816,CONFIG!$D$5:$D$14,0)),K1816)*IF(M1816="",INDEX(CONFIG!$H$5:$H$14,MATCH(D1816,CONFIG!$D$5:$D$14,0)),M1816))),""))</f>
        <v/>
      </c>
      <c r="Q1816" s="16" t="str">
        <f aca="false">IF(OR(O1816="",P1816=""),"",O1816/P1816)</f>
        <v/>
      </c>
      <c r="R1816" s="16" t="str">
        <f aca="false">IF(Q1816="","",Q1816*0.0980665)</f>
        <v/>
      </c>
      <c r="S1816" s="16" t="str">
        <f aca="false">IF(Q1816="","",IFERROR(Q1816/(1/(1/INDEX(CONFIG!$I$5:$I$14,MATCH(D1816,CONFIG!$D$5:$D$14,0)))),""))</f>
        <v/>
      </c>
      <c r="T1816" s="13"/>
      <c r="U1816" s="13"/>
      <c r="V1816" s="13"/>
      <c r="W1816" s="13"/>
      <c r="X1816" s="22" t="str">
        <f aca="false">IF(Q1816="","",Q1816^2)</f>
        <v/>
      </c>
      <c r="Y1816" s="22" t="str">
        <f aca="false">IF(AND(C1816&lt;&gt;"",C1816=CERTIFICADO!$E$4,OR(CERTIFICADO!$E$5="",B1816=CERTIFICADO!$E$5)),MAX($Y$4:Y1815)+1,"")</f>
        <v/>
      </c>
    </row>
    <row r="1817" customFormat="false" ht="15" hidden="false" customHeight="false" outlineLevel="0" collapsed="false">
      <c r="A1817" s="11" t="str">
        <f aca="false">IF(C1817="","",ROW()-4)</f>
        <v/>
      </c>
      <c r="B1817" s="12"/>
      <c r="C1817" s="13"/>
      <c r="D1817" s="23" t="str">
        <f aca="false">IF(C1817="","",IFERROR(INDEX(LOTES!$D$5:$D$1004,MATCH(C1817,LOTES!$F$5:$F$1004,0)),"¿Lote?"))</f>
        <v/>
      </c>
      <c r="E1817" s="11" t="str">
        <f aca="false">IF(C1817="","",IFERROR(INDEX(LOTES!$C$5:$C$1004,MATCH(C1817,LOTES!$F$5:$F$1004,0)),""))</f>
        <v/>
      </c>
      <c r="F1817" s="24" t="str">
        <f aca="false">IF(C1817="","",IFERROR(INDEX(LOTES!$B$5:$B$1004,MATCH(C1817,LOTES!$F$5:$F$1004,0)),""))</f>
        <v/>
      </c>
      <c r="G1817" s="15" t="str">
        <f aca="false">IF(OR(B1817="",F1817=""),"",B1817-F1817)</f>
        <v/>
      </c>
      <c r="H1817" s="13"/>
      <c r="I1817" s="13"/>
      <c r="J1817" s="13"/>
      <c r="K1817" s="25"/>
      <c r="L1817" s="25"/>
      <c r="M1817" s="25"/>
      <c r="N1817" s="25"/>
      <c r="O1817" s="26"/>
      <c r="P1817" s="16" t="str">
        <f aca="false">IF(O1817="","",IFERROR(1/(1/(IF(K1817="",INDEX(CONFIG!$F$5:$F$14,MATCH(D1817,CONFIG!$D$5:$D$14,0)),K1817)*IF(M1817="",INDEX(CONFIG!$H$5:$H$14,MATCH(D1817,CONFIG!$D$5:$D$14,0)),M1817))),""))</f>
        <v/>
      </c>
      <c r="Q1817" s="16" t="str">
        <f aca="false">IF(OR(O1817="",P1817=""),"",O1817/P1817)</f>
        <v/>
      </c>
      <c r="R1817" s="16" t="str">
        <f aca="false">IF(Q1817="","",Q1817*0.0980665)</f>
        <v/>
      </c>
      <c r="S1817" s="16" t="str">
        <f aca="false">IF(Q1817="","",IFERROR(Q1817/(1/(1/INDEX(CONFIG!$I$5:$I$14,MATCH(D1817,CONFIG!$D$5:$D$14,0)))),""))</f>
        <v/>
      </c>
      <c r="T1817" s="13"/>
      <c r="U1817" s="13"/>
      <c r="V1817" s="13"/>
      <c r="W1817" s="13"/>
      <c r="X1817" s="22" t="str">
        <f aca="false">IF(Q1817="","",Q1817^2)</f>
        <v/>
      </c>
      <c r="Y1817" s="22" t="str">
        <f aca="false">IF(AND(C1817&lt;&gt;"",C1817=CERTIFICADO!$E$4,OR(CERTIFICADO!$E$5="",B1817=CERTIFICADO!$E$5)),MAX($Y$4:Y1816)+1,"")</f>
        <v/>
      </c>
    </row>
    <row r="1818" customFormat="false" ht="15" hidden="false" customHeight="false" outlineLevel="0" collapsed="false">
      <c r="A1818" s="11" t="str">
        <f aca="false">IF(C1818="","",ROW()-4)</f>
        <v/>
      </c>
      <c r="B1818" s="12"/>
      <c r="C1818" s="13"/>
      <c r="D1818" s="23" t="str">
        <f aca="false">IF(C1818="","",IFERROR(INDEX(LOTES!$D$5:$D$1004,MATCH(C1818,LOTES!$F$5:$F$1004,0)),"¿Lote?"))</f>
        <v/>
      </c>
      <c r="E1818" s="11" t="str">
        <f aca="false">IF(C1818="","",IFERROR(INDEX(LOTES!$C$5:$C$1004,MATCH(C1818,LOTES!$F$5:$F$1004,0)),""))</f>
        <v/>
      </c>
      <c r="F1818" s="24" t="str">
        <f aca="false">IF(C1818="","",IFERROR(INDEX(LOTES!$B$5:$B$1004,MATCH(C1818,LOTES!$F$5:$F$1004,0)),""))</f>
        <v/>
      </c>
      <c r="G1818" s="15" t="str">
        <f aca="false">IF(OR(B1818="",F1818=""),"",B1818-F1818)</f>
        <v/>
      </c>
      <c r="H1818" s="13"/>
      <c r="I1818" s="13"/>
      <c r="J1818" s="13"/>
      <c r="K1818" s="25"/>
      <c r="L1818" s="25"/>
      <c r="M1818" s="25"/>
      <c r="N1818" s="25"/>
      <c r="O1818" s="26"/>
      <c r="P1818" s="16" t="str">
        <f aca="false">IF(O1818="","",IFERROR(1/(1/(IF(K1818="",INDEX(CONFIG!$F$5:$F$14,MATCH(D1818,CONFIG!$D$5:$D$14,0)),K1818)*IF(M1818="",INDEX(CONFIG!$H$5:$H$14,MATCH(D1818,CONFIG!$D$5:$D$14,0)),M1818))),""))</f>
        <v/>
      </c>
      <c r="Q1818" s="16" t="str">
        <f aca="false">IF(OR(O1818="",P1818=""),"",O1818/P1818)</f>
        <v/>
      </c>
      <c r="R1818" s="16" t="str">
        <f aca="false">IF(Q1818="","",Q1818*0.0980665)</f>
        <v/>
      </c>
      <c r="S1818" s="16" t="str">
        <f aca="false">IF(Q1818="","",IFERROR(Q1818/(1/(1/INDEX(CONFIG!$I$5:$I$14,MATCH(D1818,CONFIG!$D$5:$D$14,0)))),""))</f>
        <v/>
      </c>
      <c r="T1818" s="13"/>
      <c r="U1818" s="13"/>
      <c r="V1818" s="13"/>
      <c r="W1818" s="13"/>
      <c r="X1818" s="22" t="str">
        <f aca="false">IF(Q1818="","",Q1818^2)</f>
        <v/>
      </c>
      <c r="Y1818" s="22" t="str">
        <f aca="false">IF(AND(C1818&lt;&gt;"",C1818=CERTIFICADO!$E$4,OR(CERTIFICADO!$E$5="",B1818=CERTIFICADO!$E$5)),MAX($Y$4:Y1817)+1,"")</f>
        <v/>
      </c>
    </row>
    <row r="1819" customFormat="false" ht="15" hidden="false" customHeight="false" outlineLevel="0" collapsed="false">
      <c r="A1819" s="11" t="str">
        <f aca="false">IF(C1819="","",ROW()-4)</f>
        <v/>
      </c>
      <c r="B1819" s="12"/>
      <c r="C1819" s="13"/>
      <c r="D1819" s="23" t="str">
        <f aca="false">IF(C1819="","",IFERROR(INDEX(LOTES!$D$5:$D$1004,MATCH(C1819,LOTES!$F$5:$F$1004,0)),"¿Lote?"))</f>
        <v/>
      </c>
      <c r="E1819" s="11" t="str">
        <f aca="false">IF(C1819="","",IFERROR(INDEX(LOTES!$C$5:$C$1004,MATCH(C1819,LOTES!$F$5:$F$1004,0)),""))</f>
        <v/>
      </c>
      <c r="F1819" s="24" t="str">
        <f aca="false">IF(C1819="","",IFERROR(INDEX(LOTES!$B$5:$B$1004,MATCH(C1819,LOTES!$F$5:$F$1004,0)),""))</f>
        <v/>
      </c>
      <c r="G1819" s="15" t="str">
        <f aca="false">IF(OR(B1819="",F1819=""),"",B1819-F1819)</f>
        <v/>
      </c>
      <c r="H1819" s="13"/>
      <c r="I1819" s="13"/>
      <c r="J1819" s="13"/>
      <c r="K1819" s="25"/>
      <c r="L1819" s="25"/>
      <c r="M1819" s="25"/>
      <c r="N1819" s="25"/>
      <c r="O1819" s="26"/>
      <c r="P1819" s="16" t="str">
        <f aca="false">IF(O1819="","",IFERROR(1/(1/(IF(K1819="",INDEX(CONFIG!$F$5:$F$14,MATCH(D1819,CONFIG!$D$5:$D$14,0)),K1819)*IF(M1819="",INDEX(CONFIG!$H$5:$H$14,MATCH(D1819,CONFIG!$D$5:$D$14,0)),M1819))),""))</f>
        <v/>
      </c>
      <c r="Q1819" s="16" t="str">
        <f aca="false">IF(OR(O1819="",P1819=""),"",O1819/P1819)</f>
        <v/>
      </c>
      <c r="R1819" s="16" t="str">
        <f aca="false">IF(Q1819="","",Q1819*0.0980665)</f>
        <v/>
      </c>
      <c r="S1819" s="16" t="str">
        <f aca="false">IF(Q1819="","",IFERROR(Q1819/(1/(1/INDEX(CONFIG!$I$5:$I$14,MATCH(D1819,CONFIG!$D$5:$D$14,0)))),""))</f>
        <v/>
      </c>
      <c r="T1819" s="13"/>
      <c r="U1819" s="13"/>
      <c r="V1819" s="13"/>
      <c r="W1819" s="13"/>
      <c r="X1819" s="22" t="str">
        <f aca="false">IF(Q1819="","",Q1819^2)</f>
        <v/>
      </c>
      <c r="Y1819" s="22" t="str">
        <f aca="false">IF(AND(C1819&lt;&gt;"",C1819=CERTIFICADO!$E$4,OR(CERTIFICADO!$E$5="",B1819=CERTIFICADO!$E$5)),MAX($Y$4:Y1818)+1,"")</f>
        <v/>
      </c>
    </row>
    <row r="1820" customFormat="false" ht="15" hidden="false" customHeight="false" outlineLevel="0" collapsed="false">
      <c r="A1820" s="11" t="str">
        <f aca="false">IF(C1820="","",ROW()-4)</f>
        <v/>
      </c>
      <c r="B1820" s="12"/>
      <c r="C1820" s="13"/>
      <c r="D1820" s="23" t="str">
        <f aca="false">IF(C1820="","",IFERROR(INDEX(LOTES!$D$5:$D$1004,MATCH(C1820,LOTES!$F$5:$F$1004,0)),"¿Lote?"))</f>
        <v/>
      </c>
      <c r="E1820" s="11" t="str">
        <f aca="false">IF(C1820="","",IFERROR(INDEX(LOTES!$C$5:$C$1004,MATCH(C1820,LOTES!$F$5:$F$1004,0)),""))</f>
        <v/>
      </c>
      <c r="F1820" s="24" t="str">
        <f aca="false">IF(C1820="","",IFERROR(INDEX(LOTES!$B$5:$B$1004,MATCH(C1820,LOTES!$F$5:$F$1004,0)),""))</f>
        <v/>
      </c>
      <c r="G1820" s="15" t="str">
        <f aca="false">IF(OR(B1820="",F1820=""),"",B1820-F1820)</f>
        <v/>
      </c>
      <c r="H1820" s="13"/>
      <c r="I1820" s="13"/>
      <c r="J1820" s="13"/>
      <c r="K1820" s="25"/>
      <c r="L1820" s="25"/>
      <c r="M1820" s="25"/>
      <c r="N1820" s="25"/>
      <c r="O1820" s="26"/>
      <c r="P1820" s="16" t="str">
        <f aca="false">IF(O1820="","",IFERROR(1/(1/(IF(K1820="",INDEX(CONFIG!$F$5:$F$14,MATCH(D1820,CONFIG!$D$5:$D$14,0)),K1820)*IF(M1820="",INDEX(CONFIG!$H$5:$H$14,MATCH(D1820,CONFIG!$D$5:$D$14,0)),M1820))),""))</f>
        <v/>
      </c>
      <c r="Q1820" s="16" t="str">
        <f aca="false">IF(OR(O1820="",P1820=""),"",O1820/P1820)</f>
        <v/>
      </c>
      <c r="R1820" s="16" t="str">
        <f aca="false">IF(Q1820="","",Q1820*0.0980665)</f>
        <v/>
      </c>
      <c r="S1820" s="16" t="str">
        <f aca="false">IF(Q1820="","",IFERROR(Q1820/(1/(1/INDEX(CONFIG!$I$5:$I$14,MATCH(D1820,CONFIG!$D$5:$D$14,0)))),""))</f>
        <v/>
      </c>
      <c r="T1820" s="13"/>
      <c r="U1820" s="13"/>
      <c r="V1820" s="13"/>
      <c r="W1820" s="13"/>
      <c r="X1820" s="22" t="str">
        <f aca="false">IF(Q1820="","",Q1820^2)</f>
        <v/>
      </c>
      <c r="Y1820" s="22" t="str">
        <f aca="false">IF(AND(C1820&lt;&gt;"",C1820=CERTIFICADO!$E$4,OR(CERTIFICADO!$E$5="",B1820=CERTIFICADO!$E$5)),MAX($Y$4:Y1819)+1,"")</f>
        <v/>
      </c>
    </row>
    <row r="1821" customFormat="false" ht="15" hidden="false" customHeight="false" outlineLevel="0" collapsed="false">
      <c r="A1821" s="11" t="str">
        <f aca="false">IF(C1821="","",ROW()-4)</f>
        <v/>
      </c>
      <c r="B1821" s="12"/>
      <c r="C1821" s="13"/>
      <c r="D1821" s="23" t="str">
        <f aca="false">IF(C1821="","",IFERROR(INDEX(LOTES!$D$5:$D$1004,MATCH(C1821,LOTES!$F$5:$F$1004,0)),"¿Lote?"))</f>
        <v/>
      </c>
      <c r="E1821" s="11" t="str">
        <f aca="false">IF(C1821="","",IFERROR(INDEX(LOTES!$C$5:$C$1004,MATCH(C1821,LOTES!$F$5:$F$1004,0)),""))</f>
        <v/>
      </c>
      <c r="F1821" s="24" t="str">
        <f aca="false">IF(C1821="","",IFERROR(INDEX(LOTES!$B$5:$B$1004,MATCH(C1821,LOTES!$F$5:$F$1004,0)),""))</f>
        <v/>
      </c>
      <c r="G1821" s="15" t="str">
        <f aca="false">IF(OR(B1821="",F1821=""),"",B1821-F1821)</f>
        <v/>
      </c>
      <c r="H1821" s="13"/>
      <c r="I1821" s="13"/>
      <c r="J1821" s="13"/>
      <c r="K1821" s="25"/>
      <c r="L1821" s="25"/>
      <c r="M1821" s="25"/>
      <c r="N1821" s="25"/>
      <c r="O1821" s="26"/>
      <c r="P1821" s="16" t="str">
        <f aca="false">IF(O1821="","",IFERROR(1/(1/(IF(K1821="",INDEX(CONFIG!$F$5:$F$14,MATCH(D1821,CONFIG!$D$5:$D$14,0)),K1821)*IF(M1821="",INDEX(CONFIG!$H$5:$H$14,MATCH(D1821,CONFIG!$D$5:$D$14,0)),M1821))),""))</f>
        <v/>
      </c>
      <c r="Q1821" s="16" t="str">
        <f aca="false">IF(OR(O1821="",P1821=""),"",O1821/P1821)</f>
        <v/>
      </c>
      <c r="R1821" s="16" t="str">
        <f aca="false">IF(Q1821="","",Q1821*0.0980665)</f>
        <v/>
      </c>
      <c r="S1821" s="16" t="str">
        <f aca="false">IF(Q1821="","",IFERROR(Q1821/(1/(1/INDEX(CONFIG!$I$5:$I$14,MATCH(D1821,CONFIG!$D$5:$D$14,0)))),""))</f>
        <v/>
      </c>
      <c r="T1821" s="13"/>
      <c r="U1821" s="13"/>
      <c r="V1821" s="13"/>
      <c r="W1821" s="13"/>
      <c r="X1821" s="22" t="str">
        <f aca="false">IF(Q1821="","",Q1821^2)</f>
        <v/>
      </c>
      <c r="Y1821" s="22" t="str">
        <f aca="false">IF(AND(C1821&lt;&gt;"",C1821=CERTIFICADO!$E$4,OR(CERTIFICADO!$E$5="",B1821=CERTIFICADO!$E$5)),MAX($Y$4:Y1820)+1,"")</f>
        <v/>
      </c>
    </row>
    <row r="1822" customFormat="false" ht="15" hidden="false" customHeight="false" outlineLevel="0" collapsed="false">
      <c r="A1822" s="11" t="str">
        <f aca="false">IF(C1822="","",ROW()-4)</f>
        <v/>
      </c>
      <c r="B1822" s="12"/>
      <c r="C1822" s="13"/>
      <c r="D1822" s="23" t="str">
        <f aca="false">IF(C1822="","",IFERROR(INDEX(LOTES!$D$5:$D$1004,MATCH(C1822,LOTES!$F$5:$F$1004,0)),"¿Lote?"))</f>
        <v/>
      </c>
      <c r="E1822" s="11" t="str">
        <f aca="false">IF(C1822="","",IFERROR(INDEX(LOTES!$C$5:$C$1004,MATCH(C1822,LOTES!$F$5:$F$1004,0)),""))</f>
        <v/>
      </c>
      <c r="F1822" s="24" t="str">
        <f aca="false">IF(C1822="","",IFERROR(INDEX(LOTES!$B$5:$B$1004,MATCH(C1822,LOTES!$F$5:$F$1004,0)),""))</f>
        <v/>
      </c>
      <c r="G1822" s="15" t="str">
        <f aca="false">IF(OR(B1822="",F1822=""),"",B1822-F1822)</f>
        <v/>
      </c>
      <c r="H1822" s="13"/>
      <c r="I1822" s="13"/>
      <c r="J1822" s="13"/>
      <c r="K1822" s="25"/>
      <c r="L1822" s="25"/>
      <c r="M1822" s="25"/>
      <c r="N1822" s="25"/>
      <c r="O1822" s="26"/>
      <c r="P1822" s="16" t="str">
        <f aca="false">IF(O1822="","",IFERROR(1/(1/(IF(K1822="",INDEX(CONFIG!$F$5:$F$14,MATCH(D1822,CONFIG!$D$5:$D$14,0)),K1822)*IF(M1822="",INDEX(CONFIG!$H$5:$H$14,MATCH(D1822,CONFIG!$D$5:$D$14,0)),M1822))),""))</f>
        <v/>
      </c>
      <c r="Q1822" s="16" t="str">
        <f aca="false">IF(OR(O1822="",P1822=""),"",O1822/P1822)</f>
        <v/>
      </c>
      <c r="R1822" s="16" t="str">
        <f aca="false">IF(Q1822="","",Q1822*0.0980665)</f>
        <v/>
      </c>
      <c r="S1822" s="16" t="str">
        <f aca="false">IF(Q1822="","",IFERROR(Q1822/(1/(1/INDEX(CONFIG!$I$5:$I$14,MATCH(D1822,CONFIG!$D$5:$D$14,0)))),""))</f>
        <v/>
      </c>
      <c r="T1822" s="13"/>
      <c r="U1822" s="13"/>
      <c r="V1822" s="13"/>
      <c r="W1822" s="13"/>
      <c r="X1822" s="22" t="str">
        <f aca="false">IF(Q1822="","",Q1822^2)</f>
        <v/>
      </c>
      <c r="Y1822" s="22" t="str">
        <f aca="false">IF(AND(C1822&lt;&gt;"",C1822=CERTIFICADO!$E$4,OR(CERTIFICADO!$E$5="",B1822=CERTIFICADO!$E$5)),MAX($Y$4:Y1821)+1,"")</f>
        <v/>
      </c>
    </row>
    <row r="1823" customFormat="false" ht="15" hidden="false" customHeight="false" outlineLevel="0" collapsed="false">
      <c r="A1823" s="11" t="str">
        <f aca="false">IF(C1823="","",ROW()-4)</f>
        <v/>
      </c>
      <c r="B1823" s="12"/>
      <c r="C1823" s="13"/>
      <c r="D1823" s="23" t="str">
        <f aca="false">IF(C1823="","",IFERROR(INDEX(LOTES!$D$5:$D$1004,MATCH(C1823,LOTES!$F$5:$F$1004,0)),"¿Lote?"))</f>
        <v/>
      </c>
      <c r="E1823" s="11" t="str">
        <f aca="false">IF(C1823="","",IFERROR(INDEX(LOTES!$C$5:$C$1004,MATCH(C1823,LOTES!$F$5:$F$1004,0)),""))</f>
        <v/>
      </c>
      <c r="F1823" s="24" t="str">
        <f aca="false">IF(C1823="","",IFERROR(INDEX(LOTES!$B$5:$B$1004,MATCH(C1823,LOTES!$F$5:$F$1004,0)),""))</f>
        <v/>
      </c>
      <c r="G1823" s="15" t="str">
        <f aca="false">IF(OR(B1823="",F1823=""),"",B1823-F1823)</f>
        <v/>
      </c>
      <c r="H1823" s="13"/>
      <c r="I1823" s="13"/>
      <c r="J1823" s="13"/>
      <c r="K1823" s="25"/>
      <c r="L1823" s="25"/>
      <c r="M1823" s="25"/>
      <c r="N1823" s="25"/>
      <c r="O1823" s="26"/>
      <c r="P1823" s="16" t="str">
        <f aca="false">IF(O1823="","",IFERROR(1/(1/(IF(K1823="",INDEX(CONFIG!$F$5:$F$14,MATCH(D1823,CONFIG!$D$5:$D$14,0)),K1823)*IF(M1823="",INDEX(CONFIG!$H$5:$H$14,MATCH(D1823,CONFIG!$D$5:$D$14,0)),M1823))),""))</f>
        <v/>
      </c>
      <c r="Q1823" s="16" t="str">
        <f aca="false">IF(OR(O1823="",P1823=""),"",O1823/P1823)</f>
        <v/>
      </c>
      <c r="R1823" s="16" t="str">
        <f aca="false">IF(Q1823="","",Q1823*0.0980665)</f>
        <v/>
      </c>
      <c r="S1823" s="16" t="str">
        <f aca="false">IF(Q1823="","",IFERROR(Q1823/(1/(1/INDEX(CONFIG!$I$5:$I$14,MATCH(D1823,CONFIG!$D$5:$D$14,0)))),""))</f>
        <v/>
      </c>
      <c r="T1823" s="13"/>
      <c r="U1823" s="13"/>
      <c r="V1823" s="13"/>
      <c r="W1823" s="13"/>
      <c r="X1823" s="22" t="str">
        <f aca="false">IF(Q1823="","",Q1823^2)</f>
        <v/>
      </c>
      <c r="Y1823" s="22" t="str">
        <f aca="false">IF(AND(C1823&lt;&gt;"",C1823=CERTIFICADO!$E$4,OR(CERTIFICADO!$E$5="",B1823=CERTIFICADO!$E$5)),MAX($Y$4:Y1822)+1,"")</f>
        <v/>
      </c>
    </row>
    <row r="1824" customFormat="false" ht="15" hidden="false" customHeight="false" outlineLevel="0" collapsed="false">
      <c r="A1824" s="11" t="str">
        <f aca="false">IF(C1824="","",ROW()-4)</f>
        <v/>
      </c>
      <c r="B1824" s="12"/>
      <c r="C1824" s="13"/>
      <c r="D1824" s="23" t="str">
        <f aca="false">IF(C1824="","",IFERROR(INDEX(LOTES!$D$5:$D$1004,MATCH(C1824,LOTES!$F$5:$F$1004,0)),"¿Lote?"))</f>
        <v/>
      </c>
      <c r="E1824" s="11" t="str">
        <f aca="false">IF(C1824="","",IFERROR(INDEX(LOTES!$C$5:$C$1004,MATCH(C1824,LOTES!$F$5:$F$1004,0)),""))</f>
        <v/>
      </c>
      <c r="F1824" s="24" t="str">
        <f aca="false">IF(C1824="","",IFERROR(INDEX(LOTES!$B$5:$B$1004,MATCH(C1824,LOTES!$F$5:$F$1004,0)),""))</f>
        <v/>
      </c>
      <c r="G1824" s="15" t="str">
        <f aca="false">IF(OR(B1824="",F1824=""),"",B1824-F1824)</f>
        <v/>
      </c>
      <c r="H1824" s="13"/>
      <c r="I1824" s="13"/>
      <c r="J1824" s="13"/>
      <c r="K1824" s="25"/>
      <c r="L1824" s="25"/>
      <c r="M1824" s="25"/>
      <c r="N1824" s="25"/>
      <c r="O1824" s="26"/>
      <c r="P1824" s="16" t="str">
        <f aca="false">IF(O1824="","",IFERROR(1/(1/(IF(K1824="",INDEX(CONFIG!$F$5:$F$14,MATCH(D1824,CONFIG!$D$5:$D$14,0)),K1824)*IF(M1824="",INDEX(CONFIG!$H$5:$H$14,MATCH(D1824,CONFIG!$D$5:$D$14,0)),M1824))),""))</f>
        <v/>
      </c>
      <c r="Q1824" s="16" t="str">
        <f aca="false">IF(OR(O1824="",P1824=""),"",O1824/P1824)</f>
        <v/>
      </c>
      <c r="R1824" s="16" t="str">
        <f aca="false">IF(Q1824="","",Q1824*0.0980665)</f>
        <v/>
      </c>
      <c r="S1824" s="16" t="str">
        <f aca="false">IF(Q1824="","",IFERROR(Q1824/(1/(1/INDEX(CONFIG!$I$5:$I$14,MATCH(D1824,CONFIG!$D$5:$D$14,0)))),""))</f>
        <v/>
      </c>
      <c r="T1824" s="13"/>
      <c r="U1824" s="13"/>
      <c r="V1824" s="13"/>
      <c r="W1824" s="13"/>
      <c r="X1824" s="22" t="str">
        <f aca="false">IF(Q1824="","",Q1824^2)</f>
        <v/>
      </c>
      <c r="Y1824" s="22" t="str">
        <f aca="false">IF(AND(C1824&lt;&gt;"",C1824=CERTIFICADO!$E$4,OR(CERTIFICADO!$E$5="",B1824=CERTIFICADO!$E$5)),MAX($Y$4:Y1823)+1,"")</f>
        <v/>
      </c>
    </row>
    <row r="1825" customFormat="false" ht="15" hidden="false" customHeight="false" outlineLevel="0" collapsed="false">
      <c r="A1825" s="11" t="str">
        <f aca="false">IF(C1825="","",ROW()-4)</f>
        <v/>
      </c>
      <c r="B1825" s="12"/>
      <c r="C1825" s="13"/>
      <c r="D1825" s="23" t="str">
        <f aca="false">IF(C1825="","",IFERROR(INDEX(LOTES!$D$5:$D$1004,MATCH(C1825,LOTES!$F$5:$F$1004,0)),"¿Lote?"))</f>
        <v/>
      </c>
      <c r="E1825" s="11" t="str">
        <f aca="false">IF(C1825="","",IFERROR(INDEX(LOTES!$C$5:$C$1004,MATCH(C1825,LOTES!$F$5:$F$1004,0)),""))</f>
        <v/>
      </c>
      <c r="F1825" s="24" t="str">
        <f aca="false">IF(C1825="","",IFERROR(INDEX(LOTES!$B$5:$B$1004,MATCH(C1825,LOTES!$F$5:$F$1004,0)),""))</f>
        <v/>
      </c>
      <c r="G1825" s="15" t="str">
        <f aca="false">IF(OR(B1825="",F1825=""),"",B1825-F1825)</f>
        <v/>
      </c>
      <c r="H1825" s="13"/>
      <c r="I1825" s="13"/>
      <c r="J1825" s="13"/>
      <c r="K1825" s="25"/>
      <c r="L1825" s="25"/>
      <c r="M1825" s="25"/>
      <c r="N1825" s="25"/>
      <c r="O1825" s="26"/>
      <c r="P1825" s="16" t="str">
        <f aca="false">IF(O1825="","",IFERROR(1/(1/(IF(K1825="",INDEX(CONFIG!$F$5:$F$14,MATCH(D1825,CONFIG!$D$5:$D$14,0)),K1825)*IF(M1825="",INDEX(CONFIG!$H$5:$H$14,MATCH(D1825,CONFIG!$D$5:$D$14,0)),M1825))),""))</f>
        <v/>
      </c>
      <c r="Q1825" s="16" t="str">
        <f aca="false">IF(OR(O1825="",P1825=""),"",O1825/P1825)</f>
        <v/>
      </c>
      <c r="R1825" s="16" t="str">
        <f aca="false">IF(Q1825="","",Q1825*0.0980665)</f>
        <v/>
      </c>
      <c r="S1825" s="16" t="str">
        <f aca="false">IF(Q1825="","",IFERROR(Q1825/(1/(1/INDEX(CONFIG!$I$5:$I$14,MATCH(D1825,CONFIG!$D$5:$D$14,0)))),""))</f>
        <v/>
      </c>
      <c r="T1825" s="13"/>
      <c r="U1825" s="13"/>
      <c r="V1825" s="13"/>
      <c r="W1825" s="13"/>
      <c r="X1825" s="22" t="str">
        <f aca="false">IF(Q1825="","",Q1825^2)</f>
        <v/>
      </c>
      <c r="Y1825" s="22" t="str">
        <f aca="false">IF(AND(C1825&lt;&gt;"",C1825=CERTIFICADO!$E$4,OR(CERTIFICADO!$E$5="",B1825=CERTIFICADO!$E$5)),MAX($Y$4:Y1824)+1,"")</f>
        <v/>
      </c>
    </row>
    <row r="1826" customFormat="false" ht="15" hidden="false" customHeight="false" outlineLevel="0" collapsed="false">
      <c r="A1826" s="11" t="str">
        <f aca="false">IF(C1826="","",ROW()-4)</f>
        <v/>
      </c>
      <c r="B1826" s="12"/>
      <c r="C1826" s="13"/>
      <c r="D1826" s="23" t="str">
        <f aca="false">IF(C1826="","",IFERROR(INDEX(LOTES!$D$5:$D$1004,MATCH(C1826,LOTES!$F$5:$F$1004,0)),"¿Lote?"))</f>
        <v/>
      </c>
      <c r="E1826" s="11" t="str">
        <f aca="false">IF(C1826="","",IFERROR(INDEX(LOTES!$C$5:$C$1004,MATCH(C1826,LOTES!$F$5:$F$1004,0)),""))</f>
        <v/>
      </c>
      <c r="F1826" s="24" t="str">
        <f aca="false">IF(C1826="","",IFERROR(INDEX(LOTES!$B$5:$B$1004,MATCH(C1826,LOTES!$F$5:$F$1004,0)),""))</f>
        <v/>
      </c>
      <c r="G1826" s="15" t="str">
        <f aca="false">IF(OR(B1826="",F1826=""),"",B1826-F1826)</f>
        <v/>
      </c>
      <c r="H1826" s="13"/>
      <c r="I1826" s="13"/>
      <c r="J1826" s="13"/>
      <c r="K1826" s="25"/>
      <c r="L1826" s="25"/>
      <c r="M1826" s="25"/>
      <c r="N1826" s="25"/>
      <c r="O1826" s="26"/>
      <c r="P1826" s="16" t="str">
        <f aca="false">IF(O1826="","",IFERROR(1/(1/(IF(K1826="",INDEX(CONFIG!$F$5:$F$14,MATCH(D1826,CONFIG!$D$5:$D$14,0)),K1826)*IF(M1826="",INDEX(CONFIG!$H$5:$H$14,MATCH(D1826,CONFIG!$D$5:$D$14,0)),M1826))),""))</f>
        <v/>
      </c>
      <c r="Q1826" s="16" t="str">
        <f aca="false">IF(OR(O1826="",P1826=""),"",O1826/P1826)</f>
        <v/>
      </c>
      <c r="R1826" s="16" t="str">
        <f aca="false">IF(Q1826="","",Q1826*0.0980665)</f>
        <v/>
      </c>
      <c r="S1826" s="16" t="str">
        <f aca="false">IF(Q1826="","",IFERROR(Q1826/(1/(1/INDEX(CONFIG!$I$5:$I$14,MATCH(D1826,CONFIG!$D$5:$D$14,0)))),""))</f>
        <v/>
      </c>
      <c r="T1826" s="13"/>
      <c r="U1826" s="13"/>
      <c r="V1826" s="13"/>
      <c r="W1826" s="13"/>
      <c r="X1826" s="22" t="str">
        <f aca="false">IF(Q1826="","",Q1826^2)</f>
        <v/>
      </c>
      <c r="Y1826" s="22" t="str">
        <f aca="false">IF(AND(C1826&lt;&gt;"",C1826=CERTIFICADO!$E$4,OR(CERTIFICADO!$E$5="",B1826=CERTIFICADO!$E$5)),MAX($Y$4:Y1825)+1,"")</f>
        <v/>
      </c>
    </row>
    <row r="1827" customFormat="false" ht="15" hidden="false" customHeight="false" outlineLevel="0" collapsed="false">
      <c r="A1827" s="11" t="str">
        <f aca="false">IF(C1827="","",ROW()-4)</f>
        <v/>
      </c>
      <c r="B1827" s="12"/>
      <c r="C1827" s="13"/>
      <c r="D1827" s="23" t="str">
        <f aca="false">IF(C1827="","",IFERROR(INDEX(LOTES!$D$5:$D$1004,MATCH(C1827,LOTES!$F$5:$F$1004,0)),"¿Lote?"))</f>
        <v/>
      </c>
      <c r="E1827" s="11" t="str">
        <f aca="false">IF(C1827="","",IFERROR(INDEX(LOTES!$C$5:$C$1004,MATCH(C1827,LOTES!$F$5:$F$1004,0)),""))</f>
        <v/>
      </c>
      <c r="F1827" s="24" t="str">
        <f aca="false">IF(C1827="","",IFERROR(INDEX(LOTES!$B$5:$B$1004,MATCH(C1827,LOTES!$F$5:$F$1004,0)),""))</f>
        <v/>
      </c>
      <c r="G1827" s="15" t="str">
        <f aca="false">IF(OR(B1827="",F1827=""),"",B1827-F1827)</f>
        <v/>
      </c>
      <c r="H1827" s="13"/>
      <c r="I1827" s="13"/>
      <c r="J1827" s="13"/>
      <c r="K1827" s="25"/>
      <c r="L1827" s="25"/>
      <c r="M1827" s="25"/>
      <c r="N1827" s="25"/>
      <c r="O1827" s="26"/>
      <c r="P1827" s="16" t="str">
        <f aca="false">IF(O1827="","",IFERROR(1/(1/(IF(K1827="",INDEX(CONFIG!$F$5:$F$14,MATCH(D1827,CONFIG!$D$5:$D$14,0)),K1827)*IF(M1827="",INDEX(CONFIG!$H$5:$H$14,MATCH(D1827,CONFIG!$D$5:$D$14,0)),M1827))),""))</f>
        <v/>
      </c>
      <c r="Q1827" s="16" t="str">
        <f aca="false">IF(OR(O1827="",P1827=""),"",O1827/P1827)</f>
        <v/>
      </c>
      <c r="R1827" s="16" t="str">
        <f aca="false">IF(Q1827="","",Q1827*0.0980665)</f>
        <v/>
      </c>
      <c r="S1827" s="16" t="str">
        <f aca="false">IF(Q1827="","",IFERROR(Q1827/(1/(1/INDEX(CONFIG!$I$5:$I$14,MATCH(D1827,CONFIG!$D$5:$D$14,0)))),""))</f>
        <v/>
      </c>
      <c r="T1827" s="13"/>
      <c r="U1827" s="13"/>
      <c r="V1827" s="13"/>
      <c r="W1827" s="13"/>
      <c r="X1827" s="22" t="str">
        <f aca="false">IF(Q1827="","",Q1827^2)</f>
        <v/>
      </c>
      <c r="Y1827" s="22" t="str">
        <f aca="false">IF(AND(C1827&lt;&gt;"",C1827=CERTIFICADO!$E$4,OR(CERTIFICADO!$E$5="",B1827=CERTIFICADO!$E$5)),MAX($Y$4:Y1826)+1,"")</f>
        <v/>
      </c>
    </row>
    <row r="1828" customFormat="false" ht="15" hidden="false" customHeight="false" outlineLevel="0" collapsed="false">
      <c r="A1828" s="11" t="str">
        <f aca="false">IF(C1828="","",ROW()-4)</f>
        <v/>
      </c>
      <c r="B1828" s="12"/>
      <c r="C1828" s="13"/>
      <c r="D1828" s="23" t="str">
        <f aca="false">IF(C1828="","",IFERROR(INDEX(LOTES!$D$5:$D$1004,MATCH(C1828,LOTES!$F$5:$F$1004,0)),"¿Lote?"))</f>
        <v/>
      </c>
      <c r="E1828" s="11" t="str">
        <f aca="false">IF(C1828="","",IFERROR(INDEX(LOTES!$C$5:$C$1004,MATCH(C1828,LOTES!$F$5:$F$1004,0)),""))</f>
        <v/>
      </c>
      <c r="F1828" s="24" t="str">
        <f aca="false">IF(C1828="","",IFERROR(INDEX(LOTES!$B$5:$B$1004,MATCH(C1828,LOTES!$F$5:$F$1004,0)),""))</f>
        <v/>
      </c>
      <c r="G1828" s="15" t="str">
        <f aca="false">IF(OR(B1828="",F1828=""),"",B1828-F1828)</f>
        <v/>
      </c>
      <c r="H1828" s="13"/>
      <c r="I1828" s="13"/>
      <c r="J1828" s="13"/>
      <c r="K1828" s="25"/>
      <c r="L1828" s="25"/>
      <c r="M1828" s="25"/>
      <c r="N1828" s="25"/>
      <c r="O1828" s="26"/>
      <c r="P1828" s="16" t="str">
        <f aca="false">IF(O1828="","",IFERROR(1/(1/(IF(K1828="",INDEX(CONFIG!$F$5:$F$14,MATCH(D1828,CONFIG!$D$5:$D$14,0)),K1828)*IF(M1828="",INDEX(CONFIG!$H$5:$H$14,MATCH(D1828,CONFIG!$D$5:$D$14,0)),M1828))),""))</f>
        <v/>
      </c>
      <c r="Q1828" s="16" t="str">
        <f aca="false">IF(OR(O1828="",P1828=""),"",O1828/P1828)</f>
        <v/>
      </c>
      <c r="R1828" s="16" t="str">
        <f aca="false">IF(Q1828="","",Q1828*0.0980665)</f>
        <v/>
      </c>
      <c r="S1828" s="16" t="str">
        <f aca="false">IF(Q1828="","",IFERROR(Q1828/(1/(1/INDEX(CONFIG!$I$5:$I$14,MATCH(D1828,CONFIG!$D$5:$D$14,0)))),""))</f>
        <v/>
      </c>
      <c r="T1828" s="13"/>
      <c r="U1828" s="13"/>
      <c r="V1828" s="13"/>
      <c r="W1828" s="13"/>
      <c r="X1828" s="22" t="str">
        <f aca="false">IF(Q1828="","",Q1828^2)</f>
        <v/>
      </c>
      <c r="Y1828" s="22" t="str">
        <f aca="false">IF(AND(C1828&lt;&gt;"",C1828=CERTIFICADO!$E$4,OR(CERTIFICADO!$E$5="",B1828=CERTIFICADO!$E$5)),MAX($Y$4:Y1827)+1,"")</f>
        <v/>
      </c>
    </row>
    <row r="1829" customFormat="false" ht="15" hidden="false" customHeight="false" outlineLevel="0" collapsed="false">
      <c r="A1829" s="11" t="str">
        <f aca="false">IF(C1829="","",ROW()-4)</f>
        <v/>
      </c>
      <c r="B1829" s="12"/>
      <c r="C1829" s="13"/>
      <c r="D1829" s="23" t="str">
        <f aca="false">IF(C1829="","",IFERROR(INDEX(LOTES!$D$5:$D$1004,MATCH(C1829,LOTES!$F$5:$F$1004,0)),"¿Lote?"))</f>
        <v/>
      </c>
      <c r="E1829" s="11" t="str">
        <f aca="false">IF(C1829="","",IFERROR(INDEX(LOTES!$C$5:$C$1004,MATCH(C1829,LOTES!$F$5:$F$1004,0)),""))</f>
        <v/>
      </c>
      <c r="F1829" s="24" t="str">
        <f aca="false">IF(C1829="","",IFERROR(INDEX(LOTES!$B$5:$B$1004,MATCH(C1829,LOTES!$F$5:$F$1004,0)),""))</f>
        <v/>
      </c>
      <c r="G1829" s="15" t="str">
        <f aca="false">IF(OR(B1829="",F1829=""),"",B1829-F1829)</f>
        <v/>
      </c>
      <c r="H1829" s="13"/>
      <c r="I1829" s="13"/>
      <c r="J1829" s="13"/>
      <c r="K1829" s="25"/>
      <c r="L1829" s="25"/>
      <c r="M1829" s="25"/>
      <c r="N1829" s="25"/>
      <c r="O1829" s="26"/>
      <c r="P1829" s="16" t="str">
        <f aca="false">IF(O1829="","",IFERROR(1/(1/(IF(K1829="",INDEX(CONFIG!$F$5:$F$14,MATCH(D1829,CONFIG!$D$5:$D$14,0)),K1829)*IF(M1829="",INDEX(CONFIG!$H$5:$H$14,MATCH(D1829,CONFIG!$D$5:$D$14,0)),M1829))),""))</f>
        <v/>
      </c>
      <c r="Q1829" s="16" t="str">
        <f aca="false">IF(OR(O1829="",P1829=""),"",O1829/P1829)</f>
        <v/>
      </c>
      <c r="R1829" s="16" t="str">
        <f aca="false">IF(Q1829="","",Q1829*0.0980665)</f>
        <v/>
      </c>
      <c r="S1829" s="16" t="str">
        <f aca="false">IF(Q1829="","",IFERROR(Q1829/(1/(1/INDEX(CONFIG!$I$5:$I$14,MATCH(D1829,CONFIG!$D$5:$D$14,0)))),""))</f>
        <v/>
      </c>
      <c r="T1829" s="13"/>
      <c r="U1829" s="13"/>
      <c r="V1829" s="13"/>
      <c r="W1829" s="13"/>
      <c r="X1829" s="22" t="str">
        <f aca="false">IF(Q1829="","",Q1829^2)</f>
        <v/>
      </c>
      <c r="Y1829" s="22" t="str">
        <f aca="false">IF(AND(C1829&lt;&gt;"",C1829=CERTIFICADO!$E$4,OR(CERTIFICADO!$E$5="",B1829=CERTIFICADO!$E$5)),MAX($Y$4:Y1828)+1,"")</f>
        <v/>
      </c>
    </row>
    <row r="1830" customFormat="false" ht="15" hidden="false" customHeight="false" outlineLevel="0" collapsed="false">
      <c r="A1830" s="11" t="str">
        <f aca="false">IF(C1830="","",ROW()-4)</f>
        <v/>
      </c>
      <c r="B1830" s="12"/>
      <c r="C1830" s="13"/>
      <c r="D1830" s="23" t="str">
        <f aca="false">IF(C1830="","",IFERROR(INDEX(LOTES!$D$5:$D$1004,MATCH(C1830,LOTES!$F$5:$F$1004,0)),"¿Lote?"))</f>
        <v/>
      </c>
      <c r="E1830" s="11" t="str">
        <f aca="false">IF(C1830="","",IFERROR(INDEX(LOTES!$C$5:$C$1004,MATCH(C1830,LOTES!$F$5:$F$1004,0)),""))</f>
        <v/>
      </c>
      <c r="F1830" s="24" t="str">
        <f aca="false">IF(C1830="","",IFERROR(INDEX(LOTES!$B$5:$B$1004,MATCH(C1830,LOTES!$F$5:$F$1004,0)),""))</f>
        <v/>
      </c>
      <c r="G1830" s="15" t="str">
        <f aca="false">IF(OR(B1830="",F1830=""),"",B1830-F1830)</f>
        <v/>
      </c>
      <c r="H1830" s="13"/>
      <c r="I1830" s="13"/>
      <c r="J1830" s="13"/>
      <c r="K1830" s="25"/>
      <c r="L1830" s="25"/>
      <c r="M1830" s="25"/>
      <c r="N1830" s="25"/>
      <c r="O1830" s="26"/>
      <c r="P1830" s="16" t="str">
        <f aca="false">IF(O1830="","",IFERROR(1/(1/(IF(K1830="",INDEX(CONFIG!$F$5:$F$14,MATCH(D1830,CONFIG!$D$5:$D$14,0)),K1830)*IF(M1830="",INDEX(CONFIG!$H$5:$H$14,MATCH(D1830,CONFIG!$D$5:$D$14,0)),M1830))),""))</f>
        <v/>
      </c>
      <c r="Q1830" s="16" t="str">
        <f aca="false">IF(OR(O1830="",P1830=""),"",O1830/P1830)</f>
        <v/>
      </c>
      <c r="R1830" s="16" t="str">
        <f aca="false">IF(Q1830="","",Q1830*0.0980665)</f>
        <v/>
      </c>
      <c r="S1830" s="16" t="str">
        <f aca="false">IF(Q1830="","",IFERROR(Q1830/(1/(1/INDEX(CONFIG!$I$5:$I$14,MATCH(D1830,CONFIG!$D$5:$D$14,0)))),""))</f>
        <v/>
      </c>
      <c r="T1830" s="13"/>
      <c r="U1830" s="13"/>
      <c r="V1830" s="13"/>
      <c r="W1830" s="13"/>
      <c r="X1830" s="22" t="str">
        <f aca="false">IF(Q1830="","",Q1830^2)</f>
        <v/>
      </c>
      <c r="Y1830" s="22" t="str">
        <f aca="false">IF(AND(C1830&lt;&gt;"",C1830=CERTIFICADO!$E$4,OR(CERTIFICADO!$E$5="",B1830=CERTIFICADO!$E$5)),MAX($Y$4:Y1829)+1,"")</f>
        <v/>
      </c>
    </row>
    <row r="1831" customFormat="false" ht="15" hidden="false" customHeight="false" outlineLevel="0" collapsed="false">
      <c r="A1831" s="11" t="str">
        <f aca="false">IF(C1831="","",ROW()-4)</f>
        <v/>
      </c>
      <c r="B1831" s="12"/>
      <c r="C1831" s="13"/>
      <c r="D1831" s="23" t="str">
        <f aca="false">IF(C1831="","",IFERROR(INDEX(LOTES!$D$5:$D$1004,MATCH(C1831,LOTES!$F$5:$F$1004,0)),"¿Lote?"))</f>
        <v/>
      </c>
      <c r="E1831" s="11" t="str">
        <f aca="false">IF(C1831="","",IFERROR(INDEX(LOTES!$C$5:$C$1004,MATCH(C1831,LOTES!$F$5:$F$1004,0)),""))</f>
        <v/>
      </c>
      <c r="F1831" s="24" t="str">
        <f aca="false">IF(C1831="","",IFERROR(INDEX(LOTES!$B$5:$B$1004,MATCH(C1831,LOTES!$F$5:$F$1004,0)),""))</f>
        <v/>
      </c>
      <c r="G1831" s="15" t="str">
        <f aca="false">IF(OR(B1831="",F1831=""),"",B1831-F1831)</f>
        <v/>
      </c>
      <c r="H1831" s="13"/>
      <c r="I1831" s="13"/>
      <c r="J1831" s="13"/>
      <c r="K1831" s="25"/>
      <c r="L1831" s="25"/>
      <c r="M1831" s="25"/>
      <c r="N1831" s="25"/>
      <c r="O1831" s="26"/>
      <c r="P1831" s="16" t="str">
        <f aca="false">IF(O1831="","",IFERROR(1/(1/(IF(K1831="",INDEX(CONFIG!$F$5:$F$14,MATCH(D1831,CONFIG!$D$5:$D$14,0)),K1831)*IF(M1831="",INDEX(CONFIG!$H$5:$H$14,MATCH(D1831,CONFIG!$D$5:$D$14,0)),M1831))),""))</f>
        <v/>
      </c>
      <c r="Q1831" s="16" t="str">
        <f aca="false">IF(OR(O1831="",P1831=""),"",O1831/P1831)</f>
        <v/>
      </c>
      <c r="R1831" s="16" t="str">
        <f aca="false">IF(Q1831="","",Q1831*0.0980665)</f>
        <v/>
      </c>
      <c r="S1831" s="16" t="str">
        <f aca="false">IF(Q1831="","",IFERROR(Q1831/(1/(1/INDEX(CONFIG!$I$5:$I$14,MATCH(D1831,CONFIG!$D$5:$D$14,0)))),""))</f>
        <v/>
      </c>
      <c r="T1831" s="13"/>
      <c r="U1831" s="13"/>
      <c r="V1831" s="13"/>
      <c r="W1831" s="13"/>
      <c r="X1831" s="22" t="str">
        <f aca="false">IF(Q1831="","",Q1831^2)</f>
        <v/>
      </c>
      <c r="Y1831" s="22" t="str">
        <f aca="false">IF(AND(C1831&lt;&gt;"",C1831=CERTIFICADO!$E$4,OR(CERTIFICADO!$E$5="",B1831=CERTIFICADO!$E$5)),MAX($Y$4:Y1830)+1,"")</f>
        <v/>
      </c>
    </row>
    <row r="1832" customFormat="false" ht="15" hidden="false" customHeight="false" outlineLevel="0" collapsed="false">
      <c r="A1832" s="11" t="str">
        <f aca="false">IF(C1832="","",ROW()-4)</f>
        <v/>
      </c>
      <c r="B1832" s="12"/>
      <c r="C1832" s="13"/>
      <c r="D1832" s="23" t="str">
        <f aca="false">IF(C1832="","",IFERROR(INDEX(LOTES!$D$5:$D$1004,MATCH(C1832,LOTES!$F$5:$F$1004,0)),"¿Lote?"))</f>
        <v/>
      </c>
      <c r="E1832" s="11" t="str">
        <f aca="false">IF(C1832="","",IFERROR(INDEX(LOTES!$C$5:$C$1004,MATCH(C1832,LOTES!$F$5:$F$1004,0)),""))</f>
        <v/>
      </c>
      <c r="F1832" s="24" t="str">
        <f aca="false">IF(C1832="","",IFERROR(INDEX(LOTES!$B$5:$B$1004,MATCH(C1832,LOTES!$F$5:$F$1004,0)),""))</f>
        <v/>
      </c>
      <c r="G1832" s="15" t="str">
        <f aca="false">IF(OR(B1832="",F1832=""),"",B1832-F1832)</f>
        <v/>
      </c>
      <c r="H1832" s="13"/>
      <c r="I1832" s="13"/>
      <c r="J1832" s="13"/>
      <c r="K1832" s="25"/>
      <c r="L1832" s="25"/>
      <c r="M1832" s="25"/>
      <c r="N1832" s="25"/>
      <c r="O1832" s="26"/>
      <c r="P1832" s="16" t="str">
        <f aca="false">IF(O1832="","",IFERROR(1/(1/(IF(K1832="",INDEX(CONFIG!$F$5:$F$14,MATCH(D1832,CONFIG!$D$5:$D$14,0)),K1832)*IF(M1832="",INDEX(CONFIG!$H$5:$H$14,MATCH(D1832,CONFIG!$D$5:$D$14,0)),M1832))),""))</f>
        <v/>
      </c>
      <c r="Q1832" s="16" t="str">
        <f aca="false">IF(OR(O1832="",P1832=""),"",O1832/P1832)</f>
        <v/>
      </c>
      <c r="R1832" s="16" t="str">
        <f aca="false">IF(Q1832="","",Q1832*0.0980665)</f>
        <v/>
      </c>
      <c r="S1832" s="16" t="str">
        <f aca="false">IF(Q1832="","",IFERROR(Q1832/(1/(1/INDEX(CONFIG!$I$5:$I$14,MATCH(D1832,CONFIG!$D$5:$D$14,0)))),""))</f>
        <v/>
      </c>
      <c r="T1832" s="13"/>
      <c r="U1832" s="13"/>
      <c r="V1832" s="13"/>
      <c r="W1832" s="13"/>
      <c r="X1832" s="22" t="str">
        <f aca="false">IF(Q1832="","",Q1832^2)</f>
        <v/>
      </c>
      <c r="Y1832" s="22" t="str">
        <f aca="false">IF(AND(C1832&lt;&gt;"",C1832=CERTIFICADO!$E$4,OR(CERTIFICADO!$E$5="",B1832=CERTIFICADO!$E$5)),MAX($Y$4:Y1831)+1,"")</f>
        <v/>
      </c>
    </row>
    <row r="1833" customFormat="false" ht="15" hidden="false" customHeight="false" outlineLevel="0" collapsed="false">
      <c r="A1833" s="11" t="str">
        <f aca="false">IF(C1833="","",ROW()-4)</f>
        <v/>
      </c>
      <c r="B1833" s="12"/>
      <c r="C1833" s="13"/>
      <c r="D1833" s="23" t="str">
        <f aca="false">IF(C1833="","",IFERROR(INDEX(LOTES!$D$5:$D$1004,MATCH(C1833,LOTES!$F$5:$F$1004,0)),"¿Lote?"))</f>
        <v/>
      </c>
      <c r="E1833" s="11" t="str">
        <f aca="false">IF(C1833="","",IFERROR(INDEX(LOTES!$C$5:$C$1004,MATCH(C1833,LOTES!$F$5:$F$1004,0)),""))</f>
        <v/>
      </c>
      <c r="F1833" s="24" t="str">
        <f aca="false">IF(C1833="","",IFERROR(INDEX(LOTES!$B$5:$B$1004,MATCH(C1833,LOTES!$F$5:$F$1004,0)),""))</f>
        <v/>
      </c>
      <c r="G1833" s="15" t="str">
        <f aca="false">IF(OR(B1833="",F1833=""),"",B1833-F1833)</f>
        <v/>
      </c>
      <c r="H1833" s="13"/>
      <c r="I1833" s="13"/>
      <c r="J1833" s="13"/>
      <c r="K1833" s="25"/>
      <c r="L1833" s="25"/>
      <c r="M1833" s="25"/>
      <c r="N1833" s="25"/>
      <c r="O1833" s="26"/>
      <c r="P1833" s="16" t="str">
        <f aca="false">IF(O1833="","",IFERROR(1/(1/(IF(K1833="",INDEX(CONFIG!$F$5:$F$14,MATCH(D1833,CONFIG!$D$5:$D$14,0)),K1833)*IF(M1833="",INDEX(CONFIG!$H$5:$H$14,MATCH(D1833,CONFIG!$D$5:$D$14,0)),M1833))),""))</f>
        <v/>
      </c>
      <c r="Q1833" s="16" t="str">
        <f aca="false">IF(OR(O1833="",P1833=""),"",O1833/P1833)</f>
        <v/>
      </c>
      <c r="R1833" s="16" t="str">
        <f aca="false">IF(Q1833="","",Q1833*0.0980665)</f>
        <v/>
      </c>
      <c r="S1833" s="16" t="str">
        <f aca="false">IF(Q1833="","",IFERROR(Q1833/(1/(1/INDEX(CONFIG!$I$5:$I$14,MATCH(D1833,CONFIG!$D$5:$D$14,0)))),""))</f>
        <v/>
      </c>
      <c r="T1833" s="13"/>
      <c r="U1833" s="13"/>
      <c r="V1833" s="13"/>
      <c r="W1833" s="13"/>
      <c r="X1833" s="22" t="str">
        <f aca="false">IF(Q1833="","",Q1833^2)</f>
        <v/>
      </c>
      <c r="Y1833" s="22" t="str">
        <f aca="false">IF(AND(C1833&lt;&gt;"",C1833=CERTIFICADO!$E$4,OR(CERTIFICADO!$E$5="",B1833=CERTIFICADO!$E$5)),MAX($Y$4:Y1832)+1,"")</f>
        <v/>
      </c>
    </row>
    <row r="1834" customFormat="false" ht="15" hidden="false" customHeight="false" outlineLevel="0" collapsed="false">
      <c r="A1834" s="11" t="str">
        <f aca="false">IF(C1834="","",ROW()-4)</f>
        <v/>
      </c>
      <c r="B1834" s="12"/>
      <c r="C1834" s="13"/>
      <c r="D1834" s="23" t="str">
        <f aca="false">IF(C1834="","",IFERROR(INDEX(LOTES!$D$5:$D$1004,MATCH(C1834,LOTES!$F$5:$F$1004,0)),"¿Lote?"))</f>
        <v/>
      </c>
      <c r="E1834" s="11" t="str">
        <f aca="false">IF(C1834="","",IFERROR(INDEX(LOTES!$C$5:$C$1004,MATCH(C1834,LOTES!$F$5:$F$1004,0)),""))</f>
        <v/>
      </c>
      <c r="F1834" s="24" t="str">
        <f aca="false">IF(C1834="","",IFERROR(INDEX(LOTES!$B$5:$B$1004,MATCH(C1834,LOTES!$F$5:$F$1004,0)),""))</f>
        <v/>
      </c>
      <c r="G1834" s="15" t="str">
        <f aca="false">IF(OR(B1834="",F1834=""),"",B1834-F1834)</f>
        <v/>
      </c>
      <c r="H1834" s="13"/>
      <c r="I1834" s="13"/>
      <c r="J1834" s="13"/>
      <c r="K1834" s="25"/>
      <c r="L1834" s="25"/>
      <c r="M1834" s="25"/>
      <c r="N1834" s="25"/>
      <c r="O1834" s="26"/>
      <c r="P1834" s="16" t="str">
        <f aca="false">IF(O1834="","",IFERROR(1/(1/(IF(K1834="",INDEX(CONFIG!$F$5:$F$14,MATCH(D1834,CONFIG!$D$5:$D$14,0)),K1834)*IF(M1834="",INDEX(CONFIG!$H$5:$H$14,MATCH(D1834,CONFIG!$D$5:$D$14,0)),M1834))),""))</f>
        <v/>
      </c>
      <c r="Q1834" s="16" t="str">
        <f aca="false">IF(OR(O1834="",P1834=""),"",O1834/P1834)</f>
        <v/>
      </c>
      <c r="R1834" s="16" t="str">
        <f aca="false">IF(Q1834="","",Q1834*0.0980665)</f>
        <v/>
      </c>
      <c r="S1834" s="16" t="str">
        <f aca="false">IF(Q1834="","",IFERROR(Q1834/(1/(1/INDEX(CONFIG!$I$5:$I$14,MATCH(D1834,CONFIG!$D$5:$D$14,0)))),""))</f>
        <v/>
      </c>
      <c r="T1834" s="13"/>
      <c r="U1834" s="13"/>
      <c r="V1834" s="13"/>
      <c r="W1834" s="13"/>
      <c r="X1834" s="22" t="str">
        <f aca="false">IF(Q1834="","",Q1834^2)</f>
        <v/>
      </c>
      <c r="Y1834" s="22" t="str">
        <f aca="false">IF(AND(C1834&lt;&gt;"",C1834=CERTIFICADO!$E$4,OR(CERTIFICADO!$E$5="",B1834=CERTIFICADO!$E$5)),MAX($Y$4:Y1833)+1,"")</f>
        <v/>
      </c>
    </row>
    <row r="1835" customFormat="false" ht="15" hidden="false" customHeight="false" outlineLevel="0" collapsed="false">
      <c r="A1835" s="11" t="str">
        <f aca="false">IF(C1835="","",ROW()-4)</f>
        <v/>
      </c>
      <c r="B1835" s="12"/>
      <c r="C1835" s="13"/>
      <c r="D1835" s="23" t="str">
        <f aca="false">IF(C1835="","",IFERROR(INDEX(LOTES!$D$5:$D$1004,MATCH(C1835,LOTES!$F$5:$F$1004,0)),"¿Lote?"))</f>
        <v/>
      </c>
      <c r="E1835" s="11" t="str">
        <f aca="false">IF(C1835="","",IFERROR(INDEX(LOTES!$C$5:$C$1004,MATCH(C1835,LOTES!$F$5:$F$1004,0)),""))</f>
        <v/>
      </c>
      <c r="F1835" s="24" t="str">
        <f aca="false">IF(C1835="","",IFERROR(INDEX(LOTES!$B$5:$B$1004,MATCH(C1835,LOTES!$F$5:$F$1004,0)),""))</f>
        <v/>
      </c>
      <c r="G1835" s="15" t="str">
        <f aca="false">IF(OR(B1835="",F1835=""),"",B1835-F1835)</f>
        <v/>
      </c>
      <c r="H1835" s="13"/>
      <c r="I1835" s="13"/>
      <c r="J1835" s="13"/>
      <c r="K1835" s="25"/>
      <c r="L1835" s="25"/>
      <c r="M1835" s="25"/>
      <c r="N1835" s="25"/>
      <c r="O1835" s="26"/>
      <c r="P1835" s="16" t="str">
        <f aca="false">IF(O1835="","",IFERROR(1/(1/(IF(K1835="",INDEX(CONFIG!$F$5:$F$14,MATCH(D1835,CONFIG!$D$5:$D$14,0)),K1835)*IF(M1835="",INDEX(CONFIG!$H$5:$H$14,MATCH(D1835,CONFIG!$D$5:$D$14,0)),M1835))),""))</f>
        <v/>
      </c>
      <c r="Q1835" s="16" t="str">
        <f aca="false">IF(OR(O1835="",P1835=""),"",O1835/P1835)</f>
        <v/>
      </c>
      <c r="R1835" s="16" t="str">
        <f aca="false">IF(Q1835="","",Q1835*0.0980665)</f>
        <v/>
      </c>
      <c r="S1835" s="16" t="str">
        <f aca="false">IF(Q1835="","",IFERROR(Q1835/(1/(1/INDEX(CONFIG!$I$5:$I$14,MATCH(D1835,CONFIG!$D$5:$D$14,0)))),""))</f>
        <v/>
      </c>
      <c r="T1835" s="13"/>
      <c r="U1835" s="13"/>
      <c r="V1835" s="13"/>
      <c r="W1835" s="13"/>
      <c r="X1835" s="22" t="str">
        <f aca="false">IF(Q1835="","",Q1835^2)</f>
        <v/>
      </c>
      <c r="Y1835" s="22" t="str">
        <f aca="false">IF(AND(C1835&lt;&gt;"",C1835=CERTIFICADO!$E$4,OR(CERTIFICADO!$E$5="",B1835=CERTIFICADO!$E$5)),MAX($Y$4:Y1834)+1,"")</f>
        <v/>
      </c>
    </row>
    <row r="1836" customFormat="false" ht="15" hidden="false" customHeight="false" outlineLevel="0" collapsed="false">
      <c r="A1836" s="11" t="str">
        <f aca="false">IF(C1836="","",ROW()-4)</f>
        <v/>
      </c>
      <c r="B1836" s="12"/>
      <c r="C1836" s="13"/>
      <c r="D1836" s="23" t="str">
        <f aca="false">IF(C1836="","",IFERROR(INDEX(LOTES!$D$5:$D$1004,MATCH(C1836,LOTES!$F$5:$F$1004,0)),"¿Lote?"))</f>
        <v/>
      </c>
      <c r="E1836" s="11" t="str">
        <f aca="false">IF(C1836="","",IFERROR(INDEX(LOTES!$C$5:$C$1004,MATCH(C1836,LOTES!$F$5:$F$1004,0)),""))</f>
        <v/>
      </c>
      <c r="F1836" s="24" t="str">
        <f aca="false">IF(C1836="","",IFERROR(INDEX(LOTES!$B$5:$B$1004,MATCH(C1836,LOTES!$F$5:$F$1004,0)),""))</f>
        <v/>
      </c>
      <c r="G1836" s="15" t="str">
        <f aca="false">IF(OR(B1836="",F1836=""),"",B1836-F1836)</f>
        <v/>
      </c>
      <c r="H1836" s="13"/>
      <c r="I1836" s="13"/>
      <c r="J1836" s="13"/>
      <c r="K1836" s="25"/>
      <c r="L1836" s="25"/>
      <c r="M1836" s="25"/>
      <c r="N1836" s="25"/>
      <c r="O1836" s="26"/>
      <c r="P1836" s="16" t="str">
        <f aca="false">IF(O1836="","",IFERROR(1/(1/(IF(K1836="",INDEX(CONFIG!$F$5:$F$14,MATCH(D1836,CONFIG!$D$5:$D$14,0)),K1836)*IF(M1836="",INDEX(CONFIG!$H$5:$H$14,MATCH(D1836,CONFIG!$D$5:$D$14,0)),M1836))),""))</f>
        <v/>
      </c>
      <c r="Q1836" s="16" t="str">
        <f aca="false">IF(OR(O1836="",P1836=""),"",O1836/P1836)</f>
        <v/>
      </c>
      <c r="R1836" s="16" t="str">
        <f aca="false">IF(Q1836="","",Q1836*0.0980665)</f>
        <v/>
      </c>
      <c r="S1836" s="16" t="str">
        <f aca="false">IF(Q1836="","",IFERROR(Q1836/(1/(1/INDEX(CONFIG!$I$5:$I$14,MATCH(D1836,CONFIG!$D$5:$D$14,0)))),""))</f>
        <v/>
      </c>
      <c r="T1836" s="13"/>
      <c r="U1836" s="13"/>
      <c r="V1836" s="13"/>
      <c r="W1836" s="13"/>
      <c r="X1836" s="22" t="str">
        <f aca="false">IF(Q1836="","",Q1836^2)</f>
        <v/>
      </c>
      <c r="Y1836" s="22" t="str">
        <f aca="false">IF(AND(C1836&lt;&gt;"",C1836=CERTIFICADO!$E$4,OR(CERTIFICADO!$E$5="",B1836=CERTIFICADO!$E$5)),MAX($Y$4:Y1835)+1,"")</f>
        <v/>
      </c>
    </row>
    <row r="1837" customFormat="false" ht="15" hidden="false" customHeight="false" outlineLevel="0" collapsed="false">
      <c r="A1837" s="11" t="str">
        <f aca="false">IF(C1837="","",ROW()-4)</f>
        <v/>
      </c>
      <c r="B1837" s="12"/>
      <c r="C1837" s="13"/>
      <c r="D1837" s="23" t="str">
        <f aca="false">IF(C1837="","",IFERROR(INDEX(LOTES!$D$5:$D$1004,MATCH(C1837,LOTES!$F$5:$F$1004,0)),"¿Lote?"))</f>
        <v/>
      </c>
      <c r="E1837" s="11" t="str">
        <f aca="false">IF(C1837="","",IFERROR(INDEX(LOTES!$C$5:$C$1004,MATCH(C1837,LOTES!$F$5:$F$1004,0)),""))</f>
        <v/>
      </c>
      <c r="F1837" s="24" t="str">
        <f aca="false">IF(C1837="","",IFERROR(INDEX(LOTES!$B$5:$B$1004,MATCH(C1837,LOTES!$F$5:$F$1004,0)),""))</f>
        <v/>
      </c>
      <c r="G1837" s="15" t="str">
        <f aca="false">IF(OR(B1837="",F1837=""),"",B1837-F1837)</f>
        <v/>
      </c>
      <c r="H1837" s="13"/>
      <c r="I1837" s="13"/>
      <c r="J1837" s="13"/>
      <c r="K1837" s="25"/>
      <c r="L1837" s="25"/>
      <c r="M1837" s="25"/>
      <c r="N1837" s="25"/>
      <c r="O1837" s="26"/>
      <c r="P1837" s="16" t="str">
        <f aca="false">IF(O1837="","",IFERROR(1/(1/(IF(K1837="",INDEX(CONFIG!$F$5:$F$14,MATCH(D1837,CONFIG!$D$5:$D$14,0)),K1837)*IF(M1837="",INDEX(CONFIG!$H$5:$H$14,MATCH(D1837,CONFIG!$D$5:$D$14,0)),M1837))),""))</f>
        <v/>
      </c>
      <c r="Q1837" s="16" t="str">
        <f aca="false">IF(OR(O1837="",P1837=""),"",O1837/P1837)</f>
        <v/>
      </c>
      <c r="R1837" s="16" t="str">
        <f aca="false">IF(Q1837="","",Q1837*0.0980665)</f>
        <v/>
      </c>
      <c r="S1837" s="16" t="str">
        <f aca="false">IF(Q1837="","",IFERROR(Q1837/(1/(1/INDEX(CONFIG!$I$5:$I$14,MATCH(D1837,CONFIG!$D$5:$D$14,0)))),""))</f>
        <v/>
      </c>
      <c r="T1837" s="13"/>
      <c r="U1837" s="13"/>
      <c r="V1837" s="13"/>
      <c r="W1837" s="13"/>
      <c r="X1837" s="22" t="str">
        <f aca="false">IF(Q1837="","",Q1837^2)</f>
        <v/>
      </c>
      <c r="Y1837" s="22" t="str">
        <f aca="false">IF(AND(C1837&lt;&gt;"",C1837=CERTIFICADO!$E$4,OR(CERTIFICADO!$E$5="",B1837=CERTIFICADO!$E$5)),MAX($Y$4:Y1836)+1,"")</f>
        <v/>
      </c>
    </row>
    <row r="1838" customFormat="false" ht="15" hidden="false" customHeight="false" outlineLevel="0" collapsed="false">
      <c r="A1838" s="11" t="str">
        <f aca="false">IF(C1838="","",ROW()-4)</f>
        <v/>
      </c>
      <c r="B1838" s="12"/>
      <c r="C1838" s="13"/>
      <c r="D1838" s="23" t="str">
        <f aca="false">IF(C1838="","",IFERROR(INDEX(LOTES!$D$5:$D$1004,MATCH(C1838,LOTES!$F$5:$F$1004,0)),"¿Lote?"))</f>
        <v/>
      </c>
      <c r="E1838" s="11" t="str">
        <f aca="false">IF(C1838="","",IFERROR(INDEX(LOTES!$C$5:$C$1004,MATCH(C1838,LOTES!$F$5:$F$1004,0)),""))</f>
        <v/>
      </c>
      <c r="F1838" s="24" t="str">
        <f aca="false">IF(C1838="","",IFERROR(INDEX(LOTES!$B$5:$B$1004,MATCH(C1838,LOTES!$F$5:$F$1004,0)),""))</f>
        <v/>
      </c>
      <c r="G1838" s="15" t="str">
        <f aca="false">IF(OR(B1838="",F1838=""),"",B1838-F1838)</f>
        <v/>
      </c>
      <c r="H1838" s="13"/>
      <c r="I1838" s="13"/>
      <c r="J1838" s="13"/>
      <c r="K1838" s="25"/>
      <c r="L1838" s="25"/>
      <c r="M1838" s="25"/>
      <c r="N1838" s="25"/>
      <c r="O1838" s="26"/>
      <c r="P1838" s="16" t="str">
        <f aca="false">IF(O1838="","",IFERROR(1/(1/(IF(K1838="",INDEX(CONFIG!$F$5:$F$14,MATCH(D1838,CONFIG!$D$5:$D$14,0)),K1838)*IF(M1838="",INDEX(CONFIG!$H$5:$H$14,MATCH(D1838,CONFIG!$D$5:$D$14,0)),M1838))),""))</f>
        <v/>
      </c>
      <c r="Q1838" s="16" t="str">
        <f aca="false">IF(OR(O1838="",P1838=""),"",O1838/P1838)</f>
        <v/>
      </c>
      <c r="R1838" s="16" t="str">
        <f aca="false">IF(Q1838="","",Q1838*0.0980665)</f>
        <v/>
      </c>
      <c r="S1838" s="16" t="str">
        <f aca="false">IF(Q1838="","",IFERROR(Q1838/(1/(1/INDEX(CONFIG!$I$5:$I$14,MATCH(D1838,CONFIG!$D$5:$D$14,0)))),""))</f>
        <v/>
      </c>
      <c r="T1838" s="13"/>
      <c r="U1838" s="13"/>
      <c r="V1838" s="13"/>
      <c r="W1838" s="13"/>
      <c r="X1838" s="22" t="str">
        <f aca="false">IF(Q1838="","",Q1838^2)</f>
        <v/>
      </c>
      <c r="Y1838" s="22" t="str">
        <f aca="false">IF(AND(C1838&lt;&gt;"",C1838=CERTIFICADO!$E$4,OR(CERTIFICADO!$E$5="",B1838=CERTIFICADO!$E$5)),MAX($Y$4:Y1837)+1,"")</f>
        <v/>
      </c>
    </row>
    <row r="1839" customFormat="false" ht="15" hidden="false" customHeight="false" outlineLevel="0" collapsed="false">
      <c r="A1839" s="11" t="str">
        <f aca="false">IF(C1839="","",ROW()-4)</f>
        <v/>
      </c>
      <c r="B1839" s="12"/>
      <c r="C1839" s="13"/>
      <c r="D1839" s="23" t="str">
        <f aca="false">IF(C1839="","",IFERROR(INDEX(LOTES!$D$5:$D$1004,MATCH(C1839,LOTES!$F$5:$F$1004,0)),"¿Lote?"))</f>
        <v/>
      </c>
      <c r="E1839" s="11" t="str">
        <f aca="false">IF(C1839="","",IFERROR(INDEX(LOTES!$C$5:$C$1004,MATCH(C1839,LOTES!$F$5:$F$1004,0)),""))</f>
        <v/>
      </c>
      <c r="F1839" s="24" t="str">
        <f aca="false">IF(C1839="","",IFERROR(INDEX(LOTES!$B$5:$B$1004,MATCH(C1839,LOTES!$F$5:$F$1004,0)),""))</f>
        <v/>
      </c>
      <c r="G1839" s="15" t="str">
        <f aca="false">IF(OR(B1839="",F1839=""),"",B1839-F1839)</f>
        <v/>
      </c>
      <c r="H1839" s="13"/>
      <c r="I1839" s="13"/>
      <c r="J1839" s="13"/>
      <c r="K1839" s="25"/>
      <c r="L1839" s="25"/>
      <c r="M1839" s="25"/>
      <c r="N1839" s="25"/>
      <c r="O1839" s="26"/>
      <c r="P1839" s="16" t="str">
        <f aca="false">IF(O1839="","",IFERROR(1/(1/(IF(K1839="",INDEX(CONFIG!$F$5:$F$14,MATCH(D1839,CONFIG!$D$5:$D$14,0)),K1839)*IF(M1839="",INDEX(CONFIG!$H$5:$H$14,MATCH(D1839,CONFIG!$D$5:$D$14,0)),M1839))),""))</f>
        <v/>
      </c>
      <c r="Q1839" s="16" t="str">
        <f aca="false">IF(OR(O1839="",P1839=""),"",O1839/P1839)</f>
        <v/>
      </c>
      <c r="R1839" s="16" t="str">
        <f aca="false">IF(Q1839="","",Q1839*0.0980665)</f>
        <v/>
      </c>
      <c r="S1839" s="16" t="str">
        <f aca="false">IF(Q1839="","",IFERROR(Q1839/(1/(1/INDEX(CONFIG!$I$5:$I$14,MATCH(D1839,CONFIG!$D$5:$D$14,0)))),""))</f>
        <v/>
      </c>
      <c r="T1839" s="13"/>
      <c r="U1839" s="13"/>
      <c r="V1839" s="13"/>
      <c r="W1839" s="13"/>
      <c r="X1839" s="22" t="str">
        <f aca="false">IF(Q1839="","",Q1839^2)</f>
        <v/>
      </c>
      <c r="Y1839" s="22" t="str">
        <f aca="false">IF(AND(C1839&lt;&gt;"",C1839=CERTIFICADO!$E$4,OR(CERTIFICADO!$E$5="",B1839=CERTIFICADO!$E$5)),MAX($Y$4:Y1838)+1,"")</f>
        <v/>
      </c>
    </row>
    <row r="1840" customFormat="false" ht="15" hidden="false" customHeight="false" outlineLevel="0" collapsed="false">
      <c r="A1840" s="11" t="str">
        <f aca="false">IF(C1840="","",ROW()-4)</f>
        <v/>
      </c>
      <c r="B1840" s="12"/>
      <c r="C1840" s="13"/>
      <c r="D1840" s="23" t="str">
        <f aca="false">IF(C1840="","",IFERROR(INDEX(LOTES!$D$5:$D$1004,MATCH(C1840,LOTES!$F$5:$F$1004,0)),"¿Lote?"))</f>
        <v/>
      </c>
      <c r="E1840" s="11" t="str">
        <f aca="false">IF(C1840="","",IFERROR(INDEX(LOTES!$C$5:$C$1004,MATCH(C1840,LOTES!$F$5:$F$1004,0)),""))</f>
        <v/>
      </c>
      <c r="F1840" s="24" t="str">
        <f aca="false">IF(C1840="","",IFERROR(INDEX(LOTES!$B$5:$B$1004,MATCH(C1840,LOTES!$F$5:$F$1004,0)),""))</f>
        <v/>
      </c>
      <c r="G1840" s="15" t="str">
        <f aca="false">IF(OR(B1840="",F1840=""),"",B1840-F1840)</f>
        <v/>
      </c>
      <c r="H1840" s="13"/>
      <c r="I1840" s="13"/>
      <c r="J1840" s="13"/>
      <c r="K1840" s="25"/>
      <c r="L1840" s="25"/>
      <c r="M1840" s="25"/>
      <c r="N1840" s="25"/>
      <c r="O1840" s="26"/>
      <c r="P1840" s="16" t="str">
        <f aca="false">IF(O1840="","",IFERROR(1/(1/(IF(K1840="",INDEX(CONFIG!$F$5:$F$14,MATCH(D1840,CONFIG!$D$5:$D$14,0)),K1840)*IF(M1840="",INDEX(CONFIG!$H$5:$H$14,MATCH(D1840,CONFIG!$D$5:$D$14,0)),M1840))),""))</f>
        <v/>
      </c>
      <c r="Q1840" s="16" t="str">
        <f aca="false">IF(OR(O1840="",P1840=""),"",O1840/P1840)</f>
        <v/>
      </c>
      <c r="R1840" s="16" t="str">
        <f aca="false">IF(Q1840="","",Q1840*0.0980665)</f>
        <v/>
      </c>
      <c r="S1840" s="16" t="str">
        <f aca="false">IF(Q1840="","",IFERROR(Q1840/(1/(1/INDEX(CONFIG!$I$5:$I$14,MATCH(D1840,CONFIG!$D$5:$D$14,0)))),""))</f>
        <v/>
      </c>
      <c r="T1840" s="13"/>
      <c r="U1840" s="13"/>
      <c r="V1840" s="13"/>
      <c r="W1840" s="13"/>
      <c r="X1840" s="22" t="str">
        <f aca="false">IF(Q1840="","",Q1840^2)</f>
        <v/>
      </c>
      <c r="Y1840" s="22" t="str">
        <f aca="false">IF(AND(C1840&lt;&gt;"",C1840=CERTIFICADO!$E$4,OR(CERTIFICADO!$E$5="",B1840=CERTIFICADO!$E$5)),MAX($Y$4:Y1839)+1,"")</f>
        <v/>
      </c>
    </row>
    <row r="1841" customFormat="false" ht="15" hidden="false" customHeight="false" outlineLevel="0" collapsed="false">
      <c r="A1841" s="11" t="str">
        <f aca="false">IF(C1841="","",ROW()-4)</f>
        <v/>
      </c>
      <c r="B1841" s="12"/>
      <c r="C1841" s="13"/>
      <c r="D1841" s="23" t="str">
        <f aca="false">IF(C1841="","",IFERROR(INDEX(LOTES!$D$5:$D$1004,MATCH(C1841,LOTES!$F$5:$F$1004,0)),"¿Lote?"))</f>
        <v/>
      </c>
      <c r="E1841" s="11" t="str">
        <f aca="false">IF(C1841="","",IFERROR(INDEX(LOTES!$C$5:$C$1004,MATCH(C1841,LOTES!$F$5:$F$1004,0)),""))</f>
        <v/>
      </c>
      <c r="F1841" s="24" t="str">
        <f aca="false">IF(C1841="","",IFERROR(INDEX(LOTES!$B$5:$B$1004,MATCH(C1841,LOTES!$F$5:$F$1004,0)),""))</f>
        <v/>
      </c>
      <c r="G1841" s="15" t="str">
        <f aca="false">IF(OR(B1841="",F1841=""),"",B1841-F1841)</f>
        <v/>
      </c>
      <c r="H1841" s="13"/>
      <c r="I1841" s="13"/>
      <c r="J1841" s="13"/>
      <c r="K1841" s="25"/>
      <c r="L1841" s="25"/>
      <c r="M1841" s="25"/>
      <c r="N1841" s="25"/>
      <c r="O1841" s="26"/>
      <c r="P1841" s="16" t="str">
        <f aca="false">IF(O1841="","",IFERROR(1/(1/(IF(K1841="",INDEX(CONFIG!$F$5:$F$14,MATCH(D1841,CONFIG!$D$5:$D$14,0)),K1841)*IF(M1841="",INDEX(CONFIG!$H$5:$H$14,MATCH(D1841,CONFIG!$D$5:$D$14,0)),M1841))),""))</f>
        <v/>
      </c>
      <c r="Q1841" s="16" t="str">
        <f aca="false">IF(OR(O1841="",P1841=""),"",O1841/P1841)</f>
        <v/>
      </c>
      <c r="R1841" s="16" t="str">
        <f aca="false">IF(Q1841="","",Q1841*0.0980665)</f>
        <v/>
      </c>
      <c r="S1841" s="16" t="str">
        <f aca="false">IF(Q1841="","",IFERROR(Q1841/(1/(1/INDEX(CONFIG!$I$5:$I$14,MATCH(D1841,CONFIG!$D$5:$D$14,0)))),""))</f>
        <v/>
      </c>
      <c r="T1841" s="13"/>
      <c r="U1841" s="13"/>
      <c r="V1841" s="13"/>
      <c r="W1841" s="13"/>
      <c r="X1841" s="22" t="str">
        <f aca="false">IF(Q1841="","",Q1841^2)</f>
        <v/>
      </c>
      <c r="Y1841" s="22" t="str">
        <f aca="false">IF(AND(C1841&lt;&gt;"",C1841=CERTIFICADO!$E$4,OR(CERTIFICADO!$E$5="",B1841=CERTIFICADO!$E$5)),MAX($Y$4:Y1840)+1,"")</f>
        <v/>
      </c>
    </row>
    <row r="1842" customFormat="false" ht="15" hidden="false" customHeight="false" outlineLevel="0" collapsed="false">
      <c r="A1842" s="11" t="str">
        <f aca="false">IF(C1842="","",ROW()-4)</f>
        <v/>
      </c>
      <c r="B1842" s="12"/>
      <c r="C1842" s="13"/>
      <c r="D1842" s="23" t="str">
        <f aca="false">IF(C1842="","",IFERROR(INDEX(LOTES!$D$5:$D$1004,MATCH(C1842,LOTES!$F$5:$F$1004,0)),"¿Lote?"))</f>
        <v/>
      </c>
      <c r="E1842" s="11" t="str">
        <f aca="false">IF(C1842="","",IFERROR(INDEX(LOTES!$C$5:$C$1004,MATCH(C1842,LOTES!$F$5:$F$1004,0)),""))</f>
        <v/>
      </c>
      <c r="F1842" s="24" t="str">
        <f aca="false">IF(C1842="","",IFERROR(INDEX(LOTES!$B$5:$B$1004,MATCH(C1842,LOTES!$F$5:$F$1004,0)),""))</f>
        <v/>
      </c>
      <c r="G1842" s="15" t="str">
        <f aca="false">IF(OR(B1842="",F1842=""),"",B1842-F1842)</f>
        <v/>
      </c>
      <c r="H1842" s="13"/>
      <c r="I1842" s="13"/>
      <c r="J1842" s="13"/>
      <c r="K1842" s="25"/>
      <c r="L1842" s="25"/>
      <c r="M1842" s="25"/>
      <c r="N1842" s="25"/>
      <c r="O1842" s="26"/>
      <c r="P1842" s="16" t="str">
        <f aca="false">IF(O1842="","",IFERROR(1/(1/(IF(K1842="",INDEX(CONFIG!$F$5:$F$14,MATCH(D1842,CONFIG!$D$5:$D$14,0)),K1842)*IF(M1842="",INDEX(CONFIG!$H$5:$H$14,MATCH(D1842,CONFIG!$D$5:$D$14,0)),M1842))),""))</f>
        <v/>
      </c>
      <c r="Q1842" s="16" t="str">
        <f aca="false">IF(OR(O1842="",P1842=""),"",O1842/P1842)</f>
        <v/>
      </c>
      <c r="R1842" s="16" t="str">
        <f aca="false">IF(Q1842="","",Q1842*0.0980665)</f>
        <v/>
      </c>
      <c r="S1842" s="16" t="str">
        <f aca="false">IF(Q1842="","",IFERROR(Q1842/(1/(1/INDEX(CONFIG!$I$5:$I$14,MATCH(D1842,CONFIG!$D$5:$D$14,0)))),""))</f>
        <v/>
      </c>
      <c r="T1842" s="13"/>
      <c r="U1842" s="13"/>
      <c r="V1842" s="13"/>
      <c r="W1842" s="13"/>
      <c r="X1842" s="22" t="str">
        <f aca="false">IF(Q1842="","",Q1842^2)</f>
        <v/>
      </c>
      <c r="Y1842" s="22" t="str">
        <f aca="false">IF(AND(C1842&lt;&gt;"",C1842=CERTIFICADO!$E$4,OR(CERTIFICADO!$E$5="",B1842=CERTIFICADO!$E$5)),MAX($Y$4:Y1841)+1,"")</f>
        <v/>
      </c>
    </row>
    <row r="1843" customFormat="false" ht="15" hidden="false" customHeight="false" outlineLevel="0" collapsed="false">
      <c r="A1843" s="11" t="str">
        <f aca="false">IF(C1843="","",ROW()-4)</f>
        <v/>
      </c>
      <c r="B1843" s="12"/>
      <c r="C1843" s="13"/>
      <c r="D1843" s="23" t="str">
        <f aca="false">IF(C1843="","",IFERROR(INDEX(LOTES!$D$5:$D$1004,MATCH(C1843,LOTES!$F$5:$F$1004,0)),"¿Lote?"))</f>
        <v/>
      </c>
      <c r="E1843" s="11" t="str">
        <f aca="false">IF(C1843="","",IFERROR(INDEX(LOTES!$C$5:$C$1004,MATCH(C1843,LOTES!$F$5:$F$1004,0)),""))</f>
        <v/>
      </c>
      <c r="F1843" s="24" t="str">
        <f aca="false">IF(C1843="","",IFERROR(INDEX(LOTES!$B$5:$B$1004,MATCH(C1843,LOTES!$F$5:$F$1004,0)),""))</f>
        <v/>
      </c>
      <c r="G1843" s="15" t="str">
        <f aca="false">IF(OR(B1843="",F1843=""),"",B1843-F1843)</f>
        <v/>
      </c>
      <c r="H1843" s="13"/>
      <c r="I1843" s="13"/>
      <c r="J1843" s="13"/>
      <c r="K1843" s="25"/>
      <c r="L1843" s="25"/>
      <c r="M1843" s="25"/>
      <c r="N1843" s="25"/>
      <c r="O1843" s="26"/>
      <c r="P1843" s="16" t="str">
        <f aca="false">IF(O1843="","",IFERROR(1/(1/(IF(K1843="",INDEX(CONFIG!$F$5:$F$14,MATCH(D1843,CONFIG!$D$5:$D$14,0)),K1843)*IF(M1843="",INDEX(CONFIG!$H$5:$H$14,MATCH(D1843,CONFIG!$D$5:$D$14,0)),M1843))),""))</f>
        <v/>
      </c>
      <c r="Q1843" s="16" t="str">
        <f aca="false">IF(OR(O1843="",P1843=""),"",O1843/P1843)</f>
        <v/>
      </c>
      <c r="R1843" s="16" t="str">
        <f aca="false">IF(Q1843="","",Q1843*0.0980665)</f>
        <v/>
      </c>
      <c r="S1843" s="16" t="str">
        <f aca="false">IF(Q1843="","",IFERROR(Q1843/(1/(1/INDEX(CONFIG!$I$5:$I$14,MATCH(D1843,CONFIG!$D$5:$D$14,0)))),""))</f>
        <v/>
      </c>
      <c r="T1843" s="13"/>
      <c r="U1843" s="13"/>
      <c r="V1843" s="13"/>
      <c r="W1843" s="13"/>
      <c r="X1843" s="22" t="str">
        <f aca="false">IF(Q1843="","",Q1843^2)</f>
        <v/>
      </c>
      <c r="Y1843" s="22" t="str">
        <f aca="false">IF(AND(C1843&lt;&gt;"",C1843=CERTIFICADO!$E$4,OR(CERTIFICADO!$E$5="",B1843=CERTIFICADO!$E$5)),MAX($Y$4:Y1842)+1,"")</f>
        <v/>
      </c>
    </row>
    <row r="1844" customFormat="false" ht="15" hidden="false" customHeight="false" outlineLevel="0" collapsed="false">
      <c r="A1844" s="11" t="str">
        <f aca="false">IF(C1844="","",ROW()-4)</f>
        <v/>
      </c>
      <c r="B1844" s="12"/>
      <c r="C1844" s="13"/>
      <c r="D1844" s="23" t="str">
        <f aca="false">IF(C1844="","",IFERROR(INDEX(LOTES!$D$5:$D$1004,MATCH(C1844,LOTES!$F$5:$F$1004,0)),"¿Lote?"))</f>
        <v/>
      </c>
      <c r="E1844" s="11" t="str">
        <f aca="false">IF(C1844="","",IFERROR(INDEX(LOTES!$C$5:$C$1004,MATCH(C1844,LOTES!$F$5:$F$1004,0)),""))</f>
        <v/>
      </c>
      <c r="F1844" s="24" t="str">
        <f aca="false">IF(C1844="","",IFERROR(INDEX(LOTES!$B$5:$B$1004,MATCH(C1844,LOTES!$F$5:$F$1004,0)),""))</f>
        <v/>
      </c>
      <c r="G1844" s="15" t="str">
        <f aca="false">IF(OR(B1844="",F1844=""),"",B1844-F1844)</f>
        <v/>
      </c>
      <c r="H1844" s="13"/>
      <c r="I1844" s="13"/>
      <c r="J1844" s="13"/>
      <c r="K1844" s="25"/>
      <c r="L1844" s="25"/>
      <c r="M1844" s="25"/>
      <c r="N1844" s="25"/>
      <c r="O1844" s="26"/>
      <c r="P1844" s="16" t="str">
        <f aca="false">IF(O1844="","",IFERROR(1/(1/(IF(K1844="",INDEX(CONFIG!$F$5:$F$14,MATCH(D1844,CONFIG!$D$5:$D$14,0)),K1844)*IF(M1844="",INDEX(CONFIG!$H$5:$H$14,MATCH(D1844,CONFIG!$D$5:$D$14,0)),M1844))),""))</f>
        <v/>
      </c>
      <c r="Q1844" s="16" t="str">
        <f aca="false">IF(OR(O1844="",P1844=""),"",O1844/P1844)</f>
        <v/>
      </c>
      <c r="R1844" s="16" t="str">
        <f aca="false">IF(Q1844="","",Q1844*0.0980665)</f>
        <v/>
      </c>
      <c r="S1844" s="16" t="str">
        <f aca="false">IF(Q1844="","",IFERROR(Q1844/(1/(1/INDEX(CONFIG!$I$5:$I$14,MATCH(D1844,CONFIG!$D$5:$D$14,0)))),""))</f>
        <v/>
      </c>
      <c r="T1844" s="13"/>
      <c r="U1844" s="13"/>
      <c r="V1844" s="13"/>
      <c r="W1844" s="13"/>
      <c r="X1844" s="22" t="str">
        <f aca="false">IF(Q1844="","",Q1844^2)</f>
        <v/>
      </c>
      <c r="Y1844" s="22" t="str">
        <f aca="false">IF(AND(C1844&lt;&gt;"",C1844=CERTIFICADO!$E$4,OR(CERTIFICADO!$E$5="",B1844=CERTIFICADO!$E$5)),MAX($Y$4:Y1843)+1,"")</f>
        <v/>
      </c>
    </row>
    <row r="1845" customFormat="false" ht="15" hidden="false" customHeight="false" outlineLevel="0" collapsed="false">
      <c r="A1845" s="11" t="str">
        <f aca="false">IF(C1845="","",ROW()-4)</f>
        <v/>
      </c>
      <c r="B1845" s="12"/>
      <c r="C1845" s="13"/>
      <c r="D1845" s="23" t="str">
        <f aca="false">IF(C1845="","",IFERROR(INDEX(LOTES!$D$5:$D$1004,MATCH(C1845,LOTES!$F$5:$F$1004,0)),"¿Lote?"))</f>
        <v/>
      </c>
      <c r="E1845" s="11" t="str">
        <f aca="false">IF(C1845="","",IFERROR(INDEX(LOTES!$C$5:$C$1004,MATCH(C1845,LOTES!$F$5:$F$1004,0)),""))</f>
        <v/>
      </c>
      <c r="F1845" s="24" t="str">
        <f aca="false">IF(C1845="","",IFERROR(INDEX(LOTES!$B$5:$B$1004,MATCH(C1845,LOTES!$F$5:$F$1004,0)),""))</f>
        <v/>
      </c>
      <c r="G1845" s="15" t="str">
        <f aca="false">IF(OR(B1845="",F1845=""),"",B1845-F1845)</f>
        <v/>
      </c>
      <c r="H1845" s="13"/>
      <c r="I1845" s="13"/>
      <c r="J1845" s="13"/>
      <c r="K1845" s="25"/>
      <c r="L1845" s="25"/>
      <c r="M1845" s="25"/>
      <c r="N1845" s="25"/>
      <c r="O1845" s="26"/>
      <c r="P1845" s="16" t="str">
        <f aca="false">IF(O1845="","",IFERROR(1/(1/(IF(K1845="",INDEX(CONFIG!$F$5:$F$14,MATCH(D1845,CONFIG!$D$5:$D$14,0)),K1845)*IF(M1845="",INDEX(CONFIG!$H$5:$H$14,MATCH(D1845,CONFIG!$D$5:$D$14,0)),M1845))),""))</f>
        <v/>
      </c>
      <c r="Q1845" s="16" t="str">
        <f aca="false">IF(OR(O1845="",P1845=""),"",O1845/P1845)</f>
        <v/>
      </c>
      <c r="R1845" s="16" t="str">
        <f aca="false">IF(Q1845="","",Q1845*0.0980665)</f>
        <v/>
      </c>
      <c r="S1845" s="16" t="str">
        <f aca="false">IF(Q1845="","",IFERROR(Q1845/(1/(1/INDEX(CONFIG!$I$5:$I$14,MATCH(D1845,CONFIG!$D$5:$D$14,0)))),""))</f>
        <v/>
      </c>
      <c r="T1845" s="13"/>
      <c r="U1845" s="13"/>
      <c r="V1845" s="13"/>
      <c r="W1845" s="13"/>
      <c r="X1845" s="22" t="str">
        <f aca="false">IF(Q1845="","",Q1845^2)</f>
        <v/>
      </c>
      <c r="Y1845" s="22" t="str">
        <f aca="false">IF(AND(C1845&lt;&gt;"",C1845=CERTIFICADO!$E$4,OR(CERTIFICADO!$E$5="",B1845=CERTIFICADO!$E$5)),MAX($Y$4:Y1844)+1,"")</f>
        <v/>
      </c>
    </row>
    <row r="1846" customFormat="false" ht="15" hidden="false" customHeight="false" outlineLevel="0" collapsed="false">
      <c r="A1846" s="11" t="str">
        <f aca="false">IF(C1846="","",ROW()-4)</f>
        <v/>
      </c>
      <c r="B1846" s="12"/>
      <c r="C1846" s="13"/>
      <c r="D1846" s="23" t="str">
        <f aca="false">IF(C1846="","",IFERROR(INDEX(LOTES!$D$5:$D$1004,MATCH(C1846,LOTES!$F$5:$F$1004,0)),"¿Lote?"))</f>
        <v/>
      </c>
      <c r="E1846" s="11" t="str">
        <f aca="false">IF(C1846="","",IFERROR(INDEX(LOTES!$C$5:$C$1004,MATCH(C1846,LOTES!$F$5:$F$1004,0)),""))</f>
        <v/>
      </c>
      <c r="F1846" s="24" t="str">
        <f aca="false">IF(C1846="","",IFERROR(INDEX(LOTES!$B$5:$B$1004,MATCH(C1846,LOTES!$F$5:$F$1004,0)),""))</f>
        <v/>
      </c>
      <c r="G1846" s="15" t="str">
        <f aca="false">IF(OR(B1846="",F1846=""),"",B1846-F1846)</f>
        <v/>
      </c>
      <c r="H1846" s="13"/>
      <c r="I1846" s="13"/>
      <c r="J1846" s="13"/>
      <c r="K1846" s="25"/>
      <c r="L1846" s="25"/>
      <c r="M1846" s="25"/>
      <c r="N1846" s="25"/>
      <c r="O1846" s="26"/>
      <c r="P1846" s="16" t="str">
        <f aca="false">IF(O1846="","",IFERROR(1/(1/(IF(K1846="",INDEX(CONFIG!$F$5:$F$14,MATCH(D1846,CONFIG!$D$5:$D$14,0)),K1846)*IF(M1846="",INDEX(CONFIG!$H$5:$H$14,MATCH(D1846,CONFIG!$D$5:$D$14,0)),M1846))),""))</f>
        <v/>
      </c>
      <c r="Q1846" s="16" t="str">
        <f aca="false">IF(OR(O1846="",P1846=""),"",O1846/P1846)</f>
        <v/>
      </c>
      <c r="R1846" s="16" t="str">
        <f aca="false">IF(Q1846="","",Q1846*0.0980665)</f>
        <v/>
      </c>
      <c r="S1846" s="16" t="str">
        <f aca="false">IF(Q1846="","",IFERROR(Q1846/(1/(1/INDEX(CONFIG!$I$5:$I$14,MATCH(D1846,CONFIG!$D$5:$D$14,0)))),""))</f>
        <v/>
      </c>
      <c r="T1846" s="13"/>
      <c r="U1846" s="13"/>
      <c r="V1846" s="13"/>
      <c r="W1846" s="13"/>
      <c r="X1846" s="22" t="str">
        <f aca="false">IF(Q1846="","",Q1846^2)</f>
        <v/>
      </c>
      <c r="Y1846" s="22" t="str">
        <f aca="false">IF(AND(C1846&lt;&gt;"",C1846=CERTIFICADO!$E$4,OR(CERTIFICADO!$E$5="",B1846=CERTIFICADO!$E$5)),MAX($Y$4:Y1845)+1,"")</f>
        <v/>
      </c>
    </row>
    <row r="1847" customFormat="false" ht="15" hidden="false" customHeight="false" outlineLevel="0" collapsed="false">
      <c r="A1847" s="11" t="str">
        <f aca="false">IF(C1847="","",ROW()-4)</f>
        <v/>
      </c>
      <c r="B1847" s="12"/>
      <c r="C1847" s="13"/>
      <c r="D1847" s="23" t="str">
        <f aca="false">IF(C1847="","",IFERROR(INDEX(LOTES!$D$5:$D$1004,MATCH(C1847,LOTES!$F$5:$F$1004,0)),"¿Lote?"))</f>
        <v/>
      </c>
      <c r="E1847" s="11" t="str">
        <f aca="false">IF(C1847="","",IFERROR(INDEX(LOTES!$C$5:$C$1004,MATCH(C1847,LOTES!$F$5:$F$1004,0)),""))</f>
        <v/>
      </c>
      <c r="F1847" s="24" t="str">
        <f aca="false">IF(C1847="","",IFERROR(INDEX(LOTES!$B$5:$B$1004,MATCH(C1847,LOTES!$F$5:$F$1004,0)),""))</f>
        <v/>
      </c>
      <c r="G1847" s="15" t="str">
        <f aca="false">IF(OR(B1847="",F1847=""),"",B1847-F1847)</f>
        <v/>
      </c>
      <c r="H1847" s="13"/>
      <c r="I1847" s="13"/>
      <c r="J1847" s="13"/>
      <c r="K1847" s="25"/>
      <c r="L1847" s="25"/>
      <c r="M1847" s="25"/>
      <c r="N1847" s="25"/>
      <c r="O1847" s="26"/>
      <c r="P1847" s="16" t="str">
        <f aca="false">IF(O1847="","",IFERROR(1/(1/(IF(K1847="",INDEX(CONFIG!$F$5:$F$14,MATCH(D1847,CONFIG!$D$5:$D$14,0)),K1847)*IF(M1847="",INDEX(CONFIG!$H$5:$H$14,MATCH(D1847,CONFIG!$D$5:$D$14,0)),M1847))),""))</f>
        <v/>
      </c>
      <c r="Q1847" s="16" t="str">
        <f aca="false">IF(OR(O1847="",P1847=""),"",O1847/P1847)</f>
        <v/>
      </c>
      <c r="R1847" s="16" t="str">
        <f aca="false">IF(Q1847="","",Q1847*0.0980665)</f>
        <v/>
      </c>
      <c r="S1847" s="16" t="str">
        <f aca="false">IF(Q1847="","",IFERROR(Q1847/(1/(1/INDEX(CONFIG!$I$5:$I$14,MATCH(D1847,CONFIG!$D$5:$D$14,0)))),""))</f>
        <v/>
      </c>
      <c r="T1847" s="13"/>
      <c r="U1847" s="13"/>
      <c r="V1847" s="13"/>
      <c r="W1847" s="13"/>
      <c r="X1847" s="22" t="str">
        <f aca="false">IF(Q1847="","",Q1847^2)</f>
        <v/>
      </c>
      <c r="Y1847" s="22" t="str">
        <f aca="false">IF(AND(C1847&lt;&gt;"",C1847=CERTIFICADO!$E$4,OR(CERTIFICADO!$E$5="",B1847=CERTIFICADO!$E$5)),MAX($Y$4:Y1846)+1,"")</f>
        <v/>
      </c>
    </row>
    <row r="1848" customFormat="false" ht="15" hidden="false" customHeight="false" outlineLevel="0" collapsed="false">
      <c r="A1848" s="11" t="str">
        <f aca="false">IF(C1848="","",ROW()-4)</f>
        <v/>
      </c>
      <c r="B1848" s="12"/>
      <c r="C1848" s="13"/>
      <c r="D1848" s="23" t="str">
        <f aca="false">IF(C1848="","",IFERROR(INDEX(LOTES!$D$5:$D$1004,MATCH(C1848,LOTES!$F$5:$F$1004,0)),"¿Lote?"))</f>
        <v/>
      </c>
      <c r="E1848" s="11" t="str">
        <f aca="false">IF(C1848="","",IFERROR(INDEX(LOTES!$C$5:$C$1004,MATCH(C1848,LOTES!$F$5:$F$1004,0)),""))</f>
        <v/>
      </c>
      <c r="F1848" s="24" t="str">
        <f aca="false">IF(C1848="","",IFERROR(INDEX(LOTES!$B$5:$B$1004,MATCH(C1848,LOTES!$F$5:$F$1004,0)),""))</f>
        <v/>
      </c>
      <c r="G1848" s="15" t="str">
        <f aca="false">IF(OR(B1848="",F1848=""),"",B1848-F1848)</f>
        <v/>
      </c>
      <c r="H1848" s="13"/>
      <c r="I1848" s="13"/>
      <c r="J1848" s="13"/>
      <c r="K1848" s="25"/>
      <c r="L1848" s="25"/>
      <c r="M1848" s="25"/>
      <c r="N1848" s="25"/>
      <c r="O1848" s="26"/>
      <c r="P1848" s="16" t="str">
        <f aca="false">IF(O1848="","",IFERROR(1/(1/(IF(K1848="",INDEX(CONFIG!$F$5:$F$14,MATCH(D1848,CONFIG!$D$5:$D$14,0)),K1848)*IF(M1848="",INDEX(CONFIG!$H$5:$H$14,MATCH(D1848,CONFIG!$D$5:$D$14,0)),M1848))),""))</f>
        <v/>
      </c>
      <c r="Q1848" s="16" t="str">
        <f aca="false">IF(OR(O1848="",P1848=""),"",O1848/P1848)</f>
        <v/>
      </c>
      <c r="R1848" s="16" t="str">
        <f aca="false">IF(Q1848="","",Q1848*0.0980665)</f>
        <v/>
      </c>
      <c r="S1848" s="16" t="str">
        <f aca="false">IF(Q1848="","",IFERROR(Q1848/(1/(1/INDEX(CONFIG!$I$5:$I$14,MATCH(D1848,CONFIG!$D$5:$D$14,0)))),""))</f>
        <v/>
      </c>
      <c r="T1848" s="13"/>
      <c r="U1848" s="13"/>
      <c r="V1848" s="13"/>
      <c r="W1848" s="13"/>
      <c r="X1848" s="22" t="str">
        <f aca="false">IF(Q1848="","",Q1848^2)</f>
        <v/>
      </c>
      <c r="Y1848" s="22" t="str">
        <f aca="false">IF(AND(C1848&lt;&gt;"",C1848=CERTIFICADO!$E$4,OR(CERTIFICADO!$E$5="",B1848=CERTIFICADO!$E$5)),MAX($Y$4:Y1847)+1,"")</f>
        <v/>
      </c>
    </row>
    <row r="1849" customFormat="false" ht="15" hidden="false" customHeight="false" outlineLevel="0" collapsed="false">
      <c r="A1849" s="11" t="str">
        <f aca="false">IF(C1849="","",ROW()-4)</f>
        <v/>
      </c>
      <c r="B1849" s="12"/>
      <c r="C1849" s="13"/>
      <c r="D1849" s="23" t="str">
        <f aca="false">IF(C1849="","",IFERROR(INDEX(LOTES!$D$5:$D$1004,MATCH(C1849,LOTES!$F$5:$F$1004,0)),"¿Lote?"))</f>
        <v/>
      </c>
      <c r="E1849" s="11" t="str">
        <f aca="false">IF(C1849="","",IFERROR(INDEX(LOTES!$C$5:$C$1004,MATCH(C1849,LOTES!$F$5:$F$1004,0)),""))</f>
        <v/>
      </c>
      <c r="F1849" s="24" t="str">
        <f aca="false">IF(C1849="","",IFERROR(INDEX(LOTES!$B$5:$B$1004,MATCH(C1849,LOTES!$F$5:$F$1004,0)),""))</f>
        <v/>
      </c>
      <c r="G1849" s="15" t="str">
        <f aca="false">IF(OR(B1849="",F1849=""),"",B1849-F1849)</f>
        <v/>
      </c>
      <c r="H1849" s="13"/>
      <c r="I1849" s="13"/>
      <c r="J1849" s="13"/>
      <c r="K1849" s="25"/>
      <c r="L1849" s="25"/>
      <c r="M1849" s="25"/>
      <c r="N1849" s="25"/>
      <c r="O1849" s="26"/>
      <c r="P1849" s="16" t="str">
        <f aca="false">IF(O1849="","",IFERROR(1/(1/(IF(K1849="",INDEX(CONFIG!$F$5:$F$14,MATCH(D1849,CONFIG!$D$5:$D$14,0)),K1849)*IF(M1849="",INDEX(CONFIG!$H$5:$H$14,MATCH(D1849,CONFIG!$D$5:$D$14,0)),M1849))),""))</f>
        <v/>
      </c>
      <c r="Q1849" s="16" t="str">
        <f aca="false">IF(OR(O1849="",P1849=""),"",O1849/P1849)</f>
        <v/>
      </c>
      <c r="R1849" s="16" t="str">
        <f aca="false">IF(Q1849="","",Q1849*0.0980665)</f>
        <v/>
      </c>
      <c r="S1849" s="16" t="str">
        <f aca="false">IF(Q1849="","",IFERROR(Q1849/(1/(1/INDEX(CONFIG!$I$5:$I$14,MATCH(D1849,CONFIG!$D$5:$D$14,0)))),""))</f>
        <v/>
      </c>
      <c r="T1849" s="13"/>
      <c r="U1849" s="13"/>
      <c r="V1849" s="13"/>
      <c r="W1849" s="13"/>
      <c r="X1849" s="22" t="str">
        <f aca="false">IF(Q1849="","",Q1849^2)</f>
        <v/>
      </c>
      <c r="Y1849" s="22" t="str">
        <f aca="false">IF(AND(C1849&lt;&gt;"",C1849=CERTIFICADO!$E$4,OR(CERTIFICADO!$E$5="",B1849=CERTIFICADO!$E$5)),MAX($Y$4:Y1848)+1,"")</f>
        <v/>
      </c>
    </row>
    <row r="1850" customFormat="false" ht="15" hidden="false" customHeight="false" outlineLevel="0" collapsed="false">
      <c r="A1850" s="11" t="str">
        <f aca="false">IF(C1850="","",ROW()-4)</f>
        <v/>
      </c>
      <c r="B1850" s="12"/>
      <c r="C1850" s="13"/>
      <c r="D1850" s="23" t="str">
        <f aca="false">IF(C1850="","",IFERROR(INDEX(LOTES!$D$5:$D$1004,MATCH(C1850,LOTES!$F$5:$F$1004,0)),"¿Lote?"))</f>
        <v/>
      </c>
      <c r="E1850" s="11" t="str">
        <f aca="false">IF(C1850="","",IFERROR(INDEX(LOTES!$C$5:$C$1004,MATCH(C1850,LOTES!$F$5:$F$1004,0)),""))</f>
        <v/>
      </c>
      <c r="F1850" s="24" t="str">
        <f aca="false">IF(C1850="","",IFERROR(INDEX(LOTES!$B$5:$B$1004,MATCH(C1850,LOTES!$F$5:$F$1004,0)),""))</f>
        <v/>
      </c>
      <c r="G1850" s="15" t="str">
        <f aca="false">IF(OR(B1850="",F1850=""),"",B1850-F1850)</f>
        <v/>
      </c>
      <c r="H1850" s="13"/>
      <c r="I1850" s="13"/>
      <c r="J1850" s="13"/>
      <c r="K1850" s="25"/>
      <c r="L1850" s="25"/>
      <c r="M1850" s="25"/>
      <c r="N1850" s="25"/>
      <c r="O1850" s="26"/>
      <c r="P1850" s="16" t="str">
        <f aca="false">IF(O1850="","",IFERROR(1/(1/(IF(K1850="",INDEX(CONFIG!$F$5:$F$14,MATCH(D1850,CONFIG!$D$5:$D$14,0)),K1850)*IF(M1850="",INDEX(CONFIG!$H$5:$H$14,MATCH(D1850,CONFIG!$D$5:$D$14,0)),M1850))),""))</f>
        <v/>
      </c>
      <c r="Q1850" s="16" t="str">
        <f aca="false">IF(OR(O1850="",P1850=""),"",O1850/P1850)</f>
        <v/>
      </c>
      <c r="R1850" s="16" t="str">
        <f aca="false">IF(Q1850="","",Q1850*0.0980665)</f>
        <v/>
      </c>
      <c r="S1850" s="16" t="str">
        <f aca="false">IF(Q1850="","",IFERROR(Q1850/(1/(1/INDEX(CONFIG!$I$5:$I$14,MATCH(D1850,CONFIG!$D$5:$D$14,0)))),""))</f>
        <v/>
      </c>
      <c r="T1850" s="13"/>
      <c r="U1850" s="13"/>
      <c r="V1850" s="13"/>
      <c r="W1850" s="13"/>
      <c r="X1850" s="22" t="str">
        <f aca="false">IF(Q1850="","",Q1850^2)</f>
        <v/>
      </c>
      <c r="Y1850" s="22" t="str">
        <f aca="false">IF(AND(C1850&lt;&gt;"",C1850=CERTIFICADO!$E$4,OR(CERTIFICADO!$E$5="",B1850=CERTIFICADO!$E$5)),MAX($Y$4:Y1849)+1,"")</f>
        <v/>
      </c>
    </row>
    <row r="1851" customFormat="false" ht="15" hidden="false" customHeight="false" outlineLevel="0" collapsed="false">
      <c r="A1851" s="11" t="str">
        <f aca="false">IF(C1851="","",ROW()-4)</f>
        <v/>
      </c>
      <c r="B1851" s="12"/>
      <c r="C1851" s="13"/>
      <c r="D1851" s="23" t="str">
        <f aca="false">IF(C1851="","",IFERROR(INDEX(LOTES!$D$5:$D$1004,MATCH(C1851,LOTES!$F$5:$F$1004,0)),"¿Lote?"))</f>
        <v/>
      </c>
      <c r="E1851" s="11" t="str">
        <f aca="false">IF(C1851="","",IFERROR(INDEX(LOTES!$C$5:$C$1004,MATCH(C1851,LOTES!$F$5:$F$1004,0)),""))</f>
        <v/>
      </c>
      <c r="F1851" s="24" t="str">
        <f aca="false">IF(C1851="","",IFERROR(INDEX(LOTES!$B$5:$B$1004,MATCH(C1851,LOTES!$F$5:$F$1004,0)),""))</f>
        <v/>
      </c>
      <c r="G1851" s="15" t="str">
        <f aca="false">IF(OR(B1851="",F1851=""),"",B1851-F1851)</f>
        <v/>
      </c>
      <c r="H1851" s="13"/>
      <c r="I1851" s="13"/>
      <c r="J1851" s="13"/>
      <c r="K1851" s="25"/>
      <c r="L1851" s="25"/>
      <c r="M1851" s="25"/>
      <c r="N1851" s="25"/>
      <c r="O1851" s="26"/>
      <c r="P1851" s="16" t="str">
        <f aca="false">IF(O1851="","",IFERROR(1/(1/(IF(K1851="",INDEX(CONFIG!$F$5:$F$14,MATCH(D1851,CONFIG!$D$5:$D$14,0)),K1851)*IF(M1851="",INDEX(CONFIG!$H$5:$H$14,MATCH(D1851,CONFIG!$D$5:$D$14,0)),M1851))),""))</f>
        <v/>
      </c>
      <c r="Q1851" s="16" t="str">
        <f aca="false">IF(OR(O1851="",P1851=""),"",O1851/P1851)</f>
        <v/>
      </c>
      <c r="R1851" s="16" t="str">
        <f aca="false">IF(Q1851="","",Q1851*0.0980665)</f>
        <v/>
      </c>
      <c r="S1851" s="16" t="str">
        <f aca="false">IF(Q1851="","",IFERROR(Q1851/(1/(1/INDEX(CONFIG!$I$5:$I$14,MATCH(D1851,CONFIG!$D$5:$D$14,0)))),""))</f>
        <v/>
      </c>
      <c r="T1851" s="13"/>
      <c r="U1851" s="13"/>
      <c r="V1851" s="13"/>
      <c r="W1851" s="13"/>
      <c r="X1851" s="22" t="str">
        <f aca="false">IF(Q1851="","",Q1851^2)</f>
        <v/>
      </c>
      <c r="Y1851" s="22" t="str">
        <f aca="false">IF(AND(C1851&lt;&gt;"",C1851=CERTIFICADO!$E$4,OR(CERTIFICADO!$E$5="",B1851=CERTIFICADO!$E$5)),MAX($Y$4:Y1850)+1,"")</f>
        <v/>
      </c>
    </row>
    <row r="1852" customFormat="false" ht="15" hidden="false" customHeight="false" outlineLevel="0" collapsed="false">
      <c r="A1852" s="11" t="str">
        <f aca="false">IF(C1852="","",ROW()-4)</f>
        <v/>
      </c>
      <c r="B1852" s="12"/>
      <c r="C1852" s="13"/>
      <c r="D1852" s="23" t="str">
        <f aca="false">IF(C1852="","",IFERROR(INDEX(LOTES!$D$5:$D$1004,MATCH(C1852,LOTES!$F$5:$F$1004,0)),"¿Lote?"))</f>
        <v/>
      </c>
      <c r="E1852" s="11" t="str">
        <f aca="false">IF(C1852="","",IFERROR(INDEX(LOTES!$C$5:$C$1004,MATCH(C1852,LOTES!$F$5:$F$1004,0)),""))</f>
        <v/>
      </c>
      <c r="F1852" s="24" t="str">
        <f aca="false">IF(C1852="","",IFERROR(INDEX(LOTES!$B$5:$B$1004,MATCH(C1852,LOTES!$F$5:$F$1004,0)),""))</f>
        <v/>
      </c>
      <c r="G1852" s="15" t="str">
        <f aca="false">IF(OR(B1852="",F1852=""),"",B1852-F1852)</f>
        <v/>
      </c>
      <c r="H1852" s="13"/>
      <c r="I1852" s="13"/>
      <c r="J1852" s="13"/>
      <c r="K1852" s="25"/>
      <c r="L1852" s="25"/>
      <c r="M1852" s="25"/>
      <c r="N1852" s="25"/>
      <c r="O1852" s="26"/>
      <c r="P1852" s="16" t="str">
        <f aca="false">IF(O1852="","",IFERROR(1/(1/(IF(K1852="",INDEX(CONFIG!$F$5:$F$14,MATCH(D1852,CONFIG!$D$5:$D$14,0)),K1852)*IF(M1852="",INDEX(CONFIG!$H$5:$H$14,MATCH(D1852,CONFIG!$D$5:$D$14,0)),M1852))),""))</f>
        <v/>
      </c>
      <c r="Q1852" s="16" t="str">
        <f aca="false">IF(OR(O1852="",P1852=""),"",O1852/P1852)</f>
        <v/>
      </c>
      <c r="R1852" s="16" t="str">
        <f aca="false">IF(Q1852="","",Q1852*0.0980665)</f>
        <v/>
      </c>
      <c r="S1852" s="16" t="str">
        <f aca="false">IF(Q1852="","",IFERROR(Q1852/(1/(1/INDEX(CONFIG!$I$5:$I$14,MATCH(D1852,CONFIG!$D$5:$D$14,0)))),""))</f>
        <v/>
      </c>
      <c r="T1852" s="13"/>
      <c r="U1852" s="13"/>
      <c r="V1852" s="13"/>
      <c r="W1852" s="13"/>
      <c r="X1852" s="22" t="str">
        <f aca="false">IF(Q1852="","",Q1852^2)</f>
        <v/>
      </c>
      <c r="Y1852" s="22" t="str">
        <f aca="false">IF(AND(C1852&lt;&gt;"",C1852=CERTIFICADO!$E$4,OR(CERTIFICADO!$E$5="",B1852=CERTIFICADO!$E$5)),MAX($Y$4:Y1851)+1,"")</f>
        <v/>
      </c>
    </row>
    <row r="1853" customFormat="false" ht="15" hidden="false" customHeight="false" outlineLevel="0" collapsed="false">
      <c r="A1853" s="11" t="str">
        <f aca="false">IF(C1853="","",ROW()-4)</f>
        <v/>
      </c>
      <c r="B1853" s="12"/>
      <c r="C1853" s="13"/>
      <c r="D1853" s="23" t="str">
        <f aca="false">IF(C1853="","",IFERROR(INDEX(LOTES!$D$5:$D$1004,MATCH(C1853,LOTES!$F$5:$F$1004,0)),"¿Lote?"))</f>
        <v/>
      </c>
      <c r="E1853" s="11" t="str">
        <f aca="false">IF(C1853="","",IFERROR(INDEX(LOTES!$C$5:$C$1004,MATCH(C1853,LOTES!$F$5:$F$1004,0)),""))</f>
        <v/>
      </c>
      <c r="F1853" s="24" t="str">
        <f aca="false">IF(C1853="","",IFERROR(INDEX(LOTES!$B$5:$B$1004,MATCH(C1853,LOTES!$F$5:$F$1004,0)),""))</f>
        <v/>
      </c>
      <c r="G1853" s="15" t="str">
        <f aca="false">IF(OR(B1853="",F1853=""),"",B1853-F1853)</f>
        <v/>
      </c>
      <c r="H1853" s="13"/>
      <c r="I1853" s="13"/>
      <c r="J1853" s="13"/>
      <c r="K1853" s="25"/>
      <c r="L1853" s="25"/>
      <c r="M1853" s="25"/>
      <c r="N1853" s="25"/>
      <c r="O1853" s="26"/>
      <c r="P1853" s="16" t="str">
        <f aca="false">IF(O1853="","",IFERROR(1/(1/(IF(K1853="",INDEX(CONFIG!$F$5:$F$14,MATCH(D1853,CONFIG!$D$5:$D$14,0)),K1853)*IF(M1853="",INDEX(CONFIG!$H$5:$H$14,MATCH(D1853,CONFIG!$D$5:$D$14,0)),M1853))),""))</f>
        <v/>
      </c>
      <c r="Q1853" s="16" t="str">
        <f aca="false">IF(OR(O1853="",P1853=""),"",O1853/P1853)</f>
        <v/>
      </c>
      <c r="R1853" s="16" t="str">
        <f aca="false">IF(Q1853="","",Q1853*0.0980665)</f>
        <v/>
      </c>
      <c r="S1853" s="16" t="str">
        <f aca="false">IF(Q1853="","",IFERROR(Q1853/(1/(1/INDEX(CONFIG!$I$5:$I$14,MATCH(D1853,CONFIG!$D$5:$D$14,0)))),""))</f>
        <v/>
      </c>
      <c r="T1853" s="13"/>
      <c r="U1853" s="13"/>
      <c r="V1853" s="13"/>
      <c r="W1853" s="13"/>
      <c r="X1853" s="22" t="str">
        <f aca="false">IF(Q1853="","",Q1853^2)</f>
        <v/>
      </c>
      <c r="Y1853" s="22" t="str">
        <f aca="false">IF(AND(C1853&lt;&gt;"",C1853=CERTIFICADO!$E$4,OR(CERTIFICADO!$E$5="",B1853=CERTIFICADO!$E$5)),MAX($Y$4:Y1852)+1,"")</f>
        <v/>
      </c>
    </row>
    <row r="1854" customFormat="false" ht="15" hidden="false" customHeight="false" outlineLevel="0" collapsed="false">
      <c r="A1854" s="11" t="str">
        <f aca="false">IF(C1854="","",ROW()-4)</f>
        <v/>
      </c>
      <c r="B1854" s="12"/>
      <c r="C1854" s="13"/>
      <c r="D1854" s="23" t="str">
        <f aca="false">IF(C1854="","",IFERROR(INDEX(LOTES!$D$5:$D$1004,MATCH(C1854,LOTES!$F$5:$F$1004,0)),"¿Lote?"))</f>
        <v/>
      </c>
      <c r="E1854" s="11" t="str">
        <f aca="false">IF(C1854="","",IFERROR(INDEX(LOTES!$C$5:$C$1004,MATCH(C1854,LOTES!$F$5:$F$1004,0)),""))</f>
        <v/>
      </c>
      <c r="F1854" s="24" t="str">
        <f aca="false">IF(C1854="","",IFERROR(INDEX(LOTES!$B$5:$B$1004,MATCH(C1854,LOTES!$F$5:$F$1004,0)),""))</f>
        <v/>
      </c>
      <c r="G1854" s="15" t="str">
        <f aca="false">IF(OR(B1854="",F1854=""),"",B1854-F1854)</f>
        <v/>
      </c>
      <c r="H1854" s="13"/>
      <c r="I1854" s="13"/>
      <c r="J1854" s="13"/>
      <c r="K1854" s="25"/>
      <c r="L1854" s="25"/>
      <c r="M1854" s="25"/>
      <c r="N1854" s="25"/>
      <c r="O1854" s="26"/>
      <c r="P1854" s="16" t="str">
        <f aca="false">IF(O1854="","",IFERROR(1/(1/(IF(K1854="",INDEX(CONFIG!$F$5:$F$14,MATCH(D1854,CONFIG!$D$5:$D$14,0)),K1854)*IF(M1854="",INDEX(CONFIG!$H$5:$H$14,MATCH(D1854,CONFIG!$D$5:$D$14,0)),M1854))),""))</f>
        <v/>
      </c>
      <c r="Q1854" s="16" t="str">
        <f aca="false">IF(OR(O1854="",P1854=""),"",O1854/P1854)</f>
        <v/>
      </c>
      <c r="R1854" s="16" t="str">
        <f aca="false">IF(Q1854="","",Q1854*0.0980665)</f>
        <v/>
      </c>
      <c r="S1854" s="16" t="str">
        <f aca="false">IF(Q1854="","",IFERROR(Q1854/(1/(1/INDEX(CONFIG!$I$5:$I$14,MATCH(D1854,CONFIG!$D$5:$D$14,0)))),""))</f>
        <v/>
      </c>
      <c r="T1854" s="13"/>
      <c r="U1854" s="13"/>
      <c r="V1854" s="13"/>
      <c r="W1854" s="13"/>
      <c r="X1854" s="22" t="str">
        <f aca="false">IF(Q1854="","",Q1854^2)</f>
        <v/>
      </c>
      <c r="Y1854" s="22" t="str">
        <f aca="false">IF(AND(C1854&lt;&gt;"",C1854=CERTIFICADO!$E$4,OR(CERTIFICADO!$E$5="",B1854=CERTIFICADO!$E$5)),MAX($Y$4:Y1853)+1,"")</f>
        <v/>
      </c>
    </row>
    <row r="1855" customFormat="false" ht="15" hidden="false" customHeight="false" outlineLevel="0" collapsed="false">
      <c r="A1855" s="11" t="str">
        <f aca="false">IF(C1855="","",ROW()-4)</f>
        <v/>
      </c>
      <c r="B1855" s="12"/>
      <c r="C1855" s="13"/>
      <c r="D1855" s="23" t="str">
        <f aca="false">IF(C1855="","",IFERROR(INDEX(LOTES!$D$5:$D$1004,MATCH(C1855,LOTES!$F$5:$F$1004,0)),"¿Lote?"))</f>
        <v/>
      </c>
      <c r="E1855" s="11" t="str">
        <f aca="false">IF(C1855="","",IFERROR(INDEX(LOTES!$C$5:$C$1004,MATCH(C1855,LOTES!$F$5:$F$1004,0)),""))</f>
        <v/>
      </c>
      <c r="F1855" s="24" t="str">
        <f aca="false">IF(C1855="","",IFERROR(INDEX(LOTES!$B$5:$B$1004,MATCH(C1855,LOTES!$F$5:$F$1004,0)),""))</f>
        <v/>
      </c>
      <c r="G1855" s="15" t="str">
        <f aca="false">IF(OR(B1855="",F1855=""),"",B1855-F1855)</f>
        <v/>
      </c>
      <c r="H1855" s="13"/>
      <c r="I1855" s="13"/>
      <c r="J1855" s="13"/>
      <c r="K1855" s="25"/>
      <c r="L1855" s="25"/>
      <c r="M1855" s="25"/>
      <c r="N1855" s="25"/>
      <c r="O1855" s="26"/>
      <c r="P1855" s="16" t="str">
        <f aca="false">IF(O1855="","",IFERROR(1/(1/(IF(K1855="",INDEX(CONFIG!$F$5:$F$14,MATCH(D1855,CONFIG!$D$5:$D$14,0)),K1855)*IF(M1855="",INDEX(CONFIG!$H$5:$H$14,MATCH(D1855,CONFIG!$D$5:$D$14,0)),M1855))),""))</f>
        <v/>
      </c>
      <c r="Q1855" s="16" t="str">
        <f aca="false">IF(OR(O1855="",P1855=""),"",O1855/P1855)</f>
        <v/>
      </c>
      <c r="R1855" s="16" t="str">
        <f aca="false">IF(Q1855="","",Q1855*0.0980665)</f>
        <v/>
      </c>
      <c r="S1855" s="16" t="str">
        <f aca="false">IF(Q1855="","",IFERROR(Q1855/(1/(1/INDEX(CONFIG!$I$5:$I$14,MATCH(D1855,CONFIG!$D$5:$D$14,0)))),""))</f>
        <v/>
      </c>
      <c r="T1855" s="13"/>
      <c r="U1855" s="13"/>
      <c r="V1855" s="13"/>
      <c r="W1855" s="13"/>
      <c r="X1855" s="22" t="str">
        <f aca="false">IF(Q1855="","",Q1855^2)</f>
        <v/>
      </c>
      <c r="Y1855" s="22" t="str">
        <f aca="false">IF(AND(C1855&lt;&gt;"",C1855=CERTIFICADO!$E$4,OR(CERTIFICADO!$E$5="",B1855=CERTIFICADO!$E$5)),MAX($Y$4:Y1854)+1,"")</f>
        <v/>
      </c>
    </row>
    <row r="1856" customFormat="false" ht="15" hidden="false" customHeight="false" outlineLevel="0" collapsed="false">
      <c r="A1856" s="11" t="str">
        <f aca="false">IF(C1856="","",ROW()-4)</f>
        <v/>
      </c>
      <c r="B1856" s="12"/>
      <c r="C1856" s="13"/>
      <c r="D1856" s="23" t="str">
        <f aca="false">IF(C1856="","",IFERROR(INDEX(LOTES!$D$5:$D$1004,MATCH(C1856,LOTES!$F$5:$F$1004,0)),"¿Lote?"))</f>
        <v/>
      </c>
      <c r="E1856" s="11" t="str">
        <f aca="false">IF(C1856="","",IFERROR(INDEX(LOTES!$C$5:$C$1004,MATCH(C1856,LOTES!$F$5:$F$1004,0)),""))</f>
        <v/>
      </c>
      <c r="F1856" s="24" t="str">
        <f aca="false">IF(C1856="","",IFERROR(INDEX(LOTES!$B$5:$B$1004,MATCH(C1856,LOTES!$F$5:$F$1004,0)),""))</f>
        <v/>
      </c>
      <c r="G1856" s="15" t="str">
        <f aca="false">IF(OR(B1856="",F1856=""),"",B1856-F1856)</f>
        <v/>
      </c>
      <c r="H1856" s="13"/>
      <c r="I1856" s="13"/>
      <c r="J1856" s="13"/>
      <c r="K1856" s="25"/>
      <c r="L1856" s="25"/>
      <c r="M1856" s="25"/>
      <c r="N1856" s="25"/>
      <c r="O1856" s="26"/>
      <c r="P1856" s="16" t="str">
        <f aca="false">IF(O1856="","",IFERROR(1/(1/(IF(K1856="",INDEX(CONFIG!$F$5:$F$14,MATCH(D1856,CONFIG!$D$5:$D$14,0)),K1856)*IF(M1856="",INDEX(CONFIG!$H$5:$H$14,MATCH(D1856,CONFIG!$D$5:$D$14,0)),M1856))),""))</f>
        <v/>
      </c>
      <c r="Q1856" s="16" t="str">
        <f aca="false">IF(OR(O1856="",P1856=""),"",O1856/P1856)</f>
        <v/>
      </c>
      <c r="R1856" s="16" t="str">
        <f aca="false">IF(Q1856="","",Q1856*0.0980665)</f>
        <v/>
      </c>
      <c r="S1856" s="16" t="str">
        <f aca="false">IF(Q1856="","",IFERROR(Q1856/(1/(1/INDEX(CONFIG!$I$5:$I$14,MATCH(D1856,CONFIG!$D$5:$D$14,0)))),""))</f>
        <v/>
      </c>
      <c r="T1856" s="13"/>
      <c r="U1856" s="13"/>
      <c r="V1856" s="13"/>
      <c r="W1856" s="13"/>
      <c r="X1856" s="22" t="str">
        <f aca="false">IF(Q1856="","",Q1856^2)</f>
        <v/>
      </c>
      <c r="Y1856" s="22" t="str">
        <f aca="false">IF(AND(C1856&lt;&gt;"",C1856=CERTIFICADO!$E$4,OR(CERTIFICADO!$E$5="",B1856=CERTIFICADO!$E$5)),MAX($Y$4:Y1855)+1,"")</f>
        <v/>
      </c>
    </row>
    <row r="1857" customFormat="false" ht="15" hidden="false" customHeight="false" outlineLevel="0" collapsed="false">
      <c r="A1857" s="11" t="str">
        <f aca="false">IF(C1857="","",ROW()-4)</f>
        <v/>
      </c>
      <c r="B1857" s="12"/>
      <c r="C1857" s="13"/>
      <c r="D1857" s="23" t="str">
        <f aca="false">IF(C1857="","",IFERROR(INDEX(LOTES!$D$5:$D$1004,MATCH(C1857,LOTES!$F$5:$F$1004,0)),"¿Lote?"))</f>
        <v/>
      </c>
      <c r="E1857" s="11" t="str">
        <f aca="false">IF(C1857="","",IFERROR(INDEX(LOTES!$C$5:$C$1004,MATCH(C1857,LOTES!$F$5:$F$1004,0)),""))</f>
        <v/>
      </c>
      <c r="F1857" s="24" t="str">
        <f aca="false">IF(C1857="","",IFERROR(INDEX(LOTES!$B$5:$B$1004,MATCH(C1857,LOTES!$F$5:$F$1004,0)),""))</f>
        <v/>
      </c>
      <c r="G1857" s="15" t="str">
        <f aca="false">IF(OR(B1857="",F1857=""),"",B1857-F1857)</f>
        <v/>
      </c>
      <c r="H1857" s="13"/>
      <c r="I1857" s="13"/>
      <c r="J1857" s="13"/>
      <c r="K1857" s="25"/>
      <c r="L1857" s="25"/>
      <c r="M1857" s="25"/>
      <c r="N1857" s="25"/>
      <c r="O1857" s="26"/>
      <c r="P1857" s="16" t="str">
        <f aca="false">IF(O1857="","",IFERROR(1/(1/(IF(K1857="",INDEX(CONFIG!$F$5:$F$14,MATCH(D1857,CONFIG!$D$5:$D$14,0)),K1857)*IF(M1857="",INDEX(CONFIG!$H$5:$H$14,MATCH(D1857,CONFIG!$D$5:$D$14,0)),M1857))),""))</f>
        <v/>
      </c>
      <c r="Q1857" s="16" t="str">
        <f aca="false">IF(OR(O1857="",P1857=""),"",O1857/P1857)</f>
        <v/>
      </c>
      <c r="R1857" s="16" t="str">
        <f aca="false">IF(Q1857="","",Q1857*0.0980665)</f>
        <v/>
      </c>
      <c r="S1857" s="16" t="str">
        <f aca="false">IF(Q1857="","",IFERROR(Q1857/(1/(1/INDEX(CONFIG!$I$5:$I$14,MATCH(D1857,CONFIG!$D$5:$D$14,0)))),""))</f>
        <v/>
      </c>
      <c r="T1857" s="13"/>
      <c r="U1857" s="13"/>
      <c r="V1857" s="13"/>
      <c r="W1857" s="13"/>
      <c r="X1857" s="22" t="str">
        <f aca="false">IF(Q1857="","",Q1857^2)</f>
        <v/>
      </c>
      <c r="Y1857" s="22" t="str">
        <f aca="false">IF(AND(C1857&lt;&gt;"",C1857=CERTIFICADO!$E$4,OR(CERTIFICADO!$E$5="",B1857=CERTIFICADO!$E$5)),MAX($Y$4:Y1856)+1,"")</f>
        <v/>
      </c>
    </row>
    <row r="1858" customFormat="false" ht="15" hidden="false" customHeight="false" outlineLevel="0" collapsed="false">
      <c r="A1858" s="11" t="str">
        <f aca="false">IF(C1858="","",ROW()-4)</f>
        <v/>
      </c>
      <c r="B1858" s="12"/>
      <c r="C1858" s="13"/>
      <c r="D1858" s="23" t="str">
        <f aca="false">IF(C1858="","",IFERROR(INDEX(LOTES!$D$5:$D$1004,MATCH(C1858,LOTES!$F$5:$F$1004,0)),"¿Lote?"))</f>
        <v/>
      </c>
      <c r="E1858" s="11" t="str">
        <f aca="false">IF(C1858="","",IFERROR(INDEX(LOTES!$C$5:$C$1004,MATCH(C1858,LOTES!$F$5:$F$1004,0)),""))</f>
        <v/>
      </c>
      <c r="F1858" s="24" t="str">
        <f aca="false">IF(C1858="","",IFERROR(INDEX(LOTES!$B$5:$B$1004,MATCH(C1858,LOTES!$F$5:$F$1004,0)),""))</f>
        <v/>
      </c>
      <c r="G1858" s="15" t="str">
        <f aca="false">IF(OR(B1858="",F1858=""),"",B1858-F1858)</f>
        <v/>
      </c>
      <c r="H1858" s="13"/>
      <c r="I1858" s="13"/>
      <c r="J1858" s="13"/>
      <c r="K1858" s="25"/>
      <c r="L1858" s="25"/>
      <c r="M1858" s="25"/>
      <c r="N1858" s="25"/>
      <c r="O1858" s="26"/>
      <c r="P1858" s="16" t="str">
        <f aca="false">IF(O1858="","",IFERROR(1/(1/(IF(K1858="",INDEX(CONFIG!$F$5:$F$14,MATCH(D1858,CONFIG!$D$5:$D$14,0)),K1858)*IF(M1858="",INDEX(CONFIG!$H$5:$H$14,MATCH(D1858,CONFIG!$D$5:$D$14,0)),M1858))),""))</f>
        <v/>
      </c>
      <c r="Q1858" s="16" t="str">
        <f aca="false">IF(OR(O1858="",P1858=""),"",O1858/P1858)</f>
        <v/>
      </c>
      <c r="R1858" s="16" t="str">
        <f aca="false">IF(Q1858="","",Q1858*0.0980665)</f>
        <v/>
      </c>
      <c r="S1858" s="16" t="str">
        <f aca="false">IF(Q1858="","",IFERROR(Q1858/(1/(1/INDEX(CONFIG!$I$5:$I$14,MATCH(D1858,CONFIG!$D$5:$D$14,0)))),""))</f>
        <v/>
      </c>
      <c r="T1858" s="13"/>
      <c r="U1858" s="13"/>
      <c r="V1858" s="13"/>
      <c r="W1858" s="13"/>
      <c r="X1858" s="22" t="str">
        <f aca="false">IF(Q1858="","",Q1858^2)</f>
        <v/>
      </c>
      <c r="Y1858" s="22" t="str">
        <f aca="false">IF(AND(C1858&lt;&gt;"",C1858=CERTIFICADO!$E$4,OR(CERTIFICADO!$E$5="",B1858=CERTIFICADO!$E$5)),MAX($Y$4:Y1857)+1,"")</f>
        <v/>
      </c>
    </row>
    <row r="1859" customFormat="false" ht="15" hidden="false" customHeight="false" outlineLevel="0" collapsed="false">
      <c r="A1859" s="11" t="str">
        <f aca="false">IF(C1859="","",ROW()-4)</f>
        <v/>
      </c>
      <c r="B1859" s="12"/>
      <c r="C1859" s="13"/>
      <c r="D1859" s="23" t="str">
        <f aca="false">IF(C1859="","",IFERROR(INDEX(LOTES!$D$5:$D$1004,MATCH(C1859,LOTES!$F$5:$F$1004,0)),"¿Lote?"))</f>
        <v/>
      </c>
      <c r="E1859" s="11" t="str">
        <f aca="false">IF(C1859="","",IFERROR(INDEX(LOTES!$C$5:$C$1004,MATCH(C1859,LOTES!$F$5:$F$1004,0)),""))</f>
        <v/>
      </c>
      <c r="F1859" s="24" t="str">
        <f aca="false">IF(C1859="","",IFERROR(INDEX(LOTES!$B$5:$B$1004,MATCH(C1859,LOTES!$F$5:$F$1004,0)),""))</f>
        <v/>
      </c>
      <c r="G1859" s="15" t="str">
        <f aca="false">IF(OR(B1859="",F1859=""),"",B1859-F1859)</f>
        <v/>
      </c>
      <c r="H1859" s="13"/>
      <c r="I1859" s="13"/>
      <c r="J1859" s="13"/>
      <c r="K1859" s="25"/>
      <c r="L1859" s="25"/>
      <c r="M1859" s="25"/>
      <c r="N1859" s="25"/>
      <c r="O1859" s="26"/>
      <c r="P1859" s="16" t="str">
        <f aca="false">IF(O1859="","",IFERROR(1/(1/(IF(K1859="",INDEX(CONFIG!$F$5:$F$14,MATCH(D1859,CONFIG!$D$5:$D$14,0)),K1859)*IF(M1859="",INDEX(CONFIG!$H$5:$H$14,MATCH(D1859,CONFIG!$D$5:$D$14,0)),M1859))),""))</f>
        <v/>
      </c>
      <c r="Q1859" s="16" t="str">
        <f aca="false">IF(OR(O1859="",P1859=""),"",O1859/P1859)</f>
        <v/>
      </c>
      <c r="R1859" s="16" t="str">
        <f aca="false">IF(Q1859="","",Q1859*0.0980665)</f>
        <v/>
      </c>
      <c r="S1859" s="16" t="str">
        <f aca="false">IF(Q1859="","",IFERROR(Q1859/(1/(1/INDEX(CONFIG!$I$5:$I$14,MATCH(D1859,CONFIG!$D$5:$D$14,0)))),""))</f>
        <v/>
      </c>
      <c r="T1859" s="13"/>
      <c r="U1859" s="13"/>
      <c r="V1859" s="13"/>
      <c r="W1859" s="13"/>
      <c r="X1859" s="22" t="str">
        <f aca="false">IF(Q1859="","",Q1859^2)</f>
        <v/>
      </c>
      <c r="Y1859" s="22" t="str">
        <f aca="false">IF(AND(C1859&lt;&gt;"",C1859=CERTIFICADO!$E$4,OR(CERTIFICADO!$E$5="",B1859=CERTIFICADO!$E$5)),MAX($Y$4:Y1858)+1,"")</f>
        <v/>
      </c>
    </row>
    <row r="1860" customFormat="false" ht="15" hidden="false" customHeight="false" outlineLevel="0" collapsed="false">
      <c r="A1860" s="11" t="str">
        <f aca="false">IF(C1860="","",ROW()-4)</f>
        <v/>
      </c>
      <c r="B1860" s="12"/>
      <c r="C1860" s="13"/>
      <c r="D1860" s="23" t="str">
        <f aca="false">IF(C1860="","",IFERROR(INDEX(LOTES!$D$5:$D$1004,MATCH(C1860,LOTES!$F$5:$F$1004,0)),"¿Lote?"))</f>
        <v/>
      </c>
      <c r="E1860" s="11" t="str">
        <f aca="false">IF(C1860="","",IFERROR(INDEX(LOTES!$C$5:$C$1004,MATCH(C1860,LOTES!$F$5:$F$1004,0)),""))</f>
        <v/>
      </c>
      <c r="F1860" s="24" t="str">
        <f aca="false">IF(C1860="","",IFERROR(INDEX(LOTES!$B$5:$B$1004,MATCH(C1860,LOTES!$F$5:$F$1004,0)),""))</f>
        <v/>
      </c>
      <c r="G1860" s="15" t="str">
        <f aca="false">IF(OR(B1860="",F1860=""),"",B1860-F1860)</f>
        <v/>
      </c>
      <c r="H1860" s="13"/>
      <c r="I1860" s="13"/>
      <c r="J1860" s="13"/>
      <c r="K1860" s="25"/>
      <c r="L1860" s="25"/>
      <c r="M1860" s="25"/>
      <c r="N1860" s="25"/>
      <c r="O1860" s="26"/>
      <c r="P1860" s="16" t="str">
        <f aca="false">IF(O1860="","",IFERROR(1/(1/(IF(K1860="",INDEX(CONFIG!$F$5:$F$14,MATCH(D1860,CONFIG!$D$5:$D$14,0)),K1860)*IF(M1860="",INDEX(CONFIG!$H$5:$H$14,MATCH(D1860,CONFIG!$D$5:$D$14,0)),M1860))),""))</f>
        <v/>
      </c>
      <c r="Q1860" s="16" t="str">
        <f aca="false">IF(OR(O1860="",P1860=""),"",O1860/P1860)</f>
        <v/>
      </c>
      <c r="R1860" s="16" t="str">
        <f aca="false">IF(Q1860="","",Q1860*0.0980665)</f>
        <v/>
      </c>
      <c r="S1860" s="16" t="str">
        <f aca="false">IF(Q1860="","",IFERROR(Q1860/(1/(1/INDEX(CONFIG!$I$5:$I$14,MATCH(D1860,CONFIG!$D$5:$D$14,0)))),""))</f>
        <v/>
      </c>
      <c r="T1860" s="13"/>
      <c r="U1860" s="13"/>
      <c r="V1860" s="13"/>
      <c r="W1860" s="13"/>
      <c r="X1860" s="22" t="str">
        <f aca="false">IF(Q1860="","",Q1860^2)</f>
        <v/>
      </c>
      <c r="Y1860" s="22" t="str">
        <f aca="false">IF(AND(C1860&lt;&gt;"",C1860=CERTIFICADO!$E$4,OR(CERTIFICADO!$E$5="",B1860=CERTIFICADO!$E$5)),MAX($Y$4:Y1859)+1,"")</f>
        <v/>
      </c>
    </row>
    <row r="1861" customFormat="false" ht="15" hidden="false" customHeight="false" outlineLevel="0" collapsed="false">
      <c r="A1861" s="11" t="str">
        <f aca="false">IF(C1861="","",ROW()-4)</f>
        <v/>
      </c>
      <c r="B1861" s="12"/>
      <c r="C1861" s="13"/>
      <c r="D1861" s="23" t="str">
        <f aca="false">IF(C1861="","",IFERROR(INDEX(LOTES!$D$5:$D$1004,MATCH(C1861,LOTES!$F$5:$F$1004,0)),"¿Lote?"))</f>
        <v/>
      </c>
      <c r="E1861" s="11" t="str">
        <f aca="false">IF(C1861="","",IFERROR(INDEX(LOTES!$C$5:$C$1004,MATCH(C1861,LOTES!$F$5:$F$1004,0)),""))</f>
        <v/>
      </c>
      <c r="F1861" s="24" t="str">
        <f aca="false">IF(C1861="","",IFERROR(INDEX(LOTES!$B$5:$B$1004,MATCH(C1861,LOTES!$F$5:$F$1004,0)),""))</f>
        <v/>
      </c>
      <c r="G1861" s="15" t="str">
        <f aca="false">IF(OR(B1861="",F1861=""),"",B1861-F1861)</f>
        <v/>
      </c>
      <c r="H1861" s="13"/>
      <c r="I1861" s="13"/>
      <c r="J1861" s="13"/>
      <c r="K1861" s="25"/>
      <c r="L1861" s="25"/>
      <c r="M1861" s="25"/>
      <c r="N1861" s="25"/>
      <c r="O1861" s="26"/>
      <c r="P1861" s="16" t="str">
        <f aca="false">IF(O1861="","",IFERROR(1/(1/(IF(K1861="",INDEX(CONFIG!$F$5:$F$14,MATCH(D1861,CONFIG!$D$5:$D$14,0)),K1861)*IF(M1861="",INDEX(CONFIG!$H$5:$H$14,MATCH(D1861,CONFIG!$D$5:$D$14,0)),M1861))),""))</f>
        <v/>
      </c>
      <c r="Q1861" s="16" t="str">
        <f aca="false">IF(OR(O1861="",P1861=""),"",O1861/P1861)</f>
        <v/>
      </c>
      <c r="R1861" s="16" t="str">
        <f aca="false">IF(Q1861="","",Q1861*0.0980665)</f>
        <v/>
      </c>
      <c r="S1861" s="16" t="str">
        <f aca="false">IF(Q1861="","",IFERROR(Q1861/(1/(1/INDEX(CONFIG!$I$5:$I$14,MATCH(D1861,CONFIG!$D$5:$D$14,0)))),""))</f>
        <v/>
      </c>
      <c r="T1861" s="13"/>
      <c r="U1861" s="13"/>
      <c r="V1861" s="13"/>
      <c r="W1861" s="13"/>
      <c r="X1861" s="22" t="str">
        <f aca="false">IF(Q1861="","",Q1861^2)</f>
        <v/>
      </c>
      <c r="Y1861" s="22" t="str">
        <f aca="false">IF(AND(C1861&lt;&gt;"",C1861=CERTIFICADO!$E$4,OR(CERTIFICADO!$E$5="",B1861=CERTIFICADO!$E$5)),MAX($Y$4:Y1860)+1,"")</f>
        <v/>
      </c>
    </row>
    <row r="1862" customFormat="false" ht="15" hidden="false" customHeight="false" outlineLevel="0" collapsed="false">
      <c r="A1862" s="11" t="str">
        <f aca="false">IF(C1862="","",ROW()-4)</f>
        <v/>
      </c>
      <c r="B1862" s="12"/>
      <c r="C1862" s="13"/>
      <c r="D1862" s="23" t="str">
        <f aca="false">IF(C1862="","",IFERROR(INDEX(LOTES!$D$5:$D$1004,MATCH(C1862,LOTES!$F$5:$F$1004,0)),"¿Lote?"))</f>
        <v/>
      </c>
      <c r="E1862" s="11" t="str">
        <f aca="false">IF(C1862="","",IFERROR(INDEX(LOTES!$C$5:$C$1004,MATCH(C1862,LOTES!$F$5:$F$1004,0)),""))</f>
        <v/>
      </c>
      <c r="F1862" s="24" t="str">
        <f aca="false">IF(C1862="","",IFERROR(INDEX(LOTES!$B$5:$B$1004,MATCH(C1862,LOTES!$F$5:$F$1004,0)),""))</f>
        <v/>
      </c>
      <c r="G1862" s="15" t="str">
        <f aca="false">IF(OR(B1862="",F1862=""),"",B1862-F1862)</f>
        <v/>
      </c>
      <c r="H1862" s="13"/>
      <c r="I1862" s="13"/>
      <c r="J1862" s="13"/>
      <c r="K1862" s="25"/>
      <c r="L1862" s="25"/>
      <c r="M1862" s="25"/>
      <c r="N1862" s="25"/>
      <c r="O1862" s="26"/>
      <c r="P1862" s="16" t="str">
        <f aca="false">IF(O1862="","",IFERROR(1/(1/(IF(K1862="",INDEX(CONFIG!$F$5:$F$14,MATCH(D1862,CONFIG!$D$5:$D$14,0)),K1862)*IF(M1862="",INDEX(CONFIG!$H$5:$H$14,MATCH(D1862,CONFIG!$D$5:$D$14,0)),M1862))),""))</f>
        <v/>
      </c>
      <c r="Q1862" s="16" t="str">
        <f aca="false">IF(OR(O1862="",P1862=""),"",O1862/P1862)</f>
        <v/>
      </c>
      <c r="R1862" s="16" t="str">
        <f aca="false">IF(Q1862="","",Q1862*0.0980665)</f>
        <v/>
      </c>
      <c r="S1862" s="16" t="str">
        <f aca="false">IF(Q1862="","",IFERROR(Q1862/(1/(1/INDEX(CONFIG!$I$5:$I$14,MATCH(D1862,CONFIG!$D$5:$D$14,0)))),""))</f>
        <v/>
      </c>
      <c r="T1862" s="13"/>
      <c r="U1862" s="13"/>
      <c r="V1862" s="13"/>
      <c r="W1862" s="13"/>
      <c r="X1862" s="22" t="str">
        <f aca="false">IF(Q1862="","",Q1862^2)</f>
        <v/>
      </c>
      <c r="Y1862" s="22" t="str">
        <f aca="false">IF(AND(C1862&lt;&gt;"",C1862=CERTIFICADO!$E$4,OR(CERTIFICADO!$E$5="",B1862=CERTIFICADO!$E$5)),MAX($Y$4:Y1861)+1,"")</f>
        <v/>
      </c>
    </row>
    <row r="1863" customFormat="false" ht="15" hidden="false" customHeight="false" outlineLevel="0" collapsed="false">
      <c r="A1863" s="11" t="str">
        <f aca="false">IF(C1863="","",ROW()-4)</f>
        <v/>
      </c>
      <c r="B1863" s="12"/>
      <c r="C1863" s="13"/>
      <c r="D1863" s="23" t="str">
        <f aca="false">IF(C1863="","",IFERROR(INDEX(LOTES!$D$5:$D$1004,MATCH(C1863,LOTES!$F$5:$F$1004,0)),"¿Lote?"))</f>
        <v/>
      </c>
      <c r="E1863" s="11" t="str">
        <f aca="false">IF(C1863="","",IFERROR(INDEX(LOTES!$C$5:$C$1004,MATCH(C1863,LOTES!$F$5:$F$1004,0)),""))</f>
        <v/>
      </c>
      <c r="F1863" s="24" t="str">
        <f aca="false">IF(C1863="","",IFERROR(INDEX(LOTES!$B$5:$B$1004,MATCH(C1863,LOTES!$F$5:$F$1004,0)),""))</f>
        <v/>
      </c>
      <c r="G1863" s="15" t="str">
        <f aca="false">IF(OR(B1863="",F1863=""),"",B1863-F1863)</f>
        <v/>
      </c>
      <c r="H1863" s="13"/>
      <c r="I1863" s="13"/>
      <c r="J1863" s="13"/>
      <c r="K1863" s="25"/>
      <c r="L1863" s="25"/>
      <c r="M1863" s="25"/>
      <c r="N1863" s="25"/>
      <c r="O1863" s="26"/>
      <c r="P1863" s="16" t="str">
        <f aca="false">IF(O1863="","",IFERROR(1/(1/(IF(K1863="",INDEX(CONFIG!$F$5:$F$14,MATCH(D1863,CONFIG!$D$5:$D$14,0)),K1863)*IF(M1863="",INDEX(CONFIG!$H$5:$H$14,MATCH(D1863,CONFIG!$D$5:$D$14,0)),M1863))),""))</f>
        <v/>
      </c>
      <c r="Q1863" s="16" t="str">
        <f aca="false">IF(OR(O1863="",P1863=""),"",O1863/P1863)</f>
        <v/>
      </c>
      <c r="R1863" s="16" t="str">
        <f aca="false">IF(Q1863="","",Q1863*0.0980665)</f>
        <v/>
      </c>
      <c r="S1863" s="16" t="str">
        <f aca="false">IF(Q1863="","",IFERROR(Q1863/(1/(1/INDEX(CONFIG!$I$5:$I$14,MATCH(D1863,CONFIG!$D$5:$D$14,0)))),""))</f>
        <v/>
      </c>
      <c r="T1863" s="13"/>
      <c r="U1863" s="13"/>
      <c r="V1863" s="13"/>
      <c r="W1863" s="13"/>
      <c r="X1863" s="22" t="str">
        <f aca="false">IF(Q1863="","",Q1863^2)</f>
        <v/>
      </c>
      <c r="Y1863" s="22" t="str">
        <f aca="false">IF(AND(C1863&lt;&gt;"",C1863=CERTIFICADO!$E$4,OR(CERTIFICADO!$E$5="",B1863=CERTIFICADO!$E$5)),MAX($Y$4:Y1862)+1,"")</f>
        <v/>
      </c>
    </row>
    <row r="1864" customFormat="false" ht="15" hidden="false" customHeight="false" outlineLevel="0" collapsed="false">
      <c r="A1864" s="11" t="str">
        <f aca="false">IF(C1864="","",ROW()-4)</f>
        <v/>
      </c>
      <c r="B1864" s="12"/>
      <c r="C1864" s="13"/>
      <c r="D1864" s="23" t="str">
        <f aca="false">IF(C1864="","",IFERROR(INDEX(LOTES!$D$5:$D$1004,MATCH(C1864,LOTES!$F$5:$F$1004,0)),"¿Lote?"))</f>
        <v/>
      </c>
      <c r="E1864" s="11" t="str">
        <f aca="false">IF(C1864="","",IFERROR(INDEX(LOTES!$C$5:$C$1004,MATCH(C1864,LOTES!$F$5:$F$1004,0)),""))</f>
        <v/>
      </c>
      <c r="F1864" s="24" t="str">
        <f aca="false">IF(C1864="","",IFERROR(INDEX(LOTES!$B$5:$B$1004,MATCH(C1864,LOTES!$F$5:$F$1004,0)),""))</f>
        <v/>
      </c>
      <c r="G1864" s="15" t="str">
        <f aca="false">IF(OR(B1864="",F1864=""),"",B1864-F1864)</f>
        <v/>
      </c>
      <c r="H1864" s="13"/>
      <c r="I1864" s="13"/>
      <c r="J1864" s="13"/>
      <c r="K1864" s="25"/>
      <c r="L1864" s="25"/>
      <c r="M1864" s="25"/>
      <c r="N1864" s="25"/>
      <c r="O1864" s="26"/>
      <c r="P1864" s="16" t="str">
        <f aca="false">IF(O1864="","",IFERROR(1/(1/(IF(K1864="",INDEX(CONFIG!$F$5:$F$14,MATCH(D1864,CONFIG!$D$5:$D$14,0)),K1864)*IF(M1864="",INDEX(CONFIG!$H$5:$H$14,MATCH(D1864,CONFIG!$D$5:$D$14,0)),M1864))),""))</f>
        <v/>
      </c>
      <c r="Q1864" s="16" t="str">
        <f aca="false">IF(OR(O1864="",P1864=""),"",O1864/P1864)</f>
        <v/>
      </c>
      <c r="R1864" s="16" t="str">
        <f aca="false">IF(Q1864="","",Q1864*0.0980665)</f>
        <v/>
      </c>
      <c r="S1864" s="16" t="str">
        <f aca="false">IF(Q1864="","",IFERROR(Q1864/(1/(1/INDEX(CONFIG!$I$5:$I$14,MATCH(D1864,CONFIG!$D$5:$D$14,0)))),""))</f>
        <v/>
      </c>
      <c r="T1864" s="13"/>
      <c r="U1864" s="13"/>
      <c r="V1864" s="13"/>
      <c r="W1864" s="13"/>
      <c r="X1864" s="22" t="str">
        <f aca="false">IF(Q1864="","",Q1864^2)</f>
        <v/>
      </c>
      <c r="Y1864" s="22" t="str">
        <f aca="false">IF(AND(C1864&lt;&gt;"",C1864=CERTIFICADO!$E$4,OR(CERTIFICADO!$E$5="",B1864=CERTIFICADO!$E$5)),MAX($Y$4:Y1863)+1,"")</f>
        <v/>
      </c>
    </row>
    <row r="1865" customFormat="false" ht="15" hidden="false" customHeight="false" outlineLevel="0" collapsed="false">
      <c r="A1865" s="11" t="str">
        <f aca="false">IF(C1865="","",ROW()-4)</f>
        <v/>
      </c>
      <c r="B1865" s="12"/>
      <c r="C1865" s="13"/>
      <c r="D1865" s="23" t="str">
        <f aca="false">IF(C1865="","",IFERROR(INDEX(LOTES!$D$5:$D$1004,MATCH(C1865,LOTES!$F$5:$F$1004,0)),"¿Lote?"))</f>
        <v/>
      </c>
      <c r="E1865" s="11" t="str">
        <f aca="false">IF(C1865="","",IFERROR(INDEX(LOTES!$C$5:$C$1004,MATCH(C1865,LOTES!$F$5:$F$1004,0)),""))</f>
        <v/>
      </c>
      <c r="F1865" s="24" t="str">
        <f aca="false">IF(C1865="","",IFERROR(INDEX(LOTES!$B$5:$B$1004,MATCH(C1865,LOTES!$F$5:$F$1004,0)),""))</f>
        <v/>
      </c>
      <c r="G1865" s="15" t="str">
        <f aca="false">IF(OR(B1865="",F1865=""),"",B1865-F1865)</f>
        <v/>
      </c>
      <c r="H1865" s="13"/>
      <c r="I1865" s="13"/>
      <c r="J1865" s="13"/>
      <c r="K1865" s="25"/>
      <c r="L1865" s="25"/>
      <c r="M1865" s="25"/>
      <c r="N1865" s="25"/>
      <c r="O1865" s="26"/>
      <c r="P1865" s="16" t="str">
        <f aca="false">IF(O1865="","",IFERROR(1/(1/(IF(K1865="",INDEX(CONFIG!$F$5:$F$14,MATCH(D1865,CONFIG!$D$5:$D$14,0)),K1865)*IF(M1865="",INDEX(CONFIG!$H$5:$H$14,MATCH(D1865,CONFIG!$D$5:$D$14,0)),M1865))),""))</f>
        <v/>
      </c>
      <c r="Q1865" s="16" t="str">
        <f aca="false">IF(OR(O1865="",P1865=""),"",O1865/P1865)</f>
        <v/>
      </c>
      <c r="R1865" s="16" t="str">
        <f aca="false">IF(Q1865="","",Q1865*0.0980665)</f>
        <v/>
      </c>
      <c r="S1865" s="16" t="str">
        <f aca="false">IF(Q1865="","",IFERROR(Q1865/(1/(1/INDEX(CONFIG!$I$5:$I$14,MATCH(D1865,CONFIG!$D$5:$D$14,0)))),""))</f>
        <v/>
      </c>
      <c r="T1865" s="13"/>
      <c r="U1865" s="13"/>
      <c r="V1865" s="13"/>
      <c r="W1865" s="13"/>
      <c r="X1865" s="22" t="str">
        <f aca="false">IF(Q1865="","",Q1865^2)</f>
        <v/>
      </c>
      <c r="Y1865" s="22" t="str">
        <f aca="false">IF(AND(C1865&lt;&gt;"",C1865=CERTIFICADO!$E$4,OR(CERTIFICADO!$E$5="",B1865=CERTIFICADO!$E$5)),MAX($Y$4:Y1864)+1,"")</f>
        <v/>
      </c>
    </row>
    <row r="1866" customFormat="false" ht="15" hidden="false" customHeight="false" outlineLevel="0" collapsed="false">
      <c r="A1866" s="11" t="str">
        <f aca="false">IF(C1866="","",ROW()-4)</f>
        <v/>
      </c>
      <c r="B1866" s="12"/>
      <c r="C1866" s="13"/>
      <c r="D1866" s="23" t="str">
        <f aca="false">IF(C1866="","",IFERROR(INDEX(LOTES!$D$5:$D$1004,MATCH(C1866,LOTES!$F$5:$F$1004,0)),"¿Lote?"))</f>
        <v/>
      </c>
      <c r="E1866" s="11" t="str">
        <f aca="false">IF(C1866="","",IFERROR(INDEX(LOTES!$C$5:$C$1004,MATCH(C1866,LOTES!$F$5:$F$1004,0)),""))</f>
        <v/>
      </c>
      <c r="F1866" s="24" t="str">
        <f aca="false">IF(C1866="","",IFERROR(INDEX(LOTES!$B$5:$B$1004,MATCH(C1866,LOTES!$F$5:$F$1004,0)),""))</f>
        <v/>
      </c>
      <c r="G1866" s="15" t="str">
        <f aca="false">IF(OR(B1866="",F1866=""),"",B1866-F1866)</f>
        <v/>
      </c>
      <c r="H1866" s="13"/>
      <c r="I1866" s="13"/>
      <c r="J1866" s="13"/>
      <c r="K1866" s="25"/>
      <c r="L1866" s="25"/>
      <c r="M1866" s="25"/>
      <c r="N1866" s="25"/>
      <c r="O1866" s="26"/>
      <c r="P1866" s="16" t="str">
        <f aca="false">IF(O1866="","",IFERROR(1/(1/(IF(K1866="",INDEX(CONFIG!$F$5:$F$14,MATCH(D1866,CONFIG!$D$5:$D$14,0)),K1866)*IF(M1866="",INDEX(CONFIG!$H$5:$H$14,MATCH(D1866,CONFIG!$D$5:$D$14,0)),M1866))),""))</f>
        <v/>
      </c>
      <c r="Q1866" s="16" t="str">
        <f aca="false">IF(OR(O1866="",P1866=""),"",O1866/P1866)</f>
        <v/>
      </c>
      <c r="R1866" s="16" t="str">
        <f aca="false">IF(Q1866="","",Q1866*0.0980665)</f>
        <v/>
      </c>
      <c r="S1866" s="16" t="str">
        <f aca="false">IF(Q1866="","",IFERROR(Q1866/(1/(1/INDEX(CONFIG!$I$5:$I$14,MATCH(D1866,CONFIG!$D$5:$D$14,0)))),""))</f>
        <v/>
      </c>
      <c r="T1866" s="13"/>
      <c r="U1866" s="13"/>
      <c r="V1866" s="13"/>
      <c r="W1866" s="13"/>
      <c r="X1866" s="22" t="str">
        <f aca="false">IF(Q1866="","",Q1866^2)</f>
        <v/>
      </c>
      <c r="Y1866" s="22" t="str">
        <f aca="false">IF(AND(C1866&lt;&gt;"",C1866=CERTIFICADO!$E$4,OR(CERTIFICADO!$E$5="",B1866=CERTIFICADO!$E$5)),MAX($Y$4:Y1865)+1,"")</f>
        <v/>
      </c>
    </row>
    <row r="1867" customFormat="false" ht="15" hidden="false" customHeight="false" outlineLevel="0" collapsed="false">
      <c r="A1867" s="11" t="str">
        <f aca="false">IF(C1867="","",ROW()-4)</f>
        <v/>
      </c>
      <c r="B1867" s="12"/>
      <c r="C1867" s="13"/>
      <c r="D1867" s="23" t="str">
        <f aca="false">IF(C1867="","",IFERROR(INDEX(LOTES!$D$5:$D$1004,MATCH(C1867,LOTES!$F$5:$F$1004,0)),"¿Lote?"))</f>
        <v/>
      </c>
      <c r="E1867" s="11" t="str">
        <f aca="false">IF(C1867="","",IFERROR(INDEX(LOTES!$C$5:$C$1004,MATCH(C1867,LOTES!$F$5:$F$1004,0)),""))</f>
        <v/>
      </c>
      <c r="F1867" s="24" t="str">
        <f aca="false">IF(C1867="","",IFERROR(INDEX(LOTES!$B$5:$B$1004,MATCH(C1867,LOTES!$F$5:$F$1004,0)),""))</f>
        <v/>
      </c>
      <c r="G1867" s="15" t="str">
        <f aca="false">IF(OR(B1867="",F1867=""),"",B1867-F1867)</f>
        <v/>
      </c>
      <c r="H1867" s="13"/>
      <c r="I1867" s="13"/>
      <c r="J1867" s="13"/>
      <c r="K1867" s="25"/>
      <c r="L1867" s="25"/>
      <c r="M1867" s="25"/>
      <c r="N1867" s="25"/>
      <c r="O1867" s="26"/>
      <c r="P1867" s="16" t="str">
        <f aca="false">IF(O1867="","",IFERROR(1/(1/(IF(K1867="",INDEX(CONFIG!$F$5:$F$14,MATCH(D1867,CONFIG!$D$5:$D$14,0)),K1867)*IF(M1867="",INDEX(CONFIG!$H$5:$H$14,MATCH(D1867,CONFIG!$D$5:$D$14,0)),M1867))),""))</f>
        <v/>
      </c>
      <c r="Q1867" s="16" t="str">
        <f aca="false">IF(OR(O1867="",P1867=""),"",O1867/P1867)</f>
        <v/>
      </c>
      <c r="R1867" s="16" t="str">
        <f aca="false">IF(Q1867="","",Q1867*0.0980665)</f>
        <v/>
      </c>
      <c r="S1867" s="16" t="str">
        <f aca="false">IF(Q1867="","",IFERROR(Q1867/(1/(1/INDEX(CONFIG!$I$5:$I$14,MATCH(D1867,CONFIG!$D$5:$D$14,0)))),""))</f>
        <v/>
      </c>
      <c r="T1867" s="13"/>
      <c r="U1867" s="13"/>
      <c r="V1867" s="13"/>
      <c r="W1867" s="13"/>
      <c r="X1867" s="22" t="str">
        <f aca="false">IF(Q1867="","",Q1867^2)</f>
        <v/>
      </c>
      <c r="Y1867" s="22" t="str">
        <f aca="false">IF(AND(C1867&lt;&gt;"",C1867=CERTIFICADO!$E$4,OR(CERTIFICADO!$E$5="",B1867=CERTIFICADO!$E$5)),MAX($Y$4:Y1866)+1,"")</f>
        <v/>
      </c>
    </row>
    <row r="1868" customFormat="false" ht="15" hidden="false" customHeight="false" outlineLevel="0" collapsed="false">
      <c r="A1868" s="11" t="str">
        <f aca="false">IF(C1868="","",ROW()-4)</f>
        <v/>
      </c>
      <c r="B1868" s="12"/>
      <c r="C1868" s="13"/>
      <c r="D1868" s="23" t="str">
        <f aca="false">IF(C1868="","",IFERROR(INDEX(LOTES!$D$5:$D$1004,MATCH(C1868,LOTES!$F$5:$F$1004,0)),"¿Lote?"))</f>
        <v/>
      </c>
      <c r="E1868" s="11" t="str">
        <f aca="false">IF(C1868="","",IFERROR(INDEX(LOTES!$C$5:$C$1004,MATCH(C1868,LOTES!$F$5:$F$1004,0)),""))</f>
        <v/>
      </c>
      <c r="F1868" s="24" t="str">
        <f aca="false">IF(C1868="","",IFERROR(INDEX(LOTES!$B$5:$B$1004,MATCH(C1868,LOTES!$F$5:$F$1004,0)),""))</f>
        <v/>
      </c>
      <c r="G1868" s="15" t="str">
        <f aca="false">IF(OR(B1868="",F1868=""),"",B1868-F1868)</f>
        <v/>
      </c>
      <c r="H1868" s="13"/>
      <c r="I1868" s="13"/>
      <c r="J1868" s="13"/>
      <c r="K1868" s="25"/>
      <c r="L1868" s="25"/>
      <c r="M1868" s="25"/>
      <c r="N1868" s="25"/>
      <c r="O1868" s="26"/>
      <c r="P1868" s="16" t="str">
        <f aca="false">IF(O1868="","",IFERROR(1/(1/(IF(K1868="",INDEX(CONFIG!$F$5:$F$14,MATCH(D1868,CONFIG!$D$5:$D$14,0)),K1868)*IF(M1868="",INDEX(CONFIG!$H$5:$H$14,MATCH(D1868,CONFIG!$D$5:$D$14,0)),M1868))),""))</f>
        <v/>
      </c>
      <c r="Q1868" s="16" t="str">
        <f aca="false">IF(OR(O1868="",P1868=""),"",O1868/P1868)</f>
        <v/>
      </c>
      <c r="R1868" s="16" t="str">
        <f aca="false">IF(Q1868="","",Q1868*0.0980665)</f>
        <v/>
      </c>
      <c r="S1868" s="16" t="str">
        <f aca="false">IF(Q1868="","",IFERROR(Q1868/(1/(1/INDEX(CONFIG!$I$5:$I$14,MATCH(D1868,CONFIG!$D$5:$D$14,0)))),""))</f>
        <v/>
      </c>
      <c r="T1868" s="13"/>
      <c r="U1868" s="13"/>
      <c r="V1868" s="13"/>
      <c r="W1868" s="13"/>
      <c r="X1868" s="22" t="str">
        <f aca="false">IF(Q1868="","",Q1868^2)</f>
        <v/>
      </c>
      <c r="Y1868" s="22" t="str">
        <f aca="false">IF(AND(C1868&lt;&gt;"",C1868=CERTIFICADO!$E$4,OR(CERTIFICADO!$E$5="",B1868=CERTIFICADO!$E$5)),MAX($Y$4:Y1867)+1,"")</f>
        <v/>
      </c>
    </row>
    <row r="1869" customFormat="false" ht="15" hidden="false" customHeight="false" outlineLevel="0" collapsed="false">
      <c r="A1869" s="11" t="str">
        <f aca="false">IF(C1869="","",ROW()-4)</f>
        <v/>
      </c>
      <c r="B1869" s="12"/>
      <c r="C1869" s="13"/>
      <c r="D1869" s="23" t="str">
        <f aca="false">IF(C1869="","",IFERROR(INDEX(LOTES!$D$5:$D$1004,MATCH(C1869,LOTES!$F$5:$F$1004,0)),"¿Lote?"))</f>
        <v/>
      </c>
      <c r="E1869" s="11" t="str">
        <f aca="false">IF(C1869="","",IFERROR(INDEX(LOTES!$C$5:$C$1004,MATCH(C1869,LOTES!$F$5:$F$1004,0)),""))</f>
        <v/>
      </c>
      <c r="F1869" s="24" t="str">
        <f aca="false">IF(C1869="","",IFERROR(INDEX(LOTES!$B$5:$B$1004,MATCH(C1869,LOTES!$F$5:$F$1004,0)),""))</f>
        <v/>
      </c>
      <c r="G1869" s="15" t="str">
        <f aca="false">IF(OR(B1869="",F1869=""),"",B1869-F1869)</f>
        <v/>
      </c>
      <c r="H1869" s="13"/>
      <c r="I1869" s="13"/>
      <c r="J1869" s="13"/>
      <c r="K1869" s="25"/>
      <c r="L1869" s="25"/>
      <c r="M1869" s="25"/>
      <c r="N1869" s="25"/>
      <c r="O1869" s="26"/>
      <c r="P1869" s="16" t="str">
        <f aca="false">IF(O1869="","",IFERROR(1/(1/(IF(K1869="",INDEX(CONFIG!$F$5:$F$14,MATCH(D1869,CONFIG!$D$5:$D$14,0)),K1869)*IF(M1869="",INDEX(CONFIG!$H$5:$H$14,MATCH(D1869,CONFIG!$D$5:$D$14,0)),M1869))),""))</f>
        <v/>
      </c>
      <c r="Q1869" s="16" t="str">
        <f aca="false">IF(OR(O1869="",P1869=""),"",O1869/P1869)</f>
        <v/>
      </c>
      <c r="R1869" s="16" t="str">
        <f aca="false">IF(Q1869="","",Q1869*0.0980665)</f>
        <v/>
      </c>
      <c r="S1869" s="16" t="str">
        <f aca="false">IF(Q1869="","",IFERROR(Q1869/(1/(1/INDEX(CONFIG!$I$5:$I$14,MATCH(D1869,CONFIG!$D$5:$D$14,0)))),""))</f>
        <v/>
      </c>
      <c r="T1869" s="13"/>
      <c r="U1869" s="13"/>
      <c r="V1869" s="13"/>
      <c r="W1869" s="13"/>
      <c r="X1869" s="22" t="str">
        <f aca="false">IF(Q1869="","",Q1869^2)</f>
        <v/>
      </c>
      <c r="Y1869" s="22" t="str">
        <f aca="false">IF(AND(C1869&lt;&gt;"",C1869=CERTIFICADO!$E$4,OR(CERTIFICADO!$E$5="",B1869=CERTIFICADO!$E$5)),MAX($Y$4:Y1868)+1,"")</f>
        <v/>
      </c>
    </row>
    <row r="1870" customFormat="false" ht="15" hidden="false" customHeight="false" outlineLevel="0" collapsed="false">
      <c r="A1870" s="11" t="str">
        <f aca="false">IF(C1870="","",ROW()-4)</f>
        <v/>
      </c>
      <c r="B1870" s="12"/>
      <c r="C1870" s="13"/>
      <c r="D1870" s="23" t="str">
        <f aca="false">IF(C1870="","",IFERROR(INDEX(LOTES!$D$5:$D$1004,MATCH(C1870,LOTES!$F$5:$F$1004,0)),"¿Lote?"))</f>
        <v/>
      </c>
      <c r="E1870" s="11" t="str">
        <f aca="false">IF(C1870="","",IFERROR(INDEX(LOTES!$C$5:$C$1004,MATCH(C1870,LOTES!$F$5:$F$1004,0)),""))</f>
        <v/>
      </c>
      <c r="F1870" s="24" t="str">
        <f aca="false">IF(C1870="","",IFERROR(INDEX(LOTES!$B$5:$B$1004,MATCH(C1870,LOTES!$F$5:$F$1004,0)),""))</f>
        <v/>
      </c>
      <c r="G1870" s="15" t="str">
        <f aca="false">IF(OR(B1870="",F1870=""),"",B1870-F1870)</f>
        <v/>
      </c>
      <c r="H1870" s="13"/>
      <c r="I1870" s="13"/>
      <c r="J1870" s="13"/>
      <c r="K1870" s="25"/>
      <c r="L1870" s="25"/>
      <c r="M1870" s="25"/>
      <c r="N1870" s="25"/>
      <c r="O1870" s="26"/>
      <c r="P1870" s="16" t="str">
        <f aca="false">IF(O1870="","",IFERROR(1/(1/(IF(K1870="",INDEX(CONFIG!$F$5:$F$14,MATCH(D1870,CONFIG!$D$5:$D$14,0)),K1870)*IF(M1870="",INDEX(CONFIG!$H$5:$H$14,MATCH(D1870,CONFIG!$D$5:$D$14,0)),M1870))),""))</f>
        <v/>
      </c>
      <c r="Q1870" s="16" t="str">
        <f aca="false">IF(OR(O1870="",P1870=""),"",O1870/P1870)</f>
        <v/>
      </c>
      <c r="R1870" s="16" t="str">
        <f aca="false">IF(Q1870="","",Q1870*0.0980665)</f>
        <v/>
      </c>
      <c r="S1870" s="16" t="str">
        <f aca="false">IF(Q1870="","",IFERROR(Q1870/(1/(1/INDEX(CONFIG!$I$5:$I$14,MATCH(D1870,CONFIG!$D$5:$D$14,0)))),""))</f>
        <v/>
      </c>
      <c r="T1870" s="13"/>
      <c r="U1870" s="13"/>
      <c r="V1870" s="13"/>
      <c r="W1870" s="13"/>
      <c r="X1870" s="22" t="str">
        <f aca="false">IF(Q1870="","",Q1870^2)</f>
        <v/>
      </c>
      <c r="Y1870" s="22" t="str">
        <f aca="false">IF(AND(C1870&lt;&gt;"",C1870=CERTIFICADO!$E$4,OR(CERTIFICADO!$E$5="",B1870=CERTIFICADO!$E$5)),MAX($Y$4:Y1869)+1,"")</f>
        <v/>
      </c>
    </row>
    <row r="1871" customFormat="false" ht="15" hidden="false" customHeight="false" outlineLevel="0" collapsed="false">
      <c r="A1871" s="11" t="str">
        <f aca="false">IF(C1871="","",ROW()-4)</f>
        <v/>
      </c>
      <c r="B1871" s="12"/>
      <c r="C1871" s="13"/>
      <c r="D1871" s="23" t="str">
        <f aca="false">IF(C1871="","",IFERROR(INDEX(LOTES!$D$5:$D$1004,MATCH(C1871,LOTES!$F$5:$F$1004,0)),"¿Lote?"))</f>
        <v/>
      </c>
      <c r="E1871" s="11" t="str">
        <f aca="false">IF(C1871="","",IFERROR(INDEX(LOTES!$C$5:$C$1004,MATCH(C1871,LOTES!$F$5:$F$1004,0)),""))</f>
        <v/>
      </c>
      <c r="F1871" s="24" t="str">
        <f aca="false">IF(C1871="","",IFERROR(INDEX(LOTES!$B$5:$B$1004,MATCH(C1871,LOTES!$F$5:$F$1004,0)),""))</f>
        <v/>
      </c>
      <c r="G1871" s="15" t="str">
        <f aca="false">IF(OR(B1871="",F1871=""),"",B1871-F1871)</f>
        <v/>
      </c>
      <c r="H1871" s="13"/>
      <c r="I1871" s="13"/>
      <c r="J1871" s="13"/>
      <c r="K1871" s="25"/>
      <c r="L1871" s="25"/>
      <c r="M1871" s="25"/>
      <c r="N1871" s="25"/>
      <c r="O1871" s="26"/>
      <c r="P1871" s="16" t="str">
        <f aca="false">IF(O1871="","",IFERROR(1/(1/(IF(K1871="",INDEX(CONFIG!$F$5:$F$14,MATCH(D1871,CONFIG!$D$5:$D$14,0)),K1871)*IF(M1871="",INDEX(CONFIG!$H$5:$H$14,MATCH(D1871,CONFIG!$D$5:$D$14,0)),M1871))),""))</f>
        <v/>
      </c>
      <c r="Q1871" s="16" t="str">
        <f aca="false">IF(OR(O1871="",P1871=""),"",O1871/P1871)</f>
        <v/>
      </c>
      <c r="R1871" s="16" t="str">
        <f aca="false">IF(Q1871="","",Q1871*0.0980665)</f>
        <v/>
      </c>
      <c r="S1871" s="16" t="str">
        <f aca="false">IF(Q1871="","",IFERROR(Q1871/(1/(1/INDEX(CONFIG!$I$5:$I$14,MATCH(D1871,CONFIG!$D$5:$D$14,0)))),""))</f>
        <v/>
      </c>
      <c r="T1871" s="13"/>
      <c r="U1871" s="13"/>
      <c r="V1871" s="13"/>
      <c r="W1871" s="13"/>
      <c r="X1871" s="22" t="str">
        <f aca="false">IF(Q1871="","",Q1871^2)</f>
        <v/>
      </c>
      <c r="Y1871" s="22" t="str">
        <f aca="false">IF(AND(C1871&lt;&gt;"",C1871=CERTIFICADO!$E$4,OR(CERTIFICADO!$E$5="",B1871=CERTIFICADO!$E$5)),MAX($Y$4:Y1870)+1,"")</f>
        <v/>
      </c>
    </row>
    <row r="1872" customFormat="false" ht="15" hidden="false" customHeight="false" outlineLevel="0" collapsed="false">
      <c r="A1872" s="11" t="str">
        <f aca="false">IF(C1872="","",ROW()-4)</f>
        <v/>
      </c>
      <c r="B1872" s="12"/>
      <c r="C1872" s="13"/>
      <c r="D1872" s="23" t="str">
        <f aca="false">IF(C1872="","",IFERROR(INDEX(LOTES!$D$5:$D$1004,MATCH(C1872,LOTES!$F$5:$F$1004,0)),"¿Lote?"))</f>
        <v/>
      </c>
      <c r="E1872" s="11" t="str">
        <f aca="false">IF(C1872="","",IFERROR(INDEX(LOTES!$C$5:$C$1004,MATCH(C1872,LOTES!$F$5:$F$1004,0)),""))</f>
        <v/>
      </c>
      <c r="F1872" s="24" t="str">
        <f aca="false">IF(C1872="","",IFERROR(INDEX(LOTES!$B$5:$B$1004,MATCH(C1872,LOTES!$F$5:$F$1004,0)),""))</f>
        <v/>
      </c>
      <c r="G1872" s="15" t="str">
        <f aca="false">IF(OR(B1872="",F1872=""),"",B1872-F1872)</f>
        <v/>
      </c>
      <c r="H1872" s="13"/>
      <c r="I1872" s="13"/>
      <c r="J1872" s="13"/>
      <c r="K1872" s="25"/>
      <c r="L1872" s="25"/>
      <c r="M1872" s="25"/>
      <c r="N1872" s="25"/>
      <c r="O1872" s="26"/>
      <c r="P1872" s="16" t="str">
        <f aca="false">IF(O1872="","",IFERROR(1/(1/(IF(K1872="",INDEX(CONFIG!$F$5:$F$14,MATCH(D1872,CONFIG!$D$5:$D$14,0)),K1872)*IF(M1872="",INDEX(CONFIG!$H$5:$H$14,MATCH(D1872,CONFIG!$D$5:$D$14,0)),M1872))),""))</f>
        <v/>
      </c>
      <c r="Q1872" s="16" t="str">
        <f aca="false">IF(OR(O1872="",P1872=""),"",O1872/P1872)</f>
        <v/>
      </c>
      <c r="R1872" s="16" t="str">
        <f aca="false">IF(Q1872="","",Q1872*0.0980665)</f>
        <v/>
      </c>
      <c r="S1872" s="16" t="str">
        <f aca="false">IF(Q1872="","",IFERROR(Q1872/(1/(1/INDEX(CONFIG!$I$5:$I$14,MATCH(D1872,CONFIG!$D$5:$D$14,0)))),""))</f>
        <v/>
      </c>
      <c r="T1872" s="13"/>
      <c r="U1872" s="13"/>
      <c r="V1872" s="13"/>
      <c r="W1872" s="13"/>
      <c r="X1872" s="22" t="str">
        <f aca="false">IF(Q1872="","",Q1872^2)</f>
        <v/>
      </c>
      <c r="Y1872" s="22" t="str">
        <f aca="false">IF(AND(C1872&lt;&gt;"",C1872=CERTIFICADO!$E$4,OR(CERTIFICADO!$E$5="",B1872=CERTIFICADO!$E$5)),MAX($Y$4:Y1871)+1,"")</f>
        <v/>
      </c>
    </row>
    <row r="1873" customFormat="false" ht="15" hidden="false" customHeight="false" outlineLevel="0" collapsed="false">
      <c r="A1873" s="11" t="str">
        <f aca="false">IF(C1873="","",ROW()-4)</f>
        <v/>
      </c>
      <c r="B1873" s="12"/>
      <c r="C1873" s="13"/>
      <c r="D1873" s="23" t="str">
        <f aca="false">IF(C1873="","",IFERROR(INDEX(LOTES!$D$5:$D$1004,MATCH(C1873,LOTES!$F$5:$F$1004,0)),"¿Lote?"))</f>
        <v/>
      </c>
      <c r="E1873" s="11" t="str">
        <f aca="false">IF(C1873="","",IFERROR(INDEX(LOTES!$C$5:$C$1004,MATCH(C1873,LOTES!$F$5:$F$1004,0)),""))</f>
        <v/>
      </c>
      <c r="F1873" s="24" t="str">
        <f aca="false">IF(C1873="","",IFERROR(INDEX(LOTES!$B$5:$B$1004,MATCH(C1873,LOTES!$F$5:$F$1004,0)),""))</f>
        <v/>
      </c>
      <c r="G1873" s="15" t="str">
        <f aca="false">IF(OR(B1873="",F1873=""),"",B1873-F1873)</f>
        <v/>
      </c>
      <c r="H1873" s="13"/>
      <c r="I1873" s="13"/>
      <c r="J1873" s="13"/>
      <c r="K1873" s="25"/>
      <c r="L1873" s="25"/>
      <c r="M1873" s="25"/>
      <c r="N1873" s="25"/>
      <c r="O1873" s="26"/>
      <c r="P1873" s="16" t="str">
        <f aca="false">IF(O1873="","",IFERROR(1/(1/(IF(K1873="",INDEX(CONFIG!$F$5:$F$14,MATCH(D1873,CONFIG!$D$5:$D$14,0)),K1873)*IF(M1873="",INDEX(CONFIG!$H$5:$H$14,MATCH(D1873,CONFIG!$D$5:$D$14,0)),M1873))),""))</f>
        <v/>
      </c>
      <c r="Q1873" s="16" t="str">
        <f aca="false">IF(OR(O1873="",P1873=""),"",O1873/P1873)</f>
        <v/>
      </c>
      <c r="R1873" s="16" t="str">
        <f aca="false">IF(Q1873="","",Q1873*0.0980665)</f>
        <v/>
      </c>
      <c r="S1873" s="16" t="str">
        <f aca="false">IF(Q1873="","",IFERROR(Q1873/(1/(1/INDEX(CONFIG!$I$5:$I$14,MATCH(D1873,CONFIG!$D$5:$D$14,0)))),""))</f>
        <v/>
      </c>
      <c r="T1873" s="13"/>
      <c r="U1873" s="13"/>
      <c r="V1873" s="13"/>
      <c r="W1873" s="13"/>
      <c r="X1873" s="22" t="str">
        <f aca="false">IF(Q1873="","",Q1873^2)</f>
        <v/>
      </c>
      <c r="Y1873" s="22" t="str">
        <f aca="false">IF(AND(C1873&lt;&gt;"",C1873=CERTIFICADO!$E$4,OR(CERTIFICADO!$E$5="",B1873=CERTIFICADO!$E$5)),MAX($Y$4:Y1872)+1,"")</f>
        <v/>
      </c>
    </row>
    <row r="1874" customFormat="false" ht="15" hidden="false" customHeight="false" outlineLevel="0" collapsed="false">
      <c r="A1874" s="11" t="str">
        <f aca="false">IF(C1874="","",ROW()-4)</f>
        <v/>
      </c>
      <c r="B1874" s="12"/>
      <c r="C1874" s="13"/>
      <c r="D1874" s="23" t="str">
        <f aca="false">IF(C1874="","",IFERROR(INDEX(LOTES!$D$5:$D$1004,MATCH(C1874,LOTES!$F$5:$F$1004,0)),"¿Lote?"))</f>
        <v/>
      </c>
      <c r="E1874" s="11" t="str">
        <f aca="false">IF(C1874="","",IFERROR(INDEX(LOTES!$C$5:$C$1004,MATCH(C1874,LOTES!$F$5:$F$1004,0)),""))</f>
        <v/>
      </c>
      <c r="F1874" s="24" t="str">
        <f aca="false">IF(C1874="","",IFERROR(INDEX(LOTES!$B$5:$B$1004,MATCH(C1874,LOTES!$F$5:$F$1004,0)),""))</f>
        <v/>
      </c>
      <c r="G1874" s="15" t="str">
        <f aca="false">IF(OR(B1874="",F1874=""),"",B1874-F1874)</f>
        <v/>
      </c>
      <c r="H1874" s="13"/>
      <c r="I1874" s="13"/>
      <c r="J1874" s="13"/>
      <c r="K1874" s="25"/>
      <c r="L1874" s="25"/>
      <c r="M1874" s="25"/>
      <c r="N1874" s="25"/>
      <c r="O1874" s="26"/>
      <c r="P1874" s="16" t="str">
        <f aca="false">IF(O1874="","",IFERROR(1/(1/(IF(K1874="",INDEX(CONFIG!$F$5:$F$14,MATCH(D1874,CONFIG!$D$5:$D$14,0)),K1874)*IF(M1874="",INDEX(CONFIG!$H$5:$H$14,MATCH(D1874,CONFIG!$D$5:$D$14,0)),M1874))),""))</f>
        <v/>
      </c>
      <c r="Q1874" s="16" t="str">
        <f aca="false">IF(OR(O1874="",P1874=""),"",O1874/P1874)</f>
        <v/>
      </c>
      <c r="R1874" s="16" t="str">
        <f aca="false">IF(Q1874="","",Q1874*0.0980665)</f>
        <v/>
      </c>
      <c r="S1874" s="16" t="str">
        <f aca="false">IF(Q1874="","",IFERROR(Q1874/(1/(1/INDEX(CONFIG!$I$5:$I$14,MATCH(D1874,CONFIG!$D$5:$D$14,0)))),""))</f>
        <v/>
      </c>
      <c r="T1874" s="13"/>
      <c r="U1874" s="13"/>
      <c r="V1874" s="13"/>
      <c r="W1874" s="13"/>
      <c r="X1874" s="22" t="str">
        <f aca="false">IF(Q1874="","",Q1874^2)</f>
        <v/>
      </c>
      <c r="Y1874" s="22" t="str">
        <f aca="false">IF(AND(C1874&lt;&gt;"",C1874=CERTIFICADO!$E$4,OR(CERTIFICADO!$E$5="",B1874=CERTIFICADO!$E$5)),MAX($Y$4:Y1873)+1,"")</f>
        <v/>
      </c>
    </row>
    <row r="1875" customFormat="false" ht="15" hidden="false" customHeight="false" outlineLevel="0" collapsed="false">
      <c r="A1875" s="11" t="str">
        <f aca="false">IF(C1875="","",ROW()-4)</f>
        <v/>
      </c>
      <c r="B1875" s="12"/>
      <c r="C1875" s="13"/>
      <c r="D1875" s="23" t="str">
        <f aca="false">IF(C1875="","",IFERROR(INDEX(LOTES!$D$5:$D$1004,MATCH(C1875,LOTES!$F$5:$F$1004,0)),"¿Lote?"))</f>
        <v/>
      </c>
      <c r="E1875" s="11" t="str">
        <f aca="false">IF(C1875="","",IFERROR(INDEX(LOTES!$C$5:$C$1004,MATCH(C1875,LOTES!$F$5:$F$1004,0)),""))</f>
        <v/>
      </c>
      <c r="F1875" s="24" t="str">
        <f aca="false">IF(C1875="","",IFERROR(INDEX(LOTES!$B$5:$B$1004,MATCH(C1875,LOTES!$F$5:$F$1004,0)),""))</f>
        <v/>
      </c>
      <c r="G1875" s="15" t="str">
        <f aca="false">IF(OR(B1875="",F1875=""),"",B1875-F1875)</f>
        <v/>
      </c>
      <c r="H1875" s="13"/>
      <c r="I1875" s="13"/>
      <c r="J1875" s="13"/>
      <c r="K1875" s="25"/>
      <c r="L1875" s="25"/>
      <c r="M1875" s="25"/>
      <c r="N1875" s="25"/>
      <c r="O1875" s="26"/>
      <c r="P1875" s="16" t="str">
        <f aca="false">IF(O1875="","",IFERROR(1/(1/(IF(K1875="",INDEX(CONFIG!$F$5:$F$14,MATCH(D1875,CONFIG!$D$5:$D$14,0)),K1875)*IF(M1875="",INDEX(CONFIG!$H$5:$H$14,MATCH(D1875,CONFIG!$D$5:$D$14,0)),M1875))),""))</f>
        <v/>
      </c>
      <c r="Q1875" s="16" t="str">
        <f aca="false">IF(OR(O1875="",P1875=""),"",O1875/P1875)</f>
        <v/>
      </c>
      <c r="R1875" s="16" t="str">
        <f aca="false">IF(Q1875="","",Q1875*0.0980665)</f>
        <v/>
      </c>
      <c r="S1875" s="16" t="str">
        <f aca="false">IF(Q1875="","",IFERROR(Q1875/(1/(1/INDEX(CONFIG!$I$5:$I$14,MATCH(D1875,CONFIG!$D$5:$D$14,0)))),""))</f>
        <v/>
      </c>
      <c r="T1875" s="13"/>
      <c r="U1875" s="13"/>
      <c r="V1875" s="13"/>
      <c r="W1875" s="13"/>
      <c r="X1875" s="22" t="str">
        <f aca="false">IF(Q1875="","",Q1875^2)</f>
        <v/>
      </c>
      <c r="Y1875" s="22" t="str">
        <f aca="false">IF(AND(C1875&lt;&gt;"",C1875=CERTIFICADO!$E$4,OR(CERTIFICADO!$E$5="",B1875=CERTIFICADO!$E$5)),MAX($Y$4:Y1874)+1,"")</f>
        <v/>
      </c>
    </row>
    <row r="1876" customFormat="false" ht="15" hidden="false" customHeight="false" outlineLevel="0" collapsed="false">
      <c r="A1876" s="11" t="str">
        <f aca="false">IF(C1876="","",ROW()-4)</f>
        <v/>
      </c>
      <c r="B1876" s="12"/>
      <c r="C1876" s="13"/>
      <c r="D1876" s="23" t="str">
        <f aca="false">IF(C1876="","",IFERROR(INDEX(LOTES!$D$5:$D$1004,MATCH(C1876,LOTES!$F$5:$F$1004,0)),"¿Lote?"))</f>
        <v/>
      </c>
      <c r="E1876" s="11" t="str">
        <f aca="false">IF(C1876="","",IFERROR(INDEX(LOTES!$C$5:$C$1004,MATCH(C1876,LOTES!$F$5:$F$1004,0)),""))</f>
        <v/>
      </c>
      <c r="F1876" s="24" t="str">
        <f aca="false">IF(C1876="","",IFERROR(INDEX(LOTES!$B$5:$B$1004,MATCH(C1876,LOTES!$F$5:$F$1004,0)),""))</f>
        <v/>
      </c>
      <c r="G1876" s="15" t="str">
        <f aca="false">IF(OR(B1876="",F1876=""),"",B1876-F1876)</f>
        <v/>
      </c>
      <c r="H1876" s="13"/>
      <c r="I1876" s="13"/>
      <c r="J1876" s="13"/>
      <c r="K1876" s="25"/>
      <c r="L1876" s="25"/>
      <c r="M1876" s="25"/>
      <c r="N1876" s="25"/>
      <c r="O1876" s="26"/>
      <c r="P1876" s="16" t="str">
        <f aca="false">IF(O1876="","",IFERROR(1/(1/(IF(K1876="",INDEX(CONFIG!$F$5:$F$14,MATCH(D1876,CONFIG!$D$5:$D$14,0)),K1876)*IF(M1876="",INDEX(CONFIG!$H$5:$H$14,MATCH(D1876,CONFIG!$D$5:$D$14,0)),M1876))),""))</f>
        <v/>
      </c>
      <c r="Q1876" s="16" t="str">
        <f aca="false">IF(OR(O1876="",P1876=""),"",O1876/P1876)</f>
        <v/>
      </c>
      <c r="R1876" s="16" t="str">
        <f aca="false">IF(Q1876="","",Q1876*0.0980665)</f>
        <v/>
      </c>
      <c r="S1876" s="16" t="str">
        <f aca="false">IF(Q1876="","",IFERROR(Q1876/(1/(1/INDEX(CONFIG!$I$5:$I$14,MATCH(D1876,CONFIG!$D$5:$D$14,0)))),""))</f>
        <v/>
      </c>
      <c r="T1876" s="13"/>
      <c r="U1876" s="13"/>
      <c r="V1876" s="13"/>
      <c r="W1876" s="13"/>
      <c r="X1876" s="22" t="str">
        <f aca="false">IF(Q1876="","",Q1876^2)</f>
        <v/>
      </c>
      <c r="Y1876" s="22" t="str">
        <f aca="false">IF(AND(C1876&lt;&gt;"",C1876=CERTIFICADO!$E$4,OR(CERTIFICADO!$E$5="",B1876=CERTIFICADO!$E$5)),MAX($Y$4:Y1875)+1,"")</f>
        <v/>
      </c>
    </row>
    <row r="1877" customFormat="false" ht="15" hidden="false" customHeight="false" outlineLevel="0" collapsed="false">
      <c r="A1877" s="11" t="str">
        <f aca="false">IF(C1877="","",ROW()-4)</f>
        <v/>
      </c>
      <c r="B1877" s="12"/>
      <c r="C1877" s="13"/>
      <c r="D1877" s="23" t="str">
        <f aca="false">IF(C1877="","",IFERROR(INDEX(LOTES!$D$5:$D$1004,MATCH(C1877,LOTES!$F$5:$F$1004,0)),"¿Lote?"))</f>
        <v/>
      </c>
      <c r="E1877" s="11" t="str">
        <f aca="false">IF(C1877="","",IFERROR(INDEX(LOTES!$C$5:$C$1004,MATCH(C1877,LOTES!$F$5:$F$1004,0)),""))</f>
        <v/>
      </c>
      <c r="F1877" s="24" t="str">
        <f aca="false">IF(C1877="","",IFERROR(INDEX(LOTES!$B$5:$B$1004,MATCH(C1877,LOTES!$F$5:$F$1004,0)),""))</f>
        <v/>
      </c>
      <c r="G1877" s="15" t="str">
        <f aca="false">IF(OR(B1877="",F1877=""),"",B1877-F1877)</f>
        <v/>
      </c>
      <c r="H1877" s="13"/>
      <c r="I1877" s="13"/>
      <c r="J1877" s="13"/>
      <c r="K1877" s="25"/>
      <c r="L1877" s="25"/>
      <c r="M1877" s="25"/>
      <c r="N1877" s="25"/>
      <c r="O1877" s="26"/>
      <c r="P1877" s="16" t="str">
        <f aca="false">IF(O1877="","",IFERROR(1/(1/(IF(K1877="",INDEX(CONFIG!$F$5:$F$14,MATCH(D1877,CONFIG!$D$5:$D$14,0)),K1877)*IF(M1877="",INDEX(CONFIG!$H$5:$H$14,MATCH(D1877,CONFIG!$D$5:$D$14,0)),M1877))),""))</f>
        <v/>
      </c>
      <c r="Q1877" s="16" t="str">
        <f aca="false">IF(OR(O1877="",P1877=""),"",O1877/P1877)</f>
        <v/>
      </c>
      <c r="R1877" s="16" t="str">
        <f aca="false">IF(Q1877="","",Q1877*0.0980665)</f>
        <v/>
      </c>
      <c r="S1877" s="16" t="str">
        <f aca="false">IF(Q1877="","",IFERROR(Q1877/(1/(1/INDEX(CONFIG!$I$5:$I$14,MATCH(D1877,CONFIG!$D$5:$D$14,0)))),""))</f>
        <v/>
      </c>
      <c r="T1877" s="13"/>
      <c r="U1877" s="13"/>
      <c r="V1877" s="13"/>
      <c r="W1877" s="13"/>
      <c r="X1877" s="22" t="str">
        <f aca="false">IF(Q1877="","",Q1877^2)</f>
        <v/>
      </c>
      <c r="Y1877" s="22" t="str">
        <f aca="false">IF(AND(C1877&lt;&gt;"",C1877=CERTIFICADO!$E$4,OR(CERTIFICADO!$E$5="",B1877=CERTIFICADO!$E$5)),MAX($Y$4:Y1876)+1,"")</f>
        <v/>
      </c>
    </row>
    <row r="1878" customFormat="false" ht="15" hidden="false" customHeight="false" outlineLevel="0" collapsed="false">
      <c r="A1878" s="11" t="str">
        <f aca="false">IF(C1878="","",ROW()-4)</f>
        <v/>
      </c>
      <c r="B1878" s="12"/>
      <c r="C1878" s="13"/>
      <c r="D1878" s="23" t="str">
        <f aca="false">IF(C1878="","",IFERROR(INDEX(LOTES!$D$5:$D$1004,MATCH(C1878,LOTES!$F$5:$F$1004,0)),"¿Lote?"))</f>
        <v/>
      </c>
      <c r="E1878" s="11" t="str">
        <f aca="false">IF(C1878="","",IFERROR(INDEX(LOTES!$C$5:$C$1004,MATCH(C1878,LOTES!$F$5:$F$1004,0)),""))</f>
        <v/>
      </c>
      <c r="F1878" s="24" t="str">
        <f aca="false">IF(C1878="","",IFERROR(INDEX(LOTES!$B$5:$B$1004,MATCH(C1878,LOTES!$F$5:$F$1004,0)),""))</f>
        <v/>
      </c>
      <c r="G1878" s="15" t="str">
        <f aca="false">IF(OR(B1878="",F1878=""),"",B1878-F1878)</f>
        <v/>
      </c>
      <c r="H1878" s="13"/>
      <c r="I1878" s="13"/>
      <c r="J1878" s="13"/>
      <c r="K1878" s="25"/>
      <c r="L1878" s="25"/>
      <c r="M1878" s="25"/>
      <c r="N1878" s="25"/>
      <c r="O1878" s="26"/>
      <c r="P1878" s="16" t="str">
        <f aca="false">IF(O1878="","",IFERROR(1/(1/(IF(K1878="",INDEX(CONFIG!$F$5:$F$14,MATCH(D1878,CONFIG!$D$5:$D$14,0)),K1878)*IF(M1878="",INDEX(CONFIG!$H$5:$H$14,MATCH(D1878,CONFIG!$D$5:$D$14,0)),M1878))),""))</f>
        <v/>
      </c>
      <c r="Q1878" s="16" t="str">
        <f aca="false">IF(OR(O1878="",P1878=""),"",O1878/P1878)</f>
        <v/>
      </c>
      <c r="R1878" s="16" t="str">
        <f aca="false">IF(Q1878="","",Q1878*0.0980665)</f>
        <v/>
      </c>
      <c r="S1878" s="16" t="str">
        <f aca="false">IF(Q1878="","",IFERROR(Q1878/(1/(1/INDEX(CONFIG!$I$5:$I$14,MATCH(D1878,CONFIG!$D$5:$D$14,0)))),""))</f>
        <v/>
      </c>
      <c r="T1878" s="13"/>
      <c r="U1878" s="13"/>
      <c r="V1878" s="13"/>
      <c r="W1878" s="13"/>
      <c r="X1878" s="22" t="str">
        <f aca="false">IF(Q1878="","",Q1878^2)</f>
        <v/>
      </c>
      <c r="Y1878" s="22" t="str">
        <f aca="false">IF(AND(C1878&lt;&gt;"",C1878=CERTIFICADO!$E$4,OR(CERTIFICADO!$E$5="",B1878=CERTIFICADO!$E$5)),MAX($Y$4:Y1877)+1,"")</f>
        <v/>
      </c>
    </row>
    <row r="1879" customFormat="false" ht="15" hidden="false" customHeight="false" outlineLevel="0" collapsed="false">
      <c r="A1879" s="11" t="str">
        <f aca="false">IF(C1879="","",ROW()-4)</f>
        <v/>
      </c>
      <c r="B1879" s="12"/>
      <c r="C1879" s="13"/>
      <c r="D1879" s="23" t="str">
        <f aca="false">IF(C1879="","",IFERROR(INDEX(LOTES!$D$5:$D$1004,MATCH(C1879,LOTES!$F$5:$F$1004,0)),"¿Lote?"))</f>
        <v/>
      </c>
      <c r="E1879" s="11" t="str">
        <f aca="false">IF(C1879="","",IFERROR(INDEX(LOTES!$C$5:$C$1004,MATCH(C1879,LOTES!$F$5:$F$1004,0)),""))</f>
        <v/>
      </c>
      <c r="F1879" s="24" t="str">
        <f aca="false">IF(C1879="","",IFERROR(INDEX(LOTES!$B$5:$B$1004,MATCH(C1879,LOTES!$F$5:$F$1004,0)),""))</f>
        <v/>
      </c>
      <c r="G1879" s="15" t="str">
        <f aca="false">IF(OR(B1879="",F1879=""),"",B1879-F1879)</f>
        <v/>
      </c>
      <c r="H1879" s="13"/>
      <c r="I1879" s="13"/>
      <c r="J1879" s="13"/>
      <c r="K1879" s="25"/>
      <c r="L1879" s="25"/>
      <c r="M1879" s="25"/>
      <c r="N1879" s="25"/>
      <c r="O1879" s="26"/>
      <c r="P1879" s="16" t="str">
        <f aca="false">IF(O1879="","",IFERROR(1/(1/(IF(K1879="",INDEX(CONFIG!$F$5:$F$14,MATCH(D1879,CONFIG!$D$5:$D$14,0)),K1879)*IF(M1879="",INDEX(CONFIG!$H$5:$H$14,MATCH(D1879,CONFIG!$D$5:$D$14,0)),M1879))),""))</f>
        <v/>
      </c>
      <c r="Q1879" s="16" t="str">
        <f aca="false">IF(OR(O1879="",P1879=""),"",O1879/P1879)</f>
        <v/>
      </c>
      <c r="R1879" s="16" t="str">
        <f aca="false">IF(Q1879="","",Q1879*0.0980665)</f>
        <v/>
      </c>
      <c r="S1879" s="16" t="str">
        <f aca="false">IF(Q1879="","",IFERROR(Q1879/(1/(1/INDEX(CONFIG!$I$5:$I$14,MATCH(D1879,CONFIG!$D$5:$D$14,0)))),""))</f>
        <v/>
      </c>
      <c r="T1879" s="13"/>
      <c r="U1879" s="13"/>
      <c r="V1879" s="13"/>
      <c r="W1879" s="13"/>
      <c r="X1879" s="22" t="str">
        <f aca="false">IF(Q1879="","",Q1879^2)</f>
        <v/>
      </c>
      <c r="Y1879" s="22" t="str">
        <f aca="false">IF(AND(C1879&lt;&gt;"",C1879=CERTIFICADO!$E$4,OR(CERTIFICADO!$E$5="",B1879=CERTIFICADO!$E$5)),MAX($Y$4:Y1878)+1,"")</f>
        <v/>
      </c>
    </row>
    <row r="1880" customFormat="false" ht="15" hidden="false" customHeight="false" outlineLevel="0" collapsed="false">
      <c r="A1880" s="11" t="str">
        <f aca="false">IF(C1880="","",ROW()-4)</f>
        <v/>
      </c>
      <c r="B1880" s="12"/>
      <c r="C1880" s="13"/>
      <c r="D1880" s="23" t="str">
        <f aca="false">IF(C1880="","",IFERROR(INDEX(LOTES!$D$5:$D$1004,MATCH(C1880,LOTES!$F$5:$F$1004,0)),"¿Lote?"))</f>
        <v/>
      </c>
      <c r="E1880" s="11" t="str">
        <f aca="false">IF(C1880="","",IFERROR(INDEX(LOTES!$C$5:$C$1004,MATCH(C1880,LOTES!$F$5:$F$1004,0)),""))</f>
        <v/>
      </c>
      <c r="F1880" s="24" t="str">
        <f aca="false">IF(C1880="","",IFERROR(INDEX(LOTES!$B$5:$B$1004,MATCH(C1880,LOTES!$F$5:$F$1004,0)),""))</f>
        <v/>
      </c>
      <c r="G1880" s="15" t="str">
        <f aca="false">IF(OR(B1880="",F1880=""),"",B1880-F1880)</f>
        <v/>
      </c>
      <c r="H1880" s="13"/>
      <c r="I1880" s="13"/>
      <c r="J1880" s="13"/>
      <c r="K1880" s="25"/>
      <c r="L1880" s="25"/>
      <c r="M1880" s="25"/>
      <c r="N1880" s="25"/>
      <c r="O1880" s="26"/>
      <c r="P1880" s="16" t="str">
        <f aca="false">IF(O1880="","",IFERROR(1/(1/(IF(K1880="",INDEX(CONFIG!$F$5:$F$14,MATCH(D1880,CONFIG!$D$5:$D$14,0)),K1880)*IF(M1880="",INDEX(CONFIG!$H$5:$H$14,MATCH(D1880,CONFIG!$D$5:$D$14,0)),M1880))),""))</f>
        <v/>
      </c>
      <c r="Q1880" s="16" t="str">
        <f aca="false">IF(OR(O1880="",P1880=""),"",O1880/P1880)</f>
        <v/>
      </c>
      <c r="R1880" s="16" t="str">
        <f aca="false">IF(Q1880="","",Q1880*0.0980665)</f>
        <v/>
      </c>
      <c r="S1880" s="16" t="str">
        <f aca="false">IF(Q1880="","",IFERROR(Q1880/(1/(1/INDEX(CONFIG!$I$5:$I$14,MATCH(D1880,CONFIG!$D$5:$D$14,0)))),""))</f>
        <v/>
      </c>
      <c r="T1880" s="13"/>
      <c r="U1880" s="13"/>
      <c r="V1880" s="13"/>
      <c r="W1880" s="13"/>
      <c r="X1880" s="22" t="str">
        <f aca="false">IF(Q1880="","",Q1880^2)</f>
        <v/>
      </c>
      <c r="Y1880" s="22" t="str">
        <f aca="false">IF(AND(C1880&lt;&gt;"",C1880=CERTIFICADO!$E$4,OR(CERTIFICADO!$E$5="",B1880=CERTIFICADO!$E$5)),MAX($Y$4:Y1879)+1,"")</f>
        <v/>
      </c>
    </row>
    <row r="1881" customFormat="false" ht="15" hidden="false" customHeight="false" outlineLevel="0" collapsed="false">
      <c r="A1881" s="11" t="str">
        <f aca="false">IF(C1881="","",ROW()-4)</f>
        <v/>
      </c>
      <c r="B1881" s="12"/>
      <c r="C1881" s="13"/>
      <c r="D1881" s="23" t="str">
        <f aca="false">IF(C1881="","",IFERROR(INDEX(LOTES!$D$5:$D$1004,MATCH(C1881,LOTES!$F$5:$F$1004,0)),"¿Lote?"))</f>
        <v/>
      </c>
      <c r="E1881" s="11" t="str">
        <f aca="false">IF(C1881="","",IFERROR(INDEX(LOTES!$C$5:$C$1004,MATCH(C1881,LOTES!$F$5:$F$1004,0)),""))</f>
        <v/>
      </c>
      <c r="F1881" s="24" t="str">
        <f aca="false">IF(C1881="","",IFERROR(INDEX(LOTES!$B$5:$B$1004,MATCH(C1881,LOTES!$F$5:$F$1004,0)),""))</f>
        <v/>
      </c>
      <c r="G1881" s="15" t="str">
        <f aca="false">IF(OR(B1881="",F1881=""),"",B1881-F1881)</f>
        <v/>
      </c>
      <c r="H1881" s="13"/>
      <c r="I1881" s="13"/>
      <c r="J1881" s="13"/>
      <c r="K1881" s="25"/>
      <c r="L1881" s="25"/>
      <c r="M1881" s="25"/>
      <c r="N1881" s="25"/>
      <c r="O1881" s="26"/>
      <c r="P1881" s="16" t="str">
        <f aca="false">IF(O1881="","",IFERROR(1/(1/(IF(K1881="",INDEX(CONFIG!$F$5:$F$14,MATCH(D1881,CONFIG!$D$5:$D$14,0)),K1881)*IF(M1881="",INDEX(CONFIG!$H$5:$H$14,MATCH(D1881,CONFIG!$D$5:$D$14,0)),M1881))),""))</f>
        <v/>
      </c>
      <c r="Q1881" s="16" t="str">
        <f aca="false">IF(OR(O1881="",P1881=""),"",O1881/P1881)</f>
        <v/>
      </c>
      <c r="R1881" s="16" t="str">
        <f aca="false">IF(Q1881="","",Q1881*0.0980665)</f>
        <v/>
      </c>
      <c r="S1881" s="16" t="str">
        <f aca="false">IF(Q1881="","",IFERROR(Q1881/(1/(1/INDEX(CONFIG!$I$5:$I$14,MATCH(D1881,CONFIG!$D$5:$D$14,0)))),""))</f>
        <v/>
      </c>
      <c r="T1881" s="13"/>
      <c r="U1881" s="13"/>
      <c r="V1881" s="13"/>
      <c r="W1881" s="13"/>
      <c r="X1881" s="22" t="str">
        <f aca="false">IF(Q1881="","",Q1881^2)</f>
        <v/>
      </c>
      <c r="Y1881" s="22" t="str">
        <f aca="false">IF(AND(C1881&lt;&gt;"",C1881=CERTIFICADO!$E$4,OR(CERTIFICADO!$E$5="",B1881=CERTIFICADO!$E$5)),MAX($Y$4:Y1880)+1,"")</f>
        <v/>
      </c>
    </row>
    <row r="1882" customFormat="false" ht="15" hidden="false" customHeight="false" outlineLevel="0" collapsed="false">
      <c r="A1882" s="11" t="str">
        <f aca="false">IF(C1882="","",ROW()-4)</f>
        <v/>
      </c>
      <c r="B1882" s="12"/>
      <c r="C1882" s="13"/>
      <c r="D1882" s="23" t="str">
        <f aca="false">IF(C1882="","",IFERROR(INDEX(LOTES!$D$5:$D$1004,MATCH(C1882,LOTES!$F$5:$F$1004,0)),"¿Lote?"))</f>
        <v/>
      </c>
      <c r="E1882" s="11" t="str">
        <f aca="false">IF(C1882="","",IFERROR(INDEX(LOTES!$C$5:$C$1004,MATCH(C1882,LOTES!$F$5:$F$1004,0)),""))</f>
        <v/>
      </c>
      <c r="F1882" s="24" t="str">
        <f aca="false">IF(C1882="","",IFERROR(INDEX(LOTES!$B$5:$B$1004,MATCH(C1882,LOTES!$F$5:$F$1004,0)),""))</f>
        <v/>
      </c>
      <c r="G1882" s="15" t="str">
        <f aca="false">IF(OR(B1882="",F1882=""),"",B1882-F1882)</f>
        <v/>
      </c>
      <c r="H1882" s="13"/>
      <c r="I1882" s="13"/>
      <c r="J1882" s="13"/>
      <c r="K1882" s="25"/>
      <c r="L1882" s="25"/>
      <c r="M1882" s="25"/>
      <c r="N1882" s="25"/>
      <c r="O1882" s="26"/>
      <c r="P1882" s="16" t="str">
        <f aca="false">IF(O1882="","",IFERROR(1/(1/(IF(K1882="",INDEX(CONFIG!$F$5:$F$14,MATCH(D1882,CONFIG!$D$5:$D$14,0)),K1882)*IF(M1882="",INDEX(CONFIG!$H$5:$H$14,MATCH(D1882,CONFIG!$D$5:$D$14,0)),M1882))),""))</f>
        <v/>
      </c>
      <c r="Q1882" s="16" t="str">
        <f aca="false">IF(OR(O1882="",P1882=""),"",O1882/P1882)</f>
        <v/>
      </c>
      <c r="R1882" s="16" t="str">
        <f aca="false">IF(Q1882="","",Q1882*0.0980665)</f>
        <v/>
      </c>
      <c r="S1882" s="16" t="str">
        <f aca="false">IF(Q1882="","",IFERROR(Q1882/(1/(1/INDEX(CONFIG!$I$5:$I$14,MATCH(D1882,CONFIG!$D$5:$D$14,0)))),""))</f>
        <v/>
      </c>
      <c r="T1882" s="13"/>
      <c r="U1882" s="13"/>
      <c r="V1882" s="13"/>
      <c r="W1882" s="13"/>
      <c r="X1882" s="22" t="str">
        <f aca="false">IF(Q1882="","",Q1882^2)</f>
        <v/>
      </c>
      <c r="Y1882" s="22" t="str">
        <f aca="false">IF(AND(C1882&lt;&gt;"",C1882=CERTIFICADO!$E$4,OR(CERTIFICADO!$E$5="",B1882=CERTIFICADO!$E$5)),MAX($Y$4:Y1881)+1,"")</f>
        <v/>
      </c>
    </row>
    <row r="1883" customFormat="false" ht="15" hidden="false" customHeight="false" outlineLevel="0" collapsed="false">
      <c r="A1883" s="11" t="str">
        <f aca="false">IF(C1883="","",ROW()-4)</f>
        <v/>
      </c>
      <c r="B1883" s="12"/>
      <c r="C1883" s="13"/>
      <c r="D1883" s="23" t="str">
        <f aca="false">IF(C1883="","",IFERROR(INDEX(LOTES!$D$5:$D$1004,MATCH(C1883,LOTES!$F$5:$F$1004,0)),"¿Lote?"))</f>
        <v/>
      </c>
      <c r="E1883" s="11" t="str">
        <f aca="false">IF(C1883="","",IFERROR(INDEX(LOTES!$C$5:$C$1004,MATCH(C1883,LOTES!$F$5:$F$1004,0)),""))</f>
        <v/>
      </c>
      <c r="F1883" s="24" t="str">
        <f aca="false">IF(C1883="","",IFERROR(INDEX(LOTES!$B$5:$B$1004,MATCH(C1883,LOTES!$F$5:$F$1004,0)),""))</f>
        <v/>
      </c>
      <c r="G1883" s="15" t="str">
        <f aca="false">IF(OR(B1883="",F1883=""),"",B1883-F1883)</f>
        <v/>
      </c>
      <c r="H1883" s="13"/>
      <c r="I1883" s="13"/>
      <c r="J1883" s="13"/>
      <c r="K1883" s="25"/>
      <c r="L1883" s="25"/>
      <c r="M1883" s="25"/>
      <c r="N1883" s="25"/>
      <c r="O1883" s="26"/>
      <c r="P1883" s="16" t="str">
        <f aca="false">IF(O1883="","",IFERROR(1/(1/(IF(K1883="",INDEX(CONFIG!$F$5:$F$14,MATCH(D1883,CONFIG!$D$5:$D$14,0)),K1883)*IF(M1883="",INDEX(CONFIG!$H$5:$H$14,MATCH(D1883,CONFIG!$D$5:$D$14,0)),M1883))),""))</f>
        <v/>
      </c>
      <c r="Q1883" s="16" t="str">
        <f aca="false">IF(OR(O1883="",P1883=""),"",O1883/P1883)</f>
        <v/>
      </c>
      <c r="R1883" s="16" t="str">
        <f aca="false">IF(Q1883="","",Q1883*0.0980665)</f>
        <v/>
      </c>
      <c r="S1883" s="16" t="str">
        <f aca="false">IF(Q1883="","",IFERROR(Q1883/(1/(1/INDEX(CONFIG!$I$5:$I$14,MATCH(D1883,CONFIG!$D$5:$D$14,0)))),""))</f>
        <v/>
      </c>
      <c r="T1883" s="13"/>
      <c r="U1883" s="13"/>
      <c r="V1883" s="13"/>
      <c r="W1883" s="13"/>
      <c r="X1883" s="22" t="str">
        <f aca="false">IF(Q1883="","",Q1883^2)</f>
        <v/>
      </c>
      <c r="Y1883" s="22" t="str">
        <f aca="false">IF(AND(C1883&lt;&gt;"",C1883=CERTIFICADO!$E$4,OR(CERTIFICADO!$E$5="",B1883=CERTIFICADO!$E$5)),MAX($Y$4:Y1882)+1,"")</f>
        <v/>
      </c>
    </row>
    <row r="1884" customFormat="false" ht="15" hidden="false" customHeight="false" outlineLevel="0" collapsed="false">
      <c r="A1884" s="11" t="str">
        <f aca="false">IF(C1884="","",ROW()-4)</f>
        <v/>
      </c>
      <c r="B1884" s="12"/>
      <c r="C1884" s="13"/>
      <c r="D1884" s="23" t="str">
        <f aca="false">IF(C1884="","",IFERROR(INDEX(LOTES!$D$5:$D$1004,MATCH(C1884,LOTES!$F$5:$F$1004,0)),"¿Lote?"))</f>
        <v/>
      </c>
      <c r="E1884" s="11" t="str">
        <f aca="false">IF(C1884="","",IFERROR(INDEX(LOTES!$C$5:$C$1004,MATCH(C1884,LOTES!$F$5:$F$1004,0)),""))</f>
        <v/>
      </c>
      <c r="F1884" s="24" t="str">
        <f aca="false">IF(C1884="","",IFERROR(INDEX(LOTES!$B$5:$B$1004,MATCH(C1884,LOTES!$F$5:$F$1004,0)),""))</f>
        <v/>
      </c>
      <c r="G1884" s="15" t="str">
        <f aca="false">IF(OR(B1884="",F1884=""),"",B1884-F1884)</f>
        <v/>
      </c>
      <c r="H1884" s="13"/>
      <c r="I1884" s="13"/>
      <c r="J1884" s="13"/>
      <c r="K1884" s="25"/>
      <c r="L1884" s="25"/>
      <c r="M1884" s="25"/>
      <c r="N1884" s="25"/>
      <c r="O1884" s="26"/>
      <c r="P1884" s="16" t="str">
        <f aca="false">IF(O1884="","",IFERROR(1/(1/(IF(K1884="",INDEX(CONFIG!$F$5:$F$14,MATCH(D1884,CONFIG!$D$5:$D$14,0)),K1884)*IF(M1884="",INDEX(CONFIG!$H$5:$H$14,MATCH(D1884,CONFIG!$D$5:$D$14,0)),M1884))),""))</f>
        <v/>
      </c>
      <c r="Q1884" s="16" t="str">
        <f aca="false">IF(OR(O1884="",P1884=""),"",O1884/P1884)</f>
        <v/>
      </c>
      <c r="R1884" s="16" t="str">
        <f aca="false">IF(Q1884="","",Q1884*0.0980665)</f>
        <v/>
      </c>
      <c r="S1884" s="16" t="str">
        <f aca="false">IF(Q1884="","",IFERROR(Q1884/(1/(1/INDEX(CONFIG!$I$5:$I$14,MATCH(D1884,CONFIG!$D$5:$D$14,0)))),""))</f>
        <v/>
      </c>
      <c r="T1884" s="13"/>
      <c r="U1884" s="13"/>
      <c r="V1884" s="13"/>
      <c r="W1884" s="13"/>
      <c r="X1884" s="22" t="str">
        <f aca="false">IF(Q1884="","",Q1884^2)</f>
        <v/>
      </c>
      <c r="Y1884" s="22" t="str">
        <f aca="false">IF(AND(C1884&lt;&gt;"",C1884=CERTIFICADO!$E$4,OR(CERTIFICADO!$E$5="",B1884=CERTIFICADO!$E$5)),MAX($Y$4:Y1883)+1,"")</f>
        <v/>
      </c>
    </row>
    <row r="1885" customFormat="false" ht="15" hidden="false" customHeight="false" outlineLevel="0" collapsed="false">
      <c r="A1885" s="11" t="str">
        <f aca="false">IF(C1885="","",ROW()-4)</f>
        <v/>
      </c>
      <c r="B1885" s="12"/>
      <c r="C1885" s="13"/>
      <c r="D1885" s="23" t="str">
        <f aca="false">IF(C1885="","",IFERROR(INDEX(LOTES!$D$5:$D$1004,MATCH(C1885,LOTES!$F$5:$F$1004,0)),"¿Lote?"))</f>
        <v/>
      </c>
      <c r="E1885" s="11" t="str">
        <f aca="false">IF(C1885="","",IFERROR(INDEX(LOTES!$C$5:$C$1004,MATCH(C1885,LOTES!$F$5:$F$1004,0)),""))</f>
        <v/>
      </c>
      <c r="F1885" s="24" t="str">
        <f aca="false">IF(C1885="","",IFERROR(INDEX(LOTES!$B$5:$B$1004,MATCH(C1885,LOTES!$F$5:$F$1004,0)),""))</f>
        <v/>
      </c>
      <c r="G1885" s="15" t="str">
        <f aca="false">IF(OR(B1885="",F1885=""),"",B1885-F1885)</f>
        <v/>
      </c>
      <c r="H1885" s="13"/>
      <c r="I1885" s="13"/>
      <c r="J1885" s="13"/>
      <c r="K1885" s="25"/>
      <c r="L1885" s="25"/>
      <c r="M1885" s="25"/>
      <c r="N1885" s="25"/>
      <c r="O1885" s="26"/>
      <c r="P1885" s="16" t="str">
        <f aca="false">IF(O1885="","",IFERROR(1/(1/(IF(K1885="",INDEX(CONFIG!$F$5:$F$14,MATCH(D1885,CONFIG!$D$5:$D$14,0)),K1885)*IF(M1885="",INDEX(CONFIG!$H$5:$H$14,MATCH(D1885,CONFIG!$D$5:$D$14,0)),M1885))),""))</f>
        <v/>
      </c>
      <c r="Q1885" s="16" t="str">
        <f aca="false">IF(OR(O1885="",P1885=""),"",O1885/P1885)</f>
        <v/>
      </c>
      <c r="R1885" s="16" t="str">
        <f aca="false">IF(Q1885="","",Q1885*0.0980665)</f>
        <v/>
      </c>
      <c r="S1885" s="16" t="str">
        <f aca="false">IF(Q1885="","",IFERROR(Q1885/(1/(1/INDEX(CONFIG!$I$5:$I$14,MATCH(D1885,CONFIG!$D$5:$D$14,0)))),""))</f>
        <v/>
      </c>
      <c r="T1885" s="13"/>
      <c r="U1885" s="13"/>
      <c r="V1885" s="13"/>
      <c r="W1885" s="13"/>
      <c r="X1885" s="22" t="str">
        <f aca="false">IF(Q1885="","",Q1885^2)</f>
        <v/>
      </c>
      <c r="Y1885" s="22" t="str">
        <f aca="false">IF(AND(C1885&lt;&gt;"",C1885=CERTIFICADO!$E$4,OR(CERTIFICADO!$E$5="",B1885=CERTIFICADO!$E$5)),MAX($Y$4:Y1884)+1,"")</f>
        <v/>
      </c>
    </row>
    <row r="1886" customFormat="false" ht="15" hidden="false" customHeight="false" outlineLevel="0" collapsed="false">
      <c r="A1886" s="11" t="str">
        <f aca="false">IF(C1886="","",ROW()-4)</f>
        <v/>
      </c>
      <c r="B1886" s="12"/>
      <c r="C1886" s="13"/>
      <c r="D1886" s="23" t="str">
        <f aca="false">IF(C1886="","",IFERROR(INDEX(LOTES!$D$5:$D$1004,MATCH(C1886,LOTES!$F$5:$F$1004,0)),"¿Lote?"))</f>
        <v/>
      </c>
      <c r="E1886" s="11" t="str">
        <f aca="false">IF(C1886="","",IFERROR(INDEX(LOTES!$C$5:$C$1004,MATCH(C1886,LOTES!$F$5:$F$1004,0)),""))</f>
        <v/>
      </c>
      <c r="F1886" s="24" t="str">
        <f aca="false">IF(C1886="","",IFERROR(INDEX(LOTES!$B$5:$B$1004,MATCH(C1886,LOTES!$F$5:$F$1004,0)),""))</f>
        <v/>
      </c>
      <c r="G1886" s="15" t="str">
        <f aca="false">IF(OR(B1886="",F1886=""),"",B1886-F1886)</f>
        <v/>
      </c>
      <c r="H1886" s="13"/>
      <c r="I1886" s="13"/>
      <c r="J1886" s="13"/>
      <c r="K1886" s="25"/>
      <c r="L1886" s="25"/>
      <c r="M1886" s="25"/>
      <c r="N1886" s="25"/>
      <c r="O1886" s="26"/>
      <c r="P1886" s="16" t="str">
        <f aca="false">IF(O1886="","",IFERROR(1/(1/(IF(K1886="",INDEX(CONFIG!$F$5:$F$14,MATCH(D1886,CONFIG!$D$5:$D$14,0)),K1886)*IF(M1886="",INDEX(CONFIG!$H$5:$H$14,MATCH(D1886,CONFIG!$D$5:$D$14,0)),M1886))),""))</f>
        <v/>
      </c>
      <c r="Q1886" s="16" t="str">
        <f aca="false">IF(OR(O1886="",P1886=""),"",O1886/P1886)</f>
        <v/>
      </c>
      <c r="R1886" s="16" t="str">
        <f aca="false">IF(Q1886="","",Q1886*0.0980665)</f>
        <v/>
      </c>
      <c r="S1886" s="16" t="str">
        <f aca="false">IF(Q1886="","",IFERROR(Q1886/(1/(1/INDEX(CONFIG!$I$5:$I$14,MATCH(D1886,CONFIG!$D$5:$D$14,0)))),""))</f>
        <v/>
      </c>
      <c r="T1886" s="13"/>
      <c r="U1886" s="13"/>
      <c r="V1886" s="13"/>
      <c r="W1886" s="13"/>
      <c r="X1886" s="22" t="str">
        <f aca="false">IF(Q1886="","",Q1886^2)</f>
        <v/>
      </c>
      <c r="Y1886" s="22" t="str">
        <f aca="false">IF(AND(C1886&lt;&gt;"",C1886=CERTIFICADO!$E$4,OR(CERTIFICADO!$E$5="",B1886=CERTIFICADO!$E$5)),MAX($Y$4:Y1885)+1,"")</f>
        <v/>
      </c>
    </row>
    <row r="1887" customFormat="false" ht="15" hidden="false" customHeight="false" outlineLevel="0" collapsed="false">
      <c r="A1887" s="11" t="str">
        <f aca="false">IF(C1887="","",ROW()-4)</f>
        <v/>
      </c>
      <c r="B1887" s="12"/>
      <c r="C1887" s="13"/>
      <c r="D1887" s="23" t="str">
        <f aca="false">IF(C1887="","",IFERROR(INDEX(LOTES!$D$5:$D$1004,MATCH(C1887,LOTES!$F$5:$F$1004,0)),"¿Lote?"))</f>
        <v/>
      </c>
      <c r="E1887" s="11" t="str">
        <f aca="false">IF(C1887="","",IFERROR(INDEX(LOTES!$C$5:$C$1004,MATCH(C1887,LOTES!$F$5:$F$1004,0)),""))</f>
        <v/>
      </c>
      <c r="F1887" s="24" t="str">
        <f aca="false">IF(C1887="","",IFERROR(INDEX(LOTES!$B$5:$B$1004,MATCH(C1887,LOTES!$F$5:$F$1004,0)),""))</f>
        <v/>
      </c>
      <c r="G1887" s="15" t="str">
        <f aca="false">IF(OR(B1887="",F1887=""),"",B1887-F1887)</f>
        <v/>
      </c>
      <c r="H1887" s="13"/>
      <c r="I1887" s="13"/>
      <c r="J1887" s="13"/>
      <c r="K1887" s="25"/>
      <c r="L1887" s="25"/>
      <c r="M1887" s="25"/>
      <c r="N1887" s="25"/>
      <c r="O1887" s="26"/>
      <c r="P1887" s="16" t="str">
        <f aca="false">IF(O1887="","",IFERROR(1/(1/(IF(K1887="",INDEX(CONFIG!$F$5:$F$14,MATCH(D1887,CONFIG!$D$5:$D$14,0)),K1887)*IF(M1887="",INDEX(CONFIG!$H$5:$H$14,MATCH(D1887,CONFIG!$D$5:$D$14,0)),M1887))),""))</f>
        <v/>
      </c>
      <c r="Q1887" s="16" t="str">
        <f aca="false">IF(OR(O1887="",P1887=""),"",O1887/P1887)</f>
        <v/>
      </c>
      <c r="R1887" s="16" t="str">
        <f aca="false">IF(Q1887="","",Q1887*0.0980665)</f>
        <v/>
      </c>
      <c r="S1887" s="16" t="str">
        <f aca="false">IF(Q1887="","",IFERROR(Q1887/(1/(1/INDEX(CONFIG!$I$5:$I$14,MATCH(D1887,CONFIG!$D$5:$D$14,0)))),""))</f>
        <v/>
      </c>
      <c r="T1887" s="13"/>
      <c r="U1887" s="13"/>
      <c r="V1887" s="13"/>
      <c r="W1887" s="13"/>
      <c r="X1887" s="22" t="str">
        <f aca="false">IF(Q1887="","",Q1887^2)</f>
        <v/>
      </c>
      <c r="Y1887" s="22" t="str">
        <f aca="false">IF(AND(C1887&lt;&gt;"",C1887=CERTIFICADO!$E$4,OR(CERTIFICADO!$E$5="",B1887=CERTIFICADO!$E$5)),MAX($Y$4:Y1886)+1,"")</f>
        <v/>
      </c>
    </row>
    <row r="1888" customFormat="false" ht="15" hidden="false" customHeight="false" outlineLevel="0" collapsed="false">
      <c r="A1888" s="11" t="str">
        <f aca="false">IF(C1888="","",ROW()-4)</f>
        <v/>
      </c>
      <c r="B1888" s="12"/>
      <c r="C1888" s="13"/>
      <c r="D1888" s="23" t="str">
        <f aca="false">IF(C1888="","",IFERROR(INDEX(LOTES!$D$5:$D$1004,MATCH(C1888,LOTES!$F$5:$F$1004,0)),"¿Lote?"))</f>
        <v/>
      </c>
      <c r="E1888" s="11" t="str">
        <f aca="false">IF(C1888="","",IFERROR(INDEX(LOTES!$C$5:$C$1004,MATCH(C1888,LOTES!$F$5:$F$1004,0)),""))</f>
        <v/>
      </c>
      <c r="F1888" s="24" t="str">
        <f aca="false">IF(C1888="","",IFERROR(INDEX(LOTES!$B$5:$B$1004,MATCH(C1888,LOTES!$F$5:$F$1004,0)),""))</f>
        <v/>
      </c>
      <c r="G1888" s="15" t="str">
        <f aca="false">IF(OR(B1888="",F1888=""),"",B1888-F1888)</f>
        <v/>
      </c>
      <c r="H1888" s="13"/>
      <c r="I1888" s="13"/>
      <c r="J1888" s="13"/>
      <c r="K1888" s="25"/>
      <c r="L1888" s="25"/>
      <c r="M1888" s="25"/>
      <c r="N1888" s="25"/>
      <c r="O1888" s="26"/>
      <c r="P1888" s="16" t="str">
        <f aca="false">IF(O1888="","",IFERROR(1/(1/(IF(K1888="",INDEX(CONFIG!$F$5:$F$14,MATCH(D1888,CONFIG!$D$5:$D$14,0)),K1888)*IF(M1888="",INDEX(CONFIG!$H$5:$H$14,MATCH(D1888,CONFIG!$D$5:$D$14,0)),M1888))),""))</f>
        <v/>
      </c>
      <c r="Q1888" s="16" t="str">
        <f aca="false">IF(OR(O1888="",P1888=""),"",O1888/P1888)</f>
        <v/>
      </c>
      <c r="R1888" s="16" t="str">
        <f aca="false">IF(Q1888="","",Q1888*0.0980665)</f>
        <v/>
      </c>
      <c r="S1888" s="16" t="str">
        <f aca="false">IF(Q1888="","",IFERROR(Q1888/(1/(1/INDEX(CONFIG!$I$5:$I$14,MATCH(D1888,CONFIG!$D$5:$D$14,0)))),""))</f>
        <v/>
      </c>
      <c r="T1888" s="13"/>
      <c r="U1888" s="13"/>
      <c r="V1888" s="13"/>
      <c r="W1888" s="13"/>
      <c r="X1888" s="22" t="str">
        <f aca="false">IF(Q1888="","",Q1888^2)</f>
        <v/>
      </c>
      <c r="Y1888" s="22" t="str">
        <f aca="false">IF(AND(C1888&lt;&gt;"",C1888=CERTIFICADO!$E$4,OR(CERTIFICADO!$E$5="",B1888=CERTIFICADO!$E$5)),MAX($Y$4:Y1887)+1,"")</f>
        <v/>
      </c>
    </row>
    <row r="1889" customFormat="false" ht="15" hidden="false" customHeight="false" outlineLevel="0" collapsed="false">
      <c r="A1889" s="11" t="str">
        <f aca="false">IF(C1889="","",ROW()-4)</f>
        <v/>
      </c>
      <c r="B1889" s="12"/>
      <c r="C1889" s="13"/>
      <c r="D1889" s="23" t="str">
        <f aca="false">IF(C1889="","",IFERROR(INDEX(LOTES!$D$5:$D$1004,MATCH(C1889,LOTES!$F$5:$F$1004,0)),"¿Lote?"))</f>
        <v/>
      </c>
      <c r="E1889" s="11" t="str">
        <f aca="false">IF(C1889="","",IFERROR(INDEX(LOTES!$C$5:$C$1004,MATCH(C1889,LOTES!$F$5:$F$1004,0)),""))</f>
        <v/>
      </c>
      <c r="F1889" s="24" t="str">
        <f aca="false">IF(C1889="","",IFERROR(INDEX(LOTES!$B$5:$B$1004,MATCH(C1889,LOTES!$F$5:$F$1004,0)),""))</f>
        <v/>
      </c>
      <c r="G1889" s="15" t="str">
        <f aca="false">IF(OR(B1889="",F1889=""),"",B1889-F1889)</f>
        <v/>
      </c>
      <c r="H1889" s="13"/>
      <c r="I1889" s="13"/>
      <c r="J1889" s="13"/>
      <c r="K1889" s="25"/>
      <c r="L1889" s="25"/>
      <c r="M1889" s="25"/>
      <c r="N1889" s="25"/>
      <c r="O1889" s="26"/>
      <c r="P1889" s="16" t="str">
        <f aca="false">IF(O1889="","",IFERROR(1/(1/(IF(K1889="",INDEX(CONFIG!$F$5:$F$14,MATCH(D1889,CONFIG!$D$5:$D$14,0)),K1889)*IF(M1889="",INDEX(CONFIG!$H$5:$H$14,MATCH(D1889,CONFIG!$D$5:$D$14,0)),M1889))),""))</f>
        <v/>
      </c>
      <c r="Q1889" s="16" t="str">
        <f aca="false">IF(OR(O1889="",P1889=""),"",O1889/P1889)</f>
        <v/>
      </c>
      <c r="R1889" s="16" t="str">
        <f aca="false">IF(Q1889="","",Q1889*0.0980665)</f>
        <v/>
      </c>
      <c r="S1889" s="16" t="str">
        <f aca="false">IF(Q1889="","",IFERROR(Q1889/(1/(1/INDEX(CONFIG!$I$5:$I$14,MATCH(D1889,CONFIG!$D$5:$D$14,0)))),""))</f>
        <v/>
      </c>
      <c r="T1889" s="13"/>
      <c r="U1889" s="13"/>
      <c r="V1889" s="13"/>
      <c r="W1889" s="13"/>
      <c r="X1889" s="22" t="str">
        <f aca="false">IF(Q1889="","",Q1889^2)</f>
        <v/>
      </c>
      <c r="Y1889" s="22" t="str">
        <f aca="false">IF(AND(C1889&lt;&gt;"",C1889=CERTIFICADO!$E$4,OR(CERTIFICADO!$E$5="",B1889=CERTIFICADO!$E$5)),MAX($Y$4:Y1888)+1,"")</f>
        <v/>
      </c>
    </row>
    <row r="1890" customFormat="false" ht="15" hidden="false" customHeight="false" outlineLevel="0" collapsed="false">
      <c r="A1890" s="11" t="str">
        <f aca="false">IF(C1890="","",ROW()-4)</f>
        <v/>
      </c>
      <c r="B1890" s="12"/>
      <c r="C1890" s="13"/>
      <c r="D1890" s="23" t="str">
        <f aca="false">IF(C1890="","",IFERROR(INDEX(LOTES!$D$5:$D$1004,MATCH(C1890,LOTES!$F$5:$F$1004,0)),"¿Lote?"))</f>
        <v/>
      </c>
      <c r="E1890" s="11" t="str">
        <f aca="false">IF(C1890="","",IFERROR(INDEX(LOTES!$C$5:$C$1004,MATCH(C1890,LOTES!$F$5:$F$1004,0)),""))</f>
        <v/>
      </c>
      <c r="F1890" s="24" t="str">
        <f aca="false">IF(C1890="","",IFERROR(INDEX(LOTES!$B$5:$B$1004,MATCH(C1890,LOTES!$F$5:$F$1004,0)),""))</f>
        <v/>
      </c>
      <c r="G1890" s="15" t="str">
        <f aca="false">IF(OR(B1890="",F1890=""),"",B1890-F1890)</f>
        <v/>
      </c>
      <c r="H1890" s="13"/>
      <c r="I1890" s="13"/>
      <c r="J1890" s="13"/>
      <c r="K1890" s="25"/>
      <c r="L1890" s="25"/>
      <c r="M1890" s="25"/>
      <c r="N1890" s="25"/>
      <c r="O1890" s="26"/>
      <c r="P1890" s="16" t="str">
        <f aca="false">IF(O1890="","",IFERROR(1/(1/(IF(K1890="",INDEX(CONFIG!$F$5:$F$14,MATCH(D1890,CONFIG!$D$5:$D$14,0)),K1890)*IF(M1890="",INDEX(CONFIG!$H$5:$H$14,MATCH(D1890,CONFIG!$D$5:$D$14,0)),M1890))),""))</f>
        <v/>
      </c>
      <c r="Q1890" s="16" t="str">
        <f aca="false">IF(OR(O1890="",P1890=""),"",O1890/P1890)</f>
        <v/>
      </c>
      <c r="R1890" s="16" t="str">
        <f aca="false">IF(Q1890="","",Q1890*0.0980665)</f>
        <v/>
      </c>
      <c r="S1890" s="16" t="str">
        <f aca="false">IF(Q1890="","",IFERROR(Q1890/(1/(1/INDEX(CONFIG!$I$5:$I$14,MATCH(D1890,CONFIG!$D$5:$D$14,0)))),""))</f>
        <v/>
      </c>
      <c r="T1890" s="13"/>
      <c r="U1890" s="13"/>
      <c r="V1890" s="13"/>
      <c r="W1890" s="13"/>
      <c r="X1890" s="22" t="str">
        <f aca="false">IF(Q1890="","",Q1890^2)</f>
        <v/>
      </c>
      <c r="Y1890" s="22" t="str">
        <f aca="false">IF(AND(C1890&lt;&gt;"",C1890=CERTIFICADO!$E$4,OR(CERTIFICADO!$E$5="",B1890=CERTIFICADO!$E$5)),MAX($Y$4:Y1889)+1,"")</f>
        <v/>
      </c>
    </row>
    <row r="1891" customFormat="false" ht="15" hidden="false" customHeight="false" outlineLevel="0" collapsed="false">
      <c r="A1891" s="11" t="str">
        <f aca="false">IF(C1891="","",ROW()-4)</f>
        <v/>
      </c>
      <c r="B1891" s="12"/>
      <c r="C1891" s="13"/>
      <c r="D1891" s="23" t="str">
        <f aca="false">IF(C1891="","",IFERROR(INDEX(LOTES!$D$5:$D$1004,MATCH(C1891,LOTES!$F$5:$F$1004,0)),"¿Lote?"))</f>
        <v/>
      </c>
      <c r="E1891" s="11" t="str">
        <f aca="false">IF(C1891="","",IFERROR(INDEX(LOTES!$C$5:$C$1004,MATCH(C1891,LOTES!$F$5:$F$1004,0)),""))</f>
        <v/>
      </c>
      <c r="F1891" s="24" t="str">
        <f aca="false">IF(C1891="","",IFERROR(INDEX(LOTES!$B$5:$B$1004,MATCH(C1891,LOTES!$F$5:$F$1004,0)),""))</f>
        <v/>
      </c>
      <c r="G1891" s="15" t="str">
        <f aca="false">IF(OR(B1891="",F1891=""),"",B1891-F1891)</f>
        <v/>
      </c>
      <c r="H1891" s="13"/>
      <c r="I1891" s="13"/>
      <c r="J1891" s="13"/>
      <c r="K1891" s="25"/>
      <c r="L1891" s="25"/>
      <c r="M1891" s="25"/>
      <c r="N1891" s="25"/>
      <c r="O1891" s="26"/>
      <c r="P1891" s="16" t="str">
        <f aca="false">IF(O1891="","",IFERROR(1/(1/(IF(K1891="",INDEX(CONFIG!$F$5:$F$14,MATCH(D1891,CONFIG!$D$5:$D$14,0)),K1891)*IF(M1891="",INDEX(CONFIG!$H$5:$H$14,MATCH(D1891,CONFIG!$D$5:$D$14,0)),M1891))),""))</f>
        <v/>
      </c>
      <c r="Q1891" s="16" t="str">
        <f aca="false">IF(OR(O1891="",P1891=""),"",O1891/P1891)</f>
        <v/>
      </c>
      <c r="R1891" s="16" t="str">
        <f aca="false">IF(Q1891="","",Q1891*0.0980665)</f>
        <v/>
      </c>
      <c r="S1891" s="16" t="str">
        <f aca="false">IF(Q1891="","",IFERROR(Q1891/(1/(1/INDEX(CONFIG!$I$5:$I$14,MATCH(D1891,CONFIG!$D$5:$D$14,0)))),""))</f>
        <v/>
      </c>
      <c r="T1891" s="13"/>
      <c r="U1891" s="13"/>
      <c r="V1891" s="13"/>
      <c r="W1891" s="13"/>
      <c r="X1891" s="22" t="str">
        <f aca="false">IF(Q1891="","",Q1891^2)</f>
        <v/>
      </c>
      <c r="Y1891" s="22" t="str">
        <f aca="false">IF(AND(C1891&lt;&gt;"",C1891=CERTIFICADO!$E$4,OR(CERTIFICADO!$E$5="",B1891=CERTIFICADO!$E$5)),MAX($Y$4:Y1890)+1,"")</f>
        <v/>
      </c>
    </row>
    <row r="1892" customFormat="false" ht="15" hidden="false" customHeight="false" outlineLevel="0" collapsed="false">
      <c r="A1892" s="11" t="str">
        <f aca="false">IF(C1892="","",ROW()-4)</f>
        <v/>
      </c>
      <c r="B1892" s="12"/>
      <c r="C1892" s="13"/>
      <c r="D1892" s="23" t="str">
        <f aca="false">IF(C1892="","",IFERROR(INDEX(LOTES!$D$5:$D$1004,MATCH(C1892,LOTES!$F$5:$F$1004,0)),"¿Lote?"))</f>
        <v/>
      </c>
      <c r="E1892" s="11" t="str">
        <f aca="false">IF(C1892="","",IFERROR(INDEX(LOTES!$C$5:$C$1004,MATCH(C1892,LOTES!$F$5:$F$1004,0)),""))</f>
        <v/>
      </c>
      <c r="F1892" s="24" t="str">
        <f aca="false">IF(C1892="","",IFERROR(INDEX(LOTES!$B$5:$B$1004,MATCH(C1892,LOTES!$F$5:$F$1004,0)),""))</f>
        <v/>
      </c>
      <c r="G1892" s="15" t="str">
        <f aca="false">IF(OR(B1892="",F1892=""),"",B1892-F1892)</f>
        <v/>
      </c>
      <c r="H1892" s="13"/>
      <c r="I1892" s="13"/>
      <c r="J1892" s="13"/>
      <c r="K1892" s="25"/>
      <c r="L1892" s="25"/>
      <c r="M1892" s="25"/>
      <c r="N1892" s="25"/>
      <c r="O1892" s="26"/>
      <c r="P1892" s="16" t="str">
        <f aca="false">IF(O1892="","",IFERROR(1/(1/(IF(K1892="",INDEX(CONFIG!$F$5:$F$14,MATCH(D1892,CONFIG!$D$5:$D$14,0)),K1892)*IF(M1892="",INDEX(CONFIG!$H$5:$H$14,MATCH(D1892,CONFIG!$D$5:$D$14,0)),M1892))),""))</f>
        <v/>
      </c>
      <c r="Q1892" s="16" t="str">
        <f aca="false">IF(OR(O1892="",P1892=""),"",O1892/P1892)</f>
        <v/>
      </c>
      <c r="R1892" s="16" t="str">
        <f aca="false">IF(Q1892="","",Q1892*0.0980665)</f>
        <v/>
      </c>
      <c r="S1892" s="16" t="str">
        <f aca="false">IF(Q1892="","",IFERROR(Q1892/(1/(1/INDEX(CONFIG!$I$5:$I$14,MATCH(D1892,CONFIG!$D$5:$D$14,0)))),""))</f>
        <v/>
      </c>
      <c r="T1892" s="13"/>
      <c r="U1892" s="13"/>
      <c r="V1892" s="13"/>
      <c r="W1892" s="13"/>
      <c r="X1892" s="22" t="str">
        <f aca="false">IF(Q1892="","",Q1892^2)</f>
        <v/>
      </c>
      <c r="Y1892" s="22" t="str">
        <f aca="false">IF(AND(C1892&lt;&gt;"",C1892=CERTIFICADO!$E$4,OR(CERTIFICADO!$E$5="",B1892=CERTIFICADO!$E$5)),MAX($Y$4:Y1891)+1,"")</f>
        <v/>
      </c>
    </row>
    <row r="1893" customFormat="false" ht="15" hidden="false" customHeight="false" outlineLevel="0" collapsed="false">
      <c r="A1893" s="11" t="str">
        <f aca="false">IF(C1893="","",ROW()-4)</f>
        <v/>
      </c>
      <c r="B1893" s="12"/>
      <c r="C1893" s="13"/>
      <c r="D1893" s="23" t="str">
        <f aca="false">IF(C1893="","",IFERROR(INDEX(LOTES!$D$5:$D$1004,MATCH(C1893,LOTES!$F$5:$F$1004,0)),"¿Lote?"))</f>
        <v/>
      </c>
      <c r="E1893" s="11" t="str">
        <f aca="false">IF(C1893="","",IFERROR(INDEX(LOTES!$C$5:$C$1004,MATCH(C1893,LOTES!$F$5:$F$1004,0)),""))</f>
        <v/>
      </c>
      <c r="F1893" s="24" t="str">
        <f aca="false">IF(C1893="","",IFERROR(INDEX(LOTES!$B$5:$B$1004,MATCH(C1893,LOTES!$F$5:$F$1004,0)),""))</f>
        <v/>
      </c>
      <c r="G1893" s="15" t="str">
        <f aca="false">IF(OR(B1893="",F1893=""),"",B1893-F1893)</f>
        <v/>
      </c>
      <c r="H1893" s="13"/>
      <c r="I1893" s="13"/>
      <c r="J1893" s="13"/>
      <c r="K1893" s="25"/>
      <c r="L1893" s="25"/>
      <c r="M1893" s="25"/>
      <c r="N1893" s="25"/>
      <c r="O1893" s="26"/>
      <c r="P1893" s="16" t="str">
        <f aca="false">IF(O1893="","",IFERROR(1/(1/(IF(K1893="",INDEX(CONFIG!$F$5:$F$14,MATCH(D1893,CONFIG!$D$5:$D$14,0)),K1893)*IF(M1893="",INDEX(CONFIG!$H$5:$H$14,MATCH(D1893,CONFIG!$D$5:$D$14,0)),M1893))),""))</f>
        <v/>
      </c>
      <c r="Q1893" s="16" t="str">
        <f aca="false">IF(OR(O1893="",P1893=""),"",O1893/P1893)</f>
        <v/>
      </c>
      <c r="R1893" s="16" t="str">
        <f aca="false">IF(Q1893="","",Q1893*0.0980665)</f>
        <v/>
      </c>
      <c r="S1893" s="16" t="str">
        <f aca="false">IF(Q1893="","",IFERROR(Q1893/(1/(1/INDEX(CONFIG!$I$5:$I$14,MATCH(D1893,CONFIG!$D$5:$D$14,0)))),""))</f>
        <v/>
      </c>
      <c r="T1893" s="13"/>
      <c r="U1893" s="13"/>
      <c r="V1893" s="13"/>
      <c r="W1893" s="13"/>
      <c r="X1893" s="22" t="str">
        <f aca="false">IF(Q1893="","",Q1893^2)</f>
        <v/>
      </c>
      <c r="Y1893" s="22" t="str">
        <f aca="false">IF(AND(C1893&lt;&gt;"",C1893=CERTIFICADO!$E$4,OR(CERTIFICADO!$E$5="",B1893=CERTIFICADO!$E$5)),MAX($Y$4:Y1892)+1,"")</f>
        <v/>
      </c>
    </row>
    <row r="1894" customFormat="false" ht="15" hidden="false" customHeight="false" outlineLevel="0" collapsed="false">
      <c r="A1894" s="11" t="str">
        <f aca="false">IF(C1894="","",ROW()-4)</f>
        <v/>
      </c>
      <c r="B1894" s="12"/>
      <c r="C1894" s="13"/>
      <c r="D1894" s="23" t="str">
        <f aca="false">IF(C1894="","",IFERROR(INDEX(LOTES!$D$5:$D$1004,MATCH(C1894,LOTES!$F$5:$F$1004,0)),"¿Lote?"))</f>
        <v/>
      </c>
      <c r="E1894" s="11" t="str">
        <f aca="false">IF(C1894="","",IFERROR(INDEX(LOTES!$C$5:$C$1004,MATCH(C1894,LOTES!$F$5:$F$1004,0)),""))</f>
        <v/>
      </c>
      <c r="F1894" s="24" t="str">
        <f aca="false">IF(C1894="","",IFERROR(INDEX(LOTES!$B$5:$B$1004,MATCH(C1894,LOTES!$F$5:$F$1004,0)),""))</f>
        <v/>
      </c>
      <c r="G1894" s="15" t="str">
        <f aca="false">IF(OR(B1894="",F1894=""),"",B1894-F1894)</f>
        <v/>
      </c>
      <c r="H1894" s="13"/>
      <c r="I1894" s="13"/>
      <c r="J1894" s="13"/>
      <c r="K1894" s="25"/>
      <c r="L1894" s="25"/>
      <c r="M1894" s="25"/>
      <c r="N1894" s="25"/>
      <c r="O1894" s="26"/>
      <c r="P1894" s="16" t="str">
        <f aca="false">IF(O1894="","",IFERROR(1/(1/(IF(K1894="",INDEX(CONFIG!$F$5:$F$14,MATCH(D1894,CONFIG!$D$5:$D$14,0)),K1894)*IF(M1894="",INDEX(CONFIG!$H$5:$H$14,MATCH(D1894,CONFIG!$D$5:$D$14,0)),M1894))),""))</f>
        <v/>
      </c>
      <c r="Q1894" s="16" t="str">
        <f aca="false">IF(OR(O1894="",P1894=""),"",O1894/P1894)</f>
        <v/>
      </c>
      <c r="R1894" s="16" t="str">
        <f aca="false">IF(Q1894="","",Q1894*0.0980665)</f>
        <v/>
      </c>
      <c r="S1894" s="16" t="str">
        <f aca="false">IF(Q1894="","",IFERROR(Q1894/(1/(1/INDEX(CONFIG!$I$5:$I$14,MATCH(D1894,CONFIG!$D$5:$D$14,0)))),""))</f>
        <v/>
      </c>
      <c r="T1894" s="13"/>
      <c r="U1894" s="13"/>
      <c r="V1894" s="13"/>
      <c r="W1894" s="13"/>
      <c r="X1894" s="22" t="str">
        <f aca="false">IF(Q1894="","",Q1894^2)</f>
        <v/>
      </c>
      <c r="Y1894" s="22" t="str">
        <f aca="false">IF(AND(C1894&lt;&gt;"",C1894=CERTIFICADO!$E$4,OR(CERTIFICADO!$E$5="",B1894=CERTIFICADO!$E$5)),MAX($Y$4:Y1893)+1,"")</f>
        <v/>
      </c>
    </row>
    <row r="1895" customFormat="false" ht="15" hidden="false" customHeight="false" outlineLevel="0" collapsed="false">
      <c r="A1895" s="11" t="str">
        <f aca="false">IF(C1895="","",ROW()-4)</f>
        <v/>
      </c>
      <c r="B1895" s="12"/>
      <c r="C1895" s="13"/>
      <c r="D1895" s="23" t="str">
        <f aca="false">IF(C1895="","",IFERROR(INDEX(LOTES!$D$5:$D$1004,MATCH(C1895,LOTES!$F$5:$F$1004,0)),"¿Lote?"))</f>
        <v/>
      </c>
      <c r="E1895" s="11" t="str">
        <f aca="false">IF(C1895="","",IFERROR(INDEX(LOTES!$C$5:$C$1004,MATCH(C1895,LOTES!$F$5:$F$1004,0)),""))</f>
        <v/>
      </c>
      <c r="F1895" s="24" t="str">
        <f aca="false">IF(C1895="","",IFERROR(INDEX(LOTES!$B$5:$B$1004,MATCH(C1895,LOTES!$F$5:$F$1004,0)),""))</f>
        <v/>
      </c>
      <c r="G1895" s="15" t="str">
        <f aca="false">IF(OR(B1895="",F1895=""),"",B1895-F1895)</f>
        <v/>
      </c>
      <c r="H1895" s="13"/>
      <c r="I1895" s="13"/>
      <c r="J1895" s="13"/>
      <c r="K1895" s="25"/>
      <c r="L1895" s="25"/>
      <c r="M1895" s="25"/>
      <c r="N1895" s="25"/>
      <c r="O1895" s="26"/>
      <c r="P1895" s="16" t="str">
        <f aca="false">IF(O1895="","",IFERROR(1/(1/(IF(K1895="",INDEX(CONFIG!$F$5:$F$14,MATCH(D1895,CONFIG!$D$5:$D$14,0)),K1895)*IF(M1895="",INDEX(CONFIG!$H$5:$H$14,MATCH(D1895,CONFIG!$D$5:$D$14,0)),M1895))),""))</f>
        <v/>
      </c>
      <c r="Q1895" s="16" t="str">
        <f aca="false">IF(OR(O1895="",P1895=""),"",O1895/P1895)</f>
        <v/>
      </c>
      <c r="R1895" s="16" t="str">
        <f aca="false">IF(Q1895="","",Q1895*0.0980665)</f>
        <v/>
      </c>
      <c r="S1895" s="16" t="str">
        <f aca="false">IF(Q1895="","",IFERROR(Q1895/(1/(1/INDEX(CONFIG!$I$5:$I$14,MATCH(D1895,CONFIG!$D$5:$D$14,0)))),""))</f>
        <v/>
      </c>
      <c r="T1895" s="13"/>
      <c r="U1895" s="13"/>
      <c r="V1895" s="13"/>
      <c r="W1895" s="13"/>
      <c r="X1895" s="22" t="str">
        <f aca="false">IF(Q1895="","",Q1895^2)</f>
        <v/>
      </c>
      <c r="Y1895" s="22" t="str">
        <f aca="false">IF(AND(C1895&lt;&gt;"",C1895=CERTIFICADO!$E$4,OR(CERTIFICADO!$E$5="",B1895=CERTIFICADO!$E$5)),MAX($Y$4:Y1894)+1,"")</f>
        <v/>
      </c>
    </row>
    <row r="1896" customFormat="false" ht="15" hidden="false" customHeight="false" outlineLevel="0" collapsed="false">
      <c r="A1896" s="11" t="str">
        <f aca="false">IF(C1896="","",ROW()-4)</f>
        <v/>
      </c>
      <c r="B1896" s="12"/>
      <c r="C1896" s="13"/>
      <c r="D1896" s="23" t="str">
        <f aca="false">IF(C1896="","",IFERROR(INDEX(LOTES!$D$5:$D$1004,MATCH(C1896,LOTES!$F$5:$F$1004,0)),"¿Lote?"))</f>
        <v/>
      </c>
      <c r="E1896" s="11" t="str">
        <f aca="false">IF(C1896="","",IFERROR(INDEX(LOTES!$C$5:$C$1004,MATCH(C1896,LOTES!$F$5:$F$1004,0)),""))</f>
        <v/>
      </c>
      <c r="F1896" s="24" t="str">
        <f aca="false">IF(C1896="","",IFERROR(INDEX(LOTES!$B$5:$B$1004,MATCH(C1896,LOTES!$F$5:$F$1004,0)),""))</f>
        <v/>
      </c>
      <c r="G1896" s="15" t="str">
        <f aca="false">IF(OR(B1896="",F1896=""),"",B1896-F1896)</f>
        <v/>
      </c>
      <c r="H1896" s="13"/>
      <c r="I1896" s="13"/>
      <c r="J1896" s="13"/>
      <c r="K1896" s="25"/>
      <c r="L1896" s="25"/>
      <c r="M1896" s="25"/>
      <c r="N1896" s="25"/>
      <c r="O1896" s="26"/>
      <c r="P1896" s="16" t="str">
        <f aca="false">IF(O1896="","",IFERROR(1/(1/(IF(K1896="",INDEX(CONFIG!$F$5:$F$14,MATCH(D1896,CONFIG!$D$5:$D$14,0)),K1896)*IF(M1896="",INDEX(CONFIG!$H$5:$H$14,MATCH(D1896,CONFIG!$D$5:$D$14,0)),M1896))),""))</f>
        <v/>
      </c>
      <c r="Q1896" s="16" t="str">
        <f aca="false">IF(OR(O1896="",P1896=""),"",O1896/P1896)</f>
        <v/>
      </c>
      <c r="R1896" s="16" t="str">
        <f aca="false">IF(Q1896="","",Q1896*0.0980665)</f>
        <v/>
      </c>
      <c r="S1896" s="16" t="str">
        <f aca="false">IF(Q1896="","",IFERROR(Q1896/(1/(1/INDEX(CONFIG!$I$5:$I$14,MATCH(D1896,CONFIG!$D$5:$D$14,0)))),""))</f>
        <v/>
      </c>
      <c r="T1896" s="13"/>
      <c r="U1896" s="13"/>
      <c r="V1896" s="13"/>
      <c r="W1896" s="13"/>
      <c r="X1896" s="22" t="str">
        <f aca="false">IF(Q1896="","",Q1896^2)</f>
        <v/>
      </c>
      <c r="Y1896" s="22" t="str">
        <f aca="false">IF(AND(C1896&lt;&gt;"",C1896=CERTIFICADO!$E$4,OR(CERTIFICADO!$E$5="",B1896=CERTIFICADO!$E$5)),MAX($Y$4:Y1895)+1,"")</f>
        <v/>
      </c>
    </row>
    <row r="1897" customFormat="false" ht="15" hidden="false" customHeight="false" outlineLevel="0" collapsed="false">
      <c r="A1897" s="11" t="str">
        <f aca="false">IF(C1897="","",ROW()-4)</f>
        <v/>
      </c>
      <c r="B1897" s="12"/>
      <c r="C1897" s="13"/>
      <c r="D1897" s="23" t="str">
        <f aca="false">IF(C1897="","",IFERROR(INDEX(LOTES!$D$5:$D$1004,MATCH(C1897,LOTES!$F$5:$F$1004,0)),"¿Lote?"))</f>
        <v/>
      </c>
      <c r="E1897" s="11" t="str">
        <f aca="false">IF(C1897="","",IFERROR(INDEX(LOTES!$C$5:$C$1004,MATCH(C1897,LOTES!$F$5:$F$1004,0)),""))</f>
        <v/>
      </c>
      <c r="F1897" s="24" t="str">
        <f aca="false">IF(C1897="","",IFERROR(INDEX(LOTES!$B$5:$B$1004,MATCH(C1897,LOTES!$F$5:$F$1004,0)),""))</f>
        <v/>
      </c>
      <c r="G1897" s="15" t="str">
        <f aca="false">IF(OR(B1897="",F1897=""),"",B1897-F1897)</f>
        <v/>
      </c>
      <c r="H1897" s="13"/>
      <c r="I1897" s="13"/>
      <c r="J1897" s="13"/>
      <c r="K1897" s="25"/>
      <c r="L1897" s="25"/>
      <c r="M1897" s="25"/>
      <c r="N1897" s="25"/>
      <c r="O1897" s="26"/>
      <c r="P1897" s="16" t="str">
        <f aca="false">IF(O1897="","",IFERROR(1/(1/(IF(K1897="",INDEX(CONFIG!$F$5:$F$14,MATCH(D1897,CONFIG!$D$5:$D$14,0)),K1897)*IF(M1897="",INDEX(CONFIG!$H$5:$H$14,MATCH(D1897,CONFIG!$D$5:$D$14,0)),M1897))),""))</f>
        <v/>
      </c>
      <c r="Q1897" s="16" t="str">
        <f aca="false">IF(OR(O1897="",P1897=""),"",O1897/P1897)</f>
        <v/>
      </c>
      <c r="R1897" s="16" t="str">
        <f aca="false">IF(Q1897="","",Q1897*0.0980665)</f>
        <v/>
      </c>
      <c r="S1897" s="16" t="str">
        <f aca="false">IF(Q1897="","",IFERROR(Q1897/(1/(1/INDEX(CONFIG!$I$5:$I$14,MATCH(D1897,CONFIG!$D$5:$D$14,0)))),""))</f>
        <v/>
      </c>
      <c r="T1897" s="13"/>
      <c r="U1897" s="13"/>
      <c r="V1897" s="13"/>
      <c r="W1897" s="13"/>
      <c r="X1897" s="22" t="str">
        <f aca="false">IF(Q1897="","",Q1897^2)</f>
        <v/>
      </c>
      <c r="Y1897" s="22" t="str">
        <f aca="false">IF(AND(C1897&lt;&gt;"",C1897=CERTIFICADO!$E$4,OR(CERTIFICADO!$E$5="",B1897=CERTIFICADO!$E$5)),MAX($Y$4:Y1896)+1,"")</f>
        <v/>
      </c>
    </row>
    <row r="1898" customFormat="false" ht="15" hidden="false" customHeight="false" outlineLevel="0" collapsed="false">
      <c r="A1898" s="11" t="str">
        <f aca="false">IF(C1898="","",ROW()-4)</f>
        <v/>
      </c>
      <c r="B1898" s="12"/>
      <c r="C1898" s="13"/>
      <c r="D1898" s="23" t="str">
        <f aca="false">IF(C1898="","",IFERROR(INDEX(LOTES!$D$5:$D$1004,MATCH(C1898,LOTES!$F$5:$F$1004,0)),"¿Lote?"))</f>
        <v/>
      </c>
      <c r="E1898" s="11" t="str">
        <f aca="false">IF(C1898="","",IFERROR(INDEX(LOTES!$C$5:$C$1004,MATCH(C1898,LOTES!$F$5:$F$1004,0)),""))</f>
        <v/>
      </c>
      <c r="F1898" s="24" t="str">
        <f aca="false">IF(C1898="","",IFERROR(INDEX(LOTES!$B$5:$B$1004,MATCH(C1898,LOTES!$F$5:$F$1004,0)),""))</f>
        <v/>
      </c>
      <c r="G1898" s="15" t="str">
        <f aca="false">IF(OR(B1898="",F1898=""),"",B1898-F1898)</f>
        <v/>
      </c>
      <c r="H1898" s="13"/>
      <c r="I1898" s="13"/>
      <c r="J1898" s="13"/>
      <c r="K1898" s="25"/>
      <c r="L1898" s="25"/>
      <c r="M1898" s="25"/>
      <c r="N1898" s="25"/>
      <c r="O1898" s="26"/>
      <c r="P1898" s="16" t="str">
        <f aca="false">IF(O1898="","",IFERROR(1/(1/(IF(K1898="",INDEX(CONFIG!$F$5:$F$14,MATCH(D1898,CONFIG!$D$5:$D$14,0)),K1898)*IF(M1898="",INDEX(CONFIG!$H$5:$H$14,MATCH(D1898,CONFIG!$D$5:$D$14,0)),M1898))),""))</f>
        <v/>
      </c>
      <c r="Q1898" s="16" t="str">
        <f aca="false">IF(OR(O1898="",P1898=""),"",O1898/P1898)</f>
        <v/>
      </c>
      <c r="R1898" s="16" t="str">
        <f aca="false">IF(Q1898="","",Q1898*0.0980665)</f>
        <v/>
      </c>
      <c r="S1898" s="16" t="str">
        <f aca="false">IF(Q1898="","",IFERROR(Q1898/(1/(1/INDEX(CONFIG!$I$5:$I$14,MATCH(D1898,CONFIG!$D$5:$D$14,0)))),""))</f>
        <v/>
      </c>
      <c r="T1898" s="13"/>
      <c r="U1898" s="13"/>
      <c r="V1898" s="13"/>
      <c r="W1898" s="13"/>
      <c r="X1898" s="22" t="str">
        <f aca="false">IF(Q1898="","",Q1898^2)</f>
        <v/>
      </c>
      <c r="Y1898" s="22" t="str">
        <f aca="false">IF(AND(C1898&lt;&gt;"",C1898=CERTIFICADO!$E$4,OR(CERTIFICADO!$E$5="",B1898=CERTIFICADO!$E$5)),MAX($Y$4:Y1897)+1,"")</f>
        <v/>
      </c>
    </row>
    <row r="1899" customFormat="false" ht="15" hidden="false" customHeight="false" outlineLevel="0" collapsed="false">
      <c r="A1899" s="11" t="str">
        <f aca="false">IF(C1899="","",ROW()-4)</f>
        <v/>
      </c>
      <c r="B1899" s="12"/>
      <c r="C1899" s="13"/>
      <c r="D1899" s="23" t="str">
        <f aca="false">IF(C1899="","",IFERROR(INDEX(LOTES!$D$5:$D$1004,MATCH(C1899,LOTES!$F$5:$F$1004,0)),"¿Lote?"))</f>
        <v/>
      </c>
      <c r="E1899" s="11" t="str">
        <f aca="false">IF(C1899="","",IFERROR(INDEX(LOTES!$C$5:$C$1004,MATCH(C1899,LOTES!$F$5:$F$1004,0)),""))</f>
        <v/>
      </c>
      <c r="F1899" s="24" t="str">
        <f aca="false">IF(C1899="","",IFERROR(INDEX(LOTES!$B$5:$B$1004,MATCH(C1899,LOTES!$F$5:$F$1004,0)),""))</f>
        <v/>
      </c>
      <c r="G1899" s="15" t="str">
        <f aca="false">IF(OR(B1899="",F1899=""),"",B1899-F1899)</f>
        <v/>
      </c>
      <c r="H1899" s="13"/>
      <c r="I1899" s="13"/>
      <c r="J1899" s="13"/>
      <c r="K1899" s="25"/>
      <c r="L1899" s="25"/>
      <c r="M1899" s="25"/>
      <c r="N1899" s="25"/>
      <c r="O1899" s="26"/>
      <c r="P1899" s="16" t="str">
        <f aca="false">IF(O1899="","",IFERROR(1/(1/(IF(K1899="",INDEX(CONFIG!$F$5:$F$14,MATCH(D1899,CONFIG!$D$5:$D$14,0)),K1899)*IF(M1899="",INDEX(CONFIG!$H$5:$H$14,MATCH(D1899,CONFIG!$D$5:$D$14,0)),M1899))),""))</f>
        <v/>
      </c>
      <c r="Q1899" s="16" t="str">
        <f aca="false">IF(OR(O1899="",P1899=""),"",O1899/P1899)</f>
        <v/>
      </c>
      <c r="R1899" s="16" t="str">
        <f aca="false">IF(Q1899="","",Q1899*0.0980665)</f>
        <v/>
      </c>
      <c r="S1899" s="16" t="str">
        <f aca="false">IF(Q1899="","",IFERROR(Q1899/(1/(1/INDEX(CONFIG!$I$5:$I$14,MATCH(D1899,CONFIG!$D$5:$D$14,0)))),""))</f>
        <v/>
      </c>
      <c r="T1899" s="13"/>
      <c r="U1899" s="13"/>
      <c r="V1899" s="13"/>
      <c r="W1899" s="13"/>
      <c r="X1899" s="22" t="str">
        <f aca="false">IF(Q1899="","",Q1899^2)</f>
        <v/>
      </c>
      <c r="Y1899" s="22" t="str">
        <f aca="false">IF(AND(C1899&lt;&gt;"",C1899=CERTIFICADO!$E$4,OR(CERTIFICADO!$E$5="",B1899=CERTIFICADO!$E$5)),MAX($Y$4:Y1898)+1,"")</f>
        <v/>
      </c>
    </row>
    <row r="1900" customFormat="false" ht="15" hidden="false" customHeight="false" outlineLevel="0" collapsed="false">
      <c r="A1900" s="11" t="str">
        <f aca="false">IF(C1900="","",ROW()-4)</f>
        <v/>
      </c>
      <c r="B1900" s="12"/>
      <c r="C1900" s="13"/>
      <c r="D1900" s="23" t="str">
        <f aca="false">IF(C1900="","",IFERROR(INDEX(LOTES!$D$5:$D$1004,MATCH(C1900,LOTES!$F$5:$F$1004,0)),"¿Lote?"))</f>
        <v/>
      </c>
      <c r="E1900" s="11" t="str">
        <f aca="false">IF(C1900="","",IFERROR(INDEX(LOTES!$C$5:$C$1004,MATCH(C1900,LOTES!$F$5:$F$1004,0)),""))</f>
        <v/>
      </c>
      <c r="F1900" s="24" t="str">
        <f aca="false">IF(C1900="","",IFERROR(INDEX(LOTES!$B$5:$B$1004,MATCH(C1900,LOTES!$F$5:$F$1004,0)),""))</f>
        <v/>
      </c>
      <c r="G1900" s="15" t="str">
        <f aca="false">IF(OR(B1900="",F1900=""),"",B1900-F1900)</f>
        <v/>
      </c>
      <c r="H1900" s="13"/>
      <c r="I1900" s="13"/>
      <c r="J1900" s="13"/>
      <c r="K1900" s="25"/>
      <c r="L1900" s="25"/>
      <c r="M1900" s="25"/>
      <c r="N1900" s="25"/>
      <c r="O1900" s="26"/>
      <c r="P1900" s="16" t="str">
        <f aca="false">IF(O1900="","",IFERROR(1/(1/(IF(K1900="",INDEX(CONFIG!$F$5:$F$14,MATCH(D1900,CONFIG!$D$5:$D$14,0)),K1900)*IF(M1900="",INDEX(CONFIG!$H$5:$H$14,MATCH(D1900,CONFIG!$D$5:$D$14,0)),M1900))),""))</f>
        <v/>
      </c>
      <c r="Q1900" s="16" t="str">
        <f aca="false">IF(OR(O1900="",P1900=""),"",O1900/P1900)</f>
        <v/>
      </c>
      <c r="R1900" s="16" t="str">
        <f aca="false">IF(Q1900="","",Q1900*0.0980665)</f>
        <v/>
      </c>
      <c r="S1900" s="16" t="str">
        <f aca="false">IF(Q1900="","",IFERROR(Q1900/(1/(1/INDEX(CONFIG!$I$5:$I$14,MATCH(D1900,CONFIG!$D$5:$D$14,0)))),""))</f>
        <v/>
      </c>
      <c r="T1900" s="13"/>
      <c r="U1900" s="13"/>
      <c r="V1900" s="13"/>
      <c r="W1900" s="13"/>
      <c r="X1900" s="22" t="str">
        <f aca="false">IF(Q1900="","",Q1900^2)</f>
        <v/>
      </c>
      <c r="Y1900" s="22" t="str">
        <f aca="false">IF(AND(C1900&lt;&gt;"",C1900=CERTIFICADO!$E$4,OR(CERTIFICADO!$E$5="",B1900=CERTIFICADO!$E$5)),MAX($Y$4:Y1899)+1,"")</f>
        <v/>
      </c>
    </row>
    <row r="1901" customFormat="false" ht="15" hidden="false" customHeight="false" outlineLevel="0" collapsed="false">
      <c r="A1901" s="11" t="str">
        <f aca="false">IF(C1901="","",ROW()-4)</f>
        <v/>
      </c>
      <c r="B1901" s="12"/>
      <c r="C1901" s="13"/>
      <c r="D1901" s="23" t="str">
        <f aca="false">IF(C1901="","",IFERROR(INDEX(LOTES!$D$5:$D$1004,MATCH(C1901,LOTES!$F$5:$F$1004,0)),"¿Lote?"))</f>
        <v/>
      </c>
      <c r="E1901" s="11" t="str">
        <f aca="false">IF(C1901="","",IFERROR(INDEX(LOTES!$C$5:$C$1004,MATCH(C1901,LOTES!$F$5:$F$1004,0)),""))</f>
        <v/>
      </c>
      <c r="F1901" s="24" t="str">
        <f aca="false">IF(C1901="","",IFERROR(INDEX(LOTES!$B$5:$B$1004,MATCH(C1901,LOTES!$F$5:$F$1004,0)),""))</f>
        <v/>
      </c>
      <c r="G1901" s="15" t="str">
        <f aca="false">IF(OR(B1901="",F1901=""),"",B1901-F1901)</f>
        <v/>
      </c>
      <c r="H1901" s="13"/>
      <c r="I1901" s="13"/>
      <c r="J1901" s="13"/>
      <c r="K1901" s="25"/>
      <c r="L1901" s="25"/>
      <c r="M1901" s="25"/>
      <c r="N1901" s="25"/>
      <c r="O1901" s="26"/>
      <c r="P1901" s="16" t="str">
        <f aca="false">IF(O1901="","",IFERROR(1/(1/(IF(K1901="",INDEX(CONFIG!$F$5:$F$14,MATCH(D1901,CONFIG!$D$5:$D$14,0)),K1901)*IF(M1901="",INDEX(CONFIG!$H$5:$H$14,MATCH(D1901,CONFIG!$D$5:$D$14,0)),M1901))),""))</f>
        <v/>
      </c>
      <c r="Q1901" s="16" t="str">
        <f aca="false">IF(OR(O1901="",P1901=""),"",O1901/P1901)</f>
        <v/>
      </c>
      <c r="R1901" s="16" t="str">
        <f aca="false">IF(Q1901="","",Q1901*0.0980665)</f>
        <v/>
      </c>
      <c r="S1901" s="16" t="str">
        <f aca="false">IF(Q1901="","",IFERROR(Q1901/(1/(1/INDEX(CONFIG!$I$5:$I$14,MATCH(D1901,CONFIG!$D$5:$D$14,0)))),""))</f>
        <v/>
      </c>
      <c r="T1901" s="13"/>
      <c r="U1901" s="13"/>
      <c r="V1901" s="13"/>
      <c r="W1901" s="13"/>
      <c r="X1901" s="22" t="str">
        <f aca="false">IF(Q1901="","",Q1901^2)</f>
        <v/>
      </c>
      <c r="Y1901" s="22" t="str">
        <f aca="false">IF(AND(C1901&lt;&gt;"",C1901=CERTIFICADO!$E$4,OR(CERTIFICADO!$E$5="",B1901=CERTIFICADO!$E$5)),MAX($Y$4:Y1900)+1,"")</f>
        <v/>
      </c>
    </row>
    <row r="1902" customFormat="false" ht="15" hidden="false" customHeight="false" outlineLevel="0" collapsed="false">
      <c r="A1902" s="11" t="str">
        <f aca="false">IF(C1902="","",ROW()-4)</f>
        <v/>
      </c>
      <c r="B1902" s="12"/>
      <c r="C1902" s="13"/>
      <c r="D1902" s="23" t="str">
        <f aca="false">IF(C1902="","",IFERROR(INDEX(LOTES!$D$5:$D$1004,MATCH(C1902,LOTES!$F$5:$F$1004,0)),"¿Lote?"))</f>
        <v/>
      </c>
      <c r="E1902" s="11" t="str">
        <f aca="false">IF(C1902="","",IFERROR(INDEX(LOTES!$C$5:$C$1004,MATCH(C1902,LOTES!$F$5:$F$1004,0)),""))</f>
        <v/>
      </c>
      <c r="F1902" s="24" t="str">
        <f aca="false">IF(C1902="","",IFERROR(INDEX(LOTES!$B$5:$B$1004,MATCH(C1902,LOTES!$F$5:$F$1004,0)),""))</f>
        <v/>
      </c>
      <c r="G1902" s="15" t="str">
        <f aca="false">IF(OR(B1902="",F1902=""),"",B1902-F1902)</f>
        <v/>
      </c>
      <c r="H1902" s="13"/>
      <c r="I1902" s="13"/>
      <c r="J1902" s="13"/>
      <c r="K1902" s="25"/>
      <c r="L1902" s="25"/>
      <c r="M1902" s="25"/>
      <c r="N1902" s="25"/>
      <c r="O1902" s="26"/>
      <c r="P1902" s="16" t="str">
        <f aca="false">IF(O1902="","",IFERROR(1/(1/(IF(K1902="",INDEX(CONFIG!$F$5:$F$14,MATCH(D1902,CONFIG!$D$5:$D$14,0)),K1902)*IF(M1902="",INDEX(CONFIG!$H$5:$H$14,MATCH(D1902,CONFIG!$D$5:$D$14,0)),M1902))),""))</f>
        <v/>
      </c>
      <c r="Q1902" s="16" t="str">
        <f aca="false">IF(OR(O1902="",P1902=""),"",O1902/P1902)</f>
        <v/>
      </c>
      <c r="R1902" s="16" t="str">
        <f aca="false">IF(Q1902="","",Q1902*0.0980665)</f>
        <v/>
      </c>
      <c r="S1902" s="16" t="str">
        <f aca="false">IF(Q1902="","",IFERROR(Q1902/(1/(1/INDEX(CONFIG!$I$5:$I$14,MATCH(D1902,CONFIG!$D$5:$D$14,0)))),""))</f>
        <v/>
      </c>
      <c r="T1902" s="13"/>
      <c r="U1902" s="13"/>
      <c r="V1902" s="13"/>
      <c r="W1902" s="13"/>
      <c r="X1902" s="22" t="str">
        <f aca="false">IF(Q1902="","",Q1902^2)</f>
        <v/>
      </c>
      <c r="Y1902" s="22" t="str">
        <f aca="false">IF(AND(C1902&lt;&gt;"",C1902=CERTIFICADO!$E$4,OR(CERTIFICADO!$E$5="",B1902=CERTIFICADO!$E$5)),MAX($Y$4:Y1901)+1,"")</f>
        <v/>
      </c>
    </row>
    <row r="1903" customFormat="false" ht="15" hidden="false" customHeight="false" outlineLevel="0" collapsed="false">
      <c r="A1903" s="11" t="str">
        <f aca="false">IF(C1903="","",ROW()-4)</f>
        <v/>
      </c>
      <c r="B1903" s="12"/>
      <c r="C1903" s="13"/>
      <c r="D1903" s="23" t="str">
        <f aca="false">IF(C1903="","",IFERROR(INDEX(LOTES!$D$5:$D$1004,MATCH(C1903,LOTES!$F$5:$F$1004,0)),"¿Lote?"))</f>
        <v/>
      </c>
      <c r="E1903" s="11" t="str">
        <f aca="false">IF(C1903="","",IFERROR(INDEX(LOTES!$C$5:$C$1004,MATCH(C1903,LOTES!$F$5:$F$1004,0)),""))</f>
        <v/>
      </c>
      <c r="F1903" s="24" t="str">
        <f aca="false">IF(C1903="","",IFERROR(INDEX(LOTES!$B$5:$B$1004,MATCH(C1903,LOTES!$F$5:$F$1004,0)),""))</f>
        <v/>
      </c>
      <c r="G1903" s="15" t="str">
        <f aca="false">IF(OR(B1903="",F1903=""),"",B1903-F1903)</f>
        <v/>
      </c>
      <c r="H1903" s="13"/>
      <c r="I1903" s="13"/>
      <c r="J1903" s="13"/>
      <c r="K1903" s="25"/>
      <c r="L1903" s="25"/>
      <c r="M1903" s="25"/>
      <c r="N1903" s="25"/>
      <c r="O1903" s="26"/>
      <c r="P1903" s="16" t="str">
        <f aca="false">IF(O1903="","",IFERROR(1/(1/(IF(K1903="",INDEX(CONFIG!$F$5:$F$14,MATCH(D1903,CONFIG!$D$5:$D$14,0)),K1903)*IF(M1903="",INDEX(CONFIG!$H$5:$H$14,MATCH(D1903,CONFIG!$D$5:$D$14,0)),M1903))),""))</f>
        <v/>
      </c>
      <c r="Q1903" s="16" t="str">
        <f aca="false">IF(OR(O1903="",P1903=""),"",O1903/P1903)</f>
        <v/>
      </c>
      <c r="R1903" s="16" t="str">
        <f aca="false">IF(Q1903="","",Q1903*0.0980665)</f>
        <v/>
      </c>
      <c r="S1903" s="16" t="str">
        <f aca="false">IF(Q1903="","",IFERROR(Q1903/(1/(1/INDEX(CONFIG!$I$5:$I$14,MATCH(D1903,CONFIG!$D$5:$D$14,0)))),""))</f>
        <v/>
      </c>
      <c r="T1903" s="13"/>
      <c r="U1903" s="13"/>
      <c r="V1903" s="13"/>
      <c r="W1903" s="13"/>
      <c r="X1903" s="22" t="str">
        <f aca="false">IF(Q1903="","",Q1903^2)</f>
        <v/>
      </c>
      <c r="Y1903" s="22" t="str">
        <f aca="false">IF(AND(C1903&lt;&gt;"",C1903=CERTIFICADO!$E$4,OR(CERTIFICADO!$E$5="",B1903=CERTIFICADO!$E$5)),MAX($Y$4:Y1902)+1,"")</f>
        <v/>
      </c>
    </row>
    <row r="1904" customFormat="false" ht="15" hidden="false" customHeight="false" outlineLevel="0" collapsed="false">
      <c r="A1904" s="11" t="str">
        <f aca="false">IF(C1904="","",ROW()-4)</f>
        <v/>
      </c>
      <c r="B1904" s="12"/>
      <c r="C1904" s="13"/>
      <c r="D1904" s="23" t="str">
        <f aca="false">IF(C1904="","",IFERROR(INDEX(LOTES!$D$5:$D$1004,MATCH(C1904,LOTES!$F$5:$F$1004,0)),"¿Lote?"))</f>
        <v/>
      </c>
      <c r="E1904" s="11" t="str">
        <f aca="false">IF(C1904="","",IFERROR(INDEX(LOTES!$C$5:$C$1004,MATCH(C1904,LOTES!$F$5:$F$1004,0)),""))</f>
        <v/>
      </c>
      <c r="F1904" s="24" t="str">
        <f aca="false">IF(C1904="","",IFERROR(INDEX(LOTES!$B$5:$B$1004,MATCH(C1904,LOTES!$F$5:$F$1004,0)),""))</f>
        <v/>
      </c>
      <c r="G1904" s="15" t="str">
        <f aca="false">IF(OR(B1904="",F1904=""),"",B1904-F1904)</f>
        <v/>
      </c>
      <c r="H1904" s="13"/>
      <c r="I1904" s="13"/>
      <c r="J1904" s="13"/>
      <c r="K1904" s="25"/>
      <c r="L1904" s="25"/>
      <c r="M1904" s="25"/>
      <c r="N1904" s="25"/>
      <c r="O1904" s="26"/>
      <c r="P1904" s="16" t="str">
        <f aca="false">IF(O1904="","",IFERROR(1/(1/(IF(K1904="",INDEX(CONFIG!$F$5:$F$14,MATCH(D1904,CONFIG!$D$5:$D$14,0)),K1904)*IF(M1904="",INDEX(CONFIG!$H$5:$H$14,MATCH(D1904,CONFIG!$D$5:$D$14,0)),M1904))),""))</f>
        <v/>
      </c>
      <c r="Q1904" s="16" t="str">
        <f aca="false">IF(OR(O1904="",P1904=""),"",O1904/P1904)</f>
        <v/>
      </c>
      <c r="R1904" s="16" t="str">
        <f aca="false">IF(Q1904="","",Q1904*0.0980665)</f>
        <v/>
      </c>
      <c r="S1904" s="16" t="str">
        <f aca="false">IF(Q1904="","",IFERROR(Q1904/(1/(1/INDEX(CONFIG!$I$5:$I$14,MATCH(D1904,CONFIG!$D$5:$D$14,0)))),""))</f>
        <v/>
      </c>
      <c r="T1904" s="13"/>
      <c r="U1904" s="13"/>
      <c r="V1904" s="13"/>
      <c r="W1904" s="13"/>
      <c r="X1904" s="22" t="str">
        <f aca="false">IF(Q1904="","",Q1904^2)</f>
        <v/>
      </c>
      <c r="Y1904" s="22" t="str">
        <f aca="false">IF(AND(C1904&lt;&gt;"",C1904=CERTIFICADO!$E$4,OR(CERTIFICADO!$E$5="",B1904=CERTIFICADO!$E$5)),MAX($Y$4:Y1903)+1,"")</f>
        <v/>
      </c>
    </row>
    <row r="1905" customFormat="false" ht="15" hidden="false" customHeight="false" outlineLevel="0" collapsed="false">
      <c r="A1905" s="11" t="str">
        <f aca="false">IF(C1905="","",ROW()-4)</f>
        <v/>
      </c>
      <c r="B1905" s="12"/>
      <c r="C1905" s="13"/>
      <c r="D1905" s="23" t="str">
        <f aca="false">IF(C1905="","",IFERROR(INDEX(LOTES!$D$5:$D$1004,MATCH(C1905,LOTES!$F$5:$F$1004,0)),"¿Lote?"))</f>
        <v/>
      </c>
      <c r="E1905" s="11" t="str">
        <f aca="false">IF(C1905="","",IFERROR(INDEX(LOTES!$C$5:$C$1004,MATCH(C1905,LOTES!$F$5:$F$1004,0)),""))</f>
        <v/>
      </c>
      <c r="F1905" s="24" t="str">
        <f aca="false">IF(C1905="","",IFERROR(INDEX(LOTES!$B$5:$B$1004,MATCH(C1905,LOTES!$F$5:$F$1004,0)),""))</f>
        <v/>
      </c>
      <c r="G1905" s="15" t="str">
        <f aca="false">IF(OR(B1905="",F1905=""),"",B1905-F1905)</f>
        <v/>
      </c>
      <c r="H1905" s="13"/>
      <c r="I1905" s="13"/>
      <c r="J1905" s="13"/>
      <c r="K1905" s="25"/>
      <c r="L1905" s="25"/>
      <c r="M1905" s="25"/>
      <c r="N1905" s="25"/>
      <c r="O1905" s="26"/>
      <c r="P1905" s="16" t="str">
        <f aca="false">IF(O1905="","",IFERROR(1/(1/(IF(K1905="",INDEX(CONFIG!$F$5:$F$14,MATCH(D1905,CONFIG!$D$5:$D$14,0)),K1905)*IF(M1905="",INDEX(CONFIG!$H$5:$H$14,MATCH(D1905,CONFIG!$D$5:$D$14,0)),M1905))),""))</f>
        <v/>
      </c>
      <c r="Q1905" s="16" t="str">
        <f aca="false">IF(OR(O1905="",P1905=""),"",O1905/P1905)</f>
        <v/>
      </c>
      <c r="R1905" s="16" t="str">
        <f aca="false">IF(Q1905="","",Q1905*0.0980665)</f>
        <v/>
      </c>
      <c r="S1905" s="16" t="str">
        <f aca="false">IF(Q1905="","",IFERROR(Q1905/(1/(1/INDEX(CONFIG!$I$5:$I$14,MATCH(D1905,CONFIG!$D$5:$D$14,0)))),""))</f>
        <v/>
      </c>
      <c r="T1905" s="13"/>
      <c r="U1905" s="13"/>
      <c r="V1905" s="13"/>
      <c r="W1905" s="13"/>
      <c r="X1905" s="22" t="str">
        <f aca="false">IF(Q1905="","",Q1905^2)</f>
        <v/>
      </c>
      <c r="Y1905" s="22" t="str">
        <f aca="false">IF(AND(C1905&lt;&gt;"",C1905=CERTIFICADO!$E$4,OR(CERTIFICADO!$E$5="",B1905=CERTIFICADO!$E$5)),MAX($Y$4:Y1904)+1,"")</f>
        <v/>
      </c>
    </row>
    <row r="1906" customFormat="false" ht="15" hidden="false" customHeight="false" outlineLevel="0" collapsed="false">
      <c r="A1906" s="11" t="str">
        <f aca="false">IF(C1906="","",ROW()-4)</f>
        <v/>
      </c>
      <c r="B1906" s="12"/>
      <c r="C1906" s="13"/>
      <c r="D1906" s="23" t="str">
        <f aca="false">IF(C1906="","",IFERROR(INDEX(LOTES!$D$5:$D$1004,MATCH(C1906,LOTES!$F$5:$F$1004,0)),"¿Lote?"))</f>
        <v/>
      </c>
      <c r="E1906" s="11" t="str">
        <f aca="false">IF(C1906="","",IFERROR(INDEX(LOTES!$C$5:$C$1004,MATCH(C1906,LOTES!$F$5:$F$1004,0)),""))</f>
        <v/>
      </c>
      <c r="F1906" s="24" t="str">
        <f aca="false">IF(C1906="","",IFERROR(INDEX(LOTES!$B$5:$B$1004,MATCH(C1906,LOTES!$F$5:$F$1004,0)),""))</f>
        <v/>
      </c>
      <c r="G1906" s="15" t="str">
        <f aca="false">IF(OR(B1906="",F1906=""),"",B1906-F1906)</f>
        <v/>
      </c>
      <c r="H1906" s="13"/>
      <c r="I1906" s="13"/>
      <c r="J1906" s="13"/>
      <c r="K1906" s="25"/>
      <c r="L1906" s="25"/>
      <c r="M1906" s="25"/>
      <c r="N1906" s="25"/>
      <c r="O1906" s="26"/>
      <c r="P1906" s="16" t="str">
        <f aca="false">IF(O1906="","",IFERROR(1/(1/(IF(K1906="",INDEX(CONFIG!$F$5:$F$14,MATCH(D1906,CONFIG!$D$5:$D$14,0)),K1906)*IF(M1906="",INDEX(CONFIG!$H$5:$H$14,MATCH(D1906,CONFIG!$D$5:$D$14,0)),M1906))),""))</f>
        <v/>
      </c>
      <c r="Q1906" s="16" t="str">
        <f aca="false">IF(OR(O1906="",P1906=""),"",O1906/P1906)</f>
        <v/>
      </c>
      <c r="R1906" s="16" t="str">
        <f aca="false">IF(Q1906="","",Q1906*0.0980665)</f>
        <v/>
      </c>
      <c r="S1906" s="16" t="str">
        <f aca="false">IF(Q1906="","",IFERROR(Q1906/(1/(1/INDEX(CONFIG!$I$5:$I$14,MATCH(D1906,CONFIG!$D$5:$D$14,0)))),""))</f>
        <v/>
      </c>
      <c r="T1906" s="13"/>
      <c r="U1906" s="13"/>
      <c r="V1906" s="13"/>
      <c r="W1906" s="13"/>
      <c r="X1906" s="22" t="str">
        <f aca="false">IF(Q1906="","",Q1906^2)</f>
        <v/>
      </c>
      <c r="Y1906" s="22" t="str">
        <f aca="false">IF(AND(C1906&lt;&gt;"",C1906=CERTIFICADO!$E$4,OR(CERTIFICADO!$E$5="",B1906=CERTIFICADO!$E$5)),MAX($Y$4:Y1905)+1,"")</f>
        <v/>
      </c>
    </row>
    <row r="1907" customFormat="false" ht="15" hidden="false" customHeight="false" outlineLevel="0" collapsed="false">
      <c r="A1907" s="11" t="str">
        <f aca="false">IF(C1907="","",ROW()-4)</f>
        <v/>
      </c>
      <c r="B1907" s="12"/>
      <c r="C1907" s="13"/>
      <c r="D1907" s="23" t="str">
        <f aca="false">IF(C1907="","",IFERROR(INDEX(LOTES!$D$5:$D$1004,MATCH(C1907,LOTES!$F$5:$F$1004,0)),"¿Lote?"))</f>
        <v/>
      </c>
      <c r="E1907" s="11" t="str">
        <f aca="false">IF(C1907="","",IFERROR(INDEX(LOTES!$C$5:$C$1004,MATCH(C1907,LOTES!$F$5:$F$1004,0)),""))</f>
        <v/>
      </c>
      <c r="F1907" s="24" t="str">
        <f aca="false">IF(C1907="","",IFERROR(INDEX(LOTES!$B$5:$B$1004,MATCH(C1907,LOTES!$F$5:$F$1004,0)),""))</f>
        <v/>
      </c>
      <c r="G1907" s="15" t="str">
        <f aca="false">IF(OR(B1907="",F1907=""),"",B1907-F1907)</f>
        <v/>
      </c>
      <c r="H1907" s="13"/>
      <c r="I1907" s="13"/>
      <c r="J1907" s="13"/>
      <c r="K1907" s="25"/>
      <c r="L1907" s="25"/>
      <c r="M1907" s="25"/>
      <c r="N1907" s="25"/>
      <c r="O1907" s="26"/>
      <c r="P1907" s="16" t="str">
        <f aca="false">IF(O1907="","",IFERROR(1/(1/(IF(K1907="",INDEX(CONFIG!$F$5:$F$14,MATCH(D1907,CONFIG!$D$5:$D$14,0)),K1907)*IF(M1907="",INDEX(CONFIG!$H$5:$H$14,MATCH(D1907,CONFIG!$D$5:$D$14,0)),M1907))),""))</f>
        <v/>
      </c>
      <c r="Q1907" s="16" t="str">
        <f aca="false">IF(OR(O1907="",P1907=""),"",O1907/P1907)</f>
        <v/>
      </c>
      <c r="R1907" s="16" t="str">
        <f aca="false">IF(Q1907="","",Q1907*0.0980665)</f>
        <v/>
      </c>
      <c r="S1907" s="16" t="str">
        <f aca="false">IF(Q1907="","",IFERROR(Q1907/(1/(1/INDEX(CONFIG!$I$5:$I$14,MATCH(D1907,CONFIG!$D$5:$D$14,0)))),""))</f>
        <v/>
      </c>
      <c r="T1907" s="13"/>
      <c r="U1907" s="13"/>
      <c r="V1907" s="13"/>
      <c r="W1907" s="13"/>
      <c r="X1907" s="22" t="str">
        <f aca="false">IF(Q1907="","",Q1907^2)</f>
        <v/>
      </c>
      <c r="Y1907" s="22" t="str">
        <f aca="false">IF(AND(C1907&lt;&gt;"",C1907=CERTIFICADO!$E$4,OR(CERTIFICADO!$E$5="",B1907=CERTIFICADO!$E$5)),MAX($Y$4:Y1906)+1,"")</f>
        <v/>
      </c>
    </row>
    <row r="1908" customFormat="false" ht="15" hidden="false" customHeight="false" outlineLevel="0" collapsed="false">
      <c r="A1908" s="11" t="str">
        <f aca="false">IF(C1908="","",ROW()-4)</f>
        <v/>
      </c>
      <c r="B1908" s="12"/>
      <c r="C1908" s="13"/>
      <c r="D1908" s="23" t="str">
        <f aca="false">IF(C1908="","",IFERROR(INDEX(LOTES!$D$5:$D$1004,MATCH(C1908,LOTES!$F$5:$F$1004,0)),"¿Lote?"))</f>
        <v/>
      </c>
      <c r="E1908" s="11" t="str">
        <f aca="false">IF(C1908="","",IFERROR(INDEX(LOTES!$C$5:$C$1004,MATCH(C1908,LOTES!$F$5:$F$1004,0)),""))</f>
        <v/>
      </c>
      <c r="F1908" s="24" t="str">
        <f aca="false">IF(C1908="","",IFERROR(INDEX(LOTES!$B$5:$B$1004,MATCH(C1908,LOTES!$F$5:$F$1004,0)),""))</f>
        <v/>
      </c>
      <c r="G1908" s="15" t="str">
        <f aca="false">IF(OR(B1908="",F1908=""),"",B1908-F1908)</f>
        <v/>
      </c>
      <c r="H1908" s="13"/>
      <c r="I1908" s="13"/>
      <c r="J1908" s="13"/>
      <c r="K1908" s="25"/>
      <c r="L1908" s="25"/>
      <c r="M1908" s="25"/>
      <c r="N1908" s="25"/>
      <c r="O1908" s="26"/>
      <c r="P1908" s="16" t="str">
        <f aca="false">IF(O1908="","",IFERROR(1/(1/(IF(K1908="",INDEX(CONFIG!$F$5:$F$14,MATCH(D1908,CONFIG!$D$5:$D$14,0)),K1908)*IF(M1908="",INDEX(CONFIG!$H$5:$H$14,MATCH(D1908,CONFIG!$D$5:$D$14,0)),M1908))),""))</f>
        <v/>
      </c>
      <c r="Q1908" s="16" t="str">
        <f aca="false">IF(OR(O1908="",P1908=""),"",O1908/P1908)</f>
        <v/>
      </c>
      <c r="R1908" s="16" t="str">
        <f aca="false">IF(Q1908="","",Q1908*0.0980665)</f>
        <v/>
      </c>
      <c r="S1908" s="16" t="str">
        <f aca="false">IF(Q1908="","",IFERROR(Q1908/(1/(1/INDEX(CONFIG!$I$5:$I$14,MATCH(D1908,CONFIG!$D$5:$D$14,0)))),""))</f>
        <v/>
      </c>
      <c r="T1908" s="13"/>
      <c r="U1908" s="13"/>
      <c r="V1908" s="13"/>
      <c r="W1908" s="13"/>
      <c r="X1908" s="22" t="str">
        <f aca="false">IF(Q1908="","",Q1908^2)</f>
        <v/>
      </c>
      <c r="Y1908" s="22" t="str">
        <f aca="false">IF(AND(C1908&lt;&gt;"",C1908=CERTIFICADO!$E$4,OR(CERTIFICADO!$E$5="",B1908=CERTIFICADO!$E$5)),MAX($Y$4:Y1907)+1,"")</f>
        <v/>
      </c>
    </row>
    <row r="1909" customFormat="false" ht="15" hidden="false" customHeight="false" outlineLevel="0" collapsed="false">
      <c r="A1909" s="11" t="str">
        <f aca="false">IF(C1909="","",ROW()-4)</f>
        <v/>
      </c>
      <c r="B1909" s="12"/>
      <c r="C1909" s="13"/>
      <c r="D1909" s="23" t="str">
        <f aca="false">IF(C1909="","",IFERROR(INDEX(LOTES!$D$5:$D$1004,MATCH(C1909,LOTES!$F$5:$F$1004,0)),"¿Lote?"))</f>
        <v/>
      </c>
      <c r="E1909" s="11" t="str">
        <f aca="false">IF(C1909="","",IFERROR(INDEX(LOTES!$C$5:$C$1004,MATCH(C1909,LOTES!$F$5:$F$1004,0)),""))</f>
        <v/>
      </c>
      <c r="F1909" s="24" t="str">
        <f aca="false">IF(C1909="","",IFERROR(INDEX(LOTES!$B$5:$B$1004,MATCH(C1909,LOTES!$F$5:$F$1004,0)),""))</f>
        <v/>
      </c>
      <c r="G1909" s="15" t="str">
        <f aca="false">IF(OR(B1909="",F1909=""),"",B1909-F1909)</f>
        <v/>
      </c>
      <c r="H1909" s="13"/>
      <c r="I1909" s="13"/>
      <c r="J1909" s="13"/>
      <c r="K1909" s="25"/>
      <c r="L1909" s="25"/>
      <c r="M1909" s="25"/>
      <c r="N1909" s="25"/>
      <c r="O1909" s="26"/>
      <c r="P1909" s="16" t="str">
        <f aca="false">IF(O1909="","",IFERROR(1/(1/(IF(K1909="",INDEX(CONFIG!$F$5:$F$14,MATCH(D1909,CONFIG!$D$5:$D$14,0)),K1909)*IF(M1909="",INDEX(CONFIG!$H$5:$H$14,MATCH(D1909,CONFIG!$D$5:$D$14,0)),M1909))),""))</f>
        <v/>
      </c>
      <c r="Q1909" s="16" t="str">
        <f aca="false">IF(OR(O1909="",P1909=""),"",O1909/P1909)</f>
        <v/>
      </c>
      <c r="R1909" s="16" t="str">
        <f aca="false">IF(Q1909="","",Q1909*0.0980665)</f>
        <v/>
      </c>
      <c r="S1909" s="16" t="str">
        <f aca="false">IF(Q1909="","",IFERROR(Q1909/(1/(1/INDEX(CONFIG!$I$5:$I$14,MATCH(D1909,CONFIG!$D$5:$D$14,0)))),""))</f>
        <v/>
      </c>
      <c r="T1909" s="13"/>
      <c r="U1909" s="13"/>
      <c r="V1909" s="13"/>
      <c r="W1909" s="13"/>
      <c r="X1909" s="22" t="str">
        <f aca="false">IF(Q1909="","",Q1909^2)</f>
        <v/>
      </c>
      <c r="Y1909" s="22" t="str">
        <f aca="false">IF(AND(C1909&lt;&gt;"",C1909=CERTIFICADO!$E$4,OR(CERTIFICADO!$E$5="",B1909=CERTIFICADO!$E$5)),MAX($Y$4:Y1908)+1,"")</f>
        <v/>
      </c>
    </row>
    <row r="1910" customFormat="false" ht="15" hidden="false" customHeight="false" outlineLevel="0" collapsed="false">
      <c r="A1910" s="11" t="str">
        <f aca="false">IF(C1910="","",ROW()-4)</f>
        <v/>
      </c>
      <c r="B1910" s="12"/>
      <c r="C1910" s="13"/>
      <c r="D1910" s="23" t="str">
        <f aca="false">IF(C1910="","",IFERROR(INDEX(LOTES!$D$5:$D$1004,MATCH(C1910,LOTES!$F$5:$F$1004,0)),"¿Lote?"))</f>
        <v/>
      </c>
      <c r="E1910" s="11" t="str">
        <f aca="false">IF(C1910="","",IFERROR(INDEX(LOTES!$C$5:$C$1004,MATCH(C1910,LOTES!$F$5:$F$1004,0)),""))</f>
        <v/>
      </c>
      <c r="F1910" s="24" t="str">
        <f aca="false">IF(C1910="","",IFERROR(INDEX(LOTES!$B$5:$B$1004,MATCH(C1910,LOTES!$F$5:$F$1004,0)),""))</f>
        <v/>
      </c>
      <c r="G1910" s="15" t="str">
        <f aca="false">IF(OR(B1910="",F1910=""),"",B1910-F1910)</f>
        <v/>
      </c>
      <c r="H1910" s="13"/>
      <c r="I1910" s="13"/>
      <c r="J1910" s="13"/>
      <c r="K1910" s="25"/>
      <c r="L1910" s="25"/>
      <c r="M1910" s="25"/>
      <c r="N1910" s="25"/>
      <c r="O1910" s="26"/>
      <c r="P1910" s="16" t="str">
        <f aca="false">IF(O1910="","",IFERROR(1/(1/(IF(K1910="",INDEX(CONFIG!$F$5:$F$14,MATCH(D1910,CONFIG!$D$5:$D$14,0)),K1910)*IF(M1910="",INDEX(CONFIG!$H$5:$H$14,MATCH(D1910,CONFIG!$D$5:$D$14,0)),M1910))),""))</f>
        <v/>
      </c>
      <c r="Q1910" s="16" t="str">
        <f aca="false">IF(OR(O1910="",P1910=""),"",O1910/P1910)</f>
        <v/>
      </c>
      <c r="R1910" s="16" t="str">
        <f aca="false">IF(Q1910="","",Q1910*0.0980665)</f>
        <v/>
      </c>
      <c r="S1910" s="16" t="str">
        <f aca="false">IF(Q1910="","",IFERROR(Q1910/(1/(1/INDEX(CONFIG!$I$5:$I$14,MATCH(D1910,CONFIG!$D$5:$D$14,0)))),""))</f>
        <v/>
      </c>
      <c r="T1910" s="13"/>
      <c r="U1910" s="13"/>
      <c r="V1910" s="13"/>
      <c r="W1910" s="13"/>
      <c r="X1910" s="22" t="str">
        <f aca="false">IF(Q1910="","",Q1910^2)</f>
        <v/>
      </c>
      <c r="Y1910" s="22" t="str">
        <f aca="false">IF(AND(C1910&lt;&gt;"",C1910=CERTIFICADO!$E$4,OR(CERTIFICADO!$E$5="",B1910=CERTIFICADO!$E$5)),MAX($Y$4:Y1909)+1,"")</f>
        <v/>
      </c>
    </row>
    <row r="1911" customFormat="false" ht="15" hidden="false" customHeight="false" outlineLevel="0" collapsed="false">
      <c r="A1911" s="11" t="str">
        <f aca="false">IF(C1911="","",ROW()-4)</f>
        <v/>
      </c>
      <c r="B1911" s="12"/>
      <c r="C1911" s="13"/>
      <c r="D1911" s="23" t="str">
        <f aca="false">IF(C1911="","",IFERROR(INDEX(LOTES!$D$5:$D$1004,MATCH(C1911,LOTES!$F$5:$F$1004,0)),"¿Lote?"))</f>
        <v/>
      </c>
      <c r="E1911" s="11" t="str">
        <f aca="false">IF(C1911="","",IFERROR(INDEX(LOTES!$C$5:$C$1004,MATCH(C1911,LOTES!$F$5:$F$1004,0)),""))</f>
        <v/>
      </c>
      <c r="F1911" s="24" t="str">
        <f aca="false">IF(C1911="","",IFERROR(INDEX(LOTES!$B$5:$B$1004,MATCH(C1911,LOTES!$F$5:$F$1004,0)),""))</f>
        <v/>
      </c>
      <c r="G1911" s="15" t="str">
        <f aca="false">IF(OR(B1911="",F1911=""),"",B1911-F1911)</f>
        <v/>
      </c>
      <c r="H1911" s="13"/>
      <c r="I1911" s="13"/>
      <c r="J1911" s="13"/>
      <c r="K1911" s="25"/>
      <c r="L1911" s="25"/>
      <c r="M1911" s="25"/>
      <c r="N1911" s="25"/>
      <c r="O1911" s="26"/>
      <c r="P1911" s="16" t="str">
        <f aca="false">IF(O1911="","",IFERROR(1/(1/(IF(K1911="",INDEX(CONFIG!$F$5:$F$14,MATCH(D1911,CONFIG!$D$5:$D$14,0)),K1911)*IF(M1911="",INDEX(CONFIG!$H$5:$H$14,MATCH(D1911,CONFIG!$D$5:$D$14,0)),M1911))),""))</f>
        <v/>
      </c>
      <c r="Q1911" s="16" t="str">
        <f aca="false">IF(OR(O1911="",P1911=""),"",O1911/P1911)</f>
        <v/>
      </c>
      <c r="R1911" s="16" t="str">
        <f aca="false">IF(Q1911="","",Q1911*0.0980665)</f>
        <v/>
      </c>
      <c r="S1911" s="16" t="str">
        <f aca="false">IF(Q1911="","",IFERROR(Q1911/(1/(1/INDEX(CONFIG!$I$5:$I$14,MATCH(D1911,CONFIG!$D$5:$D$14,0)))),""))</f>
        <v/>
      </c>
      <c r="T1911" s="13"/>
      <c r="U1911" s="13"/>
      <c r="V1911" s="13"/>
      <c r="W1911" s="13"/>
      <c r="X1911" s="22" t="str">
        <f aca="false">IF(Q1911="","",Q1911^2)</f>
        <v/>
      </c>
      <c r="Y1911" s="22" t="str">
        <f aca="false">IF(AND(C1911&lt;&gt;"",C1911=CERTIFICADO!$E$4,OR(CERTIFICADO!$E$5="",B1911=CERTIFICADO!$E$5)),MAX($Y$4:Y1910)+1,"")</f>
        <v/>
      </c>
    </row>
    <row r="1912" customFormat="false" ht="15" hidden="false" customHeight="false" outlineLevel="0" collapsed="false">
      <c r="A1912" s="11" t="str">
        <f aca="false">IF(C1912="","",ROW()-4)</f>
        <v/>
      </c>
      <c r="B1912" s="12"/>
      <c r="C1912" s="13"/>
      <c r="D1912" s="23" t="str">
        <f aca="false">IF(C1912="","",IFERROR(INDEX(LOTES!$D$5:$D$1004,MATCH(C1912,LOTES!$F$5:$F$1004,0)),"¿Lote?"))</f>
        <v/>
      </c>
      <c r="E1912" s="11" t="str">
        <f aca="false">IF(C1912="","",IFERROR(INDEX(LOTES!$C$5:$C$1004,MATCH(C1912,LOTES!$F$5:$F$1004,0)),""))</f>
        <v/>
      </c>
      <c r="F1912" s="24" t="str">
        <f aca="false">IF(C1912="","",IFERROR(INDEX(LOTES!$B$5:$B$1004,MATCH(C1912,LOTES!$F$5:$F$1004,0)),""))</f>
        <v/>
      </c>
      <c r="G1912" s="15" t="str">
        <f aca="false">IF(OR(B1912="",F1912=""),"",B1912-F1912)</f>
        <v/>
      </c>
      <c r="H1912" s="13"/>
      <c r="I1912" s="13"/>
      <c r="J1912" s="13"/>
      <c r="K1912" s="25"/>
      <c r="L1912" s="25"/>
      <c r="M1912" s="25"/>
      <c r="N1912" s="25"/>
      <c r="O1912" s="26"/>
      <c r="P1912" s="16" t="str">
        <f aca="false">IF(O1912="","",IFERROR(1/(1/(IF(K1912="",INDEX(CONFIG!$F$5:$F$14,MATCH(D1912,CONFIG!$D$5:$D$14,0)),K1912)*IF(M1912="",INDEX(CONFIG!$H$5:$H$14,MATCH(D1912,CONFIG!$D$5:$D$14,0)),M1912))),""))</f>
        <v/>
      </c>
      <c r="Q1912" s="16" t="str">
        <f aca="false">IF(OR(O1912="",P1912=""),"",O1912/P1912)</f>
        <v/>
      </c>
      <c r="R1912" s="16" t="str">
        <f aca="false">IF(Q1912="","",Q1912*0.0980665)</f>
        <v/>
      </c>
      <c r="S1912" s="16" t="str">
        <f aca="false">IF(Q1912="","",IFERROR(Q1912/(1/(1/INDEX(CONFIG!$I$5:$I$14,MATCH(D1912,CONFIG!$D$5:$D$14,0)))),""))</f>
        <v/>
      </c>
      <c r="T1912" s="13"/>
      <c r="U1912" s="13"/>
      <c r="V1912" s="13"/>
      <c r="W1912" s="13"/>
      <c r="X1912" s="22" t="str">
        <f aca="false">IF(Q1912="","",Q1912^2)</f>
        <v/>
      </c>
      <c r="Y1912" s="22" t="str">
        <f aca="false">IF(AND(C1912&lt;&gt;"",C1912=CERTIFICADO!$E$4,OR(CERTIFICADO!$E$5="",B1912=CERTIFICADO!$E$5)),MAX($Y$4:Y1911)+1,"")</f>
        <v/>
      </c>
    </row>
    <row r="1913" customFormat="false" ht="15" hidden="false" customHeight="false" outlineLevel="0" collapsed="false">
      <c r="A1913" s="11" t="str">
        <f aca="false">IF(C1913="","",ROW()-4)</f>
        <v/>
      </c>
      <c r="B1913" s="12"/>
      <c r="C1913" s="13"/>
      <c r="D1913" s="23" t="str">
        <f aca="false">IF(C1913="","",IFERROR(INDEX(LOTES!$D$5:$D$1004,MATCH(C1913,LOTES!$F$5:$F$1004,0)),"¿Lote?"))</f>
        <v/>
      </c>
      <c r="E1913" s="11" t="str">
        <f aca="false">IF(C1913="","",IFERROR(INDEX(LOTES!$C$5:$C$1004,MATCH(C1913,LOTES!$F$5:$F$1004,0)),""))</f>
        <v/>
      </c>
      <c r="F1913" s="24" t="str">
        <f aca="false">IF(C1913="","",IFERROR(INDEX(LOTES!$B$5:$B$1004,MATCH(C1913,LOTES!$F$5:$F$1004,0)),""))</f>
        <v/>
      </c>
      <c r="G1913" s="15" t="str">
        <f aca="false">IF(OR(B1913="",F1913=""),"",B1913-F1913)</f>
        <v/>
      </c>
      <c r="H1913" s="13"/>
      <c r="I1913" s="13"/>
      <c r="J1913" s="13"/>
      <c r="K1913" s="25"/>
      <c r="L1913" s="25"/>
      <c r="M1913" s="25"/>
      <c r="N1913" s="25"/>
      <c r="O1913" s="26"/>
      <c r="P1913" s="16" t="str">
        <f aca="false">IF(O1913="","",IFERROR(1/(1/(IF(K1913="",INDEX(CONFIG!$F$5:$F$14,MATCH(D1913,CONFIG!$D$5:$D$14,0)),K1913)*IF(M1913="",INDEX(CONFIG!$H$5:$H$14,MATCH(D1913,CONFIG!$D$5:$D$14,0)),M1913))),""))</f>
        <v/>
      </c>
      <c r="Q1913" s="16" t="str">
        <f aca="false">IF(OR(O1913="",P1913=""),"",O1913/P1913)</f>
        <v/>
      </c>
      <c r="R1913" s="16" t="str">
        <f aca="false">IF(Q1913="","",Q1913*0.0980665)</f>
        <v/>
      </c>
      <c r="S1913" s="16" t="str">
        <f aca="false">IF(Q1913="","",IFERROR(Q1913/(1/(1/INDEX(CONFIG!$I$5:$I$14,MATCH(D1913,CONFIG!$D$5:$D$14,0)))),""))</f>
        <v/>
      </c>
      <c r="T1913" s="13"/>
      <c r="U1913" s="13"/>
      <c r="V1913" s="13"/>
      <c r="W1913" s="13"/>
      <c r="X1913" s="22" t="str">
        <f aca="false">IF(Q1913="","",Q1913^2)</f>
        <v/>
      </c>
      <c r="Y1913" s="22" t="str">
        <f aca="false">IF(AND(C1913&lt;&gt;"",C1913=CERTIFICADO!$E$4,OR(CERTIFICADO!$E$5="",B1913=CERTIFICADO!$E$5)),MAX($Y$4:Y1912)+1,"")</f>
        <v/>
      </c>
    </row>
    <row r="1914" customFormat="false" ht="15" hidden="false" customHeight="false" outlineLevel="0" collapsed="false">
      <c r="A1914" s="11" t="str">
        <f aca="false">IF(C1914="","",ROW()-4)</f>
        <v/>
      </c>
      <c r="B1914" s="12"/>
      <c r="C1914" s="13"/>
      <c r="D1914" s="23" t="str">
        <f aca="false">IF(C1914="","",IFERROR(INDEX(LOTES!$D$5:$D$1004,MATCH(C1914,LOTES!$F$5:$F$1004,0)),"¿Lote?"))</f>
        <v/>
      </c>
      <c r="E1914" s="11" t="str">
        <f aca="false">IF(C1914="","",IFERROR(INDEX(LOTES!$C$5:$C$1004,MATCH(C1914,LOTES!$F$5:$F$1004,0)),""))</f>
        <v/>
      </c>
      <c r="F1914" s="24" t="str">
        <f aca="false">IF(C1914="","",IFERROR(INDEX(LOTES!$B$5:$B$1004,MATCH(C1914,LOTES!$F$5:$F$1004,0)),""))</f>
        <v/>
      </c>
      <c r="G1914" s="15" t="str">
        <f aca="false">IF(OR(B1914="",F1914=""),"",B1914-F1914)</f>
        <v/>
      </c>
      <c r="H1914" s="13"/>
      <c r="I1914" s="13"/>
      <c r="J1914" s="13"/>
      <c r="K1914" s="25"/>
      <c r="L1914" s="25"/>
      <c r="M1914" s="25"/>
      <c r="N1914" s="25"/>
      <c r="O1914" s="26"/>
      <c r="P1914" s="16" t="str">
        <f aca="false">IF(O1914="","",IFERROR(1/(1/(IF(K1914="",INDEX(CONFIG!$F$5:$F$14,MATCH(D1914,CONFIG!$D$5:$D$14,0)),K1914)*IF(M1914="",INDEX(CONFIG!$H$5:$H$14,MATCH(D1914,CONFIG!$D$5:$D$14,0)),M1914))),""))</f>
        <v/>
      </c>
      <c r="Q1914" s="16" t="str">
        <f aca="false">IF(OR(O1914="",P1914=""),"",O1914/P1914)</f>
        <v/>
      </c>
      <c r="R1914" s="16" t="str">
        <f aca="false">IF(Q1914="","",Q1914*0.0980665)</f>
        <v/>
      </c>
      <c r="S1914" s="16" t="str">
        <f aca="false">IF(Q1914="","",IFERROR(Q1914/(1/(1/INDEX(CONFIG!$I$5:$I$14,MATCH(D1914,CONFIG!$D$5:$D$14,0)))),""))</f>
        <v/>
      </c>
      <c r="T1914" s="13"/>
      <c r="U1914" s="13"/>
      <c r="V1914" s="13"/>
      <c r="W1914" s="13"/>
      <c r="X1914" s="22" t="str">
        <f aca="false">IF(Q1914="","",Q1914^2)</f>
        <v/>
      </c>
      <c r="Y1914" s="22" t="str">
        <f aca="false">IF(AND(C1914&lt;&gt;"",C1914=CERTIFICADO!$E$4,OR(CERTIFICADO!$E$5="",B1914=CERTIFICADO!$E$5)),MAX($Y$4:Y1913)+1,"")</f>
        <v/>
      </c>
    </row>
    <row r="1915" customFormat="false" ht="15" hidden="false" customHeight="false" outlineLevel="0" collapsed="false">
      <c r="A1915" s="11" t="str">
        <f aca="false">IF(C1915="","",ROW()-4)</f>
        <v/>
      </c>
      <c r="B1915" s="12"/>
      <c r="C1915" s="13"/>
      <c r="D1915" s="23" t="str">
        <f aca="false">IF(C1915="","",IFERROR(INDEX(LOTES!$D$5:$D$1004,MATCH(C1915,LOTES!$F$5:$F$1004,0)),"¿Lote?"))</f>
        <v/>
      </c>
      <c r="E1915" s="11" t="str">
        <f aca="false">IF(C1915="","",IFERROR(INDEX(LOTES!$C$5:$C$1004,MATCH(C1915,LOTES!$F$5:$F$1004,0)),""))</f>
        <v/>
      </c>
      <c r="F1915" s="24" t="str">
        <f aca="false">IF(C1915="","",IFERROR(INDEX(LOTES!$B$5:$B$1004,MATCH(C1915,LOTES!$F$5:$F$1004,0)),""))</f>
        <v/>
      </c>
      <c r="G1915" s="15" t="str">
        <f aca="false">IF(OR(B1915="",F1915=""),"",B1915-F1915)</f>
        <v/>
      </c>
      <c r="H1915" s="13"/>
      <c r="I1915" s="13"/>
      <c r="J1915" s="13"/>
      <c r="K1915" s="25"/>
      <c r="L1915" s="25"/>
      <c r="M1915" s="25"/>
      <c r="N1915" s="25"/>
      <c r="O1915" s="26"/>
      <c r="P1915" s="16" t="str">
        <f aca="false">IF(O1915="","",IFERROR(1/(1/(IF(K1915="",INDEX(CONFIG!$F$5:$F$14,MATCH(D1915,CONFIG!$D$5:$D$14,0)),K1915)*IF(M1915="",INDEX(CONFIG!$H$5:$H$14,MATCH(D1915,CONFIG!$D$5:$D$14,0)),M1915))),""))</f>
        <v/>
      </c>
      <c r="Q1915" s="16" t="str">
        <f aca="false">IF(OR(O1915="",P1915=""),"",O1915/P1915)</f>
        <v/>
      </c>
      <c r="R1915" s="16" t="str">
        <f aca="false">IF(Q1915="","",Q1915*0.0980665)</f>
        <v/>
      </c>
      <c r="S1915" s="16" t="str">
        <f aca="false">IF(Q1915="","",IFERROR(Q1915/(1/(1/INDEX(CONFIG!$I$5:$I$14,MATCH(D1915,CONFIG!$D$5:$D$14,0)))),""))</f>
        <v/>
      </c>
      <c r="T1915" s="13"/>
      <c r="U1915" s="13"/>
      <c r="V1915" s="13"/>
      <c r="W1915" s="13"/>
      <c r="X1915" s="22" t="str">
        <f aca="false">IF(Q1915="","",Q1915^2)</f>
        <v/>
      </c>
      <c r="Y1915" s="22" t="str">
        <f aca="false">IF(AND(C1915&lt;&gt;"",C1915=CERTIFICADO!$E$4,OR(CERTIFICADO!$E$5="",B1915=CERTIFICADO!$E$5)),MAX($Y$4:Y1914)+1,"")</f>
        <v/>
      </c>
    </row>
    <row r="1916" customFormat="false" ht="15" hidden="false" customHeight="false" outlineLevel="0" collapsed="false">
      <c r="A1916" s="11" t="str">
        <f aca="false">IF(C1916="","",ROW()-4)</f>
        <v/>
      </c>
      <c r="B1916" s="12"/>
      <c r="C1916" s="13"/>
      <c r="D1916" s="23" t="str">
        <f aca="false">IF(C1916="","",IFERROR(INDEX(LOTES!$D$5:$D$1004,MATCH(C1916,LOTES!$F$5:$F$1004,0)),"¿Lote?"))</f>
        <v/>
      </c>
      <c r="E1916" s="11" t="str">
        <f aca="false">IF(C1916="","",IFERROR(INDEX(LOTES!$C$5:$C$1004,MATCH(C1916,LOTES!$F$5:$F$1004,0)),""))</f>
        <v/>
      </c>
      <c r="F1916" s="24" t="str">
        <f aca="false">IF(C1916="","",IFERROR(INDEX(LOTES!$B$5:$B$1004,MATCH(C1916,LOTES!$F$5:$F$1004,0)),""))</f>
        <v/>
      </c>
      <c r="G1916" s="15" t="str">
        <f aca="false">IF(OR(B1916="",F1916=""),"",B1916-F1916)</f>
        <v/>
      </c>
      <c r="H1916" s="13"/>
      <c r="I1916" s="13"/>
      <c r="J1916" s="13"/>
      <c r="K1916" s="25"/>
      <c r="L1916" s="25"/>
      <c r="M1916" s="25"/>
      <c r="N1916" s="25"/>
      <c r="O1916" s="26"/>
      <c r="P1916" s="16" t="str">
        <f aca="false">IF(O1916="","",IFERROR(1/(1/(IF(K1916="",INDEX(CONFIG!$F$5:$F$14,MATCH(D1916,CONFIG!$D$5:$D$14,0)),K1916)*IF(M1916="",INDEX(CONFIG!$H$5:$H$14,MATCH(D1916,CONFIG!$D$5:$D$14,0)),M1916))),""))</f>
        <v/>
      </c>
      <c r="Q1916" s="16" t="str">
        <f aca="false">IF(OR(O1916="",P1916=""),"",O1916/P1916)</f>
        <v/>
      </c>
      <c r="R1916" s="16" t="str">
        <f aca="false">IF(Q1916="","",Q1916*0.0980665)</f>
        <v/>
      </c>
      <c r="S1916" s="16" t="str">
        <f aca="false">IF(Q1916="","",IFERROR(Q1916/(1/(1/INDEX(CONFIG!$I$5:$I$14,MATCH(D1916,CONFIG!$D$5:$D$14,0)))),""))</f>
        <v/>
      </c>
      <c r="T1916" s="13"/>
      <c r="U1916" s="13"/>
      <c r="V1916" s="13"/>
      <c r="W1916" s="13"/>
      <c r="X1916" s="22" t="str">
        <f aca="false">IF(Q1916="","",Q1916^2)</f>
        <v/>
      </c>
      <c r="Y1916" s="22" t="str">
        <f aca="false">IF(AND(C1916&lt;&gt;"",C1916=CERTIFICADO!$E$4,OR(CERTIFICADO!$E$5="",B1916=CERTIFICADO!$E$5)),MAX($Y$4:Y1915)+1,"")</f>
        <v/>
      </c>
    </row>
    <row r="1917" customFormat="false" ht="15" hidden="false" customHeight="false" outlineLevel="0" collapsed="false">
      <c r="A1917" s="11" t="str">
        <f aca="false">IF(C1917="","",ROW()-4)</f>
        <v/>
      </c>
      <c r="B1917" s="12"/>
      <c r="C1917" s="13"/>
      <c r="D1917" s="23" t="str">
        <f aca="false">IF(C1917="","",IFERROR(INDEX(LOTES!$D$5:$D$1004,MATCH(C1917,LOTES!$F$5:$F$1004,0)),"¿Lote?"))</f>
        <v/>
      </c>
      <c r="E1917" s="11" t="str">
        <f aca="false">IF(C1917="","",IFERROR(INDEX(LOTES!$C$5:$C$1004,MATCH(C1917,LOTES!$F$5:$F$1004,0)),""))</f>
        <v/>
      </c>
      <c r="F1917" s="24" t="str">
        <f aca="false">IF(C1917="","",IFERROR(INDEX(LOTES!$B$5:$B$1004,MATCH(C1917,LOTES!$F$5:$F$1004,0)),""))</f>
        <v/>
      </c>
      <c r="G1917" s="15" t="str">
        <f aca="false">IF(OR(B1917="",F1917=""),"",B1917-F1917)</f>
        <v/>
      </c>
      <c r="H1917" s="13"/>
      <c r="I1917" s="13"/>
      <c r="J1917" s="13"/>
      <c r="K1917" s="25"/>
      <c r="L1917" s="25"/>
      <c r="M1917" s="25"/>
      <c r="N1917" s="25"/>
      <c r="O1917" s="26"/>
      <c r="P1917" s="16" t="str">
        <f aca="false">IF(O1917="","",IFERROR(1/(1/(IF(K1917="",INDEX(CONFIG!$F$5:$F$14,MATCH(D1917,CONFIG!$D$5:$D$14,0)),K1917)*IF(M1917="",INDEX(CONFIG!$H$5:$H$14,MATCH(D1917,CONFIG!$D$5:$D$14,0)),M1917))),""))</f>
        <v/>
      </c>
      <c r="Q1917" s="16" t="str">
        <f aca="false">IF(OR(O1917="",P1917=""),"",O1917/P1917)</f>
        <v/>
      </c>
      <c r="R1917" s="16" t="str">
        <f aca="false">IF(Q1917="","",Q1917*0.0980665)</f>
        <v/>
      </c>
      <c r="S1917" s="16" t="str">
        <f aca="false">IF(Q1917="","",IFERROR(Q1917/(1/(1/INDEX(CONFIG!$I$5:$I$14,MATCH(D1917,CONFIG!$D$5:$D$14,0)))),""))</f>
        <v/>
      </c>
      <c r="T1917" s="13"/>
      <c r="U1917" s="13"/>
      <c r="V1917" s="13"/>
      <c r="W1917" s="13"/>
      <c r="X1917" s="22" t="str">
        <f aca="false">IF(Q1917="","",Q1917^2)</f>
        <v/>
      </c>
      <c r="Y1917" s="22" t="str">
        <f aca="false">IF(AND(C1917&lt;&gt;"",C1917=CERTIFICADO!$E$4,OR(CERTIFICADO!$E$5="",B1917=CERTIFICADO!$E$5)),MAX($Y$4:Y1916)+1,"")</f>
        <v/>
      </c>
    </row>
    <row r="1918" customFormat="false" ht="15" hidden="false" customHeight="false" outlineLevel="0" collapsed="false">
      <c r="A1918" s="11" t="str">
        <f aca="false">IF(C1918="","",ROW()-4)</f>
        <v/>
      </c>
      <c r="B1918" s="12"/>
      <c r="C1918" s="13"/>
      <c r="D1918" s="23" t="str">
        <f aca="false">IF(C1918="","",IFERROR(INDEX(LOTES!$D$5:$D$1004,MATCH(C1918,LOTES!$F$5:$F$1004,0)),"¿Lote?"))</f>
        <v/>
      </c>
      <c r="E1918" s="11" t="str">
        <f aca="false">IF(C1918="","",IFERROR(INDEX(LOTES!$C$5:$C$1004,MATCH(C1918,LOTES!$F$5:$F$1004,0)),""))</f>
        <v/>
      </c>
      <c r="F1918" s="24" t="str">
        <f aca="false">IF(C1918="","",IFERROR(INDEX(LOTES!$B$5:$B$1004,MATCH(C1918,LOTES!$F$5:$F$1004,0)),""))</f>
        <v/>
      </c>
      <c r="G1918" s="15" t="str">
        <f aca="false">IF(OR(B1918="",F1918=""),"",B1918-F1918)</f>
        <v/>
      </c>
      <c r="H1918" s="13"/>
      <c r="I1918" s="13"/>
      <c r="J1918" s="13"/>
      <c r="K1918" s="25"/>
      <c r="L1918" s="25"/>
      <c r="M1918" s="25"/>
      <c r="N1918" s="25"/>
      <c r="O1918" s="26"/>
      <c r="P1918" s="16" t="str">
        <f aca="false">IF(O1918="","",IFERROR(1/(1/(IF(K1918="",INDEX(CONFIG!$F$5:$F$14,MATCH(D1918,CONFIG!$D$5:$D$14,0)),K1918)*IF(M1918="",INDEX(CONFIG!$H$5:$H$14,MATCH(D1918,CONFIG!$D$5:$D$14,0)),M1918))),""))</f>
        <v/>
      </c>
      <c r="Q1918" s="16" t="str">
        <f aca="false">IF(OR(O1918="",P1918=""),"",O1918/P1918)</f>
        <v/>
      </c>
      <c r="R1918" s="16" t="str">
        <f aca="false">IF(Q1918="","",Q1918*0.0980665)</f>
        <v/>
      </c>
      <c r="S1918" s="16" t="str">
        <f aca="false">IF(Q1918="","",IFERROR(Q1918/(1/(1/INDEX(CONFIG!$I$5:$I$14,MATCH(D1918,CONFIG!$D$5:$D$14,0)))),""))</f>
        <v/>
      </c>
      <c r="T1918" s="13"/>
      <c r="U1918" s="13"/>
      <c r="V1918" s="13"/>
      <c r="W1918" s="13"/>
      <c r="X1918" s="22" t="str">
        <f aca="false">IF(Q1918="","",Q1918^2)</f>
        <v/>
      </c>
      <c r="Y1918" s="22" t="str">
        <f aca="false">IF(AND(C1918&lt;&gt;"",C1918=CERTIFICADO!$E$4,OR(CERTIFICADO!$E$5="",B1918=CERTIFICADO!$E$5)),MAX($Y$4:Y1917)+1,"")</f>
        <v/>
      </c>
    </row>
    <row r="1919" customFormat="false" ht="15" hidden="false" customHeight="false" outlineLevel="0" collapsed="false">
      <c r="A1919" s="11" t="str">
        <f aca="false">IF(C1919="","",ROW()-4)</f>
        <v/>
      </c>
      <c r="B1919" s="12"/>
      <c r="C1919" s="13"/>
      <c r="D1919" s="23" t="str">
        <f aca="false">IF(C1919="","",IFERROR(INDEX(LOTES!$D$5:$D$1004,MATCH(C1919,LOTES!$F$5:$F$1004,0)),"¿Lote?"))</f>
        <v/>
      </c>
      <c r="E1919" s="11" t="str">
        <f aca="false">IF(C1919="","",IFERROR(INDEX(LOTES!$C$5:$C$1004,MATCH(C1919,LOTES!$F$5:$F$1004,0)),""))</f>
        <v/>
      </c>
      <c r="F1919" s="24" t="str">
        <f aca="false">IF(C1919="","",IFERROR(INDEX(LOTES!$B$5:$B$1004,MATCH(C1919,LOTES!$F$5:$F$1004,0)),""))</f>
        <v/>
      </c>
      <c r="G1919" s="15" t="str">
        <f aca="false">IF(OR(B1919="",F1919=""),"",B1919-F1919)</f>
        <v/>
      </c>
      <c r="H1919" s="13"/>
      <c r="I1919" s="13"/>
      <c r="J1919" s="13"/>
      <c r="K1919" s="25"/>
      <c r="L1919" s="25"/>
      <c r="M1919" s="25"/>
      <c r="N1919" s="25"/>
      <c r="O1919" s="26"/>
      <c r="P1919" s="16" t="str">
        <f aca="false">IF(O1919="","",IFERROR(1/(1/(IF(K1919="",INDEX(CONFIG!$F$5:$F$14,MATCH(D1919,CONFIG!$D$5:$D$14,0)),K1919)*IF(M1919="",INDEX(CONFIG!$H$5:$H$14,MATCH(D1919,CONFIG!$D$5:$D$14,0)),M1919))),""))</f>
        <v/>
      </c>
      <c r="Q1919" s="16" t="str">
        <f aca="false">IF(OR(O1919="",P1919=""),"",O1919/P1919)</f>
        <v/>
      </c>
      <c r="R1919" s="16" t="str">
        <f aca="false">IF(Q1919="","",Q1919*0.0980665)</f>
        <v/>
      </c>
      <c r="S1919" s="16" t="str">
        <f aca="false">IF(Q1919="","",IFERROR(Q1919/(1/(1/INDEX(CONFIG!$I$5:$I$14,MATCH(D1919,CONFIG!$D$5:$D$14,0)))),""))</f>
        <v/>
      </c>
      <c r="T1919" s="13"/>
      <c r="U1919" s="13"/>
      <c r="V1919" s="13"/>
      <c r="W1919" s="13"/>
      <c r="X1919" s="22" t="str">
        <f aca="false">IF(Q1919="","",Q1919^2)</f>
        <v/>
      </c>
      <c r="Y1919" s="22" t="str">
        <f aca="false">IF(AND(C1919&lt;&gt;"",C1919=CERTIFICADO!$E$4,OR(CERTIFICADO!$E$5="",B1919=CERTIFICADO!$E$5)),MAX($Y$4:Y1918)+1,"")</f>
        <v/>
      </c>
    </row>
    <row r="1920" customFormat="false" ht="15" hidden="false" customHeight="false" outlineLevel="0" collapsed="false">
      <c r="A1920" s="11" t="str">
        <f aca="false">IF(C1920="","",ROW()-4)</f>
        <v/>
      </c>
      <c r="B1920" s="12"/>
      <c r="C1920" s="13"/>
      <c r="D1920" s="23" t="str">
        <f aca="false">IF(C1920="","",IFERROR(INDEX(LOTES!$D$5:$D$1004,MATCH(C1920,LOTES!$F$5:$F$1004,0)),"¿Lote?"))</f>
        <v/>
      </c>
      <c r="E1920" s="11" t="str">
        <f aca="false">IF(C1920="","",IFERROR(INDEX(LOTES!$C$5:$C$1004,MATCH(C1920,LOTES!$F$5:$F$1004,0)),""))</f>
        <v/>
      </c>
      <c r="F1920" s="24" t="str">
        <f aca="false">IF(C1920="","",IFERROR(INDEX(LOTES!$B$5:$B$1004,MATCH(C1920,LOTES!$F$5:$F$1004,0)),""))</f>
        <v/>
      </c>
      <c r="G1920" s="15" t="str">
        <f aca="false">IF(OR(B1920="",F1920=""),"",B1920-F1920)</f>
        <v/>
      </c>
      <c r="H1920" s="13"/>
      <c r="I1920" s="13"/>
      <c r="J1920" s="13"/>
      <c r="K1920" s="25"/>
      <c r="L1920" s="25"/>
      <c r="M1920" s="25"/>
      <c r="N1920" s="25"/>
      <c r="O1920" s="26"/>
      <c r="P1920" s="16" t="str">
        <f aca="false">IF(O1920="","",IFERROR(1/(1/(IF(K1920="",INDEX(CONFIG!$F$5:$F$14,MATCH(D1920,CONFIG!$D$5:$D$14,0)),K1920)*IF(M1920="",INDEX(CONFIG!$H$5:$H$14,MATCH(D1920,CONFIG!$D$5:$D$14,0)),M1920))),""))</f>
        <v/>
      </c>
      <c r="Q1920" s="16" t="str">
        <f aca="false">IF(OR(O1920="",P1920=""),"",O1920/P1920)</f>
        <v/>
      </c>
      <c r="R1920" s="16" t="str">
        <f aca="false">IF(Q1920="","",Q1920*0.0980665)</f>
        <v/>
      </c>
      <c r="S1920" s="16" t="str">
        <f aca="false">IF(Q1920="","",IFERROR(Q1920/(1/(1/INDEX(CONFIG!$I$5:$I$14,MATCH(D1920,CONFIG!$D$5:$D$14,0)))),""))</f>
        <v/>
      </c>
      <c r="T1920" s="13"/>
      <c r="U1920" s="13"/>
      <c r="V1920" s="13"/>
      <c r="W1920" s="13"/>
      <c r="X1920" s="22" t="str">
        <f aca="false">IF(Q1920="","",Q1920^2)</f>
        <v/>
      </c>
      <c r="Y1920" s="22" t="str">
        <f aca="false">IF(AND(C1920&lt;&gt;"",C1920=CERTIFICADO!$E$4,OR(CERTIFICADO!$E$5="",B1920=CERTIFICADO!$E$5)),MAX($Y$4:Y1919)+1,"")</f>
        <v/>
      </c>
    </row>
    <row r="1921" customFormat="false" ht="15" hidden="false" customHeight="false" outlineLevel="0" collapsed="false">
      <c r="A1921" s="11" t="str">
        <f aca="false">IF(C1921="","",ROW()-4)</f>
        <v/>
      </c>
      <c r="B1921" s="12"/>
      <c r="C1921" s="13"/>
      <c r="D1921" s="23" t="str">
        <f aca="false">IF(C1921="","",IFERROR(INDEX(LOTES!$D$5:$D$1004,MATCH(C1921,LOTES!$F$5:$F$1004,0)),"¿Lote?"))</f>
        <v/>
      </c>
      <c r="E1921" s="11" t="str">
        <f aca="false">IF(C1921="","",IFERROR(INDEX(LOTES!$C$5:$C$1004,MATCH(C1921,LOTES!$F$5:$F$1004,0)),""))</f>
        <v/>
      </c>
      <c r="F1921" s="24" t="str">
        <f aca="false">IF(C1921="","",IFERROR(INDEX(LOTES!$B$5:$B$1004,MATCH(C1921,LOTES!$F$5:$F$1004,0)),""))</f>
        <v/>
      </c>
      <c r="G1921" s="15" t="str">
        <f aca="false">IF(OR(B1921="",F1921=""),"",B1921-F1921)</f>
        <v/>
      </c>
      <c r="H1921" s="13"/>
      <c r="I1921" s="13"/>
      <c r="J1921" s="13"/>
      <c r="K1921" s="25"/>
      <c r="L1921" s="25"/>
      <c r="M1921" s="25"/>
      <c r="N1921" s="25"/>
      <c r="O1921" s="26"/>
      <c r="P1921" s="16" t="str">
        <f aca="false">IF(O1921="","",IFERROR(1/(1/(IF(K1921="",INDEX(CONFIG!$F$5:$F$14,MATCH(D1921,CONFIG!$D$5:$D$14,0)),K1921)*IF(M1921="",INDEX(CONFIG!$H$5:$H$14,MATCH(D1921,CONFIG!$D$5:$D$14,0)),M1921))),""))</f>
        <v/>
      </c>
      <c r="Q1921" s="16" t="str">
        <f aca="false">IF(OR(O1921="",P1921=""),"",O1921/P1921)</f>
        <v/>
      </c>
      <c r="R1921" s="16" t="str">
        <f aca="false">IF(Q1921="","",Q1921*0.0980665)</f>
        <v/>
      </c>
      <c r="S1921" s="16" t="str">
        <f aca="false">IF(Q1921="","",IFERROR(Q1921/(1/(1/INDEX(CONFIG!$I$5:$I$14,MATCH(D1921,CONFIG!$D$5:$D$14,0)))),""))</f>
        <v/>
      </c>
      <c r="T1921" s="13"/>
      <c r="U1921" s="13"/>
      <c r="V1921" s="13"/>
      <c r="W1921" s="13"/>
      <c r="X1921" s="22" t="str">
        <f aca="false">IF(Q1921="","",Q1921^2)</f>
        <v/>
      </c>
      <c r="Y1921" s="22" t="str">
        <f aca="false">IF(AND(C1921&lt;&gt;"",C1921=CERTIFICADO!$E$4,OR(CERTIFICADO!$E$5="",B1921=CERTIFICADO!$E$5)),MAX($Y$4:Y1920)+1,"")</f>
        <v/>
      </c>
    </row>
    <row r="1922" customFormat="false" ht="15" hidden="false" customHeight="false" outlineLevel="0" collapsed="false">
      <c r="A1922" s="11" t="str">
        <f aca="false">IF(C1922="","",ROW()-4)</f>
        <v/>
      </c>
      <c r="B1922" s="12"/>
      <c r="C1922" s="13"/>
      <c r="D1922" s="23" t="str">
        <f aca="false">IF(C1922="","",IFERROR(INDEX(LOTES!$D$5:$D$1004,MATCH(C1922,LOTES!$F$5:$F$1004,0)),"¿Lote?"))</f>
        <v/>
      </c>
      <c r="E1922" s="11" t="str">
        <f aca="false">IF(C1922="","",IFERROR(INDEX(LOTES!$C$5:$C$1004,MATCH(C1922,LOTES!$F$5:$F$1004,0)),""))</f>
        <v/>
      </c>
      <c r="F1922" s="24" t="str">
        <f aca="false">IF(C1922="","",IFERROR(INDEX(LOTES!$B$5:$B$1004,MATCH(C1922,LOTES!$F$5:$F$1004,0)),""))</f>
        <v/>
      </c>
      <c r="G1922" s="15" t="str">
        <f aca="false">IF(OR(B1922="",F1922=""),"",B1922-F1922)</f>
        <v/>
      </c>
      <c r="H1922" s="13"/>
      <c r="I1922" s="13"/>
      <c r="J1922" s="13"/>
      <c r="K1922" s="25"/>
      <c r="L1922" s="25"/>
      <c r="M1922" s="25"/>
      <c r="N1922" s="25"/>
      <c r="O1922" s="26"/>
      <c r="P1922" s="16" t="str">
        <f aca="false">IF(O1922="","",IFERROR(1/(1/(IF(K1922="",INDEX(CONFIG!$F$5:$F$14,MATCH(D1922,CONFIG!$D$5:$D$14,0)),K1922)*IF(M1922="",INDEX(CONFIG!$H$5:$H$14,MATCH(D1922,CONFIG!$D$5:$D$14,0)),M1922))),""))</f>
        <v/>
      </c>
      <c r="Q1922" s="16" t="str">
        <f aca="false">IF(OR(O1922="",P1922=""),"",O1922/P1922)</f>
        <v/>
      </c>
      <c r="R1922" s="16" t="str">
        <f aca="false">IF(Q1922="","",Q1922*0.0980665)</f>
        <v/>
      </c>
      <c r="S1922" s="16" t="str">
        <f aca="false">IF(Q1922="","",IFERROR(Q1922/(1/(1/INDEX(CONFIG!$I$5:$I$14,MATCH(D1922,CONFIG!$D$5:$D$14,0)))),""))</f>
        <v/>
      </c>
      <c r="T1922" s="13"/>
      <c r="U1922" s="13"/>
      <c r="V1922" s="13"/>
      <c r="W1922" s="13"/>
      <c r="X1922" s="22" t="str">
        <f aca="false">IF(Q1922="","",Q1922^2)</f>
        <v/>
      </c>
      <c r="Y1922" s="22" t="str">
        <f aca="false">IF(AND(C1922&lt;&gt;"",C1922=CERTIFICADO!$E$4,OR(CERTIFICADO!$E$5="",B1922=CERTIFICADO!$E$5)),MAX($Y$4:Y1921)+1,"")</f>
        <v/>
      </c>
    </row>
    <row r="1923" customFormat="false" ht="15" hidden="false" customHeight="false" outlineLevel="0" collapsed="false">
      <c r="A1923" s="11" t="str">
        <f aca="false">IF(C1923="","",ROW()-4)</f>
        <v/>
      </c>
      <c r="B1923" s="12"/>
      <c r="C1923" s="13"/>
      <c r="D1923" s="23" t="str">
        <f aca="false">IF(C1923="","",IFERROR(INDEX(LOTES!$D$5:$D$1004,MATCH(C1923,LOTES!$F$5:$F$1004,0)),"¿Lote?"))</f>
        <v/>
      </c>
      <c r="E1923" s="11" t="str">
        <f aca="false">IF(C1923="","",IFERROR(INDEX(LOTES!$C$5:$C$1004,MATCH(C1923,LOTES!$F$5:$F$1004,0)),""))</f>
        <v/>
      </c>
      <c r="F1923" s="24" t="str">
        <f aca="false">IF(C1923="","",IFERROR(INDEX(LOTES!$B$5:$B$1004,MATCH(C1923,LOTES!$F$5:$F$1004,0)),""))</f>
        <v/>
      </c>
      <c r="G1923" s="15" t="str">
        <f aca="false">IF(OR(B1923="",F1923=""),"",B1923-F1923)</f>
        <v/>
      </c>
      <c r="H1923" s="13"/>
      <c r="I1923" s="13"/>
      <c r="J1923" s="13"/>
      <c r="K1923" s="25"/>
      <c r="L1923" s="25"/>
      <c r="M1923" s="25"/>
      <c r="N1923" s="25"/>
      <c r="O1923" s="26"/>
      <c r="P1923" s="16" t="str">
        <f aca="false">IF(O1923="","",IFERROR(1/(1/(IF(K1923="",INDEX(CONFIG!$F$5:$F$14,MATCH(D1923,CONFIG!$D$5:$D$14,0)),K1923)*IF(M1923="",INDEX(CONFIG!$H$5:$H$14,MATCH(D1923,CONFIG!$D$5:$D$14,0)),M1923))),""))</f>
        <v/>
      </c>
      <c r="Q1923" s="16" t="str">
        <f aca="false">IF(OR(O1923="",P1923=""),"",O1923/P1923)</f>
        <v/>
      </c>
      <c r="R1923" s="16" t="str">
        <f aca="false">IF(Q1923="","",Q1923*0.0980665)</f>
        <v/>
      </c>
      <c r="S1923" s="16" t="str">
        <f aca="false">IF(Q1923="","",IFERROR(Q1923/(1/(1/INDEX(CONFIG!$I$5:$I$14,MATCH(D1923,CONFIG!$D$5:$D$14,0)))),""))</f>
        <v/>
      </c>
      <c r="T1923" s="13"/>
      <c r="U1923" s="13"/>
      <c r="V1923" s="13"/>
      <c r="W1923" s="13"/>
      <c r="X1923" s="22" t="str">
        <f aca="false">IF(Q1923="","",Q1923^2)</f>
        <v/>
      </c>
      <c r="Y1923" s="22" t="str">
        <f aca="false">IF(AND(C1923&lt;&gt;"",C1923=CERTIFICADO!$E$4,OR(CERTIFICADO!$E$5="",B1923=CERTIFICADO!$E$5)),MAX($Y$4:Y1922)+1,"")</f>
        <v/>
      </c>
    </row>
    <row r="1924" customFormat="false" ht="15" hidden="false" customHeight="false" outlineLevel="0" collapsed="false">
      <c r="A1924" s="11" t="str">
        <f aca="false">IF(C1924="","",ROW()-4)</f>
        <v/>
      </c>
      <c r="B1924" s="12"/>
      <c r="C1924" s="13"/>
      <c r="D1924" s="23" t="str">
        <f aca="false">IF(C1924="","",IFERROR(INDEX(LOTES!$D$5:$D$1004,MATCH(C1924,LOTES!$F$5:$F$1004,0)),"¿Lote?"))</f>
        <v/>
      </c>
      <c r="E1924" s="11" t="str">
        <f aca="false">IF(C1924="","",IFERROR(INDEX(LOTES!$C$5:$C$1004,MATCH(C1924,LOTES!$F$5:$F$1004,0)),""))</f>
        <v/>
      </c>
      <c r="F1924" s="24" t="str">
        <f aca="false">IF(C1924="","",IFERROR(INDEX(LOTES!$B$5:$B$1004,MATCH(C1924,LOTES!$F$5:$F$1004,0)),""))</f>
        <v/>
      </c>
      <c r="G1924" s="15" t="str">
        <f aca="false">IF(OR(B1924="",F1924=""),"",B1924-F1924)</f>
        <v/>
      </c>
      <c r="H1924" s="13"/>
      <c r="I1924" s="13"/>
      <c r="J1924" s="13"/>
      <c r="K1924" s="25"/>
      <c r="L1924" s="25"/>
      <c r="M1924" s="25"/>
      <c r="N1924" s="25"/>
      <c r="O1924" s="26"/>
      <c r="P1924" s="16" t="str">
        <f aca="false">IF(O1924="","",IFERROR(1/(1/(IF(K1924="",INDEX(CONFIG!$F$5:$F$14,MATCH(D1924,CONFIG!$D$5:$D$14,0)),K1924)*IF(M1924="",INDEX(CONFIG!$H$5:$H$14,MATCH(D1924,CONFIG!$D$5:$D$14,0)),M1924))),""))</f>
        <v/>
      </c>
      <c r="Q1924" s="16" t="str">
        <f aca="false">IF(OR(O1924="",P1924=""),"",O1924/P1924)</f>
        <v/>
      </c>
      <c r="R1924" s="16" t="str">
        <f aca="false">IF(Q1924="","",Q1924*0.0980665)</f>
        <v/>
      </c>
      <c r="S1924" s="16" t="str">
        <f aca="false">IF(Q1924="","",IFERROR(Q1924/(1/(1/INDEX(CONFIG!$I$5:$I$14,MATCH(D1924,CONFIG!$D$5:$D$14,0)))),""))</f>
        <v/>
      </c>
      <c r="T1924" s="13"/>
      <c r="U1924" s="13"/>
      <c r="V1924" s="13"/>
      <c r="W1924" s="13"/>
      <c r="X1924" s="22" t="str">
        <f aca="false">IF(Q1924="","",Q1924^2)</f>
        <v/>
      </c>
      <c r="Y1924" s="22" t="str">
        <f aca="false">IF(AND(C1924&lt;&gt;"",C1924=CERTIFICADO!$E$4,OR(CERTIFICADO!$E$5="",B1924=CERTIFICADO!$E$5)),MAX($Y$4:Y1923)+1,"")</f>
        <v/>
      </c>
    </row>
    <row r="1925" customFormat="false" ht="15" hidden="false" customHeight="false" outlineLevel="0" collapsed="false">
      <c r="A1925" s="11" t="str">
        <f aca="false">IF(C1925="","",ROW()-4)</f>
        <v/>
      </c>
      <c r="B1925" s="12"/>
      <c r="C1925" s="13"/>
      <c r="D1925" s="23" t="str">
        <f aca="false">IF(C1925="","",IFERROR(INDEX(LOTES!$D$5:$D$1004,MATCH(C1925,LOTES!$F$5:$F$1004,0)),"¿Lote?"))</f>
        <v/>
      </c>
      <c r="E1925" s="11" t="str">
        <f aca="false">IF(C1925="","",IFERROR(INDEX(LOTES!$C$5:$C$1004,MATCH(C1925,LOTES!$F$5:$F$1004,0)),""))</f>
        <v/>
      </c>
      <c r="F1925" s="24" t="str">
        <f aca="false">IF(C1925="","",IFERROR(INDEX(LOTES!$B$5:$B$1004,MATCH(C1925,LOTES!$F$5:$F$1004,0)),""))</f>
        <v/>
      </c>
      <c r="G1925" s="15" t="str">
        <f aca="false">IF(OR(B1925="",F1925=""),"",B1925-F1925)</f>
        <v/>
      </c>
      <c r="H1925" s="13"/>
      <c r="I1925" s="13"/>
      <c r="J1925" s="13"/>
      <c r="K1925" s="25"/>
      <c r="L1925" s="25"/>
      <c r="M1925" s="25"/>
      <c r="N1925" s="25"/>
      <c r="O1925" s="26"/>
      <c r="P1925" s="16" t="str">
        <f aca="false">IF(O1925="","",IFERROR(1/(1/(IF(K1925="",INDEX(CONFIG!$F$5:$F$14,MATCH(D1925,CONFIG!$D$5:$D$14,0)),K1925)*IF(M1925="",INDEX(CONFIG!$H$5:$H$14,MATCH(D1925,CONFIG!$D$5:$D$14,0)),M1925))),""))</f>
        <v/>
      </c>
      <c r="Q1925" s="16" t="str">
        <f aca="false">IF(OR(O1925="",P1925=""),"",O1925/P1925)</f>
        <v/>
      </c>
      <c r="R1925" s="16" t="str">
        <f aca="false">IF(Q1925="","",Q1925*0.0980665)</f>
        <v/>
      </c>
      <c r="S1925" s="16" t="str">
        <f aca="false">IF(Q1925="","",IFERROR(Q1925/(1/(1/INDEX(CONFIG!$I$5:$I$14,MATCH(D1925,CONFIG!$D$5:$D$14,0)))),""))</f>
        <v/>
      </c>
      <c r="T1925" s="13"/>
      <c r="U1925" s="13"/>
      <c r="V1925" s="13"/>
      <c r="W1925" s="13"/>
      <c r="X1925" s="22" t="str">
        <f aca="false">IF(Q1925="","",Q1925^2)</f>
        <v/>
      </c>
      <c r="Y1925" s="22" t="str">
        <f aca="false">IF(AND(C1925&lt;&gt;"",C1925=CERTIFICADO!$E$4,OR(CERTIFICADO!$E$5="",B1925=CERTIFICADO!$E$5)),MAX($Y$4:Y1924)+1,"")</f>
        <v/>
      </c>
    </row>
    <row r="1926" customFormat="false" ht="15" hidden="false" customHeight="false" outlineLevel="0" collapsed="false">
      <c r="A1926" s="11" t="str">
        <f aca="false">IF(C1926="","",ROW()-4)</f>
        <v/>
      </c>
      <c r="B1926" s="12"/>
      <c r="C1926" s="13"/>
      <c r="D1926" s="23" t="str">
        <f aca="false">IF(C1926="","",IFERROR(INDEX(LOTES!$D$5:$D$1004,MATCH(C1926,LOTES!$F$5:$F$1004,0)),"¿Lote?"))</f>
        <v/>
      </c>
      <c r="E1926" s="11" t="str">
        <f aca="false">IF(C1926="","",IFERROR(INDEX(LOTES!$C$5:$C$1004,MATCH(C1926,LOTES!$F$5:$F$1004,0)),""))</f>
        <v/>
      </c>
      <c r="F1926" s="24" t="str">
        <f aca="false">IF(C1926="","",IFERROR(INDEX(LOTES!$B$5:$B$1004,MATCH(C1926,LOTES!$F$5:$F$1004,0)),""))</f>
        <v/>
      </c>
      <c r="G1926" s="15" t="str">
        <f aca="false">IF(OR(B1926="",F1926=""),"",B1926-F1926)</f>
        <v/>
      </c>
      <c r="H1926" s="13"/>
      <c r="I1926" s="13"/>
      <c r="J1926" s="13"/>
      <c r="K1926" s="25"/>
      <c r="L1926" s="25"/>
      <c r="M1926" s="25"/>
      <c r="N1926" s="25"/>
      <c r="O1926" s="26"/>
      <c r="P1926" s="16" t="str">
        <f aca="false">IF(O1926="","",IFERROR(1/(1/(IF(K1926="",INDEX(CONFIG!$F$5:$F$14,MATCH(D1926,CONFIG!$D$5:$D$14,0)),K1926)*IF(M1926="",INDEX(CONFIG!$H$5:$H$14,MATCH(D1926,CONFIG!$D$5:$D$14,0)),M1926))),""))</f>
        <v/>
      </c>
      <c r="Q1926" s="16" t="str">
        <f aca="false">IF(OR(O1926="",P1926=""),"",O1926/P1926)</f>
        <v/>
      </c>
      <c r="R1926" s="16" t="str">
        <f aca="false">IF(Q1926="","",Q1926*0.0980665)</f>
        <v/>
      </c>
      <c r="S1926" s="16" t="str">
        <f aca="false">IF(Q1926="","",IFERROR(Q1926/(1/(1/INDEX(CONFIG!$I$5:$I$14,MATCH(D1926,CONFIG!$D$5:$D$14,0)))),""))</f>
        <v/>
      </c>
      <c r="T1926" s="13"/>
      <c r="U1926" s="13"/>
      <c r="V1926" s="13"/>
      <c r="W1926" s="13"/>
      <c r="X1926" s="22" t="str">
        <f aca="false">IF(Q1926="","",Q1926^2)</f>
        <v/>
      </c>
      <c r="Y1926" s="22" t="str">
        <f aca="false">IF(AND(C1926&lt;&gt;"",C1926=CERTIFICADO!$E$4,OR(CERTIFICADO!$E$5="",B1926=CERTIFICADO!$E$5)),MAX($Y$4:Y1925)+1,"")</f>
        <v/>
      </c>
    </row>
    <row r="1927" customFormat="false" ht="15" hidden="false" customHeight="false" outlineLevel="0" collapsed="false">
      <c r="A1927" s="11" t="str">
        <f aca="false">IF(C1927="","",ROW()-4)</f>
        <v/>
      </c>
      <c r="B1927" s="12"/>
      <c r="C1927" s="13"/>
      <c r="D1927" s="23" t="str">
        <f aca="false">IF(C1927="","",IFERROR(INDEX(LOTES!$D$5:$D$1004,MATCH(C1927,LOTES!$F$5:$F$1004,0)),"¿Lote?"))</f>
        <v/>
      </c>
      <c r="E1927" s="11" t="str">
        <f aca="false">IF(C1927="","",IFERROR(INDEX(LOTES!$C$5:$C$1004,MATCH(C1927,LOTES!$F$5:$F$1004,0)),""))</f>
        <v/>
      </c>
      <c r="F1927" s="24" t="str">
        <f aca="false">IF(C1927="","",IFERROR(INDEX(LOTES!$B$5:$B$1004,MATCH(C1927,LOTES!$F$5:$F$1004,0)),""))</f>
        <v/>
      </c>
      <c r="G1927" s="15" t="str">
        <f aca="false">IF(OR(B1927="",F1927=""),"",B1927-F1927)</f>
        <v/>
      </c>
      <c r="H1927" s="13"/>
      <c r="I1927" s="13"/>
      <c r="J1927" s="13"/>
      <c r="K1927" s="25"/>
      <c r="L1927" s="25"/>
      <c r="M1927" s="25"/>
      <c r="N1927" s="25"/>
      <c r="O1927" s="26"/>
      <c r="P1927" s="16" t="str">
        <f aca="false">IF(O1927="","",IFERROR(1/(1/(IF(K1927="",INDEX(CONFIG!$F$5:$F$14,MATCH(D1927,CONFIG!$D$5:$D$14,0)),K1927)*IF(M1927="",INDEX(CONFIG!$H$5:$H$14,MATCH(D1927,CONFIG!$D$5:$D$14,0)),M1927))),""))</f>
        <v/>
      </c>
      <c r="Q1927" s="16" t="str">
        <f aca="false">IF(OR(O1927="",P1927=""),"",O1927/P1927)</f>
        <v/>
      </c>
      <c r="R1927" s="16" t="str">
        <f aca="false">IF(Q1927="","",Q1927*0.0980665)</f>
        <v/>
      </c>
      <c r="S1927" s="16" t="str">
        <f aca="false">IF(Q1927="","",IFERROR(Q1927/(1/(1/INDEX(CONFIG!$I$5:$I$14,MATCH(D1927,CONFIG!$D$5:$D$14,0)))),""))</f>
        <v/>
      </c>
      <c r="T1927" s="13"/>
      <c r="U1927" s="13"/>
      <c r="V1927" s="13"/>
      <c r="W1927" s="13"/>
      <c r="X1927" s="22" t="str">
        <f aca="false">IF(Q1927="","",Q1927^2)</f>
        <v/>
      </c>
      <c r="Y1927" s="22" t="str">
        <f aca="false">IF(AND(C1927&lt;&gt;"",C1927=CERTIFICADO!$E$4,OR(CERTIFICADO!$E$5="",B1927=CERTIFICADO!$E$5)),MAX($Y$4:Y1926)+1,"")</f>
        <v/>
      </c>
    </row>
    <row r="1928" customFormat="false" ht="15" hidden="false" customHeight="false" outlineLevel="0" collapsed="false">
      <c r="A1928" s="11" t="str">
        <f aca="false">IF(C1928="","",ROW()-4)</f>
        <v/>
      </c>
      <c r="B1928" s="12"/>
      <c r="C1928" s="13"/>
      <c r="D1928" s="23" t="str">
        <f aca="false">IF(C1928="","",IFERROR(INDEX(LOTES!$D$5:$D$1004,MATCH(C1928,LOTES!$F$5:$F$1004,0)),"¿Lote?"))</f>
        <v/>
      </c>
      <c r="E1928" s="11" t="str">
        <f aca="false">IF(C1928="","",IFERROR(INDEX(LOTES!$C$5:$C$1004,MATCH(C1928,LOTES!$F$5:$F$1004,0)),""))</f>
        <v/>
      </c>
      <c r="F1928" s="24" t="str">
        <f aca="false">IF(C1928="","",IFERROR(INDEX(LOTES!$B$5:$B$1004,MATCH(C1928,LOTES!$F$5:$F$1004,0)),""))</f>
        <v/>
      </c>
      <c r="G1928" s="15" t="str">
        <f aca="false">IF(OR(B1928="",F1928=""),"",B1928-F1928)</f>
        <v/>
      </c>
      <c r="H1928" s="13"/>
      <c r="I1928" s="13"/>
      <c r="J1928" s="13"/>
      <c r="K1928" s="25"/>
      <c r="L1928" s="25"/>
      <c r="M1928" s="25"/>
      <c r="N1928" s="25"/>
      <c r="O1928" s="26"/>
      <c r="P1928" s="16" t="str">
        <f aca="false">IF(O1928="","",IFERROR(1/(1/(IF(K1928="",INDEX(CONFIG!$F$5:$F$14,MATCH(D1928,CONFIG!$D$5:$D$14,0)),K1928)*IF(M1928="",INDEX(CONFIG!$H$5:$H$14,MATCH(D1928,CONFIG!$D$5:$D$14,0)),M1928))),""))</f>
        <v/>
      </c>
      <c r="Q1928" s="16" t="str">
        <f aca="false">IF(OR(O1928="",P1928=""),"",O1928/P1928)</f>
        <v/>
      </c>
      <c r="R1928" s="16" t="str">
        <f aca="false">IF(Q1928="","",Q1928*0.0980665)</f>
        <v/>
      </c>
      <c r="S1928" s="16" t="str">
        <f aca="false">IF(Q1928="","",IFERROR(Q1928/(1/(1/INDEX(CONFIG!$I$5:$I$14,MATCH(D1928,CONFIG!$D$5:$D$14,0)))),""))</f>
        <v/>
      </c>
      <c r="T1928" s="13"/>
      <c r="U1928" s="13"/>
      <c r="V1928" s="13"/>
      <c r="W1928" s="13"/>
      <c r="X1928" s="22" t="str">
        <f aca="false">IF(Q1928="","",Q1928^2)</f>
        <v/>
      </c>
      <c r="Y1928" s="22" t="str">
        <f aca="false">IF(AND(C1928&lt;&gt;"",C1928=CERTIFICADO!$E$4,OR(CERTIFICADO!$E$5="",B1928=CERTIFICADO!$E$5)),MAX($Y$4:Y1927)+1,"")</f>
        <v/>
      </c>
    </row>
    <row r="1929" customFormat="false" ht="15" hidden="false" customHeight="false" outlineLevel="0" collapsed="false">
      <c r="A1929" s="11" t="str">
        <f aca="false">IF(C1929="","",ROW()-4)</f>
        <v/>
      </c>
      <c r="B1929" s="12"/>
      <c r="C1929" s="13"/>
      <c r="D1929" s="23" t="str">
        <f aca="false">IF(C1929="","",IFERROR(INDEX(LOTES!$D$5:$D$1004,MATCH(C1929,LOTES!$F$5:$F$1004,0)),"¿Lote?"))</f>
        <v/>
      </c>
      <c r="E1929" s="11" t="str">
        <f aca="false">IF(C1929="","",IFERROR(INDEX(LOTES!$C$5:$C$1004,MATCH(C1929,LOTES!$F$5:$F$1004,0)),""))</f>
        <v/>
      </c>
      <c r="F1929" s="24" t="str">
        <f aca="false">IF(C1929="","",IFERROR(INDEX(LOTES!$B$5:$B$1004,MATCH(C1929,LOTES!$F$5:$F$1004,0)),""))</f>
        <v/>
      </c>
      <c r="G1929" s="15" t="str">
        <f aca="false">IF(OR(B1929="",F1929=""),"",B1929-F1929)</f>
        <v/>
      </c>
      <c r="H1929" s="13"/>
      <c r="I1929" s="13"/>
      <c r="J1929" s="13"/>
      <c r="K1929" s="25"/>
      <c r="L1929" s="25"/>
      <c r="M1929" s="25"/>
      <c r="N1929" s="25"/>
      <c r="O1929" s="26"/>
      <c r="P1929" s="16" t="str">
        <f aca="false">IF(O1929="","",IFERROR(1/(1/(IF(K1929="",INDEX(CONFIG!$F$5:$F$14,MATCH(D1929,CONFIG!$D$5:$D$14,0)),K1929)*IF(M1929="",INDEX(CONFIG!$H$5:$H$14,MATCH(D1929,CONFIG!$D$5:$D$14,0)),M1929))),""))</f>
        <v/>
      </c>
      <c r="Q1929" s="16" t="str">
        <f aca="false">IF(OR(O1929="",P1929=""),"",O1929/P1929)</f>
        <v/>
      </c>
      <c r="R1929" s="16" t="str">
        <f aca="false">IF(Q1929="","",Q1929*0.0980665)</f>
        <v/>
      </c>
      <c r="S1929" s="16" t="str">
        <f aca="false">IF(Q1929="","",IFERROR(Q1929/(1/(1/INDEX(CONFIG!$I$5:$I$14,MATCH(D1929,CONFIG!$D$5:$D$14,0)))),""))</f>
        <v/>
      </c>
      <c r="T1929" s="13"/>
      <c r="U1929" s="13"/>
      <c r="V1929" s="13"/>
      <c r="W1929" s="13"/>
      <c r="X1929" s="22" t="str">
        <f aca="false">IF(Q1929="","",Q1929^2)</f>
        <v/>
      </c>
      <c r="Y1929" s="22" t="str">
        <f aca="false">IF(AND(C1929&lt;&gt;"",C1929=CERTIFICADO!$E$4,OR(CERTIFICADO!$E$5="",B1929=CERTIFICADO!$E$5)),MAX($Y$4:Y1928)+1,"")</f>
        <v/>
      </c>
    </row>
    <row r="1930" customFormat="false" ht="15" hidden="false" customHeight="false" outlineLevel="0" collapsed="false">
      <c r="A1930" s="11" t="str">
        <f aca="false">IF(C1930="","",ROW()-4)</f>
        <v/>
      </c>
      <c r="B1930" s="12"/>
      <c r="C1930" s="13"/>
      <c r="D1930" s="23" t="str">
        <f aca="false">IF(C1930="","",IFERROR(INDEX(LOTES!$D$5:$D$1004,MATCH(C1930,LOTES!$F$5:$F$1004,0)),"¿Lote?"))</f>
        <v/>
      </c>
      <c r="E1930" s="11" t="str">
        <f aca="false">IF(C1930="","",IFERROR(INDEX(LOTES!$C$5:$C$1004,MATCH(C1930,LOTES!$F$5:$F$1004,0)),""))</f>
        <v/>
      </c>
      <c r="F1930" s="24" t="str">
        <f aca="false">IF(C1930="","",IFERROR(INDEX(LOTES!$B$5:$B$1004,MATCH(C1930,LOTES!$F$5:$F$1004,0)),""))</f>
        <v/>
      </c>
      <c r="G1930" s="15" t="str">
        <f aca="false">IF(OR(B1930="",F1930=""),"",B1930-F1930)</f>
        <v/>
      </c>
      <c r="H1930" s="13"/>
      <c r="I1930" s="13"/>
      <c r="J1930" s="13"/>
      <c r="K1930" s="25"/>
      <c r="L1930" s="25"/>
      <c r="M1930" s="25"/>
      <c r="N1930" s="25"/>
      <c r="O1930" s="26"/>
      <c r="P1930" s="16" t="str">
        <f aca="false">IF(O1930="","",IFERROR(1/(1/(IF(K1930="",INDEX(CONFIG!$F$5:$F$14,MATCH(D1930,CONFIG!$D$5:$D$14,0)),K1930)*IF(M1930="",INDEX(CONFIG!$H$5:$H$14,MATCH(D1930,CONFIG!$D$5:$D$14,0)),M1930))),""))</f>
        <v/>
      </c>
      <c r="Q1930" s="16" t="str">
        <f aca="false">IF(OR(O1930="",P1930=""),"",O1930/P1930)</f>
        <v/>
      </c>
      <c r="R1930" s="16" t="str">
        <f aca="false">IF(Q1930="","",Q1930*0.0980665)</f>
        <v/>
      </c>
      <c r="S1930" s="16" t="str">
        <f aca="false">IF(Q1930="","",IFERROR(Q1930/(1/(1/INDEX(CONFIG!$I$5:$I$14,MATCH(D1930,CONFIG!$D$5:$D$14,0)))),""))</f>
        <v/>
      </c>
      <c r="T1930" s="13"/>
      <c r="U1930" s="13"/>
      <c r="V1930" s="13"/>
      <c r="W1930" s="13"/>
      <c r="X1930" s="22" t="str">
        <f aca="false">IF(Q1930="","",Q1930^2)</f>
        <v/>
      </c>
      <c r="Y1930" s="22" t="str">
        <f aca="false">IF(AND(C1930&lt;&gt;"",C1930=CERTIFICADO!$E$4,OR(CERTIFICADO!$E$5="",B1930=CERTIFICADO!$E$5)),MAX($Y$4:Y1929)+1,"")</f>
        <v/>
      </c>
    </row>
    <row r="1931" customFormat="false" ht="15" hidden="false" customHeight="false" outlineLevel="0" collapsed="false">
      <c r="A1931" s="11" t="str">
        <f aca="false">IF(C1931="","",ROW()-4)</f>
        <v/>
      </c>
      <c r="B1931" s="12"/>
      <c r="C1931" s="13"/>
      <c r="D1931" s="23" t="str">
        <f aca="false">IF(C1931="","",IFERROR(INDEX(LOTES!$D$5:$D$1004,MATCH(C1931,LOTES!$F$5:$F$1004,0)),"¿Lote?"))</f>
        <v/>
      </c>
      <c r="E1931" s="11" t="str">
        <f aca="false">IF(C1931="","",IFERROR(INDEX(LOTES!$C$5:$C$1004,MATCH(C1931,LOTES!$F$5:$F$1004,0)),""))</f>
        <v/>
      </c>
      <c r="F1931" s="24" t="str">
        <f aca="false">IF(C1931="","",IFERROR(INDEX(LOTES!$B$5:$B$1004,MATCH(C1931,LOTES!$F$5:$F$1004,0)),""))</f>
        <v/>
      </c>
      <c r="G1931" s="15" t="str">
        <f aca="false">IF(OR(B1931="",F1931=""),"",B1931-F1931)</f>
        <v/>
      </c>
      <c r="H1931" s="13"/>
      <c r="I1931" s="13"/>
      <c r="J1931" s="13"/>
      <c r="K1931" s="25"/>
      <c r="L1931" s="25"/>
      <c r="M1931" s="25"/>
      <c r="N1931" s="25"/>
      <c r="O1931" s="26"/>
      <c r="P1931" s="16" t="str">
        <f aca="false">IF(O1931="","",IFERROR(1/(1/(IF(K1931="",INDEX(CONFIG!$F$5:$F$14,MATCH(D1931,CONFIG!$D$5:$D$14,0)),K1931)*IF(M1931="",INDEX(CONFIG!$H$5:$H$14,MATCH(D1931,CONFIG!$D$5:$D$14,0)),M1931))),""))</f>
        <v/>
      </c>
      <c r="Q1931" s="16" t="str">
        <f aca="false">IF(OR(O1931="",P1931=""),"",O1931/P1931)</f>
        <v/>
      </c>
      <c r="R1931" s="16" t="str">
        <f aca="false">IF(Q1931="","",Q1931*0.0980665)</f>
        <v/>
      </c>
      <c r="S1931" s="16" t="str">
        <f aca="false">IF(Q1931="","",IFERROR(Q1931/(1/(1/INDEX(CONFIG!$I$5:$I$14,MATCH(D1931,CONFIG!$D$5:$D$14,0)))),""))</f>
        <v/>
      </c>
      <c r="T1931" s="13"/>
      <c r="U1931" s="13"/>
      <c r="V1931" s="13"/>
      <c r="W1931" s="13"/>
      <c r="X1931" s="22" t="str">
        <f aca="false">IF(Q1931="","",Q1931^2)</f>
        <v/>
      </c>
      <c r="Y1931" s="22" t="str">
        <f aca="false">IF(AND(C1931&lt;&gt;"",C1931=CERTIFICADO!$E$4,OR(CERTIFICADO!$E$5="",B1931=CERTIFICADO!$E$5)),MAX($Y$4:Y1930)+1,"")</f>
        <v/>
      </c>
    </row>
    <row r="1932" customFormat="false" ht="15" hidden="false" customHeight="false" outlineLevel="0" collapsed="false">
      <c r="A1932" s="11" t="str">
        <f aca="false">IF(C1932="","",ROW()-4)</f>
        <v/>
      </c>
      <c r="B1932" s="12"/>
      <c r="C1932" s="13"/>
      <c r="D1932" s="23" t="str">
        <f aca="false">IF(C1932="","",IFERROR(INDEX(LOTES!$D$5:$D$1004,MATCH(C1932,LOTES!$F$5:$F$1004,0)),"¿Lote?"))</f>
        <v/>
      </c>
      <c r="E1932" s="11" t="str">
        <f aca="false">IF(C1932="","",IFERROR(INDEX(LOTES!$C$5:$C$1004,MATCH(C1932,LOTES!$F$5:$F$1004,0)),""))</f>
        <v/>
      </c>
      <c r="F1932" s="24" t="str">
        <f aca="false">IF(C1932="","",IFERROR(INDEX(LOTES!$B$5:$B$1004,MATCH(C1932,LOTES!$F$5:$F$1004,0)),""))</f>
        <v/>
      </c>
      <c r="G1932" s="15" t="str">
        <f aca="false">IF(OR(B1932="",F1932=""),"",B1932-F1932)</f>
        <v/>
      </c>
      <c r="H1932" s="13"/>
      <c r="I1932" s="13"/>
      <c r="J1932" s="13"/>
      <c r="K1932" s="25"/>
      <c r="L1932" s="25"/>
      <c r="M1932" s="25"/>
      <c r="N1932" s="25"/>
      <c r="O1932" s="26"/>
      <c r="P1932" s="16" t="str">
        <f aca="false">IF(O1932="","",IFERROR(1/(1/(IF(K1932="",INDEX(CONFIG!$F$5:$F$14,MATCH(D1932,CONFIG!$D$5:$D$14,0)),K1932)*IF(M1932="",INDEX(CONFIG!$H$5:$H$14,MATCH(D1932,CONFIG!$D$5:$D$14,0)),M1932))),""))</f>
        <v/>
      </c>
      <c r="Q1932" s="16" t="str">
        <f aca="false">IF(OR(O1932="",P1932=""),"",O1932/P1932)</f>
        <v/>
      </c>
      <c r="R1932" s="16" t="str">
        <f aca="false">IF(Q1932="","",Q1932*0.0980665)</f>
        <v/>
      </c>
      <c r="S1932" s="16" t="str">
        <f aca="false">IF(Q1932="","",IFERROR(Q1932/(1/(1/INDEX(CONFIG!$I$5:$I$14,MATCH(D1932,CONFIG!$D$5:$D$14,0)))),""))</f>
        <v/>
      </c>
      <c r="T1932" s="13"/>
      <c r="U1932" s="13"/>
      <c r="V1932" s="13"/>
      <c r="W1932" s="13"/>
      <c r="X1932" s="22" t="str">
        <f aca="false">IF(Q1932="","",Q1932^2)</f>
        <v/>
      </c>
      <c r="Y1932" s="22" t="str">
        <f aca="false">IF(AND(C1932&lt;&gt;"",C1932=CERTIFICADO!$E$4,OR(CERTIFICADO!$E$5="",B1932=CERTIFICADO!$E$5)),MAX($Y$4:Y1931)+1,"")</f>
        <v/>
      </c>
    </row>
    <row r="1933" customFormat="false" ht="15" hidden="false" customHeight="false" outlineLevel="0" collapsed="false">
      <c r="A1933" s="11" t="str">
        <f aca="false">IF(C1933="","",ROW()-4)</f>
        <v/>
      </c>
      <c r="B1933" s="12"/>
      <c r="C1933" s="13"/>
      <c r="D1933" s="23" t="str">
        <f aca="false">IF(C1933="","",IFERROR(INDEX(LOTES!$D$5:$D$1004,MATCH(C1933,LOTES!$F$5:$F$1004,0)),"¿Lote?"))</f>
        <v/>
      </c>
      <c r="E1933" s="11" t="str">
        <f aca="false">IF(C1933="","",IFERROR(INDEX(LOTES!$C$5:$C$1004,MATCH(C1933,LOTES!$F$5:$F$1004,0)),""))</f>
        <v/>
      </c>
      <c r="F1933" s="24" t="str">
        <f aca="false">IF(C1933="","",IFERROR(INDEX(LOTES!$B$5:$B$1004,MATCH(C1933,LOTES!$F$5:$F$1004,0)),""))</f>
        <v/>
      </c>
      <c r="G1933" s="15" t="str">
        <f aca="false">IF(OR(B1933="",F1933=""),"",B1933-F1933)</f>
        <v/>
      </c>
      <c r="H1933" s="13"/>
      <c r="I1933" s="13"/>
      <c r="J1933" s="13"/>
      <c r="K1933" s="25"/>
      <c r="L1933" s="25"/>
      <c r="M1933" s="25"/>
      <c r="N1933" s="25"/>
      <c r="O1933" s="26"/>
      <c r="P1933" s="16" t="str">
        <f aca="false">IF(O1933="","",IFERROR(1/(1/(IF(K1933="",INDEX(CONFIG!$F$5:$F$14,MATCH(D1933,CONFIG!$D$5:$D$14,0)),K1933)*IF(M1933="",INDEX(CONFIG!$H$5:$H$14,MATCH(D1933,CONFIG!$D$5:$D$14,0)),M1933))),""))</f>
        <v/>
      </c>
      <c r="Q1933" s="16" t="str">
        <f aca="false">IF(OR(O1933="",P1933=""),"",O1933/P1933)</f>
        <v/>
      </c>
      <c r="R1933" s="16" t="str">
        <f aca="false">IF(Q1933="","",Q1933*0.0980665)</f>
        <v/>
      </c>
      <c r="S1933" s="16" t="str">
        <f aca="false">IF(Q1933="","",IFERROR(Q1933/(1/(1/INDEX(CONFIG!$I$5:$I$14,MATCH(D1933,CONFIG!$D$5:$D$14,0)))),""))</f>
        <v/>
      </c>
      <c r="T1933" s="13"/>
      <c r="U1933" s="13"/>
      <c r="V1933" s="13"/>
      <c r="W1933" s="13"/>
      <c r="X1933" s="22" t="str">
        <f aca="false">IF(Q1933="","",Q1933^2)</f>
        <v/>
      </c>
      <c r="Y1933" s="22" t="str">
        <f aca="false">IF(AND(C1933&lt;&gt;"",C1933=CERTIFICADO!$E$4,OR(CERTIFICADO!$E$5="",B1933=CERTIFICADO!$E$5)),MAX($Y$4:Y1932)+1,"")</f>
        <v/>
      </c>
    </row>
    <row r="1934" customFormat="false" ht="15" hidden="false" customHeight="false" outlineLevel="0" collapsed="false">
      <c r="A1934" s="11" t="str">
        <f aca="false">IF(C1934="","",ROW()-4)</f>
        <v/>
      </c>
      <c r="B1934" s="12"/>
      <c r="C1934" s="13"/>
      <c r="D1934" s="23" t="str">
        <f aca="false">IF(C1934="","",IFERROR(INDEX(LOTES!$D$5:$D$1004,MATCH(C1934,LOTES!$F$5:$F$1004,0)),"¿Lote?"))</f>
        <v/>
      </c>
      <c r="E1934" s="11" t="str">
        <f aca="false">IF(C1934="","",IFERROR(INDEX(LOTES!$C$5:$C$1004,MATCH(C1934,LOTES!$F$5:$F$1004,0)),""))</f>
        <v/>
      </c>
      <c r="F1934" s="24" t="str">
        <f aca="false">IF(C1934="","",IFERROR(INDEX(LOTES!$B$5:$B$1004,MATCH(C1934,LOTES!$F$5:$F$1004,0)),""))</f>
        <v/>
      </c>
      <c r="G1934" s="15" t="str">
        <f aca="false">IF(OR(B1934="",F1934=""),"",B1934-F1934)</f>
        <v/>
      </c>
      <c r="H1934" s="13"/>
      <c r="I1934" s="13"/>
      <c r="J1934" s="13"/>
      <c r="K1934" s="25"/>
      <c r="L1934" s="25"/>
      <c r="M1934" s="25"/>
      <c r="N1934" s="25"/>
      <c r="O1934" s="26"/>
      <c r="P1934" s="16" t="str">
        <f aca="false">IF(O1934="","",IFERROR(1/(1/(IF(K1934="",INDEX(CONFIG!$F$5:$F$14,MATCH(D1934,CONFIG!$D$5:$D$14,0)),K1934)*IF(M1934="",INDEX(CONFIG!$H$5:$H$14,MATCH(D1934,CONFIG!$D$5:$D$14,0)),M1934))),""))</f>
        <v/>
      </c>
      <c r="Q1934" s="16" t="str">
        <f aca="false">IF(OR(O1934="",P1934=""),"",O1934/P1934)</f>
        <v/>
      </c>
      <c r="R1934" s="16" t="str">
        <f aca="false">IF(Q1934="","",Q1934*0.0980665)</f>
        <v/>
      </c>
      <c r="S1934" s="16" t="str">
        <f aca="false">IF(Q1934="","",IFERROR(Q1934/(1/(1/INDEX(CONFIG!$I$5:$I$14,MATCH(D1934,CONFIG!$D$5:$D$14,0)))),""))</f>
        <v/>
      </c>
      <c r="T1934" s="13"/>
      <c r="U1934" s="13"/>
      <c r="V1934" s="13"/>
      <c r="W1934" s="13"/>
      <c r="X1934" s="22" t="str">
        <f aca="false">IF(Q1934="","",Q1934^2)</f>
        <v/>
      </c>
      <c r="Y1934" s="22" t="str">
        <f aca="false">IF(AND(C1934&lt;&gt;"",C1934=CERTIFICADO!$E$4,OR(CERTIFICADO!$E$5="",B1934=CERTIFICADO!$E$5)),MAX($Y$4:Y1933)+1,"")</f>
        <v/>
      </c>
    </row>
    <row r="1935" customFormat="false" ht="15" hidden="false" customHeight="false" outlineLevel="0" collapsed="false">
      <c r="A1935" s="11" t="str">
        <f aca="false">IF(C1935="","",ROW()-4)</f>
        <v/>
      </c>
      <c r="B1935" s="12"/>
      <c r="C1935" s="13"/>
      <c r="D1935" s="23" t="str">
        <f aca="false">IF(C1935="","",IFERROR(INDEX(LOTES!$D$5:$D$1004,MATCH(C1935,LOTES!$F$5:$F$1004,0)),"¿Lote?"))</f>
        <v/>
      </c>
      <c r="E1935" s="11" t="str">
        <f aca="false">IF(C1935="","",IFERROR(INDEX(LOTES!$C$5:$C$1004,MATCH(C1935,LOTES!$F$5:$F$1004,0)),""))</f>
        <v/>
      </c>
      <c r="F1935" s="24" t="str">
        <f aca="false">IF(C1935="","",IFERROR(INDEX(LOTES!$B$5:$B$1004,MATCH(C1935,LOTES!$F$5:$F$1004,0)),""))</f>
        <v/>
      </c>
      <c r="G1935" s="15" t="str">
        <f aca="false">IF(OR(B1935="",F1935=""),"",B1935-F1935)</f>
        <v/>
      </c>
      <c r="H1935" s="13"/>
      <c r="I1935" s="13"/>
      <c r="J1935" s="13"/>
      <c r="K1935" s="25"/>
      <c r="L1935" s="25"/>
      <c r="M1935" s="25"/>
      <c r="N1935" s="25"/>
      <c r="O1935" s="26"/>
      <c r="P1935" s="16" t="str">
        <f aca="false">IF(O1935="","",IFERROR(1/(1/(IF(K1935="",INDEX(CONFIG!$F$5:$F$14,MATCH(D1935,CONFIG!$D$5:$D$14,0)),K1935)*IF(M1935="",INDEX(CONFIG!$H$5:$H$14,MATCH(D1935,CONFIG!$D$5:$D$14,0)),M1935))),""))</f>
        <v/>
      </c>
      <c r="Q1935" s="16" t="str">
        <f aca="false">IF(OR(O1935="",P1935=""),"",O1935/P1935)</f>
        <v/>
      </c>
      <c r="R1935" s="16" t="str">
        <f aca="false">IF(Q1935="","",Q1935*0.0980665)</f>
        <v/>
      </c>
      <c r="S1935" s="16" t="str">
        <f aca="false">IF(Q1935="","",IFERROR(Q1935/(1/(1/INDEX(CONFIG!$I$5:$I$14,MATCH(D1935,CONFIG!$D$5:$D$14,0)))),""))</f>
        <v/>
      </c>
      <c r="T1935" s="13"/>
      <c r="U1935" s="13"/>
      <c r="V1935" s="13"/>
      <c r="W1935" s="13"/>
      <c r="X1935" s="22" t="str">
        <f aca="false">IF(Q1935="","",Q1935^2)</f>
        <v/>
      </c>
      <c r="Y1935" s="22" t="str">
        <f aca="false">IF(AND(C1935&lt;&gt;"",C1935=CERTIFICADO!$E$4,OR(CERTIFICADO!$E$5="",B1935=CERTIFICADO!$E$5)),MAX($Y$4:Y1934)+1,"")</f>
        <v/>
      </c>
    </row>
    <row r="1936" customFormat="false" ht="15" hidden="false" customHeight="false" outlineLevel="0" collapsed="false">
      <c r="A1936" s="11" t="str">
        <f aca="false">IF(C1936="","",ROW()-4)</f>
        <v/>
      </c>
      <c r="B1936" s="12"/>
      <c r="C1936" s="13"/>
      <c r="D1936" s="23" t="str">
        <f aca="false">IF(C1936="","",IFERROR(INDEX(LOTES!$D$5:$D$1004,MATCH(C1936,LOTES!$F$5:$F$1004,0)),"¿Lote?"))</f>
        <v/>
      </c>
      <c r="E1936" s="11" t="str">
        <f aca="false">IF(C1936="","",IFERROR(INDEX(LOTES!$C$5:$C$1004,MATCH(C1936,LOTES!$F$5:$F$1004,0)),""))</f>
        <v/>
      </c>
      <c r="F1936" s="24" t="str">
        <f aca="false">IF(C1936="","",IFERROR(INDEX(LOTES!$B$5:$B$1004,MATCH(C1936,LOTES!$F$5:$F$1004,0)),""))</f>
        <v/>
      </c>
      <c r="G1936" s="15" t="str">
        <f aca="false">IF(OR(B1936="",F1936=""),"",B1936-F1936)</f>
        <v/>
      </c>
      <c r="H1936" s="13"/>
      <c r="I1936" s="13"/>
      <c r="J1936" s="13"/>
      <c r="K1936" s="25"/>
      <c r="L1936" s="25"/>
      <c r="M1936" s="25"/>
      <c r="N1936" s="25"/>
      <c r="O1936" s="26"/>
      <c r="P1936" s="16" t="str">
        <f aca="false">IF(O1936="","",IFERROR(1/(1/(IF(K1936="",INDEX(CONFIG!$F$5:$F$14,MATCH(D1936,CONFIG!$D$5:$D$14,0)),K1936)*IF(M1936="",INDEX(CONFIG!$H$5:$H$14,MATCH(D1936,CONFIG!$D$5:$D$14,0)),M1936))),""))</f>
        <v/>
      </c>
      <c r="Q1936" s="16" t="str">
        <f aca="false">IF(OR(O1936="",P1936=""),"",O1936/P1936)</f>
        <v/>
      </c>
      <c r="R1936" s="16" t="str">
        <f aca="false">IF(Q1936="","",Q1936*0.0980665)</f>
        <v/>
      </c>
      <c r="S1936" s="16" t="str">
        <f aca="false">IF(Q1936="","",IFERROR(Q1936/(1/(1/INDEX(CONFIG!$I$5:$I$14,MATCH(D1936,CONFIG!$D$5:$D$14,0)))),""))</f>
        <v/>
      </c>
      <c r="T1936" s="13"/>
      <c r="U1936" s="13"/>
      <c r="V1936" s="13"/>
      <c r="W1936" s="13"/>
      <c r="X1936" s="22" t="str">
        <f aca="false">IF(Q1936="","",Q1936^2)</f>
        <v/>
      </c>
      <c r="Y1936" s="22" t="str">
        <f aca="false">IF(AND(C1936&lt;&gt;"",C1936=CERTIFICADO!$E$4,OR(CERTIFICADO!$E$5="",B1936=CERTIFICADO!$E$5)),MAX($Y$4:Y1935)+1,"")</f>
        <v/>
      </c>
    </row>
    <row r="1937" customFormat="false" ht="15" hidden="false" customHeight="false" outlineLevel="0" collapsed="false">
      <c r="A1937" s="11" t="str">
        <f aca="false">IF(C1937="","",ROW()-4)</f>
        <v/>
      </c>
      <c r="B1937" s="12"/>
      <c r="C1937" s="13"/>
      <c r="D1937" s="23" t="str">
        <f aca="false">IF(C1937="","",IFERROR(INDEX(LOTES!$D$5:$D$1004,MATCH(C1937,LOTES!$F$5:$F$1004,0)),"¿Lote?"))</f>
        <v/>
      </c>
      <c r="E1937" s="11" t="str">
        <f aca="false">IF(C1937="","",IFERROR(INDEX(LOTES!$C$5:$C$1004,MATCH(C1937,LOTES!$F$5:$F$1004,0)),""))</f>
        <v/>
      </c>
      <c r="F1937" s="24" t="str">
        <f aca="false">IF(C1937="","",IFERROR(INDEX(LOTES!$B$5:$B$1004,MATCH(C1937,LOTES!$F$5:$F$1004,0)),""))</f>
        <v/>
      </c>
      <c r="G1937" s="15" t="str">
        <f aca="false">IF(OR(B1937="",F1937=""),"",B1937-F1937)</f>
        <v/>
      </c>
      <c r="H1937" s="13"/>
      <c r="I1937" s="13"/>
      <c r="J1937" s="13"/>
      <c r="K1937" s="25"/>
      <c r="L1937" s="25"/>
      <c r="M1937" s="25"/>
      <c r="N1937" s="25"/>
      <c r="O1937" s="26"/>
      <c r="P1937" s="16" t="str">
        <f aca="false">IF(O1937="","",IFERROR(1/(1/(IF(K1937="",INDEX(CONFIG!$F$5:$F$14,MATCH(D1937,CONFIG!$D$5:$D$14,0)),K1937)*IF(M1937="",INDEX(CONFIG!$H$5:$H$14,MATCH(D1937,CONFIG!$D$5:$D$14,0)),M1937))),""))</f>
        <v/>
      </c>
      <c r="Q1937" s="16" t="str">
        <f aca="false">IF(OR(O1937="",P1937=""),"",O1937/P1937)</f>
        <v/>
      </c>
      <c r="R1937" s="16" t="str">
        <f aca="false">IF(Q1937="","",Q1937*0.0980665)</f>
        <v/>
      </c>
      <c r="S1937" s="16" t="str">
        <f aca="false">IF(Q1937="","",IFERROR(Q1937/(1/(1/INDEX(CONFIG!$I$5:$I$14,MATCH(D1937,CONFIG!$D$5:$D$14,0)))),""))</f>
        <v/>
      </c>
      <c r="T1937" s="13"/>
      <c r="U1937" s="13"/>
      <c r="V1937" s="13"/>
      <c r="W1937" s="13"/>
      <c r="X1937" s="22" t="str">
        <f aca="false">IF(Q1937="","",Q1937^2)</f>
        <v/>
      </c>
      <c r="Y1937" s="22" t="str">
        <f aca="false">IF(AND(C1937&lt;&gt;"",C1937=CERTIFICADO!$E$4,OR(CERTIFICADO!$E$5="",B1937=CERTIFICADO!$E$5)),MAX($Y$4:Y1936)+1,"")</f>
        <v/>
      </c>
    </row>
    <row r="1938" customFormat="false" ht="15" hidden="false" customHeight="false" outlineLevel="0" collapsed="false">
      <c r="A1938" s="11" t="str">
        <f aca="false">IF(C1938="","",ROW()-4)</f>
        <v/>
      </c>
      <c r="B1938" s="12"/>
      <c r="C1938" s="13"/>
      <c r="D1938" s="23" t="str">
        <f aca="false">IF(C1938="","",IFERROR(INDEX(LOTES!$D$5:$D$1004,MATCH(C1938,LOTES!$F$5:$F$1004,0)),"¿Lote?"))</f>
        <v/>
      </c>
      <c r="E1938" s="11" t="str">
        <f aca="false">IF(C1938="","",IFERROR(INDEX(LOTES!$C$5:$C$1004,MATCH(C1938,LOTES!$F$5:$F$1004,0)),""))</f>
        <v/>
      </c>
      <c r="F1938" s="24" t="str">
        <f aca="false">IF(C1938="","",IFERROR(INDEX(LOTES!$B$5:$B$1004,MATCH(C1938,LOTES!$F$5:$F$1004,0)),""))</f>
        <v/>
      </c>
      <c r="G1938" s="15" t="str">
        <f aca="false">IF(OR(B1938="",F1938=""),"",B1938-F1938)</f>
        <v/>
      </c>
      <c r="H1938" s="13"/>
      <c r="I1938" s="13"/>
      <c r="J1938" s="13"/>
      <c r="K1938" s="25"/>
      <c r="L1938" s="25"/>
      <c r="M1938" s="25"/>
      <c r="N1938" s="25"/>
      <c r="O1938" s="26"/>
      <c r="P1938" s="16" t="str">
        <f aca="false">IF(O1938="","",IFERROR(1/(1/(IF(K1938="",INDEX(CONFIG!$F$5:$F$14,MATCH(D1938,CONFIG!$D$5:$D$14,0)),K1938)*IF(M1938="",INDEX(CONFIG!$H$5:$H$14,MATCH(D1938,CONFIG!$D$5:$D$14,0)),M1938))),""))</f>
        <v/>
      </c>
      <c r="Q1938" s="16" t="str">
        <f aca="false">IF(OR(O1938="",P1938=""),"",O1938/P1938)</f>
        <v/>
      </c>
      <c r="R1938" s="16" t="str">
        <f aca="false">IF(Q1938="","",Q1938*0.0980665)</f>
        <v/>
      </c>
      <c r="S1938" s="16" t="str">
        <f aca="false">IF(Q1938="","",IFERROR(Q1938/(1/(1/INDEX(CONFIG!$I$5:$I$14,MATCH(D1938,CONFIG!$D$5:$D$14,0)))),""))</f>
        <v/>
      </c>
      <c r="T1938" s="13"/>
      <c r="U1938" s="13"/>
      <c r="V1938" s="13"/>
      <c r="W1938" s="13"/>
      <c r="X1938" s="22" t="str">
        <f aca="false">IF(Q1938="","",Q1938^2)</f>
        <v/>
      </c>
      <c r="Y1938" s="22" t="str">
        <f aca="false">IF(AND(C1938&lt;&gt;"",C1938=CERTIFICADO!$E$4,OR(CERTIFICADO!$E$5="",B1938=CERTIFICADO!$E$5)),MAX($Y$4:Y1937)+1,"")</f>
        <v/>
      </c>
    </row>
    <row r="1939" customFormat="false" ht="15" hidden="false" customHeight="false" outlineLevel="0" collapsed="false">
      <c r="A1939" s="11" t="str">
        <f aca="false">IF(C1939="","",ROW()-4)</f>
        <v/>
      </c>
      <c r="B1939" s="12"/>
      <c r="C1939" s="13"/>
      <c r="D1939" s="23" t="str">
        <f aca="false">IF(C1939="","",IFERROR(INDEX(LOTES!$D$5:$D$1004,MATCH(C1939,LOTES!$F$5:$F$1004,0)),"¿Lote?"))</f>
        <v/>
      </c>
      <c r="E1939" s="11" t="str">
        <f aca="false">IF(C1939="","",IFERROR(INDEX(LOTES!$C$5:$C$1004,MATCH(C1939,LOTES!$F$5:$F$1004,0)),""))</f>
        <v/>
      </c>
      <c r="F1939" s="24" t="str">
        <f aca="false">IF(C1939="","",IFERROR(INDEX(LOTES!$B$5:$B$1004,MATCH(C1939,LOTES!$F$5:$F$1004,0)),""))</f>
        <v/>
      </c>
      <c r="G1939" s="15" t="str">
        <f aca="false">IF(OR(B1939="",F1939=""),"",B1939-F1939)</f>
        <v/>
      </c>
      <c r="H1939" s="13"/>
      <c r="I1939" s="13"/>
      <c r="J1939" s="13"/>
      <c r="K1939" s="25"/>
      <c r="L1939" s="25"/>
      <c r="M1939" s="25"/>
      <c r="N1939" s="25"/>
      <c r="O1939" s="26"/>
      <c r="P1939" s="16" t="str">
        <f aca="false">IF(O1939="","",IFERROR(1/(1/(IF(K1939="",INDEX(CONFIG!$F$5:$F$14,MATCH(D1939,CONFIG!$D$5:$D$14,0)),K1939)*IF(M1939="",INDEX(CONFIG!$H$5:$H$14,MATCH(D1939,CONFIG!$D$5:$D$14,0)),M1939))),""))</f>
        <v/>
      </c>
      <c r="Q1939" s="16" t="str">
        <f aca="false">IF(OR(O1939="",P1939=""),"",O1939/P1939)</f>
        <v/>
      </c>
      <c r="R1939" s="16" t="str">
        <f aca="false">IF(Q1939="","",Q1939*0.0980665)</f>
        <v/>
      </c>
      <c r="S1939" s="16" t="str">
        <f aca="false">IF(Q1939="","",IFERROR(Q1939/(1/(1/INDEX(CONFIG!$I$5:$I$14,MATCH(D1939,CONFIG!$D$5:$D$14,0)))),""))</f>
        <v/>
      </c>
      <c r="T1939" s="13"/>
      <c r="U1939" s="13"/>
      <c r="V1939" s="13"/>
      <c r="W1939" s="13"/>
      <c r="X1939" s="22" t="str">
        <f aca="false">IF(Q1939="","",Q1939^2)</f>
        <v/>
      </c>
      <c r="Y1939" s="22" t="str">
        <f aca="false">IF(AND(C1939&lt;&gt;"",C1939=CERTIFICADO!$E$4,OR(CERTIFICADO!$E$5="",B1939=CERTIFICADO!$E$5)),MAX($Y$4:Y1938)+1,"")</f>
        <v/>
      </c>
    </row>
    <row r="1940" customFormat="false" ht="15" hidden="false" customHeight="false" outlineLevel="0" collapsed="false">
      <c r="A1940" s="11" t="str">
        <f aca="false">IF(C1940="","",ROW()-4)</f>
        <v/>
      </c>
      <c r="B1940" s="12"/>
      <c r="C1940" s="13"/>
      <c r="D1940" s="23" t="str">
        <f aca="false">IF(C1940="","",IFERROR(INDEX(LOTES!$D$5:$D$1004,MATCH(C1940,LOTES!$F$5:$F$1004,0)),"¿Lote?"))</f>
        <v/>
      </c>
      <c r="E1940" s="11" t="str">
        <f aca="false">IF(C1940="","",IFERROR(INDEX(LOTES!$C$5:$C$1004,MATCH(C1940,LOTES!$F$5:$F$1004,0)),""))</f>
        <v/>
      </c>
      <c r="F1940" s="24" t="str">
        <f aca="false">IF(C1940="","",IFERROR(INDEX(LOTES!$B$5:$B$1004,MATCH(C1940,LOTES!$F$5:$F$1004,0)),""))</f>
        <v/>
      </c>
      <c r="G1940" s="15" t="str">
        <f aca="false">IF(OR(B1940="",F1940=""),"",B1940-F1940)</f>
        <v/>
      </c>
      <c r="H1940" s="13"/>
      <c r="I1940" s="13"/>
      <c r="J1940" s="13"/>
      <c r="K1940" s="25"/>
      <c r="L1940" s="25"/>
      <c r="M1940" s="25"/>
      <c r="N1940" s="25"/>
      <c r="O1940" s="26"/>
      <c r="P1940" s="16" t="str">
        <f aca="false">IF(O1940="","",IFERROR(1/(1/(IF(K1940="",INDEX(CONFIG!$F$5:$F$14,MATCH(D1940,CONFIG!$D$5:$D$14,0)),K1940)*IF(M1940="",INDEX(CONFIG!$H$5:$H$14,MATCH(D1940,CONFIG!$D$5:$D$14,0)),M1940))),""))</f>
        <v/>
      </c>
      <c r="Q1940" s="16" t="str">
        <f aca="false">IF(OR(O1940="",P1940=""),"",O1940/P1940)</f>
        <v/>
      </c>
      <c r="R1940" s="16" t="str">
        <f aca="false">IF(Q1940="","",Q1940*0.0980665)</f>
        <v/>
      </c>
      <c r="S1940" s="16" t="str">
        <f aca="false">IF(Q1940="","",IFERROR(Q1940/(1/(1/INDEX(CONFIG!$I$5:$I$14,MATCH(D1940,CONFIG!$D$5:$D$14,0)))),""))</f>
        <v/>
      </c>
      <c r="T1940" s="13"/>
      <c r="U1940" s="13"/>
      <c r="V1940" s="13"/>
      <c r="W1940" s="13"/>
      <c r="X1940" s="22" t="str">
        <f aca="false">IF(Q1940="","",Q1940^2)</f>
        <v/>
      </c>
      <c r="Y1940" s="22" t="str">
        <f aca="false">IF(AND(C1940&lt;&gt;"",C1940=CERTIFICADO!$E$4,OR(CERTIFICADO!$E$5="",B1940=CERTIFICADO!$E$5)),MAX($Y$4:Y1939)+1,"")</f>
        <v/>
      </c>
    </row>
    <row r="1941" customFormat="false" ht="15" hidden="false" customHeight="false" outlineLevel="0" collapsed="false">
      <c r="A1941" s="11" t="str">
        <f aca="false">IF(C1941="","",ROW()-4)</f>
        <v/>
      </c>
      <c r="B1941" s="12"/>
      <c r="C1941" s="13"/>
      <c r="D1941" s="23" t="str">
        <f aca="false">IF(C1941="","",IFERROR(INDEX(LOTES!$D$5:$D$1004,MATCH(C1941,LOTES!$F$5:$F$1004,0)),"¿Lote?"))</f>
        <v/>
      </c>
      <c r="E1941" s="11" t="str">
        <f aca="false">IF(C1941="","",IFERROR(INDEX(LOTES!$C$5:$C$1004,MATCH(C1941,LOTES!$F$5:$F$1004,0)),""))</f>
        <v/>
      </c>
      <c r="F1941" s="24" t="str">
        <f aca="false">IF(C1941="","",IFERROR(INDEX(LOTES!$B$5:$B$1004,MATCH(C1941,LOTES!$F$5:$F$1004,0)),""))</f>
        <v/>
      </c>
      <c r="G1941" s="15" t="str">
        <f aca="false">IF(OR(B1941="",F1941=""),"",B1941-F1941)</f>
        <v/>
      </c>
      <c r="H1941" s="13"/>
      <c r="I1941" s="13"/>
      <c r="J1941" s="13"/>
      <c r="K1941" s="25"/>
      <c r="L1941" s="25"/>
      <c r="M1941" s="25"/>
      <c r="N1941" s="25"/>
      <c r="O1941" s="26"/>
      <c r="P1941" s="16" t="str">
        <f aca="false">IF(O1941="","",IFERROR(1/(1/(IF(K1941="",INDEX(CONFIG!$F$5:$F$14,MATCH(D1941,CONFIG!$D$5:$D$14,0)),K1941)*IF(M1941="",INDEX(CONFIG!$H$5:$H$14,MATCH(D1941,CONFIG!$D$5:$D$14,0)),M1941))),""))</f>
        <v/>
      </c>
      <c r="Q1941" s="16" t="str">
        <f aca="false">IF(OR(O1941="",P1941=""),"",O1941/P1941)</f>
        <v/>
      </c>
      <c r="R1941" s="16" t="str">
        <f aca="false">IF(Q1941="","",Q1941*0.0980665)</f>
        <v/>
      </c>
      <c r="S1941" s="16" t="str">
        <f aca="false">IF(Q1941="","",IFERROR(Q1941/(1/(1/INDEX(CONFIG!$I$5:$I$14,MATCH(D1941,CONFIG!$D$5:$D$14,0)))),""))</f>
        <v/>
      </c>
      <c r="T1941" s="13"/>
      <c r="U1941" s="13"/>
      <c r="V1941" s="13"/>
      <c r="W1941" s="13"/>
      <c r="X1941" s="22" t="str">
        <f aca="false">IF(Q1941="","",Q1941^2)</f>
        <v/>
      </c>
      <c r="Y1941" s="22" t="str">
        <f aca="false">IF(AND(C1941&lt;&gt;"",C1941=CERTIFICADO!$E$4,OR(CERTIFICADO!$E$5="",B1941=CERTIFICADO!$E$5)),MAX($Y$4:Y1940)+1,"")</f>
        <v/>
      </c>
    </row>
    <row r="1942" customFormat="false" ht="15" hidden="false" customHeight="false" outlineLevel="0" collapsed="false">
      <c r="A1942" s="11" t="str">
        <f aca="false">IF(C1942="","",ROW()-4)</f>
        <v/>
      </c>
      <c r="B1942" s="12"/>
      <c r="C1942" s="13"/>
      <c r="D1942" s="23" t="str">
        <f aca="false">IF(C1942="","",IFERROR(INDEX(LOTES!$D$5:$D$1004,MATCH(C1942,LOTES!$F$5:$F$1004,0)),"¿Lote?"))</f>
        <v/>
      </c>
      <c r="E1942" s="11" t="str">
        <f aca="false">IF(C1942="","",IFERROR(INDEX(LOTES!$C$5:$C$1004,MATCH(C1942,LOTES!$F$5:$F$1004,0)),""))</f>
        <v/>
      </c>
      <c r="F1942" s="24" t="str">
        <f aca="false">IF(C1942="","",IFERROR(INDEX(LOTES!$B$5:$B$1004,MATCH(C1942,LOTES!$F$5:$F$1004,0)),""))</f>
        <v/>
      </c>
      <c r="G1942" s="15" t="str">
        <f aca="false">IF(OR(B1942="",F1942=""),"",B1942-F1942)</f>
        <v/>
      </c>
      <c r="H1942" s="13"/>
      <c r="I1942" s="13"/>
      <c r="J1942" s="13"/>
      <c r="K1942" s="25"/>
      <c r="L1942" s="25"/>
      <c r="M1942" s="25"/>
      <c r="N1942" s="25"/>
      <c r="O1942" s="26"/>
      <c r="P1942" s="16" t="str">
        <f aca="false">IF(O1942="","",IFERROR(1/(1/(IF(K1942="",INDEX(CONFIG!$F$5:$F$14,MATCH(D1942,CONFIG!$D$5:$D$14,0)),K1942)*IF(M1942="",INDEX(CONFIG!$H$5:$H$14,MATCH(D1942,CONFIG!$D$5:$D$14,0)),M1942))),""))</f>
        <v/>
      </c>
      <c r="Q1942" s="16" t="str">
        <f aca="false">IF(OR(O1942="",P1942=""),"",O1942/P1942)</f>
        <v/>
      </c>
      <c r="R1942" s="16" t="str">
        <f aca="false">IF(Q1942="","",Q1942*0.0980665)</f>
        <v/>
      </c>
      <c r="S1942" s="16" t="str">
        <f aca="false">IF(Q1942="","",IFERROR(Q1942/(1/(1/INDEX(CONFIG!$I$5:$I$14,MATCH(D1942,CONFIG!$D$5:$D$14,0)))),""))</f>
        <v/>
      </c>
      <c r="T1942" s="13"/>
      <c r="U1942" s="13"/>
      <c r="V1942" s="13"/>
      <c r="W1942" s="13"/>
      <c r="X1942" s="22" t="str">
        <f aca="false">IF(Q1942="","",Q1942^2)</f>
        <v/>
      </c>
      <c r="Y1942" s="22" t="str">
        <f aca="false">IF(AND(C1942&lt;&gt;"",C1942=CERTIFICADO!$E$4,OR(CERTIFICADO!$E$5="",B1942=CERTIFICADO!$E$5)),MAX($Y$4:Y1941)+1,"")</f>
        <v/>
      </c>
    </row>
    <row r="1943" customFormat="false" ht="15" hidden="false" customHeight="false" outlineLevel="0" collapsed="false">
      <c r="A1943" s="11" t="str">
        <f aca="false">IF(C1943="","",ROW()-4)</f>
        <v/>
      </c>
      <c r="B1943" s="12"/>
      <c r="C1943" s="13"/>
      <c r="D1943" s="23" t="str">
        <f aca="false">IF(C1943="","",IFERROR(INDEX(LOTES!$D$5:$D$1004,MATCH(C1943,LOTES!$F$5:$F$1004,0)),"¿Lote?"))</f>
        <v/>
      </c>
      <c r="E1943" s="11" t="str">
        <f aca="false">IF(C1943="","",IFERROR(INDEX(LOTES!$C$5:$C$1004,MATCH(C1943,LOTES!$F$5:$F$1004,0)),""))</f>
        <v/>
      </c>
      <c r="F1943" s="24" t="str">
        <f aca="false">IF(C1943="","",IFERROR(INDEX(LOTES!$B$5:$B$1004,MATCH(C1943,LOTES!$F$5:$F$1004,0)),""))</f>
        <v/>
      </c>
      <c r="G1943" s="15" t="str">
        <f aca="false">IF(OR(B1943="",F1943=""),"",B1943-F1943)</f>
        <v/>
      </c>
      <c r="H1943" s="13"/>
      <c r="I1943" s="13"/>
      <c r="J1943" s="13"/>
      <c r="K1943" s="25"/>
      <c r="L1943" s="25"/>
      <c r="M1943" s="25"/>
      <c r="N1943" s="25"/>
      <c r="O1943" s="26"/>
      <c r="P1943" s="16" t="str">
        <f aca="false">IF(O1943="","",IFERROR(1/(1/(IF(K1943="",INDEX(CONFIG!$F$5:$F$14,MATCH(D1943,CONFIG!$D$5:$D$14,0)),K1943)*IF(M1943="",INDEX(CONFIG!$H$5:$H$14,MATCH(D1943,CONFIG!$D$5:$D$14,0)),M1943))),""))</f>
        <v/>
      </c>
      <c r="Q1943" s="16" t="str">
        <f aca="false">IF(OR(O1943="",P1943=""),"",O1943/P1943)</f>
        <v/>
      </c>
      <c r="R1943" s="16" t="str">
        <f aca="false">IF(Q1943="","",Q1943*0.0980665)</f>
        <v/>
      </c>
      <c r="S1943" s="16" t="str">
        <f aca="false">IF(Q1943="","",IFERROR(Q1943/(1/(1/INDEX(CONFIG!$I$5:$I$14,MATCH(D1943,CONFIG!$D$5:$D$14,0)))),""))</f>
        <v/>
      </c>
      <c r="T1943" s="13"/>
      <c r="U1943" s="13"/>
      <c r="V1943" s="13"/>
      <c r="W1943" s="13"/>
      <c r="X1943" s="22" t="str">
        <f aca="false">IF(Q1943="","",Q1943^2)</f>
        <v/>
      </c>
      <c r="Y1943" s="22" t="str">
        <f aca="false">IF(AND(C1943&lt;&gt;"",C1943=CERTIFICADO!$E$4,OR(CERTIFICADO!$E$5="",B1943=CERTIFICADO!$E$5)),MAX($Y$4:Y1942)+1,"")</f>
        <v/>
      </c>
    </row>
    <row r="1944" customFormat="false" ht="15" hidden="false" customHeight="false" outlineLevel="0" collapsed="false">
      <c r="A1944" s="11" t="str">
        <f aca="false">IF(C1944="","",ROW()-4)</f>
        <v/>
      </c>
      <c r="B1944" s="12"/>
      <c r="C1944" s="13"/>
      <c r="D1944" s="23" t="str">
        <f aca="false">IF(C1944="","",IFERROR(INDEX(LOTES!$D$5:$D$1004,MATCH(C1944,LOTES!$F$5:$F$1004,0)),"¿Lote?"))</f>
        <v/>
      </c>
      <c r="E1944" s="11" t="str">
        <f aca="false">IF(C1944="","",IFERROR(INDEX(LOTES!$C$5:$C$1004,MATCH(C1944,LOTES!$F$5:$F$1004,0)),""))</f>
        <v/>
      </c>
      <c r="F1944" s="24" t="str">
        <f aca="false">IF(C1944="","",IFERROR(INDEX(LOTES!$B$5:$B$1004,MATCH(C1944,LOTES!$F$5:$F$1004,0)),""))</f>
        <v/>
      </c>
      <c r="G1944" s="15" t="str">
        <f aca="false">IF(OR(B1944="",F1944=""),"",B1944-F1944)</f>
        <v/>
      </c>
      <c r="H1944" s="13"/>
      <c r="I1944" s="13"/>
      <c r="J1944" s="13"/>
      <c r="K1944" s="25"/>
      <c r="L1944" s="25"/>
      <c r="M1944" s="25"/>
      <c r="N1944" s="25"/>
      <c r="O1944" s="26"/>
      <c r="P1944" s="16" t="str">
        <f aca="false">IF(O1944="","",IFERROR(1/(1/(IF(K1944="",INDEX(CONFIG!$F$5:$F$14,MATCH(D1944,CONFIG!$D$5:$D$14,0)),K1944)*IF(M1944="",INDEX(CONFIG!$H$5:$H$14,MATCH(D1944,CONFIG!$D$5:$D$14,0)),M1944))),""))</f>
        <v/>
      </c>
      <c r="Q1944" s="16" t="str">
        <f aca="false">IF(OR(O1944="",P1944=""),"",O1944/P1944)</f>
        <v/>
      </c>
      <c r="R1944" s="16" t="str">
        <f aca="false">IF(Q1944="","",Q1944*0.0980665)</f>
        <v/>
      </c>
      <c r="S1944" s="16" t="str">
        <f aca="false">IF(Q1944="","",IFERROR(Q1944/(1/(1/INDEX(CONFIG!$I$5:$I$14,MATCH(D1944,CONFIG!$D$5:$D$14,0)))),""))</f>
        <v/>
      </c>
      <c r="T1944" s="13"/>
      <c r="U1944" s="13"/>
      <c r="V1944" s="13"/>
      <c r="W1944" s="13"/>
      <c r="X1944" s="22" t="str">
        <f aca="false">IF(Q1944="","",Q1944^2)</f>
        <v/>
      </c>
      <c r="Y1944" s="22" t="str">
        <f aca="false">IF(AND(C1944&lt;&gt;"",C1944=CERTIFICADO!$E$4,OR(CERTIFICADO!$E$5="",B1944=CERTIFICADO!$E$5)),MAX($Y$4:Y1943)+1,"")</f>
        <v/>
      </c>
    </row>
    <row r="1945" customFormat="false" ht="15" hidden="false" customHeight="false" outlineLevel="0" collapsed="false">
      <c r="A1945" s="11" t="str">
        <f aca="false">IF(C1945="","",ROW()-4)</f>
        <v/>
      </c>
      <c r="B1945" s="12"/>
      <c r="C1945" s="13"/>
      <c r="D1945" s="23" t="str">
        <f aca="false">IF(C1945="","",IFERROR(INDEX(LOTES!$D$5:$D$1004,MATCH(C1945,LOTES!$F$5:$F$1004,0)),"¿Lote?"))</f>
        <v/>
      </c>
      <c r="E1945" s="11" t="str">
        <f aca="false">IF(C1945="","",IFERROR(INDEX(LOTES!$C$5:$C$1004,MATCH(C1945,LOTES!$F$5:$F$1004,0)),""))</f>
        <v/>
      </c>
      <c r="F1945" s="24" t="str">
        <f aca="false">IF(C1945="","",IFERROR(INDEX(LOTES!$B$5:$B$1004,MATCH(C1945,LOTES!$F$5:$F$1004,0)),""))</f>
        <v/>
      </c>
      <c r="G1945" s="15" t="str">
        <f aca="false">IF(OR(B1945="",F1945=""),"",B1945-F1945)</f>
        <v/>
      </c>
      <c r="H1945" s="13"/>
      <c r="I1945" s="13"/>
      <c r="J1945" s="13"/>
      <c r="K1945" s="25"/>
      <c r="L1945" s="25"/>
      <c r="M1945" s="25"/>
      <c r="N1945" s="25"/>
      <c r="O1945" s="26"/>
      <c r="P1945" s="16" t="str">
        <f aca="false">IF(O1945="","",IFERROR(1/(1/(IF(K1945="",INDEX(CONFIG!$F$5:$F$14,MATCH(D1945,CONFIG!$D$5:$D$14,0)),K1945)*IF(M1945="",INDEX(CONFIG!$H$5:$H$14,MATCH(D1945,CONFIG!$D$5:$D$14,0)),M1945))),""))</f>
        <v/>
      </c>
      <c r="Q1945" s="16" t="str">
        <f aca="false">IF(OR(O1945="",P1945=""),"",O1945/P1945)</f>
        <v/>
      </c>
      <c r="R1945" s="16" t="str">
        <f aca="false">IF(Q1945="","",Q1945*0.0980665)</f>
        <v/>
      </c>
      <c r="S1945" s="16" t="str">
        <f aca="false">IF(Q1945="","",IFERROR(Q1945/(1/(1/INDEX(CONFIG!$I$5:$I$14,MATCH(D1945,CONFIG!$D$5:$D$14,0)))),""))</f>
        <v/>
      </c>
      <c r="T1945" s="13"/>
      <c r="U1945" s="13"/>
      <c r="V1945" s="13"/>
      <c r="W1945" s="13"/>
      <c r="X1945" s="22" t="str">
        <f aca="false">IF(Q1945="","",Q1945^2)</f>
        <v/>
      </c>
      <c r="Y1945" s="22" t="str">
        <f aca="false">IF(AND(C1945&lt;&gt;"",C1945=CERTIFICADO!$E$4,OR(CERTIFICADO!$E$5="",B1945=CERTIFICADO!$E$5)),MAX($Y$4:Y1944)+1,"")</f>
        <v/>
      </c>
    </row>
    <row r="1946" customFormat="false" ht="15" hidden="false" customHeight="false" outlineLevel="0" collapsed="false">
      <c r="A1946" s="11" t="str">
        <f aca="false">IF(C1946="","",ROW()-4)</f>
        <v/>
      </c>
      <c r="B1946" s="12"/>
      <c r="C1946" s="13"/>
      <c r="D1946" s="23" t="str">
        <f aca="false">IF(C1946="","",IFERROR(INDEX(LOTES!$D$5:$D$1004,MATCH(C1946,LOTES!$F$5:$F$1004,0)),"¿Lote?"))</f>
        <v/>
      </c>
      <c r="E1946" s="11" t="str">
        <f aca="false">IF(C1946="","",IFERROR(INDEX(LOTES!$C$5:$C$1004,MATCH(C1946,LOTES!$F$5:$F$1004,0)),""))</f>
        <v/>
      </c>
      <c r="F1946" s="24" t="str">
        <f aca="false">IF(C1946="","",IFERROR(INDEX(LOTES!$B$5:$B$1004,MATCH(C1946,LOTES!$F$5:$F$1004,0)),""))</f>
        <v/>
      </c>
      <c r="G1946" s="15" t="str">
        <f aca="false">IF(OR(B1946="",F1946=""),"",B1946-F1946)</f>
        <v/>
      </c>
      <c r="H1946" s="13"/>
      <c r="I1946" s="13"/>
      <c r="J1946" s="13"/>
      <c r="K1946" s="25"/>
      <c r="L1946" s="25"/>
      <c r="M1946" s="25"/>
      <c r="N1946" s="25"/>
      <c r="O1946" s="26"/>
      <c r="P1946" s="16" t="str">
        <f aca="false">IF(O1946="","",IFERROR(1/(1/(IF(K1946="",INDEX(CONFIG!$F$5:$F$14,MATCH(D1946,CONFIG!$D$5:$D$14,0)),K1946)*IF(M1946="",INDEX(CONFIG!$H$5:$H$14,MATCH(D1946,CONFIG!$D$5:$D$14,0)),M1946))),""))</f>
        <v/>
      </c>
      <c r="Q1946" s="16" t="str">
        <f aca="false">IF(OR(O1946="",P1946=""),"",O1946/P1946)</f>
        <v/>
      </c>
      <c r="R1946" s="16" t="str">
        <f aca="false">IF(Q1946="","",Q1946*0.0980665)</f>
        <v/>
      </c>
      <c r="S1946" s="16" t="str">
        <f aca="false">IF(Q1946="","",IFERROR(Q1946/(1/(1/INDEX(CONFIG!$I$5:$I$14,MATCH(D1946,CONFIG!$D$5:$D$14,0)))),""))</f>
        <v/>
      </c>
      <c r="T1946" s="13"/>
      <c r="U1946" s="13"/>
      <c r="V1946" s="13"/>
      <c r="W1946" s="13"/>
      <c r="X1946" s="22" t="str">
        <f aca="false">IF(Q1946="","",Q1946^2)</f>
        <v/>
      </c>
      <c r="Y1946" s="22" t="str">
        <f aca="false">IF(AND(C1946&lt;&gt;"",C1946=CERTIFICADO!$E$4,OR(CERTIFICADO!$E$5="",B1946=CERTIFICADO!$E$5)),MAX($Y$4:Y1945)+1,"")</f>
        <v/>
      </c>
    </row>
    <row r="1947" customFormat="false" ht="15" hidden="false" customHeight="false" outlineLevel="0" collapsed="false">
      <c r="A1947" s="11" t="str">
        <f aca="false">IF(C1947="","",ROW()-4)</f>
        <v/>
      </c>
      <c r="B1947" s="12"/>
      <c r="C1947" s="13"/>
      <c r="D1947" s="23" t="str">
        <f aca="false">IF(C1947="","",IFERROR(INDEX(LOTES!$D$5:$D$1004,MATCH(C1947,LOTES!$F$5:$F$1004,0)),"¿Lote?"))</f>
        <v/>
      </c>
      <c r="E1947" s="11" t="str">
        <f aca="false">IF(C1947="","",IFERROR(INDEX(LOTES!$C$5:$C$1004,MATCH(C1947,LOTES!$F$5:$F$1004,0)),""))</f>
        <v/>
      </c>
      <c r="F1947" s="24" t="str">
        <f aca="false">IF(C1947="","",IFERROR(INDEX(LOTES!$B$5:$B$1004,MATCH(C1947,LOTES!$F$5:$F$1004,0)),""))</f>
        <v/>
      </c>
      <c r="G1947" s="15" t="str">
        <f aca="false">IF(OR(B1947="",F1947=""),"",B1947-F1947)</f>
        <v/>
      </c>
      <c r="H1947" s="13"/>
      <c r="I1947" s="13"/>
      <c r="J1947" s="13"/>
      <c r="K1947" s="25"/>
      <c r="L1947" s="25"/>
      <c r="M1947" s="25"/>
      <c r="N1947" s="25"/>
      <c r="O1947" s="26"/>
      <c r="P1947" s="16" t="str">
        <f aca="false">IF(O1947="","",IFERROR(1/(1/(IF(K1947="",INDEX(CONFIG!$F$5:$F$14,MATCH(D1947,CONFIG!$D$5:$D$14,0)),K1947)*IF(M1947="",INDEX(CONFIG!$H$5:$H$14,MATCH(D1947,CONFIG!$D$5:$D$14,0)),M1947))),""))</f>
        <v/>
      </c>
      <c r="Q1947" s="16" t="str">
        <f aca="false">IF(OR(O1947="",P1947=""),"",O1947/P1947)</f>
        <v/>
      </c>
      <c r="R1947" s="16" t="str">
        <f aca="false">IF(Q1947="","",Q1947*0.0980665)</f>
        <v/>
      </c>
      <c r="S1947" s="16" t="str">
        <f aca="false">IF(Q1947="","",IFERROR(Q1947/(1/(1/INDEX(CONFIG!$I$5:$I$14,MATCH(D1947,CONFIG!$D$5:$D$14,0)))),""))</f>
        <v/>
      </c>
      <c r="T1947" s="13"/>
      <c r="U1947" s="13"/>
      <c r="V1947" s="13"/>
      <c r="W1947" s="13"/>
      <c r="X1947" s="22" t="str">
        <f aca="false">IF(Q1947="","",Q1947^2)</f>
        <v/>
      </c>
      <c r="Y1947" s="22" t="str">
        <f aca="false">IF(AND(C1947&lt;&gt;"",C1947=CERTIFICADO!$E$4,OR(CERTIFICADO!$E$5="",B1947=CERTIFICADO!$E$5)),MAX($Y$4:Y1946)+1,"")</f>
        <v/>
      </c>
    </row>
    <row r="1948" customFormat="false" ht="15" hidden="false" customHeight="false" outlineLevel="0" collapsed="false">
      <c r="A1948" s="11" t="str">
        <f aca="false">IF(C1948="","",ROW()-4)</f>
        <v/>
      </c>
      <c r="B1948" s="12"/>
      <c r="C1948" s="13"/>
      <c r="D1948" s="23" t="str">
        <f aca="false">IF(C1948="","",IFERROR(INDEX(LOTES!$D$5:$D$1004,MATCH(C1948,LOTES!$F$5:$F$1004,0)),"¿Lote?"))</f>
        <v/>
      </c>
      <c r="E1948" s="11" t="str">
        <f aca="false">IF(C1948="","",IFERROR(INDEX(LOTES!$C$5:$C$1004,MATCH(C1948,LOTES!$F$5:$F$1004,0)),""))</f>
        <v/>
      </c>
      <c r="F1948" s="24" t="str">
        <f aca="false">IF(C1948="","",IFERROR(INDEX(LOTES!$B$5:$B$1004,MATCH(C1948,LOTES!$F$5:$F$1004,0)),""))</f>
        <v/>
      </c>
      <c r="G1948" s="15" t="str">
        <f aca="false">IF(OR(B1948="",F1948=""),"",B1948-F1948)</f>
        <v/>
      </c>
      <c r="H1948" s="13"/>
      <c r="I1948" s="13"/>
      <c r="J1948" s="13"/>
      <c r="K1948" s="25"/>
      <c r="L1948" s="25"/>
      <c r="M1948" s="25"/>
      <c r="N1948" s="25"/>
      <c r="O1948" s="26"/>
      <c r="P1948" s="16" t="str">
        <f aca="false">IF(O1948="","",IFERROR(1/(1/(IF(K1948="",INDEX(CONFIG!$F$5:$F$14,MATCH(D1948,CONFIG!$D$5:$D$14,0)),K1948)*IF(M1948="",INDEX(CONFIG!$H$5:$H$14,MATCH(D1948,CONFIG!$D$5:$D$14,0)),M1948))),""))</f>
        <v/>
      </c>
      <c r="Q1948" s="16" t="str">
        <f aca="false">IF(OR(O1948="",P1948=""),"",O1948/P1948)</f>
        <v/>
      </c>
      <c r="R1948" s="16" t="str">
        <f aca="false">IF(Q1948="","",Q1948*0.0980665)</f>
        <v/>
      </c>
      <c r="S1948" s="16" t="str">
        <f aca="false">IF(Q1948="","",IFERROR(Q1948/(1/(1/INDEX(CONFIG!$I$5:$I$14,MATCH(D1948,CONFIG!$D$5:$D$14,0)))),""))</f>
        <v/>
      </c>
      <c r="T1948" s="13"/>
      <c r="U1948" s="13"/>
      <c r="V1948" s="13"/>
      <c r="W1948" s="13"/>
      <c r="X1948" s="22" t="str">
        <f aca="false">IF(Q1948="","",Q1948^2)</f>
        <v/>
      </c>
      <c r="Y1948" s="22" t="str">
        <f aca="false">IF(AND(C1948&lt;&gt;"",C1948=CERTIFICADO!$E$4,OR(CERTIFICADO!$E$5="",B1948=CERTIFICADO!$E$5)),MAX($Y$4:Y1947)+1,"")</f>
        <v/>
      </c>
    </row>
    <row r="1949" customFormat="false" ht="15" hidden="false" customHeight="false" outlineLevel="0" collapsed="false">
      <c r="A1949" s="11" t="str">
        <f aca="false">IF(C1949="","",ROW()-4)</f>
        <v/>
      </c>
      <c r="B1949" s="12"/>
      <c r="C1949" s="13"/>
      <c r="D1949" s="23" t="str">
        <f aca="false">IF(C1949="","",IFERROR(INDEX(LOTES!$D$5:$D$1004,MATCH(C1949,LOTES!$F$5:$F$1004,0)),"¿Lote?"))</f>
        <v/>
      </c>
      <c r="E1949" s="11" t="str">
        <f aca="false">IF(C1949="","",IFERROR(INDEX(LOTES!$C$5:$C$1004,MATCH(C1949,LOTES!$F$5:$F$1004,0)),""))</f>
        <v/>
      </c>
      <c r="F1949" s="24" t="str">
        <f aca="false">IF(C1949="","",IFERROR(INDEX(LOTES!$B$5:$B$1004,MATCH(C1949,LOTES!$F$5:$F$1004,0)),""))</f>
        <v/>
      </c>
      <c r="G1949" s="15" t="str">
        <f aca="false">IF(OR(B1949="",F1949=""),"",B1949-F1949)</f>
        <v/>
      </c>
      <c r="H1949" s="13"/>
      <c r="I1949" s="13"/>
      <c r="J1949" s="13"/>
      <c r="K1949" s="25"/>
      <c r="L1949" s="25"/>
      <c r="M1949" s="25"/>
      <c r="N1949" s="25"/>
      <c r="O1949" s="26"/>
      <c r="P1949" s="16" t="str">
        <f aca="false">IF(O1949="","",IFERROR(1/(1/(IF(K1949="",INDEX(CONFIG!$F$5:$F$14,MATCH(D1949,CONFIG!$D$5:$D$14,0)),K1949)*IF(M1949="",INDEX(CONFIG!$H$5:$H$14,MATCH(D1949,CONFIG!$D$5:$D$14,0)),M1949))),""))</f>
        <v/>
      </c>
      <c r="Q1949" s="16" t="str">
        <f aca="false">IF(OR(O1949="",P1949=""),"",O1949/P1949)</f>
        <v/>
      </c>
      <c r="R1949" s="16" t="str">
        <f aca="false">IF(Q1949="","",Q1949*0.0980665)</f>
        <v/>
      </c>
      <c r="S1949" s="16" t="str">
        <f aca="false">IF(Q1949="","",IFERROR(Q1949/(1/(1/INDEX(CONFIG!$I$5:$I$14,MATCH(D1949,CONFIG!$D$5:$D$14,0)))),""))</f>
        <v/>
      </c>
      <c r="T1949" s="13"/>
      <c r="U1949" s="13"/>
      <c r="V1949" s="13"/>
      <c r="W1949" s="13"/>
      <c r="X1949" s="22" t="str">
        <f aca="false">IF(Q1949="","",Q1949^2)</f>
        <v/>
      </c>
      <c r="Y1949" s="22" t="str">
        <f aca="false">IF(AND(C1949&lt;&gt;"",C1949=CERTIFICADO!$E$4,OR(CERTIFICADO!$E$5="",B1949=CERTIFICADO!$E$5)),MAX($Y$4:Y1948)+1,"")</f>
        <v/>
      </c>
    </row>
    <row r="1950" customFormat="false" ht="15" hidden="false" customHeight="false" outlineLevel="0" collapsed="false">
      <c r="A1950" s="11" t="str">
        <f aca="false">IF(C1950="","",ROW()-4)</f>
        <v/>
      </c>
      <c r="B1950" s="12"/>
      <c r="C1950" s="13"/>
      <c r="D1950" s="23" t="str">
        <f aca="false">IF(C1950="","",IFERROR(INDEX(LOTES!$D$5:$D$1004,MATCH(C1950,LOTES!$F$5:$F$1004,0)),"¿Lote?"))</f>
        <v/>
      </c>
      <c r="E1950" s="11" t="str">
        <f aca="false">IF(C1950="","",IFERROR(INDEX(LOTES!$C$5:$C$1004,MATCH(C1950,LOTES!$F$5:$F$1004,0)),""))</f>
        <v/>
      </c>
      <c r="F1950" s="24" t="str">
        <f aca="false">IF(C1950="","",IFERROR(INDEX(LOTES!$B$5:$B$1004,MATCH(C1950,LOTES!$F$5:$F$1004,0)),""))</f>
        <v/>
      </c>
      <c r="G1950" s="15" t="str">
        <f aca="false">IF(OR(B1950="",F1950=""),"",B1950-F1950)</f>
        <v/>
      </c>
      <c r="H1950" s="13"/>
      <c r="I1950" s="13"/>
      <c r="J1950" s="13"/>
      <c r="K1950" s="25"/>
      <c r="L1950" s="25"/>
      <c r="M1950" s="25"/>
      <c r="N1950" s="25"/>
      <c r="O1950" s="26"/>
      <c r="P1950" s="16" t="str">
        <f aca="false">IF(O1950="","",IFERROR(1/(1/(IF(K1950="",INDEX(CONFIG!$F$5:$F$14,MATCH(D1950,CONFIG!$D$5:$D$14,0)),K1950)*IF(M1950="",INDEX(CONFIG!$H$5:$H$14,MATCH(D1950,CONFIG!$D$5:$D$14,0)),M1950))),""))</f>
        <v/>
      </c>
      <c r="Q1950" s="16" t="str">
        <f aca="false">IF(OR(O1950="",P1950=""),"",O1950/P1950)</f>
        <v/>
      </c>
      <c r="R1950" s="16" t="str">
        <f aca="false">IF(Q1950="","",Q1950*0.0980665)</f>
        <v/>
      </c>
      <c r="S1950" s="16" t="str">
        <f aca="false">IF(Q1950="","",IFERROR(Q1950/(1/(1/INDEX(CONFIG!$I$5:$I$14,MATCH(D1950,CONFIG!$D$5:$D$14,0)))),""))</f>
        <v/>
      </c>
      <c r="T1950" s="13"/>
      <c r="U1950" s="13"/>
      <c r="V1950" s="13"/>
      <c r="W1950" s="13"/>
      <c r="X1950" s="22" t="str">
        <f aca="false">IF(Q1950="","",Q1950^2)</f>
        <v/>
      </c>
      <c r="Y1950" s="22" t="str">
        <f aca="false">IF(AND(C1950&lt;&gt;"",C1950=CERTIFICADO!$E$4,OR(CERTIFICADO!$E$5="",B1950=CERTIFICADO!$E$5)),MAX($Y$4:Y1949)+1,"")</f>
        <v/>
      </c>
    </row>
    <row r="1951" customFormat="false" ht="15" hidden="false" customHeight="false" outlineLevel="0" collapsed="false">
      <c r="A1951" s="11" t="str">
        <f aca="false">IF(C1951="","",ROW()-4)</f>
        <v/>
      </c>
      <c r="B1951" s="12"/>
      <c r="C1951" s="13"/>
      <c r="D1951" s="23" t="str">
        <f aca="false">IF(C1951="","",IFERROR(INDEX(LOTES!$D$5:$D$1004,MATCH(C1951,LOTES!$F$5:$F$1004,0)),"¿Lote?"))</f>
        <v/>
      </c>
      <c r="E1951" s="11" t="str">
        <f aca="false">IF(C1951="","",IFERROR(INDEX(LOTES!$C$5:$C$1004,MATCH(C1951,LOTES!$F$5:$F$1004,0)),""))</f>
        <v/>
      </c>
      <c r="F1951" s="24" t="str">
        <f aca="false">IF(C1951="","",IFERROR(INDEX(LOTES!$B$5:$B$1004,MATCH(C1951,LOTES!$F$5:$F$1004,0)),""))</f>
        <v/>
      </c>
      <c r="G1951" s="15" t="str">
        <f aca="false">IF(OR(B1951="",F1951=""),"",B1951-F1951)</f>
        <v/>
      </c>
      <c r="H1951" s="13"/>
      <c r="I1951" s="13"/>
      <c r="J1951" s="13"/>
      <c r="K1951" s="25"/>
      <c r="L1951" s="25"/>
      <c r="M1951" s="25"/>
      <c r="N1951" s="25"/>
      <c r="O1951" s="26"/>
      <c r="P1951" s="16" t="str">
        <f aca="false">IF(O1951="","",IFERROR(1/(1/(IF(K1951="",INDEX(CONFIG!$F$5:$F$14,MATCH(D1951,CONFIG!$D$5:$D$14,0)),K1951)*IF(M1951="",INDEX(CONFIG!$H$5:$H$14,MATCH(D1951,CONFIG!$D$5:$D$14,0)),M1951))),""))</f>
        <v/>
      </c>
      <c r="Q1951" s="16" t="str">
        <f aca="false">IF(OR(O1951="",P1951=""),"",O1951/P1951)</f>
        <v/>
      </c>
      <c r="R1951" s="16" t="str">
        <f aca="false">IF(Q1951="","",Q1951*0.0980665)</f>
        <v/>
      </c>
      <c r="S1951" s="16" t="str">
        <f aca="false">IF(Q1951="","",IFERROR(Q1951/(1/(1/INDEX(CONFIG!$I$5:$I$14,MATCH(D1951,CONFIG!$D$5:$D$14,0)))),""))</f>
        <v/>
      </c>
      <c r="T1951" s="13"/>
      <c r="U1951" s="13"/>
      <c r="V1951" s="13"/>
      <c r="W1951" s="13"/>
      <c r="X1951" s="22" t="str">
        <f aca="false">IF(Q1951="","",Q1951^2)</f>
        <v/>
      </c>
      <c r="Y1951" s="22" t="str">
        <f aca="false">IF(AND(C1951&lt;&gt;"",C1951=CERTIFICADO!$E$4,OR(CERTIFICADO!$E$5="",B1951=CERTIFICADO!$E$5)),MAX($Y$4:Y1950)+1,"")</f>
        <v/>
      </c>
    </row>
    <row r="1952" customFormat="false" ht="15" hidden="false" customHeight="false" outlineLevel="0" collapsed="false">
      <c r="A1952" s="11" t="str">
        <f aca="false">IF(C1952="","",ROW()-4)</f>
        <v/>
      </c>
      <c r="B1952" s="12"/>
      <c r="C1952" s="13"/>
      <c r="D1952" s="23" t="str">
        <f aca="false">IF(C1952="","",IFERROR(INDEX(LOTES!$D$5:$D$1004,MATCH(C1952,LOTES!$F$5:$F$1004,0)),"¿Lote?"))</f>
        <v/>
      </c>
      <c r="E1952" s="11" t="str">
        <f aca="false">IF(C1952="","",IFERROR(INDEX(LOTES!$C$5:$C$1004,MATCH(C1952,LOTES!$F$5:$F$1004,0)),""))</f>
        <v/>
      </c>
      <c r="F1952" s="24" t="str">
        <f aca="false">IF(C1952="","",IFERROR(INDEX(LOTES!$B$5:$B$1004,MATCH(C1952,LOTES!$F$5:$F$1004,0)),""))</f>
        <v/>
      </c>
      <c r="G1952" s="15" t="str">
        <f aca="false">IF(OR(B1952="",F1952=""),"",B1952-F1952)</f>
        <v/>
      </c>
      <c r="H1952" s="13"/>
      <c r="I1952" s="13"/>
      <c r="J1952" s="13"/>
      <c r="K1952" s="25"/>
      <c r="L1952" s="25"/>
      <c r="M1952" s="25"/>
      <c r="N1952" s="25"/>
      <c r="O1952" s="26"/>
      <c r="P1952" s="16" t="str">
        <f aca="false">IF(O1952="","",IFERROR(1/(1/(IF(K1952="",INDEX(CONFIG!$F$5:$F$14,MATCH(D1952,CONFIG!$D$5:$D$14,0)),K1952)*IF(M1952="",INDEX(CONFIG!$H$5:$H$14,MATCH(D1952,CONFIG!$D$5:$D$14,0)),M1952))),""))</f>
        <v/>
      </c>
      <c r="Q1952" s="16" t="str">
        <f aca="false">IF(OR(O1952="",P1952=""),"",O1952/P1952)</f>
        <v/>
      </c>
      <c r="R1952" s="16" t="str">
        <f aca="false">IF(Q1952="","",Q1952*0.0980665)</f>
        <v/>
      </c>
      <c r="S1952" s="16" t="str">
        <f aca="false">IF(Q1952="","",IFERROR(Q1952/(1/(1/INDEX(CONFIG!$I$5:$I$14,MATCH(D1952,CONFIG!$D$5:$D$14,0)))),""))</f>
        <v/>
      </c>
      <c r="T1952" s="13"/>
      <c r="U1952" s="13"/>
      <c r="V1952" s="13"/>
      <c r="W1952" s="13"/>
      <c r="X1952" s="22" t="str">
        <f aca="false">IF(Q1952="","",Q1952^2)</f>
        <v/>
      </c>
      <c r="Y1952" s="22" t="str">
        <f aca="false">IF(AND(C1952&lt;&gt;"",C1952=CERTIFICADO!$E$4,OR(CERTIFICADO!$E$5="",B1952=CERTIFICADO!$E$5)),MAX($Y$4:Y1951)+1,"")</f>
        <v/>
      </c>
    </row>
    <row r="1953" customFormat="false" ht="15" hidden="false" customHeight="false" outlineLevel="0" collapsed="false">
      <c r="A1953" s="11" t="str">
        <f aca="false">IF(C1953="","",ROW()-4)</f>
        <v/>
      </c>
      <c r="B1953" s="12"/>
      <c r="C1953" s="13"/>
      <c r="D1953" s="23" t="str">
        <f aca="false">IF(C1953="","",IFERROR(INDEX(LOTES!$D$5:$D$1004,MATCH(C1953,LOTES!$F$5:$F$1004,0)),"¿Lote?"))</f>
        <v/>
      </c>
      <c r="E1953" s="11" t="str">
        <f aca="false">IF(C1953="","",IFERROR(INDEX(LOTES!$C$5:$C$1004,MATCH(C1953,LOTES!$F$5:$F$1004,0)),""))</f>
        <v/>
      </c>
      <c r="F1953" s="24" t="str">
        <f aca="false">IF(C1953="","",IFERROR(INDEX(LOTES!$B$5:$B$1004,MATCH(C1953,LOTES!$F$5:$F$1004,0)),""))</f>
        <v/>
      </c>
      <c r="G1953" s="15" t="str">
        <f aca="false">IF(OR(B1953="",F1953=""),"",B1953-F1953)</f>
        <v/>
      </c>
      <c r="H1953" s="13"/>
      <c r="I1953" s="13"/>
      <c r="J1953" s="13"/>
      <c r="K1953" s="25"/>
      <c r="L1953" s="25"/>
      <c r="M1953" s="25"/>
      <c r="N1953" s="25"/>
      <c r="O1953" s="26"/>
      <c r="P1953" s="16" t="str">
        <f aca="false">IF(O1953="","",IFERROR(1/(1/(IF(K1953="",INDEX(CONFIG!$F$5:$F$14,MATCH(D1953,CONFIG!$D$5:$D$14,0)),K1953)*IF(M1953="",INDEX(CONFIG!$H$5:$H$14,MATCH(D1953,CONFIG!$D$5:$D$14,0)),M1953))),""))</f>
        <v/>
      </c>
      <c r="Q1953" s="16" t="str">
        <f aca="false">IF(OR(O1953="",P1953=""),"",O1953/P1953)</f>
        <v/>
      </c>
      <c r="R1953" s="16" t="str">
        <f aca="false">IF(Q1953="","",Q1953*0.0980665)</f>
        <v/>
      </c>
      <c r="S1953" s="16" t="str">
        <f aca="false">IF(Q1953="","",IFERROR(Q1953/(1/(1/INDEX(CONFIG!$I$5:$I$14,MATCH(D1953,CONFIG!$D$5:$D$14,0)))),""))</f>
        <v/>
      </c>
      <c r="T1953" s="13"/>
      <c r="U1953" s="13"/>
      <c r="V1953" s="13"/>
      <c r="W1953" s="13"/>
      <c r="X1953" s="22" t="str">
        <f aca="false">IF(Q1953="","",Q1953^2)</f>
        <v/>
      </c>
      <c r="Y1953" s="22" t="str">
        <f aca="false">IF(AND(C1953&lt;&gt;"",C1953=CERTIFICADO!$E$4,OR(CERTIFICADO!$E$5="",B1953=CERTIFICADO!$E$5)),MAX($Y$4:Y1952)+1,"")</f>
        <v/>
      </c>
    </row>
    <row r="1954" customFormat="false" ht="15" hidden="false" customHeight="false" outlineLevel="0" collapsed="false">
      <c r="A1954" s="11" t="str">
        <f aca="false">IF(C1954="","",ROW()-4)</f>
        <v/>
      </c>
      <c r="B1954" s="12"/>
      <c r="C1954" s="13"/>
      <c r="D1954" s="23" t="str">
        <f aca="false">IF(C1954="","",IFERROR(INDEX(LOTES!$D$5:$D$1004,MATCH(C1954,LOTES!$F$5:$F$1004,0)),"¿Lote?"))</f>
        <v/>
      </c>
      <c r="E1954" s="11" t="str">
        <f aca="false">IF(C1954="","",IFERROR(INDEX(LOTES!$C$5:$C$1004,MATCH(C1954,LOTES!$F$5:$F$1004,0)),""))</f>
        <v/>
      </c>
      <c r="F1954" s="24" t="str">
        <f aca="false">IF(C1954="","",IFERROR(INDEX(LOTES!$B$5:$B$1004,MATCH(C1954,LOTES!$F$5:$F$1004,0)),""))</f>
        <v/>
      </c>
      <c r="G1954" s="15" t="str">
        <f aca="false">IF(OR(B1954="",F1954=""),"",B1954-F1954)</f>
        <v/>
      </c>
      <c r="H1954" s="13"/>
      <c r="I1954" s="13"/>
      <c r="J1954" s="13"/>
      <c r="K1954" s="25"/>
      <c r="L1954" s="25"/>
      <c r="M1954" s="25"/>
      <c r="N1954" s="25"/>
      <c r="O1954" s="26"/>
      <c r="P1954" s="16" t="str">
        <f aca="false">IF(O1954="","",IFERROR(1/(1/(IF(K1954="",INDEX(CONFIG!$F$5:$F$14,MATCH(D1954,CONFIG!$D$5:$D$14,0)),K1954)*IF(M1954="",INDEX(CONFIG!$H$5:$H$14,MATCH(D1954,CONFIG!$D$5:$D$14,0)),M1954))),""))</f>
        <v/>
      </c>
      <c r="Q1954" s="16" t="str">
        <f aca="false">IF(OR(O1954="",P1954=""),"",O1954/P1954)</f>
        <v/>
      </c>
      <c r="R1954" s="16" t="str">
        <f aca="false">IF(Q1954="","",Q1954*0.0980665)</f>
        <v/>
      </c>
      <c r="S1954" s="16" t="str">
        <f aca="false">IF(Q1954="","",IFERROR(Q1954/(1/(1/INDEX(CONFIG!$I$5:$I$14,MATCH(D1954,CONFIG!$D$5:$D$14,0)))),""))</f>
        <v/>
      </c>
      <c r="T1954" s="13"/>
      <c r="U1954" s="13"/>
      <c r="V1954" s="13"/>
      <c r="W1954" s="13"/>
      <c r="X1954" s="22" t="str">
        <f aca="false">IF(Q1954="","",Q1954^2)</f>
        <v/>
      </c>
      <c r="Y1954" s="22" t="str">
        <f aca="false">IF(AND(C1954&lt;&gt;"",C1954=CERTIFICADO!$E$4,OR(CERTIFICADO!$E$5="",B1954=CERTIFICADO!$E$5)),MAX($Y$4:Y1953)+1,"")</f>
        <v/>
      </c>
    </row>
    <row r="1955" customFormat="false" ht="15" hidden="false" customHeight="false" outlineLevel="0" collapsed="false">
      <c r="A1955" s="11" t="str">
        <f aca="false">IF(C1955="","",ROW()-4)</f>
        <v/>
      </c>
      <c r="B1955" s="12"/>
      <c r="C1955" s="13"/>
      <c r="D1955" s="23" t="str">
        <f aca="false">IF(C1955="","",IFERROR(INDEX(LOTES!$D$5:$D$1004,MATCH(C1955,LOTES!$F$5:$F$1004,0)),"¿Lote?"))</f>
        <v/>
      </c>
      <c r="E1955" s="11" t="str">
        <f aca="false">IF(C1955="","",IFERROR(INDEX(LOTES!$C$5:$C$1004,MATCH(C1955,LOTES!$F$5:$F$1004,0)),""))</f>
        <v/>
      </c>
      <c r="F1955" s="24" t="str">
        <f aca="false">IF(C1955="","",IFERROR(INDEX(LOTES!$B$5:$B$1004,MATCH(C1955,LOTES!$F$5:$F$1004,0)),""))</f>
        <v/>
      </c>
      <c r="G1955" s="15" t="str">
        <f aca="false">IF(OR(B1955="",F1955=""),"",B1955-F1955)</f>
        <v/>
      </c>
      <c r="H1955" s="13"/>
      <c r="I1955" s="13"/>
      <c r="J1955" s="13"/>
      <c r="K1955" s="25"/>
      <c r="L1955" s="25"/>
      <c r="M1955" s="25"/>
      <c r="N1955" s="25"/>
      <c r="O1955" s="26"/>
      <c r="P1955" s="16" t="str">
        <f aca="false">IF(O1955="","",IFERROR(1/(1/(IF(K1955="",INDEX(CONFIG!$F$5:$F$14,MATCH(D1955,CONFIG!$D$5:$D$14,0)),K1955)*IF(M1955="",INDEX(CONFIG!$H$5:$H$14,MATCH(D1955,CONFIG!$D$5:$D$14,0)),M1955))),""))</f>
        <v/>
      </c>
      <c r="Q1955" s="16" t="str">
        <f aca="false">IF(OR(O1955="",P1955=""),"",O1955/P1955)</f>
        <v/>
      </c>
      <c r="R1955" s="16" t="str">
        <f aca="false">IF(Q1955="","",Q1955*0.0980665)</f>
        <v/>
      </c>
      <c r="S1955" s="16" t="str">
        <f aca="false">IF(Q1955="","",IFERROR(Q1955/(1/(1/INDEX(CONFIG!$I$5:$I$14,MATCH(D1955,CONFIG!$D$5:$D$14,0)))),""))</f>
        <v/>
      </c>
      <c r="T1955" s="13"/>
      <c r="U1955" s="13"/>
      <c r="V1955" s="13"/>
      <c r="W1955" s="13"/>
      <c r="X1955" s="22" t="str">
        <f aca="false">IF(Q1955="","",Q1955^2)</f>
        <v/>
      </c>
      <c r="Y1955" s="22" t="str">
        <f aca="false">IF(AND(C1955&lt;&gt;"",C1955=CERTIFICADO!$E$4,OR(CERTIFICADO!$E$5="",B1955=CERTIFICADO!$E$5)),MAX($Y$4:Y1954)+1,"")</f>
        <v/>
      </c>
    </row>
    <row r="1956" customFormat="false" ht="15" hidden="false" customHeight="false" outlineLevel="0" collapsed="false">
      <c r="A1956" s="11" t="str">
        <f aca="false">IF(C1956="","",ROW()-4)</f>
        <v/>
      </c>
      <c r="B1956" s="12"/>
      <c r="C1956" s="13"/>
      <c r="D1956" s="23" t="str">
        <f aca="false">IF(C1956="","",IFERROR(INDEX(LOTES!$D$5:$D$1004,MATCH(C1956,LOTES!$F$5:$F$1004,0)),"¿Lote?"))</f>
        <v/>
      </c>
      <c r="E1956" s="11" t="str">
        <f aca="false">IF(C1956="","",IFERROR(INDEX(LOTES!$C$5:$C$1004,MATCH(C1956,LOTES!$F$5:$F$1004,0)),""))</f>
        <v/>
      </c>
      <c r="F1956" s="24" t="str">
        <f aca="false">IF(C1956="","",IFERROR(INDEX(LOTES!$B$5:$B$1004,MATCH(C1956,LOTES!$F$5:$F$1004,0)),""))</f>
        <v/>
      </c>
      <c r="G1956" s="15" t="str">
        <f aca="false">IF(OR(B1956="",F1956=""),"",B1956-F1956)</f>
        <v/>
      </c>
      <c r="H1956" s="13"/>
      <c r="I1956" s="13"/>
      <c r="J1956" s="13"/>
      <c r="K1956" s="25"/>
      <c r="L1956" s="25"/>
      <c r="M1956" s="25"/>
      <c r="N1956" s="25"/>
      <c r="O1956" s="26"/>
      <c r="P1956" s="16" t="str">
        <f aca="false">IF(O1956="","",IFERROR(1/(1/(IF(K1956="",INDEX(CONFIG!$F$5:$F$14,MATCH(D1956,CONFIG!$D$5:$D$14,0)),K1956)*IF(M1956="",INDEX(CONFIG!$H$5:$H$14,MATCH(D1956,CONFIG!$D$5:$D$14,0)),M1956))),""))</f>
        <v/>
      </c>
      <c r="Q1956" s="16" t="str">
        <f aca="false">IF(OR(O1956="",P1956=""),"",O1956/P1956)</f>
        <v/>
      </c>
      <c r="R1956" s="16" t="str">
        <f aca="false">IF(Q1956="","",Q1956*0.0980665)</f>
        <v/>
      </c>
      <c r="S1956" s="16" t="str">
        <f aca="false">IF(Q1956="","",IFERROR(Q1956/(1/(1/INDEX(CONFIG!$I$5:$I$14,MATCH(D1956,CONFIG!$D$5:$D$14,0)))),""))</f>
        <v/>
      </c>
      <c r="T1956" s="13"/>
      <c r="U1956" s="13"/>
      <c r="V1956" s="13"/>
      <c r="W1956" s="13"/>
      <c r="X1956" s="22" t="str">
        <f aca="false">IF(Q1956="","",Q1956^2)</f>
        <v/>
      </c>
      <c r="Y1956" s="22" t="str">
        <f aca="false">IF(AND(C1956&lt;&gt;"",C1956=CERTIFICADO!$E$4,OR(CERTIFICADO!$E$5="",B1956=CERTIFICADO!$E$5)),MAX($Y$4:Y1955)+1,"")</f>
        <v/>
      </c>
    </row>
    <row r="1957" customFormat="false" ht="15" hidden="false" customHeight="false" outlineLevel="0" collapsed="false">
      <c r="A1957" s="11" t="str">
        <f aca="false">IF(C1957="","",ROW()-4)</f>
        <v/>
      </c>
      <c r="B1957" s="12"/>
      <c r="C1957" s="13"/>
      <c r="D1957" s="23" t="str">
        <f aca="false">IF(C1957="","",IFERROR(INDEX(LOTES!$D$5:$D$1004,MATCH(C1957,LOTES!$F$5:$F$1004,0)),"¿Lote?"))</f>
        <v/>
      </c>
      <c r="E1957" s="11" t="str">
        <f aca="false">IF(C1957="","",IFERROR(INDEX(LOTES!$C$5:$C$1004,MATCH(C1957,LOTES!$F$5:$F$1004,0)),""))</f>
        <v/>
      </c>
      <c r="F1957" s="24" t="str">
        <f aca="false">IF(C1957="","",IFERROR(INDEX(LOTES!$B$5:$B$1004,MATCH(C1957,LOTES!$F$5:$F$1004,0)),""))</f>
        <v/>
      </c>
      <c r="G1957" s="15" t="str">
        <f aca="false">IF(OR(B1957="",F1957=""),"",B1957-F1957)</f>
        <v/>
      </c>
      <c r="H1957" s="13"/>
      <c r="I1957" s="13"/>
      <c r="J1957" s="13"/>
      <c r="K1957" s="25"/>
      <c r="L1957" s="25"/>
      <c r="M1957" s="25"/>
      <c r="N1957" s="25"/>
      <c r="O1957" s="26"/>
      <c r="P1957" s="16" t="str">
        <f aca="false">IF(O1957="","",IFERROR(1/(1/(IF(K1957="",INDEX(CONFIG!$F$5:$F$14,MATCH(D1957,CONFIG!$D$5:$D$14,0)),K1957)*IF(M1957="",INDEX(CONFIG!$H$5:$H$14,MATCH(D1957,CONFIG!$D$5:$D$14,0)),M1957))),""))</f>
        <v/>
      </c>
      <c r="Q1957" s="16" t="str">
        <f aca="false">IF(OR(O1957="",P1957=""),"",O1957/P1957)</f>
        <v/>
      </c>
      <c r="R1957" s="16" t="str">
        <f aca="false">IF(Q1957="","",Q1957*0.0980665)</f>
        <v/>
      </c>
      <c r="S1957" s="16" t="str">
        <f aca="false">IF(Q1957="","",IFERROR(Q1957/(1/(1/INDEX(CONFIG!$I$5:$I$14,MATCH(D1957,CONFIG!$D$5:$D$14,0)))),""))</f>
        <v/>
      </c>
      <c r="T1957" s="13"/>
      <c r="U1957" s="13"/>
      <c r="V1957" s="13"/>
      <c r="W1957" s="13"/>
      <c r="X1957" s="22" t="str">
        <f aca="false">IF(Q1957="","",Q1957^2)</f>
        <v/>
      </c>
      <c r="Y1957" s="22" t="str">
        <f aca="false">IF(AND(C1957&lt;&gt;"",C1957=CERTIFICADO!$E$4,OR(CERTIFICADO!$E$5="",B1957=CERTIFICADO!$E$5)),MAX($Y$4:Y1956)+1,"")</f>
        <v/>
      </c>
    </row>
    <row r="1958" customFormat="false" ht="15" hidden="false" customHeight="false" outlineLevel="0" collapsed="false">
      <c r="A1958" s="11" t="str">
        <f aca="false">IF(C1958="","",ROW()-4)</f>
        <v/>
      </c>
      <c r="B1958" s="12"/>
      <c r="C1958" s="13"/>
      <c r="D1958" s="23" t="str">
        <f aca="false">IF(C1958="","",IFERROR(INDEX(LOTES!$D$5:$D$1004,MATCH(C1958,LOTES!$F$5:$F$1004,0)),"¿Lote?"))</f>
        <v/>
      </c>
      <c r="E1958" s="11" t="str">
        <f aca="false">IF(C1958="","",IFERROR(INDEX(LOTES!$C$5:$C$1004,MATCH(C1958,LOTES!$F$5:$F$1004,0)),""))</f>
        <v/>
      </c>
      <c r="F1958" s="24" t="str">
        <f aca="false">IF(C1958="","",IFERROR(INDEX(LOTES!$B$5:$B$1004,MATCH(C1958,LOTES!$F$5:$F$1004,0)),""))</f>
        <v/>
      </c>
      <c r="G1958" s="15" t="str">
        <f aca="false">IF(OR(B1958="",F1958=""),"",B1958-F1958)</f>
        <v/>
      </c>
      <c r="H1958" s="13"/>
      <c r="I1958" s="13"/>
      <c r="J1958" s="13"/>
      <c r="K1958" s="25"/>
      <c r="L1958" s="25"/>
      <c r="M1958" s="25"/>
      <c r="N1958" s="25"/>
      <c r="O1958" s="26"/>
      <c r="P1958" s="16" t="str">
        <f aca="false">IF(O1958="","",IFERROR(1/(1/(IF(K1958="",INDEX(CONFIG!$F$5:$F$14,MATCH(D1958,CONFIG!$D$5:$D$14,0)),K1958)*IF(M1958="",INDEX(CONFIG!$H$5:$H$14,MATCH(D1958,CONFIG!$D$5:$D$14,0)),M1958))),""))</f>
        <v/>
      </c>
      <c r="Q1958" s="16" t="str">
        <f aca="false">IF(OR(O1958="",P1958=""),"",O1958/P1958)</f>
        <v/>
      </c>
      <c r="R1958" s="16" t="str">
        <f aca="false">IF(Q1958="","",Q1958*0.0980665)</f>
        <v/>
      </c>
      <c r="S1958" s="16" t="str">
        <f aca="false">IF(Q1958="","",IFERROR(Q1958/(1/(1/INDEX(CONFIG!$I$5:$I$14,MATCH(D1958,CONFIG!$D$5:$D$14,0)))),""))</f>
        <v/>
      </c>
      <c r="T1958" s="13"/>
      <c r="U1958" s="13"/>
      <c r="V1958" s="13"/>
      <c r="W1958" s="13"/>
      <c r="X1958" s="22" t="str">
        <f aca="false">IF(Q1958="","",Q1958^2)</f>
        <v/>
      </c>
      <c r="Y1958" s="22" t="str">
        <f aca="false">IF(AND(C1958&lt;&gt;"",C1958=CERTIFICADO!$E$4,OR(CERTIFICADO!$E$5="",B1958=CERTIFICADO!$E$5)),MAX($Y$4:Y1957)+1,"")</f>
        <v/>
      </c>
    </row>
    <row r="1959" customFormat="false" ht="15" hidden="false" customHeight="false" outlineLevel="0" collapsed="false">
      <c r="A1959" s="11" t="str">
        <f aca="false">IF(C1959="","",ROW()-4)</f>
        <v/>
      </c>
      <c r="B1959" s="12"/>
      <c r="C1959" s="13"/>
      <c r="D1959" s="23" t="str">
        <f aca="false">IF(C1959="","",IFERROR(INDEX(LOTES!$D$5:$D$1004,MATCH(C1959,LOTES!$F$5:$F$1004,0)),"¿Lote?"))</f>
        <v/>
      </c>
      <c r="E1959" s="11" t="str">
        <f aca="false">IF(C1959="","",IFERROR(INDEX(LOTES!$C$5:$C$1004,MATCH(C1959,LOTES!$F$5:$F$1004,0)),""))</f>
        <v/>
      </c>
      <c r="F1959" s="24" t="str">
        <f aca="false">IF(C1959="","",IFERROR(INDEX(LOTES!$B$5:$B$1004,MATCH(C1959,LOTES!$F$5:$F$1004,0)),""))</f>
        <v/>
      </c>
      <c r="G1959" s="15" t="str">
        <f aca="false">IF(OR(B1959="",F1959=""),"",B1959-F1959)</f>
        <v/>
      </c>
      <c r="H1959" s="13"/>
      <c r="I1959" s="13"/>
      <c r="J1959" s="13"/>
      <c r="K1959" s="25"/>
      <c r="L1959" s="25"/>
      <c r="M1959" s="25"/>
      <c r="N1959" s="25"/>
      <c r="O1959" s="26"/>
      <c r="P1959" s="16" t="str">
        <f aca="false">IF(O1959="","",IFERROR(1/(1/(IF(K1959="",INDEX(CONFIG!$F$5:$F$14,MATCH(D1959,CONFIG!$D$5:$D$14,0)),K1959)*IF(M1959="",INDEX(CONFIG!$H$5:$H$14,MATCH(D1959,CONFIG!$D$5:$D$14,0)),M1959))),""))</f>
        <v/>
      </c>
      <c r="Q1959" s="16" t="str">
        <f aca="false">IF(OR(O1959="",P1959=""),"",O1959/P1959)</f>
        <v/>
      </c>
      <c r="R1959" s="16" t="str">
        <f aca="false">IF(Q1959="","",Q1959*0.0980665)</f>
        <v/>
      </c>
      <c r="S1959" s="16" t="str">
        <f aca="false">IF(Q1959="","",IFERROR(Q1959/(1/(1/INDEX(CONFIG!$I$5:$I$14,MATCH(D1959,CONFIG!$D$5:$D$14,0)))),""))</f>
        <v/>
      </c>
      <c r="T1959" s="13"/>
      <c r="U1959" s="13"/>
      <c r="V1959" s="13"/>
      <c r="W1959" s="13"/>
      <c r="X1959" s="22" t="str">
        <f aca="false">IF(Q1959="","",Q1959^2)</f>
        <v/>
      </c>
      <c r="Y1959" s="22" t="str">
        <f aca="false">IF(AND(C1959&lt;&gt;"",C1959=CERTIFICADO!$E$4,OR(CERTIFICADO!$E$5="",B1959=CERTIFICADO!$E$5)),MAX($Y$4:Y1958)+1,"")</f>
        <v/>
      </c>
    </row>
    <row r="1960" customFormat="false" ht="15" hidden="false" customHeight="false" outlineLevel="0" collapsed="false">
      <c r="A1960" s="11" t="str">
        <f aca="false">IF(C1960="","",ROW()-4)</f>
        <v/>
      </c>
      <c r="B1960" s="12"/>
      <c r="C1960" s="13"/>
      <c r="D1960" s="23" t="str">
        <f aca="false">IF(C1960="","",IFERROR(INDEX(LOTES!$D$5:$D$1004,MATCH(C1960,LOTES!$F$5:$F$1004,0)),"¿Lote?"))</f>
        <v/>
      </c>
      <c r="E1960" s="11" t="str">
        <f aca="false">IF(C1960="","",IFERROR(INDEX(LOTES!$C$5:$C$1004,MATCH(C1960,LOTES!$F$5:$F$1004,0)),""))</f>
        <v/>
      </c>
      <c r="F1960" s="24" t="str">
        <f aca="false">IF(C1960="","",IFERROR(INDEX(LOTES!$B$5:$B$1004,MATCH(C1960,LOTES!$F$5:$F$1004,0)),""))</f>
        <v/>
      </c>
      <c r="G1960" s="15" t="str">
        <f aca="false">IF(OR(B1960="",F1960=""),"",B1960-F1960)</f>
        <v/>
      </c>
      <c r="H1960" s="13"/>
      <c r="I1960" s="13"/>
      <c r="J1960" s="13"/>
      <c r="K1960" s="25"/>
      <c r="L1960" s="25"/>
      <c r="M1960" s="25"/>
      <c r="N1960" s="25"/>
      <c r="O1960" s="26"/>
      <c r="P1960" s="16" t="str">
        <f aca="false">IF(O1960="","",IFERROR(1/(1/(IF(K1960="",INDEX(CONFIG!$F$5:$F$14,MATCH(D1960,CONFIG!$D$5:$D$14,0)),K1960)*IF(M1960="",INDEX(CONFIG!$H$5:$H$14,MATCH(D1960,CONFIG!$D$5:$D$14,0)),M1960))),""))</f>
        <v/>
      </c>
      <c r="Q1960" s="16" t="str">
        <f aca="false">IF(OR(O1960="",P1960=""),"",O1960/P1960)</f>
        <v/>
      </c>
      <c r="R1960" s="16" t="str">
        <f aca="false">IF(Q1960="","",Q1960*0.0980665)</f>
        <v/>
      </c>
      <c r="S1960" s="16" t="str">
        <f aca="false">IF(Q1960="","",IFERROR(Q1960/(1/(1/INDEX(CONFIG!$I$5:$I$14,MATCH(D1960,CONFIG!$D$5:$D$14,0)))),""))</f>
        <v/>
      </c>
      <c r="T1960" s="13"/>
      <c r="U1960" s="13"/>
      <c r="V1960" s="13"/>
      <c r="W1960" s="13"/>
      <c r="X1960" s="22" t="str">
        <f aca="false">IF(Q1960="","",Q1960^2)</f>
        <v/>
      </c>
      <c r="Y1960" s="22" t="str">
        <f aca="false">IF(AND(C1960&lt;&gt;"",C1960=CERTIFICADO!$E$4,OR(CERTIFICADO!$E$5="",B1960=CERTIFICADO!$E$5)),MAX($Y$4:Y1959)+1,"")</f>
        <v/>
      </c>
    </row>
    <row r="1961" customFormat="false" ht="15" hidden="false" customHeight="false" outlineLevel="0" collapsed="false">
      <c r="A1961" s="11" t="str">
        <f aca="false">IF(C1961="","",ROW()-4)</f>
        <v/>
      </c>
      <c r="B1961" s="12"/>
      <c r="C1961" s="13"/>
      <c r="D1961" s="23" t="str">
        <f aca="false">IF(C1961="","",IFERROR(INDEX(LOTES!$D$5:$D$1004,MATCH(C1961,LOTES!$F$5:$F$1004,0)),"¿Lote?"))</f>
        <v/>
      </c>
      <c r="E1961" s="11" t="str">
        <f aca="false">IF(C1961="","",IFERROR(INDEX(LOTES!$C$5:$C$1004,MATCH(C1961,LOTES!$F$5:$F$1004,0)),""))</f>
        <v/>
      </c>
      <c r="F1961" s="24" t="str">
        <f aca="false">IF(C1961="","",IFERROR(INDEX(LOTES!$B$5:$B$1004,MATCH(C1961,LOTES!$F$5:$F$1004,0)),""))</f>
        <v/>
      </c>
      <c r="G1961" s="15" t="str">
        <f aca="false">IF(OR(B1961="",F1961=""),"",B1961-F1961)</f>
        <v/>
      </c>
      <c r="H1961" s="13"/>
      <c r="I1961" s="13"/>
      <c r="J1961" s="13"/>
      <c r="K1961" s="25"/>
      <c r="L1961" s="25"/>
      <c r="M1961" s="25"/>
      <c r="N1961" s="25"/>
      <c r="O1961" s="26"/>
      <c r="P1961" s="16" t="str">
        <f aca="false">IF(O1961="","",IFERROR(1/(1/(IF(K1961="",INDEX(CONFIG!$F$5:$F$14,MATCH(D1961,CONFIG!$D$5:$D$14,0)),K1961)*IF(M1961="",INDEX(CONFIG!$H$5:$H$14,MATCH(D1961,CONFIG!$D$5:$D$14,0)),M1961))),""))</f>
        <v/>
      </c>
      <c r="Q1961" s="16" t="str">
        <f aca="false">IF(OR(O1961="",P1961=""),"",O1961/P1961)</f>
        <v/>
      </c>
      <c r="R1961" s="16" t="str">
        <f aca="false">IF(Q1961="","",Q1961*0.0980665)</f>
        <v/>
      </c>
      <c r="S1961" s="16" t="str">
        <f aca="false">IF(Q1961="","",IFERROR(Q1961/(1/(1/INDEX(CONFIG!$I$5:$I$14,MATCH(D1961,CONFIG!$D$5:$D$14,0)))),""))</f>
        <v/>
      </c>
      <c r="T1961" s="13"/>
      <c r="U1961" s="13"/>
      <c r="V1961" s="13"/>
      <c r="W1961" s="13"/>
      <c r="X1961" s="22" t="str">
        <f aca="false">IF(Q1961="","",Q1961^2)</f>
        <v/>
      </c>
      <c r="Y1961" s="22" t="str">
        <f aca="false">IF(AND(C1961&lt;&gt;"",C1961=CERTIFICADO!$E$4,OR(CERTIFICADO!$E$5="",B1961=CERTIFICADO!$E$5)),MAX($Y$4:Y1960)+1,"")</f>
        <v/>
      </c>
    </row>
    <row r="1962" customFormat="false" ht="15" hidden="false" customHeight="false" outlineLevel="0" collapsed="false">
      <c r="A1962" s="11" t="str">
        <f aca="false">IF(C1962="","",ROW()-4)</f>
        <v/>
      </c>
      <c r="B1962" s="12"/>
      <c r="C1962" s="13"/>
      <c r="D1962" s="23" t="str">
        <f aca="false">IF(C1962="","",IFERROR(INDEX(LOTES!$D$5:$D$1004,MATCH(C1962,LOTES!$F$5:$F$1004,0)),"¿Lote?"))</f>
        <v/>
      </c>
      <c r="E1962" s="11" t="str">
        <f aca="false">IF(C1962="","",IFERROR(INDEX(LOTES!$C$5:$C$1004,MATCH(C1962,LOTES!$F$5:$F$1004,0)),""))</f>
        <v/>
      </c>
      <c r="F1962" s="24" t="str">
        <f aca="false">IF(C1962="","",IFERROR(INDEX(LOTES!$B$5:$B$1004,MATCH(C1962,LOTES!$F$5:$F$1004,0)),""))</f>
        <v/>
      </c>
      <c r="G1962" s="15" t="str">
        <f aca="false">IF(OR(B1962="",F1962=""),"",B1962-F1962)</f>
        <v/>
      </c>
      <c r="H1962" s="13"/>
      <c r="I1962" s="13"/>
      <c r="J1962" s="13"/>
      <c r="K1962" s="25"/>
      <c r="L1962" s="25"/>
      <c r="M1962" s="25"/>
      <c r="N1962" s="25"/>
      <c r="O1962" s="26"/>
      <c r="P1962" s="16" t="str">
        <f aca="false">IF(O1962="","",IFERROR(1/(1/(IF(K1962="",INDEX(CONFIG!$F$5:$F$14,MATCH(D1962,CONFIG!$D$5:$D$14,0)),K1962)*IF(M1962="",INDEX(CONFIG!$H$5:$H$14,MATCH(D1962,CONFIG!$D$5:$D$14,0)),M1962))),""))</f>
        <v/>
      </c>
      <c r="Q1962" s="16" t="str">
        <f aca="false">IF(OR(O1962="",P1962=""),"",O1962/P1962)</f>
        <v/>
      </c>
      <c r="R1962" s="16" t="str">
        <f aca="false">IF(Q1962="","",Q1962*0.0980665)</f>
        <v/>
      </c>
      <c r="S1962" s="16" t="str">
        <f aca="false">IF(Q1962="","",IFERROR(Q1962/(1/(1/INDEX(CONFIG!$I$5:$I$14,MATCH(D1962,CONFIG!$D$5:$D$14,0)))),""))</f>
        <v/>
      </c>
      <c r="T1962" s="13"/>
      <c r="U1962" s="13"/>
      <c r="V1962" s="13"/>
      <c r="W1962" s="13"/>
      <c r="X1962" s="22" t="str">
        <f aca="false">IF(Q1962="","",Q1962^2)</f>
        <v/>
      </c>
      <c r="Y1962" s="22" t="str">
        <f aca="false">IF(AND(C1962&lt;&gt;"",C1962=CERTIFICADO!$E$4,OR(CERTIFICADO!$E$5="",B1962=CERTIFICADO!$E$5)),MAX($Y$4:Y1961)+1,"")</f>
        <v/>
      </c>
    </row>
    <row r="1963" customFormat="false" ht="15" hidden="false" customHeight="false" outlineLevel="0" collapsed="false">
      <c r="A1963" s="11" t="str">
        <f aca="false">IF(C1963="","",ROW()-4)</f>
        <v/>
      </c>
      <c r="B1963" s="12"/>
      <c r="C1963" s="13"/>
      <c r="D1963" s="23" t="str">
        <f aca="false">IF(C1963="","",IFERROR(INDEX(LOTES!$D$5:$D$1004,MATCH(C1963,LOTES!$F$5:$F$1004,0)),"¿Lote?"))</f>
        <v/>
      </c>
      <c r="E1963" s="11" t="str">
        <f aca="false">IF(C1963="","",IFERROR(INDEX(LOTES!$C$5:$C$1004,MATCH(C1963,LOTES!$F$5:$F$1004,0)),""))</f>
        <v/>
      </c>
      <c r="F1963" s="24" t="str">
        <f aca="false">IF(C1963="","",IFERROR(INDEX(LOTES!$B$5:$B$1004,MATCH(C1963,LOTES!$F$5:$F$1004,0)),""))</f>
        <v/>
      </c>
      <c r="G1963" s="15" t="str">
        <f aca="false">IF(OR(B1963="",F1963=""),"",B1963-F1963)</f>
        <v/>
      </c>
      <c r="H1963" s="13"/>
      <c r="I1963" s="13"/>
      <c r="J1963" s="13"/>
      <c r="K1963" s="25"/>
      <c r="L1963" s="25"/>
      <c r="M1963" s="25"/>
      <c r="N1963" s="25"/>
      <c r="O1963" s="26"/>
      <c r="P1963" s="16" t="str">
        <f aca="false">IF(O1963="","",IFERROR(1/(1/(IF(K1963="",INDEX(CONFIG!$F$5:$F$14,MATCH(D1963,CONFIG!$D$5:$D$14,0)),K1963)*IF(M1963="",INDEX(CONFIG!$H$5:$H$14,MATCH(D1963,CONFIG!$D$5:$D$14,0)),M1963))),""))</f>
        <v/>
      </c>
      <c r="Q1963" s="16" t="str">
        <f aca="false">IF(OR(O1963="",P1963=""),"",O1963/P1963)</f>
        <v/>
      </c>
      <c r="R1963" s="16" t="str">
        <f aca="false">IF(Q1963="","",Q1963*0.0980665)</f>
        <v/>
      </c>
      <c r="S1963" s="16" t="str">
        <f aca="false">IF(Q1963="","",IFERROR(Q1963/(1/(1/INDEX(CONFIG!$I$5:$I$14,MATCH(D1963,CONFIG!$D$5:$D$14,0)))),""))</f>
        <v/>
      </c>
      <c r="T1963" s="13"/>
      <c r="U1963" s="13"/>
      <c r="V1963" s="13"/>
      <c r="W1963" s="13"/>
      <c r="X1963" s="22" t="str">
        <f aca="false">IF(Q1963="","",Q1963^2)</f>
        <v/>
      </c>
      <c r="Y1963" s="22" t="str">
        <f aca="false">IF(AND(C1963&lt;&gt;"",C1963=CERTIFICADO!$E$4,OR(CERTIFICADO!$E$5="",B1963=CERTIFICADO!$E$5)),MAX($Y$4:Y1962)+1,"")</f>
        <v/>
      </c>
    </row>
    <row r="1964" customFormat="false" ht="15" hidden="false" customHeight="false" outlineLevel="0" collapsed="false">
      <c r="A1964" s="11" t="str">
        <f aca="false">IF(C1964="","",ROW()-4)</f>
        <v/>
      </c>
      <c r="B1964" s="12"/>
      <c r="C1964" s="13"/>
      <c r="D1964" s="23" t="str">
        <f aca="false">IF(C1964="","",IFERROR(INDEX(LOTES!$D$5:$D$1004,MATCH(C1964,LOTES!$F$5:$F$1004,0)),"¿Lote?"))</f>
        <v/>
      </c>
      <c r="E1964" s="11" t="str">
        <f aca="false">IF(C1964="","",IFERROR(INDEX(LOTES!$C$5:$C$1004,MATCH(C1964,LOTES!$F$5:$F$1004,0)),""))</f>
        <v/>
      </c>
      <c r="F1964" s="24" t="str">
        <f aca="false">IF(C1964="","",IFERROR(INDEX(LOTES!$B$5:$B$1004,MATCH(C1964,LOTES!$F$5:$F$1004,0)),""))</f>
        <v/>
      </c>
      <c r="G1964" s="15" t="str">
        <f aca="false">IF(OR(B1964="",F1964=""),"",B1964-F1964)</f>
        <v/>
      </c>
      <c r="H1964" s="13"/>
      <c r="I1964" s="13"/>
      <c r="J1964" s="13"/>
      <c r="K1964" s="25"/>
      <c r="L1964" s="25"/>
      <c r="M1964" s="25"/>
      <c r="N1964" s="25"/>
      <c r="O1964" s="26"/>
      <c r="P1964" s="16" t="str">
        <f aca="false">IF(O1964="","",IFERROR(1/(1/(IF(K1964="",INDEX(CONFIG!$F$5:$F$14,MATCH(D1964,CONFIG!$D$5:$D$14,0)),K1964)*IF(M1964="",INDEX(CONFIG!$H$5:$H$14,MATCH(D1964,CONFIG!$D$5:$D$14,0)),M1964))),""))</f>
        <v/>
      </c>
      <c r="Q1964" s="16" t="str">
        <f aca="false">IF(OR(O1964="",P1964=""),"",O1964/P1964)</f>
        <v/>
      </c>
      <c r="R1964" s="16" t="str">
        <f aca="false">IF(Q1964="","",Q1964*0.0980665)</f>
        <v/>
      </c>
      <c r="S1964" s="16" t="str">
        <f aca="false">IF(Q1964="","",IFERROR(Q1964/(1/(1/INDEX(CONFIG!$I$5:$I$14,MATCH(D1964,CONFIG!$D$5:$D$14,0)))),""))</f>
        <v/>
      </c>
      <c r="T1964" s="13"/>
      <c r="U1964" s="13"/>
      <c r="V1964" s="13"/>
      <c r="W1964" s="13"/>
      <c r="X1964" s="22" t="str">
        <f aca="false">IF(Q1964="","",Q1964^2)</f>
        <v/>
      </c>
      <c r="Y1964" s="22" t="str">
        <f aca="false">IF(AND(C1964&lt;&gt;"",C1964=CERTIFICADO!$E$4,OR(CERTIFICADO!$E$5="",B1964=CERTIFICADO!$E$5)),MAX($Y$4:Y1963)+1,"")</f>
        <v/>
      </c>
    </row>
    <row r="1965" customFormat="false" ht="15" hidden="false" customHeight="false" outlineLevel="0" collapsed="false">
      <c r="A1965" s="11" t="str">
        <f aca="false">IF(C1965="","",ROW()-4)</f>
        <v/>
      </c>
      <c r="B1965" s="12"/>
      <c r="C1965" s="13"/>
      <c r="D1965" s="23" t="str">
        <f aca="false">IF(C1965="","",IFERROR(INDEX(LOTES!$D$5:$D$1004,MATCH(C1965,LOTES!$F$5:$F$1004,0)),"¿Lote?"))</f>
        <v/>
      </c>
      <c r="E1965" s="11" t="str">
        <f aca="false">IF(C1965="","",IFERROR(INDEX(LOTES!$C$5:$C$1004,MATCH(C1965,LOTES!$F$5:$F$1004,0)),""))</f>
        <v/>
      </c>
      <c r="F1965" s="24" t="str">
        <f aca="false">IF(C1965="","",IFERROR(INDEX(LOTES!$B$5:$B$1004,MATCH(C1965,LOTES!$F$5:$F$1004,0)),""))</f>
        <v/>
      </c>
      <c r="G1965" s="15" t="str">
        <f aca="false">IF(OR(B1965="",F1965=""),"",B1965-F1965)</f>
        <v/>
      </c>
      <c r="H1965" s="13"/>
      <c r="I1965" s="13"/>
      <c r="J1965" s="13"/>
      <c r="K1965" s="25"/>
      <c r="L1965" s="25"/>
      <c r="M1965" s="25"/>
      <c r="N1965" s="25"/>
      <c r="O1965" s="26"/>
      <c r="P1965" s="16" t="str">
        <f aca="false">IF(O1965="","",IFERROR(1/(1/(IF(K1965="",INDEX(CONFIG!$F$5:$F$14,MATCH(D1965,CONFIG!$D$5:$D$14,0)),K1965)*IF(M1965="",INDEX(CONFIG!$H$5:$H$14,MATCH(D1965,CONFIG!$D$5:$D$14,0)),M1965))),""))</f>
        <v/>
      </c>
      <c r="Q1965" s="16" t="str">
        <f aca="false">IF(OR(O1965="",P1965=""),"",O1965/P1965)</f>
        <v/>
      </c>
      <c r="R1965" s="16" t="str">
        <f aca="false">IF(Q1965="","",Q1965*0.0980665)</f>
        <v/>
      </c>
      <c r="S1965" s="16" t="str">
        <f aca="false">IF(Q1965="","",IFERROR(Q1965/(1/(1/INDEX(CONFIG!$I$5:$I$14,MATCH(D1965,CONFIG!$D$5:$D$14,0)))),""))</f>
        <v/>
      </c>
      <c r="T1965" s="13"/>
      <c r="U1965" s="13"/>
      <c r="V1965" s="13"/>
      <c r="W1965" s="13"/>
      <c r="X1965" s="22" t="str">
        <f aca="false">IF(Q1965="","",Q1965^2)</f>
        <v/>
      </c>
      <c r="Y1965" s="22" t="str">
        <f aca="false">IF(AND(C1965&lt;&gt;"",C1965=CERTIFICADO!$E$4,OR(CERTIFICADO!$E$5="",B1965=CERTIFICADO!$E$5)),MAX($Y$4:Y1964)+1,"")</f>
        <v/>
      </c>
    </row>
    <row r="1966" customFormat="false" ht="15" hidden="false" customHeight="false" outlineLevel="0" collapsed="false">
      <c r="A1966" s="11" t="str">
        <f aca="false">IF(C1966="","",ROW()-4)</f>
        <v/>
      </c>
      <c r="B1966" s="12"/>
      <c r="C1966" s="13"/>
      <c r="D1966" s="23" t="str">
        <f aca="false">IF(C1966="","",IFERROR(INDEX(LOTES!$D$5:$D$1004,MATCH(C1966,LOTES!$F$5:$F$1004,0)),"¿Lote?"))</f>
        <v/>
      </c>
      <c r="E1966" s="11" t="str">
        <f aca="false">IF(C1966="","",IFERROR(INDEX(LOTES!$C$5:$C$1004,MATCH(C1966,LOTES!$F$5:$F$1004,0)),""))</f>
        <v/>
      </c>
      <c r="F1966" s="24" t="str">
        <f aca="false">IF(C1966="","",IFERROR(INDEX(LOTES!$B$5:$B$1004,MATCH(C1966,LOTES!$F$5:$F$1004,0)),""))</f>
        <v/>
      </c>
      <c r="G1966" s="15" t="str">
        <f aca="false">IF(OR(B1966="",F1966=""),"",B1966-F1966)</f>
        <v/>
      </c>
      <c r="H1966" s="13"/>
      <c r="I1966" s="13"/>
      <c r="J1966" s="13"/>
      <c r="K1966" s="25"/>
      <c r="L1966" s="25"/>
      <c r="M1966" s="25"/>
      <c r="N1966" s="25"/>
      <c r="O1966" s="26"/>
      <c r="P1966" s="16" t="str">
        <f aca="false">IF(O1966="","",IFERROR(1/(1/(IF(K1966="",INDEX(CONFIG!$F$5:$F$14,MATCH(D1966,CONFIG!$D$5:$D$14,0)),K1966)*IF(M1966="",INDEX(CONFIG!$H$5:$H$14,MATCH(D1966,CONFIG!$D$5:$D$14,0)),M1966))),""))</f>
        <v/>
      </c>
      <c r="Q1966" s="16" t="str">
        <f aca="false">IF(OR(O1966="",P1966=""),"",O1966/P1966)</f>
        <v/>
      </c>
      <c r="R1966" s="16" t="str">
        <f aca="false">IF(Q1966="","",Q1966*0.0980665)</f>
        <v/>
      </c>
      <c r="S1966" s="16" t="str">
        <f aca="false">IF(Q1966="","",IFERROR(Q1966/(1/(1/INDEX(CONFIG!$I$5:$I$14,MATCH(D1966,CONFIG!$D$5:$D$14,0)))),""))</f>
        <v/>
      </c>
      <c r="T1966" s="13"/>
      <c r="U1966" s="13"/>
      <c r="V1966" s="13"/>
      <c r="W1966" s="13"/>
      <c r="X1966" s="22" t="str">
        <f aca="false">IF(Q1966="","",Q1966^2)</f>
        <v/>
      </c>
      <c r="Y1966" s="22" t="str">
        <f aca="false">IF(AND(C1966&lt;&gt;"",C1966=CERTIFICADO!$E$4,OR(CERTIFICADO!$E$5="",B1966=CERTIFICADO!$E$5)),MAX($Y$4:Y1965)+1,"")</f>
        <v/>
      </c>
    </row>
    <row r="1967" customFormat="false" ht="15" hidden="false" customHeight="false" outlineLevel="0" collapsed="false">
      <c r="A1967" s="11" t="str">
        <f aca="false">IF(C1967="","",ROW()-4)</f>
        <v/>
      </c>
      <c r="B1967" s="12"/>
      <c r="C1967" s="13"/>
      <c r="D1967" s="23" t="str">
        <f aca="false">IF(C1967="","",IFERROR(INDEX(LOTES!$D$5:$D$1004,MATCH(C1967,LOTES!$F$5:$F$1004,0)),"¿Lote?"))</f>
        <v/>
      </c>
      <c r="E1967" s="11" t="str">
        <f aca="false">IF(C1967="","",IFERROR(INDEX(LOTES!$C$5:$C$1004,MATCH(C1967,LOTES!$F$5:$F$1004,0)),""))</f>
        <v/>
      </c>
      <c r="F1967" s="24" t="str">
        <f aca="false">IF(C1967="","",IFERROR(INDEX(LOTES!$B$5:$B$1004,MATCH(C1967,LOTES!$F$5:$F$1004,0)),""))</f>
        <v/>
      </c>
      <c r="G1967" s="15" t="str">
        <f aca="false">IF(OR(B1967="",F1967=""),"",B1967-F1967)</f>
        <v/>
      </c>
      <c r="H1967" s="13"/>
      <c r="I1967" s="13"/>
      <c r="J1967" s="13"/>
      <c r="K1967" s="25"/>
      <c r="L1967" s="25"/>
      <c r="M1967" s="25"/>
      <c r="N1967" s="25"/>
      <c r="O1967" s="26"/>
      <c r="P1967" s="16" t="str">
        <f aca="false">IF(O1967="","",IFERROR(1/(1/(IF(K1967="",INDEX(CONFIG!$F$5:$F$14,MATCH(D1967,CONFIG!$D$5:$D$14,0)),K1967)*IF(M1967="",INDEX(CONFIG!$H$5:$H$14,MATCH(D1967,CONFIG!$D$5:$D$14,0)),M1967))),""))</f>
        <v/>
      </c>
      <c r="Q1967" s="16" t="str">
        <f aca="false">IF(OR(O1967="",P1967=""),"",O1967/P1967)</f>
        <v/>
      </c>
      <c r="R1967" s="16" t="str">
        <f aca="false">IF(Q1967="","",Q1967*0.0980665)</f>
        <v/>
      </c>
      <c r="S1967" s="16" t="str">
        <f aca="false">IF(Q1967="","",IFERROR(Q1967/(1/(1/INDEX(CONFIG!$I$5:$I$14,MATCH(D1967,CONFIG!$D$5:$D$14,0)))),""))</f>
        <v/>
      </c>
      <c r="T1967" s="13"/>
      <c r="U1967" s="13"/>
      <c r="V1967" s="13"/>
      <c r="W1967" s="13"/>
      <c r="X1967" s="22" t="str">
        <f aca="false">IF(Q1967="","",Q1967^2)</f>
        <v/>
      </c>
      <c r="Y1967" s="22" t="str">
        <f aca="false">IF(AND(C1967&lt;&gt;"",C1967=CERTIFICADO!$E$4,OR(CERTIFICADO!$E$5="",B1967=CERTIFICADO!$E$5)),MAX($Y$4:Y1966)+1,"")</f>
        <v/>
      </c>
    </row>
    <row r="1968" customFormat="false" ht="15" hidden="false" customHeight="false" outlineLevel="0" collapsed="false">
      <c r="A1968" s="11" t="str">
        <f aca="false">IF(C1968="","",ROW()-4)</f>
        <v/>
      </c>
      <c r="B1968" s="12"/>
      <c r="C1968" s="13"/>
      <c r="D1968" s="23" t="str">
        <f aca="false">IF(C1968="","",IFERROR(INDEX(LOTES!$D$5:$D$1004,MATCH(C1968,LOTES!$F$5:$F$1004,0)),"¿Lote?"))</f>
        <v/>
      </c>
      <c r="E1968" s="11" t="str">
        <f aca="false">IF(C1968="","",IFERROR(INDEX(LOTES!$C$5:$C$1004,MATCH(C1968,LOTES!$F$5:$F$1004,0)),""))</f>
        <v/>
      </c>
      <c r="F1968" s="24" t="str">
        <f aca="false">IF(C1968="","",IFERROR(INDEX(LOTES!$B$5:$B$1004,MATCH(C1968,LOTES!$F$5:$F$1004,0)),""))</f>
        <v/>
      </c>
      <c r="G1968" s="15" t="str">
        <f aca="false">IF(OR(B1968="",F1968=""),"",B1968-F1968)</f>
        <v/>
      </c>
      <c r="H1968" s="13"/>
      <c r="I1968" s="13"/>
      <c r="J1968" s="13"/>
      <c r="K1968" s="25"/>
      <c r="L1968" s="25"/>
      <c r="M1968" s="25"/>
      <c r="N1968" s="25"/>
      <c r="O1968" s="26"/>
      <c r="P1968" s="16" t="str">
        <f aca="false">IF(O1968="","",IFERROR(1/(1/(IF(K1968="",INDEX(CONFIG!$F$5:$F$14,MATCH(D1968,CONFIG!$D$5:$D$14,0)),K1968)*IF(M1968="",INDEX(CONFIG!$H$5:$H$14,MATCH(D1968,CONFIG!$D$5:$D$14,0)),M1968))),""))</f>
        <v/>
      </c>
      <c r="Q1968" s="16" t="str">
        <f aca="false">IF(OR(O1968="",P1968=""),"",O1968/P1968)</f>
        <v/>
      </c>
      <c r="R1968" s="16" t="str">
        <f aca="false">IF(Q1968="","",Q1968*0.0980665)</f>
        <v/>
      </c>
      <c r="S1968" s="16" t="str">
        <f aca="false">IF(Q1968="","",IFERROR(Q1968/(1/(1/INDEX(CONFIG!$I$5:$I$14,MATCH(D1968,CONFIG!$D$5:$D$14,0)))),""))</f>
        <v/>
      </c>
      <c r="T1968" s="13"/>
      <c r="U1968" s="13"/>
      <c r="V1968" s="13"/>
      <c r="W1968" s="13"/>
      <c r="X1968" s="22" t="str">
        <f aca="false">IF(Q1968="","",Q1968^2)</f>
        <v/>
      </c>
      <c r="Y1968" s="22" t="str">
        <f aca="false">IF(AND(C1968&lt;&gt;"",C1968=CERTIFICADO!$E$4,OR(CERTIFICADO!$E$5="",B1968=CERTIFICADO!$E$5)),MAX($Y$4:Y1967)+1,"")</f>
        <v/>
      </c>
    </row>
    <row r="1969" customFormat="false" ht="15" hidden="false" customHeight="false" outlineLevel="0" collapsed="false">
      <c r="A1969" s="11" t="str">
        <f aca="false">IF(C1969="","",ROW()-4)</f>
        <v/>
      </c>
      <c r="B1969" s="12"/>
      <c r="C1969" s="13"/>
      <c r="D1969" s="23" t="str">
        <f aca="false">IF(C1969="","",IFERROR(INDEX(LOTES!$D$5:$D$1004,MATCH(C1969,LOTES!$F$5:$F$1004,0)),"¿Lote?"))</f>
        <v/>
      </c>
      <c r="E1969" s="11" t="str">
        <f aca="false">IF(C1969="","",IFERROR(INDEX(LOTES!$C$5:$C$1004,MATCH(C1969,LOTES!$F$5:$F$1004,0)),""))</f>
        <v/>
      </c>
      <c r="F1969" s="24" t="str">
        <f aca="false">IF(C1969="","",IFERROR(INDEX(LOTES!$B$5:$B$1004,MATCH(C1969,LOTES!$F$5:$F$1004,0)),""))</f>
        <v/>
      </c>
      <c r="G1969" s="15" t="str">
        <f aca="false">IF(OR(B1969="",F1969=""),"",B1969-F1969)</f>
        <v/>
      </c>
      <c r="H1969" s="13"/>
      <c r="I1969" s="13"/>
      <c r="J1969" s="13"/>
      <c r="K1969" s="25"/>
      <c r="L1969" s="25"/>
      <c r="M1969" s="25"/>
      <c r="N1969" s="25"/>
      <c r="O1969" s="26"/>
      <c r="P1969" s="16" t="str">
        <f aca="false">IF(O1969="","",IFERROR(1/(1/(IF(K1969="",INDEX(CONFIG!$F$5:$F$14,MATCH(D1969,CONFIG!$D$5:$D$14,0)),K1969)*IF(M1969="",INDEX(CONFIG!$H$5:$H$14,MATCH(D1969,CONFIG!$D$5:$D$14,0)),M1969))),""))</f>
        <v/>
      </c>
      <c r="Q1969" s="16" t="str">
        <f aca="false">IF(OR(O1969="",P1969=""),"",O1969/P1969)</f>
        <v/>
      </c>
      <c r="R1969" s="16" t="str">
        <f aca="false">IF(Q1969="","",Q1969*0.0980665)</f>
        <v/>
      </c>
      <c r="S1969" s="16" t="str">
        <f aca="false">IF(Q1969="","",IFERROR(Q1969/(1/(1/INDEX(CONFIG!$I$5:$I$14,MATCH(D1969,CONFIG!$D$5:$D$14,0)))),""))</f>
        <v/>
      </c>
      <c r="T1969" s="13"/>
      <c r="U1969" s="13"/>
      <c r="V1969" s="13"/>
      <c r="W1969" s="13"/>
      <c r="X1969" s="22" t="str">
        <f aca="false">IF(Q1969="","",Q1969^2)</f>
        <v/>
      </c>
      <c r="Y1969" s="22" t="str">
        <f aca="false">IF(AND(C1969&lt;&gt;"",C1969=CERTIFICADO!$E$4,OR(CERTIFICADO!$E$5="",B1969=CERTIFICADO!$E$5)),MAX($Y$4:Y1968)+1,"")</f>
        <v/>
      </c>
    </row>
    <row r="1970" customFormat="false" ht="15" hidden="false" customHeight="false" outlineLevel="0" collapsed="false">
      <c r="A1970" s="11" t="str">
        <f aca="false">IF(C1970="","",ROW()-4)</f>
        <v/>
      </c>
      <c r="B1970" s="12"/>
      <c r="C1970" s="13"/>
      <c r="D1970" s="23" t="str">
        <f aca="false">IF(C1970="","",IFERROR(INDEX(LOTES!$D$5:$D$1004,MATCH(C1970,LOTES!$F$5:$F$1004,0)),"¿Lote?"))</f>
        <v/>
      </c>
      <c r="E1970" s="11" t="str">
        <f aca="false">IF(C1970="","",IFERROR(INDEX(LOTES!$C$5:$C$1004,MATCH(C1970,LOTES!$F$5:$F$1004,0)),""))</f>
        <v/>
      </c>
      <c r="F1970" s="24" t="str">
        <f aca="false">IF(C1970="","",IFERROR(INDEX(LOTES!$B$5:$B$1004,MATCH(C1970,LOTES!$F$5:$F$1004,0)),""))</f>
        <v/>
      </c>
      <c r="G1970" s="15" t="str">
        <f aca="false">IF(OR(B1970="",F1970=""),"",B1970-F1970)</f>
        <v/>
      </c>
      <c r="H1970" s="13"/>
      <c r="I1970" s="13"/>
      <c r="J1970" s="13"/>
      <c r="K1970" s="25"/>
      <c r="L1970" s="25"/>
      <c r="M1970" s="25"/>
      <c r="N1970" s="25"/>
      <c r="O1970" s="26"/>
      <c r="P1970" s="16" t="str">
        <f aca="false">IF(O1970="","",IFERROR(1/(1/(IF(K1970="",INDEX(CONFIG!$F$5:$F$14,MATCH(D1970,CONFIG!$D$5:$D$14,0)),K1970)*IF(M1970="",INDEX(CONFIG!$H$5:$H$14,MATCH(D1970,CONFIG!$D$5:$D$14,0)),M1970))),""))</f>
        <v/>
      </c>
      <c r="Q1970" s="16" t="str">
        <f aca="false">IF(OR(O1970="",P1970=""),"",O1970/P1970)</f>
        <v/>
      </c>
      <c r="R1970" s="16" t="str">
        <f aca="false">IF(Q1970="","",Q1970*0.0980665)</f>
        <v/>
      </c>
      <c r="S1970" s="16" t="str">
        <f aca="false">IF(Q1970="","",IFERROR(Q1970/(1/(1/INDEX(CONFIG!$I$5:$I$14,MATCH(D1970,CONFIG!$D$5:$D$14,0)))),""))</f>
        <v/>
      </c>
      <c r="T1970" s="13"/>
      <c r="U1970" s="13"/>
      <c r="V1970" s="13"/>
      <c r="W1970" s="13"/>
      <c r="X1970" s="22" t="str">
        <f aca="false">IF(Q1970="","",Q1970^2)</f>
        <v/>
      </c>
      <c r="Y1970" s="22" t="str">
        <f aca="false">IF(AND(C1970&lt;&gt;"",C1970=CERTIFICADO!$E$4,OR(CERTIFICADO!$E$5="",B1970=CERTIFICADO!$E$5)),MAX($Y$4:Y1969)+1,"")</f>
        <v/>
      </c>
    </row>
    <row r="1971" customFormat="false" ht="15" hidden="false" customHeight="false" outlineLevel="0" collapsed="false">
      <c r="A1971" s="11" t="str">
        <f aca="false">IF(C1971="","",ROW()-4)</f>
        <v/>
      </c>
      <c r="B1971" s="12"/>
      <c r="C1971" s="13"/>
      <c r="D1971" s="23" t="str">
        <f aca="false">IF(C1971="","",IFERROR(INDEX(LOTES!$D$5:$D$1004,MATCH(C1971,LOTES!$F$5:$F$1004,0)),"¿Lote?"))</f>
        <v/>
      </c>
      <c r="E1971" s="11" t="str">
        <f aca="false">IF(C1971="","",IFERROR(INDEX(LOTES!$C$5:$C$1004,MATCH(C1971,LOTES!$F$5:$F$1004,0)),""))</f>
        <v/>
      </c>
      <c r="F1971" s="24" t="str">
        <f aca="false">IF(C1971="","",IFERROR(INDEX(LOTES!$B$5:$B$1004,MATCH(C1971,LOTES!$F$5:$F$1004,0)),""))</f>
        <v/>
      </c>
      <c r="G1971" s="15" t="str">
        <f aca="false">IF(OR(B1971="",F1971=""),"",B1971-F1971)</f>
        <v/>
      </c>
      <c r="H1971" s="13"/>
      <c r="I1971" s="13"/>
      <c r="J1971" s="13"/>
      <c r="K1971" s="25"/>
      <c r="L1971" s="25"/>
      <c r="M1971" s="25"/>
      <c r="N1971" s="25"/>
      <c r="O1971" s="26"/>
      <c r="P1971" s="16" t="str">
        <f aca="false">IF(O1971="","",IFERROR(1/(1/(IF(K1971="",INDEX(CONFIG!$F$5:$F$14,MATCH(D1971,CONFIG!$D$5:$D$14,0)),K1971)*IF(M1971="",INDEX(CONFIG!$H$5:$H$14,MATCH(D1971,CONFIG!$D$5:$D$14,0)),M1971))),""))</f>
        <v/>
      </c>
      <c r="Q1971" s="16" t="str">
        <f aca="false">IF(OR(O1971="",P1971=""),"",O1971/P1971)</f>
        <v/>
      </c>
      <c r="R1971" s="16" t="str">
        <f aca="false">IF(Q1971="","",Q1971*0.0980665)</f>
        <v/>
      </c>
      <c r="S1971" s="16" t="str">
        <f aca="false">IF(Q1971="","",IFERROR(Q1971/(1/(1/INDEX(CONFIG!$I$5:$I$14,MATCH(D1971,CONFIG!$D$5:$D$14,0)))),""))</f>
        <v/>
      </c>
      <c r="T1971" s="13"/>
      <c r="U1971" s="13"/>
      <c r="V1971" s="13"/>
      <c r="W1971" s="13"/>
      <c r="X1971" s="22" t="str">
        <f aca="false">IF(Q1971="","",Q1971^2)</f>
        <v/>
      </c>
      <c r="Y1971" s="22" t="str">
        <f aca="false">IF(AND(C1971&lt;&gt;"",C1971=CERTIFICADO!$E$4,OR(CERTIFICADO!$E$5="",B1971=CERTIFICADO!$E$5)),MAX($Y$4:Y1970)+1,"")</f>
        <v/>
      </c>
    </row>
    <row r="1972" customFormat="false" ht="15" hidden="false" customHeight="false" outlineLevel="0" collapsed="false">
      <c r="A1972" s="11" t="str">
        <f aca="false">IF(C1972="","",ROW()-4)</f>
        <v/>
      </c>
      <c r="B1972" s="12"/>
      <c r="C1972" s="13"/>
      <c r="D1972" s="23" t="str">
        <f aca="false">IF(C1972="","",IFERROR(INDEX(LOTES!$D$5:$D$1004,MATCH(C1972,LOTES!$F$5:$F$1004,0)),"¿Lote?"))</f>
        <v/>
      </c>
      <c r="E1972" s="11" t="str">
        <f aca="false">IF(C1972="","",IFERROR(INDEX(LOTES!$C$5:$C$1004,MATCH(C1972,LOTES!$F$5:$F$1004,0)),""))</f>
        <v/>
      </c>
      <c r="F1972" s="24" t="str">
        <f aca="false">IF(C1972="","",IFERROR(INDEX(LOTES!$B$5:$B$1004,MATCH(C1972,LOTES!$F$5:$F$1004,0)),""))</f>
        <v/>
      </c>
      <c r="G1972" s="15" t="str">
        <f aca="false">IF(OR(B1972="",F1972=""),"",B1972-F1972)</f>
        <v/>
      </c>
      <c r="H1972" s="13"/>
      <c r="I1972" s="13"/>
      <c r="J1972" s="13"/>
      <c r="K1972" s="25"/>
      <c r="L1972" s="25"/>
      <c r="M1972" s="25"/>
      <c r="N1972" s="25"/>
      <c r="O1972" s="26"/>
      <c r="P1972" s="16" t="str">
        <f aca="false">IF(O1972="","",IFERROR(1/(1/(IF(K1972="",INDEX(CONFIG!$F$5:$F$14,MATCH(D1972,CONFIG!$D$5:$D$14,0)),K1972)*IF(M1972="",INDEX(CONFIG!$H$5:$H$14,MATCH(D1972,CONFIG!$D$5:$D$14,0)),M1972))),""))</f>
        <v/>
      </c>
      <c r="Q1972" s="16" t="str">
        <f aca="false">IF(OR(O1972="",P1972=""),"",O1972/P1972)</f>
        <v/>
      </c>
      <c r="R1972" s="16" t="str">
        <f aca="false">IF(Q1972="","",Q1972*0.0980665)</f>
        <v/>
      </c>
      <c r="S1972" s="16" t="str">
        <f aca="false">IF(Q1972="","",IFERROR(Q1972/(1/(1/INDEX(CONFIG!$I$5:$I$14,MATCH(D1972,CONFIG!$D$5:$D$14,0)))),""))</f>
        <v/>
      </c>
      <c r="T1972" s="13"/>
      <c r="U1972" s="13"/>
      <c r="V1972" s="13"/>
      <c r="W1972" s="13"/>
      <c r="X1972" s="22" t="str">
        <f aca="false">IF(Q1972="","",Q1972^2)</f>
        <v/>
      </c>
      <c r="Y1972" s="22" t="str">
        <f aca="false">IF(AND(C1972&lt;&gt;"",C1972=CERTIFICADO!$E$4,OR(CERTIFICADO!$E$5="",B1972=CERTIFICADO!$E$5)),MAX($Y$4:Y1971)+1,"")</f>
        <v/>
      </c>
    </row>
    <row r="1973" customFormat="false" ht="15" hidden="false" customHeight="false" outlineLevel="0" collapsed="false">
      <c r="A1973" s="11" t="str">
        <f aca="false">IF(C1973="","",ROW()-4)</f>
        <v/>
      </c>
      <c r="B1973" s="12"/>
      <c r="C1973" s="13"/>
      <c r="D1973" s="23" t="str">
        <f aca="false">IF(C1973="","",IFERROR(INDEX(LOTES!$D$5:$D$1004,MATCH(C1973,LOTES!$F$5:$F$1004,0)),"¿Lote?"))</f>
        <v/>
      </c>
      <c r="E1973" s="11" t="str">
        <f aca="false">IF(C1973="","",IFERROR(INDEX(LOTES!$C$5:$C$1004,MATCH(C1973,LOTES!$F$5:$F$1004,0)),""))</f>
        <v/>
      </c>
      <c r="F1973" s="24" t="str">
        <f aca="false">IF(C1973="","",IFERROR(INDEX(LOTES!$B$5:$B$1004,MATCH(C1973,LOTES!$F$5:$F$1004,0)),""))</f>
        <v/>
      </c>
      <c r="G1973" s="15" t="str">
        <f aca="false">IF(OR(B1973="",F1973=""),"",B1973-F1973)</f>
        <v/>
      </c>
      <c r="H1973" s="13"/>
      <c r="I1973" s="13"/>
      <c r="J1973" s="13"/>
      <c r="K1973" s="25"/>
      <c r="L1973" s="25"/>
      <c r="M1973" s="25"/>
      <c r="N1973" s="25"/>
      <c r="O1973" s="26"/>
      <c r="P1973" s="16" t="str">
        <f aca="false">IF(O1973="","",IFERROR(1/(1/(IF(K1973="",INDEX(CONFIG!$F$5:$F$14,MATCH(D1973,CONFIG!$D$5:$D$14,0)),K1973)*IF(M1973="",INDEX(CONFIG!$H$5:$H$14,MATCH(D1973,CONFIG!$D$5:$D$14,0)),M1973))),""))</f>
        <v/>
      </c>
      <c r="Q1973" s="16" t="str">
        <f aca="false">IF(OR(O1973="",P1973=""),"",O1973/P1973)</f>
        <v/>
      </c>
      <c r="R1973" s="16" t="str">
        <f aca="false">IF(Q1973="","",Q1973*0.0980665)</f>
        <v/>
      </c>
      <c r="S1973" s="16" t="str">
        <f aca="false">IF(Q1973="","",IFERROR(Q1973/(1/(1/INDEX(CONFIG!$I$5:$I$14,MATCH(D1973,CONFIG!$D$5:$D$14,0)))),""))</f>
        <v/>
      </c>
      <c r="T1973" s="13"/>
      <c r="U1973" s="13"/>
      <c r="V1973" s="13"/>
      <c r="W1973" s="13"/>
      <c r="X1973" s="22" t="str">
        <f aca="false">IF(Q1973="","",Q1973^2)</f>
        <v/>
      </c>
      <c r="Y1973" s="22" t="str">
        <f aca="false">IF(AND(C1973&lt;&gt;"",C1973=CERTIFICADO!$E$4,OR(CERTIFICADO!$E$5="",B1973=CERTIFICADO!$E$5)),MAX($Y$4:Y1972)+1,"")</f>
        <v/>
      </c>
    </row>
    <row r="1974" customFormat="false" ht="15" hidden="false" customHeight="false" outlineLevel="0" collapsed="false">
      <c r="A1974" s="11" t="str">
        <f aca="false">IF(C1974="","",ROW()-4)</f>
        <v/>
      </c>
      <c r="B1974" s="12"/>
      <c r="C1974" s="13"/>
      <c r="D1974" s="23" t="str">
        <f aca="false">IF(C1974="","",IFERROR(INDEX(LOTES!$D$5:$D$1004,MATCH(C1974,LOTES!$F$5:$F$1004,0)),"¿Lote?"))</f>
        <v/>
      </c>
      <c r="E1974" s="11" t="str">
        <f aca="false">IF(C1974="","",IFERROR(INDEX(LOTES!$C$5:$C$1004,MATCH(C1974,LOTES!$F$5:$F$1004,0)),""))</f>
        <v/>
      </c>
      <c r="F1974" s="24" t="str">
        <f aca="false">IF(C1974="","",IFERROR(INDEX(LOTES!$B$5:$B$1004,MATCH(C1974,LOTES!$F$5:$F$1004,0)),""))</f>
        <v/>
      </c>
      <c r="G1974" s="15" t="str">
        <f aca="false">IF(OR(B1974="",F1974=""),"",B1974-F1974)</f>
        <v/>
      </c>
      <c r="H1974" s="13"/>
      <c r="I1974" s="13"/>
      <c r="J1974" s="13"/>
      <c r="K1974" s="25"/>
      <c r="L1974" s="25"/>
      <c r="M1974" s="25"/>
      <c r="N1974" s="25"/>
      <c r="O1974" s="26"/>
      <c r="P1974" s="16" t="str">
        <f aca="false">IF(O1974="","",IFERROR(1/(1/(IF(K1974="",INDEX(CONFIG!$F$5:$F$14,MATCH(D1974,CONFIG!$D$5:$D$14,0)),K1974)*IF(M1974="",INDEX(CONFIG!$H$5:$H$14,MATCH(D1974,CONFIG!$D$5:$D$14,0)),M1974))),""))</f>
        <v/>
      </c>
      <c r="Q1974" s="16" t="str">
        <f aca="false">IF(OR(O1974="",P1974=""),"",O1974/P1974)</f>
        <v/>
      </c>
      <c r="R1974" s="16" t="str">
        <f aca="false">IF(Q1974="","",Q1974*0.0980665)</f>
        <v/>
      </c>
      <c r="S1974" s="16" t="str">
        <f aca="false">IF(Q1974="","",IFERROR(Q1974/(1/(1/INDEX(CONFIG!$I$5:$I$14,MATCH(D1974,CONFIG!$D$5:$D$14,0)))),""))</f>
        <v/>
      </c>
      <c r="T1974" s="13"/>
      <c r="U1974" s="13"/>
      <c r="V1974" s="13"/>
      <c r="W1974" s="13"/>
      <c r="X1974" s="22" t="str">
        <f aca="false">IF(Q1974="","",Q1974^2)</f>
        <v/>
      </c>
      <c r="Y1974" s="22" t="str">
        <f aca="false">IF(AND(C1974&lt;&gt;"",C1974=CERTIFICADO!$E$4,OR(CERTIFICADO!$E$5="",B1974=CERTIFICADO!$E$5)),MAX($Y$4:Y1973)+1,"")</f>
        <v/>
      </c>
    </row>
    <row r="1975" customFormat="false" ht="15" hidden="false" customHeight="false" outlineLevel="0" collapsed="false">
      <c r="A1975" s="11" t="str">
        <f aca="false">IF(C1975="","",ROW()-4)</f>
        <v/>
      </c>
      <c r="B1975" s="12"/>
      <c r="C1975" s="13"/>
      <c r="D1975" s="23" t="str">
        <f aca="false">IF(C1975="","",IFERROR(INDEX(LOTES!$D$5:$D$1004,MATCH(C1975,LOTES!$F$5:$F$1004,0)),"¿Lote?"))</f>
        <v/>
      </c>
      <c r="E1975" s="11" t="str">
        <f aca="false">IF(C1975="","",IFERROR(INDEX(LOTES!$C$5:$C$1004,MATCH(C1975,LOTES!$F$5:$F$1004,0)),""))</f>
        <v/>
      </c>
      <c r="F1975" s="24" t="str">
        <f aca="false">IF(C1975="","",IFERROR(INDEX(LOTES!$B$5:$B$1004,MATCH(C1975,LOTES!$F$5:$F$1004,0)),""))</f>
        <v/>
      </c>
      <c r="G1975" s="15" t="str">
        <f aca="false">IF(OR(B1975="",F1975=""),"",B1975-F1975)</f>
        <v/>
      </c>
      <c r="H1975" s="13"/>
      <c r="I1975" s="13"/>
      <c r="J1975" s="13"/>
      <c r="K1975" s="25"/>
      <c r="L1975" s="25"/>
      <c r="M1975" s="25"/>
      <c r="N1975" s="25"/>
      <c r="O1975" s="26"/>
      <c r="P1975" s="16" t="str">
        <f aca="false">IF(O1975="","",IFERROR(1/(1/(IF(K1975="",INDEX(CONFIG!$F$5:$F$14,MATCH(D1975,CONFIG!$D$5:$D$14,0)),K1975)*IF(M1975="",INDEX(CONFIG!$H$5:$H$14,MATCH(D1975,CONFIG!$D$5:$D$14,0)),M1975))),""))</f>
        <v/>
      </c>
      <c r="Q1975" s="16" t="str">
        <f aca="false">IF(OR(O1975="",P1975=""),"",O1975/P1975)</f>
        <v/>
      </c>
      <c r="R1975" s="16" t="str">
        <f aca="false">IF(Q1975="","",Q1975*0.0980665)</f>
        <v/>
      </c>
      <c r="S1975" s="16" t="str">
        <f aca="false">IF(Q1975="","",IFERROR(Q1975/(1/(1/INDEX(CONFIG!$I$5:$I$14,MATCH(D1975,CONFIG!$D$5:$D$14,0)))),""))</f>
        <v/>
      </c>
      <c r="T1975" s="13"/>
      <c r="U1975" s="13"/>
      <c r="V1975" s="13"/>
      <c r="W1975" s="13"/>
      <c r="X1975" s="22" t="str">
        <f aca="false">IF(Q1975="","",Q1975^2)</f>
        <v/>
      </c>
      <c r="Y1975" s="22" t="str">
        <f aca="false">IF(AND(C1975&lt;&gt;"",C1975=CERTIFICADO!$E$4,OR(CERTIFICADO!$E$5="",B1975=CERTIFICADO!$E$5)),MAX($Y$4:Y1974)+1,"")</f>
        <v/>
      </c>
    </row>
    <row r="1976" customFormat="false" ht="15" hidden="false" customHeight="false" outlineLevel="0" collapsed="false">
      <c r="A1976" s="11" t="str">
        <f aca="false">IF(C1976="","",ROW()-4)</f>
        <v/>
      </c>
      <c r="B1976" s="12"/>
      <c r="C1976" s="13"/>
      <c r="D1976" s="23" t="str">
        <f aca="false">IF(C1976="","",IFERROR(INDEX(LOTES!$D$5:$D$1004,MATCH(C1976,LOTES!$F$5:$F$1004,0)),"¿Lote?"))</f>
        <v/>
      </c>
      <c r="E1976" s="11" t="str">
        <f aca="false">IF(C1976="","",IFERROR(INDEX(LOTES!$C$5:$C$1004,MATCH(C1976,LOTES!$F$5:$F$1004,0)),""))</f>
        <v/>
      </c>
      <c r="F1976" s="24" t="str">
        <f aca="false">IF(C1976="","",IFERROR(INDEX(LOTES!$B$5:$B$1004,MATCH(C1976,LOTES!$F$5:$F$1004,0)),""))</f>
        <v/>
      </c>
      <c r="G1976" s="15" t="str">
        <f aca="false">IF(OR(B1976="",F1976=""),"",B1976-F1976)</f>
        <v/>
      </c>
      <c r="H1976" s="13"/>
      <c r="I1976" s="13"/>
      <c r="J1976" s="13"/>
      <c r="K1976" s="25"/>
      <c r="L1976" s="25"/>
      <c r="M1976" s="25"/>
      <c r="N1976" s="25"/>
      <c r="O1976" s="26"/>
      <c r="P1976" s="16" t="str">
        <f aca="false">IF(O1976="","",IFERROR(1/(1/(IF(K1976="",INDEX(CONFIG!$F$5:$F$14,MATCH(D1976,CONFIG!$D$5:$D$14,0)),K1976)*IF(M1976="",INDEX(CONFIG!$H$5:$H$14,MATCH(D1976,CONFIG!$D$5:$D$14,0)),M1976))),""))</f>
        <v/>
      </c>
      <c r="Q1976" s="16" t="str">
        <f aca="false">IF(OR(O1976="",P1976=""),"",O1976/P1976)</f>
        <v/>
      </c>
      <c r="R1976" s="16" t="str">
        <f aca="false">IF(Q1976="","",Q1976*0.0980665)</f>
        <v/>
      </c>
      <c r="S1976" s="16" t="str">
        <f aca="false">IF(Q1976="","",IFERROR(Q1976/(1/(1/INDEX(CONFIG!$I$5:$I$14,MATCH(D1976,CONFIG!$D$5:$D$14,0)))),""))</f>
        <v/>
      </c>
      <c r="T1976" s="13"/>
      <c r="U1976" s="13"/>
      <c r="V1976" s="13"/>
      <c r="W1976" s="13"/>
      <c r="X1976" s="22" t="str">
        <f aca="false">IF(Q1976="","",Q1976^2)</f>
        <v/>
      </c>
      <c r="Y1976" s="22" t="str">
        <f aca="false">IF(AND(C1976&lt;&gt;"",C1976=CERTIFICADO!$E$4,OR(CERTIFICADO!$E$5="",B1976=CERTIFICADO!$E$5)),MAX($Y$4:Y1975)+1,"")</f>
        <v/>
      </c>
    </row>
    <row r="1977" customFormat="false" ht="15" hidden="false" customHeight="false" outlineLevel="0" collapsed="false">
      <c r="A1977" s="11" t="str">
        <f aca="false">IF(C1977="","",ROW()-4)</f>
        <v/>
      </c>
      <c r="B1977" s="12"/>
      <c r="C1977" s="13"/>
      <c r="D1977" s="23" t="str">
        <f aca="false">IF(C1977="","",IFERROR(INDEX(LOTES!$D$5:$D$1004,MATCH(C1977,LOTES!$F$5:$F$1004,0)),"¿Lote?"))</f>
        <v/>
      </c>
      <c r="E1977" s="11" t="str">
        <f aca="false">IF(C1977="","",IFERROR(INDEX(LOTES!$C$5:$C$1004,MATCH(C1977,LOTES!$F$5:$F$1004,0)),""))</f>
        <v/>
      </c>
      <c r="F1977" s="24" t="str">
        <f aca="false">IF(C1977="","",IFERROR(INDEX(LOTES!$B$5:$B$1004,MATCH(C1977,LOTES!$F$5:$F$1004,0)),""))</f>
        <v/>
      </c>
      <c r="G1977" s="15" t="str">
        <f aca="false">IF(OR(B1977="",F1977=""),"",B1977-F1977)</f>
        <v/>
      </c>
      <c r="H1977" s="13"/>
      <c r="I1977" s="13"/>
      <c r="J1977" s="13"/>
      <c r="K1977" s="25"/>
      <c r="L1977" s="25"/>
      <c r="M1977" s="25"/>
      <c r="N1977" s="25"/>
      <c r="O1977" s="26"/>
      <c r="P1977" s="16" t="str">
        <f aca="false">IF(O1977="","",IFERROR(1/(1/(IF(K1977="",INDEX(CONFIG!$F$5:$F$14,MATCH(D1977,CONFIG!$D$5:$D$14,0)),K1977)*IF(M1977="",INDEX(CONFIG!$H$5:$H$14,MATCH(D1977,CONFIG!$D$5:$D$14,0)),M1977))),""))</f>
        <v/>
      </c>
      <c r="Q1977" s="16" t="str">
        <f aca="false">IF(OR(O1977="",P1977=""),"",O1977/P1977)</f>
        <v/>
      </c>
      <c r="R1977" s="16" t="str">
        <f aca="false">IF(Q1977="","",Q1977*0.0980665)</f>
        <v/>
      </c>
      <c r="S1977" s="16" t="str">
        <f aca="false">IF(Q1977="","",IFERROR(Q1977/(1/(1/INDEX(CONFIG!$I$5:$I$14,MATCH(D1977,CONFIG!$D$5:$D$14,0)))),""))</f>
        <v/>
      </c>
      <c r="T1977" s="13"/>
      <c r="U1977" s="13"/>
      <c r="V1977" s="13"/>
      <c r="W1977" s="13"/>
      <c r="X1977" s="22" t="str">
        <f aca="false">IF(Q1977="","",Q1977^2)</f>
        <v/>
      </c>
      <c r="Y1977" s="22" t="str">
        <f aca="false">IF(AND(C1977&lt;&gt;"",C1977=CERTIFICADO!$E$4,OR(CERTIFICADO!$E$5="",B1977=CERTIFICADO!$E$5)),MAX($Y$4:Y1976)+1,"")</f>
        <v/>
      </c>
    </row>
    <row r="1978" customFormat="false" ht="15" hidden="false" customHeight="false" outlineLevel="0" collapsed="false">
      <c r="A1978" s="11" t="str">
        <f aca="false">IF(C1978="","",ROW()-4)</f>
        <v/>
      </c>
      <c r="B1978" s="12"/>
      <c r="C1978" s="13"/>
      <c r="D1978" s="23" t="str">
        <f aca="false">IF(C1978="","",IFERROR(INDEX(LOTES!$D$5:$D$1004,MATCH(C1978,LOTES!$F$5:$F$1004,0)),"¿Lote?"))</f>
        <v/>
      </c>
      <c r="E1978" s="11" t="str">
        <f aca="false">IF(C1978="","",IFERROR(INDEX(LOTES!$C$5:$C$1004,MATCH(C1978,LOTES!$F$5:$F$1004,0)),""))</f>
        <v/>
      </c>
      <c r="F1978" s="24" t="str">
        <f aca="false">IF(C1978="","",IFERROR(INDEX(LOTES!$B$5:$B$1004,MATCH(C1978,LOTES!$F$5:$F$1004,0)),""))</f>
        <v/>
      </c>
      <c r="G1978" s="15" t="str">
        <f aca="false">IF(OR(B1978="",F1978=""),"",B1978-F1978)</f>
        <v/>
      </c>
      <c r="H1978" s="13"/>
      <c r="I1978" s="13"/>
      <c r="J1978" s="13"/>
      <c r="K1978" s="25"/>
      <c r="L1978" s="25"/>
      <c r="M1978" s="25"/>
      <c r="N1978" s="25"/>
      <c r="O1978" s="26"/>
      <c r="P1978" s="16" t="str">
        <f aca="false">IF(O1978="","",IFERROR(1/(1/(IF(K1978="",INDEX(CONFIG!$F$5:$F$14,MATCH(D1978,CONFIG!$D$5:$D$14,0)),K1978)*IF(M1978="",INDEX(CONFIG!$H$5:$H$14,MATCH(D1978,CONFIG!$D$5:$D$14,0)),M1978))),""))</f>
        <v/>
      </c>
      <c r="Q1978" s="16" t="str">
        <f aca="false">IF(OR(O1978="",P1978=""),"",O1978/P1978)</f>
        <v/>
      </c>
      <c r="R1978" s="16" t="str">
        <f aca="false">IF(Q1978="","",Q1978*0.0980665)</f>
        <v/>
      </c>
      <c r="S1978" s="16" t="str">
        <f aca="false">IF(Q1978="","",IFERROR(Q1978/(1/(1/INDEX(CONFIG!$I$5:$I$14,MATCH(D1978,CONFIG!$D$5:$D$14,0)))),""))</f>
        <v/>
      </c>
      <c r="T1978" s="13"/>
      <c r="U1978" s="13"/>
      <c r="V1978" s="13"/>
      <c r="W1978" s="13"/>
      <c r="X1978" s="22" t="str">
        <f aca="false">IF(Q1978="","",Q1978^2)</f>
        <v/>
      </c>
      <c r="Y1978" s="22" t="str">
        <f aca="false">IF(AND(C1978&lt;&gt;"",C1978=CERTIFICADO!$E$4,OR(CERTIFICADO!$E$5="",B1978=CERTIFICADO!$E$5)),MAX($Y$4:Y1977)+1,"")</f>
        <v/>
      </c>
    </row>
    <row r="1979" customFormat="false" ht="15" hidden="false" customHeight="false" outlineLevel="0" collapsed="false">
      <c r="A1979" s="11" t="str">
        <f aca="false">IF(C1979="","",ROW()-4)</f>
        <v/>
      </c>
      <c r="B1979" s="12"/>
      <c r="C1979" s="13"/>
      <c r="D1979" s="23" t="str">
        <f aca="false">IF(C1979="","",IFERROR(INDEX(LOTES!$D$5:$D$1004,MATCH(C1979,LOTES!$F$5:$F$1004,0)),"¿Lote?"))</f>
        <v/>
      </c>
      <c r="E1979" s="11" t="str">
        <f aca="false">IF(C1979="","",IFERROR(INDEX(LOTES!$C$5:$C$1004,MATCH(C1979,LOTES!$F$5:$F$1004,0)),""))</f>
        <v/>
      </c>
      <c r="F1979" s="24" t="str">
        <f aca="false">IF(C1979="","",IFERROR(INDEX(LOTES!$B$5:$B$1004,MATCH(C1979,LOTES!$F$5:$F$1004,0)),""))</f>
        <v/>
      </c>
      <c r="G1979" s="15" t="str">
        <f aca="false">IF(OR(B1979="",F1979=""),"",B1979-F1979)</f>
        <v/>
      </c>
      <c r="H1979" s="13"/>
      <c r="I1979" s="13"/>
      <c r="J1979" s="13"/>
      <c r="K1979" s="25"/>
      <c r="L1979" s="25"/>
      <c r="M1979" s="25"/>
      <c r="N1979" s="25"/>
      <c r="O1979" s="26"/>
      <c r="P1979" s="16" t="str">
        <f aca="false">IF(O1979="","",IFERROR(1/(1/(IF(K1979="",INDEX(CONFIG!$F$5:$F$14,MATCH(D1979,CONFIG!$D$5:$D$14,0)),K1979)*IF(M1979="",INDEX(CONFIG!$H$5:$H$14,MATCH(D1979,CONFIG!$D$5:$D$14,0)),M1979))),""))</f>
        <v/>
      </c>
      <c r="Q1979" s="16" t="str">
        <f aca="false">IF(OR(O1979="",P1979=""),"",O1979/P1979)</f>
        <v/>
      </c>
      <c r="R1979" s="16" t="str">
        <f aca="false">IF(Q1979="","",Q1979*0.0980665)</f>
        <v/>
      </c>
      <c r="S1979" s="16" t="str">
        <f aca="false">IF(Q1979="","",IFERROR(Q1979/(1/(1/INDEX(CONFIG!$I$5:$I$14,MATCH(D1979,CONFIG!$D$5:$D$14,0)))),""))</f>
        <v/>
      </c>
      <c r="T1979" s="13"/>
      <c r="U1979" s="13"/>
      <c r="V1979" s="13"/>
      <c r="W1979" s="13"/>
      <c r="X1979" s="22" t="str">
        <f aca="false">IF(Q1979="","",Q1979^2)</f>
        <v/>
      </c>
      <c r="Y1979" s="22" t="str">
        <f aca="false">IF(AND(C1979&lt;&gt;"",C1979=CERTIFICADO!$E$4,OR(CERTIFICADO!$E$5="",B1979=CERTIFICADO!$E$5)),MAX($Y$4:Y1978)+1,"")</f>
        <v/>
      </c>
    </row>
    <row r="1980" customFormat="false" ht="15" hidden="false" customHeight="false" outlineLevel="0" collapsed="false">
      <c r="A1980" s="11" t="str">
        <f aca="false">IF(C1980="","",ROW()-4)</f>
        <v/>
      </c>
      <c r="B1980" s="12"/>
      <c r="C1980" s="13"/>
      <c r="D1980" s="23" t="str">
        <f aca="false">IF(C1980="","",IFERROR(INDEX(LOTES!$D$5:$D$1004,MATCH(C1980,LOTES!$F$5:$F$1004,0)),"¿Lote?"))</f>
        <v/>
      </c>
      <c r="E1980" s="11" t="str">
        <f aca="false">IF(C1980="","",IFERROR(INDEX(LOTES!$C$5:$C$1004,MATCH(C1980,LOTES!$F$5:$F$1004,0)),""))</f>
        <v/>
      </c>
      <c r="F1980" s="24" t="str">
        <f aca="false">IF(C1980="","",IFERROR(INDEX(LOTES!$B$5:$B$1004,MATCH(C1980,LOTES!$F$5:$F$1004,0)),""))</f>
        <v/>
      </c>
      <c r="G1980" s="15" t="str">
        <f aca="false">IF(OR(B1980="",F1980=""),"",B1980-F1980)</f>
        <v/>
      </c>
      <c r="H1980" s="13"/>
      <c r="I1980" s="13"/>
      <c r="J1980" s="13"/>
      <c r="K1980" s="25"/>
      <c r="L1980" s="25"/>
      <c r="M1980" s="25"/>
      <c r="N1980" s="25"/>
      <c r="O1980" s="26"/>
      <c r="P1980" s="16" t="str">
        <f aca="false">IF(O1980="","",IFERROR(1/(1/(IF(K1980="",INDEX(CONFIG!$F$5:$F$14,MATCH(D1980,CONFIG!$D$5:$D$14,0)),K1980)*IF(M1980="",INDEX(CONFIG!$H$5:$H$14,MATCH(D1980,CONFIG!$D$5:$D$14,0)),M1980))),""))</f>
        <v/>
      </c>
      <c r="Q1980" s="16" t="str">
        <f aca="false">IF(OR(O1980="",P1980=""),"",O1980/P1980)</f>
        <v/>
      </c>
      <c r="R1980" s="16" t="str">
        <f aca="false">IF(Q1980="","",Q1980*0.0980665)</f>
        <v/>
      </c>
      <c r="S1980" s="16" t="str">
        <f aca="false">IF(Q1980="","",IFERROR(Q1980/(1/(1/INDEX(CONFIG!$I$5:$I$14,MATCH(D1980,CONFIG!$D$5:$D$14,0)))),""))</f>
        <v/>
      </c>
      <c r="T1980" s="13"/>
      <c r="U1980" s="13"/>
      <c r="V1980" s="13"/>
      <c r="W1980" s="13"/>
      <c r="X1980" s="22" t="str">
        <f aca="false">IF(Q1980="","",Q1980^2)</f>
        <v/>
      </c>
      <c r="Y1980" s="22" t="str">
        <f aca="false">IF(AND(C1980&lt;&gt;"",C1980=CERTIFICADO!$E$4,OR(CERTIFICADO!$E$5="",B1980=CERTIFICADO!$E$5)),MAX($Y$4:Y1979)+1,"")</f>
        <v/>
      </c>
    </row>
    <row r="1981" customFormat="false" ht="15" hidden="false" customHeight="false" outlineLevel="0" collapsed="false">
      <c r="A1981" s="11" t="str">
        <f aca="false">IF(C1981="","",ROW()-4)</f>
        <v/>
      </c>
      <c r="B1981" s="12"/>
      <c r="C1981" s="13"/>
      <c r="D1981" s="23" t="str">
        <f aca="false">IF(C1981="","",IFERROR(INDEX(LOTES!$D$5:$D$1004,MATCH(C1981,LOTES!$F$5:$F$1004,0)),"¿Lote?"))</f>
        <v/>
      </c>
      <c r="E1981" s="11" t="str">
        <f aca="false">IF(C1981="","",IFERROR(INDEX(LOTES!$C$5:$C$1004,MATCH(C1981,LOTES!$F$5:$F$1004,0)),""))</f>
        <v/>
      </c>
      <c r="F1981" s="24" t="str">
        <f aca="false">IF(C1981="","",IFERROR(INDEX(LOTES!$B$5:$B$1004,MATCH(C1981,LOTES!$F$5:$F$1004,0)),""))</f>
        <v/>
      </c>
      <c r="G1981" s="15" t="str">
        <f aca="false">IF(OR(B1981="",F1981=""),"",B1981-F1981)</f>
        <v/>
      </c>
      <c r="H1981" s="13"/>
      <c r="I1981" s="13"/>
      <c r="J1981" s="13"/>
      <c r="K1981" s="25"/>
      <c r="L1981" s="25"/>
      <c r="M1981" s="25"/>
      <c r="N1981" s="25"/>
      <c r="O1981" s="26"/>
      <c r="P1981" s="16" t="str">
        <f aca="false">IF(O1981="","",IFERROR(1/(1/(IF(K1981="",INDEX(CONFIG!$F$5:$F$14,MATCH(D1981,CONFIG!$D$5:$D$14,0)),K1981)*IF(M1981="",INDEX(CONFIG!$H$5:$H$14,MATCH(D1981,CONFIG!$D$5:$D$14,0)),M1981))),""))</f>
        <v/>
      </c>
      <c r="Q1981" s="16" t="str">
        <f aca="false">IF(OR(O1981="",P1981=""),"",O1981/P1981)</f>
        <v/>
      </c>
      <c r="R1981" s="16" t="str">
        <f aca="false">IF(Q1981="","",Q1981*0.0980665)</f>
        <v/>
      </c>
      <c r="S1981" s="16" t="str">
        <f aca="false">IF(Q1981="","",IFERROR(Q1981/(1/(1/INDEX(CONFIG!$I$5:$I$14,MATCH(D1981,CONFIG!$D$5:$D$14,0)))),""))</f>
        <v/>
      </c>
      <c r="T1981" s="13"/>
      <c r="U1981" s="13"/>
      <c r="V1981" s="13"/>
      <c r="W1981" s="13"/>
      <c r="X1981" s="22" t="str">
        <f aca="false">IF(Q1981="","",Q1981^2)</f>
        <v/>
      </c>
      <c r="Y1981" s="22" t="str">
        <f aca="false">IF(AND(C1981&lt;&gt;"",C1981=CERTIFICADO!$E$4,OR(CERTIFICADO!$E$5="",B1981=CERTIFICADO!$E$5)),MAX($Y$4:Y1980)+1,"")</f>
        <v/>
      </c>
    </row>
    <row r="1982" customFormat="false" ht="15" hidden="false" customHeight="false" outlineLevel="0" collapsed="false">
      <c r="A1982" s="11" t="str">
        <f aca="false">IF(C1982="","",ROW()-4)</f>
        <v/>
      </c>
      <c r="B1982" s="12"/>
      <c r="C1982" s="13"/>
      <c r="D1982" s="23" t="str">
        <f aca="false">IF(C1982="","",IFERROR(INDEX(LOTES!$D$5:$D$1004,MATCH(C1982,LOTES!$F$5:$F$1004,0)),"¿Lote?"))</f>
        <v/>
      </c>
      <c r="E1982" s="11" t="str">
        <f aca="false">IF(C1982="","",IFERROR(INDEX(LOTES!$C$5:$C$1004,MATCH(C1982,LOTES!$F$5:$F$1004,0)),""))</f>
        <v/>
      </c>
      <c r="F1982" s="24" t="str">
        <f aca="false">IF(C1982="","",IFERROR(INDEX(LOTES!$B$5:$B$1004,MATCH(C1982,LOTES!$F$5:$F$1004,0)),""))</f>
        <v/>
      </c>
      <c r="G1982" s="15" t="str">
        <f aca="false">IF(OR(B1982="",F1982=""),"",B1982-F1982)</f>
        <v/>
      </c>
      <c r="H1982" s="13"/>
      <c r="I1982" s="13"/>
      <c r="J1982" s="13"/>
      <c r="K1982" s="25"/>
      <c r="L1982" s="25"/>
      <c r="M1982" s="25"/>
      <c r="N1982" s="25"/>
      <c r="O1982" s="26"/>
      <c r="P1982" s="16" t="str">
        <f aca="false">IF(O1982="","",IFERROR(1/(1/(IF(K1982="",INDEX(CONFIG!$F$5:$F$14,MATCH(D1982,CONFIG!$D$5:$D$14,0)),K1982)*IF(M1982="",INDEX(CONFIG!$H$5:$H$14,MATCH(D1982,CONFIG!$D$5:$D$14,0)),M1982))),""))</f>
        <v/>
      </c>
      <c r="Q1982" s="16" t="str">
        <f aca="false">IF(OR(O1982="",P1982=""),"",O1982/P1982)</f>
        <v/>
      </c>
      <c r="R1982" s="16" t="str">
        <f aca="false">IF(Q1982="","",Q1982*0.0980665)</f>
        <v/>
      </c>
      <c r="S1982" s="16" t="str">
        <f aca="false">IF(Q1982="","",IFERROR(Q1982/(1/(1/INDEX(CONFIG!$I$5:$I$14,MATCH(D1982,CONFIG!$D$5:$D$14,0)))),""))</f>
        <v/>
      </c>
      <c r="T1982" s="13"/>
      <c r="U1982" s="13"/>
      <c r="V1982" s="13"/>
      <c r="W1982" s="13"/>
      <c r="X1982" s="22" t="str">
        <f aca="false">IF(Q1982="","",Q1982^2)</f>
        <v/>
      </c>
      <c r="Y1982" s="22" t="str">
        <f aca="false">IF(AND(C1982&lt;&gt;"",C1982=CERTIFICADO!$E$4,OR(CERTIFICADO!$E$5="",B1982=CERTIFICADO!$E$5)),MAX($Y$4:Y1981)+1,"")</f>
        <v/>
      </c>
    </row>
    <row r="1983" customFormat="false" ht="15" hidden="false" customHeight="false" outlineLevel="0" collapsed="false">
      <c r="A1983" s="11" t="str">
        <f aca="false">IF(C1983="","",ROW()-4)</f>
        <v/>
      </c>
      <c r="B1983" s="12"/>
      <c r="C1983" s="13"/>
      <c r="D1983" s="23" t="str">
        <f aca="false">IF(C1983="","",IFERROR(INDEX(LOTES!$D$5:$D$1004,MATCH(C1983,LOTES!$F$5:$F$1004,0)),"¿Lote?"))</f>
        <v/>
      </c>
      <c r="E1983" s="11" t="str">
        <f aca="false">IF(C1983="","",IFERROR(INDEX(LOTES!$C$5:$C$1004,MATCH(C1983,LOTES!$F$5:$F$1004,0)),""))</f>
        <v/>
      </c>
      <c r="F1983" s="24" t="str">
        <f aca="false">IF(C1983="","",IFERROR(INDEX(LOTES!$B$5:$B$1004,MATCH(C1983,LOTES!$F$5:$F$1004,0)),""))</f>
        <v/>
      </c>
      <c r="G1983" s="15" t="str">
        <f aca="false">IF(OR(B1983="",F1983=""),"",B1983-F1983)</f>
        <v/>
      </c>
      <c r="H1983" s="13"/>
      <c r="I1983" s="13"/>
      <c r="J1983" s="13"/>
      <c r="K1983" s="25"/>
      <c r="L1983" s="25"/>
      <c r="M1983" s="25"/>
      <c r="N1983" s="25"/>
      <c r="O1983" s="26"/>
      <c r="P1983" s="16" t="str">
        <f aca="false">IF(O1983="","",IFERROR(1/(1/(IF(K1983="",INDEX(CONFIG!$F$5:$F$14,MATCH(D1983,CONFIG!$D$5:$D$14,0)),K1983)*IF(M1983="",INDEX(CONFIG!$H$5:$H$14,MATCH(D1983,CONFIG!$D$5:$D$14,0)),M1983))),""))</f>
        <v/>
      </c>
      <c r="Q1983" s="16" t="str">
        <f aca="false">IF(OR(O1983="",P1983=""),"",O1983/P1983)</f>
        <v/>
      </c>
      <c r="R1983" s="16" t="str">
        <f aca="false">IF(Q1983="","",Q1983*0.0980665)</f>
        <v/>
      </c>
      <c r="S1983" s="16" t="str">
        <f aca="false">IF(Q1983="","",IFERROR(Q1983/(1/(1/INDEX(CONFIG!$I$5:$I$14,MATCH(D1983,CONFIG!$D$5:$D$14,0)))),""))</f>
        <v/>
      </c>
      <c r="T1983" s="13"/>
      <c r="U1983" s="13"/>
      <c r="V1983" s="13"/>
      <c r="W1983" s="13"/>
      <c r="X1983" s="22" t="str">
        <f aca="false">IF(Q1983="","",Q1983^2)</f>
        <v/>
      </c>
      <c r="Y1983" s="22" t="str">
        <f aca="false">IF(AND(C1983&lt;&gt;"",C1983=CERTIFICADO!$E$4,OR(CERTIFICADO!$E$5="",B1983=CERTIFICADO!$E$5)),MAX($Y$4:Y1982)+1,"")</f>
        <v/>
      </c>
    </row>
    <row r="1984" customFormat="false" ht="15" hidden="false" customHeight="false" outlineLevel="0" collapsed="false">
      <c r="A1984" s="11" t="str">
        <f aca="false">IF(C1984="","",ROW()-4)</f>
        <v/>
      </c>
      <c r="B1984" s="12"/>
      <c r="C1984" s="13"/>
      <c r="D1984" s="23" t="str">
        <f aca="false">IF(C1984="","",IFERROR(INDEX(LOTES!$D$5:$D$1004,MATCH(C1984,LOTES!$F$5:$F$1004,0)),"¿Lote?"))</f>
        <v/>
      </c>
      <c r="E1984" s="11" t="str">
        <f aca="false">IF(C1984="","",IFERROR(INDEX(LOTES!$C$5:$C$1004,MATCH(C1984,LOTES!$F$5:$F$1004,0)),""))</f>
        <v/>
      </c>
      <c r="F1984" s="24" t="str">
        <f aca="false">IF(C1984="","",IFERROR(INDEX(LOTES!$B$5:$B$1004,MATCH(C1984,LOTES!$F$5:$F$1004,0)),""))</f>
        <v/>
      </c>
      <c r="G1984" s="15" t="str">
        <f aca="false">IF(OR(B1984="",F1984=""),"",B1984-F1984)</f>
        <v/>
      </c>
      <c r="H1984" s="13"/>
      <c r="I1984" s="13"/>
      <c r="J1984" s="13"/>
      <c r="K1984" s="25"/>
      <c r="L1984" s="25"/>
      <c r="M1984" s="25"/>
      <c r="N1984" s="25"/>
      <c r="O1984" s="26"/>
      <c r="P1984" s="16" t="str">
        <f aca="false">IF(O1984="","",IFERROR(1/(1/(IF(K1984="",INDEX(CONFIG!$F$5:$F$14,MATCH(D1984,CONFIG!$D$5:$D$14,0)),K1984)*IF(M1984="",INDEX(CONFIG!$H$5:$H$14,MATCH(D1984,CONFIG!$D$5:$D$14,0)),M1984))),""))</f>
        <v/>
      </c>
      <c r="Q1984" s="16" t="str">
        <f aca="false">IF(OR(O1984="",P1984=""),"",O1984/P1984)</f>
        <v/>
      </c>
      <c r="R1984" s="16" t="str">
        <f aca="false">IF(Q1984="","",Q1984*0.0980665)</f>
        <v/>
      </c>
      <c r="S1984" s="16" t="str">
        <f aca="false">IF(Q1984="","",IFERROR(Q1984/(1/(1/INDEX(CONFIG!$I$5:$I$14,MATCH(D1984,CONFIG!$D$5:$D$14,0)))),""))</f>
        <v/>
      </c>
      <c r="T1984" s="13"/>
      <c r="U1984" s="13"/>
      <c r="V1984" s="13"/>
      <c r="W1984" s="13"/>
      <c r="X1984" s="22" t="str">
        <f aca="false">IF(Q1984="","",Q1984^2)</f>
        <v/>
      </c>
      <c r="Y1984" s="22" t="str">
        <f aca="false">IF(AND(C1984&lt;&gt;"",C1984=CERTIFICADO!$E$4,OR(CERTIFICADO!$E$5="",B1984=CERTIFICADO!$E$5)),MAX($Y$4:Y1983)+1,"")</f>
        <v/>
      </c>
    </row>
    <row r="1985" customFormat="false" ht="15" hidden="false" customHeight="false" outlineLevel="0" collapsed="false">
      <c r="A1985" s="11" t="str">
        <f aca="false">IF(C1985="","",ROW()-4)</f>
        <v/>
      </c>
      <c r="B1985" s="12"/>
      <c r="C1985" s="13"/>
      <c r="D1985" s="23" t="str">
        <f aca="false">IF(C1985="","",IFERROR(INDEX(LOTES!$D$5:$D$1004,MATCH(C1985,LOTES!$F$5:$F$1004,0)),"¿Lote?"))</f>
        <v/>
      </c>
      <c r="E1985" s="11" t="str">
        <f aca="false">IF(C1985="","",IFERROR(INDEX(LOTES!$C$5:$C$1004,MATCH(C1985,LOTES!$F$5:$F$1004,0)),""))</f>
        <v/>
      </c>
      <c r="F1985" s="24" t="str">
        <f aca="false">IF(C1985="","",IFERROR(INDEX(LOTES!$B$5:$B$1004,MATCH(C1985,LOTES!$F$5:$F$1004,0)),""))</f>
        <v/>
      </c>
      <c r="G1985" s="15" t="str">
        <f aca="false">IF(OR(B1985="",F1985=""),"",B1985-F1985)</f>
        <v/>
      </c>
      <c r="H1985" s="13"/>
      <c r="I1985" s="13"/>
      <c r="J1985" s="13"/>
      <c r="K1985" s="25"/>
      <c r="L1985" s="25"/>
      <c r="M1985" s="25"/>
      <c r="N1985" s="25"/>
      <c r="O1985" s="26"/>
      <c r="P1985" s="16" t="str">
        <f aca="false">IF(O1985="","",IFERROR(1/(1/(IF(K1985="",INDEX(CONFIG!$F$5:$F$14,MATCH(D1985,CONFIG!$D$5:$D$14,0)),K1985)*IF(M1985="",INDEX(CONFIG!$H$5:$H$14,MATCH(D1985,CONFIG!$D$5:$D$14,0)),M1985))),""))</f>
        <v/>
      </c>
      <c r="Q1985" s="16" t="str">
        <f aca="false">IF(OR(O1985="",P1985=""),"",O1985/P1985)</f>
        <v/>
      </c>
      <c r="R1985" s="16" t="str">
        <f aca="false">IF(Q1985="","",Q1985*0.0980665)</f>
        <v/>
      </c>
      <c r="S1985" s="16" t="str">
        <f aca="false">IF(Q1985="","",IFERROR(Q1985/(1/(1/INDEX(CONFIG!$I$5:$I$14,MATCH(D1985,CONFIG!$D$5:$D$14,0)))),""))</f>
        <v/>
      </c>
      <c r="T1985" s="13"/>
      <c r="U1985" s="13"/>
      <c r="V1985" s="13"/>
      <c r="W1985" s="13"/>
      <c r="X1985" s="22" t="str">
        <f aca="false">IF(Q1985="","",Q1985^2)</f>
        <v/>
      </c>
      <c r="Y1985" s="22" t="str">
        <f aca="false">IF(AND(C1985&lt;&gt;"",C1985=CERTIFICADO!$E$4,OR(CERTIFICADO!$E$5="",B1985=CERTIFICADO!$E$5)),MAX($Y$4:Y1984)+1,"")</f>
        <v/>
      </c>
    </row>
    <row r="1986" customFormat="false" ht="15" hidden="false" customHeight="false" outlineLevel="0" collapsed="false">
      <c r="A1986" s="11" t="str">
        <f aca="false">IF(C1986="","",ROW()-4)</f>
        <v/>
      </c>
      <c r="B1986" s="12"/>
      <c r="C1986" s="13"/>
      <c r="D1986" s="23" t="str">
        <f aca="false">IF(C1986="","",IFERROR(INDEX(LOTES!$D$5:$D$1004,MATCH(C1986,LOTES!$F$5:$F$1004,0)),"¿Lote?"))</f>
        <v/>
      </c>
      <c r="E1986" s="11" t="str">
        <f aca="false">IF(C1986="","",IFERROR(INDEX(LOTES!$C$5:$C$1004,MATCH(C1986,LOTES!$F$5:$F$1004,0)),""))</f>
        <v/>
      </c>
      <c r="F1986" s="24" t="str">
        <f aca="false">IF(C1986="","",IFERROR(INDEX(LOTES!$B$5:$B$1004,MATCH(C1986,LOTES!$F$5:$F$1004,0)),""))</f>
        <v/>
      </c>
      <c r="G1986" s="15" t="str">
        <f aca="false">IF(OR(B1986="",F1986=""),"",B1986-F1986)</f>
        <v/>
      </c>
      <c r="H1986" s="13"/>
      <c r="I1986" s="13"/>
      <c r="J1986" s="13"/>
      <c r="K1986" s="25"/>
      <c r="L1986" s="25"/>
      <c r="M1986" s="25"/>
      <c r="N1986" s="25"/>
      <c r="O1986" s="26"/>
      <c r="P1986" s="16" t="str">
        <f aca="false">IF(O1986="","",IFERROR(1/(1/(IF(K1986="",INDEX(CONFIG!$F$5:$F$14,MATCH(D1986,CONFIG!$D$5:$D$14,0)),K1986)*IF(M1986="",INDEX(CONFIG!$H$5:$H$14,MATCH(D1986,CONFIG!$D$5:$D$14,0)),M1986))),""))</f>
        <v/>
      </c>
      <c r="Q1986" s="16" t="str">
        <f aca="false">IF(OR(O1986="",P1986=""),"",O1986/P1986)</f>
        <v/>
      </c>
      <c r="R1986" s="16" t="str">
        <f aca="false">IF(Q1986="","",Q1986*0.0980665)</f>
        <v/>
      </c>
      <c r="S1986" s="16" t="str">
        <f aca="false">IF(Q1986="","",IFERROR(Q1986/(1/(1/INDEX(CONFIG!$I$5:$I$14,MATCH(D1986,CONFIG!$D$5:$D$14,0)))),""))</f>
        <v/>
      </c>
      <c r="T1986" s="13"/>
      <c r="U1986" s="13"/>
      <c r="V1986" s="13"/>
      <c r="W1986" s="13"/>
      <c r="X1986" s="22" t="str">
        <f aca="false">IF(Q1986="","",Q1986^2)</f>
        <v/>
      </c>
      <c r="Y1986" s="22" t="str">
        <f aca="false">IF(AND(C1986&lt;&gt;"",C1986=CERTIFICADO!$E$4,OR(CERTIFICADO!$E$5="",B1986=CERTIFICADO!$E$5)),MAX($Y$4:Y1985)+1,"")</f>
        <v/>
      </c>
    </row>
    <row r="1987" customFormat="false" ht="15" hidden="false" customHeight="false" outlineLevel="0" collapsed="false">
      <c r="A1987" s="11" t="str">
        <f aca="false">IF(C1987="","",ROW()-4)</f>
        <v/>
      </c>
      <c r="B1987" s="12"/>
      <c r="C1987" s="13"/>
      <c r="D1987" s="23" t="str">
        <f aca="false">IF(C1987="","",IFERROR(INDEX(LOTES!$D$5:$D$1004,MATCH(C1987,LOTES!$F$5:$F$1004,0)),"¿Lote?"))</f>
        <v/>
      </c>
      <c r="E1987" s="11" t="str">
        <f aca="false">IF(C1987="","",IFERROR(INDEX(LOTES!$C$5:$C$1004,MATCH(C1987,LOTES!$F$5:$F$1004,0)),""))</f>
        <v/>
      </c>
      <c r="F1987" s="24" t="str">
        <f aca="false">IF(C1987="","",IFERROR(INDEX(LOTES!$B$5:$B$1004,MATCH(C1987,LOTES!$F$5:$F$1004,0)),""))</f>
        <v/>
      </c>
      <c r="G1987" s="15" t="str">
        <f aca="false">IF(OR(B1987="",F1987=""),"",B1987-F1987)</f>
        <v/>
      </c>
      <c r="H1987" s="13"/>
      <c r="I1987" s="13"/>
      <c r="J1987" s="13"/>
      <c r="K1987" s="25"/>
      <c r="L1987" s="25"/>
      <c r="M1987" s="25"/>
      <c r="N1987" s="25"/>
      <c r="O1987" s="26"/>
      <c r="P1987" s="16" t="str">
        <f aca="false">IF(O1987="","",IFERROR(1/(1/(IF(K1987="",INDEX(CONFIG!$F$5:$F$14,MATCH(D1987,CONFIG!$D$5:$D$14,0)),K1987)*IF(M1987="",INDEX(CONFIG!$H$5:$H$14,MATCH(D1987,CONFIG!$D$5:$D$14,0)),M1987))),""))</f>
        <v/>
      </c>
      <c r="Q1987" s="16" t="str">
        <f aca="false">IF(OR(O1987="",P1987=""),"",O1987/P1987)</f>
        <v/>
      </c>
      <c r="R1987" s="16" t="str">
        <f aca="false">IF(Q1987="","",Q1987*0.0980665)</f>
        <v/>
      </c>
      <c r="S1987" s="16" t="str">
        <f aca="false">IF(Q1987="","",IFERROR(Q1987/(1/(1/INDEX(CONFIG!$I$5:$I$14,MATCH(D1987,CONFIG!$D$5:$D$14,0)))),""))</f>
        <v/>
      </c>
      <c r="T1987" s="13"/>
      <c r="U1987" s="13"/>
      <c r="V1987" s="13"/>
      <c r="W1987" s="13"/>
      <c r="X1987" s="22" t="str">
        <f aca="false">IF(Q1987="","",Q1987^2)</f>
        <v/>
      </c>
      <c r="Y1987" s="22" t="str">
        <f aca="false">IF(AND(C1987&lt;&gt;"",C1987=CERTIFICADO!$E$4,OR(CERTIFICADO!$E$5="",B1987=CERTIFICADO!$E$5)),MAX($Y$4:Y1986)+1,"")</f>
        <v/>
      </c>
    </row>
    <row r="1988" customFormat="false" ht="15" hidden="false" customHeight="false" outlineLevel="0" collapsed="false">
      <c r="A1988" s="11" t="str">
        <f aca="false">IF(C1988="","",ROW()-4)</f>
        <v/>
      </c>
      <c r="B1988" s="12"/>
      <c r="C1988" s="13"/>
      <c r="D1988" s="23" t="str">
        <f aca="false">IF(C1988="","",IFERROR(INDEX(LOTES!$D$5:$D$1004,MATCH(C1988,LOTES!$F$5:$F$1004,0)),"¿Lote?"))</f>
        <v/>
      </c>
      <c r="E1988" s="11" t="str">
        <f aca="false">IF(C1988="","",IFERROR(INDEX(LOTES!$C$5:$C$1004,MATCH(C1988,LOTES!$F$5:$F$1004,0)),""))</f>
        <v/>
      </c>
      <c r="F1988" s="24" t="str">
        <f aca="false">IF(C1988="","",IFERROR(INDEX(LOTES!$B$5:$B$1004,MATCH(C1988,LOTES!$F$5:$F$1004,0)),""))</f>
        <v/>
      </c>
      <c r="G1988" s="15" t="str">
        <f aca="false">IF(OR(B1988="",F1988=""),"",B1988-F1988)</f>
        <v/>
      </c>
      <c r="H1988" s="13"/>
      <c r="I1988" s="13"/>
      <c r="J1988" s="13"/>
      <c r="K1988" s="25"/>
      <c r="L1988" s="25"/>
      <c r="M1988" s="25"/>
      <c r="N1988" s="25"/>
      <c r="O1988" s="26"/>
      <c r="P1988" s="16" t="str">
        <f aca="false">IF(O1988="","",IFERROR(1/(1/(IF(K1988="",INDEX(CONFIG!$F$5:$F$14,MATCH(D1988,CONFIG!$D$5:$D$14,0)),K1988)*IF(M1988="",INDEX(CONFIG!$H$5:$H$14,MATCH(D1988,CONFIG!$D$5:$D$14,0)),M1988))),""))</f>
        <v/>
      </c>
      <c r="Q1988" s="16" t="str">
        <f aca="false">IF(OR(O1988="",P1988=""),"",O1988/P1988)</f>
        <v/>
      </c>
      <c r="R1988" s="16" t="str">
        <f aca="false">IF(Q1988="","",Q1988*0.0980665)</f>
        <v/>
      </c>
      <c r="S1988" s="16" t="str">
        <f aca="false">IF(Q1988="","",IFERROR(Q1988/(1/(1/INDEX(CONFIG!$I$5:$I$14,MATCH(D1988,CONFIG!$D$5:$D$14,0)))),""))</f>
        <v/>
      </c>
      <c r="T1988" s="13"/>
      <c r="U1988" s="13"/>
      <c r="V1988" s="13"/>
      <c r="W1988" s="13"/>
      <c r="X1988" s="22" t="str">
        <f aca="false">IF(Q1988="","",Q1988^2)</f>
        <v/>
      </c>
      <c r="Y1988" s="22" t="str">
        <f aca="false">IF(AND(C1988&lt;&gt;"",C1988=CERTIFICADO!$E$4,OR(CERTIFICADO!$E$5="",B1988=CERTIFICADO!$E$5)),MAX($Y$4:Y1987)+1,"")</f>
        <v/>
      </c>
    </row>
    <row r="1989" customFormat="false" ht="15" hidden="false" customHeight="false" outlineLevel="0" collapsed="false">
      <c r="A1989" s="11" t="str">
        <f aca="false">IF(C1989="","",ROW()-4)</f>
        <v/>
      </c>
      <c r="B1989" s="12"/>
      <c r="C1989" s="13"/>
      <c r="D1989" s="23" t="str">
        <f aca="false">IF(C1989="","",IFERROR(INDEX(LOTES!$D$5:$D$1004,MATCH(C1989,LOTES!$F$5:$F$1004,0)),"¿Lote?"))</f>
        <v/>
      </c>
      <c r="E1989" s="11" t="str">
        <f aca="false">IF(C1989="","",IFERROR(INDEX(LOTES!$C$5:$C$1004,MATCH(C1989,LOTES!$F$5:$F$1004,0)),""))</f>
        <v/>
      </c>
      <c r="F1989" s="24" t="str">
        <f aca="false">IF(C1989="","",IFERROR(INDEX(LOTES!$B$5:$B$1004,MATCH(C1989,LOTES!$F$5:$F$1004,0)),""))</f>
        <v/>
      </c>
      <c r="G1989" s="15" t="str">
        <f aca="false">IF(OR(B1989="",F1989=""),"",B1989-F1989)</f>
        <v/>
      </c>
      <c r="H1989" s="13"/>
      <c r="I1989" s="13"/>
      <c r="J1989" s="13"/>
      <c r="K1989" s="25"/>
      <c r="L1989" s="25"/>
      <c r="M1989" s="25"/>
      <c r="N1989" s="25"/>
      <c r="O1989" s="26"/>
      <c r="P1989" s="16" t="str">
        <f aca="false">IF(O1989="","",IFERROR(1/(1/(IF(K1989="",INDEX(CONFIG!$F$5:$F$14,MATCH(D1989,CONFIG!$D$5:$D$14,0)),K1989)*IF(M1989="",INDEX(CONFIG!$H$5:$H$14,MATCH(D1989,CONFIG!$D$5:$D$14,0)),M1989))),""))</f>
        <v/>
      </c>
      <c r="Q1989" s="16" t="str">
        <f aca="false">IF(OR(O1989="",P1989=""),"",O1989/P1989)</f>
        <v/>
      </c>
      <c r="R1989" s="16" t="str">
        <f aca="false">IF(Q1989="","",Q1989*0.0980665)</f>
        <v/>
      </c>
      <c r="S1989" s="16" t="str">
        <f aca="false">IF(Q1989="","",IFERROR(Q1989/(1/(1/INDEX(CONFIG!$I$5:$I$14,MATCH(D1989,CONFIG!$D$5:$D$14,0)))),""))</f>
        <v/>
      </c>
      <c r="T1989" s="13"/>
      <c r="U1989" s="13"/>
      <c r="V1989" s="13"/>
      <c r="W1989" s="13"/>
      <c r="X1989" s="22" t="str">
        <f aca="false">IF(Q1989="","",Q1989^2)</f>
        <v/>
      </c>
      <c r="Y1989" s="22" t="str">
        <f aca="false">IF(AND(C1989&lt;&gt;"",C1989=CERTIFICADO!$E$4,OR(CERTIFICADO!$E$5="",B1989=CERTIFICADO!$E$5)),MAX($Y$4:Y1988)+1,"")</f>
        <v/>
      </c>
    </row>
    <row r="1990" customFormat="false" ht="15" hidden="false" customHeight="false" outlineLevel="0" collapsed="false">
      <c r="A1990" s="11" t="str">
        <f aca="false">IF(C1990="","",ROW()-4)</f>
        <v/>
      </c>
      <c r="B1990" s="12"/>
      <c r="C1990" s="13"/>
      <c r="D1990" s="23" t="str">
        <f aca="false">IF(C1990="","",IFERROR(INDEX(LOTES!$D$5:$D$1004,MATCH(C1990,LOTES!$F$5:$F$1004,0)),"¿Lote?"))</f>
        <v/>
      </c>
      <c r="E1990" s="11" t="str">
        <f aca="false">IF(C1990="","",IFERROR(INDEX(LOTES!$C$5:$C$1004,MATCH(C1990,LOTES!$F$5:$F$1004,0)),""))</f>
        <v/>
      </c>
      <c r="F1990" s="24" t="str">
        <f aca="false">IF(C1990="","",IFERROR(INDEX(LOTES!$B$5:$B$1004,MATCH(C1990,LOTES!$F$5:$F$1004,0)),""))</f>
        <v/>
      </c>
      <c r="G1990" s="15" t="str">
        <f aca="false">IF(OR(B1990="",F1990=""),"",B1990-F1990)</f>
        <v/>
      </c>
      <c r="H1990" s="13"/>
      <c r="I1990" s="13"/>
      <c r="J1990" s="13"/>
      <c r="K1990" s="25"/>
      <c r="L1990" s="25"/>
      <c r="M1990" s="25"/>
      <c r="N1990" s="25"/>
      <c r="O1990" s="26"/>
      <c r="P1990" s="16" t="str">
        <f aca="false">IF(O1990="","",IFERROR(1/(1/(IF(K1990="",INDEX(CONFIG!$F$5:$F$14,MATCH(D1990,CONFIG!$D$5:$D$14,0)),K1990)*IF(M1990="",INDEX(CONFIG!$H$5:$H$14,MATCH(D1990,CONFIG!$D$5:$D$14,0)),M1990))),""))</f>
        <v/>
      </c>
      <c r="Q1990" s="16" t="str">
        <f aca="false">IF(OR(O1990="",P1990=""),"",O1990/P1990)</f>
        <v/>
      </c>
      <c r="R1990" s="16" t="str">
        <f aca="false">IF(Q1990="","",Q1990*0.0980665)</f>
        <v/>
      </c>
      <c r="S1990" s="16" t="str">
        <f aca="false">IF(Q1990="","",IFERROR(Q1990/(1/(1/INDEX(CONFIG!$I$5:$I$14,MATCH(D1990,CONFIG!$D$5:$D$14,0)))),""))</f>
        <v/>
      </c>
      <c r="T1990" s="13"/>
      <c r="U1990" s="13"/>
      <c r="V1990" s="13"/>
      <c r="W1990" s="13"/>
      <c r="X1990" s="22" t="str">
        <f aca="false">IF(Q1990="","",Q1990^2)</f>
        <v/>
      </c>
      <c r="Y1990" s="22" t="str">
        <f aca="false">IF(AND(C1990&lt;&gt;"",C1990=CERTIFICADO!$E$4,OR(CERTIFICADO!$E$5="",B1990=CERTIFICADO!$E$5)),MAX($Y$4:Y1989)+1,"")</f>
        <v/>
      </c>
    </row>
    <row r="1991" customFormat="false" ht="15" hidden="false" customHeight="false" outlineLevel="0" collapsed="false">
      <c r="A1991" s="11" t="str">
        <f aca="false">IF(C1991="","",ROW()-4)</f>
        <v/>
      </c>
      <c r="B1991" s="12"/>
      <c r="C1991" s="13"/>
      <c r="D1991" s="23" t="str">
        <f aca="false">IF(C1991="","",IFERROR(INDEX(LOTES!$D$5:$D$1004,MATCH(C1991,LOTES!$F$5:$F$1004,0)),"¿Lote?"))</f>
        <v/>
      </c>
      <c r="E1991" s="11" t="str">
        <f aca="false">IF(C1991="","",IFERROR(INDEX(LOTES!$C$5:$C$1004,MATCH(C1991,LOTES!$F$5:$F$1004,0)),""))</f>
        <v/>
      </c>
      <c r="F1991" s="24" t="str">
        <f aca="false">IF(C1991="","",IFERROR(INDEX(LOTES!$B$5:$B$1004,MATCH(C1991,LOTES!$F$5:$F$1004,0)),""))</f>
        <v/>
      </c>
      <c r="G1991" s="15" t="str">
        <f aca="false">IF(OR(B1991="",F1991=""),"",B1991-F1991)</f>
        <v/>
      </c>
      <c r="H1991" s="13"/>
      <c r="I1991" s="13"/>
      <c r="J1991" s="13"/>
      <c r="K1991" s="25"/>
      <c r="L1991" s="25"/>
      <c r="M1991" s="25"/>
      <c r="N1991" s="25"/>
      <c r="O1991" s="26"/>
      <c r="P1991" s="16" t="str">
        <f aca="false">IF(O1991="","",IFERROR(1/(1/(IF(K1991="",INDEX(CONFIG!$F$5:$F$14,MATCH(D1991,CONFIG!$D$5:$D$14,0)),K1991)*IF(M1991="",INDEX(CONFIG!$H$5:$H$14,MATCH(D1991,CONFIG!$D$5:$D$14,0)),M1991))),""))</f>
        <v/>
      </c>
      <c r="Q1991" s="16" t="str">
        <f aca="false">IF(OR(O1991="",P1991=""),"",O1991/P1991)</f>
        <v/>
      </c>
      <c r="R1991" s="16" t="str">
        <f aca="false">IF(Q1991="","",Q1991*0.0980665)</f>
        <v/>
      </c>
      <c r="S1991" s="16" t="str">
        <f aca="false">IF(Q1991="","",IFERROR(Q1991/(1/(1/INDEX(CONFIG!$I$5:$I$14,MATCH(D1991,CONFIG!$D$5:$D$14,0)))),""))</f>
        <v/>
      </c>
      <c r="T1991" s="13"/>
      <c r="U1991" s="13"/>
      <c r="V1991" s="13"/>
      <c r="W1991" s="13"/>
      <c r="X1991" s="22" t="str">
        <f aca="false">IF(Q1991="","",Q1991^2)</f>
        <v/>
      </c>
      <c r="Y1991" s="22" t="str">
        <f aca="false">IF(AND(C1991&lt;&gt;"",C1991=CERTIFICADO!$E$4,OR(CERTIFICADO!$E$5="",B1991=CERTIFICADO!$E$5)),MAX($Y$4:Y1990)+1,"")</f>
        <v/>
      </c>
    </row>
    <row r="1992" customFormat="false" ht="15" hidden="false" customHeight="false" outlineLevel="0" collapsed="false">
      <c r="A1992" s="11" t="str">
        <f aca="false">IF(C1992="","",ROW()-4)</f>
        <v/>
      </c>
      <c r="B1992" s="12"/>
      <c r="C1992" s="13"/>
      <c r="D1992" s="23" t="str">
        <f aca="false">IF(C1992="","",IFERROR(INDEX(LOTES!$D$5:$D$1004,MATCH(C1992,LOTES!$F$5:$F$1004,0)),"¿Lote?"))</f>
        <v/>
      </c>
      <c r="E1992" s="11" t="str">
        <f aca="false">IF(C1992="","",IFERROR(INDEX(LOTES!$C$5:$C$1004,MATCH(C1992,LOTES!$F$5:$F$1004,0)),""))</f>
        <v/>
      </c>
      <c r="F1992" s="24" t="str">
        <f aca="false">IF(C1992="","",IFERROR(INDEX(LOTES!$B$5:$B$1004,MATCH(C1992,LOTES!$F$5:$F$1004,0)),""))</f>
        <v/>
      </c>
      <c r="G1992" s="15" t="str">
        <f aca="false">IF(OR(B1992="",F1992=""),"",B1992-F1992)</f>
        <v/>
      </c>
      <c r="H1992" s="13"/>
      <c r="I1992" s="13"/>
      <c r="J1992" s="13"/>
      <c r="K1992" s="25"/>
      <c r="L1992" s="25"/>
      <c r="M1992" s="25"/>
      <c r="N1992" s="25"/>
      <c r="O1992" s="26"/>
      <c r="P1992" s="16" t="str">
        <f aca="false">IF(O1992="","",IFERROR(1/(1/(IF(K1992="",INDEX(CONFIG!$F$5:$F$14,MATCH(D1992,CONFIG!$D$5:$D$14,0)),K1992)*IF(M1992="",INDEX(CONFIG!$H$5:$H$14,MATCH(D1992,CONFIG!$D$5:$D$14,0)),M1992))),""))</f>
        <v/>
      </c>
      <c r="Q1992" s="16" t="str">
        <f aca="false">IF(OR(O1992="",P1992=""),"",O1992/P1992)</f>
        <v/>
      </c>
      <c r="R1992" s="16" t="str">
        <f aca="false">IF(Q1992="","",Q1992*0.0980665)</f>
        <v/>
      </c>
      <c r="S1992" s="16" t="str">
        <f aca="false">IF(Q1992="","",IFERROR(Q1992/(1/(1/INDEX(CONFIG!$I$5:$I$14,MATCH(D1992,CONFIG!$D$5:$D$14,0)))),""))</f>
        <v/>
      </c>
      <c r="T1992" s="13"/>
      <c r="U1992" s="13"/>
      <c r="V1992" s="13"/>
      <c r="W1992" s="13"/>
      <c r="X1992" s="22" t="str">
        <f aca="false">IF(Q1992="","",Q1992^2)</f>
        <v/>
      </c>
      <c r="Y1992" s="22" t="str">
        <f aca="false">IF(AND(C1992&lt;&gt;"",C1992=CERTIFICADO!$E$4,OR(CERTIFICADO!$E$5="",B1992=CERTIFICADO!$E$5)),MAX($Y$4:Y1991)+1,"")</f>
        <v/>
      </c>
    </row>
    <row r="1993" customFormat="false" ht="15" hidden="false" customHeight="false" outlineLevel="0" collapsed="false">
      <c r="A1993" s="11" t="str">
        <f aca="false">IF(C1993="","",ROW()-4)</f>
        <v/>
      </c>
      <c r="B1993" s="12"/>
      <c r="C1993" s="13"/>
      <c r="D1993" s="23" t="str">
        <f aca="false">IF(C1993="","",IFERROR(INDEX(LOTES!$D$5:$D$1004,MATCH(C1993,LOTES!$F$5:$F$1004,0)),"¿Lote?"))</f>
        <v/>
      </c>
      <c r="E1993" s="11" t="str">
        <f aca="false">IF(C1993="","",IFERROR(INDEX(LOTES!$C$5:$C$1004,MATCH(C1993,LOTES!$F$5:$F$1004,0)),""))</f>
        <v/>
      </c>
      <c r="F1993" s="24" t="str">
        <f aca="false">IF(C1993="","",IFERROR(INDEX(LOTES!$B$5:$B$1004,MATCH(C1993,LOTES!$F$5:$F$1004,0)),""))</f>
        <v/>
      </c>
      <c r="G1993" s="15" t="str">
        <f aca="false">IF(OR(B1993="",F1993=""),"",B1993-F1993)</f>
        <v/>
      </c>
      <c r="H1993" s="13"/>
      <c r="I1993" s="13"/>
      <c r="J1993" s="13"/>
      <c r="K1993" s="25"/>
      <c r="L1993" s="25"/>
      <c r="M1993" s="25"/>
      <c r="N1993" s="25"/>
      <c r="O1993" s="26"/>
      <c r="P1993" s="16" t="str">
        <f aca="false">IF(O1993="","",IFERROR(1/(1/(IF(K1993="",INDEX(CONFIG!$F$5:$F$14,MATCH(D1993,CONFIG!$D$5:$D$14,0)),K1993)*IF(M1993="",INDEX(CONFIG!$H$5:$H$14,MATCH(D1993,CONFIG!$D$5:$D$14,0)),M1993))),""))</f>
        <v/>
      </c>
      <c r="Q1993" s="16" t="str">
        <f aca="false">IF(OR(O1993="",P1993=""),"",O1993/P1993)</f>
        <v/>
      </c>
      <c r="R1993" s="16" t="str">
        <f aca="false">IF(Q1993="","",Q1993*0.0980665)</f>
        <v/>
      </c>
      <c r="S1993" s="16" t="str">
        <f aca="false">IF(Q1993="","",IFERROR(Q1993/(1/(1/INDEX(CONFIG!$I$5:$I$14,MATCH(D1993,CONFIG!$D$5:$D$14,0)))),""))</f>
        <v/>
      </c>
      <c r="T1993" s="13"/>
      <c r="U1993" s="13"/>
      <c r="V1993" s="13"/>
      <c r="W1993" s="13"/>
      <c r="X1993" s="22" t="str">
        <f aca="false">IF(Q1993="","",Q1993^2)</f>
        <v/>
      </c>
      <c r="Y1993" s="22" t="str">
        <f aca="false">IF(AND(C1993&lt;&gt;"",C1993=CERTIFICADO!$E$4,OR(CERTIFICADO!$E$5="",B1993=CERTIFICADO!$E$5)),MAX($Y$4:Y1992)+1,"")</f>
        <v/>
      </c>
    </row>
    <row r="1994" customFormat="false" ht="15" hidden="false" customHeight="false" outlineLevel="0" collapsed="false">
      <c r="A1994" s="11" t="str">
        <f aca="false">IF(C1994="","",ROW()-4)</f>
        <v/>
      </c>
      <c r="B1994" s="12"/>
      <c r="C1994" s="13"/>
      <c r="D1994" s="23" t="str">
        <f aca="false">IF(C1994="","",IFERROR(INDEX(LOTES!$D$5:$D$1004,MATCH(C1994,LOTES!$F$5:$F$1004,0)),"¿Lote?"))</f>
        <v/>
      </c>
      <c r="E1994" s="11" t="str">
        <f aca="false">IF(C1994="","",IFERROR(INDEX(LOTES!$C$5:$C$1004,MATCH(C1994,LOTES!$F$5:$F$1004,0)),""))</f>
        <v/>
      </c>
      <c r="F1994" s="24" t="str">
        <f aca="false">IF(C1994="","",IFERROR(INDEX(LOTES!$B$5:$B$1004,MATCH(C1994,LOTES!$F$5:$F$1004,0)),""))</f>
        <v/>
      </c>
      <c r="G1994" s="15" t="str">
        <f aca="false">IF(OR(B1994="",F1994=""),"",B1994-F1994)</f>
        <v/>
      </c>
      <c r="H1994" s="13"/>
      <c r="I1994" s="13"/>
      <c r="J1994" s="13"/>
      <c r="K1994" s="25"/>
      <c r="L1994" s="25"/>
      <c r="M1994" s="25"/>
      <c r="N1994" s="25"/>
      <c r="O1994" s="26"/>
      <c r="P1994" s="16" t="str">
        <f aca="false">IF(O1994="","",IFERROR(1/(1/(IF(K1994="",INDEX(CONFIG!$F$5:$F$14,MATCH(D1994,CONFIG!$D$5:$D$14,0)),K1994)*IF(M1994="",INDEX(CONFIG!$H$5:$H$14,MATCH(D1994,CONFIG!$D$5:$D$14,0)),M1994))),""))</f>
        <v/>
      </c>
      <c r="Q1994" s="16" t="str">
        <f aca="false">IF(OR(O1994="",P1994=""),"",O1994/P1994)</f>
        <v/>
      </c>
      <c r="R1994" s="16" t="str">
        <f aca="false">IF(Q1994="","",Q1994*0.0980665)</f>
        <v/>
      </c>
      <c r="S1994" s="16" t="str">
        <f aca="false">IF(Q1994="","",IFERROR(Q1994/(1/(1/INDEX(CONFIG!$I$5:$I$14,MATCH(D1994,CONFIG!$D$5:$D$14,0)))),""))</f>
        <v/>
      </c>
      <c r="T1994" s="13"/>
      <c r="U1994" s="13"/>
      <c r="V1994" s="13"/>
      <c r="W1994" s="13"/>
      <c r="X1994" s="22" t="str">
        <f aca="false">IF(Q1994="","",Q1994^2)</f>
        <v/>
      </c>
      <c r="Y1994" s="22" t="str">
        <f aca="false">IF(AND(C1994&lt;&gt;"",C1994=CERTIFICADO!$E$4,OR(CERTIFICADO!$E$5="",B1994=CERTIFICADO!$E$5)),MAX($Y$4:Y1993)+1,"")</f>
        <v/>
      </c>
    </row>
    <row r="1995" customFormat="false" ht="15" hidden="false" customHeight="false" outlineLevel="0" collapsed="false">
      <c r="A1995" s="11" t="str">
        <f aca="false">IF(C1995="","",ROW()-4)</f>
        <v/>
      </c>
      <c r="B1995" s="12"/>
      <c r="C1995" s="13"/>
      <c r="D1995" s="23" t="str">
        <f aca="false">IF(C1995="","",IFERROR(INDEX(LOTES!$D$5:$D$1004,MATCH(C1995,LOTES!$F$5:$F$1004,0)),"¿Lote?"))</f>
        <v/>
      </c>
      <c r="E1995" s="11" t="str">
        <f aca="false">IF(C1995="","",IFERROR(INDEX(LOTES!$C$5:$C$1004,MATCH(C1995,LOTES!$F$5:$F$1004,0)),""))</f>
        <v/>
      </c>
      <c r="F1995" s="24" t="str">
        <f aca="false">IF(C1995="","",IFERROR(INDEX(LOTES!$B$5:$B$1004,MATCH(C1995,LOTES!$F$5:$F$1004,0)),""))</f>
        <v/>
      </c>
      <c r="G1995" s="15" t="str">
        <f aca="false">IF(OR(B1995="",F1995=""),"",B1995-F1995)</f>
        <v/>
      </c>
      <c r="H1995" s="13"/>
      <c r="I1995" s="13"/>
      <c r="J1995" s="13"/>
      <c r="K1995" s="25"/>
      <c r="L1995" s="25"/>
      <c r="M1995" s="25"/>
      <c r="N1995" s="25"/>
      <c r="O1995" s="26"/>
      <c r="P1995" s="16" t="str">
        <f aca="false">IF(O1995="","",IFERROR(1/(1/(IF(K1995="",INDEX(CONFIG!$F$5:$F$14,MATCH(D1995,CONFIG!$D$5:$D$14,0)),K1995)*IF(M1995="",INDEX(CONFIG!$H$5:$H$14,MATCH(D1995,CONFIG!$D$5:$D$14,0)),M1995))),""))</f>
        <v/>
      </c>
      <c r="Q1995" s="16" t="str">
        <f aca="false">IF(OR(O1995="",P1995=""),"",O1995/P1995)</f>
        <v/>
      </c>
      <c r="R1995" s="16" t="str">
        <f aca="false">IF(Q1995="","",Q1995*0.0980665)</f>
        <v/>
      </c>
      <c r="S1995" s="16" t="str">
        <f aca="false">IF(Q1995="","",IFERROR(Q1995/(1/(1/INDEX(CONFIG!$I$5:$I$14,MATCH(D1995,CONFIG!$D$5:$D$14,0)))),""))</f>
        <v/>
      </c>
      <c r="T1995" s="13"/>
      <c r="U1995" s="13"/>
      <c r="V1995" s="13"/>
      <c r="W1995" s="13"/>
      <c r="X1995" s="22" t="str">
        <f aca="false">IF(Q1995="","",Q1995^2)</f>
        <v/>
      </c>
      <c r="Y1995" s="22" t="str">
        <f aca="false">IF(AND(C1995&lt;&gt;"",C1995=CERTIFICADO!$E$4,OR(CERTIFICADO!$E$5="",B1995=CERTIFICADO!$E$5)),MAX($Y$4:Y1994)+1,"")</f>
        <v/>
      </c>
    </row>
    <row r="1996" customFormat="false" ht="15" hidden="false" customHeight="false" outlineLevel="0" collapsed="false">
      <c r="A1996" s="11" t="str">
        <f aca="false">IF(C1996="","",ROW()-4)</f>
        <v/>
      </c>
      <c r="B1996" s="12"/>
      <c r="C1996" s="13"/>
      <c r="D1996" s="23" t="str">
        <f aca="false">IF(C1996="","",IFERROR(INDEX(LOTES!$D$5:$D$1004,MATCH(C1996,LOTES!$F$5:$F$1004,0)),"¿Lote?"))</f>
        <v/>
      </c>
      <c r="E1996" s="11" t="str">
        <f aca="false">IF(C1996="","",IFERROR(INDEX(LOTES!$C$5:$C$1004,MATCH(C1996,LOTES!$F$5:$F$1004,0)),""))</f>
        <v/>
      </c>
      <c r="F1996" s="24" t="str">
        <f aca="false">IF(C1996="","",IFERROR(INDEX(LOTES!$B$5:$B$1004,MATCH(C1996,LOTES!$F$5:$F$1004,0)),""))</f>
        <v/>
      </c>
      <c r="G1996" s="15" t="str">
        <f aca="false">IF(OR(B1996="",F1996=""),"",B1996-F1996)</f>
        <v/>
      </c>
      <c r="H1996" s="13"/>
      <c r="I1996" s="13"/>
      <c r="J1996" s="13"/>
      <c r="K1996" s="25"/>
      <c r="L1996" s="25"/>
      <c r="M1996" s="25"/>
      <c r="N1996" s="25"/>
      <c r="O1996" s="26"/>
      <c r="P1996" s="16" t="str">
        <f aca="false">IF(O1996="","",IFERROR(1/(1/(IF(K1996="",INDEX(CONFIG!$F$5:$F$14,MATCH(D1996,CONFIG!$D$5:$D$14,0)),K1996)*IF(M1996="",INDEX(CONFIG!$H$5:$H$14,MATCH(D1996,CONFIG!$D$5:$D$14,0)),M1996))),""))</f>
        <v/>
      </c>
      <c r="Q1996" s="16" t="str">
        <f aca="false">IF(OR(O1996="",P1996=""),"",O1996/P1996)</f>
        <v/>
      </c>
      <c r="R1996" s="16" t="str">
        <f aca="false">IF(Q1996="","",Q1996*0.0980665)</f>
        <v/>
      </c>
      <c r="S1996" s="16" t="str">
        <f aca="false">IF(Q1996="","",IFERROR(Q1996/(1/(1/INDEX(CONFIG!$I$5:$I$14,MATCH(D1996,CONFIG!$D$5:$D$14,0)))),""))</f>
        <v/>
      </c>
      <c r="T1996" s="13"/>
      <c r="U1996" s="13"/>
      <c r="V1996" s="13"/>
      <c r="W1996" s="13"/>
      <c r="X1996" s="22" t="str">
        <f aca="false">IF(Q1996="","",Q1996^2)</f>
        <v/>
      </c>
      <c r="Y1996" s="22" t="str">
        <f aca="false">IF(AND(C1996&lt;&gt;"",C1996=CERTIFICADO!$E$4,OR(CERTIFICADO!$E$5="",B1996=CERTIFICADO!$E$5)),MAX($Y$4:Y1995)+1,"")</f>
        <v/>
      </c>
    </row>
    <row r="1997" customFormat="false" ht="15" hidden="false" customHeight="false" outlineLevel="0" collapsed="false">
      <c r="A1997" s="11" t="str">
        <f aca="false">IF(C1997="","",ROW()-4)</f>
        <v/>
      </c>
      <c r="B1997" s="12"/>
      <c r="C1997" s="13"/>
      <c r="D1997" s="23" t="str">
        <f aca="false">IF(C1997="","",IFERROR(INDEX(LOTES!$D$5:$D$1004,MATCH(C1997,LOTES!$F$5:$F$1004,0)),"¿Lote?"))</f>
        <v/>
      </c>
      <c r="E1997" s="11" t="str">
        <f aca="false">IF(C1997="","",IFERROR(INDEX(LOTES!$C$5:$C$1004,MATCH(C1997,LOTES!$F$5:$F$1004,0)),""))</f>
        <v/>
      </c>
      <c r="F1997" s="24" t="str">
        <f aca="false">IF(C1997="","",IFERROR(INDEX(LOTES!$B$5:$B$1004,MATCH(C1997,LOTES!$F$5:$F$1004,0)),""))</f>
        <v/>
      </c>
      <c r="G1997" s="15" t="str">
        <f aca="false">IF(OR(B1997="",F1997=""),"",B1997-F1997)</f>
        <v/>
      </c>
      <c r="H1997" s="13"/>
      <c r="I1997" s="13"/>
      <c r="J1997" s="13"/>
      <c r="K1997" s="25"/>
      <c r="L1997" s="25"/>
      <c r="M1997" s="25"/>
      <c r="N1997" s="25"/>
      <c r="O1997" s="26"/>
      <c r="P1997" s="16" t="str">
        <f aca="false">IF(O1997="","",IFERROR(1/(1/(IF(K1997="",INDEX(CONFIG!$F$5:$F$14,MATCH(D1997,CONFIG!$D$5:$D$14,0)),K1997)*IF(M1997="",INDEX(CONFIG!$H$5:$H$14,MATCH(D1997,CONFIG!$D$5:$D$14,0)),M1997))),""))</f>
        <v/>
      </c>
      <c r="Q1997" s="16" t="str">
        <f aca="false">IF(OR(O1997="",P1997=""),"",O1997/P1997)</f>
        <v/>
      </c>
      <c r="R1997" s="16" t="str">
        <f aca="false">IF(Q1997="","",Q1997*0.0980665)</f>
        <v/>
      </c>
      <c r="S1997" s="16" t="str">
        <f aca="false">IF(Q1997="","",IFERROR(Q1997/(1/(1/INDEX(CONFIG!$I$5:$I$14,MATCH(D1997,CONFIG!$D$5:$D$14,0)))),""))</f>
        <v/>
      </c>
      <c r="T1997" s="13"/>
      <c r="U1997" s="13"/>
      <c r="V1997" s="13"/>
      <c r="W1997" s="13"/>
      <c r="X1997" s="22" t="str">
        <f aca="false">IF(Q1997="","",Q1997^2)</f>
        <v/>
      </c>
      <c r="Y1997" s="22" t="str">
        <f aca="false">IF(AND(C1997&lt;&gt;"",C1997=CERTIFICADO!$E$4,OR(CERTIFICADO!$E$5="",B1997=CERTIFICADO!$E$5)),MAX($Y$4:Y1996)+1,"")</f>
        <v/>
      </c>
    </row>
    <row r="1998" customFormat="false" ht="15" hidden="false" customHeight="false" outlineLevel="0" collapsed="false">
      <c r="A1998" s="11" t="str">
        <f aca="false">IF(C1998="","",ROW()-4)</f>
        <v/>
      </c>
      <c r="B1998" s="12"/>
      <c r="C1998" s="13"/>
      <c r="D1998" s="23" t="str">
        <f aca="false">IF(C1998="","",IFERROR(INDEX(LOTES!$D$5:$D$1004,MATCH(C1998,LOTES!$F$5:$F$1004,0)),"¿Lote?"))</f>
        <v/>
      </c>
      <c r="E1998" s="11" t="str">
        <f aca="false">IF(C1998="","",IFERROR(INDEX(LOTES!$C$5:$C$1004,MATCH(C1998,LOTES!$F$5:$F$1004,0)),""))</f>
        <v/>
      </c>
      <c r="F1998" s="24" t="str">
        <f aca="false">IF(C1998="","",IFERROR(INDEX(LOTES!$B$5:$B$1004,MATCH(C1998,LOTES!$F$5:$F$1004,0)),""))</f>
        <v/>
      </c>
      <c r="G1998" s="15" t="str">
        <f aca="false">IF(OR(B1998="",F1998=""),"",B1998-F1998)</f>
        <v/>
      </c>
      <c r="H1998" s="13"/>
      <c r="I1998" s="13"/>
      <c r="J1998" s="13"/>
      <c r="K1998" s="25"/>
      <c r="L1998" s="25"/>
      <c r="M1998" s="25"/>
      <c r="N1998" s="25"/>
      <c r="O1998" s="26"/>
      <c r="P1998" s="16" t="str">
        <f aca="false">IF(O1998="","",IFERROR(1/(1/(IF(K1998="",INDEX(CONFIG!$F$5:$F$14,MATCH(D1998,CONFIG!$D$5:$D$14,0)),K1998)*IF(M1998="",INDEX(CONFIG!$H$5:$H$14,MATCH(D1998,CONFIG!$D$5:$D$14,0)),M1998))),""))</f>
        <v/>
      </c>
      <c r="Q1998" s="16" t="str">
        <f aca="false">IF(OR(O1998="",P1998=""),"",O1998/P1998)</f>
        <v/>
      </c>
      <c r="R1998" s="16" t="str">
        <f aca="false">IF(Q1998="","",Q1998*0.0980665)</f>
        <v/>
      </c>
      <c r="S1998" s="16" t="str">
        <f aca="false">IF(Q1998="","",IFERROR(Q1998/(1/(1/INDEX(CONFIG!$I$5:$I$14,MATCH(D1998,CONFIG!$D$5:$D$14,0)))),""))</f>
        <v/>
      </c>
      <c r="T1998" s="13"/>
      <c r="U1998" s="13"/>
      <c r="V1998" s="13"/>
      <c r="W1998" s="13"/>
      <c r="X1998" s="22" t="str">
        <f aca="false">IF(Q1998="","",Q1998^2)</f>
        <v/>
      </c>
      <c r="Y1998" s="22" t="str">
        <f aca="false">IF(AND(C1998&lt;&gt;"",C1998=CERTIFICADO!$E$4,OR(CERTIFICADO!$E$5="",B1998=CERTIFICADO!$E$5)),MAX($Y$4:Y1997)+1,"")</f>
        <v/>
      </c>
    </row>
    <row r="1999" customFormat="false" ht="15" hidden="false" customHeight="false" outlineLevel="0" collapsed="false">
      <c r="A1999" s="11" t="str">
        <f aca="false">IF(C1999="","",ROW()-4)</f>
        <v/>
      </c>
      <c r="B1999" s="12"/>
      <c r="C1999" s="13"/>
      <c r="D1999" s="23" t="str">
        <f aca="false">IF(C1999="","",IFERROR(INDEX(LOTES!$D$5:$D$1004,MATCH(C1999,LOTES!$F$5:$F$1004,0)),"¿Lote?"))</f>
        <v/>
      </c>
      <c r="E1999" s="11" t="str">
        <f aca="false">IF(C1999="","",IFERROR(INDEX(LOTES!$C$5:$C$1004,MATCH(C1999,LOTES!$F$5:$F$1004,0)),""))</f>
        <v/>
      </c>
      <c r="F1999" s="24" t="str">
        <f aca="false">IF(C1999="","",IFERROR(INDEX(LOTES!$B$5:$B$1004,MATCH(C1999,LOTES!$F$5:$F$1004,0)),""))</f>
        <v/>
      </c>
      <c r="G1999" s="15" t="str">
        <f aca="false">IF(OR(B1999="",F1999=""),"",B1999-F1999)</f>
        <v/>
      </c>
      <c r="H1999" s="13"/>
      <c r="I1999" s="13"/>
      <c r="J1999" s="13"/>
      <c r="K1999" s="25"/>
      <c r="L1999" s="25"/>
      <c r="M1999" s="25"/>
      <c r="N1999" s="25"/>
      <c r="O1999" s="26"/>
      <c r="P1999" s="16" t="str">
        <f aca="false">IF(O1999="","",IFERROR(1/(1/(IF(K1999="",INDEX(CONFIG!$F$5:$F$14,MATCH(D1999,CONFIG!$D$5:$D$14,0)),K1999)*IF(M1999="",INDEX(CONFIG!$H$5:$H$14,MATCH(D1999,CONFIG!$D$5:$D$14,0)),M1999))),""))</f>
        <v/>
      </c>
      <c r="Q1999" s="16" t="str">
        <f aca="false">IF(OR(O1999="",P1999=""),"",O1999/P1999)</f>
        <v/>
      </c>
      <c r="R1999" s="16" t="str">
        <f aca="false">IF(Q1999="","",Q1999*0.0980665)</f>
        <v/>
      </c>
      <c r="S1999" s="16" t="str">
        <f aca="false">IF(Q1999="","",IFERROR(Q1999/(1/(1/INDEX(CONFIG!$I$5:$I$14,MATCH(D1999,CONFIG!$D$5:$D$14,0)))),""))</f>
        <v/>
      </c>
      <c r="T1999" s="13"/>
      <c r="U1999" s="13"/>
      <c r="V1999" s="13"/>
      <c r="W1999" s="13"/>
      <c r="X1999" s="22" t="str">
        <f aca="false">IF(Q1999="","",Q1999^2)</f>
        <v/>
      </c>
      <c r="Y1999" s="22" t="str">
        <f aca="false">IF(AND(C1999&lt;&gt;"",C1999=CERTIFICADO!$E$4,OR(CERTIFICADO!$E$5="",B1999=CERTIFICADO!$E$5)),MAX($Y$4:Y1998)+1,"")</f>
        <v/>
      </c>
    </row>
    <row r="2000" customFormat="false" ht="15" hidden="false" customHeight="false" outlineLevel="0" collapsed="false">
      <c r="A2000" s="11" t="str">
        <f aca="false">IF(C2000="","",ROW()-4)</f>
        <v/>
      </c>
      <c r="B2000" s="12"/>
      <c r="C2000" s="13"/>
      <c r="D2000" s="23" t="str">
        <f aca="false">IF(C2000="","",IFERROR(INDEX(LOTES!$D$5:$D$1004,MATCH(C2000,LOTES!$F$5:$F$1004,0)),"¿Lote?"))</f>
        <v/>
      </c>
      <c r="E2000" s="11" t="str">
        <f aca="false">IF(C2000="","",IFERROR(INDEX(LOTES!$C$5:$C$1004,MATCH(C2000,LOTES!$F$5:$F$1004,0)),""))</f>
        <v/>
      </c>
      <c r="F2000" s="24" t="str">
        <f aca="false">IF(C2000="","",IFERROR(INDEX(LOTES!$B$5:$B$1004,MATCH(C2000,LOTES!$F$5:$F$1004,0)),""))</f>
        <v/>
      </c>
      <c r="G2000" s="15" t="str">
        <f aca="false">IF(OR(B2000="",F2000=""),"",B2000-F2000)</f>
        <v/>
      </c>
      <c r="H2000" s="13"/>
      <c r="I2000" s="13"/>
      <c r="J2000" s="13"/>
      <c r="K2000" s="25"/>
      <c r="L2000" s="25"/>
      <c r="M2000" s="25"/>
      <c r="N2000" s="25"/>
      <c r="O2000" s="26"/>
      <c r="P2000" s="16" t="str">
        <f aca="false">IF(O2000="","",IFERROR(1/(1/(IF(K2000="",INDEX(CONFIG!$F$5:$F$14,MATCH(D2000,CONFIG!$D$5:$D$14,0)),K2000)*IF(M2000="",INDEX(CONFIG!$H$5:$H$14,MATCH(D2000,CONFIG!$D$5:$D$14,0)),M2000))),""))</f>
        <v/>
      </c>
      <c r="Q2000" s="16" t="str">
        <f aca="false">IF(OR(O2000="",P2000=""),"",O2000/P2000)</f>
        <v/>
      </c>
      <c r="R2000" s="16" t="str">
        <f aca="false">IF(Q2000="","",Q2000*0.0980665)</f>
        <v/>
      </c>
      <c r="S2000" s="16" t="str">
        <f aca="false">IF(Q2000="","",IFERROR(Q2000/(1/(1/INDEX(CONFIG!$I$5:$I$14,MATCH(D2000,CONFIG!$D$5:$D$14,0)))),""))</f>
        <v/>
      </c>
      <c r="T2000" s="13"/>
      <c r="U2000" s="13"/>
      <c r="V2000" s="13"/>
      <c r="W2000" s="13"/>
      <c r="X2000" s="22" t="str">
        <f aca="false">IF(Q2000="","",Q2000^2)</f>
        <v/>
      </c>
      <c r="Y2000" s="22" t="str">
        <f aca="false">IF(AND(C2000&lt;&gt;"",C2000=CERTIFICADO!$E$4,OR(CERTIFICADO!$E$5="",B2000=CERTIFICADO!$E$5)),MAX($Y$4:Y1999)+1,"")</f>
        <v/>
      </c>
    </row>
    <row r="2001" customFormat="false" ht="15" hidden="false" customHeight="false" outlineLevel="0" collapsed="false">
      <c r="A2001" s="11" t="str">
        <f aca="false">IF(C2001="","",ROW()-4)</f>
        <v/>
      </c>
      <c r="B2001" s="12"/>
      <c r="C2001" s="13"/>
      <c r="D2001" s="23" t="str">
        <f aca="false">IF(C2001="","",IFERROR(INDEX(LOTES!$D$5:$D$1004,MATCH(C2001,LOTES!$F$5:$F$1004,0)),"¿Lote?"))</f>
        <v/>
      </c>
      <c r="E2001" s="11" t="str">
        <f aca="false">IF(C2001="","",IFERROR(INDEX(LOTES!$C$5:$C$1004,MATCH(C2001,LOTES!$F$5:$F$1004,0)),""))</f>
        <v/>
      </c>
      <c r="F2001" s="24" t="str">
        <f aca="false">IF(C2001="","",IFERROR(INDEX(LOTES!$B$5:$B$1004,MATCH(C2001,LOTES!$F$5:$F$1004,0)),""))</f>
        <v/>
      </c>
      <c r="G2001" s="15" t="str">
        <f aca="false">IF(OR(B2001="",F2001=""),"",B2001-F2001)</f>
        <v/>
      </c>
      <c r="H2001" s="13"/>
      <c r="I2001" s="13"/>
      <c r="J2001" s="13"/>
      <c r="K2001" s="25"/>
      <c r="L2001" s="25"/>
      <c r="M2001" s="25"/>
      <c r="N2001" s="25"/>
      <c r="O2001" s="26"/>
      <c r="P2001" s="16" t="str">
        <f aca="false">IF(O2001="","",IFERROR(1/(1/(IF(K2001="",INDEX(CONFIG!$F$5:$F$14,MATCH(D2001,CONFIG!$D$5:$D$14,0)),K2001)*IF(M2001="",INDEX(CONFIG!$H$5:$H$14,MATCH(D2001,CONFIG!$D$5:$D$14,0)),M2001))),""))</f>
        <v/>
      </c>
      <c r="Q2001" s="16" t="str">
        <f aca="false">IF(OR(O2001="",P2001=""),"",O2001/P2001)</f>
        <v/>
      </c>
      <c r="R2001" s="16" t="str">
        <f aca="false">IF(Q2001="","",Q2001*0.0980665)</f>
        <v/>
      </c>
      <c r="S2001" s="16" t="str">
        <f aca="false">IF(Q2001="","",IFERROR(Q2001/(1/(1/INDEX(CONFIG!$I$5:$I$14,MATCH(D2001,CONFIG!$D$5:$D$14,0)))),""))</f>
        <v/>
      </c>
      <c r="T2001" s="13"/>
      <c r="U2001" s="13"/>
      <c r="V2001" s="13"/>
      <c r="W2001" s="13"/>
      <c r="X2001" s="22" t="str">
        <f aca="false">IF(Q2001="","",Q2001^2)</f>
        <v/>
      </c>
      <c r="Y2001" s="22" t="str">
        <f aca="false">IF(AND(C2001&lt;&gt;"",C2001=CERTIFICADO!$E$4,OR(CERTIFICADO!$E$5="",B2001=CERTIFICADO!$E$5)),MAX($Y$4:Y2000)+1,"")</f>
        <v/>
      </c>
    </row>
    <row r="2002" customFormat="false" ht="15" hidden="false" customHeight="false" outlineLevel="0" collapsed="false">
      <c r="A2002" s="11" t="str">
        <f aca="false">IF(C2002="","",ROW()-4)</f>
        <v/>
      </c>
      <c r="B2002" s="12"/>
      <c r="C2002" s="13"/>
      <c r="D2002" s="23" t="str">
        <f aca="false">IF(C2002="","",IFERROR(INDEX(LOTES!$D$5:$D$1004,MATCH(C2002,LOTES!$F$5:$F$1004,0)),"¿Lote?"))</f>
        <v/>
      </c>
      <c r="E2002" s="11" t="str">
        <f aca="false">IF(C2002="","",IFERROR(INDEX(LOTES!$C$5:$C$1004,MATCH(C2002,LOTES!$F$5:$F$1004,0)),""))</f>
        <v/>
      </c>
      <c r="F2002" s="24" t="str">
        <f aca="false">IF(C2002="","",IFERROR(INDEX(LOTES!$B$5:$B$1004,MATCH(C2002,LOTES!$F$5:$F$1004,0)),""))</f>
        <v/>
      </c>
      <c r="G2002" s="15" t="str">
        <f aca="false">IF(OR(B2002="",F2002=""),"",B2002-F2002)</f>
        <v/>
      </c>
      <c r="H2002" s="13"/>
      <c r="I2002" s="13"/>
      <c r="J2002" s="13"/>
      <c r="K2002" s="25"/>
      <c r="L2002" s="25"/>
      <c r="M2002" s="25"/>
      <c r="N2002" s="25"/>
      <c r="O2002" s="26"/>
      <c r="P2002" s="16" t="str">
        <f aca="false">IF(O2002="","",IFERROR(1/(1/(IF(K2002="",INDEX(CONFIG!$F$5:$F$14,MATCH(D2002,CONFIG!$D$5:$D$14,0)),K2002)*IF(M2002="",INDEX(CONFIG!$H$5:$H$14,MATCH(D2002,CONFIG!$D$5:$D$14,0)),M2002))),""))</f>
        <v/>
      </c>
      <c r="Q2002" s="16" t="str">
        <f aca="false">IF(OR(O2002="",P2002=""),"",O2002/P2002)</f>
        <v/>
      </c>
      <c r="R2002" s="16" t="str">
        <f aca="false">IF(Q2002="","",Q2002*0.0980665)</f>
        <v/>
      </c>
      <c r="S2002" s="16" t="str">
        <f aca="false">IF(Q2002="","",IFERROR(Q2002/(1/(1/INDEX(CONFIG!$I$5:$I$14,MATCH(D2002,CONFIG!$D$5:$D$14,0)))),""))</f>
        <v/>
      </c>
      <c r="T2002" s="13"/>
      <c r="U2002" s="13"/>
      <c r="V2002" s="13"/>
      <c r="W2002" s="13"/>
      <c r="X2002" s="22" t="str">
        <f aca="false">IF(Q2002="","",Q2002^2)</f>
        <v/>
      </c>
      <c r="Y2002" s="22" t="str">
        <f aca="false">IF(AND(C2002&lt;&gt;"",C2002=CERTIFICADO!$E$4,OR(CERTIFICADO!$E$5="",B2002=CERTIFICADO!$E$5)),MAX($Y$4:Y2001)+1,"")</f>
        <v/>
      </c>
    </row>
    <row r="2003" customFormat="false" ht="15" hidden="false" customHeight="false" outlineLevel="0" collapsed="false">
      <c r="A2003" s="11" t="str">
        <f aca="false">IF(C2003="","",ROW()-4)</f>
        <v/>
      </c>
      <c r="B2003" s="12"/>
      <c r="C2003" s="13"/>
      <c r="D2003" s="23" t="str">
        <f aca="false">IF(C2003="","",IFERROR(INDEX(LOTES!$D$5:$D$1004,MATCH(C2003,LOTES!$F$5:$F$1004,0)),"¿Lote?"))</f>
        <v/>
      </c>
      <c r="E2003" s="11" t="str">
        <f aca="false">IF(C2003="","",IFERROR(INDEX(LOTES!$C$5:$C$1004,MATCH(C2003,LOTES!$F$5:$F$1004,0)),""))</f>
        <v/>
      </c>
      <c r="F2003" s="24" t="str">
        <f aca="false">IF(C2003="","",IFERROR(INDEX(LOTES!$B$5:$B$1004,MATCH(C2003,LOTES!$F$5:$F$1004,0)),""))</f>
        <v/>
      </c>
      <c r="G2003" s="15" t="str">
        <f aca="false">IF(OR(B2003="",F2003=""),"",B2003-F2003)</f>
        <v/>
      </c>
      <c r="H2003" s="13"/>
      <c r="I2003" s="13"/>
      <c r="J2003" s="13"/>
      <c r="K2003" s="25"/>
      <c r="L2003" s="25"/>
      <c r="M2003" s="25"/>
      <c r="N2003" s="25"/>
      <c r="O2003" s="26"/>
      <c r="P2003" s="16" t="str">
        <f aca="false">IF(O2003="","",IFERROR(1/(1/(IF(K2003="",INDEX(CONFIG!$F$5:$F$14,MATCH(D2003,CONFIG!$D$5:$D$14,0)),K2003)*IF(M2003="",INDEX(CONFIG!$H$5:$H$14,MATCH(D2003,CONFIG!$D$5:$D$14,0)),M2003))),""))</f>
        <v/>
      </c>
      <c r="Q2003" s="16" t="str">
        <f aca="false">IF(OR(O2003="",P2003=""),"",O2003/P2003)</f>
        <v/>
      </c>
      <c r="R2003" s="16" t="str">
        <f aca="false">IF(Q2003="","",Q2003*0.0980665)</f>
        <v/>
      </c>
      <c r="S2003" s="16" t="str">
        <f aca="false">IF(Q2003="","",IFERROR(Q2003/(1/(1/INDEX(CONFIG!$I$5:$I$14,MATCH(D2003,CONFIG!$D$5:$D$14,0)))),""))</f>
        <v/>
      </c>
      <c r="T2003" s="13"/>
      <c r="U2003" s="13"/>
      <c r="V2003" s="13"/>
      <c r="W2003" s="13"/>
      <c r="X2003" s="22" t="str">
        <f aca="false">IF(Q2003="","",Q2003^2)</f>
        <v/>
      </c>
      <c r="Y2003" s="22" t="str">
        <f aca="false">IF(AND(C2003&lt;&gt;"",C2003=CERTIFICADO!$E$4,OR(CERTIFICADO!$E$5="",B2003=CERTIFICADO!$E$5)),MAX($Y$4:Y2002)+1,"")</f>
        <v/>
      </c>
    </row>
    <row r="2004" customFormat="false" ht="15" hidden="false" customHeight="false" outlineLevel="0" collapsed="false">
      <c r="A2004" s="11" t="str">
        <f aca="false">IF(C2004="","",ROW()-4)</f>
        <v/>
      </c>
      <c r="B2004" s="12"/>
      <c r="C2004" s="13"/>
      <c r="D2004" s="23" t="str">
        <f aca="false">IF(C2004="","",IFERROR(INDEX(LOTES!$D$5:$D$1004,MATCH(C2004,LOTES!$F$5:$F$1004,0)),"¿Lote?"))</f>
        <v/>
      </c>
      <c r="E2004" s="11" t="str">
        <f aca="false">IF(C2004="","",IFERROR(INDEX(LOTES!$C$5:$C$1004,MATCH(C2004,LOTES!$F$5:$F$1004,0)),""))</f>
        <v/>
      </c>
      <c r="F2004" s="24" t="str">
        <f aca="false">IF(C2004="","",IFERROR(INDEX(LOTES!$B$5:$B$1004,MATCH(C2004,LOTES!$F$5:$F$1004,0)),""))</f>
        <v/>
      </c>
      <c r="G2004" s="15" t="str">
        <f aca="false">IF(OR(B2004="",F2004=""),"",B2004-F2004)</f>
        <v/>
      </c>
      <c r="H2004" s="13"/>
      <c r="I2004" s="13"/>
      <c r="J2004" s="13"/>
      <c r="K2004" s="25"/>
      <c r="L2004" s="25"/>
      <c r="M2004" s="25"/>
      <c r="N2004" s="25"/>
      <c r="O2004" s="26"/>
      <c r="P2004" s="16" t="str">
        <f aca="false">IF(O2004="","",IFERROR(1/(1/(IF(K2004="",INDEX(CONFIG!$F$5:$F$14,MATCH(D2004,CONFIG!$D$5:$D$14,0)),K2004)*IF(M2004="",INDEX(CONFIG!$H$5:$H$14,MATCH(D2004,CONFIG!$D$5:$D$14,0)),M2004))),""))</f>
        <v/>
      </c>
      <c r="Q2004" s="16" t="str">
        <f aca="false">IF(OR(O2004="",P2004=""),"",O2004/P2004)</f>
        <v/>
      </c>
      <c r="R2004" s="16" t="str">
        <f aca="false">IF(Q2004="","",Q2004*0.0980665)</f>
        <v/>
      </c>
      <c r="S2004" s="16" t="str">
        <f aca="false">IF(Q2004="","",IFERROR(Q2004/(1/(1/INDEX(CONFIG!$I$5:$I$14,MATCH(D2004,CONFIG!$D$5:$D$14,0)))),""))</f>
        <v/>
      </c>
      <c r="T2004" s="13"/>
      <c r="U2004" s="13"/>
      <c r="V2004" s="13"/>
      <c r="W2004" s="13"/>
      <c r="X2004" s="22" t="str">
        <f aca="false">IF(Q2004="","",Q2004^2)</f>
        <v/>
      </c>
      <c r="Y2004" s="22" t="str">
        <f aca="false">IF(AND(C2004&lt;&gt;"",C2004=CERTIFICADO!$E$4,OR(CERTIFICADO!$E$5="",B2004=CERTIFICADO!$E$5)),MAX($Y$4:Y2003)+1,"")</f>
        <v/>
      </c>
    </row>
    <row r="2005" customFormat="false" ht="15" hidden="false" customHeight="false" outlineLevel="0" collapsed="false">
      <c r="A2005" s="11" t="str">
        <f aca="false">IF(C2005="","",ROW()-4)</f>
        <v/>
      </c>
      <c r="B2005" s="12"/>
      <c r="C2005" s="13"/>
      <c r="D2005" s="23" t="str">
        <f aca="false">IF(C2005="","",IFERROR(INDEX(LOTES!$D$5:$D$1004,MATCH(C2005,LOTES!$F$5:$F$1004,0)),"¿Lote?"))</f>
        <v/>
      </c>
      <c r="E2005" s="11" t="str">
        <f aca="false">IF(C2005="","",IFERROR(INDEX(LOTES!$C$5:$C$1004,MATCH(C2005,LOTES!$F$5:$F$1004,0)),""))</f>
        <v/>
      </c>
      <c r="F2005" s="24" t="str">
        <f aca="false">IF(C2005="","",IFERROR(INDEX(LOTES!$B$5:$B$1004,MATCH(C2005,LOTES!$F$5:$F$1004,0)),""))</f>
        <v/>
      </c>
      <c r="G2005" s="15" t="str">
        <f aca="false">IF(OR(B2005="",F2005=""),"",B2005-F2005)</f>
        <v/>
      </c>
      <c r="H2005" s="13"/>
      <c r="I2005" s="13"/>
      <c r="J2005" s="13"/>
      <c r="K2005" s="25"/>
      <c r="L2005" s="25"/>
      <c r="M2005" s="25"/>
      <c r="N2005" s="25"/>
      <c r="O2005" s="26"/>
      <c r="P2005" s="16" t="str">
        <f aca="false">IF(O2005="","",IFERROR(1/(1/(IF(K2005="",INDEX(CONFIG!$F$5:$F$14,MATCH(D2005,CONFIG!$D$5:$D$14,0)),K2005)*IF(M2005="",INDEX(CONFIG!$H$5:$H$14,MATCH(D2005,CONFIG!$D$5:$D$14,0)),M2005))),""))</f>
        <v/>
      </c>
      <c r="Q2005" s="16" t="str">
        <f aca="false">IF(OR(O2005="",P2005=""),"",O2005/P2005)</f>
        <v/>
      </c>
      <c r="R2005" s="16" t="str">
        <f aca="false">IF(Q2005="","",Q2005*0.0980665)</f>
        <v/>
      </c>
      <c r="S2005" s="16" t="str">
        <f aca="false">IF(Q2005="","",IFERROR(Q2005/(1/(1/INDEX(CONFIG!$I$5:$I$14,MATCH(D2005,CONFIG!$D$5:$D$14,0)))),""))</f>
        <v/>
      </c>
      <c r="T2005" s="13"/>
      <c r="U2005" s="13"/>
      <c r="V2005" s="13"/>
      <c r="W2005" s="13"/>
      <c r="X2005" s="22" t="str">
        <f aca="false">IF(Q2005="","",Q2005^2)</f>
        <v/>
      </c>
      <c r="Y2005" s="22" t="str">
        <f aca="false">IF(AND(C2005&lt;&gt;"",C2005=CERTIFICADO!$E$4,OR(CERTIFICADO!$E$5="",B2005=CERTIFICADO!$E$5)),MAX($Y$4:Y2004)+1,"")</f>
        <v/>
      </c>
    </row>
    <row r="2006" customFormat="false" ht="15" hidden="false" customHeight="false" outlineLevel="0" collapsed="false">
      <c r="A2006" s="11" t="str">
        <f aca="false">IF(C2006="","",ROW()-4)</f>
        <v/>
      </c>
      <c r="B2006" s="12"/>
      <c r="C2006" s="13"/>
      <c r="D2006" s="23" t="str">
        <f aca="false">IF(C2006="","",IFERROR(INDEX(LOTES!$D$5:$D$1004,MATCH(C2006,LOTES!$F$5:$F$1004,0)),"¿Lote?"))</f>
        <v/>
      </c>
      <c r="E2006" s="11" t="str">
        <f aca="false">IF(C2006="","",IFERROR(INDEX(LOTES!$C$5:$C$1004,MATCH(C2006,LOTES!$F$5:$F$1004,0)),""))</f>
        <v/>
      </c>
      <c r="F2006" s="24" t="str">
        <f aca="false">IF(C2006="","",IFERROR(INDEX(LOTES!$B$5:$B$1004,MATCH(C2006,LOTES!$F$5:$F$1004,0)),""))</f>
        <v/>
      </c>
      <c r="G2006" s="15" t="str">
        <f aca="false">IF(OR(B2006="",F2006=""),"",B2006-F2006)</f>
        <v/>
      </c>
      <c r="H2006" s="13"/>
      <c r="I2006" s="13"/>
      <c r="J2006" s="13"/>
      <c r="K2006" s="25"/>
      <c r="L2006" s="25"/>
      <c r="M2006" s="25"/>
      <c r="N2006" s="25"/>
      <c r="O2006" s="26"/>
      <c r="P2006" s="16" t="str">
        <f aca="false">IF(O2006="","",IFERROR(1/(1/(IF(K2006="",INDEX(CONFIG!$F$5:$F$14,MATCH(D2006,CONFIG!$D$5:$D$14,0)),K2006)*IF(M2006="",INDEX(CONFIG!$H$5:$H$14,MATCH(D2006,CONFIG!$D$5:$D$14,0)),M2006))),""))</f>
        <v/>
      </c>
      <c r="Q2006" s="16" t="str">
        <f aca="false">IF(OR(O2006="",P2006=""),"",O2006/P2006)</f>
        <v/>
      </c>
      <c r="R2006" s="16" t="str">
        <f aca="false">IF(Q2006="","",Q2006*0.0980665)</f>
        <v/>
      </c>
      <c r="S2006" s="16" t="str">
        <f aca="false">IF(Q2006="","",IFERROR(Q2006/(1/(1/INDEX(CONFIG!$I$5:$I$14,MATCH(D2006,CONFIG!$D$5:$D$14,0)))),""))</f>
        <v/>
      </c>
      <c r="T2006" s="13"/>
      <c r="U2006" s="13"/>
      <c r="V2006" s="13"/>
      <c r="W2006" s="13"/>
      <c r="X2006" s="22" t="str">
        <f aca="false">IF(Q2006="","",Q2006^2)</f>
        <v/>
      </c>
      <c r="Y2006" s="22" t="str">
        <f aca="false">IF(AND(C2006&lt;&gt;"",C2006=CERTIFICADO!$E$4,OR(CERTIFICADO!$E$5="",B2006=CERTIFICADO!$E$5)),MAX($Y$4:Y2005)+1,"")</f>
        <v/>
      </c>
    </row>
    <row r="2007" customFormat="false" ht="15" hidden="false" customHeight="false" outlineLevel="0" collapsed="false">
      <c r="A2007" s="11" t="str">
        <f aca="false">IF(C2007="","",ROW()-4)</f>
        <v/>
      </c>
      <c r="B2007" s="12"/>
      <c r="C2007" s="13"/>
      <c r="D2007" s="23" t="str">
        <f aca="false">IF(C2007="","",IFERROR(INDEX(LOTES!$D$5:$D$1004,MATCH(C2007,LOTES!$F$5:$F$1004,0)),"¿Lote?"))</f>
        <v/>
      </c>
      <c r="E2007" s="11" t="str">
        <f aca="false">IF(C2007="","",IFERROR(INDEX(LOTES!$C$5:$C$1004,MATCH(C2007,LOTES!$F$5:$F$1004,0)),""))</f>
        <v/>
      </c>
      <c r="F2007" s="24" t="str">
        <f aca="false">IF(C2007="","",IFERROR(INDEX(LOTES!$B$5:$B$1004,MATCH(C2007,LOTES!$F$5:$F$1004,0)),""))</f>
        <v/>
      </c>
      <c r="G2007" s="15" t="str">
        <f aca="false">IF(OR(B2007="",F2007=""),"",B2007-F2007)</f>
        <v/>
      </c>
      <c r="H2007" s="13"/>
      <c r="I2007" s="13"/>
      <c r="J2007" s="13"/>
      <c r="K2007" s="25"/>
      <c r="L2007" s="25"/>
      <c r="M2007" s="25"/>
      <c r="N2007" s="25"/>
      <c r="O2007" s="26"/>
      <c r="P2007" s="16" t="str">
        <f aca="false">IF(O2007="","",IFERROR(1/(1/(IF(K2007="",INDEX(CONFIG!$F$5:$F$14,MATCH(D2007,CONFIG!$D$5:$D$14,0)),K2007)*IF(M2007="",INDEX(CONFIG!$H$5:$H$14,MATCH(D2007,CONFIG!$D$5:$D$14,0)),M2007))),""))</f>
        <v/>
      </c>
      <c r="Q2007" s="16" t="str">
        <f aca="false">IF(OR(O2007="",P2007=""),"",O2007/P2007)</f>
        <v/>
      </c>
      <c r="R2007" s="16" t="str">
        <f aca="false">IF(Q2007="","",Q2007*0.0980665)</f>
        <v/>
      </c>
      <c r="S2007" s="16" t="str">
        <f aca="false">IF(Q2007="","",IFERROR(Q2007/(1/(1/INDEX(CONFIG!$I$5:$I$14,MATCH(D2007,CONFIG!$D$5:$D$14,0)))),""))</f>
        <v/>
      </c>
      <c r="T2007" s="13"/>
      <c r="U2007" s="13"/>
      <c r="V2007" s="13"/>
      <c r="W2007" s="13"/>
      <c r="X2007" s="22" t="str">
        <f aca="false">IF(Q2007="","",Q2007^2)</f>
        <v/>
      </c>
      <c r="Y2007" s="22" t="str">
        <f aca="false">IF(AND(C2007&lt;&gt;"",C2007=CERTIFICADO!$E$4,OR(CERTIFICADO!$E$5="",B2007=CERTIFICADO!$E$5)),MAX($Y$4:Y2006)+1,"")</f>
        <v/>
      </c>
    </row>
    <row r="2008" customFormat="false" ht="15" hidden="false" customHeight="false" outlineLevel="0" collapsed="false">
      <c r="A2008" s="11" t="str">
        <f aca="false">IF(C2008="","",ROW()-4)</f>
        <v/>
      </c>
      <c r="B2008" s="12"/>
      <c r="C2008" s="13"/>
      <c r="D2008" s="23" t="str">
        <f aca="false">IF(C2008="","",IFERROR(INDEX(LOTES!$D$5:$D$1004,MATCH(C2008,LOTES!$F$5:$F$1004,0)),"¿Lote?"))</f>
        <v/>
      </c>
      <c r="E2008" s="11" t="str">
        <f aca="false">IF(C2008="","",IFERROR(INDEX(LOTES!$C$5:$C$1004,MATCH(C2008,LOTES!$F$5:$F$1004,0)),""))</f>
        <v/>
      </c>
      <c r="F2008" s="24" t="str">
        <f aca="false">IF(C2008="","",IFERROR(INDEX(LOTES!$B$5:$B$1004,MATCH(C2008,LOTES!$F$5:$F$1004,0)),""))</f>
        <v/>
      </c>
      <c r="G2008" s="15" t="str">
        <f aca="false">IF(OR(B2008="",F2008=""),"",B2008-F2008)</f>
        <v/>
      </c>
      <c r="H2008" s="13"/>
      <c r="I2008" s="13"/>
      <c r="J2008" s="13"/>
      <c r="K2008" s="25"/>
      <c r="L2008" s="25"/>
      <c r="M2008" s="25"/>
      <c r="N2008" s="25"/>
      <c r="O2008" s="26"/>
      <c r="P2008" s="16" t="str">
        <f aca="false">IF(O2008="","",IFERROR(1/(1/(IF(K2008="",INDEX(CONFIG!$F$5:$F$14,MATCH(D2008,CONFIG!$D$5:$D$14,0)),K2008)*IF(M2008="",INDEX(CONFIG!$H$5:$H$14,MATCH(D2008,CONFIG!$D$5:$D$14,0)),M2008))),""))</f>
        <v/>
      </c>
      <c r="Q2008" s="16" t="str">
        <f aca="false">IF(OR(O2008="",P2008=""),"",O2008/P2008)</f>
        <v/>
      </c>
      <c r="R2008" s="16" t="str">
        <f aca="false">IF(Q2008="","",Q2008*0.0980665)</f>
        <v/>
      </c>
      <c r="S2008" s="16" t="str">
        <f aca="false">IF(Q2008="","",IFERROR(Q2008/(1/(1/INDEX(CONFIG!$I$5:$I$14,MATCH(D2008,CONFIG!$D$5:$D$14,0)))),""))</f>
        <v/>
      </c>
      <c r="T2008" s="13"/>
      <c r="U2008" s="13"/>
      <c r="V2008" s="13"/>
      <c r="W2008" s="13"/>
      <c r="X2008" s="22" t="str">
        <f aca="false">IF(Q2008="","",Q2008^2)</f>
        <v/>
      </c>
      <c r="Y2008" s="22" t="str">
        <f aca="false">IF(AND(C2008&lt;&gt;"",C2008=CERTIFICADO!$E$4,OR(CERTIFICADO!$E$5="",B2008=CERTIFICADO!$E$5)),MAX($Y$4:Y2007)+1,"")</f>
        <v/>
      </c>
    </row>
    <row r="2009" customFormat="false" ht="15" hidden="false" customHeight="false" outlineLevel="0" collapsed="false">
      <c r="A2009" s="11" t="str">
        <f aca="false">IF(C2009="","",ROW()-4)</f>
        <v/>
      </c>
      <c r="B2009" s="12"/>
      <c r="C2009" s="13"/>
      <c r="D2009" s="23" t="str">
        <f aca="false">IF(C2009="","",IFERROR(INDEX(LOTES!$D$5:$D$1004,MATCH(C2009,LOTES!$F$5:$F$1004,0)),"¿Lote?"))</f>
        <v/>
      </c>
      <c r="E2009" s="11" t="str">
        <f aca="false">IF(C2009="","",IFERROR(INDEX(LOTES!$C$5:$C$1004,MATCH(C2009,LOTES!$F$5:$F$1004,0)),""))</f>
        <v/>
      </c>
      <c r="F2009" s="24" t="str">
        <f aca="false">IF(C2009="","",IFERROR(INDEX(LOTES!$B$5:$B$1004,MATCH(C2009,LOTES!$F$5:$F$1004,0)),""))</f>
        <v/>
      </c>
      <c r="G2009" s="15" t="str">
        <f aca="false">IF(OR(B2009="",F2009=""),"",B2009-F2009)</f>
        <v/>
      </c>
      <c r="H2009" s="13"/>
      <c r="I2009" s="13"/>
      <c r="J2009" s="13"/>
      <c r="K2009" s="25"/>
      <c r="L2009" s="25"/>
      <c r="M2009" s="25"/>
      <c r="N2009" s="25"/>
      <c r="O2009" s="26"/>
      <c r="P2009" s="16" t="str">
        <f aca="false">IF(O2009="","",IFERROR(1/(1/(IF(K2009="",INDEX(CONFIG!$F$5:$F$14,MATCH(D2009,CONFIG!$D$5:$D$14,0)),K2009)*IF(M2009="",INDEX(CONFIG!$H$5:$H$14,MATCH(D2009,CONFIG!$D$5:$D$14,0)),M2009))),""))</f>
        <v/>
      </c>
      <c r="Q2009" s="16" t="str">
        <f aca="false">IF(OR(O2009="",P2009=""),"",O2009/P2009)</f>
        <v/>
      </c>
      <c r="R2009" s="16" t="str">
        <f aca="false">IF(Q2009="","",Q2009*0.0980665)</f>
        <v/>
      </c>
      <c r="S2009" s="16" t="str">
        <f aca="false">IF(Q2009="","",IFERROR(Q2009/(1/(1/INDEX(CONFIG!$I$5:$I$14,MATCH(D2009,CONFIG!$D$5:$D$14,0)))),""))</f>
        <v/>
      </c>
      <c r="T2009" s="13"/>
      <c r="U2009" s="13"/>
      <c r="V2009" s="13"/>
      <c r="W2009" s="13"/>
      <c r="X2009" s="22" t="str">
        <f aca="false">IF(Q2009="","",Q2009^2)</f>
        <v/>
      </c>
      <c r="Y2009" s="22" t="str">
        <f aca="false">IF(AND(C2009&lt;&gt;"",C2009=CERTIFICADO!$E$4,OR(CERTIFICADO!$E$5="",B2009=CERTIFICADO!$E$5)),MAX($Y$4:Y2008)+1,"")</f>
        <v/>
      </c>
    </row>
    <row r="2010" customFormat="false" ht="15" hidden="false" customHeight="false" outlineLevel="0" collapsed="false">
      <c r="A2010" s="11" t="str">
        <f aca="false">IF(C2010="","",ROW()-4)</f>
        <v/>
      </c>
      <c r="B2010" s="12"/>
      <c r="C2010" s="13"/>
      <c r="D2010" s="23" t="str">
        <f aca="false">IF(C2010="","",IFERROR(INDEX(LOTES!$D$5:$D$1004,MATCH(C2010,LOTES!$F$5:$F$1004,0)),"¿Lote?"))</f>
        <v/>
      </c>
      <c r="E2010" s="11" t="str">
        <f aca="false">IF(C2010="","",IFERROR(INDEX(LOTES!$C$5:$C$1004,MATCH(C2010,LOTES!$F$5:$F$1004,0)),""))</f>
        <v/>
      </c>
      <c r="F2010" s="24" t="str">
        <f aca="false">IF(C2010="","",IFERROR(INDEX(LOTES!$B$5:$B$1004,MATCH(C2010,LOTES!$F$5:$F$1004,0)),""))</f>
        <v/>
      </c>
      <c r="G2010" s="15" t="str">
        <f aca="false">IF(OR(B2010="",F2010=""),"",B2010-F2010)</f>
        <v/>
      </c>
      <c r="H2010" s="13"/>
      <c r="I2010" s="13"/>
      <c r="J2010" s="13"/>
      <c r="K2010" s="25"/>
      <c r="L2010" s="25"/>
      <c r="M2010" s="25"/>
      <c r="N2010" s="25"/>
      <c r="O2010" s="26"/>
      <c r="P2010" s="16" t="str">
        <f aca="false">IF(O2010="","",IFERROR(1/(1/(IF(K2010="",INDEX(CONFIG!$F$5:$F$14,MATCH(D2010,CONFIG!$D$5:$D$14,0)),K2010)*IF(M2010="",INDEX(CONFIG!$H$5:$H$14,MATCH(D2010,CONFIG!$D$5:$D$14,0)),M2010))),""))</f>
        <v/>
      </c>
      <c r="Q2010" s="16" t="str">
        <f aca="false">IF(OR(O2010="",P2010=""),"",O2010/P2010)</f>
        <v/>
      </c>
      <c r="R2010" s="16" t="str">
        <f aca="false">IF(Q2010="","",Q2010*0.0980665)</f>
        <v/>
      </c>
      <c r="S2010" s="16" t="str">
        <f aca="false">IF(Q2010="","",IFERROR(Q2010/(1/(1/INDEX(CONFIG!$I$5:$I$14,MATCH(D2010,CONFIG!$D$5:$D$14,0)))),""))</f>
        <v/>
      </c>
      <c r="T2010" s="13"/>
      <c r="U2010" s="13"/>
      <c r="V2010" s="13"/>
      <c r="W2010" s="13"/>
      <c r="X2010" s="22" t="str">
        <f aca="false">IF(Q2010="","",Q2010^2)</f>
        <v/>
      </c>
      <c r="Y2010" s="22" t="str">
        <f aca="false">IF(AND(C2010&lt;&gt;"",C2010=CERTIFICADO!$E$4,OR(CERTIFICADO!$E$5="",B2010=CERTIFICADO!$E$5)),MAX($Y$4:Y2009)+1,"")</f>
        <v/>
      </c>
    </row>
    <row r="2011" customFormat="false" ht="15" hidden="false" customHeight="false" outlineLevel="0" collapsed="false">
      <c r="A2011" s="11" t="str">
        <f aca="false">IF(C2011="","",ROW()-4)</f>
        <v/>
      </c>
      <c r="B2011" s="12"/>
      <c r="C2011" s="13"/>
      <c r="D2011" s="23" t="str">
        <f aca="false">IF(C2011="","",IFERROR(INDEX(LOTES!$D$5:$D$1004,MATCH(C2011,LOTES!$F$5:$F$1004,0)),"¿Lote?"))</f>
        <v/>
      </c>
      <c r="E2011" s="11" t="str">
        <f aca="false">IF(C2011="","",IFERROR(INDEX(LOTES!$C$5:$C$1004,MATCH(C2011,LOTES!$F$5:$F$1004,0)),""))</f>
        <v/>
      </c>
      <c r="F2011" s="24" t="str">
        <f aca="false">IF(C2011="","",IFERROR(INDEX(LOTES!$B$5:$B$1004,MATCH(C2011,LOTES!$F$5:$F$1004,0)),""))</f>
        <v/>
      </c>
      <c r="G2011" s="15" t="str">
        <f aca="false">IF(OR(B2011="",F2011=""),"",B2011-F2011)</f>
        <v/>
      </c>
      <c r="H2011" s="13"/>
      <c r="I2011" s="13"/>
      <c r="J2011" s="13"/>
      <c r="K2011" s="25"/>
      <c r="L2011" s="25"/>
      <c r="M2011" s="25"/>
      <c r="N2011" s="25"/>
      <c r="O2011" s="26"/>
      <c r="P2011" s="16" t="str">
        <f aca="false">IF(O2011="","",IFERROR(1/(1/(IF(K2011="",INDEX(CONFIG!$F$5:$F$14,MATCH(D2011,CONFIG!$D$5:$D$14,0)),K2011)*IF(M2011="",INDEX(CONFIG!$H$5:$H$14,MATCH(D2011,CONFIG!$D$5:$D$14,0)),M2011))),""))</f>
        <v/>
      </c>
      <c r="Q2011" s="16" t="str">
        <f aca="false">IF(OR(O2011="",P2011=""),"",O2011/P2011)</f>
        <v/>
      </c>
      <c r="R2011" s="16" t="str">
        <f aca="false">IF(Q2011="","",Q2011*0.0980665)</f>
        <v/>
      </c>
      <c r="S2011" s="16" t="str">
        <f aca="false">IF(Q2011="","",IFERROR(Q2011/(1/(1/INDEX(CONFIG!$I$5:$I$14,MATCH(D2011,CONFIG!$D$5:$D$14,0)))),""))</f>
        <v/>
      </c>
      <c r="T2011" s="13"/>
      <c r="U2011" s="13"/>
      <c r="V2011" s="13"/>
      <c r="W2011" s="13"/>
      <c r="X2011" s="22" t="str">
        <f aca="false">IF(Q2011="","",Q2011^2)</f>
        <v/>
      </c>
      <c r="Y2011" s="22" t="str">
        <f aca="false">IF(AND(C2011&lt;&gt;"",C2011=CERTIFICADO!$E$4,OR(CERTIFICADO!$E$5="",B2011=CERTIFICADO!$E$5)),MAX($Y$4:Y2010)+1,"")</f>
        <v/>
      </c>
    </row>
    <row r="2012" customFormat="false" ht="15" hidden="false" customHeight="false" outlineLevel="0" collapsed="false">
      <c r="A2012" s="11" t="str">
        <f aca="false">IF(C2012="","",ROW()-4)</f>
        <v/>
      </c>
      <c r="B2012" s="12"/>
      <c r="C2012" s="13"/>
      <c r="D2012" s="23" t="str">
        <f aca="false">IF(C2012="","",IFERROR(INDEX(LOTES!$D$5:$D$1004,MATCH(C2012,LOTES!$F$5:$F$1004,0)),"¿Lote?"))</f>
        <v/>
      </c>
      <c r="E2012" s="11" t="str">
        <f aca="false">IF(C2012="","",IFERROR(INDEX(LOTES!$C$5:$C$1004,MATCH(C2012,LOTES!$F$5:$F$1004,0)),""))</f>
        <v/>
      </c>
      <c r="F2012" s="24" t="str">
        <f aca="false">IF(C2012="","",IFERROR(INDEX(LOTES!$B$5:$B$1004,MATCH(C2012,LOTES!$F$5:$F$1004,0)),""))</f>
        <v/>
      </c>
      <c r="G2012" s="15" t="str">
        <f aca="false">IF(OR(B2012="",F2012=""),"",B2012-F2012)</f>
        <v/>
      </c>
      <c r="H2012" s="13"/>
      <c r="I2012" s="13"/>
      <c r="J2012" s="13"/>
      <c r="K2012" s="25"/>
      <c r="L2012" s="25"/>
      <c r="M2012" s="25"/>
      <c r="N2012" s="25"/>
      <c r="O2012" s="26"/>
      <c r="P2012" s="16" t="str">
        <f aca="false">IF(O2012="","",IFERROR(1/(1/(IF(K2012="",INDEX(CONFIG!$F$5:$F$14,MATCH(D2012,CONFIG!$D$5:$D$14,0)),K2012)*IF(M2012="",INDEX(CONFIG!$H$5:$H$14,MATCH(D2012,CONFIG!$D$5:$D$14,0)),M2012))),""))</f>
        <v/>
      </c>
      <c r="Q2012" s="16" t="str">
        <f aca="false">IF(OR(O2012="",P2012=""),"",O2012/P2012)</f>
        <v/>
      </c>
      <c r="R2012" s="16" t="str">
        <f aca="false">IF(Q2012="","",Q2012*0.0980665)</f>
        <v/>
      </c>
      <c r="S2012" s="16" t="str">
        <f aca="false">IF(Q2012="","",IFERROR(Q2012/(1/(1/INDEX(CONFIG!$I$5:$I$14,MATCH(D2012,CONFIG!$D$5:$D$14,0)))),""))</f>
        <v/>
      </c>
      <c r="T2012" s="13"/>
      <c r="U2012" s="13"/>
      <c r="V2012" s="13"/>
      <c r="W2012" s="13"/>
      <c r="X2012" s="22" t="str">
        <f aca="false">IF(Q2012="","",Q2012^2)</f>
        <v/>
      </c>
      <c r="Y2012" s="22" t="str">
        <f aca="false">IF(AND(C2012&lt;&gt;"",C2012=CERTIFICADO!$E$4,OR(CERTIFICADO!$E$5="",B2012=CERTIFICADO!$E$5)),MAX($Y$4:Y2011)+1,"")</f>
        <v/>
      </c>
    </row>
    <row r="2013" customFormat="false" ht="15" hidden="false" customHeight="false" outlineLevel="0" collapsed="false">
      <c r="A2013" s="11" t="str">
        <f aca="false">IF(C2013="","",ROW()-4)</f>
        <v/>
      </c>
      <c r="B2013" s="12"/>
      <c r="C2013" s="13"/>
      <c r="D2013" s="23" t="str">
        <f aca="false">IF(C2013="","",IFERROR(INDEX(LOTES!$D$5:$D$1004,MATCH(C2013,LOTES!$F$5:$F$1004,0)),"¿Lote?"))</f>
        <v/>
      </c>
      <c r="E2013" s="11" t="str">
        <f aca="false">IF(C2013="","",IFERROR(INDEX(LOTES!$C$5:$C$1004,MATCH(C2013,LOTES!$F$5:$F$1004,0)),""))</f>
        <v/>
      </c>
      <c r="F2013" s="24" t="str">
        <f aca="false">IF(C2013="","",IFERROR(INDEX(LOTES!$B$5:$B$1004,MATCH(C2013,LOTES!$F$5:$F$1004,0)),""))</f>
        <v/>
      </c>
      <c r="G2013" s="15" t="str">
        <f aca="false">IF(OR(B2013="",F2013=""),"",B2013-F2013)</f>
        <v/>
      </c>
      <c r="H2013" s="13"/>
      <c r="I2013" s="13"/>
      <c r="J2013" s="13"/>
      <c r="K2013" s="25"/>
      <c r="L2013" s="25"/>
      <c r="M2013" s="25"/>
      <c r="N2013" s="25"/>
      <c r="O2013" s="26"/>
      <c r="P2013" s="16" t="str">
        <f aca="false">IF(O2013="","",IFERROR(1/(1/(IF(K2013="",INDEX(CONFIG!$F$5:$F$14,MATCH(D2013,CONFIG!$D$5:$D$14,0)),K2013)*IF(M2013="",INDEX(CONFIG!$H$5:$H$14,MATCH(D2013,CONFIG!$D$5:$D$14,0)),M2013))),""))</f>
        <v/>
      </c>
      <c r="Q2013" s="16" t="str">
        <f aca="false">IF(OR(O2013="",P2013=""),"",O2013/P2013)</f>
        <v/>
      </c>
      <c r="R2013" s="16" t="str">
        <f aca="false">IF(Q2013="","",Q2013*0.0980665)</f>
        <v/>
      </c>
      <c r="S2013" s="16" t="str">
        <f aca="false">IF(Q2013="","",IFERROR(Q2013/(1/(1/INDEX(CONFIG!$I$5:$I$14,MATCH(D2013,CONFIG!$D$5:$D$14,0)))),""))</f>
        <v/>
      </c>
      <c r="T2013" s="13"/>
      <c r="U2013" s="13"/>
      <c r="V2013" s="13"/>
      <c r="W2013" s="13"/>
      <c r="X2013" s="22" t="str">
        <f aca="false">IF(Q2013="","",Q2013^2)</f>
        <v/>
      </c>
      <c r="Y2013" s="22" t="str">
        <f aca="false">IF(AND(C2013&lt;&gt;"",C2013=CERTIFICADO!$E$4,OR(CERTIFICADO!$E$5="",B2013=CERTIFICADO!$E$5)),MAX($Y$4:Y2012)+1,"")</f>
        <v/>
      </c>
    </row>
    <row r="2014" customFormat="false" ht="15" hidden="false" customHeight="false" outlineLevel="0" collapsed="false">
      <c r="A2014" s="11" t="str">
        <f aca="false">IF(C2014="","",ROW()-4)</f>
        <v/>
      </c>
      <c r="B2014" s="12"/>
      <c r="C2014" s="13"/>
      <c r="D2014" s="23" t="str">
        <f aca="false">IF(C2014="","",IFERROR(INDEX(LOTES!$D$5:$D$1004,MATCH(C2014,LOTES!$F$5:$F$1004,0)),"¿Lote?"))</f>
        <v/>
      </c>
      <c r="E2014" s="11" t="str">
        <f aca="false">IF(C2014="","",IFERROR(INDEX(LOTES!$C$5:$C$1004,MATCH(C2014,LOTES!$F$5:$F$1004,0)),""))</f>
        <v/>
      </c>
      <c r="F2014" s="24" t="str">
        <f aca="false">IF(C2014="","",IFERROR(INDEX(LOTES!$B$5:$B$1004,MATCH(C2014,LOTES!$F$5:$F$1004,0)),""))</f>
        <v/>
      </c>
      <c r="G2014" s="15" t="str">
        <f aca="false">IF(OR(B2014="",F2014=""),"",B2014-F2014)</f>
        <v/>
      </c>
      <c r="H2014" s="13"/>
      <c r="I2014" s="13"/>
      <c r="J2014" s="13"/>
      <c r="K2014" s="25"/>
      <c r="L2014" s="25"/>
      <c r="M2014" s="25"/>
      <c r="N2014" s="25"/>
      <c r="O2014" s="26"/>
      <c r="P2014" s="16" t="str">
        <f aca="false">IF(O2014="","",IFERROR(1/(1/(IF(K2014="",INDEX(CONFIG!$F$5:$F$14,MATCH(D2014,CONFIG!$D$5:$D$14,0)),K2014)*IF(M2014="",INDEX(CONFIG!$H$5:$H$14,MATCH(D2014,CONFIG!$D$5:$D$14,0)),M2014))),""))</f>
        <v/>
      </c>
      <c r="Q2014" s="16" t="str">
        <f aca="false">IF(OR(O2014="",P2014=""),"",O2014/P2014)</f>
        <v/>
      </c>
      <c r="R2014" s="16" t="str">
        <f aca="false">IF(Q2014="","",Q2014*0.0980665)</f>
        <v/>
      </c>
      <c r="S2014" s="16" t="str">
        <f aca="false">IF(Q2014="","",IFERROR(Q2014/(1/(1/INDEX(CONFIG!$I$5:$I$14,MATCH(D2014,CONFIG!$D$5:$D$14,0)))),""))</f>
        <v/>
      </c>
      <c r="T2014" s="13"/>
      <c r="U2014" s="13"/>
      <c r="V2014" s="13"/>
      <c r="W2014" s="13"/>
      <c r="X2014" s="22" t="str">
        <f aca="false">IF(Q2014="","",Q2014^2)</f>
        <v/>
      </c>
      <c r="Y2014" s="22" t="str">
        <f aca="false">IF(AND(C2014&lt;&gt;"",C2014=CERTIFICADO!$E$4,OR(CERTIFICADO!$E$5="",B2014=CERTIFICADO!$E$5)),MAX($Y$4:Y2013)+1,"")</f>
        <v/>
      </c>
    </row>
    <row r="2015" customFormat="false" ht="15" hidden="false" customHeight="false" outlineLevel="0" collapsed="false">
      <c r="A2015" s="11" t="str">
        <f aca="false">IF(C2015="","",ROW()-4)</f>
        <v/>
      </c>
      <c r="B2015" s="12"/>
      <c r="C2015" s="13"/>
      <c r="D2015" s="23" t="str">
        <f aca="false">IF(C2015="","",IFERROR(INDEX(LOTES!$D$5:$D$1004,MATCH(C2015,LOTES!$F$5:$F$1004,0)),"¿Lote?"))</f>
        <v/>
      </c>
      <c r="E2015" s="11" t="str">
        <f aca="false">IF(C2015="","",IFERROR(INDEX(LOTES!$C$5:$C$1004,MATCH(C2015,LOTES!$F$5:$F$1004,0)),""))</f>
        <v/>
      </c>
      <c r="F2015" s="24" t="str">
        <f aca="false">IF(C2015="","",IFERROR(INDEX(LOTES!$B$5:$B$1004,MATCH(C2015,LOTES!$F$5:$F$1004,0)),""))</f>
        <v/>
      </c>
      <c r="G2015" s="15" t="str">
        <f aca="false">IF(OR(B2015="",F2015=""),"",B2015-F2015)</f>
        <v/>
      </c>
      <c r="H2015" s="13"/>
      <c r="I2015" s="13"/>
      <c r="J2015" s="13"/>
      <c r="K2015" s="25"/>
      <c r="L2015" s="25"/>
      <c r="M2015" s="25"/>
      <c r="N2015" s="25"/>
      <c r="O2015" s="26"/>
      <c r="P2015" s="16" t="str">
        <f aca="false">IF(O2015="","",IFERROR(1/(1/(IF(K2015="",INDEX(CONFIG!$F$5:$F$14,MATCH(D2015,CONFIG!$D$5:$D$14,0)),K2015)*IF(M2015="",INDEX(CONFIG!$H$5:$H$14,MATCH(D2015,CONFIG!$D$5:$D$14,0)),M2015))),""))</f>
        <v/>
      </c>
      <c r="Q2015" s="16" t="str">
        <f aca="false">IF(OR(O2015="",P2015=""),"",O2015/P2015)</f>
        <v/>
      </c>
      <c r="R2015" s="16" t="str">
        <f aca="false">IF(Q2015="","",Q2015*0.0980665)</f>
        <v/>
      </c>
      <c r="S2015" s="16" t="str">
        <f aca="false">IF(Q2015="","",IFERROR(Q2015/(1/(1/INDEX(CONFIG!$I$5:$I$14,MATCH(D2015,CONFIG!$D$5:$D$14,0)))),""))</f>
        <v/>
      </c>
      <c r="T2015" s="13"/>
      <c r="U2015" s="13"/>
      <c r="V2015" s="13"/>
      <c r="W2015" s="13"/>
      <c r="X2015" s="22" t="str">
        <f aca="false">IF(Q2015="","",Q2015^2)</f>
        <v/>
      </c>
      <c r="Y2015" s="22" t="str">
        <f aca="false">IF(AND(C2015&lt;&gt;"",C2015=CERTIFICADO!$E$4,OR(CERTIFICADO!$E$5="",B2015=CERTIFICADO!$E$5)),MAX($Y$4:Y2014)+1,"")</f>
        <v/>
      </c>
    </row>
    <row r="2016" customFormat="false" ht="15" hidden="false" customHeight="false" outlineLevel="0" collapsed="false">
      <c r="A2016" s="11" t="str">
        <f aca="false">IF(C2016="","",ROW()-4)</f>
        <v/>
      </c>
      <c r="B2016" s="12"/>
      <c r="C2016" s="13"/>
      <c r="D2016" s="23" t="str">
        <f aca="false">IF(C2016="","",IFERROR(INDEX(LOTES!$D$5:$D$1004,MATCH(C2016,LOTES!$F$5:$F$1004,0)),"¿Lote?"))</f>
        <v/>
      </c>
      <c r="E2016" s="11" t="str">
        <f aca="false">IF(C2016="","",IFERROR(INDEX(LOTES!$C$5:$C$1004,MATCH(C2016,LOTES!$F$5:$F$1004,0)),""))</f>
        <v/>
      </c>
      <c r="F2016" s="24" t="str">
        <f aca="false">IF(C2016="","",IFERROR(INDEX(LOTES!$B$5:$B$1004,MATCH(C2016,LOTES!$F$5:$F$1004,0)),""))</f>
        <v/>
      </c>
      <c r="G2016" s="15" t="str">
        <f aca="false">IF(OR(B2016="",F2016=""),"",B2016-F2016)</f>
        <v/>
      </c>
      <c r="H2016" s="13"/>
      <c r="I2016" s="13"/>
      <c r="J2016" s="13"/>
      <c r="K2016" s="25"/>
      <c r="L2016" s="25"/>
      <c r="M2016" s="25"/>
      <c r="N2016" s="25"/>
      <c r="O2016" s="26"/>
      <c r="P2016" s="16" t="str">
        <f aca="false">IF(O2016="","",IFERROR(1/(1/(IF(K2016="",INDEX(CONFIG!$F$5:$F$14,MATCH(D2016,CONFIG!$D$5:$D$14,0)),K2016)*IF(M2016="",INDEX(CONFIG!$H$5:$H$14,MATCH(D2016,CONFIG!$D$5:$D$14,0)),M2016))),""))</f>
        <v/>
      </c>
      <c r="Q2016" s="16" t="str">
        <f aca="false">IF(OR(O2016="",P2016=""),"",O2016/P2016)</f>
        <v/>
      </c>
      <c r="R2016" s="16" t="str">
        <f aca="false">IF(Q2016="","",Q2016*0.0980665)</f>
        <v/>
      </c>
      <c r="S2016" s="16" t="str">
        <f aca="false">IF(Q2016="","",IFERROR(Q2016/(1/(1/INDEX(CONFIG!$I$5:$I$14,MATCH(D2016,CONFIG!$D$5:$D$14,0)))),""))</f>
        <v/>
      </c>
      <c r="T2016" s="13"/>
      <c r="U2016" s="13"/>
      <c r="V2016" s="13"/>
      <c r="W2016" s="13"/>
      <c r="X2016" s="22" t="str">
        <f aca="false">IF(Q2016="","",Q2016^2)</f>
        <v/>
      </c>
      <c r="Y2016" s="22" t="str">
        <f aca="false">IF(AND(C2016&lt;&gt;"",C2016=CERTIFICADO!$E$4,OR(CERTIFICADO!$E$5="",B2016=CERTIFICADO!$E$5)),MAX($Y$4:Y2015)+1,"")</f>
        <v/>
      </c>
    </row>
    <row r="2017" customFormat="false" ht="15" hidden="false" customHeight="false" outlineLevel="0" collapsed="false">
      <c r="A2017" s="11" t="str">
        <f aca="false">IF(C2017="","",ROW()-4)</f>
        <v/>
      </c>
      <c r="B2017" s="12"/>
      <c r="C2017" s="13"/>
      <c r="D2017" s="23" t="str">
        <f aca="false">IF(C2017="","",IFERROR(INDEX(LOTES!$D$5:$D$1004,MATCH(C2017,LOTES!$F$5:$F$1004,0)),"¿Lote?"))</f>
        <v/>
      </c>
      <c r="E2017" s="11" t="str">
        <f aca="false">IF(C2017="","",IFERROR(INDEX(LOTES!$C$5:$C$1004,MATCH(C2017,LOTES!$F$5:$F$1004,0)),""))</f>
        <v/>
      </c>
      <c r="F2017" s="24" t="str">
        <f aca="false">IF(C2017="","",IFERROR(INDEX(LOTES!$B$5:$B$1004,MATCH(C2017,LOTES!$F$5:$F$1004,0)),""))</f>
        <v/>
      </c>
      <c r="G2017" s="15" t="str">
        <f aca="false">IF(OR(B2017="",F2017=""),"",B2017-F2017)</f>
        <v/>
      </c>
      <c r="H2017" s="13"/>
      <c r="I2017" s="13"/>
      <c r="J2017" s="13"/>
      <c r="K2017" s="25"/>
      <c r="L2017" s="25"/>
      <c r="M2017" s="25"/>
      <c r="N2017" s="25"/>
      <c r="O2017" s="26"/>
      <c r="P2017" s="16" t="str">
        <f aca="false">IF(O2017="","",IFERROR(1/(1/(IF(K2017="",INDEX(CONFIG!$F$5:$F$14,MATCH(D2017,CONFIG!$D$5:$D$14,0)),K2017)*IF(M2017="",INDEX(CONFIG!$H$5:$H$14,MATCH(D2017,CONFIG!$D$5:$D$14,0)),M2017))),""))</f>
        <v/>
      </c>
      <c r="Q2017" s="16" t="str">
        <f aca="false">IF(OR(O2017="",P2017=""),"",O2017/P2017)</f>
        <v/>
      </c>
      <c r="R2017" s="16" t="str">
        <f aca="false">IF(Q2017="","",Q2017*0.0980665)</f>
        <v/>
      </c>
      <c r="S2017" s="16" t="str">
        <f aca="false">IF(Q2017="","",IFERROR(Q2017/(1/(1/INDEX(CONFIG!$I$5:$I$14,MATCH(D2017,CONFIG!$D$5:$D$14,0)))),""))</f>
        <v/>
      </c>
      <c r="T2017" s="13"/>
      <c r="U2017" s="13"/>
      <c r="V2017" s="13"/>
      <c r="W2017" s="13"/>
      <c r="X2017" s="22" t="str">
        <f aca="false">IF(Q2017="","",Q2017^2)</f>
        <v/>
      </c>
      <c r="Y2017" s="22" t="str">
        <f aca="false">IF(AND(C2017&lt;&gt;"",C2017=CERTIFICADO!$E$4,OR(CERTIFICADO!$E$5="",B2017=CERTIFICADO!$E$5)),MAX($Y$4:Y2016)+1,"")</f>
        <v/>
      </c>
    </row>
    <row r="2018" customFormat="false" ht="15" hidden="false" customHeight="false" outlineLevel="0" collapsed="false">
      <c r="A2018" s="11" t="str">
        <f aca="false">IF(C2018="","",ROW()-4)</f>
        <v/>
      </c>
      <c r="B2018" s="12"/>
      <c r="C2018" s="13"/>
      <c r="D2018" s="23" t="str">
        <f aca="false">IF(C2018="","",IFERROR(INDEX(LOTES!$D$5:$D$1004,MATCH(C2018,LOTES!$F$5:$F$1004,0)),"¿Lote?"))</f>
        <v/>
      </c>
      <c r="E2018" s="11" t="str">
        <f aca="false">IF(C2018="","",IFERROR(INDEX(LOTES!$C$5:$C$1004,MATCH(C2018,LOTES!$F$5:$F$1004,0)),""))</f>
        <v/>
      </c>
      <c r="F2018" s="24" t="str">
        <f aca="false">IF(C2018="","",IFERROR(INDEX(LOTES!$B$5:$B$1004,MATCH(C2018,LOTES!$F$5:$F$1004,0)),""))</f>
        <v/>
      </c>
      <c r="G2018" s="15" t="str">
        <f aca="false">IF(OR(B2018="",F2018=""),"",B2018-F2018)</f>
        <v/>
      </c>
      <c r="H2018" s="13"/>
      <c r="I2018" s="13"/>
      <c r="J2018" s="13"/>
      <c r="K2018" s="25"/>
      <c r="L2018" s="25"/>
      <c r="M2018" s="25"/>
      <c r="N2018" s="25"/>
      <c r="O2018" s="26"/>
      <c r="P2018" s="16" t="str">
        <f aca="false">IF(O2018="","",IFERROR(1/(1/(IF(K2018="",INDEX(CONFIG!$F$5:$F$14,MATCH(D2018,CONFIG!$D$5:$D$14,0)),K2018)*IF(M2018="",INDEX(CONFIG!$H$5:$H$14,MATCH(D2018,CONFIG!$D$5:$D$14,0)),M2018))),""))</f>
        <v/>
      </c>
      <c r="Q2018" s="16" t="str">
        <f aca="false">IF(OR(O2018="",P2018=""),"",O2018/P2018)</f>
        <v/>
      </c>
      <c r="R2018" s="16" t="str">
        <f aca="false">IF(Q2018="","",Q2018*0.0980665)</f>
        <v/>
      </c>
      <c r="S2018" s="16" t="str">
        <f aca="false">IF(Q2018="","",IFERROR(Q2018/(1/(1/INDEX(CONFIG!$I$5:$I$14,MATCH(D2018,CONFIG!$D$5:$D$14,0)))),""))</f>
        <v/>
      </c>
      <c r="T2018" s="13"/>
      <c r="U2018" s="13"/>
      <c r="V2018" s="13"/>
      <c r="W2018" s="13"/>
      <c r="X2018" s="22" t="str">
        <f aca="false">IF(Q2018="","",Q2018^2)</f>
        <v/>
      </c>
      <c r="Y2018" s="22" t="str">
        <f aca="false">IF(AND(C2018&lt;&gt;"",C2018=CERTIFICADO!$E$4,OR(CERTIFICADO!$E$5="",B2018=CERTIFICADO!$E$5)),MAX($Y$4:Y2017)+1,"")</f>
        <v/>
      </c>
    </row>
    <row r="2019" customFormat="false" ht="15" hidden="false" customHeight="false" outlineLevel="0" collapsed="false">
      <c r="A2019" s="11" t="str">
        <f aca="false">IF(C2019="","",ROW()-4)</f>
        <v/>
      </c>
      <c r="B2019" s="12"/>
      <c r="C2019" s="13"/>
      <c r="D2019" s="23" t="str">
        <f aca="false">IF(C2019="","",IFERROR(INDEX(LOTES!$D$5:$D$1004,MATCH(C2019,LOTES!$F$5:$F$1004,0)),"¿Lote?"))</f>
        <v/>
      </c>
      <c r="E2019" s="11" t="str">
        <f aca="false">IF(C2019="","",IFERROR(INDEX(LOTES!$C$5:$C$1004,MATCH(C2019,LOTES!$F$5:$F$1004,0)),""))</f>
        <v/>
      </c>
      <c r="F2019" s="24" t="str">
        <f aca="false">IF(C2019="","",IFERROR(INDEX(LOTES!$B$5:$B$1004,MATCH(C2019,LOTES!$F$5:$F$1004,0)),""))</f>
        <v/>
      </c>
      <c r="G2019" s="15" t="str">
        <f aca="false">IF(OR(B2019="",F2019=""),"",B2019-F2019)</f>
        <v/>
      </c>
      <c r="H2019" s="13"/>
      <c r="I2019" s="13"/>
      <c r="J2019" s="13"/>
      <c r="K2019" s="25"/>
      <c r="L2019" s="25"/>
      <c r="M2019" s="25"/>
      <c r="N2019" s="25"/>
      <c r="O2019" s="26"/>
      <c r="P2019" s="16" t="str">
        <f aca="false">IF(O2019="","",IFERROR(1/(1/(IF(K2019="",INDEX(CONFIG!$F$5:$F$14,MATCH(D2019,CONFIG!$D$5:$D$14,0)),K2019)*IF(M2019="",INDEX(CONFIG!$H$5:$H$14,MATCH(D2019,CONFIG!$D$5:$D$14,0)),M2019))),""))</f>
        <v/>
      </c>
      <c r="Q2019" s="16" t="str">
        <f aca="false">IF(OR(O2019="",P2019=""),"",O2019/P2019)</f>
        <v/>
      </c>
      <c r="R2019" s="16" t="str">
        <f aca="false">IF(Q2019="","",Q2019*0.0980665)</f>
        <v/>
      </c>
      <c r="S2019" s="16" t="str">
        <f aca="false">IF(Q2019="","",IFERROR(Q2019/(1/(1/INDEX(CONFIG!$I$5:$I$14,MATCH(D2019,CONFIG!$D$5:$D$14,0)))),""))</f>
        <v/>
      </c>
      <c r="T2019" s="13"/>
      <c r="U2019" s="13"/>
      <c r="V2019" s="13"/>
      <c r="W2019" s="13"/>
      <c r="X2019" s="22" t="str">
        <f aca="false">IF(Q2019="","",Q2019^2)</f>
        <v/>
      </c>
      <c r="Y2019" s="22" t="str">
        <f aca="false">IF(AND(C2019&lt;&gt;"",C2019=CERTIFICADO!$E$4,OR(CERTIFICADO!$E$5="",B2019=CERTIFICADO!$E$5)),MAX($Y$4:Y2018)+1,"")</f>
        <v/>
      </c>
    </row>
    <row r="2020" customFormat="false" ht="15" hidden="false" customHeight="false" outlineLevel="0" collapsed="false">
      <c r="A2020" s="11" t="str">
        <f aca="false">IF(C2020="","",ROW()-4)</f>
        <v/>
      </c>
      <c r="B2020" s="12"/>
      <c r="C2020" s="13"/>
      <c r="D2020" s="23" t="str">
        <f aca="false">IF(C2020="","",IFERROR(INDEX(LOTES!$D$5:$D$1004,MATCH(C2020,LOTES!$F$5:$F$1004,0)),"¿Lote?"))</f>
        <v/>
      </c>
      <c r="E2020" s="11" t="str">
        <f aca="false">IF(C2020="","",IFERROR(INDEX(LOTES!$C$5:$C$1004,MATCH(C2020,LOTES!$F$5:$F$1004,0)),""))</f>
        <v/>
      </c>
      <c r="F2020" s="24" t="str">
        <f aca="false">IF(C2020="","",IFERROR(INDEX(LOTES!$B$5:$B$1004,MATCH(C2020,LOTES!$F$5:$F$1004,0)),""))</f>
        <v/>
      </c>
      <c r="G2020" s="15" t="str">
        <f aca="false">IF(OR(B2020="",F2020=""),"",B2020-F2020)</f>
        <v/>
      </c>
      <c r="H2020" s="13"/>
      <c r="I2020" s="13"/>
      <c r="J2020" s="13"/>
      <c r="K2020" s="25"/>
      <c r="L2020" s="25"/>
      <c r="M2020" s="25"/>
      <c r="N2020" s="25"/>
      <c r="O2020" s="26"/>
      <c r="P2020" s="16" t="str">
        <f aca="false">IF(O2020="","",IFERROR(1/(1/(IF(K2020="",INDEX(CONFIG!$F$5:$F$14,MATCH(D2020,CONFIG!$D$5:$D$14,0)),K2020)*IF(M2020="",INDEX(CONFIG!$H$5:$H$14,MATCH(D2020,CONFIG!$D$5:$D$14,0)),M2020))),""))</f>
        <v/>
      </c>
      <c r="Q2020" s="16" t="str">
        <f aca="false">IF(OR(O2020="",P2020=""),"",O2020/P2020)</f>
        <v/>
      </c>
      <c r="R2020" s="16" t="str">
        <f aca="false">IF(Q2020="","",Q2020*0.0980665)</f>
        <v/>
      </c>
      <c r="S2020" s="16" t="str">
        <f aca="false">IF(Q2020="","",IFERROR(Q2020/(1/(1/INDEX(CONFIG!$I$5:$I$14,MATCH(D2020,CONFIG!$D$5:$D$14,0)))),""))</f>
        <v/>
      </c>
      <c r="T2020" s="13"/>
      <c r="U2020" s="13"/>
      <c r="V2020" s="13"/>
      <c r="W2020" s="13"/>
      <c r="X2020" s="22" t="str">
        <f aca="false">IF(Q2020="","",Q2020^2)</f>
        <v/>
      </c>
      <c r="Y2020" s="22" t="str">
        <f aca="false">IF(AND(C2020&lt;&gt;"",C2020=CERTIFICADO!$E$4,OR(CERTIFICADO!$E$5="",B2020=CERTIFICADO!$E$5)),MAX($Y$4:Y2019)+1,"")</f>
        <v/>
      </c>
    </row>
    <row r="2021" customFormat="false" ht="15" hidden="false" customHeight="false" outlineLevel="0" collapsed="false">
      <c r="A2021" s="11" t="str">
        <f aca="false">IF(C2021="","",ROW()-4)</f>
        <v/>
      </c>
      <c r="B2021" s="12"/>
      <c r="C2021" s="13"/>
      <c r="D2021" s="23" t="str">
        <f aca="false">IF(C2021="","",IFERROR(INDEX(LOTES!$D$5:$D$1004,MATCH(C2021,LOTES!$F$5:$F$1004,0)),"¿Lote?"))</f>
        <v/>
      </c>
      <c r="E2021" s="11" t="str">
        <f aca="false">IF(C2021="","",IFERROR(INDEX(LOTES!$C$5:$C$1004,MATCH(C2021,LOTES!$F$5:$F$1004,0)),""))</f>
        <v/>
      </c>
      <c r="F2021" s="24" t="str">
        <f aca="false">IF(C2021="","",IFERROR(INDEX(LOTES!$B$5:$B$1004,MATCH(C2021,LOTES!$F$5:$F$1004,0)),""))</f>
        <v/>
      </c>
      <c r="G2021" s="15" t="str">
        <f aca="false">IF(OR(B2021="",F2021=""),"",B2021-F2021)</f>
        <v/>
      </c>
      <c r="H2021" s="13"/>
      <c r="I2021" s="13"/>
      <c r="J2021" s="13"/>
      <c r="K2021" s="25"/>
      <c r="L2021" s="25"/>
      <c r="M2021" s="25"/>
      <c r="N2021" s="25"/>
      <c r="O2021" s="26"/>
      <c r="P2021" s="16" t="str">
        <f aca="false">IF(O2021="","",IFERROR(1/(1/(IF(K2021="",INDEX(CONFIG!$F$5:$F$14,MATCH(D2021,CONFIG!$D$5:$D$14,0)),K2021)*IF(M2021="",INDEX(CONFIG!$H$5:$H$14,MATCH(D2021,CONFIG!$D$5:$D$14,0)),M2021))),""))</f>
        <v/>
      </c>
      <c r="Q2021" s="16" t="str">
        <f aca="false">IF(OR(O2021="",P2021=""),"",O2021/P2021)</f>
        <v/>
      </c>
      <c r="R2021" s="16" t="str">
        <f aca="false">IF(Q2021="","",Q2021*0.0980665)</f>
        <v/>
      </c>
      <c r="S2021" s="16" t="str">
        <f aca="false">IF(Q2021="","",IFERROR(Q2021/(1/(1/INDEX(CONFIG!$I$5:$I$14,MATCH(D2021,CONFIG!$D$5:$D$14,0)))),""))</f>
        <v/>
      </c>
      <c r="T2021" s="13"/>
      <c r="U2021" s="13"/>
      <c r="V2021" s="13"/>
      <c r="W2021" s="13"/>
      <c r="X2021" s="22" t="str">
        <f aca="false">IF(Q2021="","",Q2021^2)</f>
        <v/>
      </c>
      <c r="Y2021" s="22" t="str">
        <f aca="false">IF(AND(C2021&lt;&gt;"",C2021=CERTIFICADO!$E$4,OR(CERTIFICADO!$E$5="",B2021=CERTIFICADO!$E$5)),MAX($Y$4:Y2020)+1,"")</f>
        <v/>
      </c>
    </row>
    <row r="2022" customFormat="false" ht="15" hidden="false" customHeight="false" outlineLevel="0" collapsed="false">
      <c r="A2022" s="11" t="str">
        <f aca="false">IF(C2022="","",ROW()-4)</f>
        <v/>
      </c>
      <c r="B2022" s="12"/>
      <c r="C2022" s="13"/>
      <c r="D2022" s="23" t="str">
        <f aca="false">IF(C2022="","",IFERROR(INDEX(LOTES!$D$5:$D$1004,MATCH(C2022,LOTES!$F$5:$F$1004,0)),"¿Lote?"))</f>
        <v/>
      </c>
      <c r="E2022" s="11" t="str">
        <f aca="false">IF(C2022="","",IFERROR(INDEX(LOTES!$C$5:$C$1004,MATCH(C2022,LOTES!$F$5:$F$1004,0)),""))</f>
        <v/>
      </c>
      <c r="F2022" s="24" t="str">
        <f aca="false">IF(C2022="","",IFERROR(INDEX(LOTES!$B$5:$B$1004,MATCH(C2022,LOTES!$F$5:$F$1004,0)),""))</f>
        <v/>
      </c>
      <c r="G2022" s="15" t="str">
        <f aca="false">IF(OR(B2022="",F2022=""),"",B2022-F2022)</f>
        <v/>
      </c>
      <c r="H2022" s="13"/>
      <c r="I2022" s="13"/>
      <c r="J2022" s="13"/>
      <c r="K2022" s="25"/>
      <c r="L2022" s="25"/>
      <c r="M2022" s="25"/>
      <c r="N2022" s="25"/>
      <c r="O2022" s="26"/>
      <c r="P2022" s="16" t="str">
        <f aca="false">IF(O2022="","",IFERROR(1/(1/(IF(K2022="",INDEX(CONFIG!$F$5:$F$14,MATCH(D2022,CONFIG!$D$5:$D$14,0)),K2022)*IF(M2022="",INDEX(CONFIG!$H$5:$H$14,MATCH(D2022,CONFIG!$D$5:$D$14,0)),M2022))),""))</f>
        <v/>
      </c>
      <c r="Q2022" s="16" t="str">
        <f aca="false">IF(OR(O2022="",P2022=""),"",O2022/P2022)</f>
        <v/>
      </c>
      <c r="R2022" s="16" t="str">
        <f aca="false">IF(Q2022="","",Q2022*0.0980665)</f>
        <v/>
      </c>
      <c r="S2022" s="16" t="str">
        <f aca="false">IF(Q2022="","",IFERROR(Q2022/(1/(1/INDEX(CONFIG!$I$5:$I$14,MATCH(D2022,CONFIG!$D$5:$D$14,0)))),""))</f>
        <v/>
      </c>
      <c r="T2022" s="13"/>
      <c r="U2022" s="13"/>
      <c r="V2022" s="13"/>
      <c r="W2022" s="13"/>
      <c r="X2022" s="22" t="str">
        <f aca="false">IF(Q2022="","",Q2022^2)</f>
        <v/>
      </c>
      <c r="Y2022" s="22" t="str">
        <f aca="false">IF(AND(C2022&lt;&gt;"",C2022=CERTIFICADO!$E$4,OR(CERTIFICADO!$E$5="",B2022=CERTIFICADO!$E$5)),MAX($Y$4:Y2021)+1,"")</f>
        <v/>
      </c>
    </row>
    <row r="2023" customFormat="false" ht="15" hidden="false" customHeight="false" outlineLevel="0" collapsed="false">
      <c r="A2023" s="11" t="str">
        <f aca="false">IF(C2023="","",ROW()-4)</f>
        <v/>
      </c>
      <c r="B2023" s="12"/>
      <c r="C2023" s="13"/>
      <c r="D2023" s="23" t="str">
        <f aca="false">IF(C2023="","",IFERROR(INDEX(LOTES!$D$5:$D$1004,MATCH(C2023,LOTES!$F$5:$F$1004,0)),"¿Lote?"))</f>
        <v/>
      </c>
      <c r="E2023" s="11" t="str">
        <f aca="false">IF(C2023="","",IFERROR(INDEX(LOTES!$C$5:$C$1004,MATCH(C2023,LOTES!$F$5:$F$1004,0)),""))</f>
        <v/>
      </c>
      <c r="F2023" s="24" t="str">
        <f aca="false">IF(C2023="","",IFERROR(INDEX(LOTES!$B$5:$B$1004,MATCH(C2023,LOTES!$F$5:$F$1004,0)),""))</f>
        <v/>
      </c>
      <c r="G2023" s="15" t="str">
        <f aca="false">IF(OR(B2023="",F2023=""),"",B2023-F2023)</f>
        <v/>
      </c>
      <c r="H2023" s="13"/>
      <c r="I2023" s="13"/>
      <c r="J2023" s="13"/>
      <c r="K2023" s="25"/>
      <c r="L2023" s="25"/>
      <c r="M2023" s="25"/>
      <c r="N2023" s="25"/>
      <c r="O2023" s="26"/>
      <c r="P2023" s="16" t="str">
        <f aca="false">IF(O2023="","",IFERROR(1/(1/(IF(K2023="",INDEX(CONFIG!$F$5:$F$14,MATCH(D2023,CONFIG!$D$5:$D$14,0)),K2023)*IF(M2023="",INDEX(CONFIG!$H$5:$H$14,MATCH(D2023,CONFIG!$D$5:$D$14,0)),M2023))),""))</f>
        <v/>
      </c>
      <c r="Q2023" s="16" t="str">
        <f aca="false">IF(OR(O2023="",P2023=""),"",O2023/P2023)</f>
        <v/>
      </c>
      <c r="R2023" s="16" t="str">
        <f aca="false">IF(Q2023="","",Q2023*0.0980665)</f>
        <v/>
      </c>
      <c r="S2023" s="16" t="str">
        <f aca="false">IF(Q2023="","",IFERROR(Q2023/(1/(1/INDEX(CONFIG!$I$5:$I$14,MATCH(D2023,CONFIG!$D$5:$D$14,0)))),""))</f>
        <v/>
      </c>
      <c r="T2023" s="13"/>
      <c r="U2023" s="13"/>
      <c r="V2023" s="13"/>
      <c r="W2023" s="13"/>
      <c r="X2023" s="22" t="str">
        <f aca="false">IF(Q2023="","",Q2023^2)</f>
        <v/>
      </c>
      <c r="Y2023" s="22" t="str">
        <f aca="false">IF(AND(C2023&lt;&gt;"",C2023=CERTIFICADO!$E$4,OR(CERTIFICADO!$E$5="",B2023=CERTIFICADO!$E$5)),MAX($Y$4:Y2022)+1,"")</f>
        <v/>
      </c>
    </row>
    <row r="2024" customFormat="false" ht="15" hidden="false" customHeight="false" outlineLevel="0" collapsed="false">
      <c r="A2024" s="11" t="str">
        <f aca="false">IF(C2024="","",ROW()-4)</f>
        <v/>
      </c>
      <c r="B2024" s="12"/>
      <c r="C2024" s="13"/>
      <c r="D2024" s="23" t="str">
        <f aca="false">IF(C2024="","",IFERROR(INDEX(LOTES!$D$5:$D$1004,MATCH(C2024,LOTES!$F$5:$F$1004,0)),"¿Lote?"))</f>
        <v/>
      </c>
      <c r="E2024" s="11" t="str">
        <f aca="false">IF(C2024="","",IFERROR(INDEX(LOTES!$C$5:$C$1004,MATCH(C2024,LOTES!$F$5:$F$1004,0)),""))</f>
        <v/>
      </c>
      <c r="F2024" s="24" t="str">
        <f aca="false">IF(C2024="","",IFERROR(INDEX(LOTES!$B$5:$B$1004,MATCH(C2024,LOTES!$F$5:$F$1004,0)),""))</f>
        <v/>
      </c>
      <c r="G2024" s="15" t="str">
        <f aca="false">IF(OR(B2024="",F2024=""),"",B2024-F2024)</f>
        <v/>
      </c>
      <c r="H2024" s="13"/>
      <c r="I2024" s="13"/>
      <c r="J2024" s="13"/>
      <c r="K2024" s="25"/>
      <c r="L2024" s="25"/>
      <c r="M2024" s="25"/>
      <c r="N2024" s="25"/>
      <c r="O2024" s="26"/>
      <c r="P2024" s="16" t="str">
        <f aca="false">IF(O2024="","",IFERROR(1/(1/(IF(K2024="",INDEX(CONFIG!$F$5:$F$14,MATCH(D2024,CONFIG!$D$5:$D$14,0)),K2024)*IF(M2024="",INDEX(CONFIG!$H$5:$H$14,MATCH(D2024,CONFIG!$D$5:$D$14,0)),M2024))),""))</f>
        <v/>
      </c>
      <c r="Q2024" s="16" t="str">
        <f aca="false">IF(OR(O2024="",P2024=""),"",O2024/P2024)</f>
        <v/>
      </c>
      <c r="R2024" s="16" t="str">
        <f aca="false">IF(Q2024="","",Q2024*0.0980665)</f>
        <v/>
      </c>
      <c r="S2024" s="16" t="str">
        <f aca="false">IF(Q2024="","",IFERROR(Q2024/(1/(1/INDEX(CONFIG!$I$5:$I$14,MATCH(D2024,CONFIG!$D$5:$D$14,0)))),""))</f>
        <v/>
      </c>
      <c r="T2024" s="13"/>
      <c r="U2024" s="13"/>
      <c r="V2024" s="13"/>
      <c r="W2024" s="13"/>
      <c r="X2024" s="22" t="str">
        <f aca="false">IF(Q2024="","",Q2024^2)</f>
        <v/>
      </c>
      <c r="Y2024" s="22" t="str">
        <f aca="false">IF(AND(C2024&lt;&gt;"",C2024=CERTIFICADO!$E$4,OR(CERTIFICADO!$E$5="",B2024=CERTIFICADO!$E$5)),MAX($Y$4:Y2023)+1,"")</f>
        <v/>
      </c>
    </row>
    <row r="2025" customFormat="false" ht="15" hidden="false" customHeight="false" outlineLevel="0" collapsed="false">
      <c r="A2025" s="11" t="str">
        <f aca="false">IF(C2025="","",ROW()-4)</f>
        <v/>
      </c>
      <c r="B2025" s="12"/>
      <c r="C2025" s="13"/>
      <c r="D2025" s="23" t="str">
        <f aca="false">IF(C2025="","",IFERROR(INDEX(LOTES!$D$5:$D$1004,MATCH(C2025,LOTES!$F$5:$F$1004,0)),"¿Lote?"))</f>
        <v/>
      </c>
      <c r="E2025" s="11" t="str">
        <f aca="false">IF(C2025="","",IFERROR(INDEX(LOTES!$C$5:$C$1004,MATCH(C2025,LOTES!$F$5:$F$1004,0)),""))</f>
        <v/>
      </c>
      <c r="F2025" s="24" t="str">
        <f aca="false">IF(C2025="","",IFERROR(INDEX(LOTES!$B$5:$B$1004,MATCH(C2025,LOTES!$F$5:$F$1004,0)),""))</f>
        <v/>
      </c>
      <c r="G2025" s="15" t="str">
        <f aca="false">IF(OR(B2025="",F2025=""),"",B2025-F2025)</f>
        <v/>
      </c>
      <c r="H2025" s="13"/>
      <c r="I2025" s="13"/>
      <c r="J2025" s="13"/>
      <c r="K2025" s="25"/>
      <c r="L2025" s="25"/>
      <c r="M2025" s="25"/>
      <c r="N2025" s="25"/>
      <c r="O2025" s="26"/>
      <c r="P2025" s="16" t="str">
        <f aca="false">IF(O2025="","",IFERROR(1/(1/(IF(K2025="",INDEX(CONFIG!$F$5:$F$14,MATCH(D2025,CONFIG!$D$5:$D$14,0)),K2025)*IF(M2025="",INDEX(CONFIG!$H$5:$H$14,MATCH(D2025,CONFIG!$D$5:$D$14,0)),M2025))),""))</f>
        <v/>
      </c>
      <c r="Q2025" s="16" t="str">
        <f aca="false">IF(OR(O2025="",P2025=""),"",O2025/P2025)</f>
        <v/>
      </c>
      <c r="R2025" s="16" t="str">
        <f aca="false">IF(Q2025="","",Q2025*0.0980665)</f>
        <v/>
      </c>
      <c r="S2025" s="16" t="str">
        <f aca="false">IF(Q2025="","",IFERROR(Q2025/(1/(1/INDEX(CONFIG!$I$5:$I$14,MATCH(D2025,CONFIG!$D$5:$D$14,0)))),""))</f>
        <v/>
      </c>
      <c r="T2025" s="13"/>
      <c r="U2025" s="13"/>
      <c r="V2025" s="13"/>
      <c r="W2025" s="13"/>
      <c r="X2025" s="22" t="str">
        <f aca="false">IF(Q2025="","",Q2025^2)</f>
        <v/>
      </c>
      <c r="Y2025" s="22" t="str">
        <f aca="false">IF(AND(C2025&lt;&gt;"",C2025=CERTIFICADO!$E$4,OR(CERTIFICADO!$E$5="",B2025=CERTIFICADO!$E$5)),MAX($Y$4:Y2024)+1,"")</f>
        <v/>
      </c>
    </row>
    <row r="2026" customFormat="false" ht="15" hidden="false" customHeight="false" outlineLevel="0" collapsed="false">
      <c r="A2026" s="11" t="str">
        <f aca="false">IF(C2026="","",ROW()-4)</f>
        <v/>
      </c>
      <c r="B2026" s="12"/>
      <c r="C2026" s="13"/>
      <c r="D2026" s="23" t="str">
        <f aca="false">IF(C2026="","",IFERROR(INDEX(LOTES!$D$5:$D$1004,MATCH(C2026,LOTES!$F$5:$F$1004,0)),"¿Lote?"))</f>
        <v/>
      </c>
      <c r="E2026" s="11" t="str">
        <f aca="false">IF(C2026="","",IFERROR(INDEX(LOTES!$C$5:$C$1004,MATCH(C2026,LOTES!$F$5:$F$1004,0)),""))</f>
        <v/>
      </c>
      <c r="F2026" s="24" t="str">
        <f aca="false">IF(C2026="","",IFERROR(INDEX(LOTES!$B$5:$B$1004,MATCH(C2026,LOTES!$F$5:$F$1004,0)),""))</f>
        <v/>
      </c>
      <c r="G2026" s="15" t="str">
        <f aca="false">IF(OR(B2026="",F2026=""),"",B2026-F2026)</f>
        <v/>
      </c>
      <c r="H2026" s="13"/>
      <c r="I2026" s="13"/>
      <c r="J2026" s="13"/>
      <c r="K2026" s="25"/>
      <c r="L2026" s="25"/>
      <c r="M2026" s="25"/>
      <c r="N2026" s="25"/>
      <c r="O2026" s="26"/>
      <c r="P2026" s="16" t="str">
        <f aca="false">IF(O2026="","",IFERROR(1/(1/(IF(K2026="",INDEX(CONFIG!$F$5:$F$14,MATCH(D2026,CONFIG!$D$5:$D$14,0)),K2026)*IF(M2026="",INDEX(CONFIG!$H$5:$H$14,MATCH(D2026,CONFIG!$D$5:$D$14,0)),M2026))),""))</f>
        <v/>
      </c>
      <c r="Q2026" s="16" t="str">
        <f aca="false">IF(OR(O2026="",P2026=""),"",O2026/P2026)</f>
        <v/>
      </c>
      <c r="R2026" s="16" t="str">
        <f aca="false">IF(Q2026="","",Q2026*0.0980665)</f>
        <v/>
      </c>
      <c r="S2026" s="16" t="str">
        <f aca="false">IF(Q2026="","",IFERROR(Q2026/(1/(1/INDEX(CONFIG!$I$5:$I$14,MATCH(D2026,CONFIG!$D$5:$D$14,0)))),""))</f>
        <v/>
      </c>
      <c r="T2026" s="13"/>
      <c r="U2026" s="13"/>
      <c r="V2026" s="13"/>
      <c r="W2026" s="13"/>
      <c r="X2026" s="22" t="str">
        <f aca="false">IF(Q2026="","",Q2026^2)</f>
        <v/>
      </c>
      <c r="Y2026" s="22" t="str">
        <f aca="false">IF(AND(C2026&lt;&gt;"",C2026=CERTIFICADO!$E$4,OR(CERTIFICADO!$E$5="",B2026=CERTIFICADO!$E$5)),MAX($Y$4:Y2025)+1,"")</f>
        <v/>
      </c>
    </row>
    <row r="2027" customFormat="false" ht="15" hidden="false" customHeight="false" outlineLevel="0" collapsed="false">
      <c r="A2027" s="11" t="str">
        <f aca="false">IF(C2027="","",ROW()-4)</f>
        <v/>
      </c>
      <c r="B2027" s="12"/>
      <c r="C2027" s="13"/>
      <c r="D2027" s="23" t="str">
        <f aca="false">IF(C2027="","",IFERROR(INDEX(LOTES!$D$5:$D$1004,MATCH(C2027,LOTES!$F$5:$F$1004,0)),"¿Lote?"))</f>
        <v/>
      </c>
      <c r="E2027" s="11" t="str">
        <f aca="false">IF(C2027="","",IFERROR(INDEX(LOTES!$C$5:$C$1004,MATCH(C2027,LOTES!$F$5:$F$1004,0)),""))</f>
        <v/>
      </c>
      <c r="F2027" s="24" t="str">
        <f aca="false">IF(C2027="","",IFERROR(INDEX(LOTES!$B$5:$B$1004,MATCH(C2027,LOTES!$F$5:$F$1004,0)),""))</f>
        <v/>
      </c>
      <c r="G2027" s="15" t="str">
        <f aca="false">IF(OR(B2027="",F2027=""),"",B2027-F2027)</f>
        <v/>
      </c>
      <c r="H2027" s="13"/>
      <c r="I2027" s="13"/>
      <c r="J2027" s="13"/>
      <c r="K2027" s="25"/>
      <c r="L2027" s="25"/>
      <c r="M2027" s="25"/>
      <c r="N2027" s="25"/>
      <c r="O2027" s="26"/>
      <c r="P2027" s="16" t="str">
        <f aca="false">IF(O2027="","",IFERROR(1/(1/(IF(K2027="",INDEX(CONFIG!$F$5:$F$14,MATCH(D2027,CONFIG!$D$5:$D$14,0)),K2027)*IF(M2027="",INDEX(CONFIG!$H$5:$H$14,MATCH(D2027,CONFIG!$D$5:$D$14,0)),M2027))),""))</f>
        <v/>
      </c>
      <c r="Q2027" s="16" t="str">
        <f aca="false">IF(OR(O2027="",P2027=""),"",O2027/P2027)</f>
        <v/>
      </c>
      <c r="R2027" s="16" t="str">
        <f aca="false">IF(Q2027="","",Q2027*0.0980665)</f>
        <v/>
      </c>
      <c r="S2027" s="16" t="str">
        <f aca="false">IF(Q2027="","",IFERROR(Q2027/(1/(1/INDEX(CONFIG!$I$5:$I$14,MATCH(D2027,CONFIG!$D$5:$D$14,0)))),""))</f>
        <v/>
      </c>
      <c r="T2027" s="13"/>
      <c r="U2027" s="13"/>
      <c r="V2027" s="13"/>
      <c r="W2027" s="13"/>
      <c r="X2027" s="22" t="str">
        <f aca="false">IF(Q2027="","",Q2027^2)</f>
        <v/>
      </c>
      <c r="Y2027" s="22" t="str">
        <f aca="false">IF(AND(C2027&lt;&gt;"",C2027=CERTIFICADO!$E$4,OR(CERTIFICADO!$E$5="",B2027=CERTIFICADO!$E$5)),MAX($Y$4:Y2026)+1,"")</f>
        <v/>
      </c>
    </row>
    <row r="2028" customFormat="false" ht="15" hidden="false" customHeight="false" outlineLevel="0" collapsed="false">
      <c r="A2028" s="11" t="str">
        <f aca="false">IF(C2028="","",ROW()-4)</f>
        <v/>
      </c>
      <c r="B2028" s="12"/>
      <c r="C2028" s="13"/>
      <c r="D2028" s="23" t="str">
        <f aca="false">IF(C2028="","",IFERROR(INDEX(LOTES!$D$5:$D$1004,MATCH(C2028,LOTES!$F$5:$F$1004,0)),"¿Lote?"))</f>
        <v/>
      </c>
      <c r="E2028" s="11" t="str">
        <f aca="false">IF(C2028="","",IFERROR(INDEX(LOTES!$C$5:$C$1004,MATCH(C2028,LOTES!$F$5:$F$1004,0)),""))</f>
        <v/>
      </c>
      <c r="F2028" s="24" t="str">
        <f aca="false">IF(C2028="","",IFERROR(INDEX(LOTES!$B$5:$B$1004,MATCH(C2028,LOTES!$F$5:$F$1004,0)),""))</f>
        <v/>
      </c>
      <c r="G2028" s="15" t="str">
        <f aca="false">IF(OR(B2028="",F2028=""),"",B2028-F2028)</f>
        <v/>
      </c>
      <c r="H2028" s="13"/>
      <c r="I2028" s="13"/>
      <c r="J2028" s="13"/>
      <c r="K2028" s="25"/>
      <c r="L2028" s="25"/>
      <c r="M2028" s="25"/>
      <c r="N2028" s="25"/>
      <c r="O2028" s="26"/>
      <c r="P2028" s="16" t="str">
        <f aca="false">IF(O2028="","",IFERROR(1/(1/(IF(K2028="",INDEX(CONFIG!$F$5:$F$14,MATCH(D2028,CONFIG!$D$5:$D$14,0)),K2028)*IF(M2028="",INDEX(CONFIG!$H$5:$H$14,MATCH(D2028,CONFIG!$D$5:$D$14,0)),M2028))),""))</f>
        <v/>
      </c>
      <c r="Q2028" s="16" t="str">
        <f aca="false">IF(OR(O2028="",P2028=""),"",O2028/P2028)</f>
        <v/>
      </c>
      <c r="R2028" s="16" t="str">
        <f aca="false">IF(Q2028="","",Q2028*0.0980665)</f>
        <v/>
      </c>
      <c r="S2028" s="16" t="str">
        <f aca="false">IF(Q2028="","",IFERROR(Q2028/(1/(1/INDEX(CONFIG!$I$5:$I$14,MATCH(D2028,CONFIG!$D$5:$D$14,0)))),""))</f>
        <v/>
      </c>
      <c r="T2028" s="13"/>
      <c r="U2028" s="13"/>
      <c r="V2028" s="13"/>
      <c r="W2028" s="13"/>
      <c r="X2028" s="22" t="str">
        <f aca="false">IF(Q2028="","",Q2028^2)</f>
        <v/>
      </c>
      <c r="Y2028" s="22" t="str">
        <f aca="false">IF(AND(C2028&lt;&gt;"",C2028=CERTIFICADO!$E$4,OR(CERTIFICADO!$E$5="",B2028=CERTIFICADO!$E$5)),MAX($Y$4:Y2027)+1,"")</f>
        <v/>
      </c>
    </row>
    <row r="2029" customFormat="false" ht="15" hidden="false" customHeight="false" outlineLevel="0" collapsed="false">
      <c r="A2029" s="11" t="str">
        <f aca="false">IF(C2029="","",ROW()-4)</f>
        <v/>
      </c>
      <c r="B2029" s="12"/>
      <c r="C2029" s="13"/>
      <c r="D2029" s="23" t="str">
        <f aca="false">IF(C2029="","",IFERROR(INDEX(LOTES!$D$5:$D$1004,MATCH(C2029,LOTES!$F$5:$F$1004,0)),"¿Lote?"))</f>
        <v/>
      </c>
      <c r="E2029" s="11" t="str">
        <f aca="false">IF(C2029="","",IFERROR(INDEX(LOTES!$C$5:$C$1004,MATCH(C2029,LOTES!$F$5:$F$1004,0)),""))</f>
        <v/>
      </c>
      <c r="F2029" s="24" t="str">
        <f aca="false">IF(C2029="","",IFERROR(INDEX(LOTES!$B$5:$B$1004,MATCH(C2029,LOTES!$F$5:$F$1004,0)),""))</f>
        <v/>
      </c>
      <c r="G2029" s="15" t="str">
        <f aca="false">IF(OR(B2029="",F2029=""),"",B2029-F2029)</f>
        <v/>
      </c>
      <c r="H2029" s="13"/>
      <c r="I2029" s="13"/>
      <c r="J2029" s="13"/>
      <c r="K2029" s="25"/>
      <c r="L2029" s="25"/>
      <c r="M2029" s="25"/>
      <c r="N2029" s="25"/>
      <c r="O2029" s="26"/>
      <c r="P2029" s="16" t="str">
        <f aca="false">IF(O2029="","",IFERROR(1/(1/(IF(K2029="",INDEX(CONFIG!$F$5:$F$14,MATCH(D2029,CONFIG!$D$5:$D$14,0)),K2029)*IF(M2029="",INDEX(CONFIG!$H$5:$H$14,MATCH(D2029,CONFIG!$D$5:$D$14,0)),M2029))),""))</f>
        <v/>
      </c>
      <c r="Q2029" s="16" t="str">
        <f aca="false">IF(OR(O2029="",P2029=""),"",O2029/P2029)</f>
        <v/>
      </c>
      <c r="R2029" s="16" t="str">
        <f aca="false">IF(Q2029="","",Q2029*0.0980665)</f>
        <v/>
      </c>
      <c r="S2029" s="16" t="str">
        <f aca="false">IF(Q2029="","",IFERROR(Q2029/(1/(1/INDEX(CONFIG!$I$5:$I$14,MATCH(D2029,CONFIG!$D$5:$D$14,0)))),""))</f>
        <v/>
      </c>
      <c r="T2029" s="13"/>
      <c r="U2029" s="13"/>
      <c r="V2029" s="13"/>
      <c r="W2029" s="13"/>
      <c r="X2029" s="22" t="str">
        <f aca="false">IF(Q2029="","",Q2029^2)</f>
        <v/>
      </c>
      <c r="Y2029" s="22" t="str">
        <f aca="false">IF(AND(C2029&lt;&gt;"",C2029=CERTIFICADO!$E$4,OR(CERTIFICADO!$E$5="",B2029=CERTIFICADO!$E$5)),MAX($Y$4:Y2028)+1,"")</f>
        <v/>
      </c>
    </row>
    <row r="2030" customFormat="false" ht="15" hidden="false" customHeight="false" outlineLevel="0" collapsed="false">
      <c r="A2030" s="11" t="str">
        <f aca="false">IF(C2030="","",ROW()-4)</f>
        <v/>
      </c>
      <c r="B2030" s="12"/>
      <c r="C2030" s="13"/>
      <c r="D2030" s="23" t="str">
        <f aca="false">IF(C2030="","",IFERROR(INDEX(LOTES!$D$5:$D$1004,MATCH(C2030,LOTES!$F$5:$F$1004,0)),"¿Lote?"))</f>
        <v/>
      </c>
      <c r="E2030" s="11" t="str">
        <f aca="false">IF(C2030="","",IFERROR(INDEX(LOTES!$C$5:$C$1004,MATCH(C2030,LOTES!$F$5:$F$1004,0)),""))</f>
        <v/>
      </c>
      <c r="F2030" s="24" t="str">
        <f aca="false">IF(C2030="","",IFERROR(INDEX(LOTES!$B$5:$B$1004,MATCH(C2030,LOTES!$F$5:$F$1004,0)),""))</f>
        <v/>
      </c>
      <c r="G2030" s="15" t="str">
        <f aca="false">IF(OR(B2030="",F2030=""),"",B2030-F2030)</f>
        <v/>
      </c>
      <c r="H2030" s="13"/>
      <c r="I2030" s="13"/>
      <c r="J2030" s="13"/>
      <c r="K2030" s="25"/>
      <c r="L2030" s="25"/>
      <c r="M2030" s="25"/>
      <c r="N2030" s="25"/>
      <c r="O2030" s="26"/>
      <c r="P2030" s="16" t="str">
        <f aca="false">IF(O2030="","",IFERROR(1/(1/(IF(K2030="",INDEX(CONFIG!$F$5:$F$14,MATCH(D2030,CONFIG!$D$5:$D$14,0)),K2030)*IF(M2030="",INDEX(CONFIG!$H$5:$H$14,MATCH(D2030,CONFIG!$D$5:$D$14,0)),M2030))),""))</f>
        <v/>
      </c>
      <c r="Q2030" s="16" t="str">
        <f aca="false">IF(OR(O2030="",P2030=""),"",O2030/P2030)</f>
        <v/>
      </c>
      <c r="R2030" s="16" t="str">
        <f aca="false">IF(Q2030="","",Q2030*0.0980665)</f>
        <v/>
      </c>
      <c r="S2030" s="16" t="str">
        <f aca="false">IF(Q2030="","",IFERROR(Q2030/(1/(1/INDEX(CONFIG!$I$5:$I$14,MATCH(D2030,CONFIG!$D$5:$D$14,0)))),""))</f>
        <v/>
      </c>
      <c r="T2030" s="13"/>
      <c r="U2030" s="13"/>
      <c r="V2030" s="13"/>
      <c r="W2030" s="13"/>
      <c r="X2030" s="22" t="str">
        <f aca="false">IF(Q2030="","",Q2030^2)</f>
        <v/>
      </c>
      <c r="Y2030" s="22" t="str">
        <f aca="false">IF(AND(C2030&lt;&gt;"",C2030=CERTIFICADO!$E$4,OR(CERTIFICADO!$E$5="",B2030=CERTIFICADO!$E$5)),MAX($Y$4:Y2029)+1,"")</f>
        <v/>
      </c>
    </row>
    <row r="2031" customFormat="false" ht="15" hidden="false" customHeight="false" outlineLevel="0" collapsed="false">
      <c r="A2031" s="11" t="str">
        <f aca="false">IF(C2031="","",ROW()-4)</f>
        <v/>
      </c>
      <c r="B2031" s="12"/>
      <c r="C2031" s="13"/>
      <c r="D2031" s="23" t="str">
        <f aca="false">IF(C2031="","",IFERROR(INDEX(LOTES!$D$5:$D$1004,MATCH(C2031,LOTES!$F$5:$F$1004,0)),"¿Lote?"))</f>
        <v/>
      </c>
      <c r="E2031" s="11" t="str">
        <f aca="false">IF(C2031="","",IFERROR(INDEX(LOTES!$C$5:$C$1004,MATCH(C2031,LOTES!$F$5:$F$1004,0)),""))</f>
        <v/>
      </c>
      <c r="F2031" s="24" t="str">
        <f aca="false">IF(C2031="","",IFERROR(INDEX(LOTES!$B$5:$B$1004,MATCH(C2031,LOTES!$F$5:$F$1004,0)),""))</f>
        <v/>
      </c>
      <c r="G2031" s="15" t="str">
        <f aca="false">IF(OR(B2031="",F2031=""),"",B2031-F2031)</f>
        <v/>
      </c>
      <c r="H2031" s="13"/>
      <c r="I2031" s="13"/>
      <c r="J2031" s="13"/>
      <c r="K2031" s="25"/>
      <c r="L2031" s="25"/>
      <c r="M2031" s="25"/>
      <c r="N2031" s="25"/>
      <c r="O2031" s="26"/>
      <c r="P2031" s="16" t="str">
        <f aca="false">IF(O2031="","",IFERROR(1/(1/(IF(K2031="",INDEX(CONFIG!$F$5:$F$14,MATCH(D2031,CONFIG!$D$5:$D$14,0)),K2031)*IF(M2031="",INDEX(CONFIG!$H$5:$H$14,MATCH(D2031,CONFIG!$D$5:$D$14,0)),M2031))),""))</f>
        <v/>
      </c>
      <c r="Q2031" s="16" t="str">
        <f aca="false">IF(OR(O2031="",P2031=""),"",O2031/P2031)</f>
        <v/>
      </c>
      <c r="R2031" s="16" t="str">
        <f aca="false">IF(Q2031="","",Q2031*0.0980665)</f>
        <v/>
      </c>
      <c r="S2031" s="16" t="str">
        <f aca="false">IF(Q2031="","",IFERROR(Q2031/(1/(1/INDEX(CONFIG!$I$5:$I$14,MATCH(D2031,CONFIG!$D$5:$D$14,0)))),""))</f>
        <v/>
      </c>
      <c r="T2031" s="13"/>
      <c r="U2031" s="13"/>
      <c r="V2031" s="13"/>
      <c r="W2031" s="13"/>
      <c r="X2031" s="22" t="str">
        <f aca="false">IF(Q2031="","",Q2031^2)</f>
        <v/>
      </c>
      <c r="Y2031" s="22" t="str">
        <f aca="false">IF(AND(C2031&lt;&gt;"",C2031=CERTIFICADO!$E$4,OR(CERTIFICADO!$E$5="",B2031=CERTIFICADO!$E$5)),MAX($Y$4:Y2030)+1,"")</f>
        <v/>
      </c>
    </row>
    <row r="2032" customFormat="false" ht="15" hidden="false" customHeight="false" outlineLevel="0" collapsed="false">
      <c r="A2032" s="11" t="str">
        <f aca="false">IF(C2032="","",ROW()-4)</f>
        <v/>
      </c>
      <c r="B2032" s="12"/>
      <c r="C2032" s="13"/>
      <c r="D2032" s="23" t="str">
        <f aca="false">IF(C2032="","",IFERROR(INDEX(LOTES!$D$5:$D$1004,MATCH(C2032,LOTES!$F$5:$F$1004,0)),"¿Lote?"))</f>
        <v/>
      </c>
      <c r="E2032" s="11" t="str">
        <f aca="false">IF(C2032="","",IFERROR(INDEX(LOTES!$C$5:$C$1004,MATCH(C2032,LOTES!$F$5:$F$1004,0)),""))</f>
        <v/>
      </c>
      <c r="F2032" s="24" t="str">
        <f aca="false">IF(C2032="","",IFERROR(INDEX(LOTES!$B$5:$B$1004,MATCH(C2032,LOTES!$F$5:$F$1004,0)),""))</f>
        <v/>
      </c>
      <c r="G2032" s="15" t="str">
        <f aca="false">IF(OR(B2032="",F2032=""),"",B2032-F2032)</f>
        <v/>
      </c>
      <c r="H2032" s="13"/>
      <c r="I2032" s="13"/>
      <c r="J2032" s="13"/>
      <c r="K2032" s="25"/>
      <c r="L2032" s="25"/>
      <c r="M2032" s="25"/>
      <c r="N2032" s="25"/>
      <c r="O2032" s="26"/>
      <c r="P2032" s="16" t="str">
        <f aca="false">IF(O2032="","",IFERROR(1/(1/(IF(K2032="",INDEX(CONFIG!$F$5:$F$14,MATCH(D2032,CONFIG!$D$5:$D$14,0)),K2032)*IF(M2032="",INDEX(CONFIG!$H$5:$H$14,MATCH(D2032,CONFIG!$D$5:$D$14,0)),M2032))),""))</f>
        <v/>
      </c>
      <c r="Q2032" s="16" t="str">
        <f aca="false">IF(OR(O2032="",P2032=""),"",O2032/P2032)</f>
        <v/>
      </c>
      <c r="R2032" s="16" t="str">
        <f aca="false">IF(Q2032="","",Q2032*0.0980665)</f>
        <v/>
      </c>
      <c r="S2032" s="16" t="str">
        <f aca="false">IF(Q2032="","",IFERROR(Q2032/(1/(1/INDEX(CONFIG!$I$5:$I$14,MATCH(D2032,CONFIG!$D$5:$D$14,0)))),""))</f>
        <v/>
      </c>
      <c r="T2032" s="13"/>
      <c r="U2032" s="13"/>
      <c r="V2032" s="13"/>
      <c r="W2032" s="13"/>
      <c r="X2032" s="22" t="str">
        <f aca="false">IF(Q2032="","",Q2032^2)</f>
        <v/>
      </c>
      <c r="Y2032" s="22" t="str">
        <f aca="false">IF(AND(C2032&lt;&gt;"",C2032=CERTIFICADO!$E$4,OR(CERTIFICADO!$E$5="",B2032=CERTIFICADO!$E$5)),MAX($Y$4:Y2031)+1,"")</f>
        <v/>
      </c>
    </row>
    <row r="2033" customFormat="false" ht="15" hidden="false" customHeight="false" outlineLevel="0" collapsed="false">
      <c r="A2033" s="11" t="str">
        <f aca="false">IF(C2033="","",ROW()-4)</f>
        <v/>
      </c>
      <c r="B2033" s="12"/>
      <c r="C2033" s="13"/>
      <c r="D2033" s="23" t="str">
        <f aca="false">IF(C2033="","",IFERROR(INDEX(LOTES!$D$5:$D$1004,MATCH(C2033,LOTES!$F$5:$F$1004,0)),"¿Lote?"))</f>
        <v/>
      </c>
      <c r="E2033" s="11" t="str">
        <f aca="false">IF(C2033="","",IFERROR(INDEX(LOTES!$C$5:$C$1004,MATCH(C2033,LOTES!$F$5:$F$1004,0)),""))</f>
        <v/>
      </c>
      <c r="F2033" s="24" t="str">
        <f aca="false">IF(C2033="","",IFERROR(INDEX(LOTES!$B$5:$B$1004,MATCH(C2033,LOTES!$F$5:$F$1004,0)),""))</f>
        <v/>
      </c>
      <c r="G2033" s="15" t="str">
        <f aca="false">IF(OR(B2033="",F2033=""),"",B2033-F2033)</f>
        <v/>
      </c>
      <c r="H2033" s="13"/>
      <c r="I2033" s="13"/>
      <c r="J2033" s="13"/>
      <c r="K2033" s="25"/>
      <c r="L2033" s="25"/>
      <c r="M2033" s="25"/>
      <c r="N2033" s="25"/>
      <c r="O2033" s="26"/>
      <c r="P2033" s="16" t="str">
        <f aca="false">IF(O2033="","",IFERROR(1/(1/(IF(K2033="",INDEX(CONFIG!$F$5:$F$14,MATCH(D2033,CONFIG!$D$5:$D$14,0)),K2033)*IF(M2033="",INDEX(CONFIG!$H$5:$H$14,MATCH(D2033,CONFIG!$D$5:$D$14,0)),M2033))),""))</f>
        <v/>
      </c>
      <c r="Q2033" s="16" t="str">
        <f aca="false">IF(OR(O2033="",P2033=""),"",O2033/P2033)</f>
        <v/>
      </c>
      <c r="R2033" s="16" t="str">
        <f aca="false">IF(Q2033="","",Q2033*0.0980665)</f>
        <v/>
      </c>
      <c r="S2033" s="16" t="str">
        <f aca="false">IF(Q2033="","",IFERROR(Q2033/(1/(1/INDEX(CONFIG!$I$5:$I$14,MATCH(D2033,CONFIG!$D$5:$D$14,0)))),""))</f>
        <v/>
      </c>
      <c r="T2033" s="13"/>
      <c r="U2033" s="13"/>
      <c r="V2033" s="13"/>
      <c r="W2033" s="13"/>
      <c r="X2033" s="22" t="str">
        <f aca="false">IF(Q2033="","",Q2033^2)</f>
        <v/>
      </c>
      <c r="Y2033" s="22" t="str">
        <f aca="false">IF(AND(C2033&lt;&gt;"",C2033=CERTIFICADO!$E$4,OR(CERTIFICADO!$E$5="",B2033=CERTIFICADO!$E$5)),MAX($Y$4:Y2032)+1,"")</f>
        <v/>
      </c>
    </row>
    <row r="2034" customFormat="false" ht="15" hidden="false" customHeight="false" outlineLevel="0" collapsed="false">
      <c r="A2034" s="11" t="str">
        <f aca="false">IF(C2034="","",ROW()-4)</f>
        <v/>
      </c>
      <c r="B2034" s="12"/>
      <c r="C2034" s="13"/>
      <c r="D2034" s="23" t="str">
        <f aca="false">IF(C2034="","",IFERROR(INDEX(LOTES!$D$5:$D$1004,MATCH(C2034,LOTES!$F$5:$F$1004,0)),"¿Lote?"))</f>
        <v/>
      </c>
      <c r="E2034" s="11" t="str">
        <f aca="false">IF(C2034="","",IFERROR(INDEX(LOTES!$C$5:$C$1004,MATCH(C2034,LOTES!$F$5:$F$1004,0)),""))</f>
        <v/>
      </c>
      <c r="F2034" s="24" t="str">
        <f aca="false">IF(C2034="","",IFERROR(INDEX(LOTES!$B$5:$B$1004,MATCH(C2034,LOTES!$F$5:$F$1004,0)),""))</f>
        <v/>
      </c>
      <c r="G2034" s="15" t="str">
        <f aca="false">IF(OR(B2034="",F2034=""),"",B2034-F2034)</f>
        <v/>
      </c>
      <c r="H2034" s="13"/>
      <c r="I2034" s="13"/>
      <c r="J2034" s="13"/>
      <c r="K2034" s="25"/>
      <c r="L2034" s="25"/>
      <c r="M2034" s="25"/>
      <c r="N2034" s="25"/>
      <c r="O2034" s="26"/>
      <c r="P2034" s="16" t="str">
        <f aca="false">IF(O2034="","",IFERROR(1/(1/(IF(K2034="",INDEX(CONFIG!$F$5:$F$14,MATCH(D2034,CONFIG!$D$5:$D$14,0)),K2034)*IF(M2034="",INDEX(CONFIG!$H$5:$H$14,MATCH(D2034,CONFIG!$D$5:$D$14,0)),M2034))),""))</f>
        <v/>
      </c>
      <c r="Q2034" s="16" t="str">
        <f aca="false">IF(OR(O2034="",P2034=""),"",O2034/P2034)</f>
        <v/>
      </c>
      <c r="R2034" s="16" t="str">
        <f aca="false">IF(Q2034="","",Q2034*0.0980665)</f>
        <v/>
      </c>
      <c r="S2034" s="16" t="str">
        <f aca="false">IF(Q2034="","",IFERROR(Q2034/(1/(1/INDEX(CONFIG!$I$5:$I$14,MATCH(D2034,CONFIG!$D$5:$D$14,0)))),""))</f>
        <v/>
      </c>
      <c r="T2034" s="13"/>
      <c r="U2034" s="13"/>
      <c r="V2034" s="13"/>
      <c r="W2034" s="13"/>
      <c r="X2034" s="22" t="str">
        <f aca="false">IF(Q2034="","",Q2034^2)</f>
        <v/>
      </c>
      <c r="Y2034" s="22" t="str">
        <f aca="false">IF(AND(C2034&lt;&gt;"",C2034=CERTIFICADO!$E$4,OR(CERTIFICADO!$E$5="",B2034=CERTIFICADO!$E$5)),MAX($Y$4:Y2033)+1,"")</f>
        <v/>
      </c>
    </row>
    <row r="2035" customFormat="false" ht="15" hidden="false" customHeight="false" outlineLevel="0" collapsed="false">
      <c r="A2035" s="11" t="str">
        <f aca="false">IF(C2035="","",ROW()-4)</f>
        <v/>
      </c>
      <c r="B2035" s="12"/>
      <c r="C2035" s="13"/>
      <c r="D2035" s="23" t="str">
        <f aca="false">IF(C2035="","",IFERROR(INDEX(LOTES!$D$5:$D$1004,MATCH(C2035,LOTES!$F$5:$F$1004,0)),"¿Lote?"))</f>
        <v/>
      </c>
      <c r="E2035" s="11" t="str">
        <f aca="false">IF(C2035="","",IFERROR(INDEX(LOTES!$C$5:$C$1004,MATCH(C2035,LOTES!$F$5:$F$1004,0)),""))</f>
        <v/>
      </c>
      <c r="F2035" s="24" t="str">
        <f aca="false">IF(C2035="","",IFERROR(INDEX(LOTES!$B$5:$B$1004,MATCH(C2035,LOTES!$F$5:$F$1004,0)),""))</f>
        <v/>
      </c>
      <c r="G2035" s="15" t="str">
        <f aca="false">IF(OR(B2035="",F2035=""),"",B2035-F2035)</f>
        <v/>
      </c>
      <c r="H2035" s="13"/>
      <c r="I2035" s="13"/>
      <c r="J2035" s="13"/>
      <c r="K2035" s="25"/>
      <c r="L2035" s="25"/>
      <c r="M2035" s="25"/>
      <c r="N2035" s="25"/>
      <c r="O2035" s="26"/>
      <c r="P2035" s="16" t="str">
        <f aca="false">IF(O2035="","",IFERROR(1/(1/(IF(K2035="",INDEX(CONFIG!$F$5:$F$14,MATCH(D2035,CONFIG!$D$5:$D$14,0)),K2035)*IF(M2035="",INDEX(CONFIG!$H$5:$H$14,MATCH(D2035,CONFIG!$D$5:$D$14,0)),M2035))),""))</f>
        <v/>
      </c>
      <c r="Q2035" s="16" t="str">
        <f aca="false">IF(OR(O2035="",P2035=""),"",O2035/P2035)</f>
        <v/>
      </c>
      <c r="R2035" s="16" t="str">
        <f aca="false">IF(Q2035="","",Q2035*0.0980665)</f>
        <v/>
      </c>
      <c r="S2035" s="16" t="str">
        <f aca="false">IF(Q2035="","",IFERROR(Q2035/(1/(1/INDEX(CONFIG!$I$5:$I$14,MATCH(D2035,CONFIG!$D$5:$D$14,0)))),""))</f>
        <v/>
      </c>
      <c r="T2035" s="13"/>
      <c r="U2035" s="13"/>
      <c r="V2035" s="13"/>
      <c r="W2035" s="13"/>
      <c r="X2035" s="22" t="str">
        <f aca="false">IF(Q2035="","",Q2035^2)</f>
        <v/>
      </c>
      <c r="Y2035" s="22" t="str">
        <f aca="false">IF(AND(C2035&lt;&gt;"",C2035=CERTIFICADO!$E$4,OR(CERTIFICADO!$E$5="",B2035=CERTIFICADO!$E$5)),MAX($Y$4:Y2034)+1,"")</f>
        <v/>
      </c>
    </row>
    <row r="2036" customFormat="false" ht="15" hidden="false" customHeight="false" outlineLevel="0" collapsed="false">
      <c r="A2036" s="11" t="str">
        <f aca="false">IF(C2036="","",ROW()-4)</f>
        <v/>
      </c>
      <c r="B2036" s="12"/>
      <c r="C2036" s="13"/>
      <c r="D2036" s="23" t="str">
        <f aca="false">IF(C2036="","",IFERROR(INDEX(LOTES!$D$5:$D$1004,MATCH(C2036,LOTES!$F$5:$F$1004,0)),"¿Lote?"))</f>
        <v/>
      </c>
      <c r="E2036" s="11" t="str">
        <f aca="false">IF(C2036="","",IFERROR(INDEX(LOTES!$C$5:$C$1004,MATCH(C2036,LOTES!$F$5:$F$1004,0)),""))</f>
        <v/>
      </c>
      <c r="F2036" s="24" t="str">
        <f aca="false">IF(C2036="","",IFERROR(INDEX(LOTES!$B$5:$B$1004,MATCH(C2036,LOTES!$F$5:$F$1004,0)),""))</f>
        <v/>
      </c>
      <c r="G2036" s="15" t="str">
        <f aca="false">IF(OR(B2036="",F2036=""),"",B2036-F2036)</f>
        <v/>
      </c>
      <c r="H2036" s="13"/>
      <c r="I2036" s="13"/>
      <c r="J2036" s="13"/>
      <c r="K2036" s="25"/>
      <c r="L2036" s="25"/>
      <c r="M2036" s="25"/>
      <c r="N2036" s="25"/>
      <c r="O2036" s="26"/>
      <c r="P2036" s="16" t="str">
        <f aca="false">IF(O2036="","",IFERROR(1/(1/(IF(K2036="",INDEX(CONFIG!$F$5:$F$14,MATCH(D2036,CONFIG!$D$5:$D$14,0)),K2036)*IF(M2036="",INDEX(CONFIG!$H$5:$H$14,MATCH(D2036,CONFIG!$D$5:$D$14,0)),M2036))),""))</f>
        <v/>
      </c>
      <c r="Q2036" s="16" t="str">
        <f aca="false">IF(OR(O2036="",P2036=""),"",O2036/P2036)</f>
        <v/>
      </c>
      <c r="R2036" s="16" t="str">
        <f aca="false">IF(Q2036="","",Q2036*0.0980665)</f>
        <v/>
      </c>
      <c r="S2036" s="16" t="str">
        <f aca="false">IF(Q2036="","",IFERROR(Q2036/(1/(1/INDEX(CONFIG!$I$5:$I$14,MATCH(D2036,CONFIG!$D$5:$D$14,0)))),""))</f>
        <v/>
      </c>
      <c r="T2036" s="13"/>
      <c r="U2036" s="13"/>
      <c r="V2036" s="13"/>
      <c r="W2036" s="13"/>
      <c r="X2036" s="22" t="str">
        <f aca="false">IF(Q2036="","",Q2036^2)</f>
        <v/>
      </c>
      <c r="Y2036" s="22" t="str">
        <f aca="false">IF(AND(C2036&lt;&gt;"",C2036=CERTIFICADO!$E$4,OR(CERTIFICADO!$E$5="",B2036=CERTIFICADO!$E$5)),MAX($Y$4:Y2035)+1,"")</f>
        <v/>
      </c>
    </row>
    <row r="2037" customFormat="false" ht="15" hidden="false" customHeight="false" outlineLevel="0" collapsed="false">
      <c r="A2037" s="11" t="str">
        <f aca="false">IF(C2037="","",ROW()-4)</f>
        <v/>
      </c>
      <c r="B2037" s="12"/>
      <c r="C2037" s="13"/>
      <c r="D2037" s="23" t="str">
        <f aca="false">IF(C2037="","",IFERROR(INDEX(LOTES!$D$5:$D$1004,MATCH(C2037,LOTES!$F$5:$F$1004,0)),"¿Lote?"))</f>
        <v/>
      </c>
      <c r="E2037" s="11" t="str">
        <f aca="false">IF(C2037="","",IFERROR(INDEX(LOTES!$C$5:$C$1004,MATCH(C2037,LOTES!$F$5:$F$1004,0)),""))</f>
        <v/>
      </c>
      <c r="F2037" s="24" t="str">
        <f aca="false">IF(C2037="","",IFERROR(INDEX(LOTES!$B$5:$B$1004,MATCH(C2037,LOTES!$F$5:$F$1004,0)),""))</f>
        <v/>
      </c>
      <c r="G2037" s="15" t="str">
        <f aca="false">IF(OR(B2037="",F2037=""),"",B2037-F2037)</f>
        <v/>
      </c>
      <c r="H2037" s="13"/>
      <c r="I2037" s="13"/>
      <c r="J2037" s="13"/>
      <c r="K2037" s="25"/>
      <c r="L2037" s="25"/>
      <c r="M2037" s="25"/>
      <c r="N2037" s="25"/>
      <c r="O2037" s="26"/>
      <c r="P2037" s="16" t="str">
        <f aca="false">IF(O2037="","",IFERROR(1/(1/(IF(K2037="",INDEX(CONFIG!$F$5:$F$14,MATCH(D2037,CONFIG!$D$5:$D$14,0)),K2037)*IF(M2037="",INDEX(CONFIG!$H$5:$H$14,MATCH(D2037,CONFIG!$D$5:$D$14,0)),M2037))),""))</f>
        <v/>
      </c>
      <c r="Q2037" s="16" t="str">
        <f aca="false">IF(OR(O2037="",P2037=""),"",O2037/P2037)</f>
        <v/>
      </c>
      <c r="R2037" s="16" t="str">
        <f aca="false">IF(Q2037="","",Q2037*0.0980665)</f>
        <v/>
      </c>
      <c r="S2037" s="16" t="str">
        <f aca="false">IF(Q2037="","",IFERROR(Q2037/(1/(1/INDEX(CONFIG!$I$5:$I$14,MATCH(D2037,CONFIG!$D$5:$D$14,0)))),""))</f>
        <v/>
      </c>
      <c r="T2037" s="13"/>
      <c r="U2037" s="13"/>
      <c r="V2037" s="13"/>
      <c r="W2037" s="13"/>
      <c r="X2037" s="22" t="str">
        <f aca="false">IF(Q2037="","",Q2037^2)</f>
        <v/>
      </c>
      <c r="Y2037" s="22" t="str">
        <f aca="false">IF(AND(C2037&lt;&gt;"",C2037=CERTIFICADO!$E$4,OR(CERTIFICADO!$E$5="",B2037=CERTIFICADO!$E$5)),MAX($Y$4:Y2036)+1,"")</f>
        <v/>
      </c>
    </row>
    <row r="2038" customFormat="false" ht="15" hidden="false" customHeight="false" outlineLevel="0" collapsed="false">
      <c r="A2038" s="11" t="str">
        <f aca="false">IF(C2038="","",ROW()-4)</f>
        <v/>
      </c>
      <c r="B2038" s="12"/>
      <c r="C2038" s="13"/>
      <c r="D2038" s="23" t="str">
        <f aca="false">IF(C2038="","",IFERROR(INDEX(LOTES!$D$5:$D$1004,MATCH(C2038,LOTES!$F$5:$F$1004,0)),"¿Lote?"))</f>
        <v/>
      </c>
      <c r="E2038" s="11" t="str">
        <f aca="false">IF(C2038="","",IFERROR(INDEX(LOTES!$C$5:$C$1004,MATCH(C2038,LOTES!$F$5:$F$1004,0)),""))</f>
        <v/>
      </c>
      <c r="F2038" s="24" t="str">
        <f aca="false">IF(C2038="","",IFERROR(INDEX(LOTES!$B$5:$B$1004,MATCH(C2038,LOTES!$F$5:$F$1004,0)),""))</f>
        <v/>
      </c>
      <c r="G2038" s="15" t="str">
        <f aca="false">IF(OR(B2038="",F2038=""),"",B2038-F2038)</f>
        <v/>
      </c>
      <c r="H2038" s="13"/>
      <c r="I2038" s="13"/>
      <c r="J2038" s="13"/>
      <c r="K2038" s="25"/>
      <c r="L2038" s="25"/>
      <c r="M2038" s="25"/>
      <c r="N2038" s="25"/>
      <c r="O2038" s="26"/>
      <c r="P2038" s="16" t="str">
        <f aca="false">IF(O2038="","",IFERROR(1/(1/(IF(K2038="",INDEX(CONFIG!$F$5:$F$14,MATCH(D2038,CONFIG!$D$5:$D$14,0)),K2038)*IF(M2038="",INDEX(CONFIG!$H$5:$H$14,MATCH(D2038,CONFIG!$D$5:$D$14,0)),M2038))),""))</f>
        <v/>
      </c>
      <c r="Q2038" s="16" t="str">
        <f aca="false">IF(OR(O2038="",P2038=""),"",O2038/P2038)</f>
        <v/>
      </c>
      <c r="R2038" s="16" t="str">
        <f aca="false">IF(Q2038="","",Q2038*0.0980665)</f>
        <v/>
      </c>
      <c r="S2038" s="16" t="str">
        <f aca="false">IF(Q2038="","",IFERROR(Q2038/(1/(1/INDEX(CONFIG!$I$5:$I$14,MATCH(D2038,CONFIG!$D$5:$D$14,0)))),""))</f>
        <v/>
      </c>
      <c r="T2038" s="13"/>
      <c r="U2038" s="13"/>
      <c r="V2038" s="13"/>
      <c r="W2038" s="13"/>
      <c r="X2038" s="22" t="str">
        <f aca="false">IF(Q2038="","",Q2038^2)</f>
        <v/>
      </c>
      <c r="Y2038" s="22" t="str">
        <f aca="false">IF(AND(C2038&lt;&gt;"",C2038=CERTIFICADO!$E$4,OR(CERTIFICADO!$E$5="",B2038=CERTIFICADO!$E$5)),MAX($Y$4:Y2037)+1,"")</f>
        <v/>
      </c>
    </row>
    <row r="2039" customFormat="false" ht="15" hidden="false" customHeight="false" outlineLevel="0" collapsed="false">
      <c r="A2039" s="11" t="str">
        <f aca="false">IF(C2039="","",ROW()-4)</f>
        <v/>
      </c>
      <c r="B2039" s="12"/>
      <c r="C2039" s="13"/>
      <c r="D2039" s="23" t="str">
        <f aca="false">IF(C2039="","",IFERROR(INDEX(LOTES!$D$5:$D$1004,MATCH(C2039,LOTES!$F$5:$F$1004,0)),"¿Lote?"))</f>
        <v/>
      </c>
      <c r="E2039" s="11" t="str">
        <f aca="false">IF(C2039="","",IFERROR(INDEX(LOTES!$C$5:$C$1004,MATCH(C2039,LOTES!$F$5:$F$1004,0)),""))</f>
        <v/>
      </c>
      <c r="F2039" s="24" t="str">
        <f aca="false">IF(C2039="","",IFERROR(INDEX(LOTES!$B$5:$B$1004,MATCH(C2039,LOTES!$F$5:$F$1004,0)),""))</f>
        <v/>
      </c>
      <c r="G2039" s="15" t="str">
        <f aca="false">IF(OR(B2039="",F2039=""),"",B2039-F2039)</f>
        <v/>
      </c>
      <c r="H2039" s="13"/>
      <c r="I2039" s="13"/>
      <c r="J2039" s="13"/>
      <c r="K2039" s="25"/>
      <c r="L2039" s="25"/>
      <c r="M2039" s="25"/>
      <c r="N2039" s="25"/>
      <c r="O2039" s="26"/>
      <c r="P2039" s="16" t="str">
        <f aca="false">IF(O2039="","",IFERROR(1/(1/(IF(K2039="",INDEX(CONFIG!$F$5:$F$14,MATCH(D2039,CONFIG!$D$5:$D$14,0)),K2039)*IF(M2039="",INDEX(CONFIG!$H$5:$H$14,MATCH(D2039,CONFIG!$D$5:$D$14,0)),M2039))),""))</f>
        <v/>
      </c>
      <c r="Q2039" s="16" t="str">
        <f aca="false">IF(OR(O2039="",P2039=""),"",O2039/P2039)</f>
        <v/>
      </c>
      <c r="R2039" s="16" t="str">
        <f aca="false">IF(Q2039="","",Q2039*0.0980665)</f>
        <v/>
      </c>
      <c r="S2039" s="16" t="str">
        <f aca="false">IF(Q2039="","",IFERROR(Q2039/(1/(1/INDEX(CONFIG!$I$5:$I$14,MATCH(D2039,CONFIG!$D$5:$D$14,0)))),""))</f>
        <v/>
      </c>
      <c r="T2039" s="13"/>
      <c r="U2039" s="13"/>
      <c r="V2039" s="13"/>
      <c r="W2039" s="13"/>
      <c r="X2039" s="22" t="str">
        <f aca="false">IF(Q2039="","",Q2039^2)</f>
        <v/>
      </c>
      <c r="Y2039" s="22" t="str">
        <f aca="false">IF(AND(C2039&lt;&gt;"",C2039=CERTIFICADO!$E$4,OR(CERTIFICADO!$E$5="",B2039=CERTIFICADO!$E$5)),MAX($Y$4:Y2038)+1,"")</f>
        <v/>
      </c>
    </row>
    <row r="2040" customFormat="false" ht="15" hidden="false" customHeight="false" outlineLevel="0" collapsed="false">
      <c r="A2040" s="11" t="str">
        <f aca="false">IF(C2040="","",ROW()-4)</f>
        <v/>
      </c>
      <c r="B2040" s="12"/>
      <c r="C2040" s="13"/>
      <c r="D2040" s="23" t="str">
        <f aca="false">IF(C2040="","",IFERROR(INDEX(LOTES!$D$5:$D$1004,MATCH(C2040,LOTES!$F$5:$F$1004,0)),"¿Lote?"))</f>
        <v/>
      </c>
      <c r="E2040" s="11" t="str">
        <f aca="false">IF(C2040="","",IFERROR(INDEX(LOTES!$C$5:$C$1004,MATCH(C2040,LOTES!$F$5:$F$1004,0)),""))</f>
        <v/>
      </c>
      <c r="F2040" s="24" t="str">
        <f aca="false">IF(C2040="","",IFERROR(INDEX(LOTES!$B$5:$B$1004,MATCH(C2040,LOTES!$F$5:$F$1004,0)),""))</f>
        <v/>
      </c>
      <c r="G2040" s="15" t="str">
        <f aca="false">IF(OR(B2040="",F2040=""),"",B2040-F2040)</f>
        <v/>
      </c>
      <c r="H2040" s="13"/>
      <c r="I2040" s="13"/>
      <c r="J2040" s="13"/>
      <c r="K2040" s="25"/>
      <c r="L2040" s="25"/>
      <c r="M2040" s="25"/>
      <c r="N2040" s="25"/>
      <c r="O2040" s="26"/>
      <c r="P2040" s="16" t="str">
        <f aca="false">IF(O2040="","",IFERROR(1/(1/(IF(K2040="",INDEX(CONFIG!$F$5:$F$14,MATCH(D2040,CONFIG!$D$5:$D$14,0)),K2040)*IF(M2040="",INDEX(CONFIG!$H$5:$H$14,MATCH(D2040,CONFIG!$D$5:$D$14,0)),M2040))),""))</f>
        <v/>
      </c>
      <c r="Q2040" s="16" t="str">
        <f aca="false">IF(OR(O2040="",P2040=""),"",O2040/P2040)</f>
        <v/>
      </c>
      <c r="R2040" s="16" t="str">
        <f aca="false">IF(Q2040="","",Q2040*0.0980665)</f>
        <v/>
      </c>
      <c r="S2040" s="16" t="str">
        <f aca="false">IF(Q2040="","",IFERROR(Q2040/(1/(1/INDEX(CONFIG!$I$5:$I$14,MATCH(D2040,CONFIG!$D$5:$D$14,0)))),""))</f>
        <v/>
      </c>
      <c r="T2040" s="13"/>
      <c r="U2040" s="13"/>
      <c r="V2040" s="13"/>
      <c r="W2040" s="13"/>
      <c r="X2040" s="22" t="str">
        <f aca="false">IF(Q2040="","",Q2040^2)</f>
        <v/>
      </c>
      <c r="Y2040" s="22" t="str">
        <f aca="false">IF(AND(C2040&lt;&gt;"",C2040=CERTIFICADO!$E$4,OR(CERTIFICADO!$E$5="",B2040=CERTIFICADO!$E$5)),MAX($Y$4:Y2039)+1,"")</f>
        <v/>
      </c>
    </row>
    <row r="2041" customFormat="false" ht="15" hidden="false" customHeight="false" outlineLevel="0" collapsed="false">
      <c r="A2041" s="11" t="str">
        <f aca="false">IF(C2041="","",ROW()-4)</f>
        <v/>
      </c>
      <c r="B2041" s="12"/>
      <c r="C2041" s="13"/>
      <c r="D2041" s="23" t="str">
        <f aca="false">IF(C2041="","",IFERROR(INDEX(LOTES!$D$5:$D$1004,MATCH(C2041,LOTES!$F$5:$F$1004,0)),"¿Lote?"))</f>
        <v/>
      </c>
      <c r="E2041" s="11" t="str">
        <f aca="false">IF(C2041="","",IFERROR(INDEX(LOTES!$C$5:$C$1004,MATCH(C2041,LOTES!$F$5:$F$1004,0)),""))</f>
        <v/>
      </c>
      <c r="F2041" s="24" t="str">
        <f aca="false">IF(C2041="","",IFERROR(INDEX(LOTES!$B$5:$B$1004,MATCH(C2041,LOTES!$F$5:$F$1004,0)),""))</f>
        <v/>
      </c>
      <c r="G2041" s="15" t="str">
        <f aca="false">IF(OR(B2041="",F2041=""),"",B2041-F2041)</f>
        <v/>
      </c>
      <c r="H2041" s="13"/>
      <c r="I2041" s="13"/>
      <c r="J2041" s="13"/>
      <c r="K2041" s="25"/>
      <c r="L2041" s="25"/>
      <c r="M2041" s="25"/>
      <c r="N2041" s="25"/>
      <c r="O2041" s="26"/>
      <c r="P2041" s="16" t="str">
        <f aca="false">IF(O2041="","",IFERROR(1/(1/(IF(K2041="",INDEX(CONFIG!$F$5:$F$14,MATCH(D2041,CONFIG!$D$5:$D$14,0)),K2041)*IF(M2041="",INDEX(CONFIG!$H$5:$H$14,MATCH(D2041,CONFIG!$D$5:$D$14,0)),M2041))),""))</f>
        <v/>
      </c>
      <c r="Q2041" s="16" t="str">
        <f aca="false">IF(OR(O2041="",P2041=""),"",O2041/P2041)</f>
        <v/>
      </c>
      <c r="R2041" s="16" t="str">
        <f aca="false">IF(Q2041="","",Q2041*0.0980665)</f>
        <v/>
      </c>
      <c r="S2041" s="16" t="str">
        <f aca="false">IF(Q2041="","",IFERROR(Q2041/(1/(1/INDEX(CONFIG!$I$5:$I$14,MATCH(D2041,CONFIG!$D$5:$D$14,0)))),""))</f>
        <v/>
      </c>
      <c r="T2041" s="13"/>
      <c r="U2041" s="13"/>
      <c r="V2041" s="13"/>
      <c r="W2041" s="13"/>
      <c r="X2041" s="22" t="str">
        <f aca="false">IF(Q2041="","",Q2041^2)</f>
        <v/>
      </c>
      <c r="Y2041" s="22" t="str">
        <f aca="false">IF(AND(C2041&lt;&gt;"",C2041=CERTIFICADO!$E$4,OR(CERTIFICADO!$E$5="",B2041=CERTIFICADO!$E$5)),MAX($Y$4:Y2040)+1,"")</f>
        <v/>
      </c>
    </row>
    <row r="2042" customFormat="false" ht="15" hidden="false" customHeight="false" outlineLevel="0" collapsed="false">
      <c r="A2042" s="11" t="str">
        <f aca="false">IF(C2042="","",ROW()-4)</f>
        <v/>
      </c>
      <c r="B2042" s="12"/>
      <c r="C2042" s="13"/>
      <c r="D2042" s="23" t="str">
        <f aca="false">IF(C2042="","",IFERROR(INDEX(LOTES!$D$5:$D$1004,MATCH(C2042,LOTES!$F$5:$F$1004,0)),"¿Lote?"))</f>
        <v/>
      </c>
      <c r="E2042" s="11" t="str">
        <f aca="false">IF(C2042="","",IFERROR(INDEX(LOTES!$C$5:$C$1004,MATCH(C2042,LOTES!$F$5:$F$1004,0)),""))</f>
        <v/>
      </c>
      <c r="F2042" s="24" t="str">
        <f aca="false">IF(C2042="","",IFERROR(INDEX(LOTES!$B$5:$B$1004,MATCH(C2042,LOTES!$F$5:$F$1004,0)),""))</f>
        <v/>
      </c>
      <c r="G2042" s="15" t="str">
        <f aca="false">IF(OR(B2042="",F2042=""),"",B2042-F2042)</f>
        <v/>
      </c>
      <c r="H2042" s="13"/>
      <c r="I2042" s="13"/>
      <c r="J2042" s="13"/>
      <c r="K2042" s="25"/>
      <c r="L2042" s="25"/>
      <c r="M2042" s="25"/>
      <c r="N2042" s="25"/>
      <c r="O2042" s="26"/>
      <c r="P2042" s="16" t="str">
        <f aca="false">IF(O2042="","",IFERROR(1/(1/(IF(K2042="",INDEX(CONFIG!$F$5:$F$14,MATCH(D2042,CONFIG!$D$5:$D$14,0)),K2042)*IF(M2042="",INDEX(CONFIG!$H$5:$H$14,MATCH(D2042,CONFIG!$D$5:$D$14,0)),M2042))),""))</f>
        <v/>
      </c>
      <c r="Q2042" s="16" t="str">
        <f aca="false">IF(OR(O2042="",P2042=""),"",O2042/P2042)</f>
        <v/>
      </c>
      <c r="R2042" s="16" t="str">
        <f aca="false">IF(Q2042="","",Q2042*0.0980665)</f>
        <v/>
      </c>
      <c r="S2042" s="16" t="str">
        <f aca="false">IF(Q2042="","",IFERROR(Q2042/(1/(1/INDEX(CONFIG!$I$5:$I$14,MATCH(D2042,CONFIG!$D$5:$D$14,0)))),""))</f>
        <v/>
      </c>
      <c r="T2042" s="13"/>
      <c r="U2042" s="13"/>
      <c r="V2042" s="13"/>
      <c r="W2042" s="13"/>
      <c r="X2042" s="22" t="str">
        <f aca="false">IF(Q2042="","",Q2042^2)</f>
        <v/>
      </c>
      <c r="Y2042" s="22" t="str">
        <f aca="false">IF(AND(C2042&lt;&gt;"",C2042=CERTIFICADO!$E$4,OR(CERTIFICADO!$E$5="",B2042=CERTIFICADO!$E$5)),MAX($Y$4:Y2041)+1,"")</f>
        <v/>
      </c>
    </row>
    <row r="2043" customFormat="false" ht="15" hidden="false" customHeight="false" outlineLevel="0" collapsed="false">
      <c r="A2043" s="11" t="str">
        <f aca="false">IF(C2043="","",ROW()-4)</f>
        <v/>
      </c>
      <c r="B2043" s="12"/>
      <c r="C2043" s="13"/>
      <c r="D2043" s="23" t="str">
        <f aca="false">IF(C2043="","",IFERROR(INDEX(LOTES!$D$5:$D$1004,MATCH(C2043,LOTES!$F$5:$F$1004,0)),"¿Lote?"))</f>
        <v/>
      </c>
      <c r="E2043" s="11" t="str">
        <f aca="false">IF(C2043="","",IFERROR(INDEX(LOTES!$C$5:$C$1004,MATCH(C2043,LOTES!$F$5:$F$1004,0)),""))</f>
        <v/>
      </c>
      <c r="F2043" s="24" t="str">
        <f aca="false">IF(C2043="","",IFERROR(INDEX(LOTES!$B$5:$B$1004,MATCH(C2043,LOTES!$F$5:$F$1004,0)),""))</f>
        <v/>
      </c>
      <c r="G2043" s="15" t="str">
        <f aca="false">IF(OR(B2043="",F2043=""),"",B2043-F2043)</f>
        <v/>
      </c>
      <c r="H2043" s="13"/>
      <c r="I2043" s="13"/>
      <c r="J2043" s="13"/>
      <c r="K2043" s="25"/>
      <c r="L2043" s="25"/>
      <c r="M2043" s="25"/>
      <c r="N2043" s="25"/>
      <c r="O2043" s="26"/>
      <c r="P2043" s="16" t="str">
        <f aca="false">IF(O2043="","",IFERROR(1/(1/(IF(K2043="",INDEX(CONFIG!$F$5:$F$14,MATCH(D2043,CONFIG!$D$5:$D$14,0)),K2043)*IF(M2043="",INDEX(CONFIG!$H$5:$H$14,MATCH(D2043,CONFIG!$D$5:$D$14,0)),M2043))),""))</f>
        <v/>
      </c>
      <c r="Q2043" s="16" t="str">
        <f aca="false">IF(OR(O2043="",P2043=""),"",O2043/P2043)</f>
        <v/>
      </c>
      <c r="R2043" s="16" t="str">
        <f aca="false">IF(Q2043="","",Q2043*0.0980665)</f>
        <v/>
      </c>
      <c r="S2043" s="16" t="str">
        <f aca="false">IF(Q2043="","",IFERROR(Q2043/(1/(1/INDEX(CONFIG!$I$5:$I$14,MATCH(D2043,CONFIG!$D$5:$D$14,0)))),""))</f>
        <v/>
      </c>
      <c r="T2043" s="13"/>
      <c r="U2043" s="13"/>
      <c r="V2043" s="13"/>
      <c r="W2043" s="13"/>
      <c r="X2043" s="22" t="str">
        <f aca="false">IF(Q2043="","",Q2043^2)</f>
        <v/>
      </c>
      <c r="Y2043" s="22" t="str">
        <f aca="false">IF(AND(C2043&lt;&gt;"",C2043=CERTIFICADO!$E$4,OR(CERTIFICADO!$E$5="",B2043=CERTIFICADO!$E$5)),MAX($Y$4:Y2042)+1,"")</f>
        <v/>
      </c>
    </row>
    <row r="2044" customFormat="false" ht="15" hidden="false" customHeight="false" outlineLevel="0" collapsed="false">
      <c r="A2044" s="11" t="str">
        <f aca="false">IF(C2044="","",ROW()-4)</f>
        <v/>
      </c>
      <c r="B2044" s="12"/>
      <c r="C2044" s="13"/>
      <c r="D2044" s="23" t="str">
        <f aca="false">IF(C2044="","",IFERROR(INDEX(LOTES!$D$5:$D$1004,MATCH(C2044,LOTES!$F$5:$F$1004,0)),"¿Lote?"))</f>
        <v/>
      </c>
      <c r="E2044" s="11" t="str">
        <f aca="false">IF(C2044="","",IFERROR(INDEX(LOTES!$C$5:$C$1004,MATCH(C2044,LOTES!$F$5:$F$1004,0)),""))</f>
        <v/>
      </c>
      <c r="F2044" s="24" t="str">
        <f aca="false">IF(C2044="","",IFERROR(INDEX(LOTES!$B$5:$B$1004,MATCH(C2044,LOTES!$F$5:$F$1004,0)),""))</f>
        <v/>
      </c>
      <c r="G2044" s="15" t="str">
        <f aca="false">IF(OR(B2044="",F2044=""),"",B2044-F2044)</f>
        <v/>
      </c>
      <c r="H2044" s="13"/>
      <c r="I2044" s="13"/>
      <c r="J2044" s="13"/>
      <c r="K2044" s="25"/>
      <c r="L2044" s="25"/>
      <c r="M2044" s="25"/>
      <c r="N2044" s="25"/>
      <c r="O2044" s="26"/>
      <c r="P2044" s="16" t="str">
        <f aca="false">IF(O2044="","",IFERROR(1/(1/(IF(K2044="",INDEX(CONFIG!$F$5:$F$14,MATCH(D2044,CONFIG!$D$5:$D$14,0)),K2044)*IF(M2044="",INDEX(CONFIG!$H$5:$H$14,MATCH(D2044,CONFIG!$D$5:$D$14,0)),M2044))),""))</f>
        <v/>
      </c>
      <c r="Q2044" s="16" t="str">
        <f aca="false">IF(OR(O2044="",P2044=""),"",O2044/P2044)</f>
        <v/>
      </c>
      <c r="R2044" s="16" t="str">
        <f aca="false">IF(Q2044="","",Q2044*0.0980665)</f>
        <v/>
      </c>
      <c r="S2044" s="16" t="str">
        <f aca="false">IF(Q2044="","",IFERROR(Q2044/(1/(1/INDEX(CONFIG!$I$5:$I$14,MATCH(D2044,CONFIG!$D$5:$D$14,0)))),""))</f>
        <v/>
      </c>
      <c r="T2044" s="13"/>
      <c r="U2044" s="13"/>
      <c r="V2044" s="13"/>
      <c r="W2044" s="13"/>
      <c r="X2044" s="22" t="str">
        <f aca="false">IF(Q2044="","",Q2044^2)</f>
        <v/>
      </c>
      <c r="Y2044" s="22" t="str">
        <f aca="false">IF(AND(C2044&lt;&gt;"",C2044=CERTIFICADO!$E$4,OR(CERTIFICADO!$E$5="",B2044=CERTIFICADO!$E$5)),MAX($Y$4:Y2043)+1,"")</f>
        <v/>
      </c>
    </row>
    <row r="2045" customFormat="false" ht="15" hidden="false" customHeight="false" outlineLevel="0" collapsed="false">
      <c r="A2045" s="11" t="str">
        <f aca="false">IF(C2045="","",ROW()-4)</f>
        <v/>
      </c>
      <c r="B2045" s="12"/>
      <c r="C2045" s="13"/>
      <c r="D2045" s="23" t="str">
        <f aca="false">IF(C2045="","",IFERROR(INDEX(LOTES!$D$5:$D$1004,MATCH(C2045,LOTES!$F$5:$F$1004,0)),"¿Lote?"))</f>
        <v/>
      </c>
      <c r="E2045" s="11" t="str">
        <f aca="false">IF(C2045="","",IFERROR(INDEX(LOTES!$C$5:$C$1004,MATCH(C2045,LOTES!$F$5:$F$1004,0)),""))</f>
        <v/>
      </c>
      <c r="F2045" s="24" t="str">
        <f aca="false">IF(C2045="","",IFERROR(INDEX(LOTES!$B$5:$B$1004,MATCH(C2045,LOTES!$F$5:$F$1004,0)),""))</f>
        <v/>
      </c>
      <c r="G2045" s="15" t="str">
        <f aca="false">IF(OR(B2045="",F2045=""),"",B2045-F2045)</f>
        <v/>
      </c>
      <c r="H2045" s="13"/>
      <c r="I2045" s="13"/>
      <c r="J2045" s="13"/>
      <c r="K2045" s="25"/>
      <c r="L2045" s="25"/>
      <c r="M2045" s="25"/>
      <c r="N2045" s="25"/>
      <c r="O2045" s="26"/>
      <c r="P2045" s="16" t="str">
        <f aca="false">IF(O2045="","",IFERROR(1/(1/(IF(K2045="",INDEX(CONFIG!$F$5:$F$14,MATCH(D2045,CONFIG!$D$5:$D$14,0)),K2045)*IF(M2045="",INDEX(CONFIG!$H$5:$H$14,MATCH(D2045,CONFIG!$D$5:$D$14,0)),M2045))),""))</f>
        <v/>
      </c>
      <c r="Q2045" s="16" t="str">
        <f aca="false">IF(OR(O2045="",P2045=""),"",O2045/P2045)</f>
        <v/>
      </c>
      <c r="R2045" s="16" t="str">
        <f aca="false">IF(Q2045="","",Q2045*0.0980665)</f>
        <v/>
      </c>
      <c r="S2045" s="16" t="str">
        <f aca="false">IF(Q2045="","",IFERROR(Q2045/(1/(1/INDEX(CONFIG!$I$5:$I$14,MATCH(D2045,CONFIG!$D$5:$D$14,0)))),""))</f>
        <v/>
      </c>
      <c r="T2045" s="13"/>
      <c r="U2045" s="13"/>
      <c r="V2045" s="13"/>
      <c r="W2045" s="13"/>
      <c r="X2045" s="22" t="str">
        <f aca="false">IF(Q2045="","",Q2045^2)</f>
        <v/>
      </c>
      <c r="Y2045" s="22" t="str">
        <f aca="false">IF(AND(C2045&lt;&gt;"",C2045=CERTIFICADO!$E$4,OR(CERTIFICADO!$E$5="",B2045=CERTIFICADO!$E$5)),MAX($Y$4:Y2044)+1,"")</f>
        <v/>
      </c>
    </row>
    <row r="2046" customFormat="false" ht="15" hidden="false" customHeight="false" outlineLevel="0" collapsed="false">
      <c r="A2046" s="11" t="str">
        <f aca="false">IF(C2046="","",ROW()-4)</f>
        <v/>
      </c>
      <c r="B2046" s="12"/>
      <c r="C2046" s="13"/>
      <c r="D2046" s="23" t="str">
        <f aca="false">IF(C2046="","",IFERROR(INDEX(LOTES!$D$5:$D$1004,MATCH(C2046,LOTES!$F$5:$F$1004,0)),"¿Lote?"))</f>
        <v/>
      </c>
      <c r="E2046" s="11" t="str">
        <f aca="false">IF(C2046="","",IFERROR(INDEX(LOTES!$C$5:$C$1004,MATCH(C2046,LOTES!$F$5:$F$1004,0)),""))</f>
        <v/>
      </c>
      <c r="F2046" s="24" t="str">
        <f aca="false">IF(C2046="","",IFERROR(INDEX(LOTES!$B$5:$B$1004,MATCH(C2046,LOTES!$F$5:$F$1004,0)),""))</f>
        <v/>
      </c>
      <c r="G2046" s="15" t="str">
        <f aca="false">IF(OR(B2046="",F2046=""),"",B2046-F2046)</f>
        <v/>
      </c>
      <c r="H2046" s="13"/>
      <c r="I2046" s="13"/>
      <c r="J2046" s="13"/>
      <c r="K2046" s="25"/>
      <c r="L2046" s="25"/>
      <c r="M2046" s="25"/>
      <c r="N2046" s="25"/>
      <c r="O2046" s="26"/>
      <c r="P2046" s="16" t="str">
        <f aca="false">IF(O2046="","",IFERROR(1/(1/(IF(K2046="",INDEX(CONFIG!$F$5:$F$14,MATCH(D2046,CONFIG!$D$5:$D$14,0)),K2046)*IF(M2046="",INDEX(CONFIG!$H$5:$H$14,MATCH(D2046,CONFIG!$D$5:$D$14,0)),M2046))),""))</f>
        <v/>
      </c>
      <c r="Q2046" s="16" t="str">
        <f aca="false">IF(OR(O2046="",P2046=""),"",O2046/P2046)</f>
        <v/>
      </c>
      <c r="R2046" s="16" t="str">
        <f aca="false">IF(Q2046="","",Q2046*0.0980665)</f>
        <v/>
      </c>
      <c r="S2046" s="16" t="str">
        <f aca="false">IF(Q2046="","",IFERROR(Q2046/(1/(1/INDEX(CONFIG!$I$5:$I$14,MATCH(D2046,CONFIG!$D$5:$D$14,0)))),""))</f>
        <v/>
      </c>
      <c r="T2046" s="13"/>
      <c r="U2046" s="13"/>
      <c r="V2046" s="13"/>
      <c r="W2046" s="13"/>
      <c r="X2046" s="22" t="str">
        <f aca="false">IF(Q2046="","",Q2046^2)</f>
        <v/>
      </c>
      <c r="Y2046" s="22" t="str">
        <f aca="false">IF(AND(C2046&lt;&gt;"",C2046=CERTIFICADO!$E$4,OR(CERTIFICADO!$E$5="",B2046=CERTIFICADO!$E$5)),MAX($Y$4:Y2045)+1,"")</f>
        <v/>
      </c>
    </row>
    <row r="2047" customFormat="false" ht="15" hidden="false" customHeight="false" outlineLevel="0" collapsed="false">
      <c r="A2047" s="11" t="str">
        <f aca="false">IF(C2047="","",ROW()-4)</f>
        <v/>
      </c>
      <c r="B2047" s="12"/>
      <c r="C2047" s="13"/>
      <c r="D2047" s="23" t="str">
        <f aca="false">IF(C2047="","",IFERROR(INDEX(LOTES!$D$5:$D$1004,MATCH(C2047,LOTES!$F$5:$F$1004,0)),"¿Lote?"))</f>
        <v/>
      </c>
      <c r="E2047" s="11" t="str">
        <f aca="false">IF(C2047="","",IFERROR(INDEX(LOTES!$C$5:$C$1004,MATCH(C2047,LOTES!$F$5:$F$1004,0)),""))</f>
        <v/>
      </c>
      <c r="F2047" s="24" t="str">
        <f aca="false">IF(C2047="","",IFERROR(INDEX(LOTES!$B$5:$B$1004,MATCH(C2047,LOTES!$F$5:$F$1004,0)),""))</f>
        <v/>
      </c>
      <c r="G2047" s="15" t="str">
        <f aca="false">IF(OR(B2047="",F2047=""),"",B2047-F2047)</f>
        <v/>
      </c>
      <c r="H2047" s="13"/>
      <c r="I2047" s="13"/>
      <c r="J2047" s="13"/>
      <c r="K2047" s="25"/>
      <c r="L2047" s="25"/>
      <c r="M2047" s="25"/>
      <c r="N2047" s="25"/>
      <c r="O2047" s="26"/>
      <c r="P2047" s="16" t="str">
        <f aca="false">IF(O2047="","",IFERROR(1/(1/(IF(K2047="",INDEX(CONFIG!$F$5:$F$14,MATCH(D2047,CONFIG!$D$5:$D$14,0)),K2047)*IF(M2047="",INDEX(CONFIG!$H$5:$H$14,MATCH(D2047,CONFIG!$D$5:$D$14,0)),M2047))),""))</f>
        <v/>
      </c>
      <c r="Q2047" s="16" t="str">
        <f aca="false">IF(OR(O2047="",P2047=""),"",O2047/P2047)</f>
        <v/>
      </c>
      <c r="R2047" s="16" t="str">
        <f aca="false">IF(Q2047="","",Q2047*0.0980665)</f>
        <v/>
      </c>
      <c r="S2047" s="16" t="str">
        <f aca="false">IF(Q2047="","",IFERROR(Q2047/(1/(1/INDEX(CONFIG!$I$5:$I$14,MATCH(D2047,CONFIG!$D$5:$D$14,0)))),""))</f>
        <v/>
      </c>
      <c r="T2047" s="13"/>
      <c r="U2047" s="13"/>
      <c r="V2047" s="13"/>
      <c r="W2047" s="13"/>
      <c r="X2047" s="22" t="str">
        <f aca="false">IF(Q2047="","",Q2047^2)</f>
        <v/>
      </c>
      <c r="Y2047" s="22" t="str">
        <f aca="false">IF(AND(C2047&lt;&gt;"",C2047=CERTIFICADO!$E$4,OR(CERTIFICADO!$E$5="",B2047=CERTIFICADO!$E$5)),MAX($Y$4:Y2046)+1,"")</f>
        <v/>
      </c>
    </row>
    <row r="2048" customFormat="false" ht="15" hidden="false" customHeight="false" outlineLevel="0" collapsed="false">
      <c r="A2048" s="11" t="str">
        <f aca="false">IF(C2048="","",ROW()-4)</f>
        <v/>
      </c>
      <c r="B2048" s="12"/>
      <c r="C2048" s="13"/>
      <c r="D2048" s="23" t="str">
        <f aca="false">IF(C2048="","",IFERROR(INDEX(LOTES!$D$5:$D$1004,MATCH(C2048,LOTES!$F$5:$F$1004,0)),"¿Lote?"))</f>
        <v/>
      </c>
      <c r="E2048" s="11" t="str">
        <f aca="false">IF(C2048="","",IFERROR(INDEX(LOTES!$C$5:$C$1004,MATCH(C2048,LOTES!$F$5:$F$1004,0)),""))</f>
        <v/>
      </c>
      <c r="F2048" s="24" t="str">
        <f aca="false">IF(C2048="","",IFERROR(INDEX(LOTES!$B$5:$B$1004,MATCH(C2048,LOTES!$F$5:$F$1004,0)),""))</f>
        <v/>
      </c>
      <c r="G2048" s="15" t="str">
        <f aca="false">IF(OR(B2048="",F2048=""),"",B2048-F2048)</f>
        <v/>
      </c>
      <c r="H2048" s="13"/>
      <c r="I2048" s="13"/>
      <c r="J2048" s="13"/>
      <c r="K2048" s="25"/>
      <c r="L2048" s="25"/>
      <c r="M2048" s="25"/>
      <c r="N2048" s="25"/>
      <c r="O2048" s="26"/>
      <c r="P2048" s="16" t="str">
        <f aca="false">IF(O2048="","",IFERROR(1/(1/(IF(K2048="",INDEX(CONFIG!$F$5:$F$14,MATCH(D2048,CONFIG!$D$5:$D$14,0)),K2048)*IF(M2048="",INDEX(CONFIG!$H$5:$H$14,MATCH(D2048,CONFIG!$D$5:$D$14,0)),M2048))),""))</f>
        <v/>
      </c>
      <c r="Q2048" s="16" t="str">
        <f aca="false">IF(OR(O2048="",P2048=""),"",O2048/P2048)</f>
        <v/>
      </c>
      <c r="R2048" s="16" t="str">
        <f aca="false">IF(Q2048="","",Q2048*0.0980665)</f>
        <v/>
      </c>
      <c r="S2048" s="16" t="str">
        <f aca="false">IF(Q2048="","",IFERROR(Q2048/(1/(1/INDEX(CONFIG!$I$5:$I$14,MATCH(D2048,CONFIG!$D$5:$D$14,0)))),""))</f>
        <v/>
      </c>
      <c r="T2048" s="13"/>
      <c r="U2048" s="13"/>
      <c r="V2048" s="13"/>
      <c r="W2048" s="13"/>
      <c r="X2048" s="22" t="str">
        <f aca="false">IF(Q2048="","",Q2048^2)</f>
        <v/>
      </c>
      <c r="Y2048" s="22" t="str">
        <f aca="false">IF(AND(C2048&lt;&gt;"",C2048=CERTIFICADO!$E$4,OR(CERTIFICADO!$E$5="",B2048=CERTIFICADO!$E$5)),MAX($Y$4:Y2047)+1,"")</f>
        <v/>
      </c>
    </row>
    <row r="2049" customFormat="false" ht="15" hidden="false" customHeight="false" outlineLevel="0" collapsed="false">
      <c r="A2049" s="11" t="str">
        <f aca="false">IF(C2049="","",ROW()-4)</f>
        <v/>
      </c>
      <c r="B2049" s="12"/>
      <c r="C2049" s="13"/>
      <c r="D2049" s="23" t="str">
        <f aca="false">IF(C2049="","",IFERROR(INDEX(LOTES!$D$5:$D$1004,MATCH(C2049,LOTES!$F$5:$F$1004,0)),"¿Lote?"))</f>
        <v/>
      </c>
      <c r="E2049" s="11" t="str">
        <f aca="false">IF(C2049="","",IFERROR(INDEX(LOTES!$C$5:$C$1004,MATCH(C2049,LOTES!$F$5:$F$1004,0)),""))</f>
        <v/>
      </c>
      <c r="F2049" s="24" t="str">
        <f aca="false">IF(C2049="","",IFERROR(INDEX(LOTES!$B$5:$B$1004,MATCH(C2049,LOTES!$F$5:$F$1004,0)),""))</f>
        <v/>
      </c>
      <c r="G2049" s="15" t="str">
        <f aca="false">IF(OR(B2049="",F2049=""),"",B2049-F2049)</f>
        <v/>
      </c>
      <c r="H2049" s="13"/>
      <c r="I2049" s="13"/>
      <c r="J2049" s="13"/>
      <c r="K2049" s="25"/>
      <c r="L2049" s="25"/>
      <c r="M2049" s="25"/>
      <c r="N2049" s="25"/>
      <c r="O2049" s="26"/>
      <c r="P2049" s="16" t="str">
        <f aca="false">IF(O2049="","",IFERROR(1/(1/(IF(K2049="",INDEX(CONFIG!$F$5:$F$14,MATCH(D2049,CONFIG!$D$5:$D$14,0)),K2049)*IF(M2049="",INDEX(CONFIG!$H$5:$H$14,MATCH(D2049,CONFIG!$D$5:$D$14,0)),M2049))),""))</f>
        <v/>
      </c>
      <c r="Q2049" s="16" t="str">
        <f aca="false">IF(OR(O2049="",P2049=""),"",O2049/P2049)</f>
        <v/>
      </c>
      <c r="R2049" s="16" t="str">
        <f aca="false">IF(Q2049="","",Q2049*0.0980665)</f>
        <v/>
      </c>
      <c r="S2049" s="16" t="str">
        <f aca="false">IF(Q2049="","",IFERROR(Q2049/(1/(1/INDEX(CONFIG!$I$5:$I$14,MATCH(D2049,CONFIG!$D$5:$D$14,0)))),""))</f>
        <v/>
      </c>
      <c r="T2049" s="13"/>
      <c r="U2049" s="13"/>
      <c r="V2049" s="13"/>
      <c r="W2049" s="13"/>
      <c r="X2049" s="22" t="str">
        <f aca="false">IF(Q2049="","",Q2049^2)</f>
        <v/>
      </c>
      <c r="Y2049" s="22" t="str">
        <f aca="false">IF(AND(C2049&lt;&gt;"",C2049=CERTIFICADO!$E$4,OR(CERTIFICADO!$E$5="",B2049=CERTIFICADO!$E$5)),MAX($Y$4:Y2048)+1,"")</f>
        <v/>
      </c>
    </row>
    <row r="2050" customFormat="false" ht="15" hidden="false" customHeight="false" outlineLevel="0" collapsed="false">
      <c r="A2050" s="11" t="str">
        <f aca="false">IF(C2050="","",ROW()-4)</f>
        <v/>
      </c>
      <c r="B2050" s="12"/>
      <c r="C2050" s="13"/>
      <c r="D2050" s="23" t="str">
        <f aca="false">IF(C2050="","",IFERROR(INDEX(LOTES!$D$5:$D$1004,MATCH(C2050,LOTES!$F$5:$F$1004,0)),"¿Lote?"))</f>
        <v/>
      </c>
      <c r="E2050" s="11" t="str">
        <f aca="false">IF(C2050="","",IFERROR(INDEX(LOTES!$C$5:$C$1004,MATCH(C2050,LOTES!$F$5:$F$1004,0)),""))</f>
        <v/>
      </c>
      <c r="F2050" s="24" t="str">
        <f aca="false">IF(C2050="","",IFERROR(INDEX(LOTES!$B$5:$B$1004,MATCH(C2050,LOTES!$F$5:$F$1004,0)),""))</f>
        <v/>
      </c>
      <c r="G2050" s="15" t="str">
        <f aca="false">IF(OR(B2050="",F2050=""),"",B2050-F2050)</f>
        <v/>
      </c>
      <c r="H2050" s="13"/>
      <c r="I2050" s="13"/>
      <c r="J2050" s="13"/>
      <c r="K2050" s="25"/>
      <c r="L2050" s="25"/>
      <c r="M2050" s="25"/>
      <c r="N2050" s="25"/>
      <c r="O2050" s="26"/>
      <c r="P2050" s="16" t="str">
        <f aca="false">IF(O2050="","",IFERROR(1/(1/(IF(K2050="",INDEX(CONFIG!$F$5:$F$14,MATCH(D2050,CONFIG!$D$5:$D$14,0)),K2050)*IF(M2050="",INDEX(CONFIG!$H$5:$H$14,MATCH(D2050,CONFIG!$D$5:$D$14,0)),M2050))),""))</f>
        <v/>
      </c>
      <c r="Q2050" s="16" t="str">
        <f aca="false">IF(OR(O2050="",P2050=""),"",O2050/P2050)</f>
        <v/>
      </c>
      <c r="R2050" s="16" t="str">
        <f aca="false">IF(Q2050="","",Q2050*0.0980665)</f>
        <v/>
      </c>
      <c r="S2050" s="16" t="str">
        <f aca="false">IF(Q2050="","",IFERROR(Q2050/(1/(1/INDEX(CONFIG!$I$5:$I$14,MATCH(D2050,CONFIG!$D$5:$D$14,0)))),""))</f>
        <v/>
      </c>
      <c r="T2050" s="13"/>
      <c r="U2050" s="13"/>
      <c r="V2050" s="13"/>
      <c r="W2050" s="13"/>
      <c r="X2050" s="22" t="str">
        <f aca="false">IF(Q2050="","",Q2050^2)</f>
        <v/>
      </c>
      <c r="Y2050" s="22" t="str">
        <f aca="false">IF(AND(C2050&lt;&gt;"",C2050=CERTIFICADO!$E$4,OR(CERTIFICADO!$E$5="",B2050=CERTIFICADO!$E$5)),MAX($Y$4:Y2049)+1,"")</f>
        <v/>
      </c>
    </row>
    <row r="2051" customFormat="false" ht="15" hidden="false" customHeight="false" outlineLevel="0" collapsed="false">
      <c r="A2051" s="11" t="str">
        <f aca="false">IF(C2051="","",ROW()-4)</f>
        <v/>
      </c>
      <c r="B2051" s="12"/>
      <c r="C2051" s="13"/>
      <c r="D2051" s="23" t="str">
        <f aca="false">IF(C2051="","",IFERROR(INDEX(LOTES!$D$5:$D$1004,MATCH(C2051,LOTES!$F$5:$F$1004,0)),"¿Lote?"))</f>
        <v/>
      </c>
      <c r="E2051" s="11" t="str">
        <f aca="false">IF(C2051="","",IFERROR(INDEX(LOTES!$C$5:$C$1004,MATCH(C2051,LOTES!$F$5:$F$1004,0)),""))</f>
        <v/>
      </c>
      <c r="F2051" s="24" t="str">
        <f aca="false">IF(C2051="","",IFERROR(INDEX(LOTES!$B$5:$B$1004,MATCH(C2051,LOTES!$F$5:$F$1004,0)),""))</f>
        <v/>
      </c>
      <c r="G2051" s="15" t="str">
        <f aca="false">IF(OR(B2051="",F2051=""),"",B2051-F2051)</f>
        <v/>
      </c>
      <c r="H2051" s="13"/>
      <c r="I2051" s="13"/>
      <c r="J2051" s="13"/>
      <c r="K2051" s="25"/>
      <c r="L2051" s="25"/>
      <c r="M2051" s="25"/>
      <c r="N2051" s="25"/>
      <c r="O2051" s="26"/>
      <c r="P2051" s="16" t="str">
        <f aca="false">IF(O2051="","",IFERROR(1/(1/(IF(K2051="",INDEX(CONFIG!$F$5:$F$14,MATCH(D2051,CONFIG!$D$5:$D$14,0)),K2051)*IF(M2051="",INDEX(CONFIG!$H$5:$H$14,MATCH(D2051,CONFIG!$D$5:$D$14,0)),M2051))),""))</f>
        <v/>
      </c>
      <c r="Q2051" s="16" t="str">
        <f aca="false">IF(OR(O2051="",P2051=""),"",O2051/P2051)</f>
        <v/>
      </c>
      <c r="R2051" s="16" t="str">
        <f aca="false">IF(Q2051="","",Q2051*0.0980665)</f>
        <v/>
      </c>
      <c r="S2051" s="16" t="str">
        <f aca="false">IF(Q2051="","",IFERROR(Q2051/(1/(1/INDEX(CONFIG!$I$5:$I$14,MATCH(D2051,CONFIG!$D$5:$D$14,0)))),""))</f>
        <v/>
      </c>
      <c r="T2051" s="13"/>
      <c r="U2051" s="13"/>
      <c r="V2051" s="13"/>
      <c r="W2051" s="13"/>
      <c r="X2051" s="22" t="str">
        <f aca="false">IF(Q2051="","",Q2051^2)</f>
        <v/>
      </c>
      <c r="Y2051" s="22" t="str">
        <f aca="false">IF(AND(C2051&lt;&gt;"",C2051=CERTIFICADO!$E$4,OR(CERTIFICADO!$E$5="",B2051=CERTIFICADO!$E$5)),MAX($Y$4:Y2050)+1,"")</f>
        <v/>
      </c>
    </row>
    <row r="2052" customFormat="false" ht="15" hidden="false" customHeight="false" outlineLevel="0" collapsed="false">
      <c r="A2052" s="11" t="str">
        <f aca="false">IF(C2052="","",ROW()-4)</f>
        <v/>
      </c>
      <c r="B2052" s="12"/>
      <c r="C2052" s="13"/>
      <c r="D2052" s="23" t="str">
        <f aca="false">IF(C2052="","",IFERROR(INDEX(LOTES!$D$5:$D$1004,MATCH(C2052,LOTES!$F$5:$F$1004,0)),"¿Lote?"))</f>
        <v/>
      </c>
      <c r="E2052" s="11" t="str">
        <f aca="false">IF(C2052="","",IFERROR(INDEX(LOTES!$C$5:$C$1004,MATCH(C2052,LOTES!$F$5:$F$1004,0)),""))</f>
        <v/>
      </c>
      <c r="F2052" s="24" t="str">
        <f aca="false">IF(C2052="","",IFERROR(INDEX(LOTES!$B$5:$B$1004,MATCH(C2052,LOTES!$F$5:$F$1004,0)),""))</f>
        <v/>
      </c>
      <c r="G2052" s="15" t="str">
        <f aca="false">IF(OR(B2052="",F2052=""),"",B2052-F2052)</f>
        <v/>
      </c>
      <c r="H2052" s="13"/>
      <c r="I2052" s="13"/>
      <c r="J2052" s="13"/>
      <c r="K2052" s="25"/>
      <c r="L2052" s="25"/>
      <c r="M2052" s="25"/>
      <c r="N2052" s="25"/>
      <c r="O2052" s="26"/>
      <c r="P2052" s="16" t="str">
        <f aca="false">IF(O2052="","",IFERROR(1/(1/(IF(K2052="",INDEX(CONFIG!$F$5:$F$14,MATCH(D2052,CONFIG!$D$5:$D$14,0)),K2052)*IF(M2052="",INDEX(CONFIG!$H$5:$H$14,MATCH(D2052,CONFIG!$D$5:$D$14,0)),M2052))),""))</f>
        <v/>
      </c>
      <c r="Q2052" s="16" t="str">
        <f aca="false">IF(OR(O2052="",P2052=""),"",O2052/P2052)</f>
        <v/>
      </c>
      <c r="R2052" s="16" t="str">
        <f aca="false">IF(Q2052="","",Q2052*0.0980665)</f>
        <v/>
      </c>
      <c r="S2052" s="16" t="str">
        <f aca="false">IF(Q2052="","",IFERROR(Q2052/(1/(1/INDEX(CONFIG!$I$5:$I$14,MATCH(D2052,CONFIG!$D$5:$D$14,0)))),""))</f>
        <v/>
      </c>
      <c r="T2052" s="13"/>
      <c r="U2052" s="13"/>
      <c r="V2052" s="13"/>
      <c r="W2052" s="13"/>
      <c r="X2052" s="22" t="str">
        <f aca="false">IF(Q2052="","",Q2052^2)</f>
        <v/>
      </c>
      <c r="Y2052" s="22" t="str">
        <f aca="false">IF(AND(C2052&lt;&gt;"",C2052=CERTIFICADO!$E$4,OR(CERTIFICADO!$E$5="",B2052=CERTIFICADO!$E$5)),MAX($Y$4:Y2051)+1,"")</f>
        <v/>
      </c>
    </row>
    <row r="2053" customFormat="false" ht="15" hidden="false" customHeight="false" outlineLevel="0" collapsed="false">
      <c r="A2053" s="11" t="str">
        <f aca="false">IF(C2053="","",ROW()-4)</f>
        <v/>
      </c>
      <c r="B2053" s="12"/>
      <c r="C2053" s="13"/>
      <c r="D2053" s="23" t="str">
        <f aca="false">IF(C2053="","",IFERROR(INDEX(LOTES!$D$5:$D$1004,MATCH(C2053,LOTES!$F$5:$F$1004,0)),"¿Lote?"))</f>
        <v/>
      </c>
      <c r="E2053" s="11" t="str">
        <f aca="false">IF(C2053="","",IFERROR(INDEX(LOTES!$C$5:$C$1004,MATCH(C2053,LOTES!$F$5:$F$1004,0)),""))</f>
        <v/>
      </c>
      <c r="F2053" s="24" t="str">
        <f aca="false">IF(C2053="","",IFERROR(INDEX(LOTES!$B$5:$B$1004,MATCH(C2053,LOTES!$F$5:$F$1004,0)),""))</f>
        <v/>
      </c>
      <c r="G2053" s="15" t="str">
        <f aca="false">IF(OR(B2053="",F2053=""),"",B2053-F2053)</f>
        <v/>
      </c>
      <c r="H2053" s="13"/>
      <c r="I2053" s="13"/>
      <c r="J2053" s="13"/>
      <c r="K2053" s="25"/>
      <c r="L2053" s="25"/>
      <c r="M2053" s="25"/>
      <c r="N2053" s="25"/>
      <c r="O2053" s="26"/>
      <c r="P2053" s="16" t="str">
        <f aca="false">IF(O2053="","",IFERROR(1/(1/(IF(K2053="",INDEX(CONFIG!$F$5:$F$14,MATCH(D2053,CONFIG!$D$5:$D$14,0)),K2053)*IF(M2053="",INDEX(CONFIG!$H$5:$H$14,MATCH(D2053,CONFIG!$D$5:$D$14,0)),M2053))),""))</f>
        <v/>
      </c>
      <c r="Q2053" s="16" t="str">
        <f aca="false">IF(OR(O2053="",P2053=""),"",O2053/P2053)</f>
        <v/>
      </c>
      <c r="R2053" s="16" t="str">
        <f aca="false">IF(Q2053="","",Q2053*0.0980665)</f>
        <v/>
      </c>
      <c r="S2053" s="16" t="str">
        <f aca="false">IF(Q2053="","",IFERROR(Q2053/(1/(1/INDEX(CONFIG!$I$5:$I$14,MATCH(D2053,CONFIG!$D$5:$D$14,0)))),""))</f>
        <v/>
      </c>
      <c r="T2053" s="13"/>
      <c r="U2053" s="13"/>
      <c r="V2053" s="13"/>
      <c r="W2053" s="13"/>
      <c r="X2053" s="22" t="str">
        <f aca="false">IF(Q2053="","",Q2053^2)</f>
        <v/>
      </c>
      <c r="Y2053" s="22" t="str">
        <f aca="false">IF(AND(C2053&lt;&gt;"",C2053=CERTIFICADO!$E$4,OR(CERTIFICADO!$E$5="",B2053=CERTIFICADO!$E$5)),MAX($Y$4:Y2052)+1,"")</f>
        <v/>
      </c>
    </row>
    <row r="2054" customFormat="false" ht="15" hidden="false" customHeight="false" outlineLevel="0" collapsed="false">
      <c r="A2054" s="11" t="str">
        <f aca="false">IF(C2054="","",ROW()-4)</f>
        <v/>
      </c>
      <c r="B2054" s="12"/>
      <c r="C2054" s="13"/>
      <c r="D2054" s="23" t="str">
        <f aca="false">IF(C2054="","",IFERROR(INDEX(LOTES!$D$5:$D$1004,MATCH(C2054,LOTES!$F$5:$F$1004,0)),"¿Lote?"))</f>
        <v/>
      </c>
      <c r="E2054" s="11" t="str">
        <f aca="false">IF(C2054="","",IFERROR(INDEX(LOTES!$C$5:$C$1004,MATCH(C2054,LOTES!$F$5:$F$1004,0)),""))</f>
        <v/>
      </c>
      <c r="F2054" s="24" t="str">
        <f aca="false">IF(C2054="","",IFERROR(INDEX(LOTES!$B$5:$B$1004,MATCH(C2054,LOTES!$F$5:$F$1004,0)),""))</f>
        <v/>
      </c>
      <c r="G2054" s="15" t="str">
        <f aca="false">IF(OR(B2054="",F2054=""),"",B2054-F2054)</f>
        <v/>
      </c>
      <c r="H2054" s="13"/>
      <c r="I2054" s="13"/>
      <c r="J2054" s="13"/>
      <c r="K2054" s="25"/>
      <c r="L2054" s="25"/>
      <c r="M2054" s="25"/>
      <c r="N2054" s="25"/>
      <c r="O2054" s="26"/>
      <c r="P2054" s="16" t="str">
        <f aca="false">IF(O2054="","",IFERROR(1/(1/(IF(K2054="",INDEX(CONFIG!$F$5:$F$14,MATCH(D2054,CONFIG!$D$5:$D$14,0)),K2054)*IF(M2054="",INDEX(CONFIG!$H$5:$H$14,MATCH(D2054,CONFIG!$D$5:$D$14,0)),M2054))),""))</f>
        <v/>
      </c>
      <c r="Q2054" s="16" t="str">
        <f aca="false">IF(OR(O2054="",P2054=""),"",O2054/P2054)</f>
        <v/>
      </c>
      <c r="R2054" s="16" t="str">
        <f aca="false">IF(Q2054="","",Q2054*0.0980665)</f>
        <v/>
      </c>
      <c r="S2054" s="16" t="str">
        <f aca="false">IF(Q2054="","",IFERROR(Q2054/(1/(1/INDEX(CONFIG!$I$5:$I$14,MATCH(D2054,CONFIG!$D$5:$D$14,0)))),""))</f>
        <v/>
      </c>
      <c r="T2054" s="13"/>
      <c r="U2054" s="13"/>
      <c r="V2054" s="13"/>
      <c r="W2054" s="13"/>
      <c r="X2054" s="22" t="str">
        <f aca="false">IF(Q2054="","",Q2054^2)</f>
        <v/>
      </c>
      <c r="Y2054" s="22" t="str">
        <f aca="false">IF(AND(C2054&lt;&gt;"",C2054=CERTIFICADO!$E$4,OR(CERTIFICADO!$E$5="",B2054=CERTIFICADO!$E$5)),MAX($Y$4:Y2053)+1,"")</f>
        <v/>
      </c>
    </row>
    <row r="2055" customFormat="false" ht="15" hidden="false" customHeight="false" outlineLevel="0" collapsed="false">
      <c r="A2055" s="11" t="str">
        <f aca="false">IF(C2055="","",ROW()-4)</f>
        <v/>
      </c>
      <c r="B2055" s="12"/>
      <c r="C2055" s="13"/>
      <c r="D2055" s="23" t="str">
        <f aca="false">IF(C2055="","",IFERROR(INDEX(LOTES!$D$5:$D$1004,MATCH(C2055,LOTES!$F$5:$F$1004,0)),"¿Lote?"))</f>
        <v/>
      </c>
      <c r="E2055" s="11" t="str">
        <f aca="false">IF(C2055="","",IFERROR(INDEX(LOTES!$C$5:$C$1004,MATCH(C2055,LOTES!$F$5:$F$1004,0)),""))</f>
        <v/>
      </c>
      <c r="F2055" s="24" t="str">
        <f aca="false">IF(C2055="","",IFERROR(INDEX(LOTES!$B$5:$B$1004,MATCH(C2055,LOTES!$F$5:$F$1004,0)),""))</f>
        <v/>
      </c>
      <c r="G2055" s="15" t="str">
        <f aca="false">IF(OR(B2055="",F2055=""),"",B2055-F2055)</f>
        <v/>
      </c>
      <c r="H2055" s="13"/>
      <c r="I2055" s="13"/>
      <c r="J2055" s="13"/>
      <c r="K2055" s="25"/>
      <c r="L2055" s="25"/>
      <c r="M2055" s="25"/>
      <c r="N2055" s="25"/>
      <c r="O2055" s="26"/>
      <c r="P2055" s="16" t="str">
        <f aca="false">IF(O2055="","",IFERROR(1/(1/(IF(K2055="",INDEX(CONFIG!$F$5:$F$14,MATCH(D2055,CONFIG!$D$5:$D$14,0)),K2055)*IF(M2055="",INDEX(CONFIG!$H$5:$H$14,MATCH(D2055,CONFIG!$D$5:$D$14,0)),M2055))),""))</f>
        <v/>
      </c>
      <c r="Q2055" s="16" t="str">
        <f aca="false">IF(OR(O2055="",P2055=""),"",O2055/P2055)</f>
        <v/>
      </c>
      <c r="R2055" s="16" t="str">
        <f aca="false">IF(Q2055="","",Q2055*0.0980665)</f>
        <v/>
      </c>
      <c r="S2055" s="16" t="str">
        <f aca="false">IF(Q2055="","",IFERROR(Q2055/(1/(1/INDEX(CONFIG!$I$5:$I$14,MATCH(D2055,CONFIG!$D$5:$D$14,0)))),""))</f>
        <v/>
      </c>
      <c r="T2055" s="13"/>
      <c r="U2055" s="13"/>
      <c r="V2055" s="13"/>
      <c r="W2055" s="13"/>
      <c r="X2055" s="22" t="str">
        <f aca="false">IF(Q2055="","",Q2055^2)</f>
        <v/>
      </c>
      <c r="Y2055" s="22" t="str">
        <f aca="false">IF(AND(C2055&lt;&gt;"",C2055=CERTIFICADO!$E$4,OR(CERTIFICADO!$E$5="",B2055=CERTIFICADO!$E$5)),MAX($Y$4:Y2054)+1,"")</f>
        <v/>
      </c>
    </row>
    <row r="2056" customFormat="false" ht="15" hidden="false" customHeight="false" outlineLevel="0" collapsed="false">
      <c r="A2056" s="11" t="str">
        <f aca="false">IF(C2056="","",ROW()-4)</f>
        <v/>
      </c>
      <c r="B2056" s="12"/>
      <c r="C2056" s="13"/>
      <c r="D2056" s="23" t="str">
        <f aca="false">IF(C2056="","",IFERROR(INDEX(LOTES!$D$5:$D$1004,MATCH(C2056,LOTES!$F$5:$F$1004,0)),"¿Lote?"))</f>
        <v/>
      </c>
      <c r="E2056" s="11" t="str">
        <f aca="false">IF(C2056="","",IFERROR(INDEX(LOTES!$C$5:$C$1004,MATCH(C2056,LOTES!$F$5:$F$1004,0)),""))</f>
        <v/>
      </c>
      <c r="F2056" s="24" t="str">
        <f aca="false">IF(C2056="","",IFERROR(INDEX(LOTES!$B$5:$B$1004,MATCH(C2056,LOTES!$F$5:$F$1004,0)),""))</f>
        <v/>
      </c>
      <c r="G2056" s="15" t="str">
        <f aca="false">IF(OR(B2056="",F2056=""),"",B2056-F2056)</f>
        <v/>
      </c>
      <c r="H2056" s="13"/>
      <c r="I2056" s="13"/>
      <c r="J2056" s="13"/>
      <c r="K2056" s="25"/>
      <c r="L2056" s="25"/>
      <c r="M2056" s="25"/>
      <c r="N2056" s="25"/>
      <c r="O2056" s="26"/>
      <c r="P2056" s="16" t="str">
        <f aca="false">IF(O2056="","",IFERROR(1/(1/(IF(K2056="",INDEX(CONFIG!$F$5:$F$14,MATCH(D2056,CONFIG!$D$5:$D$14,0)),K2056)*IF(M2056="",INDEX(CONFIG!$H$5:$H$14,MATCH(D2056,CONFIG!$D$5:$D$14,0)),M2056))),""))</f>
        <v/>
      </c>
      <c r="Q2056" s="16" t="str">
        <f aca="false">IF(OR(O2056="",P2056=""),"",O2056/P2056)</f>
        <v/>
      </c>
      <c r="R2056" s="16" t="str">
        <f aca="false">IF(Q2056="","",Q2056*0.0980665)</f>
        <v/>
      </c>
      <c r="S2056" s="16" t="str">
        <f aca="false">IF(Q2056="","",IFERROR(Q2056/(1/(1/INDEX(CONFIG!$I$5:$I$14,MATCH(D2056,CONFIG!$D$5:$D$14,0)))),""))</f>
        <v/>
      </c>
      <c r="T2056" s="13"/>
      <c r="U2056" s="13"/>
      <c r="V2056" s="13"/>
      <c r="W2056" s="13"/>
      <c r="X2056" s="22" t="str">
        <f aca="false">IF(Q2056="","",Q2056^2)</f>
        <v/>
      </c>
      <c r="Y2056" s="22" t="str">
        <f aca="false">IF(AND(C2056&lt;&gt;"",C2056=CERTIFICADO!$E$4,OR(CERTIFICADO!$E$5="",B2056=CERTIFICADO!$E$5)),MAX($Y$4:Y2055)+1,"")</f>
        <v/>
      </c>
    </row>
    <row r="2057" customFormat="false" ht="15" hidden="false" customHeight="false" outlineLevel="0" collapsed="false">
      <c r="A2057" s="11" t="str">
        <f aca="false">IF(C2057="","",ROW()-4)</f>
        <v/>
      </c>
      <c r="B2057" s="12"/>
      <c r="C2057" s="13"/>
      <c r="D2057" s="23" t="str">
        <f aca="false">IF(C2057="","",IFERROR(INDEX(LOTES!$D$5:$D$1004,MATCH(C2057,LOTES!$F$5:$F$1004,0)),"¿Lote?"))</f>
        <v/>
      </c>
      <c r="E2057" s="11" t="str">
        <f aca="false">IF(C2057="","",IFERROR(INDEX(LOTES!$C$5:$C$1004,MATCH(C2057,LOTES!$F$5:$F$1004,0)),""))</f>
        <v/>
      </c>
      <c r="F2057" s="24" t="str">
        <f aca="false">IF(C2057="","",IFERROR(INDEX(LOTES!$B$5:$B$1004,MATCH(C2057,LOTES!$F$5:$F$1004,0)),""))</f>
        <v/>
      </c>
      <c r="G2057" s="15" t="str">
        <f aca="false">IF(OR(B2057="",F2057=""),"",B2057-F2057)</f>
        <v/>
      </c>
      <c r="H2057" s="13"/>
      <c r="I2057" s="13"/>
      <c r="J2057" s="13"/>
      <c r="K2057" s="25"/>
      <c r="L2057" s="25"/>
      <c r="M2057" s="25"/>
      <c r="N2057" s="25"/>
      <c r="O2057" s="26"/>
      <c r="P2057" s="16" t="str">
        <f aca="false">IF(O2057="","",IFERROR(1/(1/(IF(K2057="",INDEX(CONFIG!$F$5:$F$14,MATCH(D2057,CONFIG!$D$5:$D$14,0)),K2057)*IF(M2057="",INDEX(CONFIG!$H$5:$H$14,MATCH(D2057,CONFIG!$D$5:$D$14,0)),M2057))),""))</f>
        <v/>
      </c>
      <c r="Q2057" s="16" t="str">
        <f aca="false">IF(OR(O2057="",P2057=""),"",O2057/P2057)</f>
        <v/>
      </c>
      <c r="R2057" s="16" t="str">
        <f aca="false">IF(Q2057="","",Q2057*0.0980665)</f>
        <v/>
      </c>
      <c r="S2057" s="16" t="str">
        <f aca="false">IF(Q2057="","",IFERROR(Q2057/(1/(1/INDEX(CONFIG!$I$5:$I$14,MATCH(D2057,CONFIG!$D$5:$D$14,0)))),""))</f>
        <v/>
      </c>
      <c r="T2057" s="13"/>
      <c r="U2057" s="13"/>
      <c r="V2057" s="13"/>
      <c r="W2057" s="13"/>
      <c r="X2057" s="22" t="str">
        <f aca="false">IF(Q2057="","",Q2057^2)</f>
        <v/>
      </c>
      <c r="Y2057" s="22" t="str">
        <f aca="false">IF(AND(C2057&lt;&gt;"",C2057=CERTIFICADO!$E$4,OR(CERTIFICADO!$E$5="",B2057=CERTIFICADO!$E$5)),MAX($Y$4:Y2056)+1,"")</f>
        <v/>
      </c>
    </row>
    <row r="2058" customFormat="false" ht="15" hidden="false" customHeight="false" outlineLevel="0" collapsed="false">
      <c r="A2058" s="11" t="str">
        <f aca="false">IF(C2058="","",ROW()-4)</f>
        <v/>
      </c>
      <c r="B2058" s="12"/>
      <c r="C2058" s="13"/>
      <c r="D2058" s="23" t="str">
        <f aca="false">IF(C2058="","",IFERROR(INDEX(LOTES!$D$5:$D$1004,MATCH(C2058,LOTES!$F$5:$F$1004,0)),"¿Lote?"))</f>
        <v/>
      </c>
      <c r="E2058" s="11" t="str">
        <f aca="false">IF(C2058="","",IFERROR(INDEX(LOTES!$C$5:$C$1004,MATCH(C2058,LOTES!$F$5:$F$1004,0)),""))</f>
        <v/>
      </c>
      <c r="F2058" s="24" t="str">
        <f aca="false">IF(C2058="","",IFERROR(INDEX(LOTES!$B$5:$B$1004,MATCH(C2058,LOTES!$F$5:$F$1004,0)),""))</f>
        <v/>
      </c>
      <c r="G2058" s="15" t="str">
        <f aca="false">IF(OR(B2058="",F2058=""),"",B2058-F2058)</f>
        <v/>
      </c>
      <c r="H2058" s="13"/>
      <c r="I2058" s="13"/>
      <c r="J2058" s="13"/>
      <c r="K2058" s="25"/>
      <c r="L2058" s="25"/>
      <c r="M2058" s="25"/>
      <c r="N2058" s="25"/>
      <c r="O2058" s="26"/>
      <c r="P2058" s="16" t="str">
        <f aca="false">IF(O2058="","",IFERROR(1/(1/(IF(K2058="",INDEX(CONFIG!$F$5:$F$14,MATCH(D2058,CONFIG!$D$5:$D$14,0)),K2058)*IF(M2058="",INDEX(CONFIG!$H$5:$H$14,MATCH(D2058,CONFIG!$D$5:$D$14,0)),M2058))),""))</f>
        <v/>
      </c>
      <c r="Q2058" s="16" t="str">
        <f aca="false">IF(OR(O2058="",P2058=""),"",O2058/P2058)</f>
        <v/>
      </c>
      <c r="R2058" s="16" t="str">
        <f aca="false">IF(Q2058="","",Q2058*0.0980665)</f>
        <v/>
      </c>
      <c r="S2058" s="16" t="str">
        <f aca="false">IF(Q2058="","",IFERROR(Q2058/(1/(1/INDEX(CONFIG!$I$5:$I$14,MATCH(D2058,CONFIG!$D$5:$D$14,0)))),""))</f>
        <v/>
      </c>
      <c r="T2058" s="13"/>
      <c r="U2058" s="13"/>
      <c r="V2058" s="13"/>
      <c r="W2058" s="13"/>
      <c r="X2058" s="22" t="str">
        <f aca="false">IF(Q2058="","",Q2058^2)</f>
        <v/>
      </c>
      <c r="Y2058" s="22" t="str">
        <f aca="false">IF(AND(C2058&lt;&gt;"",C2058=CERTIFICADO!$E$4,OR(CERTIFICADO!$E$5="",B2058=CERTIFICADO!$E$5)),MAX($Y$4:Y2057)+1,"")</f>
        <v/>
      </c>
    </row>
    <row r="2059" customFormat="false" ht="15" hidden="false" customHeight="false" outlineLevel="0" collapsed="false">
      <c r="A2059" s="11" t="str">
        <f aca="false">IF(C2059="","",ROW()-4)</f>
        <v/>
      </c>
      <c r="B2059" s="12"/>
      <c r="C2059" s="13"/>
      <c r="D2059" s="23" t="str">
        <f aca="false">IF(C2059="","",IFERROR(INDEX(LOTES!$D$5:$D$1004,MATCH(C2059,LOTES!$F$5:$F$1004,0)),"¿Lote?"))</f>
        <v/>
      </c>
      <c r="E2059" s="11" t="str">
        <f aca="false">IF(C2059="","",IFERROR(INDEX(LOTES!$C$5:$C$1004,MATCH(C2059,LOTES!$F$5:$F$1004,0)),""))</f>
        <v/>
      </c>
      <c r="F2059" s="24" t="str">
        <f aca="false">IF(C2059="","",IFERROR(INDEX(LOTES!$B$5:$B$1004,MATCH(C2059,LOTES!$F$5:$F$1004,0)),""))</f>
        <v/>
      </c>
      <c r="G2059" s="15" t="str">
        <f aca="false">IF(OR(B2059="",F2059=""),"",B2059-F2059)</f>
        <v/>
      </c>
      <c r="H2059" s="13"/>
      <c r="I2059" s="13"/>
      <c r="J2059" s="13"/>
      <c r="K2059" s="25"/>
      <c r="L2059" s="25"/>
      <c r="M2059" s="25"/>
      <c r="N2059" s="25"/>
      <c r="O2059" s="26"/>
      <c r="P2059" s="16" t="str">
        <f aca="false">IF(O2059="","",IFERROR(1/(1/(IF(K2059="",INDEX(CONFIG!$F$5:$F$14,MATCH(D2059,CONFIG!$D$5:$D$14,0)),K2059)*IF(M2059="",INDEX(CONFIG!$H$5:$H$14,MATCH(D2059,CONFIG!$D$5:$D$14,0)),M2059))),""))</f>
        <v/>
      </c>
      <c r="Q2059" s="16" t="str">
        <f aca="false">IF(OR(O2059="",P2059=""),"",O2059/P2059)</f>
        <v/>
      </c>
      <c r="R2059" s="16" t="str">
        <f aca="false">IF(Q2059="","",Q2059*0.0980665)</f>
        <v/>
      </c>
      <c r="S2059" s="16" t="str">
        <f aca="false">IF(Q2059="","",IFERROR(Q2059/(1/(1/INDEX(CONFIG!$I$5:$I$14,MATCH(D2059,CONFIG!$D$5:$D$14,0)))),""))</f>
        <v/>
      </c>
      <c r="T2059" s="13"/>
      <c r="U2059" s="13"/>
      <c r="V2059" s="13"/>
      <c r="W2059" s="13"/>
      <c r="X2059" s="22" t="str">
        <f aca="false">IF(Q2059="","",Q2059^2)</f>
        <v/>
      </c>
      <c r="Y2059" s="22" t="str">
        <f aca="false">IF(AND(C2059&lt;&gt;"",C2059=CERTIFICADO!$E$4,OR(CERTIFICADO!$E$5="",B2059=CERTIFICADO!$E$5)),MAX($Y$4:Y2058)+1,"")</f>
        <v/>
      </c>
    </row>
    <row r="2060" customFormat="false" ht="15" hidden="false" customHeight="false" outlineLevel="0" collapsed="false">
      <c r="A2060" s="11" t="str">
        <f aca="false">IF(C2060="","",ROW()-4)</f>
        <v/>
      </c>
      <c r="B2060" s="12"/>
      <c r="C2060" s="13"/>
      <c r="D2060" s="23" t="str">
        <f aca="false">IF(C2060="","",IFERROR(INDEX(LOTES!$D$5:$D$1004,MATCH(C2060,LOTES!$F$5:$F$1004,0)),"¿Lote?"))</f>
        <v/>
      </c>
      <c r="E2060" s="11" t="str">
        <f aca="false">IF(C2060="","",IFERROR(INDEX(LOTES!$C$5:$C$1004,MATCH(C2060,LOTES!$F$5:$F$1004,0)),""))</f>
        <v/>
      </c>
      <c r="F2060" s="24" t="str">
        <f aca="false">IF(C2060="","",IFERROR(INDEX(LOTES!$B$5:$B$1004,MATCH(C2060,LOTES!$F$5:$F$1004,0)),""))</f>
        <v/>
      </c>
      <c r="G2060" s="15" t="str">
        <f aca="false">IF(OR(B2060="",F2060=""),"",B2060-F2060)</f>
        <v/>
      </c>
      <c r="H2060" s="13"/>
      <c r="I2060" s="13"/>
      <c r="J2060" s="13"/>
      <c r="K2060" s="25"/>
      <c r="L2060" s="25"/>
      <c r="M2060" s="25"/>
      <c r="N2060" s="25"/>
      <c r="O2060" s="26"/>
      <c r="P2060" s="16" t="str">
        <f aca="false">IF(O2060="","",IFERROR(1/(1/(IF(K2060="",INDEX(CONFIG!$F$5:$F$14,MATCH(D2060,CONFIG!$D$5:$D$14,0)),K2060)*IF(M2060="",INDEX(CONFIG!$H$5:$H$14,MATCH(D2060,CONFIG!$D$5:$D$14,0)),M2060))),""))</f>
        <v/>
      </c>
      <c r="Q2060" s="16" t="str">
        <f aca="false">IF(OR(O2060="",P2060=""),"",O2060/P2060)</f>
        <v/>
      </c>
      <c r="R2060" s="16" t="str">
        <f aca="false">IF(Q2060="","",Q2060*0.0980665)</f>
        <v/>
      </c>
      <c r="S2060" s="16" t="str">
        <f aca="false">IF(Q2060="","",IFERROR(Q2060/(1/(1/INDEX(CONFIG!$I$5:$I$14,MATCH(D2060,CONFIG!$D$5:$D$14,0)))),""))</f>
        <v/>
      </c>
      <c r="T2060" s="13"/>
      <c r="U2060" s="13"/>
      <c r="V2060" s="13"/>
      <c r="W2060" s="13"/>
      <c r="X2060" s="22" t="str">
        <f aca="false">IF(Q2060="","",Q2060^2)</f>
        <v/>
      </c>
      <c r="Y2060" s="22" t="str">
        <f aca="false">IF(AND(C2060&lt;&gt;"",C2060=CERTIFICADO!$E$4,OR(CERTIFICADO!$E$5="",B2060=CERTIFICADO!$E$5)),MAX($Y$4:Y2059)+1,"")</f>
        <v/>
      </c>
    </row>
    <row r="2061" customFormat="false" ht="15" hidden="false" customHeight="false" outlineLevel="0" collapsed="false">
      <c r="A2061" s="11" t="str">
        <f aca="false">IF(C2061="","",ROW()-4)</f>
        <v/>
      </c>
      <c r="B2061" s="12"/>
      <c r="C2061" s="13"/>
      <c r="D2061" s="23" t="str">
        <f aca="false">IF(C2061="","",IFERROR(INDEX(LOTES!$D$5:$D$1004,MATCH(C2061,LOTES!$F$5:$F$1004,0)),"¿Lote?"))</f>
        <v/>
      </c>
      <c r="E2061" s="11" t="str">
        <f aca="false">IF(C2061="","",IFERROR(INDEX(LOTES!$C$5:$C$1004,MATCH(C2061,LOTES!$F$5:$F$1004,0)),""))</f>
        <v/>
      </c>
      <c r="F2061" s="24" t="str">
        <f aca="false">IF(C2061="","",IFERROR(INDEX(LOTES!$B$5:$B$1004,MATCH(C2061,LOTES!$F$5:$F$1004,0)),""))</f>
        <v/>
      </c>
      <c r="G2061" s="15" t="str">
        <f aca="false">IF(OR(B2061="",F2061=""),"",B2061-F2061)</f>
        <v/>
      </c>
      <c r="H2061" s="13"/>
      <c r="I2061" s="13"/>
      <c r="J2061" s="13"/>
      <c r="K2061" s="25"/>
      <c r="L2061" s="25"/>
      <c r="M2061" s="25"/>
      <c r="N2061" s="25"/>
      <c r="O2061" s="26"/>
      <c r="P2061" s="16" t="str">
        <f aca="false">IF(O2061="","",IFERROR(1/(1/(IF(K2061="",INDEX(CONFIG!$F$5:$F$14,MATCH(D2061,CONFIG!$D$5:$D$14,0)),K2061)*IF(M2061="",INDEX(CONFIG!$H$5:$H$14,MATCH(D2061,CONFIG!$D$5:$D$14,0)),M2061))),""))</f>
        <v/>
      </c>
      <c r="Q2061" s="16" t="str">
        <f aca="false">IF(OR(O2061="",P2061=""),"",O2061/P2061)</f>
        <v/>
      </c>
      <c r="R2061" s="16" t="str">
        <f aca="false">IF(Q2061="","",Q2061*0.0980665)</f>
        <v/>
      </c>
      <c r="S2061" s="16" t="str">
        <f aca="false">IF(Q2061="","",IFERROR(Q2061/(1/(1/INDEX(CONFIG!$I$5:$I$14,MATCH(D2061,CONFIG!$D$5:$D$14,0)))),""))</f>
        <v/>
      </c>
      <c r="T2061" s="13"/>
      <c r="U2061" s="13"/>
      <c r="V2061" s="13"/>
      <c r="W2061" s="13"/>
      <c r="X2061" s="22" t="str">
        <f aca="false">IF(Q2061="","",Q2061^2)</f>
        <v/>
      </c>
      <c r="Y2061" s="22" t="str">
        <f aca="false">IF(AND(C2061&lt;&gt;"",C2061=CERTIFICADO!$E$4,OR(CERTIFICADO!$E$5="",B2061=CERTIFICADO!$E$5)),MAX($Y$4:Y2060)+1,"")</f>
        <v/>
      </c>
    </row>
    <row r="2062" customFormat="false" ht="15" hidden="false" customHeight="false" outlineLevel="0" collapsed="false">
      <c r="A2062" s="11" t="str">
        <f aca="false">IF(C2062="","",ROW()-4)</f>
        <v/>
      </c>
      <c r="B2062" s="12"/>
      <c r="C2062" s="13"/>
      <c r="D2062" s="23" t="str">
        <f aca="false">IF(C2062="","",IFERROR(INDEX(LOTES!$D$5:$D$1004,MATCH(C2062,LOTES!$F$5:$F$1004,0)),"¿Lote?"))</f>
        <v/>
      </c>
      <c r="E2062" s="11" t="str">
        <f aca="false">IF(C2062="","",IFERROR(INDEX(LOTES!$C$5:$C$1004,MATCH(C2062,LOTES!$F$5:$F$1004,0)),""))</f>
        <v/>
      </c>
      <c r="F2062" s="24" t="str">
        <f aca="false">IF(C2062="","",IFERROR(INDEX(LOTES!$B$5:$B$1004,MATCH(C2062,LOTES!$F$5:$F$1004,0)),""))</f>
        <v/>
      </c>
      <c r="G2062" s="15" t="str">
        <f aca="false">IF(OR(B2062="",F2062=""),"",B2062-F2062)</f>
        <v/>
      </c>
      <c r="H2062" s="13"/>
      <c r="I2062" s="13"/>
      <c r="J2062" s="13"/>
      <c r="K2062" s="25"/>
      <c r="L2062" s="25"/>
      <c r="M2062" s="25"/>
      <c r="N2062" s="25"/>
      <c r="O2062" s="26"/>
      <c r="P2062" s="16" t="str">
        <f aca="false">IF(O2062="","",IFERROR(1/(1/(IF(K2062="",INDEX(CONFIG!$F$5:$F$14,MATCH(D2062,CONFIG!$D$5:$D$14,0)),K2062)*IF(M2062="",INDEX(CONFIG!$H$5:$H$14,MATCH(D2062,CONFIG!$D$5:$D$14,0)),M2062))),""))</f>
        <v/>
      </c>
      <c r="Q2062" s="16" t="str">
        <f aca="false">IF(OR(O2062="",P2062=""),"",O2062/P2062)</f>
        <v/>
      </c>
      <c r="R2062" s="16" t="str">
        <f aca="false">IF(Q2062="","",Q2062*0.0980665)</f>
        <v/>
      </c>
      <c r="S2062" s="16" t="str">
        <f aca="false">IF(Q2062="","",IFERROR(Q2062/(1/(1/INDEX(CONFIG!$I$5:$I$14,MATCH(D2062,CONFIG!$D$5:$D$14,0)))),""))</f>
        <v/>
      </c>
      <c r="T2062" s="13"/>
      <c r="U2062" s="13"/>
      <c r="V2062" s="13"/>
      <c r="W2062" s="13"/>
      <c r="X2062" s="22" t="str">
        <f aca="false">IF(Q2062="","",Q2062^2)</f>
        <v/>
      </c>
      <c r="Y2062" s="22" t="str">
        <f aca="false">IF(AND(C2062&lt;&gt;"",C2062=CERTIFICADO!$E$4,OR(CERTIFICADO!$E$5="",B2062=CERTIFICADO!$E$5)),MAX($Y$4:Y2061)+1,"")</f>
        <v/>
      </c>
    </row>
    <row r="2063" customFormat="false" ht="15" hidden="false" customHeight="false" outlineLevel="0" collapsed="false">
      <c r="A2063" s="11" t="str">
        <f aca="false">IF(C2063="","",ROW()-4)</f>
        <v/>
      </c>
      <c r="B2063" s="12"/>
      <c r="C2063" s="13"/>
      <c r="D2063" s="23" t="str">
        <f aca="false">IF(C2063="","",IFERROR(INDEX(LOTES!$D$5:$D$1004,MATCH(C2063,LOTES!$F$5:$F$1004,0)),"¿Lote?"))</f>
        <v/>
      </c>
      <c r="E2063" s="11" t="str">
        <f aca="false">IF(C2063="","",IFERROR(INDEX(LOTES!$C$5:$C$1004,MATCH(C2063,LOTES!$F$5:$F$1004,0)),""))</f>
        <v/>
      </c>
      <c r="F2063" s="24" t="str">
        <f aca="false">IF(C2063="","",IFERROR(INDEX(LOTES!$B$5:$B$1004,MATCH(C2063,LOTES!$F$5:$F$1004,0)),""))</f>
        <v/>
      </c>
      <c r="G2063" s="15" t="str">
        <f aca="false">IF(OR(B2063="",F2063=""),"",B2063-F2063)</f>
        <v/>
      </c>
      <c r="H2063" s="13"/>
      <c r="I2063" s="13"/>
      <c r="J2063" s="13"/>
      <c r="K2063" s="25"/>
      <c r="L2063" s="25"/>
      <c r="M2063" s="25"/>
      <c r="N2063" s="25"/>
      <c r="O2063" s="26"/>
      <c r="P2063" s="16" t="str">
        <f aca="false">IF(O2063="","",IFERROR(1/(1/(IF(K2063="",INDEX(CONFIG!$F$5:$F$14,MATCH(D2063,CONFIG!$D$5:$D$14,0)),K2063)*IF(M2063="",INDEX(CONFIG!$H$5:$H$14,MATCH(D2063,CONFIG!$D$5:$D$14,0)),M2063))),""))</f>
        <v/>
      </c>
      <c r="Q2063" s="16" t="str">
        <f aca="false">IF(OR(O2063="",P2063=""),"",O2063/P2063)</f>
        <v/>
      </c>
      <c r="R2063" s="16" t="str">
        <f aca="false">IF(Q2063="","",Q2063*0.0980665)</f>
        <v/>
      </c>
      <c r="S2063" s="16" t="str">
        <f aca="false">IF(Q2063="","",IFERROR(Q2063/(1/(1/INDEX(CONFIG!$I$5:$I$14,MATCH(D2063,CONFIG!$D$5:$D$14,0)))),""))</f>
        <v/>
      </c>
      <c r="T2063" s="13"/>
      <c r="U2063" s="13"/>
      <c r="V2063" s="13"/>
      <c r="W2063" s="13"/>
      <c r="X2063" s="22" t="str">
        <f aca="false">IF(Q2063="","",Q2063^2)</f>
        <v/>
      </c>
      <c r="Y2063" s="22" t="str">
        <f aca="false">IF(AND(C2063&lt;&gt;"",C2063=CERTIFICADO!$E$4,OR(CERTIFICADO!$E$5="",B2063=CERTIFICADO!$E$5)),MAX($Y$4:Y2062)+1,"")</f>
        <v/>
      </c>
    </row>
    <row r="2064" customFormat="false" ht="15" hidden="false" customHeight="false" outlineLevel="0" collapsed="false">
      <c r="A2064" s="11" t="str">
        <f aca="false">IF(C2064="","",ROW()-4)</f>
        <v/>
      </c>
      <c r="B2064" s="12"/>
      <c r="C2064" s="13"/>
      <c r="D2064" s="23" t="str">
        <f aca="false">IF(C2064="","",IFERROR(INDEX(LOTES!$D$5:$D$1004,MATCH(C2064,LOTES!$F$5:$F$1004,0)),"¿Lote?"))</f>
        <v/>
      </c>
      <c r="E2064" s="11" t="str">
        <f aca="false">IF(C2064="","",IFERROR(INDEX(LOTES!$C$5:$C$1004,MATCH(C2064,LOTES!$F$5:$F$1004,0)),""))</f>
        <v/>
      </c>
      <c r="F2064" s="24" t="str">
        <f aca="false">IF(C2064="","",IFERROR(INDEX(LOTES!$B$5:$B$1004,MATCH(C2064,LOTES!$F$5:$F$1004,0)),""))</f>
        <v/>
      </c>
      <c r="G2064" s="15" t="str">
        <f aca="false">IF(OR(B2064="",F2064=""),"",B2064-F2064)</f>
        <v/>
      </c>
      <c r="H2064" s="13"/>
      <c r="I2064" s="13"/>
      <c r="J2064" s="13"/>
      <c r="K2064" s="25"/>
      <c r="L2064" s="25"/>
      <c r="M2064" s="25"/>
      <c r="N2064" s="25"/>
      <c r="O2064" s="26"/>
      <c r="P2064" s="16" t="str">
        <f aca="false">IF(O2064="","",IFERROR(1/(1/(IF(K2064="",INDEX(CONFIG!$F$5:$F$14,MATCH(D2064,CONFIG!$D$5:$D$14,0)),K2064)*IF(M2064="",INDEX(CONFIG!$H$5:$H$14,MATCH(D2064,CONFIG!$D$5:$D$14,0)),M2064))),""))</f>
        <v/>
      </c>
      <c r="Q2064" s="16" t="str">
        <f aca="false">IF(OR(O2064="",P2064=""),"",O2064/P2064)</f>
        <v/>
      </c>
      <c r="R2064" s="16" t="str">
        <f aca="false">IF(Q2064="","",Q2064*0.0980665)</f>
        <v/>
      </c>
      <c r="S2064" s="16" t="str">
        <f aca="false">IF(Q2064="","",IFERROR(Q2064/(1/(1/INDEX(CONFIG!$I$5:$I$14,MATCH(D2064,CONFIG!$D$5:$D$14,0)))),""))</f>
        <v/>
      </c>
      <c r="T2064" s="13"/>
      <c r="U2064" s="13"/>
      <c r="V2064" s="13"/>
      <c r="W2064" s="13"/>
      <c r="X2064" s="22" t="str">
        <f aca="false">IF(Q2064="","",Q2064^2)</f>
        <v/>
      </c>
      <c r="Y2064" s="22" t="str">
        <f aca="false">IF(AND(C2064&lt;&gt;"",C2064=CERTIFICADO!$E$4,OR(CERTIFICADO!$E$5="",B2064=CERTIFICADO!$E$5)),MAX($Y$4:Y2063)+1,"")</f>
        <v/>
      </c>
    </row>
    <row r="2065" customFormat="false" ht="15" hidden="false" customHeight="false" outlineLevel="0" collapsed="false">
      <c r="A2065" s="11" t="str">
        <f aca="false">IF(C2065="","",ROW()-4)</f>
        <v/>
      </c>
      <c r="B2065" s="12"/>
      <c r="C2065" s="13"/>
      <c r="D2065" s="23" t="str">
        <f aca="false">IF(C2065="","",IFERROR(INDEX(LOTES!$D$5:$D$1004,MATCH(C2065,LOTES!$F$5:$F$1004,0)),"¿Lote?"))</f>
        <v/>
      </c>
      <c r="E2065" s="11" t="str">
        <f aca="false">IF(C2065="","",IFERROR(INDEX(LOTES!$C$5:$C$1004,MATCH(C2065,LOTES!$F$5:$F$1004,0)),""))</f>
        <v/>
      </c>
      <c r="F2065" s="24" t="str">
        <f aca="false">IF(C2065="","",IFERROR(INDEX(LOTES!$B$5:$B$1004,MATCH(C2065,LOTES!$F$5:$F$1004,0)),""))</f>
        <v/>
      </c>
      <c r="G2065" s="15" t="str">
        <f aca="false">IF(OR(B2065="",F2065=""),"",B2065-F2065)</f>
        <v/>
      </c>
      <c r="H2065" s="13"/>
      <c r="I2065" s="13"/>
      <c r="J2065" s="13"/>
      <c r="K2065" s="25"/>
      <c r="L2065" s="25"/>
      <c r="M2065" s="25"/>
      <c r="N2065" s="25"/>
      <c r="O2065" s="26"/>
      <c r="P2065" s="16" t="str">
        <f aca="false">IF(O2065="","",IFERROR(1/(1/(IF(K2065="",INDEX(CONFIG!$F$5:$F$14,MATCH(D2065,CONFIG!$D$5:$D$14,0)),K2065)*IF(M2065="",INDEX(CONFIG!$H$5:$H$14,MATCH(D2065,CONFIG!$D$5:$D$14,0)),M2065))),""))</f>
        <v/>
      </c>
      <c r="Q2065" s="16" t="str">
        <f aca="false">IF(OR(O2065="",P2065=""),"",O2065/P2065)</f>
        <v/>
      </c>
      <c r="R2065" s="16" t="str">
        <f aca="false">IF(Q2065="","",Q2065*0.0980665)</f>
        <v/>
      </c>
      <c r="S2065" s="16" t="str">
        <f aca="false">IF(Q2065="","",IFERROR(Q2065/(1/(1/INDEX(CONFIG!$I$5:$I$14,MATCH(D2065,CONFIG!$D$5:$D$14,0)))),""))</f>
        <v/>
      </c>
      <c r="T2065" s="13"/>
      <c r="U2065" s="13"/>
      <c r="V2065" s="13"/>
      <c r="W2065" s="13"/>
      <c r="X2065" s="22" t="str">
        <f aca="false">IF(Q2065="","",Q2065^2)</f>
        <v/>
      </c>
      <c r="Y2065" s="22" t="str">
        <f aca="false">IF(AND(C2065&lt;&gt;"",C2065=CERTIFICADO!$E$4,OR(CERTIFICADO!$E$5="",B2065=CERTIFICADO!$E$5)),MAX($Y$4:Y2064)+1,"")</f>
        <v/>
      </c>
    </row>
    <row r="2066" customFormat="false" ht="15" hidden="false" customHeight="false" outlineLevel="0" collapsed="false">
      <c r="A2066" s="11" t="str">
        <f aca="false">IF(C2066="","",ROW()-4)</f>
        <v/>
      </c>
      <c r="B2066" s="12"/>
      <c r="C2066" s="13"/>
      <c r="D2066" s="23" t="str">
        <f aca="false">IF(C2066="","",IFERROR(INDEX(LOTES!$D$5:$D$1004,MATCH(C2066,LOTES!$F$5:$F$1004,0)),"¿Lote?"))</f>
        <v/>
      </c>
      <c r="E2066" s="11" t="str">
        <f aca="false">IF(C2066="","",IFERROR(INDEX(LOTES!$C$5:$C$1004,MATCH(C2066,LOTES!$F$5:$F$1004,0)),""))</f>
        <v/>
      </c>
      <c r="F2066" s="24" t="str">
        <f aca="false">IF(C2066="","",IFERROR(INDEX(LOTES!$B$5:$B$1004,MATCH(C2066,LOTES!$F$5:$F$1004,0)),""))</f>
        <v/>
      </c>
      <c r="G2066" s="15" t="str">
        <f aca="false">IF(OR(B2066="",F2066=""),"",B2066-F2066)</f>
        <v/>
      </c>
      <c r="H2066" s="13"/>
      <c r="I2066" s="13"/>
      <c r="J2066" s="13"/>
      <c r="K2066" s="25"/>
      <c r="L2066" s="25"/>
      <c r="M2066" s="25"/>
      <c r="N2066" s="25"/>
      <c r="O2066" s="26"/>
      <c r="P2066" s="16" t="str">
        <f aca="false">IF(O2066="","",IFERROR(1/(1/(IF(K2066="",INDEX(CONFIG!$F$5:$F$14,MATCH(D2066,CONFIG!$D$5:$D$14,0)),K2066)*IF(M2066="",INDEX(CONFIG!$H$5:$H$14,MATCH(D2066,CONFIG!$D$5:$D$14,0)),M2066))),""))</f>
        <v/>
      </c>
      <c r="Q2066" s="16" t="str">
        <f aca="false">IF(OR(O2066="",P2066=""),"",O2066/P2066)</f>
        <v/>
      </c>
      <c r="R2066" s="16" t="str">
        <f aca="false">IF(Q2066="","",Q2066*0.0980665)</f>
        <v/>
      </c>
      <c r="S2066" s="16" t="str">
        <f aca="false">IF(Q2066="","",IFERROR(Q2066/(1/(1/INDEX(CONFIG!$I$5:$I$14,MATCH(D2066,CONFIG!$D$5:$D$14,0)))),""))</f>
        <v/>
      </c>
      <c r="T2066" s="13"/>
      <c r="U2066" s="13"/>
      <c r="V2066" s="13"/>
      <c r="W2066" s="13"/>
      <c r="X2066" s="22" t="str">
        <f aca="false">IF(Q2066="","",Q2066^2)</f>
        <v/>
      </c>
      <c r="Y2066" s="22" t="str">
        <f aca="false">IF(AND(C2066&lt;&gt;"",C2066=CERTIFICADO!$E$4,OR(CERTIFICADO!$E$5="",B2066=CERTIFICADO!$E$5)),MAX($Y$4:Y2065)+1,"")</f>
        <v/>
      </c>
    </row>
    <row r="2067" customFormat="false" ht="15" hidden="false" customHeight="false" outlineLevel="0" collapsed="false">
      <c r="A2067" s="11" t="str">
        <f aca="false">IF(C2067="","",ROW()-4)</f>
        <v/>
      </c>
      <c r="B2067" s="12"/>
      <c r="C2067" s="13"/>
      <c r="D2067" s="23" t="str">
        <f aca="false">IF(C2067="","",IFERROR(INDEX(LOTES!$D$5:$D$1004,MATCH(C2067,LOTES!$F$5:$F$1004,0)),"¿Lote?"))</f>
        <v/>
      </c>
      <c r="E2067" s="11" t="str">
        <f aca="false">IF(C2067="","",IFERROR(INDEX(LOTES!$C$5:$C$1004,MATCH(C2067,LOTES!$F$5:$F$1004,0)),""))</f>
        <v/>
      </c>
      <c r="F2067" s="24" t="str">
        <f aca="false">IF(C2067="","",IFERROR(INDEX(LOTES!$B$5:$B$1004,MATCH(C2067,LOTES!$F$5:$F$1004,0)),""))</f>
        <v/>
      </c>
      <c r="G2067" s="15" t="str">
        <f aca="false">IF(OR(B2067="",F2067=""),"",B2067-F2067)</f>
        <v/>
      </c>
      <c r="H2067" s="13"/>
      <c r="I2067" s="13"/>
      <c r="J2067" s="13"/>
      <c r="K2067" s="25"/>
      <c r="L2067" s="25"/>
      <c r="M2067" s="25"/>
      <c r="N2067" s="25"/>
      <c r="O2067" s="26"/>
      <c r="P2067" s="16" t="str">
        <f aca="false">IF(O2067="","",IFERROR(1/(1/(IF(K2067="",INDEX(CONFIG!$F$5:$F$14,MATCH(D2067,CONFIG!$D$5:$D$14,0)),K2067)*IF(M2067="",INDEX(CONFIG!$H$5:$H$14,MATCH(D2067,CONFIG!$D$5:$D$14,0)),M2067))),""))</f>
        <v/>
      </c>
      <c r="Q2067" s="16" t="str">
        <f aca="false">IF(OR(O2067="",P2067=""),"",O2067/P2067)</f>
        <v/>
      </c>
      <c r="R2067" s="16" t="str">
        <f aca="false">IF(Q2067="","",Q2067*0.0980665)</f>
        <v/>
      </c>
      <c r="S2067" s="16" t="str">
        <f aca="false">IF(Q2067="","",IFERROR(Q2067/(1/(1/INDEX(CONFIG!$I$5:$I$14,MATCH(D2067,CONFIG!$D$5:$D$14,0)))),""))</f>
        <v/>
      </c>
      <c r="T2067" s="13"/>
      <c r="U2067" s="13"/>
      <c r="V2067" s="13"/>
      <c r="W2067" s="13"/>
      <c r="X2067" s="22" t="str">
        <f aca="false">IF(Q2067="","",Q2067^2)</f>
        <v/>
      </c>
      <c r="Y2067" s="22" t="str">
        <f aca="false">IF(AND(C2067&lt;&gt;"",C2067=CERTIFICADO!$E$4,OR(CERTIFICADO!$E$5="",B2067=CERTIFICADO!$E$5)),MAX($Y$4:Y2066)+1,"")</f>
        <v/>
      </c>
    </row>
    <row r="2068" customFormat="false" ht="15" hidden="false" customHeight="false" outlineLevel="0" collapsed="false">
      <c r="A2068" s="11" t="str">
        <f aca="false">IF(C2068="","",ROW()-4)</f>
        <v/>
      </c>
      <c r="B2068" s="12"/>
      <c r="C2068" s="13"/>
      <c r="D2068" s="23" t="str">
        <f aca="false">IF(C2068="","",IFERROR(INDEX(LOTES!$D$5:$D$1004,MATCH(C2068,LOTES!$F$5:$F$1004,0)),"¿Lote?"))</f>
        <v/>
      </c>
      <c r="E2068" s="11" t="str">
        <f aca="false">IF(C2068="","",IFERROR(INDEX(LOTES!$C$5:$C$1004,MATCH(C2068,LOTES!$F$5:$F$1004,0)),""))</f>
        <v/>
      </c>
      <c r="F2068" s="24" t="str">
        <f aca="false">IF(C2068="","",IFERROR(INDEX(LOTES!$B$5:$B$1004,MATCH(C2068,LOTES!$F$5:$F$1004,0)),""))</f>
        <v/>
      </c>
      <c r="G2068" s="15" t="str">
        <f aca="false">IF(OR(B2068="",F2068=""),"",B2068-F2068)</f>
        <v/>
      </c>
      <c r="H2068" s="13"/>
      <c r="I2068" s="13"/>
      <c r="J2068" s="13"/>
      <c r="K2068" s="25"/>
      <c r="L2068" s="25"/>
      <c r="M2068" s="25"/>
      <c r="N2068" s="25"/>
      <c r="O2068" s="26"/>
      <c r="P2068" s="16" t="str">
        <f aca="false">IF(O2068="","",IFERROR(1/(1/(IF(K2068="",INDEX(CONFIG!$F$5:$F$14,MATCH(D2068,CONFIG!$D$5:$D$14,0)),K2068)*IF(M2068="",INDEX(CONFIG!$H$5:$H$14,MATCH(D2068,CONFIG!$D$5:$D$14,0)),M2068))),""))</f>
        <v/>
      </c>
      <c r="Q2068" s="16" t="str">
        <f aca="false">IF(OR(O2068="",P2068=""),"",O2068/P2068)</f>
        <v/>
      </c>
      <c r="R2068" s="16" t="str">
        <f aca="false">IF(Q2068="","",Q2068*0.0980665)</f>
        <v/>
      </c>
      <c r="S2068" s="16" t="str">
        <f aca="false">IF(Q2068="","",IFERROR(Q2068/(1/(1/INDEX(CONFIG!$I$5:$I$14,MATCH(D2068,CONFIG!$D$5:$D$14,0)))),""))</f>
        <v/>
      </c>
      <c r="T2068" s="13"/>
      <c r="U2068" s="13"/>
      <c r="V2068" s="13"/>
      <c r="W2068" s="13"/>
      <c r="X2068" s="22" t="str">
        <f aca="false">IF(Q2068="","",Q2068^2)</f>
        <v/>
      </c>
      <c r="Y2068" s="22" t="str">
        <f aca="false">IF(AND(C2068&lt;&gt;"",C2068=CERTIFICADO!$E$4,OR(CERTIFICADO!$E$5="",B2068=CERTIFICADO!$E$5)),MAX($Y$4:Y2067)+1,"")</f>
        <v/>
      </c>
    </row>
    <row r="2069" customFormat="false" ht="15" hidden="false" customHeight="false" outlineLevel="0" collapsed="false">
      <c r="A2069" s="11" t="str">
        <f aca="false">IF(C2069="","",ROW()-4)</f>
        <v/>
      </c>
      <c r="B2069" s="12"/>
      <c r="C2069" s="13"/>
      <c r="D2069" s="23" t="str">
        <f aca="false">IF(C2069="","",IFERROR(INDEX(LOTES!$D$5:$D$1004,MATCH(C2069,LOTES!$F$5:$F$1004,0)),"¿Lote?"))</f>
        <v/>
      </c>
      <c r="E2069" s="11" t="str">
        <f aca="false">IF(C2069="","",IFERROR(INDEX(LOTES!$C$5:$C$1004,MATCH(C2069,LOTES!$F$5:$F$1004,0)),""))</f>
        <v/>
      </c>
      <c r="F2069" s="24" t="str">
        <f aca="false">IF(C2069="","",IFERROR(INDEX(LOTES!$B$5:$B$1004,MATCH(C2069,LOTES!$F$5:$F$1004,0)),""))</f>
        <v/>
      </c>
      <c r="G2069" s="15" t="str">
        <f aca="false">IF(OR(B2069="",F2069=""),"",B2069-F2069)</f>
        <v/>
      </c>
      <c r="H2069" s="13"/>
      <c r="I2069" s="13"/>
      <c r="J2069" s="13"/>
      <c r="K2069" s="25"/>
      <c r="L2069" s="25"/>
      <c r="M2069" s="25"/>
      <c r="N2069" s="25"/>
      <c r="O2069" s="26"/>
      <c r="P2069" s="16" t="str">
        <f aca="false">IF(O2069="","",IFERROR(1/(1/(IF(K2069="",INDEX(CONFIG!$F$5:$F$14,MATCH(D2069,CONFIG!$D$5:$D$14,0)),K2069)*IF(M2069="",INDEX(CONFIG!$H$5:$H$14,MATCH(D2069,CONFIG!$D$5:$D$14,0)),M2069))),""))</f>
        <v/>
      </c>
      <c r="Q2069" s="16" t="str">
        <f aca="false">IF(OR(O2069="",P2069=""),"",O2069/P2069)</f>
        <v/>
      </c>
      <c r="R2069" s="16" t="str">
        <f aca="false">IF(Q2069="","",Q2069*0.0980665)</f>
        <v/>
      </c>
      <c r="S2069" s="16" t="str">
        <f aca="false">IF(Q2069="","",IFERROR(Q2069/(1/(1/INDEX(CONFIG!$I$5:$I$14,MATCH(D2069,CONFIG!$D$5:$D$14,0)))),""))</f>
        <v/>
      </c>
      <c r="T2069" s="13"/>
      <c r="U2069" s="13"/>
      <c r="V2069" s="13"/>
      <c r="W2069" s="13"/>
      <c r="X2069" s="22" t="str">
        <f aca="false">IF(Q2069="","",Q2069^2)</f>
        <v/>
      </c>
      <c r="Y2069" s="22" t="str">
        <f aca="false">IF(AND(C2069&lt;&gt;"",C2069=CERTIFICADO!$E$4,OR(CERTIFICADO!$E$5="",B2069=CERTIFICADO!$E$5)),MAX($Y$4:Y2068)+1,"")</f>
        <v/>
      </c>
    </row>
    <row r="2070" customFormat="false" ht="15" hidden="false" customHeight="false" outlineLevel="0" collapsed="false">
      <c r="A2070" s="11" t="str">
        <f aca="false">IF(C2070="","",ROW()-4)</f>
        <v/>
      </c>
      <c r="B2070" s="12"/>
      <c r="C2070" s="13"/>
      <c r="D2070" s="23" t="str">
        <f aca="false">IF(C2070="","",IFERROR(INDEX(LOTES!$D$5:$D$1004,MATCH(C2070,LOTES!$F$5:$F$1004,0)),"¿Lote?"))</f>
        <v/>
      </c>
      <c r="E2070" s="11" t="str">
        <f aca="false">IF(C2070="","",IFERROR(INDEX(LOTES!$C$5:$C$1004,MATCH(C2070,LOTES!$F$5:$F$1004,0)),""))</f>
        <v/>
      </c>
      <c r="F2070" s="24" t="str">
        <f aca="false">IF(C2070="","",IFERROR(INDEX(LOTES!$B$5:$B$1004,MATCH(C2070,LOTES!$F$5:$F$1004,0)),""))</f>
        <v/>
      </c>
      <c r="G2070" s="15" t="str">
        <f aca="false">IF(OR(B2070="",F2070=""),"",B2070-F2070)</f>
        <v/>
      </c>
      <c r="H2070" s="13"/>
      <c r="I2070" s="13"/>
      <c r="J2070" s="13"/>
      <c r="K2070" s="25"/>
      <c r="L2070" s="25"/>
      <c r="M2070" s="25"/>
      <c r="N2070" s="25"/>
      <c r="O2070" s="26"/>
      <c r="P2070" s="16" t="str">
        <f aca="false">IF(O2070="","",IFERROR(1/(1/(IF(K2070="",INDEX(CONFIG!$F$5:$F$14,MATCH(D2070,CONFIG!$D$5:$D$14,0)),K2070)*IF(M2070="",INDEX(CONFIG!$H$5:$H$14,MATCH(D2070,CONFIG!$D$5:$D$14,0)),M2070))),""))</f>
        <v/>
      </c>
      <c r="Q2070" s="16" t="str">
        <f aca="false">IF(OR(O2070="",P2070=""),"",O2070/P2070)</f>
        <v/>
      </c>
      <c r="R2070" s="16" t="str">
        <f aca="false">IF(Q2070="","",Q2070*0.0980665)</f>
        <v/>
      </c>
      <c r="S2070" s="16" t="str">
        <f aca="false">IF(Q2070="","",IFERROR(Q2070/(1/(1/INDEX(CONFIG!$I$5:$I$14,MATCH(D2070,CONFIG!$D$5:$D$14,0)))),""))</f>
        <v/>
      </c>
      <c r="T2070" s="13"/>
      <c r="U2070" s="13"/>
      <c r="V2070" s="13"/>
      <c r="W2070" s="13"/>
      <c r="X2070" s="22" t="str">
        <f aca="false">IF(Q2070="","",Q2070^2)</f>
        <v/>
      </c>
      <c r="Y2070" s="22" t="str">
        <f aca="false">IF(AND(C2070&lt;&gt;"",C2070=CERTIFICADO!$E$4,OR(CERTIFICADO!$E$5="",B2070=CERTIFICADO!$E$5)),MAX($Y$4:Y2069)+1,"")</f>
        <v/>
      </c>
    </row>
    <row r="2071" customFormat="false" ht="15" hidden="false" customHeight="false" outlineLevel="0" collapsed="false">
      <c r="A2071" s="11" t="str">
        <f aca="false">IF(C2071="","",ROW()-4)</f>
        <v/>
      </c>
      <c r="B2071" s="12"/>
      <c r="C2071" s="13"/>
      <c r="D2071" s="23" t="str">
        <f aca="false">IF(C2071="","",IFERROR(INDEX(LOTES!$D$5:$D$1004,MATCH(C2071,LOTES!$F$5:$F$1004,0)),"¿Lote?"))</f>
        <v/>
      </c>
      <c r="E2071" s="11" t="str">
        <f aca="false">IF(C2071="","",IFERROR(INDEX(LOTES!$C$5:$C$1004,MATCH(C2071,LOTES!$F$5:$F$1004,0)),""))</f>
        <v/>
      </c>
      <c r="F2071" s="24" t="str">
        <f aca="false">IF(C2071="","",IFERROR(INDEX(LOTES!$B$5:$B$1004,MATCH(C2071,LOTES!$F$5:$F$1004,0)),""))</f>
        <v/>
      </c>
      <c r="G2071" s="15" t="str">
        <f aca="false">IF(OR(B2071="",F2071=""),"",B2071-F2071)</f>
        <v/>
      </c>
      <c r="H2071" s="13"/>
      <c r="I2071" s="13"/>
      <c r="J2071" s="13"/>
      <c r="K2071" s="25"/>
      <c r="L2071" s="25"/>
      <c r="M2071" s="25"/>
      <c r="N2071" s="25"/>
      <c r="O2071" s="26"/>
      <c r="P2071" s="16" t="str">
        <f aca="false">IF(O2071="","",IFERROR(1/(1/(IF(K2071="",INDEX(CONFIG!$F$5:$F$14,MATCH(D2071,CONFIG!$D$5:$D$14,0)),K2071)*IF(M2071="",INDEX(CONFIG!$H$5:$H$14,MATCH(D2071,CONFIG!$D$5:$D$14,0)),M2071))),""))</f>
        <v/>
      </c>
      <c r="Q2071" s="16" t="str">
        <f aca="false">IF(OR(O2071="",P2071=""),"",O2071/P2071)</f>
        <v/>
      </c>
      <c r="R2071" s="16" t="str">
        <f aca="false">IF(Q2071="","",Q2071*0.0980665)</f>
        <v/>
      </c>
      <c r="S2071" s="16" t="str">
        <f aca="false">IF(Q2071="","",IFERROR(Q2071/(1/(1/INDEX(CONFIG!$I$5:$I$14,MATCH(D2071,CONFIG!$D$5:$D$14,0)))),""))</f>
        <v/>
      </c>
      <c r="T2071" s="13"/>
      <c r="U2071" s="13"/>
      <c r="V2071" s="13"/>
      <c r="W2071" s="13"/>
      <c r="X2071" s="22" t="str">
        <f aca="false">IF(Q2071="","",Q2071^2)</f>
        <v/>
      </c>
      <c r="Y2071" s="22" t="str">
        <f aca="false">IF(AND(C2071&lt;&gt;"",C2071=CERTIFICADO!$E$4,OR(CERTIFICADO!$E$5="",B2071=CERTIFICADO!$E$5)),MAX($Y$4:Y2070)+1,"")</f>
        <v/>
      </c>
    </row>
    <row r="2072" customFormat="false" ht="15" hidden="false" customHeight="false" outlineLevel="0" collapsed="false">
      <c r="A2072" s="11" t="str">
        <f aca="false">IF(C2072="","",ROW()-4)</f>
        <v/>
      </c>
      <c r="B2072" s="12"/>
      <c r="C2072" s="13"/>
      <c r="D2072" s="23" t="str">
        <f aca="false">IF(C2072="","",IFERROR(INDEX(LOTES!$D$5:$D$1004,MATCH(C2072,LOTES!$F$5:$F$1004,0)),"¿Lote?"))</f>
        <v/>
      </c>
      <c r="E2072" s="11" t="str">
        <f aca="false">IF(C2072="","",IFERROR(INDEX(LOTES!$C$5:$C$1004,MATCH(C2072,LOTES!$F$5:$F$1004,0)),""))</f>
        <v/>
      </c>
      <c r="F2072" s="24" t="str">
        <f aca="false">IF(C2072="","",IFERROR(INDEX(LOTES!$B$5:$B$1004,MATCH(C2072,LOTES!$F$5:$F$1004,0)),""))</f>
        <v/>
      </c>
      <c r="G2072" s="15" t="str">
        <f aca="false">IF(OR(B2072="",F2072=""),"",B2072-F2072)</f>
        <v/>
      </c>
      <c r="H2072" s="13"/>
      <c r="I2072" s="13"/>
      <c r="J2072" s="13"/>
      <c r="K2072" s="25"/>
      <c r="L2072" s="25"/>
      <c r="M2072" s="25"/>
      <c r="N2072" s="25"/>
      <c r="O2072" s="26"/>
      <c r="P2072" s="16" t="str">
        <f aca="false">IF(O2072="","",IFERROR(1/(1/(IF(K2072="",INDEX(CONFIG!$F$5:$F$14,MATCH(D2072,CONFIG!$D$5:$D$14,0)),K2072)*IF(M2072="",INDEX(CONFIG!$H$5:$H$14,MATCH(D2072,CONFIG!$D$5:$D$14,0)),M2072))),""))</f>
        <v/>
      </c>
      <c r="Q2072" s="16" t="str">
        <f aca="false">IF(OR(O2072="",P2072=""),"",O2072/P2072)</f>
        <v/>
      </c>
      <c r="R2072" s="16" t="str">
        <f aca="false">IF(Q2072="","",Q2072*0.0980665)</f>
        <v/>
      </c>
      <c r="S2072" s="16" t="str">
        <f aca="false">IF(Q2072="","",IFERROR(Q2072/(1/(1/INDEX(CONFIG!$I$5:$I$14,MATCH(D2072,CONFIG!$D$5:$D$14,0)))),""))</f>
        <v/>
      </c>
      <c r="T2072" s="13"/>
      <c r="U2072" s="13"/>
      <c r="V2072" s="13"/>
      <c r="W2072" s="13"/>
      <c r="X2072" s="22" t="str">
        <f aca="false">IF(Q2072="","",Q2072^2)</f>
        <v/>
      </c>
      <c r="Y2072" s="22" t="str">
        <f aca="false">IF(AND(C2072&lt;&gt;"",C2072=CERTIFICADO!$E$4,OR(CERTIFICADO!$E$5="",B2072=CERTIFICADO!$E$5)),MAX($Y$4:Y2071)+1,"")</f>
        <v/>
      </c>
    </row>
    <row r="2073" customFormat="false" ht="15" hidden="false" customHeight="false" outlineLevel="0" collapsed="false">
      <c r="A2073" s="11" t="str">
        <f aca="false">IF(C2073="","",ROW()-4)</f>
        <v/>
      </c>
      <c r="B2073" s="12"/>
      <c r="C2073" s="13"/>
      <c r="D2073" s="23" t="str">
        <f aca="false">IF(C2073="","",IFERROR(INDEX(LOTES!$D$5:$D$1004,MATCH(C2073,LOTES!$F$5:$F$1004,0)),"¿Lote?"))</f>
        <v/>
      </c>
      <c r="E2073" s="11" t="str">
        <f aca="false">IF(C2073="","",IFERROR(INDEX(LOTES!$C$5:$C$1004,MATCH(C2073,LOTES!$F$5:$F$1004,0)),""))</f>
        <v/>
      </c>
      <c r="F2073" s="24" t="str">
        <f aca="false">IF(C2073="","",IFERROR(INDEX(LOTES!$B$5:$B$1004,MATCH(C2073,LOTES!$F$5:$F$1004,0)),""))</f>
        <v/>
      </c>
      <c r="G2073" s="15" t="str">
        <f aca="false">IF(OR(B2073="",F2073=""),"",B2073-F2073)</f>
        <v/>
      </c>
      <c r="H2073" s="13"/>
      <c r="I2073" s="13"/>
      <c r="J2073" s="13"/>
      <c r="K2073" s="25"/>
      <c r="L2073" s="25"/>
      <c r="M2073" s="25"/>
      <c r="N2073" s="25"/>
      <c r="O2073" s="26"/>
      <c r="P2073" s="16" t="str">
        <f aca="false">IF(O2073="","",IFERROR(1/(1/(IF(K2073="",INDEX(CONFIG!$F$5:$F$14,MATCH(D2073,CONFIG!$D$5:$D$14,0)),K2073)*IF(M2073="",INDEX(CONFIG!$H$5:$H$14,MATCH(D2073,CONFIG!$D$5:$D$14,0)),M2073))),""))</f>
        <v/>
      </c>
      <c r="Q2073" s="16" t="str">
        <f aca="false">IF(OR(O2073="",P2073=""),"",O2073/P2073)</f>
        <v/>
      </c>
      <c r="R2073" s="16" t="str">
        <f aca="false">IF(Q2073="","",Q2073*0.0980665)</f>
        <v/>
      </c>
      <c r="S2073" s="16" t="str">
        <f aca="false">IF(Q2073="","",IFERROR(Q2073/(1/(1/INDEX(CONFIG!$I$5:$I$14,MATCH(D2073,CONFIG!$D$5:$D$14,0)))),""))</f>
        <v/>
      </c>
      <c r="T2073" s="13"/>
      <c r="U2073" s="13"/>
      <c r="V2073" s="13"/>
      <c r="W2073" s="13"/>
      <c r="X2073" s="22" t="str">
        <f aca="false">IF(Q2073="","",Q2073^2)</f>
        <v/>
      </c>
      <c r="Y2073" s="22" t="str">
        <f aca="false">IF(AND(C2073&lt;&gt;"",C2073=CERTIFICADO!$E$4,OR(CERTIFICADO!$E$5="",B2073=CERTIFICADO!$E$5)),MAX($Y$4:Y2072)+1,"")</f>
        <v/>
      </c>
    </row>
    <row r="2074" customFormat="false" ht="15" hidden="false" customHeight="false" outlineLevel="0" collapsed="false">
      <c r="A2074" s="11" t="str">
        <f aca="false">IF(C2074="","",ROW()-4)</f>
        <v/>
      </c>
      <c r="B2074" s="12"/>
      <c r="C2074" s="13"/>
      <c r="D2074" s="23" t="str">
        <f aca="false">IF(C2074="","",IFERROR(INDEX(LOTES!$D$5:$D$1004,MATCH(C2074,LOTES!$F$5:$F$1004,0)),"¿Lote?"))</f>
        <v/>
      </c>
      <c r="E2074" s="11" t="str">
        <f aca="false">IF(C2074="","",IFERROR(INDEX(LOTES!$C$5:$C$1004,MATCH(C2074,LOTES!$F$5:$F$1004,0)),""))</f>
        <v/>
      </c>
      <c r="F2074" s="24" t="str">
        <f aca="false">IF(C2074="","",IFERROR(INDEX(LOTES!$B$5:$B$1004,MATCH(C2074,LOTES!$F$5:$F$1004,0)),""))</f>
        <v/>
      </c>
      <c r="G2074" s="15" t="str">
        <f aca="false">IF(OR(B2074="",F2074=""),"",B2074-F2074)</f>
        <v/>
      </c>
      <c r="H2074" s="13"/>
      <c r="I2074" s="13"/>
      <c r="J2074" s="13"/>
      <c r="K2074" s="25"/>
      <c r="L2074" s="25"/>
      <c r="M2074" s="25"/>
      <c r="N2074" s="25"/>
      <c r="O2074" s="26"/>
      <c r="P2074" s="16" t="str">
        <f aca="false">IF(O2074="","",IFERROR(1/(1/(IF(K2074="",INDEX(CONFIG!$F$5:$F$14,MATCH(D2074,CONFIG!$D$5:$D$14,0)),K2074)*IF(M2074="",INDEX(CONFIG!$H$5:$H$14,MATCH(D2074,CONFIG!$D$5:$D$14,0)),M2074))),""))</f>
        <v/>
      </c>
      <c r="Q2074" s="16" t="str">
        <f aca="false">IF(OR(O2074="",P2074=""),"",O2074/P2074)</f>
        <v/>
      </c>
      <c r="R2074" s="16" t="str">
        <f aca="false">IF(Q2074="","",Q2074*0.0980665)</f>
        <v/>
      </c>
      <c r="S2074" s="16" t="str">
        <f aca="false">IF(Q2074="","",IFERROR(Q2074/(1/(1/INDEX(CONFIG!$I$5:$I$14,MATCH(D2074,CONFIG!$D$5:$D$14,0)))),""))</f>
        <v/>
      </c>
      <c r="T2074" s="13"/>
      <c r="U2074" s="13"/>
      <c r="V2074" s="13"/>
      <c r="W2074" s="13"/>
      <c r="X2074" s="22" t="str">
        <f aca="false">IF(Q2074="","",Q2074^2)</f>
        <v/>
      </c>
      <c r="Y2074" s="22" t="str">
        <f aca="false">IF(AND(C2074&lt;&gt;"",C2074=CERTIFICADO!$E$4,OR(CERTIFICADO!$E$5="",B2074=CERTIFICADO!$E$5)),MAX($Y$4:Y2073)+1,"")</f>
        <v/>
      </c>
    </row>
    <row r="2075" customFormat="false" ht="15" hidden="false" customHeight="false" outlineLevel="0" collapsed="false">
      <c r="A2075" s="11" t="str">
        <f aca="false">IF(C2075="","",ROW()-4)</f>
        <v/>
      </c>
      <c r="B2075" s="12"/>
      <c r="C2075" s="13"/>
      <c r="D2075" s="23" t="str">
        <f aca="false">IF(C2075="","",IFERROR(INDEX(LOTES!$D$5:$D$1004,MATCH(C2075,LOTES!$F$5:$F$1004,0)),"¿Lote?"))</f>
        <v/>
      </c>
      <c r="E2075" s="11" t="str">
        <f aca="false">IF(C2075="","",IFERROR(INDEX(LOTES!$C$5:$C$1004,MATCH(C2075,LOTES!$F$5:$F$1004,0)),""))</f>
        <v/>
      </c>
      <c r="F2075" s="24" t="str">
        <f aca="false">IF(C2075="","",IFERROR(INDEX(LOTES!$B$5:$B$1004,MATCH(C2075,LOTES!$F$5:$F$1004,0)),""))</f>
        <v/>
      </c>
      <c r="G2075" s="15" t="str">
        <f aca="false">IF(OR(B2075="",F2075=""),"",B2075-F2075)</f>
        <v/>
      </c>
      <c r="H2075" s="13"/>
      <c r="I2075" s="13"/>
      <c r="J2075" s="13"/>
      <c r="K2075" s="25"/>
      <c r="L2075" s="25"/>
      <c r="M2075" s="25"/>
      <c r="N2075" s="25"/>
      <c r="O2075" s="26"/>
      <c r="P2075" s="16" t="str">
        <f aca="false">IF(O2075="","",IFERROR(1/(1/(IF(K2075="",INDEX(CONFIG!$F$5:$F$14,MATCH(D2075,CONFIG!$D$5:$D$14,0)),K2075)*IF(M2075="",INDEX(CONFIG!$H$5:$H$14,MATCH(D2075,CONFIG!$D$5:$D$14,0)),M2075))),""))</f>
        <v/>
      </c>
      <c r="Q2075" s="16" t="str">
        <f aca="false">IF(OR(O2075="",P2075=""),"",O2075/P2075)</f>
        <v/>
      </c>
      <c r="R2075" s="16" t="str">
        <f aca="false">IF(Q2075="","",Q2075*0.0980665)</f>
        <v/>
      </c>
      <c r="S2075" s="16" t="str">
        <f aca="false">IF(Q2075="","",IFERROR(Q2075/(1/(1/INDEX(CONFIG!$I$5:$I$14,MATCH(D2075,CONFIG!$D$5:$D$14,0)))),""))</f>
        <v/>
      </c>
      <c r="T2075" s="13"/>
      <c r="U2075" s="13"/>
      <c r="V2075" s="13"/>
      <c r="W2075" s="13"/>
      <c r="X2075" s="22" t="str">
        <f aca="false">IF(Q2075="","",Q2075^2)</f>
        <v/>
      </c>
      <c r="Y2075" s="22" t="str">
        <f aca="false">IF(AND(C2075&lt;&gt;"",C2075=CERTIFICADO!$E$4,OR(CERTIFICADO!$E$5="",B2075=CERTIFICADO!$E$5)),MAX($Y$4:Y2074)+1,"")</f>
        <v/>
      </c>
    </row>
    <row r="2076" customFormat="false" ht="15" hidden="false" customHeight="false" outlineLevel="0" collapsed="false">
      <c r="A2076" s="11" t="str">
        <f aca="false">IF(C2076="","",ROW()-4)</f>
        <v/>
      </c>
      <c r="B2076" s="12"/>
      <c r="C2076" s="13"/>
      <c r="D2076" s="23" t="str">
        <f aca="false">IF(C2076="","",IFERROR(INDEX(LOTES!$D$5:$D$1004,MATCH(C2076,LOTES!$F$5:$F$1004,0)),"¿Lote?"))</f>
        <v/>
      </c>
      <c r="E2076" s="11" t="str">
        <f aca="false">IF(C2076="","",IFERROR(INDEX(LOTES!$C$5:$C$1004,MATCH(C2076,LOTES!$F$5:$F$1004,0)),""))</f>
        <v/>
      </c>
      <c r="F2076" s="24" t="str">
        <f aca="false">IF(C2076="","",IFERROR(INDEX(LOTES!$B$5:$B$1004,MATCH(C2076,LOTES!$F$5:$F$1004,0)),""))</f>
        <v/>
      </c>
      <c r="G2076" s="15" t="str">
        <f aca="false">IF(OR(B2076="",F2076=""),"",B2076-F2076)</f>
        <v/>
      </c>
      <c r="H2076" s="13"/>
      <c r="I2076" s="13"/>
      <c r="J2076" s="13"/>
      <c r="K2076" s="25"/>
      <c r="L2076" s="25"/>
      <c r="M2076" s="25"/>
      <c r="N2076" s="25"/>
      <c r="O2076" s="26"/>
      <c r="P2076" s="16" t="str">
        <f aca="false">IF(O2076="","",IFERROR(1/(1/(IF(K2076="",INDEX(CONFIG!$F$5:$F$14,MATCH(D2076,CONFIG!$D$5:$D$14,0)),K2076)*IF(M2076="",INDEX(CONFIG!$H$5:$H$14,MATCH(D2076,CONFIG!$D$5:$D$14,0)),M2076))),""))</f>
        <v/>
      </c>
      <c r="Q2076" s="16" t="str">
        <f aca="false">IF(OR(O2076="",P2076=""),"",O2076/P2076)</f>
        <v/>
      </c>
      <c r="R2076" s="16" t="str">
        <f aca="false">IF(Q2076="","",Q2076*0.0980665)</f>
        <v/>
      </c>
      <c r="S2076" s="16" t="str">
        <f aca="false">IF(Q2076="","",IFERROR(Q2076/(1/(1/INDEX(CONFIG!$I$5:$I$14,MATCH(D2076,CONFIG!$D$5:$D$14,0)))),""))</f>
        <v/>
      </c>
      <c r="T2076" s="13"/>
      <c r="U2076" s="13"/>
      <c r="V2076" s="13"/>
      <c r="W2076" s="13"/>
      <c r="X2076" s="22" t="str">
        <f aca="false">IF(Q2076="","",Q2076^2)</f>
        <v/>
      </c>
      <c r="Y2076" s="22" t="str">
        <f aca="false">IF(AND(C2076&lt;&gt;"",C2076=CERTIFICADO!$E$4,OR(CERTIFICADO!$E$5="",B2076=CERTIFICADO!$E$5)),MAX($Y$4:Y2075)+1,"")</f>
        <v/>
      </c>
    </row>
    <row r="2077" customFormat="false" ht="15" hidden="false" customHeight="false" outlineLevel="0" collapsed="false">
      <c r="A2077" s="11" t="str">
        <f aca="false">IF(C2077="","",ROW()-4)</f>
        <v/>
      </c>
      <c r="B2077" s="12"/>
      <c r="C2077" s="13"/>
      <c r="D2077" s="23" t="str">
        <f aca="false">IF(C2077="","",IFERROR(INDEX(LOTES!$D$5:$D$1004,MATCH(C2077,LOTES!$F$5:$F$1004,0)),"¿Lote?"))</f>
        <v/>
      </c>
      <c r="E2077" s="11" t="str">
        <f aca="false">IF(C2077="","",IFERROR(INDEX(LOTES!$C$5:$C$1004,MATCH(C2077,LOTES!$F$5:$F$1004,0)),""))</f>
        <v/>
      </c>
      <c r="F2077" s="24" t="str">
        <f aca="false">IF(C2077="","",IFERROR(INDEX(LOTES!$B$5:$B$1004,MATCH(C2077,LOTES!$F$5:$F$1004,0)),""))</f>
        <v/>
      </c>
      <c r="G2077" s="15" t="str">
        <f aca="false">IF(OR(B2077="",F2077=""),"",B2077-F2077)</f>
        <v/>
      </c>
      <c r="H2077" s="13"/>
      <c r="I2077" s="13"/>
      <c r="J2077" s="13"/>
      <c r="K2077" s="25"/>
      <c r="L2077" s="25"/>
      <c r="M2077" s="25"/>
      <c r="N2077" s="25"/>
      <c r="O2077" s="26"/>
      <c r="P2077" s="16" t="str">
        <f aca="false">IF(O2077="","",IFERROR(1/(1/(IF(K2077="",INDEX(CONFIG!$F$5:$F$14,MATCH(D2077,CONFIG!$D$5:$D$14,0)),K2077)*IF(M2077="",INDEX(CONFIG!$H$5:$H$14,MATCH(D2077,CONFIG!$D$5:$D$14,0)),M2077))),""))</f>
        <v/>
      </c>
      <c r="Q2077" s="16" t="str">
        <f aca="false">IF(OR(O2077="",P2077=""),"",O2077/P2077)</f>
        <v/>
      </c>
      <c r="R2077" s="16" t="str">
        <f aca="false">IF(Q2077="","",Q2077*0.0980665)</f>
        <v/>
      </c>
      <c r="S2077" s="16" t="str">
        <f aca="false">IF(Q2077="","",IFERROR(Q2077/(1/(1/INDEX(CONFIG!$I$5:$I$14,MATCH(D2077,CONFIG!$D$5:$D$14,0)))),""))</f>
        <v/>
      </c>
      <c r="T2077" s="13"/>
      <c r="U2077" s="13"/>
      <c r="V2077" s="13"/>
      <c r="W2077" s="13"/>
      <c r="X2077" s="22" t="str">
        <f aca="false">IF(Q2077="","",Q2077^2)</f>
        <v/>
      </c>
      <c r="Y2077" s="22" t="str">
        <f aca="false">IF(AND(C2077&lt;&gt;"",C2077=CERTIFICADO!$E$4,OR(CERTIFICADO!$E$5="",B2077=CERTIFICADO!$E$5)),MAX($Y$4:Y2076)+1,"")</f>
        <v/>
      </c>
    </row>
    <row r="2078" customFormat="false" ht="15" hidden="false" customHeight="false" outlineLevel="0" collapsed="false">
      <c r="A2078" s="11" t="str">
        <f aca="false">IF(C2078="","",ROW()-4)</f>
        <v/>
      </c>
      <c r="B2078" s="12"/>
      <c r="C2078" s="13"/>
      <c r="D2078" s="23" t="str">
        <f aca="false">IF(C2078="","",IFERROR(INDEX(LOTES!$D$5:$D$1004,MATCH(C2078,LOTES!$F$5:$F$1004,0)),"¿Lote?"))</f>
        <v/>
      </c>
      <c r="E2078" s="11" t="str">
        <f aca="false">IF(C2078="","",IFERROR(INDEX(LOTES!$C$5:$C$1004,MATCH(C2078,LOTES!$F$5:$F$1004,0)),""))</f>
        <v/>
      </c>
      <c r="F2078" s="24" t="str">
        <f aca="false">IF(C2078="","",IFERROR(INDEX(LOTES!$B$5:$B$1004,MATCH(C2078,LOTES!$F$5:$F$1004,0)),""))</f>
        <v/>
      </c>
      <c r="G2078" s="15" t="str">
        <f aca="false">IF(OR(B2078="",F2078=""),"",B2078-F2078)</f>
        <v/>
      </c>
      <c r="H2078" s="13"/>
      <c r="I2078" s="13"/>
      <c r="J2078" s="13"/>
      <c r="K2078" s="25"/>
      <c r="L2078" s="25"/>
      <c r="M2078" s="25"/>
      <c r="N2078" s="25"/>
      <c r="O2078" s="26"/>
      <c r="P2078" s="16" t="str">
        <f aca="false">IF(O2078="","",IFERROR(1/(1/(IF(K2078="",INDEX(CONFIG!$F$5:$F$14,MATCH(D2078,CONFIG!$D$5:$D$14,0)),K2078)*IF(M2078="",INDEX(CONFIG!$H$5:$H$14,MATCH(D2078,CONFIG!$D$5:$D$14,0)),M2078))),""))</f>
        <v/>
      </c>
      <c r="Q2078" s="16" t="str">
        <f aca="false">IF(OR(O2078="",P2078=""),"",O2078/P2078)</f>
        <v/>
      </c>
      <c r="R2078" s="16" t="str">
        <f aca="false">IF(Q2078="","",Q2078*0.0980665)</f>
        <v/>
      </c>
      <c r="S2078" s="16" t="str">
        <f aca="false">IF(Q2078="","",IFERROR(Q2078/(1/(1/INDEX(CONFIG!$I$5:$I$14,MATCH(D2078,CONFIG!$D$5:$D$14,0)))),""))</f>
        <v/>
      </c>
      <c r="T2078" s="13"/>
      <c r="U2078" s="13"/>
      <c r="V2078" s="13"/>
      <c r="W2078" s="13"/>
      <c r="X2078" s="22" t="str">
        <f aca="false">IF(Q2078="","",Q2078^2)</f>
        <v/>
      </c>
      <c r="Y2078" s="22" t="str">
        <f aca="false">IF(AND(C2078&lt;&gt;"",C2078=CERTIFICADO!$E$4,OR(CERTIFICADO!$E$5="",B2078=CERTIFICADO!$E$5)),MAX($Y$4:Y2077)+1,"")</f>
        <v/>
      </c>
    </row>
    <row r="2079" customFormat="false" ht="15" hidden="false" customHeight="false" outlineLevel="0" collapsed="false">
      <c r="A2079" s="11" t="str">
        <f aca="false">IF(C2079="","",ROW()-4)</f>
        <v/>
      </c>
      <c r="B2079" s="12"/>
      <c r="C2079" s="13"/>
      <c r="D2079" s="23" t="str">
        <f aca="false">IF(C2079="","",IFERROR(INDEX(LOTES!$D$5:$D$1004,MATCH(C2079,LOTES!$F$5:$F$1004,0)),"¿Lote?"))</f>
        <v/>
      </c>
      <c r="E2079" s="11" t="str">
        <f aca="false">IF(C2079="","",IFERROR(INDEX(LOTES!$C$5:$C$1004,MATCH(C2079,LOTES!$F$5:$F$1004,0)),""))</f>
        <v/>
      </c>
      <c r="F2079" s="24" t="str">
        <f aca="false">IF(C2079="","",IFERROR(INDEX(LOTES!$B$5:$B$1004,MATCH(C2079,LOTES!$F$5:$F$1004,0)),""))</f>
        <v/>
      </c>
      <c r="G2079" s="15" t="str">
        <f aca="false">IF(OR(B2079="",F2079=""),"",B2079-F2079)</f>
        <v/>
      </c>
      <c r="H2079" s="13"/>
      <c r="I2079" s="13"/>
      <c r="J2079" s="13"/>
      <c r="K2079" s="25"/>
      <c r="L2079" s="25"/>
      <c r="M2079" s="25"/>
      <c r="N2079" s="25"/>
      <c r="O2079" s="26"/>
      <c r="P2079" s="16" t="str">
        <f aca="false">IF(O2079="","",IFERROR(1/(1/(IF(K2079="",INDEX(CONFIG!$F$5:$F$14,MATCH(D2079,CONFIG!$D$5:$D$14,0)),K2079)*IF(M2079="",INDEX(CONFIG!$H$5:$H$14,MATCH(D2079,CONFIG!$D$5:$D$14,0)),M2079))),""))</f>
        <v/>
      </c>
      <c r="Q2079" s="16" t="str">
        <f aca="false">IF(OR(O2079="",P2079=""),"",O2079/P2079)</f>
        <v/>
      </c>
      <c r="R2079" s="16" t="str">
        <f aca="false">IF(Q2079="","",Q2079*0.0980665)</f>
        <v/>
      </c>
      <c r="S2079" s="16" t="str">
        <f aca="false">IF(Q2079="","",IFERROR(Q2079/(1/(1/INDEX(CONFIG!$I$5:$I$14,MATCH(D2079,CONFIG!$D$5:$D$14,0)))),""))</f>
        <v/>
      </c>
      <c r="T2079" s="13"/>
      <c r="U2079" s="13"/>
      <c r="V2079" s="13"/>
      <c r="W2079" s="13"/>
      <c r="X2079" s="22" t="str">
        <f aca="false">IF(Q2079="","",Q2079^2)</f>
        <v/>
      </c>
      <c r="Y2079" s="22" t="str">
        <f aca="false">IF(AND(C2079&lt;&gt;"",C2079=CERTIFICADO!$E$4,OR(CERTIFICADO!$E$5="",B2079=CERTIFICADO!$E$5)),MAX($Y$4:Y2078)+1,"")</f>
        <v/>
      </c>
    </row>
    <row r="2080" customFormat="false" ht="15" hidden="false" customHeight="false" outlineLevel="0" collapsed="false">
      <c r="A2080" s="11" t="str">
        <f aca="false">IF(C2080="","",ROW()-4)</f>
        <v/>
      </c>
      <c r="B2080" s="12"/>
      <c r="C2080" s="13"/>
      <c r="D2080" s="23" t="str">
        <f aca="false">IF(C2080="","",IFERROR(INDEX(LOTES!$D$5:$D$1004,MATCH(C2080,LOTES!$F$5:$F$1004,0)),"¿Lote?"))</f>
        <v/>
      </c>
      <c r="E2080" s="11" t="str">
        <f aca="false">IF(C2080="","",IFERROR(INDEX(LOTES!$C$5:$C$1004,MATCH(C2080,LOTES!$F$5:$F$1004,0)),""))</f>
        <v/>
      </c>
      <c r="F2080" s="24" t="str">
        <f aca="false">IF(C2080="","",IFERROR(INDEX(LOTES!$B$5:$B$1004,MATCH(C2080,LOTES!$F$5:$F$1004,0)),""))</f>
        <v/>
      </c>
      <c r="G2080" s="15" t="str">
        <f aca="false">IF(OR(B2080="",F2080=""),"",B2080-F2080)</f>
        <v/>
      </c>
      <c r="H2080" s="13"/>
      <c r="I2080" s="13"/>
      <c r="J2080" s="13"/>
      <c r="K2080" s="25"/>
      <c r="L2080" s="25"/>
      <c r="M2080" s="25"/>
      <c r="N2080" s="25"/>
      <c r="O2080" s="26"/>
      <c r="P2080" s="16" t="str">
        <f aca="false">IF(O2080="","",IFERROR(1/(1/(IF(K2080="",INDEX(CONFIG!$F$5:$F$14,MATCH(D2080,CONFIG!$D$5:$D$14,0)),K2080)*IF(M2080="",INDEX(CONFIG!$H$5:$H$14,MATCH(D2080,CONFIG!$D$5:$D$14,0)),M2080))),""))</f>
        <v/>
      </c>
      <c r="Q2080" s="16" t="str">
        <f aca="false">IF(OR(O2080="",P2080=""),"",O2080/P2080)</f>
        <v/>
      </c>
      <c r="R2080" s="16" t="str">
        <f aca="false">IF(Q2080="","",Q2080*0.0980665)</f>
        <v/>
      </c>
      <c r="S2080" s="16" t="str">
        <f aca="false">IF(Q2080="","",IFERROR(Q2080/(1/(1/INDEX(CONFIG!$I$5:$I$14,MATCH(D2080,CONFIG!$D$5:$D$14,0)))),""))</f>
        <v/>
      </c>
      <c r="T2080" s="13"/>
      <c r="U2080" s="13"/>
      <c r="V2080" s="13"/>
      <c r="W2080" s="13"/>
      <c r="X2080" s="22" t="str">
        <f aca="false">IF(Q2080="","",Q2080^2)</f>
        <v/>
      </c>
      <c r="Y2080" s="22" t="str">
        <f aca="false">IF(AND(C2080&lt;&gt;"",C2080=CERTIFICADO!$E$4,OR(CERTIFICADO!$E$5="",B2080=CERTIFICADO!$E$5)),MAX($Y$4:Y2079)+1,"")</f>
        <v/>
      </c>
    </row>
    <row r="2081" customFormat="false" ht="15" hidden="false" customHeight="false" outlineLevel="0" collapsed="false">
      <c r="A2081" s="11" t="str">
        <f aca="false">IF(C2081="","",ROW()-4)</f>
        <v/>
      </c>
      <c r="B2081" s="12"/>
      <c r="C2081" s="13"/>
      <c r="D2081" s="23" t="str">
        <f aca="false">IF(C2081="","",IFERROR(INDEX(LOTES!$D$5:$D$1004,MATCH(C2081,LOTES!$F$5:$F$1004,0)),"¿Lote?"))</f>
        <v/>
      </c>
      <c r="E2081" s="11" t="str">
        <f aca="false">IF(C2081="","",IFERROR(INDEX(LOTES!$C$5:$C$1004,MATCH(C2081,LOTES!$F$5:$F$1004,0)),""))</f>
        <v/>
      </c>
      <c r="F2081" s="24" t="str">
        <f aca="false">IF(C2081="","",IFERROR(INDEX(LOTES!$B$5:$B$1004,MATCH(C2081,LOTES!$F$5:$F$1004,0)),""))</f>
        <v/>
      </c>
      <c r="G2081" s="15" t="str">
        <f aca="false">IF(OR(B2081="",F2081=""),"",B2081-F2081)</f>
        <v/>
      </c>
      <c r="H2081" s="13"/>
      <c r="I2081" s="13"/>
      <c r="J2081" s="13"/>
      <c r="K2081" s="25"/>
      <c r="L2081" s="25"/>
      <c r="M2081" s="25"/>
      <c r="N2081" s="25"/>
      <c r="O2081" s="26"/>
      <c r="P2081" s="16" t="str">
        <f aca="false">IF(O2081="","",IFERROR(1/(1/(IF(K2081="",INDEX(CONFIG!$F$5:$F$14,MATCH(D2081,CONFIG!$D$5:$D$14,0)),K2081)*IF(M2081="",INDEX(CONFIG!$H$5:$H$14,MATCH(D2081,CONFIG!$D$5:$D$14,0)),M2081))),""))</f>
        <v/>
      </c>
      <c r="Q2081" s="16" t="str">
        <f aca="false">IF(OR(O2081="",P2081=""),"",O2081/P2081)</f>
        <v/>
      </c>
      <c r="R2081" s="16" t="str">
        <f aca="false">IF(Q2081="","",Q2081*0.0980665)</f>
        <v/>
      </c>
      <c r="S2081" s="16" t="str">
        <f aca="false">IF(Q2081="","",IFERROR(Q2081/(1/(1/INDEX(CONFIG!$I$5:$I$14,MATCH(D2081,CONFIG!$D$5:$D$14,0)))),""))</f>
        <v/>
      </c>
      <c r="T2081" s="13"/>
      <c r="U2081" s="13"/>
      <c r="V2081" s="13"/>
      <c r="W2081" s="13"/>
      <c r="X2081" s="22" t="str">
        <f aca="false">IF(Q2081="","",Q2081^2)</f>
        <v/>
      </c>
      <c r="Y2081" s="22" t="str">
        <f aca="false">IF(AND(C2081&lt;&gt;"",C2081=CERTIFICADO!$E$4,OR(CERTIFICADO!$E$5="",B2081=CERTIFICADO!$E$5)),MAX($Y$4:Y2080)+1,"")</f>
        <v/>
      </c>
    </row>
    <row r="2082" customFormat="false" ht="15" hidden="false" customHeight="false" outlineLevel="0" collapsed="false">
      <c r="A2082" s="11" t="str">
        <f aca="false">IF(C2082="","",ROW()-4)</f>
        <v/>
      </c>
      <c r="B2082" s="12"/>
      <c r="C2082" s="13"/>
      <c r="D2082" s="23" t="str">
        <f aca="false">IF(C2082="","",IFERROR(INDEX(LOTES!$D$5:$D$1004,MATCH(C2082,LOTES!$F$5:$F$1004,0)),"¿Lote?"))</f>
        <v/>
      </c>
      <c r="E2082" s="11" t="str">
        <f aca="false">IF(C2082="","",IFERROR(INDEX(LOTES!$C$5:$C$1004,MATCH(C2082,LOTES!$F$5:$F$1004,0)),""))</f>
        <v/>
      </c>
      <c r="F2082" s="24" t="str">
        <f aca="false">IF(C2082="","",IFERROR(INDEX(LOTES!$B$5:$B$1004,MATCH(C2082,LOTES!$F$5:$F$1004,0)),""))</f>
        <v/>
      </c>
      <c r="G2082" s="15" t="str">
        <f aca="false">IF(OR(B2082="",F2082=""),"",B2082-F2082)</f>
        <v/>
      </c>
      <c r="H2082" s="13"/>
      <c r="I2082" s="13"/>
      <c r="J2082" s="13"/>
      <c r="K2082" s="25"/>
      <c r="L2082" s="25"/>
      <c r="M2082" s="25"/>
      <c r="N2082" s="25"/>
      <c r="O2082" s="26"/>
      <c r="P2082" s="16" t="str">
        <f aca="false">IF(O2082="","",IFERROR(1/(1/(IF(K2082="",INDEX(CONFIG!$F$5:$F$14,MATCH(D2082,CONFIG!$D$5:$D$14,0)),K2082)*IF(M2082="",INDEX(CONFIG!$H$5:$H$14,MATCH(D2082,CONFIG!$D$5:$D$14,0)),M2082))),""))</f>
        <v/>
      </c>
      <c r="Q2082" s="16" t="str">
        <f aca="false">IF(OR(O2082="",P2082=""),"",O2082/P2082)</f>
        <v/>
      </c>
      <c r="R2082" s="16" t="str">
        <f aca="false">IF(Q2082="","",Q2082*0.0980665)</f>
        <v/>
      </c>
      <c r="S2082" s="16" t="str">
        <f aca="false">IF(Q2082="","",IFERROR(Q2082/(1/(1/INDEX(CONFIG!$I$5:$I$14,MATCH(D2082,CONFIG!$D$5:$D$14,0)))),""))</f>
        <v/>
      </c>
      <c r="T2082" s="13"/>
      <c r="U2082" s="13"/>
      <c r="V2082" s="13"/>
      <c r="W2082" s="13"/>
      <c r="X2082" s="22" t="str">
        <f aca="false">IF(Q2082="","",Q2082^2)</f>
        <v/>
      </c>
      <c r="Y2082" s="22" t="str">
        <f aca="false">IF(AND(C2082&lt;&gt;"",C2082=CERTIFICADO!$E$4,OR(CERTIFICADO!$E$5="",B2082=CERTIFICADO!$E$5)),MAX($Y$4:Y2081)+1,"")</f>
        <v/>
      </c>
    </row>
    <row r="2083" customFormat="false" ht="15" hidden="false" customHeight="false" outlineLevel="0" collapsed="false">
      <c r="A2083" s="11" t="str">
        <f aca="false">IF(C2083="","",ROW()-4)</f>
        <v/>
      </c>
      <c r="B2083" s="12"/>
      <c r="C2083" s="13"/>
      <c r="D2083" s="23" t="str">
        <f aca="false">IF(C2083="","",IFERROR(INDEX(LOTES!$D$5:$D$1004,MATCH(C2083,LOTES!$F$5:$F$1004,0)),"¿Lote?"))</f>
        <v/>
      </c>
      <c r="E2083" s="11" t="str">
        <f aca="false">IF(C2083="","",IFERROR(INDEX(LOTES!$C$5:$C$1004,MATCH(C2083,LOTES!$F$5:$F$1004,0)),""))</f>
        <v/>
      </c>
      <c r="F2083" s="24" t="str">
        <f aca="false">IF(C2083="","",IFERROR(INDEX(LOTES!$B$5:$B$1004,MATCH(C2083,LOTES!$F$5:$F$1004,0)),""))</f>
        <v/>
      </c>
      <c r="G2083" s="15" t="str">
        <f aca="false">IF(OR(B2083="",F2083=""),"",B2083-F2083)</f>
        <v/>
      </c>
      <c r="H2083" s="13"/>
      <c r="I2083" s="13"/>
      <c r="J2083" s="13"/>
      <c r="K2083" s="25"/>
      <c r="L2083" s="25"/>
      <c r="M2083" s="25"/>
      <c r="N2083" s="25"/>
      <c r="O2083" s="26"/>
      <c r="P2083" s="16" t="str">
        <f aca="false">IF(O2083="","",IFERROR(1/(1/(IF(K2083="",INDEX(CONFIG!$F$5:$F$14,MATCH(D2083,CONFIG!$D$5:$D$14,0)),K2083)*IF(M2083="",INDEX(CONFIG!$H$5:$H$14,MATCH(D2083,CONFIG!$D$5:$D$14,0)),M2083))),""))</f>
        <v/>
      </c>
      <c r="Q2083" s="16" t="str">
        <f aca="false">IF(OR(O2083="",P2083=""),"",O2083/P2083)</f>
        <v/>
      </c>
      <c r="R2083" s="16" t="str">
        <f aca="false">IF(Q2083="","",Q2083*0.0980665)</f>
        <v/>
      </c>
      <c r="S2083" s="16" t="str">
        <f aca="false">IF(Q2083="","",IFERROR(Q2083/(1/(1/INDEX(CONFIG!$I$5:$I$14,MATCH(D2083,CONFIG!$D$5:$D$14,0)))),""))</f>
        <v/>
      </c>
      <c r="T2083" s="13"/>
      <c r="U2083" s="13"/>
      <c r="V2083" s="13"/>
      <c r="W2083" s="13"/>
      <c r="X2083" s="22" t="str">
        <f aca="false">IF(Q2083="","",Q2083^2)</f>
        <v/>
      </c>
      <c r="Y2083" s="22" t="str">
        <f aca="false">IF(AND(C2083&lt;&gt;"",C2083=CERTIFICADO!$E$4,OR(CERTIFICADO!$E$5="",B2083=CERTIFICADO!$E$5)),MAX($Y$4:Y2082)+1,"")</f>
        <v/>
      </c>
    </row>
    <row r="2084" customFormat="false" ht="15" hidden="false" customHeight="false" outlineLevel="0" collapsed="false">
      <c r="A2084" s="11" t="str">
        <f aca="false">IF(C2084="","",ROW()-4)</f>
        <v/>
      </c>
      <c r="B2084" s="12"/>
      <c r="C2084" s="13"/>
      <c r="D2084" s="23" t="str">
        <f aca="false">IF(C2084="","",IFERROR(INDEX(LOTES!$D$5:$D$1004,MATCH(C2084,LOTES!$F$5:$F$1004,0)),"¿Lote?"))</f>
        <v/>
      </c>
      <c r="E2084" s="11" t="str">
        <f aca="false">IF(C2084="","",IFERROR(INDEX(LOTES!$C$5:$C$1004,MATCH(C2084,LOTES!$F$5:$F$1004,0)),""))</f>
        <v/>
      </c>
      <c r="F2084" s="24" t="str">
        <f aca="false">IF(C2084="","",IFERROR(INDEX(LOTES!$B$5:$B$1004,MATCH(C2084,LOTES!$F$5:$F$1004,0)),""))</f>
        <v/>
      </c>
      <c r="G2084" s="15" t="str">
        <f aca="false">IF(OR(B2084="",F2084=""),"",B2084-F2084)</f>
        <v/>
      </c>
      <c r="H2084" s="13"/>
      <c r="I2084" s="13"/>
      <c r="J2084" s="13"/>
      <c r="K2084" s="25"/>
      <c r="L2084" s="25"/>
      <c r="M2084" s="25"/>
      <c r="N2084" s="25"/>
      <c r="O2084" s="26"/>
      <c r="P2084" s="16" t="str">
        <f aca="false">IF(O2084="","",IFERROR(1/(1/(IF(K2084="",INDEX(CONFIG!$F$5:$F$14,MATCH(D2084,CONFIG!$D$5:$D$14,0)),K2084)*IF(M2084="",INDEX(CONFIG!$H$5:$H$14,MATCH(D2084,CONFIG!$D$5:$D$14,0)),M2084))),""))</f>
        <v/>
      </c>
      <c r="Q2084" s="16" t="str">
        <f aca="false">IF(OR(O2084="",P2084=""),"",O2084/P2084)</f>
        <v/>
      </c>
      <c r="R2084" s="16" t="str">
        <f aca="false">IF(Q2084="","",Q2084*0.0980665)</f>
        <v/>
      </c>
      <c r="S2084" s="16" t="str">
        <f aca="false">IF(Q2084="","",IFERROR(Q2084/(1/(1/INDEX(CONFIG!$I$5:$I$14,MATCH(D2084,CONFIG!$D$5:$D$14,0)))),""))</f>
        <v/>
      </c>
      <c r="T2084" s="13"/>
      <c r="U2084" s="13"/>
      <c r="V2084" s="13"/>
      <c r="W2084" s="13"/>
      <c r="X2084" s="22" t="str">
        <f aca="false">IF(Q2084="","",Q2084^2)</f>
        <v/>
      </c>
      <c r="Y2084" s="22" t="str">
        <f aca="false">IF(AND(C2084&lt;&gt;"",C2084=CERTIFICADO!$E$4,OR(CERTIFICADO!$E$5="",B2084=CERTIFICADO!$E$5)),MAX($Y$4:Y2083)+1,"")</f>
        <v/>
      </c>
    </row>
    <row r="2085" customFormat="false" ht="15" hidden="false" customHeight="false" outlineLevel="0" collapsed="false">
      <c r="A2085" s="11" t="str">
        <f aca="false">IF(C2085="","",ROW()-4)</f>
        <v/>
      </c>
      <c r="B2085" s="12"/>
      <c r="C2085" s="13"/>
      <c r="D2085" s="23" t="str">
        <f aca="false">IF(C2085="","",IFERROR(INDEX(LOTES!$D$5:$D$1004,MATCH(C2085,LOTES!$F$5:$F$1004,0)),"¿Lote?"))</f>
        <v/>
      </c>
      <c r="E2085" s="11" t="str">
        <f aca="false">IF(C2085="","",IFERROR(INDEX(LOTES!$C$5:$C$1004,MATCH(C2085,LOTES!$F$5:$F$1004,0)),""))</f>
        <v/>
      </c>
      <c r="F2085" s="24" t="str">
        <f aca="false">IF(C2085="","",IFERROR(INDEX(LOTES!$B$5:$B$1004,MATCH(C2085,LOTES!$F$5:$F$1004,0)),""))</f>
        <v/>
      </c>
      <c r="G2085" s="15" t="str">
        <f aca="false">IF(OR(B2085="",F2085=""),"",B2085-F2085)</f>
        <v/>
      </c>
      <c r="H2085" s="13"/>
      <c r="I2085" s="13"/>
      <c r="J2085" s="13"/>
      <c r="K2085" s="25"/>
      <c r="L2085" s="25"/>
      <c r="M2085" s="25"/>
      <c r="N2085" s="25"/>
      <c r="O2085" s="26"/>
      <c r="P2085" s="16" t="str">
        <f aca="false">IF(O2085="","",IFERROR(1/(1/(IF(K2085="",INDEX(CONFIG!$F$5:$F$14,MATCH(D2085,CONFIG!$D$5:$D$14,0)),K2085)*IF(M2085="",INDEX(CONFIG!$H$5:$H$14,MATCH(D2085,CONFIG!$D$5:$D$14,0)),M2085))),""))</f>
        <v/>
      </c>
      <c r="Q2085" s="16" t="str">
        <f aca="false">IF(OR(O2085="",P2085=""),"",O2085/P2085)</f>
        <v/>
      </c>
      <c r="R2085" s="16" t="str">
        <f aca="false">IF(Q2085="","",Q2085*0.0980665)</f>
        <v/>
      </c>
      <c r="S2085" s="16" t="str">
        <f aca="false">IF(Q2085="","",IFERROR(Q2085/(1/(1/INDEX(CONFIG!$I$5:$I$14,MATCH(D2085,CONFIG!$D$5:$D$14,0)))),""))</f>
        <v/>
      </c>
      <c r="T2085" s="13"/>
      <c r="U2085" s="13"/>
      <c r="V2085" s="13"/>
      <c r="W2085" s="13"/>
      <c r="X2085" s="22" t="str">
        <f aca="false">IF(Q2085="","",Q2085^2)</f>
        <v/>
      </c>
      <c r="Y2085" s="22" t="str">
        <f aca="false">IF(AND(C2085&lt;&gt;"",C2085=CERTIFICADO!$E$4,OR(CERTIFICADO!$E$5="",B2085=CERTIFICADO!$E$5)),MAX($Y$4:Y2084)+1,"")</f>
        <v/>
      </c>
    </row>
    <row r="2086" customFormat="false" ht="15" hidden="false" customHeight="false" outlineLevel="0" collapsed="false">
      <c r="A2086" s="11" t="str">
        <f aca="false">IF(C2086="","",ROW()-4)</f>
        <v/>
      </c>
      <c r="B2086" s="12"/>
      <c r="C2086" s="13"/>
      <c r="D2086" s="23" t="str">
        <f aca="false">IF(C2086="","",IFERROR(INDEX(LOTES!$D$5:$D$1004,MATCH(C2086,LOTES!$F$5:$F$1004,0)),"¿Lote?"))</f>
        <v/>
      </c>
      <c r="E2086" s="11" t="str">
        <f aca="false">IF(C2086="","",IFERROR(INDEX(LOTES!$C$5:$C$1004,MATCH(C2086,LOTES!$F$5:$F$1004,0)),""))</f>
        <v/>
      </c>
      <c r="F2086" s="24" t="str">
        <f aca="false">IF(C2086="","",IFERROR(INDEX(LOTES!$B$5:$B$1004,MATCH(C2086,LOTES!$F$5:$F$1004,0)),""))</f>
        <v/>
      </c>
      <c r="G2086" s="15" t="str">
        <f aca="false">IF(OR(B2086="",F2086=""),"",B2086-F2086)</f>
        <v/>
      </c>
      <c r="H2086" s="13"/>
      <c r="I2086" s="13"/>
      <c r="J2086" s="13"/>
      <c r="K2086" s="25"/>
      <c r="L2086" s="25"/>
      <c r="M2086" s="25"/>
      <c r="N2086" s="25"/>
      <c r="O2086" s="26"/>
      <c r="P2086" s="16" t="str">
        <f aca="false">IF(O2086="","",IFERROR(1/(1/(IF(K2086="",INDEX(CONFIG!$F$5:$F$14,MATCH(D2086,CONFIG!$D$5:$D$14,0)),K2086)*IF(M2086="",INDEX(CONFIG!$H$5:$H$14,MATCH(D2086,CONFIG!$D$5:$D$14,0)),M2086))),""))</f>
        <v/>
      </c>
      <c r="Q2086" s="16" t="str">
        <f aca="false">IF(OR(O2086="",P2086=""),"",O2086/P2086)</f>
        <v/>
      </c>
      <c r="R2086" s="16" t="str">
        <f aca="false">IF(Q2086="","",Q2086*0.0980665)</f>
        <v/>
      </c>
      <c r="S2086" s="16" t="str">
        <f aca="false">IF(Q2086="","",IFERROR(Q2086/(1/(1/INDEX(CONFIG!$I$5:$I$14,MATCH(D2086,CONFIG!$D$5:$D$14,0)))),""))</f>
        <v/>
      </c>
      <c r="T2086" s="13"/>
      <c r="U2086" s="13"/>
      <c r="V2086" s="13"/>
      <c r="W2086" s="13"/>
      <c r="X2086" s="22" t="str">
        <f aca="false">IF(Q2086="","",Q2086^2)</f>
        <v/>
      </c>
      <c r="Y2086" s="22" t="str">
        <f aca="false">IF(AND(C2086&lt;&gt;"",C2086=CERTIFICADO!$E$4,OR(CERTIFICADO!$E$5="",B2086=CERTIFICADO!$E$5)),MAX($Y$4:Y2085)+1,"")</f>
        <v/>
      </c>
    </row>
    <row r="2087" customFormat="false" ht="15" hidden="false" customHeight="false" outlineLevel="0" collapsed="false">
      <c r="A2087" s="11" t="str">
        <f aca="false">IF(C2087="","",ROW()-4)</f>
        <v/>
      </c>
      <c r="B2087" s="12"/>
      <c r="C2087" s="13"/>
      <c r="D2087" s="23" t="str">
        <f aca="false">IF(C2087="","",IFERROR(INDEX(LOTES!$D$5:$D$1004,MATCH(C2087,LOTES!$F$5:$F$1004,0)),"¿Lote?"))</f>
        <v/>
      </c>
      <c r="E2087" s="11" t="str">
        <f aca="false">IF(C2087="","",IFERROR(INDEX(LOTES!$C$5:$C$1004,MATCH(C2087,LOTES!$F$5:$F$1004,0)),""))</f>
        <v/>
      </c>
      <c r="F2087" s="24" t="str">
        <f aca="false">IF(C2087="","",IFERROR(INDEX(LOTES!$B$5:$B$1004,MATCH(C2087,LOTES!$F$5:$F$1004,0)),""))</f>
        <v/>
      </c>
      <c r="G2087" s="15" t="str">
        <f aca="false">IF(OR(B2087="",F2087=""),"",B2087-F2087)</f>
        <v/>
      </c>
      <c r="H2087" s="13"/>
      <c r="I2087" s="13"/>
      <c r="J2087" s="13"/>
      <c r="K2087" s="25"/>
      <c r="L2087" s="25"/>
      <c r="M2087" s="25"/>
      <c r="N2087" s="25"/>
      <c r="O2087" s="26"/>
      <c r="P2087" s="16" t="str">
        <f aca="false">IF(O2087="","",IFERROR(1/(1/(IF(K2087="",INDEX(CONFIG!$F$5:$F$14,MATCH(D2087,CONFIG!$D$5:$D$14,0)),K2087)*IF(M2087="",INDEX(CONFIG!$H$5:$H$14,MATCH(D2087,CONFIG!$D$5:$D$14,0)),M2087))),""))</f>
        <v/>
      </c>
      <c r="Q2087" s="16" t="str">
        <f aca="false">IF(OR(O2087="",P2087=""),"",O2087/P2087)</f>
        <v/>
      </c>
      <c r="R2087" s="16" t="str">
        <f aca="false">IF(Q2087="","",Q2087*0.0980665)</f>
        <v/>
      </c>
      <c r="S2087" s="16" t="str">
        <f aca="false">IF(Q2087="","",IFERROR(Q2087/(1/(1/INDEX(CONFIG!$I$5:$I$14,MATCH(D2087,CONFIG!$D$5:$D$14,0)))),""))</f>
        <v/>
      </c>
      <c r="T2087" s="13"/>
      <c r="U2087" s="13"/>
      <c r="V2087" s="13"/>
      <c r="W2087" s="13"/>
      <c r="X2087" s="22" t="str">
        <f aca="false">IF(Q2087="","",Q2087^2)</f>
        <v/>
      </c>
      <c r="Y2087" s="22" t="str">
        <f aca="false">IF(AND(C2087&lt;&gt;"",C2087=CERTIFICADO!$E$4,OR(CERTIFICADO!$E$5="",B2087=CERTIFICADO!$E$5)),MAX($Y$4:Y2086)+1,"")</f>
        <v/>
      </c>
    </row>
    <row r="2088" customFormat="false" ht="15" hidden="false" customHeight="false" outlineLevel="0" collapsed="false">
      <c r="A2088" s="11" t="str">
        <f aca="false">IF(C2088="","",ROW()-4)</f>
        <v/>
      </c>
      <c r="B2088" s="12"/>
      <c r="C2088" s="13"/>
      <c r="D2088" s="23" t="str">
        <f aca="false">IF(C2088="","",IFERROR(INDEX(LOTES!$D$5:$D$1004,MATCH(C2088,LOTES!$F$5:$F$1004,0)),"¿Lote?"))</f>
        <v/>
      </c>
      <c r="E2088" s="11" t="str">
        <f aca="false">IF(C2088="","",IFERROR(INDEX(LOTES!$C$5:$C$1004,MATCH(C2088,LOTES!$F$5:$F$1004,0)),""))</f>
        <v/>
      </c>
      <c r="F2088" s="24" t="str">
        <f aca="false">IF(C2088="","",IFERROR(INDEX(LOTES!$B$5:$B$1004,MATCH(C2088,LOTES!$F$5:$F$1004,0)),""))</f>
        <v/>
      </c>
      <c r="G2088" s="15" t="str">
        <f aca="false">IF(OR(B2088="",F2088=""),"",B2088-F2088)</f>
        <v/>
      </c>
      <c r="H2088" s="13"/>
      <c r="I2088" s="13"/>
      <c r="J2088" s="13"/>
      <c r="K2088" s="25"/>
      <c r="L2088" s="25"/>
      <c r="M2088" s="25"/>
      <c r="N2088" s="25"/>
      <c r="O2088" s="26"/>
      <c r="P2088" s="16" t="str">
        <f aca="false">IF(O2088="","",IFERROR(1/(1/(IF(K2088="",INDEX(CONFIG!$F$5:$F$14,MATCH(D2088,CONFIG!$D$5:$D$14,0)),K2088)*IF(M2088="",INDEX(CONFIG!$H$5:$H$14,MATCH(D2088,CONFIG!$D$5:$D$14,0)),M2088))),""))</f>
        <v/>
      </c>
      <c r="Q2088" s="16" t="str">
        <f aca="false">IF(OR(O2088="",P2088=""),"",O2088/P2088)</f>
        <v/>
      </c>
      <c r="R2088" s="16" t="str">
        <f aca="false">IF(Q2088="","",Q2088*0.0980665)</f>
        <v/>
      </c>
      <c r="S2088" s="16" t="str">
        <f aca="false">IF(Q2088="","",IFERROR(Q2088/(1/(1/INDEX(CONFIG!$I$5:$I$14,MATCH(D2088,CONFIG!$D$5:$D$14,0)))),""))</f>
        <v/>
      </c>
      <c r="T2088" s="13"/>
      <c r="U2088" s="13"/>
      <c r="V2088" s="13"/>
      <c r="W2088" s="13"/>
      <c r="X2088" s="22" t="str">
        <f aca="false">IF(Q2088="","",Q2088^2)</f>
        <v/>
      </c>
      <c r="Y2088" s="22" t="str">
        <f aca="false">IF(AND(C2088&lt;&gt;"",C2088=CERTIFICADO!$E$4,OR(CERTIFICADO!$E$5="",B2088=CERTIFICADO!$E$5)),MAX($Y$4:Y2087)+1,"")</f>
        <v/>
      </c>
    </row>
    <row r="2089" customFormat="false" ht="15" hidden="false" customHeight="false" outlineLevel="0" collapsed="false">
      <c r="A2089" s="11" t="str">
        <f aca="false">IF(C2089="","",ROW()-4)</f>
        <v/>
      </c>
      <c r="B2089" s="12"/>
      <c r="C2089" s="13"/>
      <c r="D2089" s="23" t="str">
        <f aca="false">IF(C2089="","",IFERROR(INDEX(LOTES!$D$5:$D$1004,MATCH(C2089,LOTES!$F$5:$F$1004,0)),"¿Lote?"))</f>
        <v/>
      </c>
      <c r="E2089" s="11" t="str">
        <f aca="false">IF(C2089="","",IFERROR(INDEX(LOTES!$C$5:$C$1004,MATCH(C2089,LOTES!$F$5:$F$1004,0)),""))</f>
        <v/>
      </c>
      <c r="F2089" s="24" t="str">
        <f aca="false">IF(C2089="","",IFERROR(INDEX(LOTES!$B$5:$B$1004,MATCH(C2089,LOTES!$F$5:$F$1004,0)),""))</f>
        <v/>
      </c>
      <c r="G2089" s="15" t="str">
        <f aca="false">IF(OR(B2089="",F2089=""),"",B2089-F2089)</f>
        <v/>
      </c>
      <c r="H2089" s="13"/>
      <c r="I2089" s="13"/>
      <c r="J2089" s="13"/>
      <c r="K2089" s="25"/>
      <c r="L2089" s="25"/>
      <c r="M2089" s="25"/>
      <c r="N2089" s="25"/>
      <c r="O2089" s="26"/>
      <c r="P2089" s="16" t="str">
        <f aca="false">IF(O2089="","",IFERROR(1/(1/(IF(K2089="",INDEX(CONFIG!$F$5:$F$14,MATCH(D2089,CONFIG!$D$5:$D$14,0)),K2089)*IF(M2089="",INDEX(CONFIG!$H$5:$H$14,MATCH(D2089,CONFIG!$D$5:$D$14,0)),M2089))),""))</f>
        <v/>
      </c>
      <c r="Q2089" s="16" t="str">
        <f aca="false">IF(OR(O2089="",P2089=""),"",O2089/P2089)</f>
        <v/>
      </c>
      <c r="R2089" s="16" t="str">
        <f aca="false">IF(Q2089="","",Q2089*0.0980665)</f>
        <v/>
      </c>
      <c r="S2089" s="16" t="str">
        <f aca="false">IF(Q2089="","",IFERROR(Q2089/(1/(1/INDEX(CONFIG!$I$5:$I$14,MATCH(D2089,CONFIG!$D$5:$D$14,0)))),""))</f>
        <v/>
      </c>
      <c r="T2089" s="13"/>
      <c r="U2089" s="13"/>
      <c r="V2089" s="13"/>
      <c r="W2089" s="13"/>
      <c r="X2089" s="22" t="str">
        <f aca="false">IF(Q2089="","",Q2089^2)</f>
        <v/>
      </c>
      <c r="Y2089" s="22" t="str">
        <f aca="false">IF(AND(C2089&lt;&gt;"",C2089=CERTIFICADO!$E$4,OR(CERTIFICADO!$E$5="",B2089=CERTIFICADO!$E$5)),MAX($Y$4:Y2088)+1,"")</f>
        <v/>
      </c>
    </row>
    <row r="2090" customFormat="false" ht="15" hidden="false" customHeight="false" outlineLevel="0" collapsed="false">
      <c r="A2090" s="11" t="str">
        <f aca="false">IF(C2090="","",ROW()-4)</f>
        <v/>
      </c>
      <c r="B2090" s="12"/>
      <c r="C2090" s="13"/>
      <c r="D2090" s="23" t="str">
        <f aca="false">IF(C2090="","",IFERROR(INDEX(LOTES!$D$5:$D$1004,MATCH(C2090,LOTES!$F$5:$F$1004,0)),"¿Lote?"))</f>
        <v/>
      </c>
      <c r="E2090" s="11" t="str">
        <f aca="false">IF(C2090="","",IFERROR(INDEX(LOTES!$C$5:$C$1004,MATCH(C2090,LOTES!$F$5:$F$1004,0)),""))</f>
        <v/>
      </c>
      <c r="F2090" s="24" t="str">
        <f aca="false">IF(C2090="","",IFERROR(INDEX(LOTES!$B$5:$B$1004,MATCH(C2090,LOTES!$F$5:$F$1004,0)),""))</f>
        <v/>
      </c>
      <c r="G2090" s="15" t="str">
        <f aca="false">IF(OR(B2090="",F2090=""),"",B2090-F2090)</f>
        <v/>
      </c>
      <c r="H2090" s="13"/>
      <c r="I2090" s="13"/>
      <c r="J2090" s="13"/>
      <c r="K2090" s="25"/>
      <c r="L2090" s="25"/>
      <c r="M2090" s="25"/>
      <c r="N2090" s="25"/>
      <c r="O2090" s="26"/>
      <c r="P2090" s="16" t="str">
        <f aca="false">IF(O2090="","",IFERROR(1/(1/(IF(K2090="",INDEX(CONFIG!$F$5:$F$14,MATCH(D2090,CONFIG!$D$5:$D$14,0)),K2090)*IF(M2090="",INDEX(CONFIG!$H$5:$H$14,MATCH(D2090,CONFIG!$D$5:$D$14,0)),M2090))),""))</f>
        <v/>
      </c>
      <c r="Q2090" s="16" t="str">
        <f aca="false">IF(OR(O2090="",P2090=""),"",O2090/P2090)</f>
        <v/>
      </c>
      <c r="R2090" s="16" t="str">
        <f aca="false">IF(Q2090="","",Q2090*0.0980665)</f>
        <v/>
      </c>
      <c r="S2090" s="16" t="str">
        <f aca="false">IF(Q2090="","",IFERROR(Q2090/(1/(1/INDEX(CONFIG!$I$5:$I$14,MATCH(D2090,CONFIG!$D$5:$D$14,0)))),""))</f>
        <v/>
      </c>
      <c r="T2090" s="13"/>
      <c r="U2090" s="13"/>
      <c r="V2090" s="13"/>
      <c r="W2090" s="13"/>
      <c r="X2090" s="22" t="str">
        <f aca="false">IF(Q2090="","",Q2090^2)</f>
        <v/>
      </c>
      <c r="Y2090" s="22" t="str">
        <f aca="false">IF(AND(C2090&lt;&gt;"",C2090=CERTIFICADO!$E$4,OR(CERTIFICADO!$E$5="",B2090=CERTIFICADO!$E$5)),MAX($Y$4:Y2089)+1,"")</f>
        <v/>
      </c>
    </row>
    <row r="2091" customFormat="false" ht="15" hidden="false" customHeight="false" outlineLevel="0" collapsed="false">
      <c r="A2091" s="11" t="str">
        <f aca="false">IF(C2091="","",ROW()-4)</f>
        <v/>
      </c>
      <c r="B2091" s="12"/>
      <c r="C2091" s="13"/>
      <c r="D2091" s="23" t="str">
        <f aca="false">IF(C2091="","",IFERROR(INDEX(LOTES!$D$5:$D$1004,MATCH(C2091,LOTES!$F$5:$F$1004,0)),"¿Lote?"))</f>
        <v/>
      </c>
      <c r="E2091" s="11" t="str">
        <f aca="false">IF(C2091="","",IFERROR(INDEX(LOTES!$C$5:$C$1004,MATCH(C2091,LOTES!$F$5:$F$1004,0)),""))</f>
        <v/>
      </c>
      <c r="F2091" s="24" t="str">
        <f aca="false">IF(C2091="","",IFERROR(INDEX(LOTES!$B$5:$B$1004,MATCH(C2091,LOTES!$F$5:$F$1004,0)),""))</f>
        <v/>
      </c>
      <c r="G2091" s="15" t="str">
        <f aca="false">IF(OR(B2091="",F2091=""),"",B2091-F2091)</f>
        <v/>
      </c>
      <c r="H2091" s="13"/>
      <c r="I2091" s="13"/>
      <c r="J2091" s="13"/>
      <c r="K2091" s="25"/>
      <c r="L2091" s="25"/>
      <c r="M2091" s="25"/>
      <c r="N2091" s="25"/>
      <c r="O2091" s="26"/>
      <c r="P2091" s="16" t="str">
        <f aca="false">IF(O2091="","",IFERROR(1/(1/(IF(K2091="",INDEX(CONFIG!$F$5:$F$14,MATCH(D2091,CONFIG!$D$5:$D$14,0)),K2091)*IF(M2091="",INDEX(CONFIG!$H$5:$H$14,MATCH(D2091,CONFIG!$D$5:$D$14,0)),M2091))),""))</f>
        <v/>
      </c>
      <c r="Q2091" s="16" t="str">
        <f aca="false">IF(OR(O2091="",P2091=""),"",O2091/P2091)</f>
        <v/>
      </c>
      <c r="R2091" s="16" t="str">
        <f aca="false">IF(Q2091="","",Q2091*0.0980665)</f>
        <v/>
      </c>
      <c r="S2091" s="16" t="str">
        <f aca="false">IF(Q2091="","",IFERROR(Q2091/(1/(1/INDEX(CONFIG!$I$5:$I$14,MATCH(D2091,CONFIG!$D$5:$D$14,0)))),""))</f>
        <v/>
      </c>
      <c r="T2091" s="13"/>
      <c r="U2091" s="13"/>
      <c r="V2091" s="13"/>
      <c r="W2091" s="13"/>
      <c r="X2091" s="22" t="str">
        <f aca="false">IF(Q2091="","",Q2091^2)</f>
        <v/>
      </c>
      <c r="Y2091" s="22" t="str">
        <f aca="false">IF(AND(C2091&lt;&gt;"",C2091=CERTIFICADO!$E$4,OR(CERTIFICADO!$E$5="",B2091=CERTIFICADO!$E$5)),MAX($Y$4:Y2090)+1,"")</f>
        <v/>
      </c>
    </row>
    <row r="2092" customFormat="false" ht="15" hidden="false" customHeight="false" outlineLevel="0" collapsed="false">
      <c r="A2092" s="11" t="str">
        <f aca="false">IF(C2092="","",ROW()-4)</f>
        <v/>
      </c>
      <c r="B2092" s="12"/>
      <c r="C2092" s="13"/>
      <c r="D2092" s="23" t="str">
        <f aca="false">IF(C2092="","",IFERROR(INDEX(LOTES!$D$5:$D$1004,MATCH(C2092,LOTES!$F$5:$F$1004,0)),"¿Lote?"))</f>
        <v/>
      </c>
      <c r="E2092" s="11" t="str">
        <f aca="false">IF(C2092="","",IFERROR(INDEX(LOTES!$C$5:$C$1004,MATCH(C2092,LOTES!$F$5:$F$1004,0)),""))</f>
        <v/>
      </c>
      <c r="F2092" s="24" t="str">
        <f aca="false">IF(C2092="","",IFERROR(INDEX(LOTES!$B$5:$B$1004,MATCH(C2092,LOTES!$F$5:$F$1004,0)),""))</f>
        <v/>
      </c>
      <c r="G2092" s="15" t="str">
        <f aca="false">IF(OR(B2092="",F2092=""),"",B2092-F2092)</f>
        <v/>
      </c>
      <c r="H2092" s="13"/>
      <c r="I2092" s="13"/>
      <c r="J2092" s="13"/>
      <c r="K2092" s="25"/>
      <c r="L2092" s="25"/>
      <c r="M2092" s="25"/>
      <c r="N2092" s="25"/>
      <c r="O2092" s="26"/>
      <c r="P2092" s="16" t="str">
        <f aca="false">IF(O2092="","",IFERROR(1/(1/(IF(K2092="",INDEX(CONFIG!$F$5:$F$14,MATCH(D2092,CONFIG!$D$5:$D$14,0)),K2092)*IF(M2092="",INDEX(CONFIG!$H$5:$H$14,MATCH(D2092,CONFIG!$D$5:$D$14,0)),M2092))),""))</f>
        <v/>
      </c>
      <c r="Q2092" s="16" t="str">
        <f aca="false">IF(OR(O2092="",P2092=""),"",O2092/P2092)</f>
        <v/>
      </c>
      <c r="R2092" s="16" t="str">
        <f aca="false">IF(Q2092="","",Q2092*0.0980665)</f>
        <v/>
      </c>
      <c r="S2092" s="16" t="str">
        <f aca="false">IF(Q2092="","",IFERROR(Q2092/(1/(1/INDEX(CONFIG!$I$5:$I$14,MATCH(D2092,CONFIG!$D$5:$D$14,0)))),""))</f>
        <v/>
      </c>
      <c r="T2092" s="13"/>
      <c r="U2092" s="13"/>
      <c r="V2092" s="13"/>
      <c r="W2092" s="13"/>
      <c r="X2092" s="22" t="str">
        <f aca="false">IF(Q2092="","",Q2092^2)</f>
        <v/>
      </c>
      <c r="Y2092" s="22" t="str">
        <f aca="false">IF(AND(C2092&lt;&gt;"",C2092=CERTIFICADO!$E$4,OR(CERTIFICADO!$E$5="",B2092=CERTIFICADO!$E$5)),MAX($Y$4:Y2091)+1,"")</f>
        <v/>
      </c>
    </row>
    <row r="2093" customFormat="false" ht="15" hidden="false" customHeight="false" outlineLevel="0" collapsed="false">
      <c r="A2093" s="11" t="str">
        <f aca="false">IF(C2093="","",ROW()-4)</f>
        <v/>
      </c>
      <c r="B2093" s="12"/>
      <c r="C2093" s="13"/>
      <c r="D2093" s="23" t="str">
        <f aca="false">IF(C2093="","",IFERROR(INDEX(LOTES!$D$5:$D$1004,MATCH(C2093,LOTES!$F$5:$F$1004,0)),"¿Lote?"))</f>
        <v/>
      </c>
      <c r="E2093" s="11" t="str">
        <f aca="false">IF(C2093="","",IFERROR(INDEX(LOTES!$C$5:$C$1004,MATCH(C2093,LOTES!$F$5:$F$1004,0)),""))</f>
        <v/>
      </c>
      <c r="F2093" s="24" t="str">
        <f aca="false">IF(C2093="","",IFERROR(INDEX(LOTES!$B$5:$B$1004,MATCH(C2093,LOTES!$F$5:$F$1004,0)),""))</f>
        <v/>
      </c>
      <c r="G2093" s="15" t="str">
        <f aca="false">IF(OR(B2093="",F2093=""),"",B2093-F2093)</f>
        <v/>
      </c>
      <c r="H2093" s="13"/>
      <c r="I2093" s="13"/>
      <c r="J2093" s="13"/>
      <c r="K2093" s="25"/>
      <c r="L2093" s="25"/>
      <c r="M2093" s="25"/>
      <c r="N2093" s="25"/>
      <c r="O2093" s="26"/>
      <c r="P2093" s="16" t="str">
        <f aca="false">IF(O2093="","",IFERROR(1/(1/(IF(K2093="",INDEX(CONFIG!$F$5:$F$14,MATCH(D2093,CONFIG!$D$5:$D$14,0)),K2093)*IF(M2093="",INDEX(CONFIG!$H$5:$H$14,MATCH(D2093,CONFIG!$D$5:$D$14,0)),M2093))),""))</f>
        <v/>
      </c>
      <c r="Q2093" s="16" t="str">
        <f aca="false">IF(OR(O2093="",P2093=""),"",O2093/P2093)</f>
        <v/>
      </c>
      <c r="R2093" s="16" t="str">
        <f aca="false">IF(Q2093="","",Q2093*0.0980665)</f>
        <v/>
      </c>
      <c r="S2093" s="16" t="str">
        <f aca="false">IF(Q2093="","",IFERROR(Q2093/(1/(1/INDEX(CONFIG!$I$5:$I$14,MATCH(D2093,CONFIG!$D$5:$D$14,0)))),""))</f>
        <v/>
      </c>
      <c r="T2093" s="13"/>
      <c r="U2093" s="13"/>
      <c r="V2093" s="13"/>
      <c r="W2093" s="13"/>
      <c r="X2093" s="22" t="str">
        <f aca="false">IF(Q2093="","",Q2093^2)</f>
        <v/>
      </c>
      <c r="Y2093" s="22" t="str">
        <f aca="false">IF(AND(C2093&lt;&gt;"",C2093=CERTIFICADO!$E$4,OR(CERTIFICADO!$E$5="",B2093=CERTIFICADO!$E$5)),MAX($Y$4:Y2092)+1,"")</f>
        <v/>
      </c>
    </row>
    <row r="2094" customFormat="false" ht="15" hidden="false" customHeight="false" outlineLevel="0" collapsed="false">
      <c r="A2094" s="11" t="str">
        <f aca="false">IF(C2094="","",ROW()-4)</f>
        <v/>
      </c>
      <c r="B2094" s="12"/>
      <c r="C2094" s="13"/>
      <c r="D2094" s="23" t="str">
        <f aca="false">IF(C2094="","",IFERROR(INDEX(LOTES!$D$5:$D$1004,MATCH(C2094,LOTES!$F$5:$F$1004,0)),"¿Lote?"))</f>
        <v/>
      </c>
      <c r="E2094" s="11" t="str">
        <f aca="false">IF(C2094="","",IFERROR(INDEX(LOTES!$C$5:$C$1004,MATCH(C2094,LOTES!$F$5:$F$1004,0)),""))</f>
        <v/>
      </c>
      <c r="F2094" s="24" t="str">
        <f aca="false">IF(C2094="","",IFERROR(INDEX(LOTES!$B$5:$B$1004,MATCH(C2094,LOTES!$F$5:$F$1004,0)),""))</f>
        <v/>
      </c>
      <c r="G2094" s="15" t="str">
        <f aca="false">IF(OR(B2094="",F2094=""),"",B2094-F2094)</f>
        <v/>
      </c>
      <c r="H2094" s="13"/>
      <c r="I2094" s="13"/>
      <c r="J2094" s="13"/>
      <c r="K2094" s="25"/>
      <c r="L2094" s="25"/>
      <c r="M2094" s="25"/>
      <c r="N2094" s="25"/>
      <c r="O2094" s="26"/>
      <c r="P2094" s="16" t="str">
        <f aca="false">IF(O2094="","",IFERROR(1/(1/(IF(K2094="",INDEX(CONFIG!$F$5:$F$14,MATCH(D2094,CONFIG!$D$5:$D$14,0)),K2094)*IF(M2094="",INDEX(CONFIG!$H$5:$H$14,MATCH(D2094,CONFIG!$D$5:$D$14,0)),M2094))),""))</f>
        <v/>
      </c>
      <c r="Q2094" s="16" t="str">
        <f aca="false">IF(OR(O2094="",P2094=""),"",O2094/P2094)</f>
        <v/>
      </c>
      <c r="R2094" s="16" t="str">
        <f aca="false">IF(Q2094="","",Q2094*0.0980665)</f>
        <v/>
      </c>
      <c r="S2094" s="16" t="str">
        <f aca="false">IF(Q2094="","",IFERROR(Q2094/(1/(1/INDEX(CONFIG!$I$5:$I$14,MATCH(D2094,CONFIG!$D$5:$D$14,0)))),""))</f>
        <v/>
      </c>
      <c r="T2094" s="13"/>
      <c r="U2094" s="13"/>
      <c r="V2094" s="13"/>
      <c r="W2094" s="13"/>
      <c r="X2094" s="22" t="str">
        <f aca="false">IF(Q2094="","",Q2094^2)</f>
        <v/>
      </c>
      <c r="Y2094" s="22" t="str">
        <f aca="false">IF(AND(C2094&lt;&gt;"",C2094=CERTIFICADO!$E$4,OR(CERTIFICADO!$E$5="",B2094=CERTIFICADO!$E$5)),MAX($Y$4:Y2093)+1,"")</f>
        <v/>
      </c>
    </row>
    <row r="2095" customFormat="false" ht="15" hidden="false" customHeight="false" outlineLevel="0" collapsed="false">
      <c r="A2095" s="11" t="str">
        <f aca="false">IF(C2095="","",ROW()-4)</f>
        <v/>
      </c>
      <c r="B2095" s="12"/>
      <c r="C2095" s="13"/>
      <c r="D2095" s="23" t="str">
        <f aca="false">IF(C2095="","",IFERROR(INDEX(LOTES!$D$5:$D$1004,MATCH(C2095,LOTES!$F$5:$F$1004,0)),"¿Lote?"))</f>
        <v/>
      </c>
      <c r="E2095" s="11" t="str">
        <f aca="false">IF(C2095="","",IFERROR(INDEX(LOTES!$C$5:$C$1004,MATCH(C2095,LOTES!$F$5:$F$1004,0)),""))</f>
        <v/>
      </c>
      <c r="F2095" s="24" t="str">
        <f aca="false">IF(C2095="","",IFERROR(INDEX(LOTES!$B$5:$B$1004,MATCH(C2095,LOTES!$F$5:$F$1004,0)),""))</f>
        <v/>
      </c>
      <c r="G2095" s="15" t="str">
        <f aca="false">IF(OR(B2095="",F2095=""),"",B2095-F2095)</f>
        <v/>
      </c>
      <c r="H2095" s="13"/>
      <c r="I2095" s="13"/>
      <c r="J2095" s="13"/>
      <c r="K2095" s="25"/>
      <c r="L2095" s="25"/>
      <c r="M2095" s="25"/>
      <c r="N2095" s="25"/>
      <c r="O2095" s="26"/>
      <c r="P2095" s="16" t="str">
        <f aca="false">IF(O2095="","",IFERROR(1/(1/(IF(K2095="",INDEX(CONFIG!$F$5:$F$14,MATCH(D2095,CONFIG!$D$5:$D$14,0)),K2095)*IF(M2095="",INDEX(CONFIG!$H$5:$H$14,MATCH(D2095,CONFIG!$D$5:$D$14,0)),M2095))),""))</f>
        <v/>
      </c>
      <c r="Q2095" s="16" t="str">
        <f aca="false">IF(OR(O2095="",P2095=""),"",O2095/P2095)</f>
        <v/>
      </c>
      <c r="R2095" s="16" t="str">
        <f aca="false">IF(Q2095="","",Q2095*0.0980665)</f>
        <v/>
      </c>
      <c r="S2095" s="16" t="str">
        <f aca="false">IF(Q2095="","",IFERROR(Q2095/(1/(1/INDEX(CONFIG!$I$5:$I$14,MATCH(D2095,CONFIG!$D$5:$D$14,0)))),""))</f>
        <v/>
      </c>
      <c r="T2095" s="13"/>
      <c r="U2095" s="13"/>
      <c r="V2095" s="13"/>
      <c r="W2095" s="13"/>
      <c r="X2095" s="22" t="str">
        <f aca="false">IF(Q2095="","",Q2095^2)</f>
        <v/>
      </c>
      <c r="Y2095" s="22" t="str">
        <f aca="false">IF(AND(C2095&lt;&gt;"",C2095=CERTIFICADO!$E$4,OR(CERTIFICADO!$E$5="",B2095=CERTIFICADO!$E$5)),MAX($Y$4:Y2094)+1,"")</f>
        <v/>
      </c>
    </row>
    <row r="2096" customFormat="false" ht="15" hidden="false" customHeight="false" outlineLevel="0" collapsed="false">
      <c r="A2096" s="11" t="str">
        <f aca="false">IF(C2096="","",ROW()-4)</f>
        <v/>
      </c>
      <c r="B2096" s="12"/>
      <c r="C2096" s="13"/>
      <c r="D2096" s="23" t="str">
        <f aca="false">IF(C2096="","",IFERROR(INDEX(LOTES!$D$5:$D$1004,MATCH(C2096,LOTES!$F$5:$F$1004,0)),"¿Lote?"))</f>
        <v/>
      </c>
      <c r="E2096" s="11" t="str">
        <f aca="false">IF(C2096="","",IFERROR(INDEX(LOTES!$C$5:$C$1004,MATCH(C2096,LOTES!$F$5:$F$1004,0)),""))</f>
        <v/>
      </c>
      <c r="F2096" s="24" t="str">
        <f aca="false">IF(C2096="","",IFERROR(INDEX(LOTES!$B$5:$B$1004,MATCH(C2096,LOTES!$F$5:$F$1004,0)),""))</f>
        <v/>
      </c>
      <c r="G2096" s="15" t="str">
        <f aca="false">IF(OR(B2096="",F2096=""),"",B2096-F2096)</f>
        <v/>
      </c>
      <c r="H2096" s="13"/>
      <c r="I2096" s="13"/>
      <c r="J2096" s="13"/>
      <c r="K2096" s="25"/>
      <c r="L2096" s="25"/>
      <c r="M2096" s="25"/>
      <c r="N2096" s="25"/>
      <c r="O2096" s="26"/>
      <c r="P2096" s="16" t="str">
        <f aca="false">IF(O2096="","",IFERROR(1/(1/(IF(K2096="",INDEX(CONFIG!$F$5:$F$14,MATCH(D2096,CONFIG!$D$5:$D$14,0)),K2096)*IF(M2096="",INDEX(CONFIG!$H$5:$H$14,MATCH(D2096,CONFIG!$D$5:$D$14,0)),M2096))),""))</f>
        <v/>
      </c>
      <c r="Q2096" s="16" t="str">
        <f aca="false">IF(OR(O2096="",P2096=""),"",O2096/P2096)</f>
        <v/>
      </c>
      <c r="R2096" s="16" t="str">
        <f aca="false">IF(Q2096="","",Q2096*0.0980665)</f>
        <v/>
      </c>
      <c r="S2096" s="16" t="str">
        <f aca="false">IF(Q2096="","",IFERROR(Q2096/(1/(1/INDEX(CONFIG!$I$5:$I$14,MATCH(D2096,CONFIG!$D$5:$D$14,0)))),""))</f>
        <v/>
      </c>
      <c r="T2096" s="13"/>
      <c r="U2096" s="13"/>
      <c r="V2096" s="13"/>
      <c r="W2096" s="13"/>
      <c r="X2096" s="22" t="str">
        <f aca="false">IF(Q2096="","",Q2096^2)</f>
        <v/>
      </c>
      <c r="Y2096" s="22" t="str">
        <f aca="false">IF(AND(C2096&lt;&gt;"",C2096=CERTIFICADO!$E$4,OR(CERTIFICADO!$E$5="",B2096=CERTIFICADO!$E$5)),MAX($Y$4:Y2095)+1,"")</f>
        <v/>
      </c>
    </row>
    <row r="2097" customFormat="false" ht="15" hidden="false" customHeight="false" outlineLevel="0" collapsed="false">
      <c r="A2097" s="11" t="str">
        <f aca="false">IF(C2097="","",ROW()-4)</f>
        <v/>
      </c>
      <c r="B2097" s="12"/>
      <c r="C2097" s="13"/>
      <c r="D2097" s="23" t="str">
        <f aca="false">IF(C2097="","",IFERROR(INDEX(LOTES!$D$5:$D$1004,MATCH(C2097,LOTES!$F$5:$F$1004,0)),"¿Lote?"))</f>
        <v/>
      </c>
      <c r="E2097" s="11" t="str">
        <f aca="false">IF(C2097="","",IFERROR(INDEX(LOTES!$C$5:$C$1004,MATCH(C2097,LOTES!$F$5:$F$1004,0)),""))</f>
        <v/>
      </c>
      <c r="F2097" s="24" t="str">
        <f aca="false">IF(C2097="","",IFERROR(INDEX(LOTES!$B$5:$B$1004,MATCH(C2097,LOTES!$F$5:$F$1004,0)),""))</f>
        <v/>
      </c>
      <c r="G2097" s="15" t="str">
        <f aca="false">IF(OR(B2097="",F2097=""),"",B2097-F2097)</f>
        <v/>
      </c>
      <c r="H2097" s="13"/>
      <c r="I2097" s="13"/>
      <c r="J2097" s="13"/>
      <c r="K2097" s="25"/>
      <c r="L2097" s="25"/>
      <c r="M2097" s="25"/>
      <c r="N2097" s="25"/>
      <c r="O2097" s="26"/>
      <c r="P2097" s="16" t="str">
        <f aca="false">IF(O2097="","",IFERROR(1/(1/(IF(K2097="",INDEX(CONFIG!$F$5:$F$14,MATCH(D2097,CONFIG!$D$5:$D$14,0)),K2097)*IF(M2097="",INDEX(CONFIG!$H$5:$H$14,MATCH(D2097,CONFIG!$D$5:$D$14,0)),M2097))),""))</f>
        <v/>
      </c>
      <c r="Q2097" s="16" t="str">
        <f aca="false">IF(OR(O2097="",P2097=""),"",O2097/P2097)</f>
        <v/>
      </c>
      <c r="R2097" s="16" t="str">
        <f aca="false">IF(Q2097="","",Q2097*0.0980665)</f>
        <v/>
      </c>
      <c r="S2097" s="16" t="str">
        <f aca="false">IF(Q2097="","",IFERROR(Q2097/(1/(1/INDEX(CONFIG!$I$5:$I$14,MATCH(D2097,CONFIG!$D$5:$D$14,0)))),""))</f>
        <v/>
      </c>
      <c r="T2097" s="13"/>
      <c r="U2097" s="13"/>
      <c r="V2097" s="13"/>
      <c r="W2097" s="13"/>
      <c r="X2097" s="22" t="str">
        <f aca="false">IF(Q2097="","",Q2097^2)</f>
        <v/>
      </c>
      <c r="Y2097" s="22" t="str">
        <f aca="false">IF(AND(C2097&lt;&gt;"",C2097=CERTIFICADO!$E$4,OR(CERTIFICADO!$E$5="",B2097=CERTIFICADO!$E$5)),MAX($Y$4:Y2096)+1,"")</f>
        <v/>
      </c>
    </row>
    <row r="2098" customFormat="false" ht="15" hidden="false" customHeight="false" outlineLevel="0" collapsed="false">
      <c r="A2098" s="11" t="str">
        <f aca="false">IF(C2098="","",ROW()-4)</f>
        <v/>
      </c>
      <c r="B2098" s="12"/>
      <c r="C2098" s="13"/>
      <c r="D2098" s="23" t="str">
        <f aca="false">IF(C2098="","",IFERROR(INDEX(LOTES!$D$5:$D$1004,MATCH(C2098,LOTES!$F$5:$F$1004,0)),"¿Lote?"))</f>
        <v/>
      </c>
      <c r="E2098" s="11" t="str">
        <f aca="false">IF(C2098="","",IFERROR(INDEX(LOTES!$C$5:$C$1004,MATCH(C2098,LOTES!$F$5:$F$1004,0)),""))</f>
        <v/>
      </c>
      <c r="F2098" s="24" t="str">
        <f aca="false">IF(C2098="","",IFERROR(INDEX(LOTES!$B$5:$B$1004,MATCH(C2098,LOTES!$F$5:$F$1004,0)),""))</f>
        <v/>
      </c>
      <c r="G2098" s="15" t="str">
        <f aca="false">IF(OR(B2098="",F2098=""),"",B2098-F2098)</f>
        <v/>
      </c>
      <c r="H2098" s="13"/>
      <c r="I2098" s="13"/>
      <c r="J2098" s="13"/>
      <c r="K2098" s="25"/>
      <c r="L2098" s="25"/>
      <c r="M2098" s="25"/>
      <c r="N2098" s="25"/>
      <c r="O2098" s="26"/>
      <c r="P2098" s="16" t="str">
        <f aca="false">IF(O2098="","",IFERROR(1/(1/(IF(K2098="",INDEX(CONFIG!$F$5:$F$14,MATCH(D2098,CONFIG!$D$5:$D$14,0)),K2098)*IF(M2098="",INDEX(CONFIG!$H$5:$H$14,MATCH(D2098,CONFIG!$D$5:$D$14,0)),M2098))),""))</f>
        <v/>
      </c>
      <c r="Q2098" s="16" t="str">
        <f aca="false">IF(OR(O2098="",P2098=""),"",O2098/P2098)</f>
        <v/>
      </c>
      <c r="R2098" s="16" t="str">
        <f aca="false">IF(Q2098="","",Q2098*0.0980665)</f>
        <v/>
      </c>
      <c r="S2098" s="16" t="str">
        <f aca="false">IF(Q2098="","",IFERROR(Q2098/(1/(1/INDEX(CONFIG!$I$5:$I$14,MATCH(D2098,CONFIG!$D$5:$D$14,0)))),""))</f>
        <v/>
      </c>
      <c r="T2098" s="13"/>
      <c r="U2098" s="13"/>
      <c r="V2098" s="13"/>
      <c r="W2098" s="13"/>
      <c r="X2098" s="22" t="str">
        <f aca="false">IF(Q2098="","",Q2098^2)</f>
        <v/>
      </c>
      <c r="Y2098" s="22" t="str">
        <f aca="false">IF(AND(C2098&lt;&gt;"",C2098=CERTIFICADO!$E$4,OR(CERTIFICADO!$E$5="",B2098=CERTIFICADO!$E$5)),MAX($Y$4:Y2097)+1,"")</f>
        <v/>
      </c>
    </row>
    <row r="2099" customFormat="false" ht="15" hidden="false" customHeight="false" outlineLevel="0" collapsed="false">
      <c r="A2099" s="11" t="str">
        <f aca="false">IF(C2099="","",ROW()-4)</f>
        <v/>
      </c>
      <c r="B2099" s="12"/>
      <c r="C2099" s="13"/>
      <c r="D2099" s="23" t="str">
        <f aca="false">IF(C2099="","",IFERROR(INDEX(LOTES!$D$5:$D$1004,MATCH(C2099,LOTES!$F$5:$F$1004,0)),"¿Lote?"))</f>
        <v/>
      </c>
      <c r="E2099" s="11" t="str">
        <f aca="false">IF(C2099="","",IFERROR(INDEX(LOTES!$C$5:$C$1004,MATCH(C2099,LOTES!$F$5:$F$1004,0)),""))</f>
        <v/>
      </c>
      <c r="F2099" s="24" t="str">
        <f aca="false">IF(C2099="","",IFERROR(INDEX(LOTES!$B$5:$B$1004,MATCH(C2099,LOTES!$F$5:$F$1004,0)),""))</f>
        <v/>
      </c>
      <c r="G2099" s="15" t="str">
        <f aca="false">IF(OR(B2099="",F2099=""),"",B2099-F2099)</f>
        <v/>
      </c>
      <c r="H2099" s="13"/>
      <c r="I2099" s="13"/>
      <c r="J2099" s="13"/>
      <c r="K2099" s="25"/>
      <c r="L2099" s="25"/>
      <c r="M2099" s="25"/>
      <c r="N2099" s="25"/>
      <c r="O2099" s="26"/>
      <c r="P2099" s="16" t="str">
        <f aca="false">IF(O2099="","",IFERROR(1/(1/(IF(K2099="",INDEX(CONFIG!$F$5:$F$14,MATCH(D2099,CONFIG!$D$5:$D$14,0)),K2099)*IF(M2099="",INDEX(CONFIG!$H$5:$H$14,MATCH(D2099,CONFIG!$D$5:$D$14,0)),M2099))),""))</f>
        <v/>
      </c>
      <c r="Q2099" s="16" t="str">
        <f aca="false">IF(OR(O2099="",P2099=""),"",O2099/P2099)</f>
        <v/>
      </c>
      <c r="R2099" s="16" t="str">
        <f aca="false">IF(Q2099="","",Q2099*0.0980665)</f>
        <v/>
      </c>
      <c r="S2099" s="16" t="str">
        <f aca="false">IF(Q2099="","",IFERROR(Q2099/(1/(1/INDEX(CONFIG!$I$5:$I$14,MATCH(D2099,CONFIG!$D$5:$D$14,0)))),""))</f>
        <v/>
      </c>
      <c r="T2099" s="13"/>
      <c r="U2099" s="13"/>
      <c r="V2099" s="13"/>
      <c r="W2099" s="13"/>
      <c r="X2099" s="22" t="str">
        <f aca="false">IF(Q2099="","",Q2099^2)</f>
        <v/>
      </c>
      <c r="Y2099" s="22" t="str">
        <f aca="false">IF(AND(C2099&lt;&gt;"",C2099=CERTIFICADO!$E$4,OR(CERTIFICADO!$E$5="",B2099=CERTIFICADO!$E$5)),MAX($Y$4:Y2098)+1,"")</f>
        <v/>
      </c>
    </row>
    <row r="2100" customFormat="false" ht="15" hidden="false" customHeight="false" outlineLevel="0" collapsed="false">
      <c r="A2100" s="11" t="str">
        <f aca="false">IF(C2100="","",ROW()-4)</f>
        <v/>
      </c>
      <c r="B2100" s="12"/>
      <c r="C2100" s="13"/>
      <c r="D2100" s="23" t="str">
        <f aca="false">IF(C2100="","",IFERROR(INDEX(LOTES!$D$5:$D$1004,MATCH(C2100,LOTES!$F$5:$F$1004,0)),"¿Lote?"))</f>
        <v/>
      </c>
      <c r="E2100" s="11" t="str">
        <f aca="false">IF(C2100="","",IFERROR(INDEX(LOTES!$C$5:$C$1004,MATCH(C2100,LOTES!$F$5:$F$1004,0)),""))</f>
        <v/>
      </c>
      <c r="F2100" s="24" t="str">
        <f aca="false">IF(C2100="","",IFERROR(INDEX(LOTES!$B$5:$B$1004,MATCH(C2100,LOTES!$F$5:$F$1004,0)),""))</f>
        <v/>
      </c>
      <c r="G2100" s="15" t="str">
        <f aca="false">IF(OR(B2100="",F2100=""),"",B2100-F2100)</f>
        <v/>
      </c>
      <c r="H2100" s="13"/>
      <c r="I2100" s="13"/>
      <c r="J2100" s="13"/>
      <c r="K2100" s="25"/>
      <c r="L2100" s="25"/>
      <c r="M2100" s="25"/>
      <c r="N2100" s="25"/>
      <c r="O2100" s="26"/>
      <c r="P2100" s="16" t="str">
        <f aca="false">IF(O2100="","",IFERROR(1/(1/(IF(K2100="",INDEX(CONFIG!$F$5:$F$14,MATCH(D2100,CONFIG!$D$5:$D$14,0)),K2100)*IF(M2100="",INDEX(CONFIG!$H$5:$H$14,MATCH(D2100,CONFIG!$D$5:$D$14,0)),M2100))),""))</f>
        <v/>
      </c>
      <c r="Q2100" s="16" t="str">
        <f aca="false">IF(OR(O2100="",P2100=""),"",O2100/P2100)</f>
        <v/>
      </c>
      <c r="R2100" s="16" t="str">
        <f aca="false">IF(Q2100="","",Q2100*0.0980665)</f>
        <v/>
      </c>
      <c r="S2100" s="16" t="str">
        <f aca="false">IF(Q2100="","",IFERROR(Q2100/(1/(1/INDEX(CONFIG!$I$5:$I$14,MATCH(D2100,CONFIG!$D$5:$D$14,0)))),""))</f>
        <v/>
      </c>
      <c r="T2100" s="13"/>
      <c r="U2100" s="13"/>
      <c r="V2100" s="13"/>
      <c r="W2100" s="13"/>
      <c r="X2100" s="22" t="str">
        <f aca="false">IF(Q2100="","",Q2100^2)</f>
        <v/>
      </c>
      <c r="Y2100" s="22" t="str">
        <f aca="false">IF(AND(C2100&lt;&gt;"",C2100=CERTIFICADO!$E$4,OR(CERTIFICADO!$E$5="",B2100=CERTIFICADO!$E$5)),MAX($Y$4:Y2099)+1,"")</f>
        <v/>
      </c>
    </row>
    <row r="2101" customFormat="false" ht="15" hidden="false" customHeight="false" outlineLevel="0" collapsed="false">
      <c r="A2101" s="11" t="str">
        <f aca="false">IF(C2101="","",ROW()-4)</f>
        <v/>
      </c>
      <c r="B2101" s="12"/>
      <c r="C2101" s="13"/>
      <c r="D2101" s="23" t="str">
        <f aca="false">IF(C2101="","",IFERROR(INDEX(LOTES!$D$5:$D$1004,MATCH(C2101,LOTES!$F$5:$F$1004,0)),"¿Lote?"))</f>
        <v/>
      </c>
      <c r="E2101" s="11" t="str">
        <f aca="false">IF(C2101="","",IFERROR(INDEX(LOTES!$C$5:$C$1004,MATCH(C2101,LOTES!$F$5:$F$1004,0)),""))</f>
        <v/>
      </c>
      <c r="F2101" s="24" t="str">
        <f aca="false">IF(C2101="","",IFERROR(INDEX(LOTES!$B$5:$B$1004,MATCH(C2101,LOTES!$F$5:$F$1004,0)),""))</f>
        <v/>
      </c>
      <c r="G2101" s="15" t="str">
        <f aca="false">IF(OR(B2101="",F2101=""),"",B2101-F2101)</f>
        <v/>
      </c>
      <c r="H2101" s="13"/>
      <c r="I2101" s="13"/>
      <c r="J2101" s="13"/>
      <c r="K2101" s="25"/>
      <c r="L2101" s="25"/>
      <c r="M2101" s="25"/>
      <c r="N2101" s="25"/>
      <c r="O2101" s="26"/>
      <c r="P2101" s="16" t="str">
        <f aca="false">IF(O2101="","",IFERROR(1/(1/(IF(K2101="",INDEX(CONFIG!$F$5:$F$14,MATCH(D2101,CONFIG!$D$5:$D$14,0)),K2101)*IF(M2101="",INDEX(CONFIG!$H$5:$H$14,MATCH(D2101,CONFIG!$D$5:$D$14,0)),M2101))),""))</f>
        <v/>
      </c>
      <c r="Q2101" s="16" t="str">
        <f aca="false">IF(OR(O2101="",P2101=""),"",O2101/P2101)</f>
        <v/>
      </c>
      <c r="R2101" s="16" t="str">
        <f aca="false">IF(Q2101="","",Q2101*0.0980665)</f>
        <v/>
      </c>
      <c r="S2101" s="16" t="str">
        <f aca="false">IF(Q2101="","",IFERROR(Q2101/(1/(1/INDEX(CONFIG!$I$5:$I$14,MATCH(D2101,CONFIG!$D$5:$D$14,0)))),""))</f>
        <v/>
      </c>
      <c r="T2101" s="13"/>
      <c r="U2101" s="13"/>
      <c r="V2101" s="13"/>
      <c r="W2101" s="13"/>
      <c r="X2101" s="22" t="str">
        <f aca="false">IF(Q2101="","",Q2101^2)</f>
        <v/>
      </c>
      <c r="Y2101" s="22" t="str">
        <f aca="false">IF(AND(C2101&lt;&gt;"",C2101=CERTIFICADO!$E$4,OR(CERTIFICADO!$E$5="",B2101=CERTIFICADO!$E$5)),MAX($Y$4:Y2100)+1,"")</f>
        <v/>
      </c>
    </row>
    <row r="2102" customFormat="false" ht="15" hidden="false" customHeight="false" outlineLevel="0" collapsed="false">
      <c r="A2102" s="11" t="str">
        <f aca="false">IF(C2102="","",ROW()-4)</f>
        <v/>
      </c>
      <c r="B2102" s="12"/>
      <c r="C2102" s="13"/>
      <c r="D2102" s="23" t="str">
        <f aca="false">IF(C2102="","",IFERROR(INDEX(LOTES!$D$5:$D$1004,MATCH(C2102,LOTES!$F$5:$F$1004,0)),"¿Lote?"))</f>
        <v/>
      </c>
      <c r="E2102" s="11" t="str">
        <f aca="false">IF(C2102="","",IFERROR(INDEX(LOTES!$C$5:$C$1004,MATCH(C2102,LOTES!$F$5:$F$1004,0)),""))</f>
        <v/>
      </c>
      <c r="F2102" s="24" t="str">
        <f aca="false">IF(C2102="","",IFERROR(INDEX(LOTES!$B$5:$B$1004,MATCH(C2102,LOTES!$F$5:$F$1004,0)),""))</f>
        <v/>
      </c>
      <c r="G2102" s="15" t="str">
        <f aca="false">IF(OR(B2102="",F2102=""),"",B2102-F2102)</f>
        <v/>
      </c>
      <c r="H2102" s="13"/>
      <c r="I2102" s="13"/>
      <c r="J2102" s="13"/>
      <c r="K2102" s="25"/>
      <c r="L2102" s="25"/>
      <c r="M2102" s="25"/>
      <c r="N2102" s="25"/>
      <c r="O2102" s="26"/>
      <c r="P2102" s="16" t="str">
        <f aca="false">IF(O2102="","",IFERROR(1/(1/(IF(K2102="",INDEX(CONFIG!$F$5:$F$14,MATCH(D2102,CONFIG!$D$5:$D$14,0)),K2102)*IF(M2102="",INDEX(CONFIG!$H$5:$H$14,MATCH(D2102,CONFIG!$D$5:$D$14,0)),M2102))),""))</f>
        <v/>
      </c>
      <c r="Q2102" s="16" t="str">
        <f aca="false">IF(OR(O2102="",P2102=""),"",O2102/P2102)</f>
        <v/>
      </c>
      <c r="R2102" s="16" t="str">
        <f aca="false">IF(Q2102="","",Q2102*0.0980665)</f>
        <v/>
      </c>
      <c r="S2102" s="16" t="str">
        <f aca="false">IF(Q2102="","",IFERROR(Q2102/(1/(1/INDEX(CONFIG!$I$5:$I$14,MATCH(D2102,CONFIG!$D$5:$D$14,0)))),""))</f>
        <v/>
      </c>
      <c r="T2102" s="13"/>
      <c r="U2102" s="13"/>
      <c r="V2102" s="13"/>
      <c r="W2102" s="13"/>
      <c r="X2102" s="22" t="str">
        <f aca="false">IF(Q2102="","",Q2102^2)</f>
        <v/>
      </c>
      <c r="Y2102" s="22" t="str">
        <f aca="false">IF(AND(C2102&lt;&gt;"",C2102=CERTIFICADO!$E$4,OR(CERTIFICADO!$E$5="",B2102=CERTIFICADO!$E$5)),MAX($Y$4:Y2101)+1,"")</f>
        <v/>
      </c>
    </row>
    <row r="2103" customFormat="false" ht="15" hidden="false" customHeight="false" outlineLevel="0" collapsed="false">
      <c r="A2103" s="11" t="str">
        <f aca="false">IF(C2103="","",ROW()-4)</f>
        <v/>
      </c>
      <c r="B2103" s="12"/>
      <c r="C2103" s="13"/>
      <c r="D2103" s="23" t="str">
        <f aca="false">IF(C2103="","",IFERROR(INDEX(LOTES!$D$5:$D$1004,MATCH(C2103,LOTES!$F$5:$F$1004,0)),"¿Lote?"))</f>
        <v/>
      </c>
      <c r="E2103" s="11" t="str">
        <f aca="false">IF(C2103="","",IFERROR(INDEX(LOTES!$C$5:$C$1004,MATCH(C2103,LOTES!$F$5:$F$1004,0)),""))</f>
        <v/>
      </c>
      <c r="F2103" s="24" t="str">
        <f aca="false">IF(C2103="","",IFERROR(INDEX(LOTES!$B$5:$B$1004,MATCH(C2103,LOTES!$F$5:$F$1004,0)),""))</f>
        <v/>
      </c>
      <c r="G2103" s="15" t="str">
        <f aca="false">IF(OR(B2103="",F2103=""),"",B2103-F2103)</f>
        <v/>
      </c>
      <c r="H2103" s="13"/>
      <c r="I2103" s="13"/>
      <c r="J2103" s="13"/>
      <c r="K2103" s="25"/>
      <c r="L2103" s="25"/>
      <c r="M2103" s="25"/>
      <c r="N2103" s="25"/>
      <c r="O2103" s="26"/>
      <c r="P2103" s="16" t="str">
        <f aca="false">IF(O2103="","",IFERROR(1/(1/(IF(K2103="",INDEX(CONFIG!$F$5:$F$14,MATCH(D2103,CONFIG!$D$5:$D$14,0)),K2103)*IF(M2103="",INDEX(CONFIG!$H$5:$H$14,MATCH(D2103,CONFIG!$D$5:$D$14,0)),M2103))),""))</f>
        <v/>
      </c>
      <c r="Q2103" s="16" t="str">
        <f aca="false">IF(OR(O2103="",P2103=""),"",O2103/P2103)</f>
        <v/>
      </c>
      <c r="R2103" s="16" t="str">
        <f aca="false">IF(Q2103="","",Q2103*0.0980665)</f>
        <v/>
      </c>
      <c r="S2103" s="16" t="str">
        <f aca="false">IF(Q2103="","",IFERROR(Q2103/(1/(1/INDEX(CONFIG!$I$5:$I$14,MATCH(D2103,CONFIG!$D$5:$D$14,0)))),""))</f>
        <v/>
      </c>
      <c r="T2103" s="13"/>
      <c r="U2103" s="13"/>
      <c r="V2103" s="13"/>
      <c r="W2103" s="13"/>
      <c r="X2103" s="22" t="str">
        <f aca="false">IF(Q2103="","",Q2103^2)</f>
        <v/>
      </c>
      <c r="Y2103" s="22" t="str">
        <f aca="false">IF(AND(C2103&lt;&gt;"",C2103=CERTIFICADO!$E$4,OR(CERTIFICADO!$E$5="",B2103=CERTIFICADO!$E$5)),MAX($Y$4:Y2102)+1,"")</f>
        <v/>
      </c>
    </row>
    <row r="2104" customFormat="false" ht="15" hidden="false" customHeight="false" outlineLevel="0" collapsed="false">
      <c r="A2104" s="11" t="str">
        <f aca="false">IF(C2104="","",ROW()-4)</f>
        <v/>
      </c>
      <c r="B2104" s="12"/>
      <c r="C2104" s="13"/>
      <c r="D2104" s="23" t="str">
        <f aca="false">IF(C2104="","",IFERROR(INDEX(LOTES!$D$5:$D$1004,MATCH(C2104,LOTES!$F$5:$F$1004,0)),"¿Lote?"))</f>
        <v/>
      </c>
      <c r="E2104" s="11" t="str">
        <f aca="false">IF(C2104="","",IFERROR(INDEX(LOTES!$C$5:$C$1004,MATCH(C2104,LOTES!$F$5:$F$1004,0)),""))</f>
        <v/>
      </c>
      <c r="F2104" s="24" t="str">
        <f aca="false">IF(C2104="","",IFERROR(INDEX(LOTES!$B$5:$B$1004,MATCH(C2104,LOTES!$F$5:$F$1004,0)),""))</f>
        <v/>
      </c>
      <c r="G2104" s="15" t="str">
        <f aca="false">IF(OR(B2104="",F2104=""),"",B2104-F2104)</f>
        <v/>
      </c>
      <c r="H2104" s="13"/>
      <c r="I2104" s="13"/>
      <c r="J2104" s="13"/>
      <c r="K2104" s="25"/>
      <c r="L2104" s="25"/>
      <c r="M2104" s="25"/>
      <c r="N2104" s="25"/>
      <c r="O2104" s="26"/>
      <c r="P2104" s="16" t="str">
        <f aca="false">IF(O2104="","",IFERROR(1/(1/(IF(K2104="",INDEX(CONFIG!$F$5:$F$14,MATCH(D2104,CONFIG!$D$5:$D$14,0)),K2104)*IF(M2104="",INDEX(CONFIG!$H$5:$H$14,MATCH(D2104,CONFIG!$D$5:$D$14,0)),M2104))),""))</f>
        <v/>
      </c>
      <c r="Q2104" s="16" t="str">
        <f aca="false">IF(OR(O2104="",P2104=""),"",O2104/P2104)</f>
        <v/>
      </c>
      <c r="R2104" s="16" t="str">
        <f aca="false">IF(Q2104="","",Q2104*0.0980665)</f>
        <v/>
      </c>
      <c r="S2104" s="16" t="str">
        <f aca="false">IF(Q2104="","",IFERROR(Q2104/(1/(1/INDEX(CONFIG!$I$5:$I$14,MATCH(D2104,CONFIG!$D$5:$D$14,0)))),""))</f>
        <v/>
      </c>
      <c r="T2104" s="13"/>
      <c r="U2104" s="13"/>
      <c r="V2104" s="13"/>
      <c r="W2104" s="13"/>
      <c r="X2104" s="22" t="str">
        <f aca="false">IF(Q2104="","",Q2104^2)</f>
        <v/>
      </c>
      <c r="Y2104" s="22" t="str">
        <f aca="false">IF(AND(C2104&lt;&gt;"",C2104=CERTIFICADO!$E$4,OR(CERTIFICADO!$E$5="",B2104=CERTIFICADO!$E$5)),MAX($Y$4:Y2103)+1,"")</f>
        <v/>
      </c>
    </row>
    <row r="2105" customFormat="false" ht="15" hidden="false" customHeight="false" outlineLevel="0" collapsed="false">
      <c r="A2105" s="11" t="str">
        <f aca="false">IF(C2105="","",ROW()-4)</f>
        <v/>
      </c>
      <c r="B2105" s="12"/>
      <c r="C2105" s="13"/>
      <c r="D2105" s="23" t="str">
        <f aca="false">IF(C2105="","",IFERROR(INDEX(LOTES!$D$5:$D$1004,MATCH(C2105,LOTES!$F$5:$F$1004,0)),"¿Lote?"))</f>
        <v/>
      </c>
      <c r="E2105" s="11" t="str">
        <f aca="false">IF(C2105="","",IFERROR(INDEX(LOTES!$C$5:$C$1004,MATCH(C2105,LOTES!$F$5:$F$1004,0)),""))</f>
        <v/>
      </c>
      <c r="F2105" s="24" t="str">
        <f aca="false">IF(C2105="","",IFERROR(INDEX(LOTES!$B$5:$B$1004,MATCH(C2105,LOTES!$F$5:$F$1004,0)),""))</f>
        <v/>
      </c>
      <c r="G2105" s="15" t="str">
        <f aca="false">IF(OR(B2105="",F2105=""),"",B2105-F2105)</f>
        <v/>
      </c>
      <c r="H2105" s="13"/>
      <c r="I2105" s="13"/>
      <c r="J2105" s="13"/>
      <c r="K2105" s="25"/>
      <c r="L2105" s="25"/>
      <c r="M2105" s="25"/>
      <c r="N2105" s="25"/>
      <c r="O2105" s="26"/>
      <c r="P2105" s="16" t="str">
        <f aca="false">IF(O2105="","",IFERROR(1/(1/(IF(K2105="",INDEX(CONFIG!$F$5:$F$14,MATCH(D2105,CONFIG!$D$5:$D$14,0)),K2105)*IF(M2105="",INDEX(CONFIG!$H$5:$H$14,MATCH(D2105,CONFIG!$D$5:$D$14,0)),M2105))),""))</f>
        <v/>
      </c>
      <c r="Q2105" s="16" t="str">
        <f aca="false">IF(OR(O2105="",P2105=""),"",O2105/P2105)</f>
        <v/>
      </c>
      <c r="R2105" s="16" t="str">
        <f aca="false">IF(Q2105="","",Q2105*0.0980665)</f>
        <v/>
      </c>
      <c r="S2105" s="16" t="str">
        <f aca="false">IF(Q2105="","",IFERROR(Q2105/(1/(1/INDEX(CONFIG!$I$5:$I$14,MATCH(D2105,CONFIG!$D$5:$D$14,0)))),""))</f>
        <v/>
      </c>
      <c r="T2105" s="13"/>
      <c r="U2105" s="13"/>
      <c r="V2105" s="13"/>
      <c r="W2105" s="13"/>
      <c r="X2105" s="22" t="str">
        <f aca="false">IF(Q2105="","",Q2105^2)</f>
        <v/>
      </c>
      <c r="Y2105" s="22" t="str">
        <f aca="false">IF(AND(C2105&lt;&gt;"",C2105=CERTIFICADO!$E$4,OR(CERTIFICADO!$E$5="",B2105=CERTIFICADO!$E$5)),MAX($Y$4:Y2104)+1,"")</f>
        <v/>
      </c>
    </row>
    <row r="2106" customFormat="false" ht="15" hidden="false" customHeight="false" outlineLevel="0" collapsed="false">
      <c r="A2106" s="11" t="str">
        <f aca="false">IF(C2106="","",ROW()-4)</f>
        <v/>
      </c>
      <c r="B2106" s="12"/>
      <c r="C2106" s="13"/>
      <c r="D2106" s="23" t="str">
        <f aca="false">IF(C2106="","",IFERROR(INDEX(LOTES!$D$5:$D$1004,MATCH(C2106,LOTES!$F$5:$F$1004,0)),"¿Lote?"))</f>
        <v/>
      </c>
      <c r="E2106" s="11" t="str">
        <f aca="false">IF(C2106="","",IFERROR(INDEX(LOTES!$C$5:$C$1004,MATCH(C2106,LOTES!$F$5:$F$1004,0)),""))</f>
        <v/>
      </c>
      <c r="F2106" s="24" t="str">
        <f aca="false">IF(C2106="","",IFERROR(INDEX(LOTES!$B$5:$B$1004,MATCH(C2106,LOTES!$F$5:$F$1004,0)),""))</f>
        <v/>
      </c>
      <c r="G2106" s="15" t="str">
        <f aca="false">IF(OR(B2106="",F2106=""),"",B2106-F2106)</f>
        <v/>
      </c>
      <c r="H2106" s="13"/>
      <c r="I2106" s="13"/>
      <c r="J2106" s="13"/>
      <c r="K2106" s="25"/>
      <c r="L2106" s="25"/>
      <c r="M2106" s="25"/>
      <c r="N2106" s="25"/>
      <c r="O2106" s="26"/>
      <c r="P2106" s="16" t="str">
        <f aca="false">IF(O2106="","",IFERROR(1/(1/(IF(K2106="",INDEX(CONFIG!$F$5:$F$14,MATCH(D2106,CONFIG!$D$5:$D$14,0)),K2106)*IF(M2106="",INDEX(CONFIG!$H$5:$H$14,MATCH(D2106,CONFIG!$D$5:$D$14,0)),M2106))),""))</f>
        <v/>
      </c>
      <c r="Q2106" s="16" t="str">
        <f aca="false">IF(OR(O2106="",P2106=""),"",O2106/P2106)</f>
        <v/>
      </c>
      <c r="R2106" s="16" t="str">
        <f aca="false">IF(Q2106="","",Q2106*0.0980665)</f>
        <v/>
      </c>
      <c r="S2106" s="16" t="str">
        <f aca="false">IF(Q2106="","",IFERROR(Q2106/(1/(1/INDEX(CONFIG!$I$5:$I$14,MATCH(D2106,CONFIG!$D$5:$D$14,0)))),""))</f>
        <v/>
      </c>
      <c r="T2106" s="13"/>
      <c r="U2106" s="13"/>
      <c r="V2106" s="13"/>
      <c r="W2106" s="13"/>
      <c r="X2106" s="22" t="str">
        <f aca="false">IF(Q2106="","",Q2106^2)</f>
        <v/>
      </c>
      <c r="Y2106" s="22" t="str">
        <f aca="false">IF(AND(C2106&lt;&gt;"",C2106=CERTIFICADO!$E$4,OR(CERTIFICADO!$E$5="",B2106=CERTIFICADO!$E$5)),MAX($Y$4:Y2105)+1,"")</f>
        <v/>
      </c>
    </row>
    <row r="2107" customFormat="false" ht="15" hidden="false" customHeight="false" outlineLevel="0" collapsed="false">
      <c r="A2107" s="11" t="str">
        <f aca="false">IF(C2107="","",ROW()-4)</f>
        <v/>
      </c>
      <c r="B2107" s="12"/>
      <c r="C2107" s="13"/>
      <c r="D2107" s="23" t="str">
        <f aca="false">IF(C2107="","",IFERROR(INDEX(LOTES!$D$5:$D$1004,MATCH(C2107,LOTES!$F$5:$F$1004,0)),"¿Lote?"))</f>
        <v/>
      </c>
      <c r="E2107" s="11" t="str">
        <f aca="false">IF(C2107="","",IFERROR(INDEX(LOTES!$C$5:$C$1004,MATCH(C2107,LOTES!$F$5:$F$1004,0)),""))</f>
        <v/>
      </c>
      <c r="F2107" s="24" t="str">
        <f aca="false">IF(C2107="","",IFERROR(INDEX(LOTES!$B$5:$B$1004,MATCH(C2107,LOTES!$F$5:$F$1004,0)),""))</f>
        <v/>
      </c>
      <c r="G2107" s="15" t="str">
        <f aca="false">IF(OR(B2107="",F2107=""),"",B2107-F2107)</f>
        <v/>
      </c>
      <c r="H2107" s="13"/>
      <c r="I2107" s="13"/>
      <c r="J2107" s="13"/>
      <c r="K2107" s="25"/>
      <c r="L2107" s="25"/>
      <c r="M2107" s="25"/>
      <c r="N2107" s="25"/>
      <c r="O2107" s="26"/>
      <c r="P2107" s="16" t="str">
        <f aca="false">IF(O2107="","",IFERROR(1/(1/(IF(K2107="",INDEX(CONFIG!$F$5:$F$14,MATCH(D2107,CONFIG!$D$5:$D$14,0)),K2107)*IF(M2107="",INDEX(CONFIG!$H$5:$H$14,MATCH(D2107,CONFIG!$D$5:$D$14,0)),M2107))),""))</f>
        <v/>
      </c>
      <c r="Q2107" s="16" t="str">
        <f aca="false">IF(OR(O2107="",P2107=""),"",O2107/P2107)</f>
        <v/>
      </c>
      <c r="R2107" s="16" t="str">
        <f aca="false">IF(Q2107="","",Q2107*0.0980665)</f>
        <v/>
      </c>
      <c r="S2107" s="16" t="str">
        <f aca="false">IF(Q2107="","",IFERROR(Q2107/(1/(1/INDEX(CONFIG!$I$5:$I$14,MATCH(D2107,CONFIG!$D$5:$D$14,0)))),""))</f>
        <v/>
      </c>
      <c r="T2107" s="13"/>
      <c r="U2107" s="13"/>
      <c r="V2107" s="13"/>
      <c r="W2107" s="13"/>
      <c r="X2107" s="22" t="str">
        <f aca="false">IF(Q2107="","",Q2107^2)</f>
        <v/>
      </c>
      <c r="Y2107" s="22" t="str">
        <f aca="false">IF(AND(C2107&lt;&gt;"",C2107=CERTIFICADO!$E$4,OR(CERTIFICADO!$E$5="",B2107=CERTIFICADO!$E$5)),MAX($Y$4:Y2106)+1,"")</f>
        <v/>
      </c>
    </row>
    <row r="2108" customFormat="false" ht="15" hidden="false" customHeight="false" outlineLevel="0" collapsed="false">
      <c r="A2108" s="11" t="str">
        <f aca="false">IF(C2108="","",ROW()-4)</f>
        <v/>
      </c>
      <c r="B2108" s="12"/>
      <c r="C2108" s="13"/>
      <c r="D2108" s="23" t="str">
        <f aca="false">IF(C2108="","",IFERROR(INDEX(LOTES!$D$5:$D$1004,MATCH(C2108,LOTES!$F$5:$F$1004,0)),"¿Lote?"))</f>
        <v/>
      </c>
      <c r="E2108" s="11" t="str">
        <f aca="false">IF(C2108="","",IFERROR(INDEX(LOTES!$C$5:$C$1004,MATCH(C2108,LOTES!$F$5:$F$1004,0)),""))</f>
        <v/>
      </c>
      <c r="F2108" s="24" t="str">
        <f aca="false">IF(C2108="","",IFERROR(INDEX(LOTES!$B$5:$B$1004,MATCH(C2108,LOTES!$F$5:$F$1004,0)),""))</f>
        <v/>
      </c>
      <c r="G2108" s="15" t="str">
        <f aca="false">IF(OR(B2108="",F2108=""),"",B2108-F2108)</f>
        <v/>
      </c>
      <c r="H2108" s="13"/>
      <c r="I2108" s="13"/>
      <c r="J2108" s="13"/>
      <c r="K2108" s="25"/>
      <c r="L2108" s="25"/>
      <c r="M2108" s="25"/>
      <c r="N2108" s="25"/>
      <c r="O2108" s="26"/>
      <c r="P2108" s="16" t="str">
        <f aca="false">IF(O2108="","",IFERROR(1/(1/(IF(K2108="",INDEX(CONFIG!$F$5:$F$14,MATCH(D2108,CONFIG!$D$5:$D$14,0)),K2108)*IF(M2108="",INDEX(CONFIG!$H$5:$H$14,MATCH(D2108,CONFIG!$D$5:$D$14,0)),M2108))),""))</f>
        <v/>
      </c>
      <c r="Q2108" s="16" t="str">
        <f aca="false">IF(OR(O2108="",P2108=""),"",O2108/P2108)</f>
        <v/>
      </c>
      <c r="R2108" s="16" t="str">
        <f aca="false">IF(Q2108="","",Q2108*0.0980665)</f>
        <v/>
      </c>
      <c r="S2108" s="16" t="str">
        <f aca="false">IF(Q2108="","",IFERROR(Q2108/(1/(1/INDEX(CONFIG!$I$5:$I$14,MATCH(D2108,CONFIG!$D$5:$D$14,0)))),""))</f>
        <v/>
      </c>
      <c r="T2108" s="13"/>
      <c r="U2108" s="13"/>
      <c r="V2108" s="13"/>
      <c r="W2108" s="13"/>
      <c r="X2108" s="22" t="str">
        <f aca="false">IF(Q2108="","",Q2108^2)</f>
        <v/>
      </c>
      <c r="Y2108" s="22" t="str">
        <f aca="false">IF(AND(C2108&lt;&gt;"",C2108=CERTIFICADO!$E$4,OR(CERTIFICADO!$E$5="",B2108=CERTIFICADO!$E$5)),MAX($Y$4:Y2107)+1,"")</f>
        <v/>
      </c>
    </row>
    <row r="2109" customFormat="false" ht="15" hidden="false" customHeight="false" outlineLevel="0" collapsed="false">
      <c r="A2109" s="11" t="str">
        <f aca="false">IF(C2109="","",ROW()-4)</f>
        <v/>
      </c>
      <c r="B2109" s="12"/>
      <c r="C2109" s="13"/>
      <c r="D2109" s="23" t="str">
        <f aca="false">IF(C2109="","",IFERROR(INDEX(LOTES!$D$5:$D$1004,MATCH(C2109,LOTES!$F$5:$F$1004,0)),"¿Lote?"))</f>
        <v/>
      </c>
      <c r="E2109" s="11" t="str">
        <f aca="false">IF(C2109="","",IFERROR(INDEX(LOTES!$C$5:$C$1004,MATCH(C2109,LOTES!$F$5:$F$1004,0)),""))</f>
        <v/>
      </c>
      <c r="F2109" s="24" t="str">
        <f aca="false">IF(C2109="","",IFERROR(INDEX(LOTES!$B$5:$B$1004,MATCH(C2109,LOTES!$F$5:$F$1004,0)),""))</f>
        <v/>
      </c>
      <c r="G2109" s="15" t="str">
        <f aca="false">IF(OR(B2109="",F2109=""),"",B2109-F2109)</f>
        <v/>
      </c>
      <c r="H2109" s="13"/>
      <c r="I2109" s="13"/>
      <c r="J2109" s="13"/>
      <c r="K2109" s="25"/>
      <c r="L2109" s="25"/>
      <c r="M2109" s="25"/>
      <c r="N2109" s="25"/>
      <c r="O2109" s="26"/>
      <c r="P2109" s="16" t="str">
        <f aca="false">IF(O2109="","",IFERROR(1/(1/(IF(K2109="",INDEX(CONFIG!$F$5:$F$14,MATCH(D2109,CONFIG!$D$5:$D$14,0)),K2109)*IF(M2109="",INDEX(CONFIG!$H$5:$H$14,MATCH(D2109,CONFIG!$D$5:$D$14,0)),M2109))),""))</f>
        <v/>
      </c>
      <c r="Q2109" s="16" t="str">
        <f aca="false">IF(OR(O2109="",P2109=""),"",O2109/P2109)</f>
        <v/>
      </c>
      <c r="R2109" s="16" t="str">
        <f aca="false">IF(Q2109="","",Q2109*0.0980665)</f>
        <v/>
      </c>
      <c r="S2109" s="16" t="str">
        <f aca="false">IF(Q2109="","",IFERROR(Q2109/(1/(1/INDEX(CONFIG!$I$5:$I$14,MATCH(D2109,CONFIG!$D$5:$D$14,0)))),""))</f>
        <v/>
      </c>
      <c r="T2109" s="13"/>
      <c r="U2109" s="13"/>
      <c r="V2109" s="13"/>
      <c r="W2109" s="13"/>
      <c r="X2109" s="22" t="str">
        <f aca="false">IF(Q2109="","",Q2109^2)</f>
        <v/>
      </c>
      <c r="Y2109" s="22" t="str">
        <f aca="false">IF(AND(C2109&lt;&gt;"",C2109=CERTIFICADO!$E$4,OR(CERTIFICADO!$E$5="",B2109=CERTIFICADO!$E$5)),MAX($Y$4:Y2108)+1,"")</f>
        <v/>
      </c>
    </row>
    <row r="2110" customFormat="false" ht="15" hidden="false" customHeight="false" outlineLevel="0" collapsed="false">
      <c r="A2110" s="11" t="str">
        <f aca="false">IF(C2110="","",ROW()-4)</f>
        <v/>
      </c>
      <c r="B2110" s="12"/>
      <c r="C2110" s="13"/>
      <c r="D2110" s="23" t="str">
        <f aca="false">IF(C2110="","",IFERROR(INDEX(LOTES!$D$5:$D$1004,MATCH(C2110,LOTES!$F$5:$F$1004,0)),"¿Lote?"))</f>
        <v/>
      </c>
      <c r="E2110" s="11" t="str">
        <f aca="false">IF(C2110="","",IFERROR(INDEX(LOTES!$C$5:$C$1004,MATCH(C2110,LOTES!$F$5:$F$1004,0)),""))</f>
        <v/>
      </c>
      <c r="F2110" s="24" t="str">
        <f aca="false">IF(C2110="","",IFERROR(INDEX(LOTES!$B$5:$B$1004,MATCH(C2110,LOTES!$F$5:$F$1004,0)),""))</f>
        <v/>
      </c>
      <c r="G2110" s="15" t="str">
        <f aca="false">IF(OR(B2110="",F2110=""),"",B2110-F2110)</f>
        <v/>
      </c>
      <c r="H2110" s="13"/>
      <c r="I2110" s="13"/>
      <c r="J2110" s="13"/>
      <c r="K2110" s="25"/>
      <c r="L2110" s="25"/>
      <c r="M2110" s="25"/>
      <c r="N2110" s="25"/>
      <c r="O2110" s="26"/>
      <c r="P2110" s="16" t="str">
        <f aca="false">IF(O2110="","",IFERROR(1/(1/(IF(K2110="",INDEX(CONFIG!$F$5:$F$14,MATCH(D2110,CONFIG!$D$5:$D$14,0)),K2110)*IF(M2110="",INDEX(CONFIG!$H$5:$H$14,MATCH(D2110,CONFIG!$D$5:$D$14,0)),M2110))),""))</f>
        <v/>
      </c>
      <c r="Q2110" s="16" t="str">
        <f aca="false">IF(OR(O2110="",P2110=""),"",O2110/P2110)</f>
        <v/>
      </c>
      <c r="R2110" s="16" t="str">
        <f aca="false">IF(Q2110="","",Q2110*0.0980665)</f>
        <v/>
      </c>
      <c r="S2110" s="16" t="str">
        <f aca="false">IF(Q2110="","",IFERROR(Q2110/(1/(1/INDEX(CONFIG!$I$5:$I$14,MATCH(D2110,CONFIG!$D$5:$D$14,0)))),""))</f>
        <v/>
      </c>
      <c r="T2110" s="13"/>
      <c r="U2110" s="13"/>
      <c r="V2110" s="13"/>
      <c r="W2110" s="13"/>
      <c r="X2110" s="22" t="str">
        <f aca="false">IF(Q2110="","",Q2110^2)</f>
        <v/>
      </c>
      <c r="Y2110" s="22" t="str">
        <f aca="false">IF(AND(C2110&lt;&gt;"",C2110=CERTIFICADO!$E$4,OR(CERTIFICADO!$E$5="",B2110=CERTIFICADO!$E$5)),MAX($Y$4:Y2109)+1,"")</f>
        <v/>
      </c>
    </row>
    <row r="2111" customFormat="false" ht="15" hidden="false" customHeight="false" outlineLevel="0" collapsed="false">
      <c r="A2111" s="11" t="str">
        <f aca="false">IF(C2111="","",ROW()-4)</f>
        <v/>
      </c>
      <c r="B2111" s="12"/>
      <c r="C2111" s="13"/>
      <c r="D2111" s="23" t="str">
        <f aca="false">IF(C2111="","",IFERROR(INDEX(LOTES!$D$5:$D$1004,MATCH(C2111,LOTES!$F$5:$F$1004,0)),"¿Lote?"))</f>
        <v/>
      </c>
      <c r="E2111" s="11" t="str">
        <f aca="false">IF(C2111="","",IFERROR(INDEX(LOTES!$C$5:$C$1004,MATCH(C2111,LOTES!$F$5:$F$1004,0)),""))</f>
        <v/>
      </c>
      <c r="F2111" s="24" t="str">
        <f aca="false">IF(C2111="","",IFERROR(INDEX(LOTES!$B$5:$B$1004,MATCH(C2111,LOTES!$F$5:$F$1004,0)),""))</f>
        <v/>
      </c>
      <c r="G2111" s="15" t="str">
        <f aca="false">IF(OR(B2111="",F2111=""),"",B2111-F2111)</f>
        <v/>
      </c>
      <c r="H2111" s="13"/>
      <c r="I2111" s="13"/>
      <c r="J2111" s="13"/>
      <c r="K2111" s="25"/>
      <c r="L2111" s="25"/>
      <c r="M2111" s="25"/>
      <c r="N2111" s="25"/>
      <c r="O2111" s="26"/>
      <c r="P2111" s="16" t="str">
        <f aca="false">IF(O2111="","",IFERROR(1/(1/(IF(K2111="",INDEX(CONFIG!$F$5:$F$14,MATCH(D2111,CONFIG!$D$5:$D$14,0)),K2111)*IF(M2111="",INDEX(CONFIG!$H$5:$H$14,MATCH(D2111,CONFIG!$D$5:$D$14,0)),M2111))),""))</f>
        <v/>
      </c>
      <c r="Q2111" s="16" t="str">
        <f aca="false">IF(OR(O2111="",P2111=""),"",O2111/P2111)</f>
        <v/>
      </c>
      <c r="R2111" s="16" t="str">
        <f aca="false">IF(Q2111="","",Q2111*0.0980665)</f>
        <v/>
      </c>
      <c r="S2111" s="16" t="str">
        <f aca="false">IF(Q2111="","",IFERROR(Q2111/(1/(1/INDEX(CONFIG!$I$5:$I$14,MATCH(D2111,CONFIG!$D$5:$D$14,0)))),""))</f>
        <v/>
      </c>
      <c r="T2111" s="13"/>
      <c r="U2111" s="13"/>
      <c r="V2111" s="13"/>
      <c r="W2111" s="13"/>
      <c r="X2111" s="22" t="str">
        <f aca="false">IF(Q2111="","",Q2111^2)</f>
        <v/>
      </c>
      <c r="Y2111" s="22" t="str">
        <f aca="false">IF(AND(C2111&lt;&gt;"",C2111=CERTIFICADO!$E$4,OR(CERTIFICADO!$E$5="",B2111=CERTIFICADO!$E$5)),MAX($Y$4:Y2110)+1,"")</f>
        <v/>
      </c>
    </row>
    <row r="2112" customFormat="false" ht="15" hidden="false" customHeight="false" outlineLevel="0" collapsed="false">
      <c r="A2112" s="11" t="str">
        <f aca="false">IF(C2112="","",ROW()-4)</f>
        <v/>
      </c>
      <c r="B2112" s="12"/>
      <c r="C2112" s="13"/>
      <c r="D2112" s="23" t="str">
        <f aca="false">IF(C2112="","",IFERROR(INDEX(LOTES!$D$5:$D$1004,MATCH(C2112,LOTES!$F$5:$F$1004,0)),"¿Lote?"))</f>
        <v/>
      </c>
      <c r="E2112" s="11" t="str">
        <f aca="false">IF(C2112="","",IFERROR(INDEX(LOTES!$C$5:$C$1004,MATCH(C2112,LOTES!$F$5:$F$1004,0)),""))</f>
        <v/>
      </c>
      <c r="F2112" s="24" t="str">
        <f aca="false">IF(C2112="","",IFERROR(INDEX(LOTES!$B$5:$B$1004,MATCH(C2112,LOTES!$F$5:$F$1004,0)),""))</f>
        <v/>
      </c>
      <c r="G2112" s="15" t="str">
        <f aca="false">IF(OR(B2112="",F2112=""),"",B2112-F2112)</f>
        <v/>
      </c>
      <c r="H2112" s="13"/>
      <c r="I2112" s="13"/>
      <c r="J2112" s="13"/>
      <c r="K2112" s="25"/>
      <c r="L2112" s="25"/>
      <c r="M2112" s="25"/>
      <c r="N2112" s="25"/>
      <c r="O2112" s="26"/>
      <c r="P2112" s="16" t="str">
        <f aca="false">IF(O2112="","",IFERROR(1/(1/(IF(K2112="",INDEX(CONFIG!$F$5:$F$14,MATCH(D2112,CONFIG!$D$5:$D$14,0)),K2112)*IF(M2112="",INDEX(CONFIG!$H$5:$H$14,MATCH(D2112,CONFIG!$D$5:$D$14,0)),M2112))),""))</f>
        <v/>
      </c>
      <c r="Q2112" s="16" t="str">
        <f aca="false">IF(OR(O2112="",P2112=""),"",O2112/P2112)</f>
        <v/>
      </c>
      <c r="R2112" s="16" t="str">
        <f aca="false">IF(Q2112="","",Q2112*0.0980665)</f>
        <v/>
      </c>
      <c r="S2112" s="16" t="str">
        <f aca="false">IF(Q2112="","",IFERROR(Q2112/(1/(1/INDEX(CONFIG!$I$5:$I$14,MATCH(D2112,CONFIG!$D$5:$D$14,0)))),""))</f>
        <v/>
      </c>
      <c r="T2112" s="13"/>
      <c r="U2112" s="13"/>
      <c r="V2112" s="13"/>
      <c r="W2112" s="13"/>
      <c r="X2112" s="22" t="str">
        <f aca="false">IF(Q2112="","",Q2112^2)</f>
        <v/>
      </c>
      <c r="Y2112" s="22" t="str">
        <f aca="false">IF(AND(C2112&lt;&gt;"",C2112=CERTIFICADO!$E$4,OR(CERTIFICADO!$E$5="",B2112=CERTIFICADO!$E$5)),MAX($Y$4:Y2111)+1,"")</f>
        <v/>
      </c>
    </row>
    <row r="2113" customFormat="false" ht="15" hidden="false" customHeight="false" outlineLevel="0" collapsed="false">
      <c r="A2113" s="11" t="str">
        <f aca="false">IF(C2113="","",ROW()-4)</f>
        <v/>
      </c>
      <c r="B2113" s="12"/>
      <c r="C2113" s="13"/>
      <c r="D2113" s="23" t="str">
        <f aca="false">IF(C2113="","",IFERROR(INDEX(LOTES!$D$5:$D$1004,MATCH(C2113,LOTES!$F$5:$F$1004,0)),"¿Lote?"))</f>
        <v/>
      </c>
      <c r="E2113" s="11" t="str">
        <f aca="false">IF(C2113="","",IFERROR(INDEX(LOTES!$C$5:$C$1004,MATCH(C2113,LOTES!$F$5:$F$1004,0)),""))</f>
        <v/>
      </c>
      <c r="F2113" s="24" t="str">
        <f aca="false">IF(C2113="","",IFERROR(INDEX(LOTES!$B$5:$B$1004,MATCH(C2113,LOTES!$F$5:$F$1004,0)),""))</f>
        <v/>
      </c>
      <c r="G2113" s="15" t="str">
        <f aca="false">IF(OR(B2113="",F2113=""),"",B2113-F2113)</f>
        <v/>
      </c>
      <c r="H2113" s="13"/>
      <c r="I2113" s="13"/>
      <c r="J2113" s="13"/>
      <c r="K2113" s="25"/>
      <c r="L2113" s="25"/>
      <c r="M2113" s="25"/>
      <c r="N2113" s="25"/>
      <c r="O2113" s="26"/>
      <c r="P2113" s="16" t="str">
        <f aca="false">IF(O2113="","",IFERROR(1/(1/(IF(K2113="",INDEX(CONFIG!$F$5:$F$14,MATCH(D2113,CONFIG!$D$5:$D$14,0)),K2113)*IF(M2113="",INDEX(CONFIG!$H$5:$H$14,MATCH(D2113,CONFIG!$D$5:$D$14,0)),M2113))),""))</f>
        <v/>
      </c>
      <c r="Q2113" s="16" t="str">
        <f aca="false">IF(OR(O2113="",P2113=""),"",O2113/P2113)</f>
        <v/>
      </c>
      <c r="R2113" s="16" t="str">
        <f aca="false">IF(Q2113="","",Q2113*0.0980665)</f>
        <v/>
      </c>
      <c r="S2113" s="16" t="str">
        <f aca="false">IF(Q2113="","",IFERROR(Q2113/(1/(1/INDEX(CONFIG!$I$5:$I$14,MATCH(D2113,CONFIG!$D$5:$D$14,0)))),""))</f>
        <v/>
      </c>
      <c r="T2113" s="13"/>
      <c r="U2113" s="13"/>
      <c r="V2113" s="13"/>
      <c r="W2113" s="13"/>
      <c r="X2113" s="22" t="str">
        <f aca="false">IF(Q2113="","",Q2113^2)</f>
        <v/>
      </c>
      <c r="Y2113" s="22" t="str">
        <f aca="false">IF(AND(C2113&lt;&gt;"",C2113=CERTIFICADO!$E$4,OR(CERTIFICADO!$E$5="",B2113=CERTIFICADO!$E$5)),MAX($Y$4:Y2112)+1,"")</f>
        <v/>
      </c>
    </row>
    <row r="2114" customFormat="false" ht="15" hidden="false" customHeight="false" outlineLevel="0" collapsed="false">
      <c r="A2114" s="11" t="str">
        <f aca="false">IF(C2114="","",ROW()-4)</f>
        <v/>
      </c>
      <c r="B2114" s="12"/>
      <c r="C2114" s="13"/>
      <c r="D2114" s="23" t="str">
        <f aca="false">IF(C2114="","",IFERROR(INDEX(LOTES!$D$5:$D$1004,MATCH(C2114,LOTES!$F$5:$F$1004,0)),"¿Lote?"))</f>
        <v/>
      </c>
      <c r="E2114" s="11" t="str">
        <f aca="false">IF(C2114="","",IFERROR(INDEX(LOTES!$C$5:$C$1004,MATCH(C2114,LOTES!$F$5:$F$1004,0)),""))</f>
        <v/>
      </c>
      <c r="F2114" s="24" t="str">
        <f aca="false">IF(C2114="","",IFERROR(INDEX(LOTES!$B$5:$B$1004,MATCH(C2114,LOTES!$F$5:$F$1004,0)),""))</f>
        <v/>
      </c>
      <c r="G2114" s="15" t="str">
        <f aca="false">IF(OR(B2114="",F2114=""),"",B2114-F2114)</f>
        <v/>
      </c>
      <c r="H2114" s="13"/>
      <c r="I2114" s="13"/>
      <c r="J2114" s="13"/>
      <c r="K2114" s="25"/>
      <c r="L2114" s="25"/>
      <c r="M2114" s="25"/>
      <c r="N2114" s="25"/>
      <c r="O2114" s="26"/>
      <c r="P2114" s="16" t="str">
        <f aca="false">IF(O2114="","",IFERROR(1/(1/(IF(K2114="",INDEX(CONFIG!$F$5:$F$14,MATCH(D2114,CONFIG!$D$5:$D$14,0)),K2114)*IF(M2114="",INDEX(CONFIG!$H$5:$H$14,MATCH(D2114,CONFIG!$D$5:$D$14,0)),M2114))),""))</f>
        <v/>
      </c>
      <c r="Q2114" s="16" t="str">
        <f aca="false">IF(OR(O2114="",P2114=""),"",O2114/P2114)</f>
        <v/>
      </c>
      <c r="R2114" s="16" t="str">
        <f aca="false">IF(Q2114="","",Q2114*0.0980665)</f>
        <v/>
      </c>
      <c r="S2114" s="16" t="str">
        <f aca="false">IF(Q2114="","",IFERROR(Q2114/(1/(1/INDEX(CONFIG!$I$5:$I$14,MATCH(D2114,CONFIG!$D$5:$D$14,0)))),""))</f>
        <v/>
      </c>
      <c r="T2114" s="13"/>
      <c r="U2114" s="13"/>
      <c r="V2114" s="13"/>
      <c r="W2114" s="13"/>
      <c r="X2114" s="22" t="str">
        <f aca="false">IF(Q2114="","",Q2114^2)</f>
        <v/>
      </c>
      <c r="Y2114" s="22" t="str">
        <f aca="false">IF(AND(C2114&lt;&gt;"",C2114=CERTIFICADO!$E$4,OR(CERTIFICADO!$E$5="",B2114=CERTIFICADO!$E$5)),MAX($Y$4:Y2113)+1,"")</f>
        <v/>
      </c>
    </row>
    <row r="2115" customFormat="false" ht="15" hidden="false" customHeight="false" outlineLevel="0" collapsed="false">
      <c r="A2115" s="11" t="str">
        <f aca="false">IF(C2115="","",ROW()-4)</f>
        <v/>
      </c>
      <c r="B2115" s="12"/>
      <c r="C2115" s="13"/>
      <c r="D2115" s="23" t="str">
        <f aca="false">IF(C2115="","",IFERROR(INDEX(LOTES!$D$5:$D$1004,MATCH(C2115,LOTES!$F$5:$F$1004,0)),"¿Lote?"))</f>
        <v/>
      </c>
      <c r="E2115" s="11" t="str">
        <f aca="false">IF(C2115="","",IFERROR(INDEX(LOTES!$C$5:$C$1004,MATCH(C2115,LOTES!$F$5:$F$1004,0)),""))</f>
        <v/>
      </c>
      <c r="F2115" s="24" t="str">
        <f aca="false">IF(C2115="","",IFERROR(INDEX(LOTES!$B$5:$B$1004,MATCH(C2115,LOTES!$F$5:$F$1004,0)),""))</f>
        <v/>
      </c>
      <c r="G2115" s="15" t="str">
        <f aca="false">IF(OR(B2115="",F2115=""),"",B2115-F2115)</f>
        <v/>
      </c>
      <c r="H2115" s="13"/>
      <c r="I2115" s="13"/>
      <c r="J2115" s="13"/>
      <c r="K2115" s="25"/>
      <c r="L2115" s="25"/>
      <c r="M2115" s="25"/>
      <c r="N2115" s="25"/>
      <c r="O2115" s="26"/>
      <c r="P2115" s="16" t="str">
        <f aca="false">IF(O2115="","",IFERROR(1/(1/(IF(K2115="",INDEX(CONFIG!$F$5:$F$14,MATCH(D2115,CONFIG!$D$5:$D$14,0)),K2115)*IF(M2115="",INDEX(CONFIG!$H$5:$H$14,MATCH(D2115,CONFIG!$D$5:$D$14,0)),M2115))),""))</f>
        <v/>
      </c>
      <c r="Q2115" s="16" t="str">
        <f aca="false">IF(OR(O2115="",P2115=""),"",O2115/P2115)</f>
        <v/>
      </c>
      <c r="R2115" s="16" t="str">
        <f aca="false">IF(Q2115="","",Q2115*0.0980665)</f>
        <v/>
      </c>
      <c r="S2115" s="16" t="str">
        <f aca="false">IF(Q2115="","",IFERROR(Q2115/(1/(1/INDEX(CONFIG!$I$5:$I$14,MATCH(D2115,CONFIG!$D$5:$D$14,0)))),""))</f>
        <v/>
      </c>
      <c r="T2115" s="13"/>
      <c r="U2115" s="13"/>
      <c r="V2115" s="13"/>
      <c r="W2115" s="13"/>
      <c r="X2115" s="22" t="str">
        <f aca="false">IF(Q2115="","",Q2115^2)</f>
        <v/>
      </c>
      <c r="Y2115" s="22" t="str">
        <f aca="false">IF(AND(C2115&lt;&gt;"",C2115=CERTIFICADO!$E$4,OR(CERTIFICADO!$E$5="",B2115=CERTIFICADO!$E$5)),MAX($Y$4:Y2114)+1,"")</f>
        <v/>
      </c>
    </row>
    <row r="2116" customFormat="false" ht="15" hidden="false" customHeight="false" outlineLevel="0" collapsed="false">
      <c r="A2116" s="11" t="str">
        <f aca="false">IF(C2116="","",ROW()-4)</f>
        <v/>
      </c>
      <c r="B2116" s="12"/>
      <c r="C2116" s="13"/>
      <c r="D2116" s="23" t="str">
        <f aca="false">IF(C2116="","",IFERROR(INDEX(LOTES!$D$5:$D$1004,MATCH(C2116,LOTES!$F$5:$F$1004,0)),"¿Lote?"))</f>
        <v/>
      </c>
      <c r="E2116" s="11" t="str">
        <f aca="false">IF(C2116="","",IFERROR(INDEX(LOTES!$C$5:$C$1004,MATCH(C2116,LOTES!$F$5:$F$1004,0)),""))</f>
        <v/>
      </c>
      <c r="F2116" s="24" t="str">
        <f aca="false">IF(C2116="","",IFERROR(INDEX(LOTES!$B$5:$B$1004,MATCH(C2116,LOTES!$F$5:$F$1004,0)),""))</f>
        <v/>
      </c>
      <c r="G2116" s="15" t="str">
        <f aca="false">IF(OR(B2116="",F2116=""),"",B2116-F2116)</f>
        <v/>
      </c>
      <c r="H2116" s="13"/>
      <c r="I2116" s="13"/>
      <c r="J2116" s="13"/>
      <c r="K2116" s="25"/>
      <c r="L2116" s="25"/>
      <c r="M2116" s="25"/>
      <c r="N2116" s="25"/>
      <c r="O2116" s="26"/>
      <c r="P2116" s="16" t="str">
        <f aca="false">IF(O2116="","",IFERROR(1/(1/(IF(K2116="",INDEX(CONFIG!$F$5:$F$14,MATCH(D2116,CONFIG!$D$5:$D$14,0)),K2116)*IF(M2116="",INDEX(CONFIG!$H$5:$H$14,MATCH(D2116,CONFIG!$D$5:$D$14,0)),M2116))),""))</f>
        <v/>
      </c>
      <c r="Q2116" s="16" t="str">
        <f aca="false">IF(OR(O2116="",P2116=""),"",O2116/P2116)</f>
        <v/>
      </c>
      <c r="R2116" s="16" t="str">
        <f aca="false">IF(Q2116="","",Q2116*0.0980665)</f>
        <v/>
      </c>
      <c r="S2116" s="16" t="str">
        <f aca="false">IF(Q2116="","",IFERROR(Q2116/(1/(1/INDEX(CONFIG!$I$5:$I$14,MATCH(D2116,CONFIG!$D$5:$D$14,0)))),""))</f>
        <v/>
      </c>
      <c r="T2116" s="13"/>
      <c r="U2116" s="13"/>
      <c r="V2116" s="13"/>
      <c r="W2116" s="13"/>
      <c r="X2116" s="22" t="str">
        <f aca="false">IF(Q2116="","",Q2116^2)</f>
        <v/>
      </c>
      <c r="Y2116" s="22" t="str">
        <f aca="false">IF(AND(C2116&lt;&gt;"",C2116=CERTIFICADO!$E$4,OR(CERTIFICADO!$E$5="",B2116=CERTIFICADO!$E$5)),MAX($Y$4:Y2115)+1,"")</f>
        <v/>
      </c>
    </row>
    <row r="2117" customFormat="false" ht="15" hidden="false" customHeight="false" outlineLevel="0" collapsed="false">
      <c r="A2117" s="11" t="str">
        <f aca="false">IF(C2117="","",ROW()-4)</f>
        <v/>
      </c>
      <c r="B2117" s="12"/>
      <c r="C2117" s="13"/>
      <c r="D2117" s="23" t="str">
        <f aca="false">IF(C2117="","",IFERROR(INDEX(LOTES!$D$5:$D$1004,MATCH(C2117,LOTES!$F$5:$F$1004,0)),"¿Lote?"))</f>
        <v/>
      </c>
      <c r="E2117" s="11" t="str">
        <f aca="false">IF(C2117="","",IFERROR(INDEX(LOTES!$C$5:$C$1004,MATCH(C2117,LOTES!$F$5:$F$1004,0)),""))</f>
        <v/>
      </c>
      <c r="F2117" s="24" t="str">
        <f aca="false">IF(C2117="","",IFERROR(INDEX(LOTES!$B$5:$B$1004,MATCH(C2117,LOTES!$F$5:$F$1004,0)),""))</f>
        <v/>
      </c>
      <c r="G2117" s="15" t="str">
        <f aca="false">IF(OR(B2117="",F2117=""),"",B2117-F2117)</f>
        <v/>
      </c>
      <c r="H2117" s="13"/>
      <c r="I2117" s="13"/>
      <c r="J2117" s="13"/>
      <c r="K2117" s="25"/>
      <c r="L2117" s="25"/>
      <c r="M2117" s="25"/>
      <c r="N2117" s="25"/>
      <c r="O2117" s="26"/>
      <c r="P2117" s="16" t="str">
        <f aca="false">IF(O2117="","",IFERROR(1/(1/(IF(K2117="",INDEX(CONFIG!$F$5:$F$14,MATCH(D2117,CONFIG!$D$5:$D$14,0)),K2117)*IF(M2117="",INDEX(CONFIG!$H$5:$H$14,MATCH(D2117,CONFIG!$D$5:$D$14,0)),M2117))),""))</f>
        <v/>
      </c>
      <c r="Q2117" s="16" t="str">
        <f aca="false">IF(OR(O2117="",P2117=""),"",O2117/P2117)</f>
        <v/>
      </c>
      <c r="R2117" s="16" t="str">
        <f aca="false">IF(Q2117="","",Q2117*0.0980665)</f>
        <v/>
      </c>
      <c r="S2117" s="16" t="str">
        <f aca="false">IF(Q2117="","",IFERROR(Q2117/(1/(1/INDEX(CONFIG!$I$5:$I$14,MATCH(D2117,CONFIG!$D$5:$D$14,0)))),""))</f>
        <v/>
      </c>
      <c r="T2117" s="13"/>
      <c r="U2117" s="13"/>
      <c r="V2117" s="13"/>
      <c r="W2117" s="13"/>
      <c r="X2117" s="22" t="str">
        <f aca="false">IF(Q2117="","",Q2117^2)</f>
        <v/>
      </c>
      <c r="Y2117" s="22" t="str">
        <f aca="false">IF(AND(C2117&lt;&gt;"",C2117=CERTIFICADO!$E$4,OR(CERTIFICADO!$E$5="",B2117=CERTIFICADO!$E$5)),MAX($Y$4:Y2116)+1,"")</f>
        <v/>
      </c>
    </row>
    <row r="2118" customFormat="false" ht="15" hidden="false" customHeight="false" outlineLevel="0" collapsed="false">
      <c r="A2118" s="11" t="str">
        <f aca="false">IF(C2118="","",ROW()-4)</f>
        <v/>
      </c>
      <c r="B2118" s="12"/>
      <c r="C2118" s="13"/>
      <c r="D2118" s="23" t="str">
        <f aca="false">IF(C2118="","",IFERROR(INDEX(LOTES!$D$5:$D$1004,MATCH(C2118,LOTES!$F$5:$F$1004,0)),"¿Lote?"))</f>
        <v/>
      </c>
      <c r="E2118" s="11" t="str">
        <f aca="false">IF(C2118="","",IFERROR(INDEX(LOTES!$C$5:$C$1004,MATCH(C2118,LOTES!$F$5:$F$1004,0)),""))</f>
        <v/>
      </c>
      <c r="F2118" s="24" t="str">
        <f aca="false">IF(C2118="","",IFERROR(INDEX(LOTES!$B$5:$B$1004,MATCH(C2118,LOTES!$F$5:$F$1004,0)),""))</f>
        <v/>
      </c>
      <c r="G2118" s="15" t="str">
        <f aca="false">IF(OR(B2118="",F2118=""),"",B2118-F2118)</f>
        <v/>
      </c>
      <c r="H2118" s="13"/>
      <c r="I2118" s="13"/>
      <c r="J2118" s="13"/>
      <c r="K2118" s="25"/>
      <c r="L2118" s="25"/>
      <c r="M2118" s="25"/>
      <c r="N2118" s="25"/>
      <c r="O2118" s="26"/>
      <c r="P2118" s="16" t="str">
        <f aca="false">IF(O2118="","",IFERROR(1/(1/(IF(K2118="",INDEX(CONFIG!$F$5:$F$14,MATCH(D2118,CONFIG!$D$5:$D$14,0)),K2118)*IF(M2118="",INDEX(CONFIG!$H$5:$H$14,MATCH(D2118,CONFIG!$D$5:$D$14,0)),M2118))),""))</f>
        <v/>
      </c>
      <c r="Q2118" s="16" t="str">
        <f aca="false">IF(OR(O2118="",P2118=""),"",O2118/P2118)</f>
        <v/>
      </c>
      <c r="R2118" s="16" t="str">
        <f aca="false">IF(Q2118="","",Q2118*0.0980665)</f>
        <v/>
      </c>
      <c r="S2118" s="16" t="str">
        <f aca="false">IF(Q2118="","",IFERROR(Q2118/(1/(1/INDEX(CONFIG!$I$5:$I$14,MATCH(D2118,CONFIG!$D$5:$D$14,0)))),""))</f>
        <v/>
      </c>
      <c r="T2118" s="13"/>
      <c r="U2118" s="13"/>
      <c r="V2118" s="13"/>
      <c r="W2118" s="13"/>
      <c r="X2118" s="22" t="str">
        <f aca="false">IF(Q2118="","",Q2118^2)</f>
        <v/>
      </c>
      <c r="Y2118" s="22" t="str">
        <f aca="false">IF(AND(C2118&lt;&gt;"",C2118=CERTIFICADO!$E$4,OR(CERTIFICADO!$E$5="",B2118=CERTIFICADO!$E$5)),MAX($Y$4:Y2117)+1,"")</f>
        <v/>
      </c>
    </row>
    <row r="2119" customFormat="false" ht="15" hidden="false" customHeight="false" outlineLevel="0" collapsed="false">
      <c r="A2119" s="11" t="str">
        <f aca="false">IF(C2119="","",ROW()-4)</f>
        <v/>
      </c>
      <c r="B2119" s="12"/>
      <c r="C2119" s="13"/>
      <c r="D2119" s="23" t="str">
        <f aca="false">IF(C2119="","",IFERROR(INDEX(LOTES!$D$5:$D$1004,MATCH(C2119,LOTES!$F$5:$F$1004,0)),"¿Lote?"))</f>
        <v/>
      </c>
      <c r="E2119" s="11" t="str">
        <f aca="false">IF(C2119="","",IFERROR(INDEX(LOTES!$C$5:$C$1004,MATCH(C2119,LOTES!$F$5:$F$1004,0)),""))</f>
        <v/>
      </c>
      <c r="F2119" s="24" t="str">
        <f aca="false">IF(C2119="","",IFERROR(INDEX(LOTES!$B$5:$B$1004,MATCH(C2119,LOTES!$F$5:$F$1004,0)),""))</f>
        <v/>
      </c>
      <c r="G2119" s="15" t="str">
        <f aca="false">IF(OR(B2119="",F2119=""),"",B2119-F2119)</f>
        <v/>
      </c>
      <c r="H2119" s="13"/>
      <c r="I2119" s="13"/>
      <c r="J2119" s="13"/>
      <c r="K2119" s="25"/>
      <c r="L2119" s="25"/>
      <c r="M2119" s="25"/>
      <c r="N2119" s="25"/>
      <c r="O2119" s="26"/>
      <c r="P2119" s="16" t="str">
        <f aca="false">IF(O2119="","",IFERROR(1/(1/(IF(K2119="",INDEX(CONFIG!$F$5:$F$14,MATCH(D2119,CONFIG!$D$5:$D$14,0)),K2119)*IF(M2119="",INDEX(CONFIG!$H$5:$H$14,MATCH(D2119,CONFIG!$D$5:$D$14,0)),M2119))),""))</f>
        <v/>
      </c>
      <c r="Q2119" s="16" t="str">
        <f aca="false">IF(OR(O2119="",P2119=""),"",O2119/P2119)</f>
        <v/>
      </c>
      <c r="R2119" s="16" t="str">
        <f aca="false">IF(Q2119="","",Q2119*0.0980665)</f>
        <v/>
      </c>
      <c r="S2119" s="16" t="str">
        <f aca="false">IF(Q2119="","",IFERROR(Q2119/(1/(1/INDEX(CONFIG!$I$5:$I$14,MATCH(D2119,CONFIG!$D$5:$D$14,0)))),""))</f>
        <v/>
      </c>
      <c r="T2119" s="13"/>
      <c r="U2119" s="13"/>
      <c r="V2119" s="13"/>
      <c r="W2119" s="13"/>
      <c r="X2119" s="22" t="str">
        <f aca="false">IF(Q2119="","",Q2119^2)</f>
        <v/>
      </c>
      <c r="Y2119" s="22" t="str">
        <f aca="false">IF(AND(C2119&lt;&gt;"",C2119=CERTIFICADO!$E$4,OR(CERTIFICADO!$E$5="",B2119=CERTIFICADO!$E$5)),MAX($Y$4:Y2118)+1,"")</f>
        <v/>
      </c>
    </row>
    <row r="2120" customFormat="false" ht="15" hidden="false" customHeight="false" outlineLevel="0" collapsed="false">
      <c r="A2120" s="11" t="str">
        <f aca="false">IF(C2120="","",ROW()-4)</f>
        <v/>
      </c>
      <c r="B2120" s="12"/>
      <c r="C2120" s="13"/>
      <c r="D2120" s="23" t="str">
        <f aca="false">IF(C2120="","",IFERROR(INDEX(LOTES!$D$5:$D$1004,MATCH(C2120,LOTES!$F$5:$F$1004,0)),"¿Lote?"))</f>
        <v/>
      </c>
      <c r="E2120" s="11" t="str">
        <f aca="false">IF(C2120="","",IFERROR(INDEX(LOTES!$C$5:$C$1004,MATCH(C2120,LOTES!$F$5:$F$1004,0)),""))</f>
        <v/>
      </c>
      <c r="F2120" s="24" t="str">
        <f aca="false">IF(C2120="","",IFERROR(INDEX(LOTES!$B$5:$B$1004,MATCH(C2120,LOTES!$F$5:$F$1004,0)),""))</f>
        <v/>
      </c>
      <c r="G2120" s="15" t="str">
        <f aca="false">IF(OR(B2120="",F2120=""),"",B2120-F2120)</f>
        <v/>
      </c>
      <c r="H2120" s="13"/>
      <c r="I2120" s="13"/>
      <c r="J2120" s="13"/>
      <c r="K2120" s="25"/>
      <c r="L2120" s="25"/>
      <c r="M2120" s="25"/>
      <c r="N2120" s="25"/>
      <c r="O2120" s="26"/>
      <c r="P2120" s="16" t="str">
        <f aca="false">IF(O2120="","",IFERROR(1/(1/(IF(K2120="",INDEX(CONFIG!$F$5:$F$14,MATCH(D2120,CONFIG!$D$5:$D$14,0)),K2120)*IF(M2120="",INDEX(CONFIG!$H$5:$H$14,MATCH(D2120,CONFIG!$D$5:$D$14,0)),M2120))),""))</f>
        <v/>
      </c>
      <c r="Q2120" s="16" t="str">
        <f aca="false">IF(OR(O2120="",P2120=""),"",O2120/P2120)</f>
        <v/>
      </c>
      <c r="R2120" s="16" t="str">
        <f aca="false">IF(Q2120="","",Q2120*0.0980665)</f>
        <v/>
      </c>
      <c r="S2120" s="16" t="str">
        <f aca="false">IF(Q2120="","",IFERROR(Q2120/(1/(1/INDEX(CONFIG!$I$5:$I$14,MATCH(D2120,CONFIG!$D$5:$D$14,0)))),""))</f>
        <v/>
      </c>
      <c r="T2120" s="13"/>
      <c r="U2120" s="13"/>
      <c r="V2120" s="13"/>
      <c r="W2120" s="13"/>
      <c r="X2120" s="22" t="str">
        <f aca="false">IF(Q2120="","",Q2120^2)</f>
        <v/>
      </c>
      <c r="Y2120" s="22" t="str">
        <f aca="false">IF(AND(C2120&lt;&gt;"",C2120=CERTIFICADO!$E$4,OR(CERTIFICADO!$E$5="",B2120=CERTIFICADO!$E$5)),MAX($Y$4:Y2119)+1,"")</f>
        <v/>
      </c>
    </row>
    <row r="2121" customFormat="false" ht="15" hidden="false" customHeight="false" outlineLevel="0" collapsed="false">
      <c r="A2121" s="11" t="str">
        <f aca="false">IF(C2121="","",ROW()-4)</f>
        <v/>
      </c>
      <c r="B2121" s="12"/>
      <c r="C2121" s="13"/>
      <c r="D2121" s="23" t="str">
        <f aca="false">IF(C2121="","",IFERROR(INDEX(LOTES!$D$5:$D$1004,MATCH(C2121,LOTES!$F$5:$F$1004,0)),"¿Lote?"))</f>
        <v/>
      </c>
      <c r="E2121" s="11" t="str">
        <f aca="false">IF(C2121="","",IFERROR(INDEX(LOTES!$C$5:$C$1004,MATCH(C2121,LOTES!$F$5:$F$1004,0)),""))</f>
        <v/>
      </c>
      <c r="F2121" s="24" t="str">
        <f aca="false">IF(C2121="","",IFERROR(INDEX(LOTES!$B$5:$B$1004,MATCH(C2121,LOTES!$F$5:$F$1004,0)),""))</f>
        <v/>
      </c>
      <c r="G2121" s="15" t="str">
        <f aca="false">IF(OR(B2121="",F2121=""),"",B2121-F2121)</f>
        <v/>
      </c>
      <c r="H2121" s="13"/>
      <c r="I2121" s="13"/>
      <c r="J2121" s="13"/>
      <c r="K2121" s="25"/>
      <c r="L2121" s="25"/>
      <c r="M2121" s="25"/>
      <c r="N2121" s="25"/>
      <c r="O2121" s="26"/>
      <c r="P2121" s="16" t="str">
        <f aca="false">IF(O2121="","",IFERROR(1/(1/(IF(K2121="",INDEX(CONFIG!$F$5:$F$14,MATCH(D2121,CONFIG!$D$5:$D$14,0)),K2121)*IF(M2121="",INDEX(CONFIG!$H$5:$H$14,MATCH(D2121,CONFIG!$D$5:$D$14,0)),M2121))),""))</f>
        <v/>
      </c>
      <c r="Q2121" s="16" t="str">
        <f aca="false">IF(OR(O2121="",P2121=""),"",O2121/P2121)</f>
        <v/>
      </c>
      <c r="R2121" s="16" t="str">
        <f aca="false">IF(Q2121="","",Q2121*0.0980665)</f>
        <v/>
      </c>
      <c r="S2121" s="16" t="str">
        <f aca="false">IF(Q2121="","",IFERROR(Q2121/(1/(1/INDEX(CONFIG!$I$5:$I$14,MATCH(D2121,CONFIG!$D$5:$D$14,0)))),""))</f>
        <v/>
      </c>
      <c r="T2121" s="13"/>
      <c r="U2121" s="13"/>
      <c r="V2121" s="13"/>
      <c r="W2121" s="13"/>
      <c r="X2121" s="22" t="str">
        <f aca="false">IF(Q2121="","",Q2121^2)</f>
        <v/>
      </c>
      <c r="Y2121" s="22" t="str">
        <f aca="false">IF(AND(C2121&lt;&gt;"",C2121=CERTIFICADO!$E$4,OR(CERTIFICADO!$E$5="",B2121=CERTIFICADO!$E$5)),MAX($Y$4:Y2120)+1,"")</f>
        <v/>
      </c>
    </row>
    <row r="2122" customFormat="false" ht="15" hidden="false" customHeight="false" outlineLevel="0" collapsed="false">
      <c r="A2122" s="11" t="str">
        <f aca="false">IF(C2122="","",ROW()-4)</f>
        <v/>
      </c>
      <c r="B2122" s="12"/>
      <c r="C2122" s="13"/>
      <c r="D2122" s="23" t="str">
        <f aca="false">IF(C2122="","",IFERROR(INDEX(LOTES!$D$5:$D$1004,MATCH(C2122,LOTES!$F$5:$F$1004,0)),"¿Lote?"))</f>
        <v/>
      </c>
      <c r="E2122" s="11" t="str">
        <f aca="false">IF(C2122="","",IFERROR(INDEX(LOTES!$C$5:$C$1004,MATCH(C2122,LOTES!$F$5:$F$1004,0)),""))</f>
        <v/>
      </c>
      <c r="F2122" s="24" t="str">
        <f aca="false">IF(C2122="","",IFERROR(INDEX(LOTES!$B$5:$B$1004,MATCH(C2122,LOTES!$F$5:$F$1004,0)),""))</f>
        <v/>
      </c>
      <c r="G2122" s="15" t="str">
        <f aca="false">IF(OR(B2122="",F2122=""),"",B2122-F2122)</f>
        <v/>
      </c>
      <c r="H2122" s="13"/>
      <c r="I2122" s="13"/>
      <c r="J2122" s="13"/>
      <c r="K2122" s="25"/>
      <c r="L2122" s="25"/>
      <c r="M2122" s="25"/>
      <c r="N2122" s="25"/>
      <c r="O2122" s="26"/>
      <c r="P2122" s="16" t="str">
        <f aca="false">IF(O2122="","",IFERROR(1/(1/(IF(K2122="",INDEX(CONFIG!$F$5:$F$14,MATCH(D2122,CONFIG!$D$5:$D$14,0)),K2122)*IF(M2122="",INDEX(CONFIG!$H$5:$H$14,MATCH(D2122,CONFIG!$D$5:$D$14,0)),M2122))),""))</f>
        <v/>
      </c>
      <c r="Q2122" s="16" t="str">
        <f aca="false">IF(OR(O2122="",P2122=""),"",O2122/P2122)</f>
        <v/>
      </c>
      <c r="R2122" s="16" t="str">
        <f aca="false">IF(Q2122="","",Q2122*0.0980665)</f>
        <v/>
      </c>
      <c r="S2122" s="16" t="str">
        <f aca="false">IF(Q2122="","",IFERROR(Q2122/(1/(1/INDEX(CONFIG!$I$5:$I$14,MATCH(D2122,CONFIG!$D$5:$D$14,0)))),""))</f>
        <v/>
      </c>
      <c r="T2122" s="13"/>
      <c r="U2122" s="13"/>
      <c r="V2122" s="13"/>
      <c r="W2122" s="13"/>
      <c r="X2122" s="22" t="str">
        <f aca="false">IF(Q2122="","",Q2122^2)</f>
        <v/>
      </c>
      <c r="Y2122" s="22" t="str">
        <f aca="false">IF(AND(C2122&lt;&gt;"",C2122=CERTIFICADO!$E$4,OR(CERTIFICADO!$E$5="",B2122=CERTIFICADO!$E$5)),MAX($Y$4:Y2121)+1,"")</f>
        <v/>
      </c>
    </row>
    <row r="2123" customFormat="false" ht="15" hidden="false" customHeight="false" outlineLevel="0" collapsed="false">
      <c r="A2123" s="11" t="str">
        <f aca="false">IF(C2123="","",ROW()-4)</f>
        <v/>
      </c>
      <c r="B2123" s="12"/>
      <c r="C2123" s="13"/>
      <c r="D2123" s="23" t="str">
        <f aca="false">IF(C2123="","",IFERROR(INDEX(LOTES!$D$5:$D$1004,MATCH(C2123,LOTES!$F$5:$F$1004,0)),"¿Lote?"))</f>
        <v/>
      </c>
      <c r="E2123" s="11" t="str">
        <f aca="false">IF(C2123="","",IFERROR(INDEX(LOTES!$C$5:$C$1004,MATCH(C2123,LOTES!$F$5:$F$1004,0)),""))</f>
        <v/>
      </c>
      <c r="F2123" s="24" t="str">
        <f aca="false">IF(C2123="","",IFERROR(INDEX(LOTES!$B$5:$B$1004,MATCH(C2123,LOTES!$F$5:$F$1004,0)),""))</f>
        <v/>
      </c>
      <c r="G2123" s="15" t="str">
        <f aca="false">IF(OR(B2123="",F2123=""),"",B2123-F2123)</f>
        <v/>
      </c>
      <c r="H2123" s="13"/>
      <c r="I2123" s="13"/>
      <c r="J2123" s="13"/>
      <c r="K2123" s="25"/>
      <c r="L2123" s="25"/>
      <c r="M2123" s="25"/>
      <c r="N2123" s="25"/>
      <c r="O2123" s="26"/>
      <c r="P2123" s="16" t="str">
        <f aca="false">IF(O2123="","",IFERROR(1/(1/(IF(K2123="",INDEX(CONFIG!$F$5:$F$14,MATCH(D2123,CONFIG!$D$5:$D$14,0)),K2123)*IF(M2123="",INDEX(CONFIG!$H$5:$H$14,MATCH(D2123,CONFIG!$D$5:$D$14,0)),M2123))),""))</f>
        <v/>
      </c>
      <c r="Q2123" s="16" t="str">
        <f aca="false">IF(OR(O2123="",P2123=""),"",O2123/P2123)</f>
        <v/>
      </c>
      <c r="R2123" s="16" t="str">
        <f aca="false">IF(Q2123="","",Q2123*0.0980665)</f>
        <v/>
      </c>
      <c r="S2123" s="16" t="str">
        <f aca="false">IF(Q2123="","",IFERROR(Q2123/(1/(1/INDEX(CONFIG!$I$5:$I$14,MATCH(D2123,CONFIG!$D$5:$D$14,0)))),""))</f>
        <v/>
      </c>
      <c r="T2123" s="13"/>
      <c r="U2123" s="13"/>
      <c r="V2123" s="13"/>
      <c r="W2123" s="13"/>
      <c r="X2123" s="22" t="str">
        <f aca="false">IF(Q2123="","",Q2123^2)</f>
        <v/>
      </c>
      <c r="Y2123" s="22" t="str">
        <f aca="false">IF(AND(C2123&lt;&gt;"",C2123=CERTIFICADO!$E$4,OR(CERTIFICADO!$E$5="",B2123=CERTIFICADO!$E$5)),MAX($Y$4:Y2122)+1,"")</f>
        <v/>
      </c>
    </row>
    <row r="2124" customFormat="false" ht="15" hidden="false" customHeight="false" outlineLevel="0" collapsed="false">
      <c r="A2124" s="11" t="str">
        <f aca="false">IF(C2124="","",ROW()-4)</f>
        <v/>
      </c>
      <c r="B2124" s="12"/>
      <c r="C2124" s="13"/>
      <c r="D2124" s="23" t="str">
        <f aca="false">IF(C2124="","",IFERROR(INDEX(LOTES!$D$5:$D$1004,MATCH(C2124,LOTES!$F$5:$F$1004,0)),"¿Lote?"))</f>
        <v/>
      </c>
      <c r="E2124" s="11" t="str">
        <f aca="false">IF(C2124="","",IFERROR(INDEX(LOTES!$C$5:$C$1004,MATCH(C2124,LOTES!$F$5:$F$1004,0)),""))</f>
        <v/>
      </c>
      <c r="F2124" s="24" t="str">
        <f aca="false">IF(C2124="","",IFERROR(INDEX(LOTES!$B$5:$B$1004,MATCH(C2124,LOTES!$F$5:$F$1004,0)),""))</f>
        <v/>
      </c>
      <c r="G2124" s="15" t="str">
        <f aca="false">IF(OR(B2124="",F2124=""),"",B2124-F2124)</f>
        <v/>
      </c>
      <c r="H2124" s="13"/>
      <c r="I2124" s="13"/>
      <c r="J2124" s="13"/>
      <c r="K2124" s="25"/>
      <c r="L2124" s="25"/>
      <c r="M2124" s="25"/>
      <c r="N2124" s="25"/>
      <c r="O2124" s="26"/>
      <c r="P2124" s="16" t="str">
        <f aca="false">IF(O2124="","",IFERROR(1/(1/(IF(K2124="",INDEX(CONFIG!$F$5:$F$14,MATCH(D2124,CONFIG!$D$5:$D$14,0)),K2124)*IF(M2124="",INDEX(CONFIG!$H$5:$H$14,MATCH(D2124,CONFIG!$D$5:$D$14,0)),M2124))),""))</f>
        <v/>
      </c>
      <c r="Q2124" s="16" t="str">
        <f aca="false">IF(OR(O2124="",P2124=""),"",O2124/P2124)</f>
        <v/>
      </c>
      <c r="R2124" s="16" t="str">
        <f aca="false">IF(Q2124="","",Q2124*0.0980665)</f>
        <v/>
      </c>
      <c r="S2124" s="16" t="str">
        <f aca="false">IF(Q2124="","",IFERROR(Q2124/(1/(1/INDEX(CONFIG!$I$5:$I$14,MATCH(D2124,CONFIG!$D$5:$D$14,0)))),""))</f>
        <v/>
      </c>
      <c r="T2124" s="13"/>
      <c r="U2124" s="13"/>
      <c r="V2124" s="13"/>
      <c r="W2124" s="13"/>
      <c r="X2124" s="22" t="str">
        <f aca="false">IF(Q2124="","",Q2124^2)</f>
        <v/>
      </c>
      <c r="Y2124" s="22" t="str">
        <f aca="false">IF(AND(C2124&lt;&gt;"",C2124=CERTIFICADO!$E$4,OR(CERTIFICADO!$E$5="",B2124=CERTIFICADO!$E$5)),MAX($Y$4:Y2123)+1,"")</f>
        <v/>
      </c>
    </row>
    <row r="2125" customFormat="false" ht="15" hidden="false" customHeight="false" outlineLevel="0" collapsed="false">
      <c r="A2125" s="11" t="str">
        <f aca="false">IF(C2125="","",ROW()-4)</f>
        <v/>
      </c>
      <c r="B2125" s="12"/>
      <c r="C2125" s="13"/>
      <c r="D2125" s="23" t="str">
        <f aca="false">IF(C2125="","",IFERROR(INDEX(LOTES!$D$5:$D$1004,MATCH(C2125,LOTES!$F$5:$F$1004,0)),"¿Lote?"))</f>
        <v/>
      </c>
      <c r="E2125" s="11" t="str">
        <f aca="false">IF(C2125="","",IFERROR(INDEX(LOTES!$C$5:$C$1004,MATCH(C2125,LOTES!$F$5:$F$1004,0)),""))</f>
        <v/>
      </c>
      <c r="F2125" s="24" t="str">
        <f aca="false">IF(C2125="","",IFERROR(INDEX(LOTES!$B$5:$B$1004,MATCH(C2125,LOTES!$F$5:$F$1004,0)),""))</f>
        <v/>
      </c>
      <c r="G2125" s="15" t="str">
        <f aca="false">IF(OR(B2125="",F2125=""),"",B2125-F2125)</f>
        <v/>
      </c>
      <c r="H2125" s="13"/>
      <c r="I2125" s="13"/>
      <c r="J2125" s="13"/>
      <c r="K2125" s="25"/>
      <c r="L2125" s="25"/>
      <c r="M2125" s="25"/>
      <c r="N2125" s="25"/>
      <c r="O2125" s="26"/>
      <c r="P2125" s="16" t="str">
        <f aca="false">IF(O2125="","",IFERROR(1/(1/(IF(K2125="",INDEX(CONFIG!$F$5:$F$14,MATCH(D2125,CONFIG!$D$5:$D$14,0)),K2125)*IF(M2125="",INDEX(CONFIG!$H$5:$H$14,MATCH(D2125,CONFIG!$D$5:$D$14,0)),M2125))),""))</f>
        <v/>
      </c>
      <c r="Q2125" s="16" t="str">
        <f aca="false">IF(OR(O2125="",P2125=""),"",O2125/P2125)</f>
        <v/>
      </c>
      <c r="R2125" s="16" t="str">
        <f aca="false">IF(Q2125="","",Q2125*0.0980665)</f>
        <v/>
      </c>
      <c r="S2125" s="16" t="str">
        <f aca="false">IF(Q2125="","",IFERROR(Q2125/(1/(1/INDEX(CONFIG!$I$5:$I$14,MATCH(D2125,CONFIG!$D$5:$D$14,0)))),""))</f>
        <v/>
      </c>
      <c r="T2125" s="13"/>
      <c r="U2125" s="13"/>
      <c r="V2125" s="13"/>
      <c r="W2125" s="13"/>
      <c r="X2125" s="22" t="str">
        <f aca="false">IF(Q2125="","",Q2125^2)</f>
        <v/>
      </c>
      <c r="Y2125" s="22" t="str">
        <f aca="false">IF(AND(C2125&lt;&gt;"",C2125=CERTIFICADO!$E$4,OR(CERTIFICADO!$E$5="",B2125=CERTIFICADO!$E$5)),MAX($Y$4:Y2124)+1,"")</f>
        <v/>
      </c>
    </row>
    <row r="2126" customFormat="false" ht="15" hidden="false" customHeight="false" outlineLevel="0" collapsed="false">
      <c r="A2126" s="11" t="str">
        <f aca="false">IF(C2126="","",ROW()-4)</f>
        <v/>
      </c>
      <c r="B2126" s="12"/>
      <c r="C2126" s="13"/>
      <c r="D2126" s="23" t="str">
        <f aca="false">IF(C2126="","",IFERROR(INDEX(LOTES!$D$5:$D$1004,MATCH(C2126,LOTES!$F$5:$F$1004,0)),"¿Lote?"))</f>
        <v/>
      </c>
      <c r="E2126" s="11" t="str">
        <f aca="false">IF(C2126="","",IFERROR(INDEX(LOTES!$C$5:$C$1004,MATCH(C2126,LOTES!$F$5:$F$1004,0)),""))</f>
        <v/>
      </c>
      <c r="F2126" s="24" t="str">
        <f aca="false">IF(C2126="","",IFERROR(INDEX(LOTES!$B$5:$B$1004,MATCH(C2126,LOTES!$F$5:$F$1004,0)),""))</f>
        <v/>
      </c>
      <c r="G2126" s="15" t="str">
        <f aca="false">IF(OR(B2126="",F2126=""),"",B2126-F2126)</f>
        <v/>
      </c>
      <c r="H2126" s="13"/>
      <c r="I2126" s="13"/>
      <c r="J2126" s="13"/>
      <c r="K2126" s="25"/>
      <c r="L2126" s="25"/>
      <c r="M2126" s="25"/>
      <c r="N2126" s="25"/>
      <c r="O2126" s="26"/>
      <c r="P2126" s="16" t="str">
        <f aca="false">IF(O2126="","",IFERROR(1/(1/(IF(K2126="",INDEX(CONFIG!$F$5:$F$14,MATCH(D2126,CONFIG!$D$5:$D$14,0)),K2126)*IF(M2126="",INDEX(CONFIG!$H$5:$H$14,MATCH(D2126,CONFIG!$D$5:$D$14,0)),M2126))),""))</f>
        <v/>
      </c>
      <c r="Q2126" s="16" t="str">
        <f aca="false">IF(OR(O2126="",P2126=""),"",O2126/P2126)</f>
        <v/>
      </c>
      <c r="R2126" s="16" t="str">
        <f aca="false">IF(Q2126="","",Q2126*0.0980665)</f>
        <v/>
      </c>
      <c r="S2126" s="16" t="str">
        <f aca="false">IF(Q2126="","",IFERROR(Q2126/(1/(1/INDEX(CONFIG!$I$5:$I$14,MATCH(D2126,CONFIG!$D$5:$D$14,0)))),""))</f>
        <v/>
      </c>
      <c r="T2126" s="13"/>
      <c r="U2126" s="13"/>
      <c r="V2126" s="13"/>
      <c r="W2126" s="13"/>
      <c r="X2126" s="22" t="str">
        <f aca="false">IF(Q2126="","",Q2126^2)</f>
        <v/>
      </c>
      <c r="Y2126" s="22" t="str">
        <f aca="false">IF(AND(C2126&lt;&gt;"",C2126=CERTIFICADO!$E$4,OR(CERTIFICADO!$E$5="",B2126=CERTIFICADO!$E$5)),MAX($Y$4:Y2125)+1,"")</f>
        <v/>
      </c>
    </row>
    <row r="2127" customFormat="false" ht="15" hidden="false" customHeight="false" outlineLevel="0" collapsed="false">
      <c r="A2127" s="11" t="str">
        <f aca="false">IF(C2127="","",ROW()-4)</f>
        <v/>
      </c>
      <c r="B2127" s="12"/>
      <c r="C2127" s="13"/>
      <c r="D2127" s="23" t="str">
        <f aca="false">IF(C2127="","",IFERROR(INDEX(LOTES!$D$5:$D$1004,MATCH(C2127,LOTES!$F$5:$F$1004,0)),"¿Lote?"))</f>
        <v/>
      </c>
      <c r="E2127" s="11" t="str">
        <f aca="false">IF(C2127="","",IFERROR(INDEX(LOTES!$C$5:$C$1004,MATCH(C2127,LOTES!$F$5:$F$1004,0)),""))</f>
        <v/>
      </c>
      <c r="F2127" s="24" t="str">
        <f aca="false">IF(C2127="","",IFERROR(INDEX(LOTES!$B$5:$B$1004,MATCH(C2127,LOTES!$F$5:$F$1004,0)),""))</f>
        <v/>
      </c>
      <c r="G2127" s="15" t="str">
        <f aca="false">IF(OR(B2127="",F2127=""),"",B2127-F2127)</f>
        <v/>
      </c>
      <c r="H2127" s="13"/>
      <c r="I2127" s="13"/>
      <c r="J2127" s="13"/>
      <c r="K2127" s="25"/>
      <c r="L2127" s="25"/>
      <c r="M2127" s="25"/>
      <c r="N2127" s="25"/>
      <c r="O2127" s="26"/>
      <c r="P2127" s="16" t="str">
        <f aca="false">IF(O2127="","",IFERROR(1/(1/(IF(K2127="",INDEX(CONFIG!$F$5:$F$14,MATCH(D2127,CONFIG!$D$5:$D$14,0)),K2127)*IF(M2127="",INDEX(CONFIG!$H$5:$H$14,MATCH(D2127,CONFIG!$D$5:$D$14,0)),M2127))),""))</f>
        <v/>
      </c>
      <c r="Q2127" s="16" t="str">
        <f aca="false">IF(OR(O2127="",P2127=""),"",O2127/P2127)</f>
        <v/>
      </c>
      <c r="R2127" s="16" t="str">
        <f aca="false">IF(Q2127="","",Q2127*0.0980665)</f>
        <v/>
      </c>
      <c r="S2127" s="16" t="str">
        <f aca="false">IF(Q2127="","",IFERROR(Q2127/(1/(1/INDEX(CONFIG!$I$5:$I$14,MATCH(D2127,CONFIG!$D$5:$D$14,0)))),""))</f>
        <v/>
      </c>
      <c r="T2127" s="13"/>
      <c r="U2127" s="13"/>
      <c r="V2127" s="13"/>
      <c r="W2127" s="13"/>
      <c r="X2127" s="22" t="str">
        <f aca="false">IF(Q2127="","",Q2127^2)</f>
        <v/>
      </c>
      <c r="Y2127" s="22" t="str">
        <f aca="false">IF(AND(C2127&lt;&gt;"",C2127=CERTIFICADO!$E$4,OR(CERTIFICADO!$E$5="",B2127=CERTIFICADO!$E$5)),MAX($Y$4:Y2126)+1,"")</f>
        <v/>
      </c>
    </row>
    <row r="2128" customFormat="false" ht="15" hidden="false" customHeight="false" outlineLevel="0" collapsed="false">
      <c r="A2128" s="11" t="str">
        <f aca="false">IF(C2128="","",ROW()-4)</f>
        <v/>
      </c>
      <c r="B2128" s="12"/>
      <c r="C2128" s="13"/>
      <c r="D2128" s="23" t="str">
        <f aca="false">IF(C2128="","",IFERROR(INDEX(LOTES!$D$5:$D$1004,MATCH(C2128,LOTES!$F$5:$F$1004,0)),"¿Lote?"))</f>
        <v/>
      </c>
      <c r="E2128" s="11" t="str">
        <f aca="false">IF(C2128="","",IFERROR(INDEX(LOTES!$C$5:$C$1004,MATCH(C2128,LOTES!$F$5:$F$1004,0)),""))</f>
        <v/>
      </c>
      <c r="F2128" s="24" t="str">
        <f aca="false">IF(C2128="","",IFERROR(INDEX(LOTES!$B$5:$B$1004,MATCH(C2128,LOTES!$F$5:$F$1004,0)),""))</f>
        <v/>
      </c>
      <c r="G2128" s="15" t="str">
        <f aca="false">IF(OR(B2128="",F2128=""),"",B2128-F2128)</f>
        <v/>
      </c>
      <c r="H2128" s="13"/>
      <c r="I2128" s="13"/>
      <c r="J2128" s="13"/>
      <c r="K2128" s="25"/>
      <c r="L2128" s="25"/>
      <c r="M2128" s="25"/>
      <c r="N2128" s="25"/>
      <c r="O2128" s="26"/>
      <c r="P2128" s="16" t="str">
        <f aca="false">IF(O2128="","",IFERROR(1/(1/(IF(K2128="",INDEX(CONFIG!$F$5:$F$14,MATCH(D2128,CONFIG!$D$5:$D$14,0)),K2128)*IF(M2128="",INDEX(CONFIG!$H$5:$H$14,MATCH(D2128,CONFIG!$D$5:$D$14,0)),M2128))),""))</f>
        <v/>
      </c>
      <c r="Q2128" s="16" t="str">
        <f aca="false">IF(OR(O2128="",P2128=""),"",O2128/P2128)</f>
        <v/>
      </c>
      <c r="R2128" s="16" t="str">
        <f aca="false">IF(Q2128="","",Q2128*0.0980665)</f>
        <v/>
      </c>
      <c r="S2128" s="16" t="str">
        <f aca="false">IF(Q2128="","",IFERROR(Q2128/(1/(1/INDEX(CONFIG!$I$5:$I$14,MATCH(D2128,CONFIG!$D$5:$D$14,0)))),""))</f>
        <v/>
      </c>
      <c r="T2128" s="13"/>
      <c r="U2128" s="13"/>
      <c r="V2128" s="13"/>
      <c r="W2128" s="13"/>
      <c r="X2128" s="22" t="str">
        <f aca="false">IF(Q2128="","",Q2128^2)</f>
        <v/>
      </c>
      <c r="Y2128" s="22" t="str">
        <f aca="false">IF(AND(C2128&lt;&gt;"",C2128=CERTIFICADO!$E$4,OR(CERTIFICADO!$E$5="",B2128=CERTIFICADO!$E$5)),MAX($Y$4:Y2127)+1,"")</f>
        <v/>
      </c>
    </row>
    <row r="2129" customFormat="false" ht="15" hidden="false" customHeight="false" outlineLevel="0" collapsed="false">
      <c r="A2129" s="11" t="str">
        <f aca="false">IF(C2129="","",ROW()-4)</f>
        <v/>
      </c>
      <c r="B2129" s="12"/>
      <c r="C2129" s="13"/>
      <c r="D2129" s="23" t="str">
        <f aca="false">IF(C2129="","",IFERROR(INDEX(LOTES!$D$5:$D$1004,MATCH(C2129,LOTES!$F$5:$F$1004,0)),"¿Lote?"))</f>
        <v/>
      </c>
      <c r="E2129" s="11" t="str">
        <f aca="false">IF(C2129="","",IFERROR(INDEX(LOTES!$C$5:$C$1004,MATCH(C2129,LOTES!$F$5:$F$1004,0)),""))</f>
        <v/>
      </c>
      <c r="F2129" s="24" t="str">
        <f aca="false">IF(C2129="","",IFERROR(INDEX(LOTES!$B$5:$B$1004,MATCH(C2129,LOTES!$F$5:$F$1004,0)),""))</f>
        <v/>
      </c>
      <c r="G2129" s="15" t="str">
        <f aca="false">IF(OR(B2129="",F2129=""),"",B2129-F2129)</f>
        <v/>
      </c>
      <c r="H2129" s="13"/>
      <c r="I2129" s="13"/>
      <c r="J2129" s="13"/>
      <c r="K2129" s="25"/>
      <c r="L2129" s="25"/>
      <c r="M2129" s="25"/>
      <c r="N2129" s="25"/>
      <c r="O2129" s="26"/>
      <c r="P2129" s="16" t="str">
        <f aca="false">IF(O2129="","",IFERROR(1/(1/(IF(K2129="",INDEX(CONFIG!$F$5:$F$14,MATCH(D2129,CONFIG!$D$5:$D$14,0)),K2129)*IF(M2129="",INDEX(CONFIG!$H$5:$H$14,MATCH(D2129,CONFIG!$D$5:$D$14,0)),M2129))),""))</f>
        <v/>
      </c>
      <c r="Q2129" s="16" t="str">
        <f aca="false">IF(OR(O2129="",P2129=""),"",O2129/P2129)</f>
        <v/>
      </c>
      <c r="R2129" s="16" t="str">
        <f aca="false">IF(Q2129="","",Q2129*0.0980665)</f>
        <v/>
      </c>
      <c r="S2129" s="16" t="str">
        <f aca="false">IF(Q2129="","",IFERROR(Q2129/(1/(1/INDEX(CONFIG!$I$5:$I$14,MATCH(D2129,CONFIG!$D$5:$D$14,0)))),""))</f>
        <v/>
      </c>
      <c r="T2129" s="13"/>
      <c r="U2129" s="13"/>
      <c r="V2129" s="13"/>
      <c r="W2129" s="13"/>
      <c r="X2129" s="22" t="str">
        <f aca="false">IF(Q2129="","",Q2129^2)</f>
        <v/>
      </c>
      <c r="Y2129" s="22" t="str">
        <f aca="false">IF(AND(C2129&lt;&gt;"",C2129=CERTIFICADO!$E$4,OR(CERTIFICADO!$E$5="",B2129=CERTIFICADO!$E$5)),MAX($Y$4:Y2128)+1,"")</f>
        <v/>
      </c>
    </row>
    <row r="2130" customFormat="false" ht="15" hidden="false" customHeight="false" outlineLevel="0" collapsed="false">
      <c r="A2130" s="11" t="str">
        <f aca="false">IF(C2130="","",ROW()-4)</f>
        <v/>
      </c>
      <c r="B2130" s="12"/>
      <c r="C2130" s="13"/>
      <c r="D2130" s="23" t="str">
        <f aca="false">IF(C2130="","",IFERROR(INDEX(LOTES!$D$5:$D$1004,MATCH(C2130,LOTES!$F$5:$F$1004,0)),"¿Lote?"))</f>
        <v/>
      </c>
      <c r="E2130" s="11" t="str">
        <f aca="false">IF(C2130="","",IFERROR(INDEX(LOTES!$C$5:$C$1004,MATCH(C2130,LOTES!$F$5:$F$1004,0)),""))</f>
        <v/>
      </c>
      <c r="F2130" s="24" t="str">
        <f aca="false">IF(C2130="","",IFERROR(INDEX(LOTES!$B$5:$B$1004,MATCH(C2130,LOTES!$F$5:$F$1004,0)),""))</f>
        <v/>
      </c>
      <c r="G2130" s="15" t="str">
        <f aca="false">IF(OR(B2130="",F2130=""),"",B2130-F2130)</f>
        <v/>
      </c>
      <c r="H2130" s="13"/>
      <c r="I2130" s="13"/>
      <c r="J2130" s="13"/>
      <c r="K2130" s="25"/>
      <c r="L2130" s="25"/>
      <c r="M2130" s="25"/>
      <c r="N2130" s="25"/>
      <c r="O2130" s="26"/>
      <c r="P2130" s="16" t="str">
        <f aca="false">IF(O2130="","",IFERROR(1/(1/(IF(K2130="",INDEX(CONFIG!$F$5:$F$14,MATCH(D2130,CONFIG!$D$5:$D$14,0)),K2130)*IF(M2130="",INDEX(CONFIG!$H$5:$H$14,MATCH(D2130,CONFIG!$D$5:$D$14,0)),M2130))),""))</f>
        <v/>
      </c>
      <c r="Q2130" s="16" t="str">
        <f aca="false">IF(OR(O2130="",P2130=""),"",O2130/P2130)</f>
        <v/>
      </c>
      <c r="R2130" s="16" t="str">
        <f aca="false">IF(Q2130="","",Q2130*0.0980665)</f>
        <v/>
      </c>
      <c r="S2130" s="16" t="str">
        <f aca="false">IF(Q2130="","",IFERROR(Q2130/(1/(1/INDEX(CONFIG!$I$5:$I$14,MATCH(D2130,CONFIG!$D$5:$D$14,0)))),""))</f>
        <v/>
      </c>
      <c r="T2130" s="13"/>
      <c r="U2130" s="13"/>
      <c r="V2130" s="13"/>
      <c r="W2130" s="13"/>
      <c r="X2130" s="22" t="str">
        <f aca="false">IF(Q2130="","",Q2130^2)</f>
        <v/>
      </c>
      <c r="Y2130" s="22" t="str">
        <f aca="false">IF(AND(C2130&lt;&gt;"",C2130=CERTIFICADO!$E$4,OR(CERTIFICADO!$E$5="",B2130=CERTIFICADO!$E$5)),MAX($Y$4:Y2129)+1,"")</f>
        <v/>
      </c>
    </row>
    <row r="2131" customFormat="false" ht="15" hidden="false" customHeight="false" outlineLevel="0" collapsed="false">
      <c r="A2131" s="11" t="str">
        <f aca="false">IF(C2131="","",ROW()-4)</f>
        <v/>
      </c>
      <c r="B2131" s="12"/>
      <c r="C2131" s="13"/>
      <c r="D2131" s="23" t="str">
        <f aca="false">IF(C2131="","",IFERROR(INDEX(LOTES!$D$5:$D$1004,MATCH(C2131,LOTES!$F$5:$F$1004,0)),"¿Lote?"))</f>
        <v/>
      </c>
      <c r="E2131" s="11" t="str">
        <f aca="false">IF(C2131="","",IFERROR(INDEX(LOTES!$C$5:$C$1004,MATCH(C2131,LOTES!$F$5:$F$1004,0)),""))</f>
        <v/>
      </c>
      <c r="F2131" s="24" t="str">
        <f aca="false">IF(C2131="","",IFERROR(INDEX(LOTES!$B$5:$B$1004,MATCH(C2131,LOTES!$F$5:$F$1004,0)),""))</f>
        <v/>
      </c>
      <c r="G2131" s="15" t="str">
        <f aca="false">IF(OR(B2131="",F2131=""),"",B2131-F2131)</f>
        <v/>
      </c>
      <c r="H2131" s="13"/>
      <c r="I2131" s="13"/>
      <c r="J2131" s="13"/>
      <c r="K2131" s="25"/>
      <c r="L2131" s="25"/>
      <c r="M2131" s="25"/>
      <c r="N2131" s="25"/>
      <c r="O2131" s="26"/>
      <c r="P2131" s="16" t="str">
        <f aca="false">IF(O2131="","",IFERROR(1/(1/(IF(K2131="",INDEX(CONFIG!$F$5:$F$14,MATCH(D2131,CONFIG!$D$5:$D$14,0)),K2131)*IF(M2131="",INDEX(CONFIG!$H$5:$H$14,MATCH(D2131,CONFIG!$D$5:$D$14,0)),M2131))),""))</f>
        <v/>
      </c>
      <c r="Q2131" s="16" t="str">
        <f aca="false">IF(OR(O2131="",P2131=""),"",O2131/P2131)</f>
        <v/>
      </c>
      <c r="R2131" s="16" t="str">
        <f aca="false">IF(Q2131="","",Q2131*0.0980665)</f>
        <v/>
      </c>
      <c r="S2131" s="16" t="str">
        <f aca="false">IF(Q2131="","",IFERROR(Q2131/(1/(1/INDEX(CONFIG!$I$5:$I$14,MATCH(D2131,CONFIG!$D$5:$D$14,0)))),""))</f>
        <v/>
      </c>
      <c r="T2131" s="13"/>
      <c r="U2131" s="13"/>
      <c r="V2131" s="13"/>
      <c r="W2131" s="13"/>
      <c r="X2131" s="22" t="str">
        <f aca="false">IF(Q2131="","",Q2131^2)</f>
        <v/>
      </c>
      <c r="Y2131" s="22" t="str">
        <f aca="false">IF(AND(C2131&lt;&gt;"",C2131=CERTIFICADO!$E$4,OR(CERTIFICADO!$E$5="",B2131=CERTIFICADO!$E$5)),MAX($Y$4:Y2130)+1,"")</f>
        <v/>
      </c>
    </row>
    <row r="2132" customFormat="false" ht="15" hidden="false" customHeight="false" outlineLevel="0" collapsed="false">
      <c r="A2132" s="11" t="str">
        <f aca="false">IF(C2132="","",ROW()-4)</f>
        <v/>
      </c>
      <c r="B2132" s="12"/>
      <c r="C2132" s="13"/>
      <c r="D2132" s="23" t="str">
        <f aca="false">IF(C2132="","",IFERROR(INDEX(LOTES!$D$5:$D$1004,MATCH(C2132,LOTES!$F$5:$F$1004,0)),"¿Lote?"))</f>
        <v/>
      </c>
      <c r="E2132" s="11" t="str">
        <f aca="false">IF(C2132="","",IFERROR(INDEX(LOTES!$C$5:$C$1004,MATCH(C2132,LOTES!$F$5:$F$1004,0)),""))</f>
        <v/>
      </c>
      <c r="F2132" s="24" t="str">
        <f aca="false">IF(C2132="","",IFERROR(INDEX(LOTES!$B$5:$B$1004,MATCH(C2132,LOTES!$F$5:$F$1004,0)),""))</f>
        <v/>
      </c>
      <c r="G2132" s="15" t="str">
        <f aca="false">IF(OR(B2132="",F2132=""),"",B2132-F2132)</f>
        <v/>
      </c>
      <c r="H2132" s="13"/>
      <c r="I2132" s="13"/>
      <c r="J2132" s="13"/>
      <c r="K2132" s="25"/>
      <c r="L2132" s="25"/>
      <c r="M2132" s="25"/>
      <c r="N2132" s="25"/>
      <c r="O2132" s="26"/>
      <c r="P2132" s="16" t="str">
        <f aca="false">IF(O2132="","",IFERROR(1/(1/(IF(K2132="",INDEX(CONFIG!$F$5:$F$14,MATCH(D2132,CONFIG!$D$5:$D$14,0)),K2132)*IF(M2132="",INDEX(CONFIG!$H$5:$H$14,MATCH(D2132,CONFIG!$D$5:$D$14,0)),M2132))),""))</f>
        <v/>
      </c>
      <c r="Q2132" s="16" t="str">
        <f aca="false">IF(OR(O2132="",P2132=""),"",O2132/P2132)</f>
        <v/>
      </c>
      <c r="R2132" s="16" t="str">
        <f aca="false">IF(Q2132="","",Q2132*0.0980665)</f>
        <v/>
      </c>
      <c r="S2132" s="16" t="str">
        <f aca="false">IF(Q2132="","",IFERROR(Q2132/(1/(1/INDEX(CONFIG!$I$5:$I$14,MATCH(D2132,CONFIG!$D$5:$D$14,0)))),""))</f>
        <v/>
      </c>
      <c r="T2132" s="13"/>
      <c r="U2132" s="13"/>
      <c r="V2132" s="13"/>
      <c r="W2132" s="13"/>
      <c r="X2132" s="22" t="str">
        <f aca="false">IF(Q2132="","",Q2132^2)</f>
        <v/>
      </c>
      <c r="Y2132" s="22" t="str">
        <f aca="false">IF(AND(C2132&lt;&gt;"",C2132=CERTIFICADO!$E$4,OR(CERTIFICADO!$E$5="",B2132=CERTIFICADO!$E$5)),MAX($Y$4:Y2131)+1,"")</f>
        <v/>
      </c>
    </row>
    <row r="2133" customFormat="false" ht="15" hidden="false" customHeight="false" outlineLevel="0" collapsed="false">
      <c r="A2133" s="11" t="str">
        <f aca="false">IF(C2133="","",ROW()-4)</f>
        <v/>
      </c>
      <c r="B2133" s="12"/>
      <c r="C2133" s="13"/>
      <c r="D2133" s="23" t="str">
        <f aca="false">IF(C2133="","",IFERROR(INDEX(LOTES!$D$5:$D$1004,MATCH(C2133,LOTES!$F$5:$F$1004,0)),"¿Lote?"))</f>
        <v/>
      </c>
      <c r="E2133" s="11" t="str">
        <f aca="false">IF(C2133="","",IFERROR(INDEX(LOTES!$C$5:$C$1004,MATCH(C2133,LOTES!$F$5:$F$1004,0)),""))</f>
        <v/>
      </c>
      <c r="F2133" s="24" t="str">
        <f aca="false">IF(C2133="","",IFERROR(INDEX(LOTES!$B$5:$B$1004,MATCH(C2133,LOTES!$F$5:$F$1004,0)),""))</f>
        <v/>
      </c>
      <c r="G2133" s="15" t="str">
        <f aca="false">IF(OR(B2133="",F2133=""),"",B2133-F2133)</f>
        <v/>
      </c>
      <c r="H2133" s="13"/>
      <c r="I2133" s="13"/>
      <c r="J2133" s="13"/>
      <c r="K2133" s="25"/>
      <c r="L2133" s="25"/>
      <c r="M2133" s="25"/>
      <c r="N2133" s="25"/>
      <c r="O2133" s="26"/>
      <c r="P2133" s="16" t="str">
        <f aca="false">IF(O2133="","",IFERROR(1/(1/(IF(K2133="",INDEX(CONFIG!$F$5:$F$14,MATCH(D2133,CONFIG!$D$5:$D$14,0)),K2133)*IF(M2133="",INDEX(CONFIG!$H$5:$H$14,MATCH(D2133,CONFIG!$D$5:$D$14,0)),M2133))),""))</f>
        <v/>
      </c>
      <c r="Q2133" s="16" t="str">
        <f aca="false">IF(OR(O2133="",P2133=""),"",O2133/P2133)</f>
        <v/>
      </c>
      <c r="R2133" s="16" t="str">
        <f aca="false">IF(Q2133="","",Q2133*0.0980665)</f>
        <v/>
      </c>
      <c r="S2133" s="16" t="str">
        <f aca="false">IF(Q2133="","",IFERROR(Q2133/(1/(1/INDEX(CONFIG!$I$5:$I$14,MATCH(D2133,CONFIG!$D$5:$D$14,0)))),""))</f>
        <v/>
      </c>
      <c r="T2133" s="13"/>
      <c r="U2133" s="13"/>
      <c r="V2133" s="13"/>
      <c r="W2133" s="13"/>
      <c r="X2133" s="22" t="str">
        <f aca="false">IF(Q2133="","",Q2133^2)</f>
        <v/>
      </c>
      <c r="Y2133" s="22" t="str">
        <f aca="false">IF(AND(C2133&lt;&gt;"",C2133=CERTIFICADO!$E$4,OR(CERTIFICADO!$E$5="",B2133=CERTIFICADO!$E$5)),MAX($Y$4:Y2132)+1,"")</f>
        <v/>
      </c>
    </row>
    <row r="2134" customFormat="false" ht="15" hidden="false" customHeight="false" outlineLevel="0" collapsed="false">
      <c r="A2134" s="11" t="str">
        <f aca="false">IF(C2134="","",ROW()-4)</f>
        <v/>
      </c>
      <c r="B2134" s="12"/>
      <c r="C2134" s="13"/>
      <c r="D2134" s="23" t="str">
        <f aca="false">IF(C2134="","",IFERROR(INDEX(LOTES!$D$5:$D$1004,MATCH(C2134,LOTES!$F$5:$F$1004,0)),"¿Lote?"))</f>
        <v/>
      </c>
      <c r="E2134" s="11" t="str">
        <f aca="false">IF(C2134="","",IFERROR(INDEX(LOTES!$C$5:$C$1004,MATCH(C2134,LOTES!$F$5:$F$1004,0)),""))</f>
        <v/>
      </c>
      <c r="F2134" s="24" t="str">
        <f aca="false">IF(C2134="","",IFERROR(INDEX(LOTES!$B$5:$B$1004,MATCH(C2134,LOTES!$F$5:$F$1004,0)),""))</f>
        <v/>
      </c>
      <c r="G2134" s="15" t="str">
        <f aca="false">IF(OR(B2134="",F2134=""),"",B2134-F2134)</f>
        <v/>
      </c>
      <c r="H2134" s="13"/>
      <c r="I2134" s="13"/>
      <c r="J2134" s="13"/>
      <c r="K2134" s="25"/>
      <c r="L2134" s="25"/>
      <c r="M2134" s="25"/>
      <c r="N2134" s="25"/>
      <c r="O2134" s="26"/>
      <c r="P2134" s="16" t="str">
        <f aca="false">IF(O2134="","",IFERROR(1/(1/(IF(K2134="",INDEX(CONFIG!$F$5:$F$14,MATCH(D2134,CONFIG!$D$5:$D$14,0)),K2134)*IF(M2134="",INDEX(CONFIG!$H$5:$H$14,MATCH(D2134,CONFIG!$D$5:$D$14,0)),M2134))),""))</f>
        <v/>
      </c>
      <c r="Q2134" s="16" t="str">
        <f aca="false">IF(OR(O2134="",P2134=""),"",O2134/P2134)</f>
        <v/>
      </c>
      <c r="R2134" s="16" t="str">
        <f aca="false">IF(Q2134="","",Q2134*0.0980665)</f>
        <v/>
      </c>
      <c r="S2134" s="16" t="str">
        <f aca="false">IF(Q2134="","",IFERROR(Q2134/(1/(1/INDEX(CONFIG!$I$5:$I$14,MATCH(D2134,CONFIG!$D$5:$D$14,0)))),""))</f>
        <v/>
      </c>
      <c r="T2134" s="13"/>
      <c r="U2134" s="13"/>
      <c r="V2134" s="13"/>
      <c r="W2134" s="13"/>
      <c r="X2134" s="22" t="str">
        <f aca="false">IF(Q2134="","",Q2134^2)</f>
        <v/>
      </c>
      <c r="Y2134" s="22" t="str">
        <f aca="false">IF(AND(C2134&lt;&gt;"",C2134=CERTIFICADO!$E$4,OR(CERTIFICADO!$E$5="",B2134=CERTIFICADO!$E$5)),MAX($Y$4:Y2133)+1,"")</f>
        <v/>
      </c>
    </row>
    <row r="2135" customFormat="false" ht="15" hidden="false" customHeight="false" outlineLevel="0" collapsed="false">
      <c r="A2135" s="11" t="str">
        <f aca="false">IF(C2135="","",ROW()-4)</f>
        <v/>
      </c>
      <c r="B2135" s="12"/>
      <c r="C2135" s="13"/>
      <c r="D2135" s="23" t="str">
        <f aca="false">IF(C2135="","",IFERROR(INDEX(LOTES!$D$5:$D$1004,MATCH(C2135,LOTES!$F$5:$F$1004,0)),"¿Lote?"))</f>
        <v/>
      </c>
      <c r="E2135" s="11" t="str">
        <f aca="false">IF(C2135="","",IFERROR(INDEX(LOTES!$C$5:$C$1004,MATCH(C2135,LOTES!$F$5:$F$1004,0)),""))</f>
        <v/>
      </c>
      <c r="F2135" s="24" t="str">
        <f aca="false">IF(C2135="","",IFERROR(INDEX(LOTES!$B$5:$B$1004,MATCH(C2135,LOTES!$F$5:$F$1004,0)),""))</f>
        <v/>
      </c>
      <c r="G2135" s="15" t="str">
        <f aca="false">IF(OR(B2135="",F2135=""),"",B2135-F2135)</f>
        <v/>
      </c>
      <c r="H2135" s="13"/>
      <c r="I2135" s="13"/>
      <c r="J2135" s="13"/>
      <c r="K2135" s="25"/>
      <c r="L2135" s="25"/>
      <c r="M2135" s="25"/>
      <c r="N2135" s="25"/>
      <c r="O2135" s="26"/>
      <c r="P2135" s="16" t="str">
        <f aca="false">IF(O2135="","",IFERROR(1/(1/(IF(K2135="",INDEX(CONFIG!$F$5:$F$14,MATCH(D2135,CONFIG!$D$5:$D$14,0)),K2135)*IF(M2135="",INDEX(CONFIG!$H$5:$H$14,MATCH(D2135,CONFIG!$D$5:$D$14,0)),M2135))),""))</f>
        <v/>
      </c>
      <c r="Q2135" s="16" t="str">
        <f aca="false">IF(OR(O2135="",P2135=""),"",O2135/P2135)</f>
        <v/>
      </c>
      <c r="R2135" s="16" t="str">
        <f aca="false">IF(Q2135="","",Q2135*0.0980665)</f>
        <v/>
      </c>
      <c r="S2135" s="16" t="str">
        <f aca="false">IF(Q2135="","",IFERROR(Q2135/(1/(1/INDEX(CONFIG!$I$5:$I$14,MATCH(D2135,CONFIG!$D$5:$D$14,0)))),""))</f>
        <v/>
      </c>
      <c r="T2135" s="13"/>
      <c r="U2135" s="13"/>
      <c r="V2135" s="13"/>
      <c r="W2135" s="13"/>
      <c r="X2135" s="22" t="str">
        <f aca="false">IF(Q2135="","",Q2135^2)</f>
        <v/>
      </c>
      <c r="Y2135" s="22" t="str">
        <f aca="false">IF(AND(C2135&lt;&gt;"",C2135=CERTIFICADO!$E$4,OR(CERTIFICADO!$E$5="",B2135=CERTIFICADO!$E$5)),MAX($Y$4:Y2134)+1,"")</f>
        <v/>
      </c>
    </row>
    <row r="2136" customFormat="false" ht="15" hidden="false" customHeight="false" outlineLevel="0" collapsed="false">
      <c r="A2136" s="11" t="str">
        <f aca="false">IF(C2136="","",ROW()-4)</f>
        <v/>
      </c>
      <c r="B2136" s="12"/>
      <c r="C2136" s="13"/>
      <c r="D2136" s="23" t="str">
        <f aca="false">IF(C2136="","",IFERROR(INDEX(LOTES!$D$5:$D$1004,MATCH(C2136,LOTES!$F$5:$F$1004,0)),"¿Lote?"))</f>
        <v/>
      </c>
      <c r="E2136" s="11" t="str">
        <f aca="false">IF(C2136="","",IFERROR(INDEX(LOTES!$C$5:$C$1004,MATCH(C2136,LOTES!$F$5:$F$1004,0)),""))</f>
        <v/>
      </c>
      <c r="F2136" s="24" t="str">
        <f aca="false">IF(C2136="","",IFERROR(INDEX(LOTES!$B$5:$B$1004,MATCH(C2136,LOTES!$F$5:$F$1004,0)),""))</f>
        <v/>
      </c>
      <c r="G2136" s="15" t="str">
        <f aca="false">IF(OR(B2136="",F2136=""),"",B2136-F2136)</f>
        <v/>
      </c>
      <c r="H2136" s="13"/>
      <c r="I2136" s="13"/>
      <c r="J2136" s="13"/>
      <c r="K2136" s="25"/>
      <c r="L2136" s="25"/>
      <c r="M2136" s="25"/>
      <c r="N2136" s="25"/>
      <c r="O2136" s="26"/>
      <c r="P2136" s="16" t="str">
        <f aca="false">IF(O2136="","",IFERROR(1/(1/(IF(K2136="",INDEX(CONFIG!$F$5:$F$14,MATCH(D2136,CONFIG!$D$5:$D$14,0)),K2136)*IF(M2136="",INDEX(CONFIG!$H$5:$H$14,MATCH(D2136,CONFIG!$D$5:$D$14,0)),M2136))),""))</f>
        <v/>
      </c>
      <c r="Q2136" s="16" t="str">
        <f aca="false">IF(OR(O2136="",P2136=""),"",O2136/P2136)</f>
        <v/>
      </c>
      <c r="R2136" s="16" t="str">
        <f aca="false">IF(Q2136="","",Q2136*0.0980665)</f>
        <v/>
      </c>
      <c r="S2136" s="16" t="str">
        <f aca="false">IF(Q2136="","",IFERROR(Q2136/(1/(1/INDEX(CONFIG!$I$5:$I$14,MATCH(D2136,CONFIG!$D$5:$D$14,0)))),""))</f>
        <v/>
      </c>
      <c r="T2136" s="13"/>
      <c r="U2136" s="13"/>
      <c r="V2136" s="13"/>
      <c r="W2136" s="13"/>
      <c r="X2136" s="22" t="str">
        <f aca="false">IF(Q2136="","",Q2136^2)</f>
        <v/>
      </c>
      <c r="Y2136" s="22" t="str">
        <f aca="false">IF(AND(C2136&lt;&gt;"",C2136=CERTIFICADO!$E$4,OR(CERTIFICADO!$E$5="",B2136=CERTIFICADO!$E$5)),MAX($Y$4:Y2135)+1,"")</f>
        <v/>
      </c>
    </row>
    <row r="2137" customFormat="false" ht="15" hidden="false" customHeight="false" outlineLevel="0" collapsed="false">
      <c r="A2137" s="11" t="str">
        <f aca="false">IF(C2137="","",ROW()-4)</f>
        <v/>
      </c>
      <c r="B2137" s="12"/>
      <c r="C2137" s="13"/>
      <c r="D2137" s="23" t="str">
        <f aca="false">IF(C2137="","",IFERROR(INDEX(LOTES!$D$5:$D$1004,MATCH(C2137,LOTES!$F$5:$F$1004,0)),"¿Lote?"))</f>
        <v/>
      </c>
      <c r="E2137" s="11" t="str">
        <f aca="false">IF(C2137="","",IFERROR(INDEX(LOTES!$C$5:$C$1004,MATCH(C2137,LOTES!$F$5:$F$1004,0)),""))</f>
        <v/>
      </c>
      <c r="F2137" s="24" t="str">
        <f aca="false">IF(C2137="","",IFERROR(INDEX(LOTES!$B$5:$B$1004,MATCH(C2137,LOTES!$F$5:$F$1004,0)),""))</f>
        <v/>
      </c>
      <c r="G2137" s="15" t="str">
        <f aca="false">IF(OR(B2137="",F2137=""),"",B2137-F2137)</f>
        <v/>
      </c>
      <c r="H2137" s="13"/>
      <c r="I2137" s="13"/>
      <c r="J2137" s="13"/>
      <c r="K2137" s="25"/>
      <c r="L2137" s="25"/>
      <c r="M2137" s="25"/>
      <c r="N2137" s="25"/>
      <c r="O2137" s="26"/>
      <c r="P2137" s="16" t="str">
        <f aca="false">IF(O2137="","",IFERROR(1/(1/(IF(K2137="",INDEX(CONFIG!$F$5:$F$14,MATCH(D2137,CONFIG!$D$5:$D$14,0)),K2137)*IF(M2137="",INDEX(CONFIG!$H$5:$H$14,MATCH(D2137,CONFIG!$D$5:$D$14,0)),M2137))),""))</f>
        <v/>
      </c>
      <c r="Q2137" s="16" t="str">
        <f aca="false">IF(OR(O2137="",P2137=""),"",O2137/P2137)</f>
        <v/>
      </c>
      <c r="R2137" s="16" t="str">
        <f aca="false">IF(Q2137="","",Q2137*0.0980665)</f>
        <v/>
      </c>
      <c r="S2137" s="16" t="str">
        <f aca="false">IF(Q2137="","",IFERROR(Q2137/(1/(1/INDEX(CONFIG!$I$5:$I$14,MATCH(D2137,CONFIG!$D$5:$D$14,0)))),""))</f>
        <v/>
      </c>
      <c r="T2137" s="13"/>
      <c r="U2137" s="13"/>
      <c r="V2137" s="13"/>
      <c r="W2137" s="13"/>
      <c r="X2137" s="22" t="str">
        <f aca="false">IF(Q2137="","",Q2137^2)</f>
        <v/>
      </c>
      <c r="Y2137" s="22" t="str">
        <f aca="false">IF(AND(C2137&lt;&gt;"",C2137=CERTIFICADO!$E$4,OR(CERTIFICADO!$E$5="",B2137=CERTIFICADO!$E$5)),MAX($Y$4:Y2136)+1,"")</f>
        <v/>
      </c>
    </row>
    <row r="2138" customFormat="false" ht="15" hidden="false" customHeight="false" outlineLevel="0" collapsed="false">
      <c r="A2138" s="11" t="str">
        <f aca="false">IF(C2138="","",ROW()-4)</f>
        <v/>
      </c>
      <c r="B2138" s="12"/>
      <c r="C2138" s="13"/>
      <c r="D2138" s="23" t="str">
        <f aca="false">IF(C2138="","",IFERROR(INDEX(LOTES!$D$5:$D$1004,MATCH(C2138,LOTES!$F$5:$F$1004,0)),"¿Lote?"))</f>
        <v/>
      </c>
      <c r="E2138" s="11" t="str">
        <f aca="false">IF(C2138="","",IFERROR(INDEX(LOTES!$C$5:$C$1004,MATCH(C2138,LOTES!$F$5:$F$1004,0)),""))</f>
        <v/>
      </c>
      <c r="F2138" s="24" t="str">
        <f aca="false">IF(C2138="","",IFERROR(INDEX(LOTES!$B$5:$B$1004,MATCH(C2138,LOTES!$F$5:$F$1004,0)),""))</f>
        <v/>
      </c>
      <c r="G2138" s="15" t="str">
        <f aca="false">IF(OR(B2138="",F2138=""),"",B2138-F2138)</f>
        <v/>
      </c>
      <c r="H2138" s="13"/>
      <c r="I2138" s="13"/>
      <c r="J2138" s="13"/>
      <c r="K2138" s="25"/>
      <c r="L2138" s="25"/>
      <c r="M2138" s="25"/>
      <c r="N2138" s="25"/>
      <c r="O2138" s="26"/>
      <c r="P2138" s="16" t="str">
        <f aca="false">IF(O2138="","",IFERROR(1/(1/(IF(K2138="",INDEX(CONFIG!$F$5:$F$14,MATCH(D2138,CONFIG!$D$5:$D$14,0)),K2138)*IF(M2138="",INDEX(CONFIG!$H$5:$H$14,MATCH(D2138,CONFIG!$D$5:$D$14,0)),M2138))),""))</f>
        <v/>
      </c>
      <c r="Q2138" s="16" t="str">
        <f aca="false">IF(OR(O2138="",P2138=""),"",O2138/P2138)</f>
        <v/>
      </c>
      <c r="R2138" s="16" t="str">
        <f aca="false">IF(Q2138="","",Q2138*0.0980665)</f>
        <v/>
      </c>
      <c r="S2138" s="16" t="str">
        <f aca="false">IF(Q2138="","",IFERROR(Q2138/(1/(1/INDEX(CONFIG!$I$5:$I$14,MATCH(D2138,CONFIG!$D$5:$D$14,0)))),""))</f>
        <v/>
      </c>
      <c r="T2138" s="13"/>
      <c r="U2138" s="13"/>
      <c r="V2138" s="13"/>
      <c r="W2138" s="13"/>
      <c r="X2138" s="22" t="str">
        <f aca="false">IF(Q2138="","",Q2138^2)</f>
        <v/>
      </c>
      <c r="Y2138" s="22" t="str">
        <f aca="false">IF(AND(C2138&lt;&gt;"",C2138=CERTIFICADO!$E$4,OR(CERTIFICADO!$E$5="",B2138=CERTIFICADO!$E$5)),MAX($Y$4:Y2137)+1,"")</f>
        <v/>
      </c>
    </row>
    <row r="2139" customFormat="false" ht="15" hidden="false" customHeight="false" outlineLevel="0" collapsed="false">
      <c r="A2139" s="11" t="str">
        <f aca="false">IF(C2139="","",ROW()-4)</f>
        <v/>
      </c>
      <c r="B2139" s="12"/>
      <c r="C2139" s="13"/>
      <c r="D2139" s="23" t="str">
        <f aca="false">IF(C2139="","",IFERROR(INDEX(LOTES!$D$5:$D$1004,MATCH(C2139,LOTES!$F$5:$F$1004,0)),"¿Lote?"))</f>
        <v/>
      </c>
      <c r="E2139" s="11" t="str">
        <f aca="false">IF(C2139="","",IFERROR(INDEX(LOTES!$C$5:$C$1004,MATCH(C2139,LOTES!$F$5:$F$1004,0)),""))</f>
        <v/>
      </c>
      <c r="F2139" s="24" t="str">
        <f aca="false">IF(C2139="","",IFERROR(INDEX(LOTES!$B$5:$B$1004,MATCH(C2139,LOTES!$F$5:$F$1004,0)),""))</f>
        <v/>
      </c>
      <c r="G2139" s="15" t="str">
        <f aca="false">IF(OR(B2139="",F2139=""),"",B2139-F2139)</f>
        <v/>
      </c>
      <c r="H2139" s="13"/>
      <c r="I2139" s="13"/>
      <c r="J2139" s="13"/>
      <c r="K2139" s="25"/>
      <c r="L2139" s="25"/>
      <c r="M2139" s="25"/>
      <c r="N2139" s="25"/>
      <c r="O2139" s="26"/>
      <c r="P2139" s="16" t="str">
        <f aca="false">IF(O2139="","",IFERROR(1/(1/(IF(K2139="",INDEX(CONFIG!$F$5:$F$14,MATCH(D2139,CONFIG!$D$5:$D$14,0)),K2139)*IF(M2139="",INDEX(CONFIG!$H$5:$H$14,MATCH(D2139,CONFIG!$D$5:$D$14,0)),M2139))),""))</f>
        <v/>
      </c>
      <c r="Q2139" s="16" t="str">
        <f aca="false">IF(OR(O2139="",P2139=""),"",O2139/P2139)</f>
        <v/>
      </c>
      <c r="R2139" s="16" t="str">
        <f aca="false">IF(Q2139="","",Q2139*0.0980665)</f>
        <v/>
      </c>
      <c r="S2139" s="16" t="str">
        <f aca="false">IF(Q2139="","",IFERROR(Q2139/(1/(1/INDEX(CONFIG!$I$5:$I$14,MATCH(D2139,CONFIG!$D$5:$D$14,0)))),""))</f>
        <v/>
      </c>
      <c r="T2139" s="13"/>
      <c r="U2139" s="13"/>
      <c r="V2139" s="13"/>
      <c r="W2139" s="13"/>
      <c r="X2139" s="22" t="str">
        <f aca="false">IF(Q2139="","",Q2139^2)</f>
        <v/>
      </c>
      <c r="Y2139" s="22" t="str">
        <f aca="false">IF(AND(C2139&lt;&gt;"",C2139=CERTIFICADO!$E$4,OR(CERTIFICADO!$E$5="",B2139=CERTIFICADO!$E$5)),MAX($Y$4:Y2138)+1,"")</f>
        <v/>
      </c>
    </row>
    <row r="2140" customFormat="false" ht="15" hidden="false" customHeight="false" outlineLevel="0" collapsed="false">
      <c r="A2140" s="11" t="str">
        <f aca="false">IF(C2140="","",ROW()-4)</f>
        <v/>
      </c>
      <c r="B2140" s="12"/>
      <c r="C2140" s="13"/>
      <c r="D2140" s="23" t="str">
        <f aca="false">IF(C2140="","",IFERROR(INDEX(LOTES!$D$5:$D$1004,MATCH(C2140,LOTES!$F$5:$F$1004,0)),"¿Lote?"))</f>
        <v/>
      </c>
      <c r="E2140" s="11" t="str">
        <f aca="false">IF(C2140="","",IFERROR(INDEX(LOTES!$C$5:$C$1004,MATCH(C2140,LOTES!$F$5:$F$1004,0)),""))</f>
        <v/>
      </c>
      <c r="F2140" s="24" t="str">
        <f aca="false">IF(C2140="","",IFERROR(INDEX(LOTES!$B$5:$B$1004,MATCH(C2140,LOTES!$F$5:$F$1004,0)),""))</f>
        <v/>
      </c>
      <c r="G2140" s="15" t="str">
        <f aca="false">IF(OR(B2140="",F2140=""),"",B2140-F2140)</f>
        <v/>
      </c>
      <c r="H2140" s="13"/>
      <c r="I2140" s="13"/>
      <c r="J2140" s="13"/>
      <c r="K2140" s="25"/>
      <c r="L2140" s="25"/>
      <c r="M2140" s="25"/>
      <c r="N2140" s="25"/>
      <c r="O2140" s="26"/>
      <c r="P2140" s="16" t="str">
        <f aca="false">IF(O2140="","",IFERROR(1/(1/(IF(K2140="",INDEX(CONFIG!$F$5:$F$14,MATCH(D2140,CONFIG!$D$5:$D$14,0)),K2140)*IF(M2140="",INDEX(CONFIG!$H$5:$H$14,MATCH(D2140,CONFIG!$D$5:$D$14,0)),M2140))),""))</f>
        <v/>
      </c>
      <c r="Q2140" s="16" t="str">
        <f aca="false">IF(OR(O2140="",P2140=""),"",O2140/P2140)</f>
        <v/>
      </c>
      <c r="R2140" s="16" t="str">
        <f aca="false">IF(Q2140="","",Q2140*0.0980665)</f>
        <v/>
      </c>
      <c r="S2140" s="16" t="str">
        <f aca="false">IF(Q2140="","",IFERROR(Q2140/(1/(1/INDEX(CONFIG!$I$5:$I$14,MATCH(D2140,CONFIG!$D$5:$D$14,0)))),""))</f>
        <v/>
      </c>
      <c r="T2140" s="13"/>
      <c r="U2140" s="13"/>
      <c r="V2140" s="13"/>
      <c r="W2140" s="13"/>
      <c r="X2140" s="22" t="str">
        <f aca="false">IF(Q2140="","",Q2140^2)</f>
        <v/>
      </c>
      <c r="Y2140" s="22" t="str">
        <f aca="false">IF(AND(C2140&lt;&gt;"",C2140=CERTIFICADO!$E$4,OR(CERTIFICADO!$E$5="",B2140=CERTIFICADO!$E$5)),MAX($Y$4:Y2139)+1,"")</f>
        <v/>
      </c>
    </row>
    <row r="2141" customFormat="false" ht="15" hidden="false" customHeight="false" outlineLevel="0" collapsed="false">
      <c r="A2141" s="11" t="str">
        <f aca="false">IF(C2141="","",ROW()-4)</f>
        <v/>
      </c>
      <c r="B2141" s="12"/>
      <c r="C2141" s="13"/>
      <c r="D2141" s="23" t="str">
        <f aca="false">IF(C2141="","",IFERROR(INDEX(LOTES!$D$5:$D$1004,MATCH(C2141,LOTES!$F$5:$F$1004,0)),"¿Lote?"))</f>
        <v/>
      </c>
      <c r="E2141" s="11" t="str">
        <f aca="false">IF(C2141="","",IFERROR(INDEX(LOTES!$C$5:$C$1004,MATCH(C2141,LOTES!$F$5:$F$1004,0)),""))</f>
        <v/>
      </c>
      <c r="F2141" s="24" t="str">
        <f aca="false">IF(C2141="","",IFERROR(INDEX(LOTES!$B$5:$B$1004,MATCH(C2141,LOTES!$F$5:$F$1004,0)),""))</f>
        <v/>
      </c>
      <c r="G2141" s="15" t="str">
        <f aca="false">IF(OR(B2141="",F2141=""),"",B2141-F2141)</f>
        <v/>
      </c>
      <c r="H2141" s="13"/>
      <c r="I2141" s="13"/>
      <c r="J2141" s="13"/>
      <c r="K2141" s="25"/>
      <c r="L2141" s="25"/>
      <c r="M2141" s="25"/>
      <c r="N2141" s="25"/>
      <c r="O2141" s="26"/>
      <c r="P2141" s="16" t="str">
        <f aca="false">IF(O2141="","",IFERROR(1/(1/(IF(K2141="",INDEX(CONFIG!$F$5:$F$14,MATCH(D2141,CONFIG!$D$5:$D$14,0)),K2141)*IF(M2141="",INDEX(CONFIG!$H$5:$H$14,MATCH(D2141,CONFIG!$D$5:$D$14,0)),M2141))),""))</f>
        <v/>
      </c>
      <c r="Q2141" s="16" t="str">
        <f aca="false">IF(OR(O2141="",P2141=""),"",O2141/P2141)</f>
        <v/>
      </c>
      <c r="R2141" s="16" t="str">
        <f aca="false">IF(Q2141="","",Q2141*0.0980665)</f>
        <v/>
      </c>
      <c r="S2141" s="16" t="str">
        <f aca="false">IF(Q2141="","",IFERROR(Q2141/(1/(1/INDEX(CONFIG!$I$5:$I$14,MATCH(D2141,CONFIG!$D$5:$D$14,0)))),""))</f>
        <v/>
      </c>
      <c r="T2141" s="13"/>
      <c r="U2141" s="13"/>
      <c r="V2141" s="13"/>
      <c r="W2141" s="13"/>
      <c r="X2141" s="22" t="str">
        <f aca="false">IF(Q2141="","",Q2141^2)</f>
        <v/>
      </c>
      <c r="Y2141" s="22" t="str">
        <f aca="false">IF(AND(C2141&lt;&gt;"",C2141=CERTIFICADO!$E$4,OR(CERTIFICADO!$E$5="",B2141=CERTIFICADO!$E$5)),MAX($Y$4:Y2140)+1,"")</f>
        <v/>
      </c>
    </row>
    <row r="2142" customFormat="false" ht="15" hidden="false" customHeight="false" outlineLevel="0" collapsed="false">
      <c r="A2142" s="11" t="str">
        <f aca="false">IF(C2142="","",ROW()-4)</f>
        <v/>
      </c>
      <c r="B2142" s="12"/>
      <c r="C2142" s="13"/>
      <c r="D2142" s="23" t="str">
        <f aca="false">IF(C2142="","",IFERROR(INDEX(LOTES!$D$5:$D$1004,MATCH(C2142,LOTES!$F$5:$F$1004,0)),"¿Lote?"))</f>
        <v/>
      </c>
      <c r="E2142" s="11" t="str">
        <f aca="false">IF(C2142="","",IFERROR(INDEX(LOTES!$C$5:$C$1004,MATCH(C2142,LOTES!$F$5:$F$1004,0)),""))</f>
        <v/>
      </c>
      <c r="F2142" s="24" t="str">
        <f aca="false">IF(C2142="","",IFERROR(INDEX(LOTES!$B$5:$B$1004,MATCH(C2142,LOTES!$F$5:$F$1004,0)),""))</f>
        <v/>
      </c>
      <c r="G2142" s="15" t="str">
        <f aca="false">IF(OR(B2142="",F2142=""),"",B2142-F2142)</f>
        <v/>
      </c>
      <c r="H2142" s="13"/>
      <c r="I2142" s="13"/>
      <c r="J2142" s="13"/>
      <c r="K2142" s="25"/>
      <c r="L2142" s="25"/>
      <c r="M2142" s="25"/>
      <c r="N2142" s="25"/>
      <c r="O2142" s="26"/>
      <c r="P2142" s="16" t="str">
        <f aca="false">IF(O2142="","",IFERROR(1/(1/(IF(K2142="",INDEX(CONFIG!$F$5:$F$14,MATCH(D2142,CONFIG!$D$5:$D$14,0)),K2142)*IF(M2142="",INDEX(CONFIG!$H$5:$H$14,MATCH(D2142,CONFIG!$D$5:$D$14,0)),M2142))),""))</f>
        <v/>
      </c>
      <c r="Q2142" s="16" t="str">
        <f aca="false">IF(OR(O2142="",P2142=""),"",O2142/P2142)</f>
        <v/>
      </c>
      <c r="R2142" s="16" t="str">
        <f aca="false">IF(Q2142="","",Q2142*0.0980665)</f>
        <v/>
      </c>
      <c r="S2142" s="16" t="str">
        <f aca="false">IF(Q2142="","",IFERROR(Q2142/(1/(1/INDEX(CONFIG!$I$5:$I$14,MATCH(D2142,CONFIG!$D$5:$D$14,0)))),""))</f>
        <v/>
      </c>
      <c r="T2142" s="13"/>
      <c r="U2142" s="13"/>
      <c r="V2142" s="13"/>
      <c r="W2142" s="13"/>
      <c r="X2142" s="22" t="str">
        <f aca="false">IF(Q2142="","",Q2142^2)</f>
        <v/>
      </c>
      <c r="Y2142" s="22" t="str">
        <f aca="false">IF(AND(C2142&lt;&gt;"",C2142=CERTIFICADO!$E$4,OR(CERTIFICADO!$E$5="",B2142=CERTIFICADO!$E$5)),MAX($Y$4:Y2141)+1,"")</f>
        <v/>
      </c>
    </row>
    <row r="2143" customFormat="false" ht="15" hidden="false" customHeight="false" outlineLevel="0" collapsed="false">
      <c r="A2143" s="11" t="str">
        <f aca="false">IF(C2143="","",ROW()-4)</f>
        <v/>
      </c>
      <c r="B2143" s="12"/>
      <c r="C2143" s="13"/>
      <c r="D2143" s="23" t="str">
        <f aca="false">IF(C2143="","",IFERROR(INDEX(LOTES!$D$5:$D$1004,MATCH(C2143,LOTES!$F$5:$F$1004,0)),"¿Lote?"))</f>
        <v/>
      </c>
      <c r="E2143" s="11" t="str">
        <f aca="false">IF(C2143="","",IFERROR(INDEX(LOTES!$C$5:$C$1004,MATCH(C2143,LOTES!$F$5:$F$1004,0)),""))</f>
        <v/>
      </c>
      <c r="F2143" s="24" t="str">
        <f aca="false">IF(C2143="","",IFERROR(INDEX(LOTES!$B$5:$B$1004,MATCH(C2143,LOTES!$F$5:$F$1004,0)),""))</f>
        <v/>
      </c>
      <c r="G2143" s="15" t="str">
        <f aca="false">IF(OR(B2143="",F2143=""),"",B2143-F2143)</f>
        <v/>
      </c>
      <c r="H2143" s="13"/>
      <c r="I2143" s="13"/>
      <c r="J2143" s="13"/>
      <c r="K2143" s="25"/>
      <c r="L2143" s="25"/>
      <c r="M2143" s="25"/>
      <c r="N2143" s="25"/>
      <c r="O2143" s="26"/>
      <c r="P2143" s="16" t="str">
        <f aca="false">IF(O2143="","",IFERROR(1/(1/(IF(K2143="",INDEX(CONFIG!$F$5:$F$14,MATCH(D2143,CONFIG!$D$5:$D$14,0)),K2143)*IF(M2143="",INDEX(CONFIG!$H$5:$H$14,MATCH(D2143,CONFIG!$D$5:$D$14,0)),M2143))),""))</f>
        <v/>
      </c>
      <c r="Q2143" s="16" t="str">
        <f aca="false">IF(OR(O2143="",P2143=""),"",O2143/P2143)</f>
        <v/>
      </c>
      <c r="R2143" s="16" t="str">
        <f aca="false">IF(Q2143="","",Q2143*0.0980665)</f>
        <v/>
      </c>
      <c r="S2143" s="16" t="str">
        <f aca="false">IF(Q2143="","",IFERROR(Q2143/(1/(1/INDEX(CONFIG!$I$5:$I$14,MATCH(D2143,CONFIG!$D$5:$D$14,0)))),""))</f>
        <v/>
      </c>
      <c r="T2143" s="13"/>
      <c r="U2143" s="13"/>
      <c r="V2143" s="13"/>
      <c r="W2143" s="13"/>
      <c r="X2143" s="22" t="str">
        <f aca="false">IF(Q2143="","",Q2143^2)</f>
        <v/>
      </c>
      <c r="Y2143" s="22" t="str">
        <f aca="false">IF(AND(C2143&lt;&gt;"",C2143=CERTIFICADO!$E$4,OR(CERTIFICADO!$E$5="",B2143=CERTIFICADO!$E$5)),MAX($Y$4:Y2142)+1,"")</f>
        <v/>
      </c>
    </row>
    <row r="2144" customFormat="false" ht="15" hidden="false" customHeight="false" outlineLevel="0" collapsed="false">
      <c r="A2144" s="11" t="str">
        <f aca="false">IF(C2144="","",ROW()-4)</f>
        <v/>
      </c>
      <c r="B2144" s="12"/>
      <c r="C2144" s="13"/>
      <c r="D2144" s="23" t="str">
        <f aca="false">IF(C2144="","",IFERROR(INDEX(LOTES!$D$5:$D$1004,MATCH(C2144,LOTES!$F$5:$F$1004,0)),"¿Lote?"))</f>
        <v/>
      </c>
      <c r="E2144" s="11" t="str">
        <f aca="false">IF(C2144="","",IFERROR(INDEX(LOTES!$C$5:$C$1004,MATCH(C2144,LOTES!$F$5:$F$1004,0)),""))</f>
        <v/>
      </c>
      <c r="F2144" s="24" t="str">
        <f aca="false">IF(C2144="","",IFERROR(INDEX(LOTES!$B$5:$B$1004,MATCH(C2144,LOTES!$F$5:$F$1004,0)),""))</f>
        <v/>
      </c>
      <c r="G2144" s="15" t="str">
        <f aca="false">IF(OR(B2144="",F2144=""),"",B2144-F2144)</f>
        <v/>
      </c>
      <c r="H2144" s="13"/>
      <c r="I2144" s="13"/>
      <c r="J2144" s="13"/>
      <c r="K2144" s="25"/>
      <c r="L2144" s="25"/>
      <c r="M2144" s="25"/>
      <c r="N2144" s="25"/>
      <c r="O2144" s="26"/>
      <c r="P2144" s="16" t="str">
        <f aca="false">IF(O2144="","",IFERROR(1/(1/(IF(K2144="",INDEX(CONFIG!$F$5:$F$14,MATCH(D2144,CONFIG!$D$5:$D$14,0)),K2144)*IF(M2144="",INDEX(CONFIG!$H$5:$H$14,MATCH(D2144,CONFIG!$D$5:$D$14,0)),M2144))),""))</f>
        <v/>
      </c>
      <c r="Q2144" s="16" t="str">
        <f aca="false">IF(OR(O2144="",P2144=""),"",O2144/P2144)</f>
        <v/>
      </c>
      <c r="R2144" s="16" t="str">
        <f aca="false">IF(Q2144="","",Q2144*0.0980665)</f>
        <v/>
      </c>
      <c r="S2144" s="16" t="str">
        <f aca="false">IF(Q2144="","",IFERROR(Q2144/(1/(1/INDEX(CONFIG!$I$5:$I$14,MATCH(D2144,CONFIG!$D$5:$D$14,0)))),""))</f>
        <v/>
      </c>
      <c r="T2144" s="13"/>
      <c r="U2144" s="13"/>
      <c r="V2144" s="13"/>
      <c r="W2144" s="13"/>
      <c r="X2144" s="22" t="str">
        <f aca="false">IF(Q2144="","",Q2144^2)</f>
        <v/>
      </c>
      <c r="Y2144" s="22" t="str">
        <f aca="false">IF(AND(C2144&lt;&gt;"",C2144=CERTIFICADO!$E$4,OR(CERTIFICADO!$E$5="",B2144=CERTIFICADO!$E$5)),MAX($Y$4:Y2143)+1,"")</f>
        <v/>
      </c>
    </row>
    <row r="2145" customFormat="false" ht="15" hidden="false" customHeight="false" outlineLevel="0" collapsed="false">
      <c r="A2145" s="11" t="str">
        <f aca="false">IF(C2145="","",ROW()-4)</f>
        <v/>
      </c>
      <c r="B2145" s="12"/>
      <c r="C2145" s="13"/>
      <c r="D2145" s="23" t="str">
        <f aca="false">IF(C2145="","",IFERROR(INDEX(LOTES!$D$5:$D$1004,MATCH(C2145,LOTES!$F$5:$F$1004,0)),"¿Lote?"))</f>
        <v/>
      </c>
      <c r="E2145" s="11" t="str">
        <f aca="false">IF(C2145="","",IFERROR(INDEX(LOTES!$C$5:$C$1004,MATCH(C2145,LOTES!$F$5:$F$1004,0)),""))</f>
        <v/>
      </c>
      <c r="F2145" s="24" t="str">
        <f aca="false">IF(C2145="","",IFERROR(INDEX(LOTES!$B$5:$B$1004,MATCH(C2145,LOTES!$F$5:$F$1004,0)),""))</f>
        <v/>
      </c>
      <c r="G2145" s="15" t="str">
        <f aca="false">IF(OR(B2145="",F2145=""),"",B2145-F2145)</f>
        <v/>
      </c>
      <c r="H2145" s="13"/>
      <c r="I2145" s="13"/>
      <c r="J2145" s="13"/>
      <c r="K2145" s="25"/>
      <c r="L2145" s="25"/>
      <c r="M2145" s="25"/>
      <c r="N2145" s="25"/>
      <c r="O2145" s="26"/>
      <c r="P2145" s="16" t="str">
        <f aca="false">IF(O2145="","",IFERROR(1/(1/(IF(K2145="",INDEX(CONFIG!$F$5:$F$14,MATCH(D2145,CONFIG!$D$5:$D$14,0)),K2145)*IF(M2145="",INDEX(CONFIG!$H$5:$H$14,MATCH(D2145,CONFIG!$D$5:$D$14,0)),M2145))),""))</f>
        <v/>
      </c>
      <c r="Q2145" s="16" t="str">
        <f aca="false">IF(OR(O2145="",P2145=""),"",O2145/P2145)</f>
        <v/>
      </c>
      <c r="R2145" s="16" t="str">
        <f aca="false">IF(Q2145="","",Q2145*0.0980665)</f>
        <v/>
      </c>
      <c r="S2145" s="16" t="str">
        <f aca="false">IF(Q2145="","",IFERROR(Q2145/(1/(1/INDEX(CONFIG!$I$5:$I$14,MATCH(D2145,CONFIG!$D$5:$D$14,0)))),""))</f>
        <v/>
      </c>
      <c r="T2145" s="13"/>
      <c r="U2145" s="13"/>
      <c r="V2145" s="13"/>
      <c r="W2145" s="13"/>
      <c r="X2145" s="22" t="str">
        <f aca="false">IF(Q2145="","",Q2145^2)</f>
        <v/>
      </c>
      <c r="Y2145" s="22" t="str">
        <f aca="false">IF(AND(C2145&lt;&gt;"",C2145=CERTIFICADO!$E$4,OR(CERTIFICADO!$E$5="",B2145=CERTIFICADO!$E$5)),MAX($Y$4:Y2144)+1,"")</f>
        <v/>
      </c>
    </row>
    <row r="2146" customFormat="false" ht="15" hidden="false" customHeight="false" outlineLevel="0" collapsed="false">
      <c r="A2146" s="11" t="str">
        <f aca="false">IF(C2146="","",ROW()-4)</f>
        <v/>
      </c>
      <c r="B2146" s="12"/>
      <c r="C2146" s="13"/>
      <c r="D2146" s="23" t="str">
        <f aca="false">IF(C2146="","",IFERROR(INDEX(LOTES!$D$5:$D$1004,MATCH(C2146,LOTES!$F$5:$F$1004,0)),"¿Lote?"))</f>
        <v/>
      </c>
      <c r="E2146" s="11" t="str">
        <f aca="false">IF(C2146="","",IFERROR(INDEX(LOTES!$C$5:$C$1004,MATCH(C2146,LOTES!$F$5:$F$1004,0)),""))</f>
        <v/>
      </c>
      <c r="F2146" s="24" t="str">
        <f aca="false">IF(C2146="","",IFERROR(INDEX(LOTES!$B$5:$B$1004,MATCH(C2146,LOTES!$F$5:$F$1004,0)),""))</f>
        <v/>
      </c>
      <c r="G2146" s="15" t="str">
        <f aca="false">IF(OR(B2146="",F2146=""),"",B2146-F2146)</f>
        <v/>
      </c>
      <c r="H2146" s="13"/>
      <c r="I2146" s="13"/>
      <c r="J2146" s="13"/>
      <c r="K2146" s="25"/>
      <c r="L2146" s="25"/>
      <c r="M2146" s="25"/>
      <c r="N2146" s="25"/>
      <c r="O2146" s="26"/>
      <c r="P2146" s="16" t="str">
        <f aca="false">IF(O2146="","",IFERROR(1/(1/(IF(K2146="",INDEX(CONFIG!$F$5:$F$14,MATCH(D2146,CONFIG!$D$5:$D$14,0)),K2146)*IF(M2146="",INDEX(CONFIG!$H$5:$H$14,MATCH(D2146,CONFIG!$D$5:$D$14,0)),M2146))),""))</f>
        <v/>
      </c>
      <c r="Q2146" s="16" t="str">
        <f aca="false">IF(OR(O2146="",P2146=""),"",O2146/P2146)</f>
        <v/>
      </c>
      <c r="R2146" s="16" t="str">
        <f aca="false">IF(Q2146="","",Q2146*0.0980665)</f>
        <v/>
      </c>
      <c r="S2146" s="16" t="str">
        <f aca="false">IF(Q2146="","",IFERROR(Q2146/(1/(1/INDEX(CONFIG!$I$5:$I$14,MATCH(D2146,CONFIG!$D$5:$D$14,0)))),""))</f>
        <v/>
      </c>
      <c r="T2146" s="13"/>
      <c r="U2146" s="13"/>
      <c r="V2146" s="13"/>
      <c r="W2146" s="13"/>
      <c r="X2146" s="22" t="str">
        <f aca="false">IF(Q2146="","",Q2146^2)</f>
        <v/>
      </c>
      <c r="Y2146" s="22" t="str">
        <f aca="false">IF(AND(C2146&lt;&gt;"",C2146=CERTIFICADO!$E$4,OR(CERTIFICADO!$E$5="",B2146=CERTIFICADO!$E$5)),MAX($Y$4:Y2145)+1,"")</f>
        <v/>
      </c>
    </row>
    <row r="2147" customFormat="false" ht="15" hidden="false" customHeight="false" outlineLevel="0" collapsed="false">
      <c r="A2147" s="11" t="str">
        <f aca="false">IF(C2147="","",ROW()-4)</f>
        <v/>
      </c>
      <c r="B2147" s="12"/>
      <c r="C2147" s="13"/>
      <c r="D2147" s="23" t="str">
        <f aca="false">IF(C2147="","",IFERROR(INDEX(LOTES!$D$5:$D$1004,MATCH(C2147,LOTES!$F$5:$F$1004,0)),"¿Lote?"))</f>
        <v/>
      </c>
      <c r="E2147" s="11" t="str">
        <f aca="false">IF(C2147="","",IFERROR(INDEX(LOTES!$C$5:$C$1004,MATCH(C2147,LOTES!$F$5:$F$1004,0)),""))</f>
        <v/>
      </c>
      <c r="F2147" s="24" t="str">
        <f aca="false">IF(C2147="","",IFERROR(INDEX(LOTES!$B$5:$B$1004,MATCH(C2147,LOTES!$F$5:$F$1004,0)),""))</f>
        <v/>
      </c>
      <c r="G2147" s="15" t="str">
        <f aca="false">IF(OR(B2147="",F2147=""),"",B2147-F2147)</f>
        <v/>
      </c>
      <c r="H2147" s="13"/>
      <c r="I2147" s="13"/>
      <c r="J2147" s="13"/>
      <c r="K2147" s="25"/>
      <c r="L2147" s="25"/>
      <c r="M2147" s="25"/>
      <c r="N2147" s="25"/>
      <c r="O2147" s="26"/>
      <c r="P2147" s="16" t="str">
        <f aca="false">IF(O2147="","",IFERROR(1/(1/(IF(K2147="",INDEX(CONFIG!$F$5:$F$14,MATCH(D2147,CONFIG!$D$5:$D$14,0)),K2147)*IF(M2147="",INDEX(CONFIG!$H$5:$H$14,MATCH(D2147,CONFIG!$D$5:$D$14,0)),M2147))),""))</f>
        <v/>
      </c>
      <c r="Q2147" s="16" t="str">
        <f aca="false">IF(OR(O2147="",P2147=""),"",O2147/P2147)</f>
        <v/>
      </c>
      <c r="R2147" s="16" t="str">
        <f aca="false">IF(Q2147="","",Q2147*0.0980665)</f>
        <v/>
      </c>
      <c r="S2147" s="16" t="str">
        <f aca="false">IF(Q2147="","",IFERROR(Q2147/(1/(1/INDEX(CONFIG!$I$5:$I$14,MATCH(D2147,CONFIG!$D$5:$D$14,0)))),""))</f>
        <v/>
      </c>
      <c r="T2147" s="13"/>
      <c r="U2147" s="13"/>
      <c r="V2147" s="13"/>
      <c r="W2147" s="13"/>
      <c r="X2147" s="22" t="str">
        <f aca="false">IF(Q2147="","",Q2147^2)</f>
        <v/>
      </c>
      <c r="Y2147" s="22" t="str">
        <f aca="false">IF(AND(C2147&lt;&gt;"",C2147=CERTIFICADO!$E$4,OR(CERTIFICADO!$E$5="",B2147=CERTIFICADO!$E$5)),MAX($Y$4:Y2146)+1,"")</f>
        <v/>
      </c>
    </row>
    <row r="2148" customFormat="false" ht="15" hidden="false" customHeight="false" outlineLevel="0" collapsed="false">
      <c r="A2148" s="11" t="str">
        <f aca="false">IF(C2148="","",ROW()-4)</f>
        <v/>
      </c>
      <c r="B2148" s="12"/>
      <c r="C2148" s="13"/>
      <c r="D2148" s="23" t="str">
        <f aca="false">IF(C2148="","",IFERROR(INDEX(LOTES!$D$5:$D$1004,MATCH(C2148,LOTES!$F$5:$F$1004,0)),"¿Lote?"))</f>
        <v/>
      </c>
      <c r="E2148" s="11" t="str">
        <f aca="false">IF(C2148="","",IFERROR(INDEX(LOTES!$C$5:$C$1004,MATCH(C2148,LOTES!$F$5:$F$1004,0)),""))</f>
        <v/>
      </c>
      <c r="F2148" s="24" t="str">
        <f aca="false">IF(C2148="","",IFERROR(INDEX(LOTES!$B$5:$B$1004,MATCH(C2148,LOTES!$F$5:$F$1004,0)),""))</f>
        <v/>
      </c>
      <c r="G2148" s="15" t="str">
        <f aca="false">IF(OR(B2148="",F2148=""),"",B2148-F2148)</f>
        <v/>
      </c>
      <c r="H2148" s="13"/>
      <c r="I2148" s="13"/>
      <c r="J2148" s="13"/>
      <c r="K2148" s="25"/>
      <c r="L2148" s="25"/>
      <c r="M2148" s="25"/>
      <c r="N2148" s="25"/>
      <c r="O2148" s="26"/>
      <c r="P2148" s="16" t="str">
        <f aca="false">IF(O2148="","",IFERROR(1/(1/(IF(K2148="",INDEX(CONFIG!$F$5:$F$14,MATCH(D2148,CONFIG!$D$5:$D$14,0)),K2148)*IF(M2148="",INDEX(CONFIG!$H$5:$H$14,MATCH(D2148,CONFIG!$D$5:$D$14,0)),M2148))),""))</f>
        <v/>
      </c>
      <c r="Q2148" s="16" t="str">
        <f aca="false">IF(OR(O2148="",P2148=""),"",O2148/P2148)</f>
        <v/>
      </c>
      <c r="R2148" s="16" t="str">
        <f aca="false">IF(Q2148="","",Q2148*0.0980665)</f>
        <v/>
      </c>
      <c r="S2148" s="16" t="str">
        <f aca="false">IF(Q2148="","",IFERROR(Q2148/(1/(1/INDEX(CONFIG!$I$5:$I$14,MATCH(D2148,CONFIG!$D$5:$D$14,0)))),""))</f>
        <v/>
      </c>
      <c r="T2148" s="13"/>
      <c r="U2148" s="13"/>
      <c r="V2148" s="13"/>
      <c r="W2148" s="13"/>
      <c r="X2148" s="22" t="str">
        <f aca="false">IF(Q2148="","",Q2148^2)</f>
        <v/>
      </c>
      <c r="Y2148" s="22" t="str">
        <f aca="false">IF(AND(C2148&lt;&gt;"",C2148=CERTIFICADO!$E$4,OR(CERTIFICADO!$E$5="",B2148=CERTIFICADO!$E$5)),MAX($Y$4:Y2147)+1,"")</f>
        <v/>
      </c>
    </row>
    <row r="2149" customFormat="false" ht="15" hidden="false" customHeight="false" outlineLevel="0" collapsed="false">
      <c r="A2149" s="11" t="str">
        <f aca="false">IF(C2149="","",ROW()-4)</f>
        <v/>
      </c>
      <c r="B2149" s="12"/>
      <c r="C2149" s="13"/>
      <c r="D2149" s="23" t="str">
        <f aca="false">IF(C2149="","",IFERROR(INDEX(LOTES!$D$5:$D$1004,MATCH(C2149,LOTES!$F$5:$F$1004,0)),"¿Lote?"))</f>
        <v/>
      </c>
      <c r="E2149" s="11" t="str">
        <f aca="false">IF(C2149="","",IFERROR(INDEX(LOTES!$C$5:$C$1004,MATCH(C2149,LOTES!$F$5:$F$1004,0)),""))</f>
        <v/>
      </c>
      <c r="F2149" s="24" t="str">
        <f aca="false">IF(C2149="","",IFERROR(INDEX(LOTES!$B$5:$B$1004,MATCH(C2149,LOTES!$F$5:$F$1004,0)),""))</f>
        <v/>
      </c>
      <c r="G2149" s="15" t="str">
        <f aca="false">IF(OR(B2149="",F2149=""),"",B2149-F2149)</f>
        <v/>
      </c>
      <c r="H2149" s="13"/>
      <c r="I2149" s="13"/>
      <c r="J2149" s="13"/>
      <c r="K2149" s="25"/>
      <c r="L2149" s="25"/>
      <c r="M2149" s="25"/>
      <c r="N2149" s="25"/>
      <c r="O2149" s="26"/>
      <c r="P2149" s="16" t="str">
        <f aca="false">IF(O2149="","",IFERROR(1/(1/(IF(K2149="",INDEX(CONFIG!$F$5:$F$14,MATCH(D2149,CONFIG!$D$5:$D$14,0)),K2149)*IF(M2149="",INDEX(CONFIG!$H$5:$H$14,MATCH(D2149,CONFIG!$D$5:$D$14,0)),M2149))),""))</f>
        <v/>
      </c>
      <c r="Q2149" s="16" t="str">
        <f aca="false">IF(OR(O2149="",P2149=""),"",O2149/P2149)</f>
        <v/>
      </c>
      <c r="R2149" s="16" t="str">
        <f aca="false">IF(Q2149="","",Q2149*0.0980665)</f>
        <v/>
      </c>
      <c r="S2149" s="16" t="str">
        <f aca="false">IF(Q2149="","",IFERROR(Q2149/(1/(1/INDEX(CONFIG!$I$5:$I$14,MATCH(D2149,CONFIG!$D$5:$D$14,0)))),""))</f>
        <v/>
      </c>
      <c r="T2149" s="13"/>
      <c r="U2149" s="13"/>
      <c r="V2149" s="13"/>
      <c r="W2149" s="13"/>
      <c r="X2149" s="22" t="str">
        <f aca="false">IF(Q2149="","",Q2149^2)</f>
        <v/>
      </c>
      <c r="Y2149" s="22" t="str">
        <f aca="false">IF(AND(C2149&lt;&gt;"",C2149=CERTIFICADO!$E$4,OR(CERTIFICADO!$E$5="",B2149=CERTIFICADO!$E$5)),MAX($Y$4:Y2148)+1,"")</f>
        <v/>
      </c>
    </row>
    <row r="2150" customFormat="false" ht="15" hidden="false" customHeight="false" outlineLevel="0" collapsed="false">
      <c r="A2150" s="11" t="str">
        <f aca="false">IF(C2150="","",ROW()-4)</f>
        <v/>
      </c>
      <c r="B2150" s="12"/>
      <c r="C2150" s="13"/>
      <c r="D2150" s="23" t="str">
        <f aca="false">IF(C2150="","",IFERROR(INDEX(LOTES!$D$5:$D$1004,MATCH(C2150,LOTES!$F$5:$F$1004,0)),"¿Lote?"))</f>
        <v/>
      </c>
      <c r="E2150" s="11" t="str">
        <f aca="false">IF(C2150="","",IFERROR(INDEX(LOTES!$C$5:$C$1004,MATCH(C2150,LOTES!$F$5:$F$1004,0)),""))</f>
        <v/>
      </c>
      <c r="F2150" s="24" t="str">
        <f aca="false">IF(C2150="","",IFERROR(INDEX(LOTES!$B$5:$B$1004,MATCH(C2150,LOTES!$F$5:$F$1004,0)),""))</f>
        <v/>
      </c>
      <c r="G2150" s="15" t="str">
        <f aca="false">IF(OR(B2150="",F2150=""),"",B2150-F2150)</f>
        <v/>
      </c>
      <c r="H2150" s="13"/>
      <c r="I2150" s="13"/>
      <c r="J2150" s="13"/>
      <c r="K2150" s="25"/>
      <c r="L2150" s="25"/>
      <c r="M2150" s="25"/>
      <c r="N2150" s="25"/>
      <c r="O2150" s="26"/>
      <c r="P2150" s="16" t="str">
        <f aca="false">IF(O2150="","",IFERROR(1/(1/(IF(K2150="",INDEX(CONFIG!$F$5:$F$14,MATCH(D2150,CONFIG!$D$5:$D$14,0)),K2150)*IF(M2150="",INDEX(CONFIG!$H$5:$H$14,MATCH(D2150,CONFIG!$D$5:$D$14,0)),M2150))),""))</f>
        <v/>
      </c>
      <c r="Q2150" s="16" t="str">
        <f aca="false">IF(OR(O2150="",P2150=""),"",O2150/P2150)</f>
        <v/>
      </c>
      <c r="R2150" s="16" t="str">
        <f aca="false">IF(Q2150="","",Q2150*0.0980665)</f>
        <v/>
      </c>
      <c r="S2150" s="16" t="str">
        <f aca="false">IF(Q2150="","",IFERROR(Q2150/(1/(1/INDEX(CONFIG!$I$5:$I$14,MATCH(D2150,CONFIG!$D$5:$D$14,0)))),""))</f>
        <v/>
      </c>
      <c r="T2150" s="13"/>
      <c r="U2150" s="13"/>
      <c r="V2150" s="13"/>
      <c r="W2150" s="13"/>
      <c r="X2150" s="22" t="str">
        <f aca="false">IF(Q2150="","",Q2150^2)</f>
        <v/>
      </c>
      <c r="Y2150" s="22" t="str">
        <f aca="false">IF(AND(C2150&lt;&gt;"",C2150=CERTIFICADO!$E$4,OR(CERTIFICADO!$E$5="",B2150=CERTIFICADO!$E$5)),MAX($Y$4:Y2149)+1,"")</f>
        <v/>
      </c>
    </row>
    <row r="2151" customFormat="false" ht="15" hidden="false" customHeight="false" outlineLevel="0" collapsed="false">
      <c r="A2151" s="11" t="str">
        <f aca="false">IF(C2151="","",ROW()-4)</f>
        <v/>
      </c>
      <c r="B2151" s="12"/>
      <c r="C2151" s="13"/>
      <c r="D2151" s="23" t="str">
        <f aca="false">IF(C2151="","",IFERROR(INDEX(LOTES!$D$5:$D$1004,MATCH(C2151,LOTES!$F$5:$F$1004,0)),"¿Lote?"))</f>
        <v/>
      </c>
      <c r="E2151" s="11" t="str">
        <f aca="false">IF(C2151="","",IFERROR(INDEX(LOTES!$C$5:$C$1004,MATCH(C2151,LOTES!$F$5:$F$1004,0)),""))</f>
        <v/>
      </c>
      <c r="F2151" s="24" t="str">
        <f aca="false">IF(C2151="","",IFERROR(INDEX(LOTES!$B$5:$B$1004,MATCH(C2151,LOTES!$F$5:$F$1004,0)),""))</f>
        <v/>
      </c>
      <c r="G2151" s="15" t="str">
        <f aca="false">IF(OR(B2151="",F2151=""),"",B2151-F2151)</f>
        <v/>
      </c>
      <c r="H2151" s="13"/>
      <c r="I2151" s="13"/>
      <c r="J2151" s="13"/>
      <c r="K2151" s="25"/>
      <c r="L2151" s="25"/>
      <c r="M2151" s="25"/>
      <c r="N2151" s="25"/>
      <c r="O2151" s="26"/>
      <c r="P2151" s="16" t="str">
        <f aca="false">IF(O2151="","",IFERROR(1/(1/(IF(K2151="",INDEX(CONFIG!$F$5:$F$14,MATCH(D2151,CONFIG!$D$5:$D$14,0)),K2151)*IF(M2151="",INDEX(CONFIG!$H$5:$H$14,MATCH(D2151,CONFIG!$D$5:$D$14,0)),M2151))),""))</f>
        <v/>
      </c>
      <c r="Q2151" s="16" t="str">
        <f aca="false">IF(OR(O2151="",P2151=""),"",O2151/P2151)</f>
        <v/>
      </c>
      <c r="R2151" s="16" t="str">
        <f aca="false">IF(Q2151="","",Q2151*0.0980665)</f>
        <v/>
      </c>
      <c r="S2151" s="16" t="str">
        <f aca="false">IF(Q2151="","",IFERROR(Q2151/(1/(1/INDEX(CONFIG!$I$5:$I$14,MATCH(D2151,CONFIG!$D$5:$D$14,0)))),""))</f>
        <v/>
      </c>
      <c r="T2151" s="13"/>
      <c r="U2151" s="13"/>
      <c r="V2151" s="13"/>
      <c r="W2151" s="13"/>
      <c r="X2151" s="22" t="str">
        <f aca="false">IF(Q2151="","",Q2151^2)</f>
        <v/>
      </c>
      <c r="Y2151" s="22" t="str">
        <f aca="false">IF(AND(C2151&lt;&gt;"",C2151=CERTIFICADO!$E$4,OR(CERTIFICADO!$E$5="",B2151=CERTIFICADO!$E$5)),MAX($Y$4:Y2150)+1,"")</f>
        <v/>
      </c>
    </row>
    <row r="2152" customFormat="false" ht="15" hidden="false" customHeight="false" outlineLevel="0" collapsed="false">
      <c r="A2152" s="11" t="str">
        <f aca="false">IF(C2152="","",ROW()-4)</f>
        <v/>
      </c>
      <c r="B2152" s="12"/>
      <c r="C2152" s="13"/>
      <c r="D2152" s="23" t="str">
        <f aca="false">IF(C2152="","",IFERROR(INDEX(LOTES!$D$5:$D$1004,MATCH(C2152,LOTES!$F$5:$F$1004,0)),"¿Lote?"))</f>
        <v/>
      </c>
      <c r="E2152" s="11" t="str">
        <f aca="false">IF(C2152="","",IFERROR(INDEX(LOTES!$C$5:$C$1004,MATCH(C2152,LOTES!$F$5:$F$1004,0)),""))</f>
        <v/>
      </c>
      <c r="F2152" s="24" t="str">
        <f aca="false">IF(C2152="","",IFERROR(INDEX(LOTES!$B$5:$B$1004,MATCH(C2152,LOTES!$F$5:$F$1004,0)),""))</f>
        <v/>
      </c>
      <c r="G2152" s="15" t="str">
        <f aca="false">IF(OR(B2152="",F2152=""),"",B2152-F2152)</f>
        <v/>
      </c>
      <c r="H2152" s="13"/>
      <c r="I2152" s="13"/>
      <c r="J2152" s="13"/>
      <c r="K2152" s="25"/>
      <c r="L2152" s="25"/>
      <c r="M2152" s="25"/>
      <c r="N2152" s="25"/>
      <c r="O2152" s="26"/>
      <c r="P2152" s="16" t="str">
        <f aca="false">IF(O2152="","",IFERROR(1/(1/(IF(K2152="",INDEX(CONFIG!$F$5:$F$14,MATCH(D2152,CONFIG!$D$5:$D$14,0)),K2152)*IF(M2152="",INDEX(CONFIG!$H$5:$H$14,MATCH(D2152,CONFIG!$D$5:$D$14,0)),M2152))),""))</f>
        <v/>
      </c>
      <c r="Q2152" s="16" t="str">
        <f aca="false">IF(OR(O2152="",P2152=""),"",O2152/P2152)</f>
        <v/>
      </c>
      <c r="R2152" s="16" t="str">
        <f aca="false">IF(Q2152="","",Q2152*0.0980665)</f>
        <v/>
      </c>
      <c r="S2152" s="16" t="str">
        <f aca="false">IF(Q2152="","",IFERROR(Q2152/(1/(1/INDEX(CONFIG!$I$5:$I$14,MATCH(D2152,CONFIG!$D$5:$D$14,0)))),""))</f>
        <v/>
      </c>
      <c r="T2152" s="13"/>
      <c r="U2152" s="13"/>
      <c r="V2152" s="13"/>
      <c r="W2152" s="13"/>
      <c r="X2152" s="22" t="str">
        <f aca="false">IF(Q2152="","",Q2152^2)</f>
        <v/>
      </c>
      <c r="Y2152" s="22" t="str">
        <f aca="false">IF(AND(C2152&lt;&gt;"",C2152=CERTIFICADO!$E$4,OR(CERTIFICADO!$E$5="",B2152=CERTIFICADO!$E$5)),MAX($Y$4:Y2151)+1,"")</f>
        <v/>
      </c>
    </row>
    <row r="2153" customFormat="false" ht="15" hidden="false" customHeight="false" outlineLevel="0" collapsed="false">
      <c r="A2153" s="11" t="str">
        <f aca="false">IF(C2153="","",ROW()-4)</f>
        <v/>
      </c>
      <c r="B2153" s="12"/>
      <c r="C2153" s="13"/>
      <c r="D2153" s="23" t="str">
        <f aca="false">IF(C2153="","",IFERROR(INDEX(LOTES!$D$5:$D$1004,MATCH(C2153,LOTES!$F$5:$F$1004,0)),"¿Lote?"))</f>
        <v/>
      </c>
      <c r="E2153" s="11" t="str">
        <f aca="false">IF(C2153="","",IFERROR(INDEX(LOTES!$C$5:$C$1004,MATCH(C2153,LOTES!$F$5:$F$1004,0)),""))</f>
        <v/>
      </c>
      <c r="F2153" s="24" t="str">
        <f aca="false">IF(C2153="","",IFERROR(INDEX(LOTES!$B$5:$B$1004,MATCH(C2153,LOTES!$F$5:$F$1004,0)),""))</f>
        <v/>
      </c>
      <c r="G2153" s="15" t="str">
        <f aca="false">IF(OR(B2153="",F2153=""),"",B2153-F2153)</f>
        <v/>
      </c>
      <c r="H2153" s="13"/>
      <c r="I2153" s="13"/>
      <c r="J2153" s="13"/>
      <c r="K2153" s="25"/>
      <c r="L2153" s="25"/>
      <c r="M2153" s="25"/>
      <c r="N2153" s="25"/>
      <c r="O2153" s="26"/>
      <c r="P2153" s="16" t="str">
        <f aca="false">IF(O2153="","",IFERROR(1/(1/(IF(K2153="",INDEX(CONFIG!$F$5:$F$14,MATCH(D2153,CONFIG!$D$5:$D$14,0)),K2153)*IF(M2153="",INDEX(CONFIG!$H$5:$H$14,MATCH(D2153,CONFIG!$D$5:$D$14,0)),M2153))),""))</f>
        <v/>
      </c>
      <c r="Q2153" s="16" t="str">
        <f aca="false">IF(OR(O2153="",P2153=""),"",O2153/P2153)</f>
        <v/>
      </c>
      <c r="R2153" s="16" t="str">
        <f aca="false">IF(Q2153="","",Q2153*0.0980665)</f>
        <v/>
      </c>
      <c r="S2153" s="16" t="str">
        <f aca="false">IF(Q2153="","",IFERROR(Q2153/(1/(1/INDEX(CONFIG!$I$5:$I$14,MATCH(D2153,CONFIG!$D$5:$D$14,0)))),""))</f>
        <v/>
      </c>
      <c r="T2153" s="13"/>
      <c r="U2153" s="13"/>
      <c r="V2153" s="13"/>
      <c r="W2153" s="13"/>
      <c r="X2153" s="22" t="str">
        <f aca="false">IF(Q2153="","",Q2153^2)</f>
        <v/>
      </c>
      <c r="Y2153" s="22" t="str">
        <f aca="false">IF(AND(C2153&lt;&gt;"",C2153=CERTIFICADO!$E$4,OR(CERTIFICADO!$E$5="",B2153=CERTIFICADO!$E$5)),MAX($Y$4:Y2152)+1,"")</f>
        <v/>
      </c>
    </row>
    <row r="2154" customFormat="false" ht="15" hidden="false" customHeight="false" outlineLevel="0" collapsed="false">
      <c r="A2154" s="11" t="str">
        <f aca="false">IF(C2154="","",ROW()-4)</f>
        <v/>
      </c>
      <c r="B2154" s="12"/>
      <c r="C2154" s="13"/>
      <c r="D2154" s="23" t="str">
        <f aca="false">IF(C2154="","",IFERROR(INDEX(LOTES!$D$5:$D$1004,MATCH(C2154,LOTES!$F$5:$F$1004,0)),"¿Lote?"))</f>
        <v/>
      </c>
      <c r="E2154" s="11" t="str">
        <f aca="false">IF(C2154="","",IFERROR(INDEX(LOTES!$C$5:$C$1004,MATCH(C2154,LOTES!$F$5:$F$1004,0)),""))</f>
        <v/>
      </c>
      <c r="F2154" s="24" t="str">
        <f aca="false">IF(C2154="","",IFERROR(INDEX(LOTES!$B$5:$B$1004,MATCH(C2154,LOTES!$F$5:$F$1004,0)),""))</f>
        <v/>
      </c>
      <c r="G2154" s="15" t="str">
        <f aca="false">IF(OR(B2154="",F2154=""),"",B2154-F2154)</f>
        <v/>
      </c>
      <c r="H2154" s="13"/>
      <c r="I2154" s="13"/>
      <c r="J2154" s="13"/>
      <c r="K2154" s="25"/>
      <c r="L2154" s="25"/>
      <c r="M2154" s="25"/>
      <c r="N2154" s="25"/>
      <c r="O2154" s="26"/>
      <c r="P2154" s="16" t="str">
        <f aca="false">IF(O2154="","",IFERROR(1/(1/(IF(K2154="",INDEX(CONFIG!$F$5:$F$14,MATCH(D2154,CONFIG!$D$5:$D$14,0)),K2154)*IF(M2154="",INDEX(CONFIG!$H$5:$H$14,MATCH(D2154,CONFIG!$D$5:$D$14,0)),M2154))),""))</f>
        <v/>
      </c>
      <c r="Q2154" s="16" t="str">
        <f aca="false">IF(OR(O2154="",P2154=""),"",O2154/P2154)</f>
        <v/>
      </c>
      <c r="R2154" s="16" t="str">
        <f aca="false">IF(Q2154="","",Q2154*0.0980665)</f>
        <v/>
      </c>
      <c r="S2154" s="16" t="str">
        <f aca="false">IF(Q2154="","",IFERROR(Q2154/(1/(1/INDEX(CONFIG!$I$5:$I$14,MATCH(D2154,CONFIG!$D$5:$D$14,0)))),""))</f>
        <v/>
      </c>
      <c r="T2154" s="13"/>
      <c r="U2154" s="13"/>
      <c r="V2154" s="13"/>
      <c r="W2154" s="13"/>
      <c r="X2154" s="22" t="str">
        <f aca="false">IF(Q2154="","",Q2154^2)</f>
        <v/>
      </c>
      <c r="Y2154" s="22" t="str">
        <f aca="false">IF(AND(C2154&lt;&gt;"",C2154=CERTIFICADO!$E$4,OR(CERTIFICADO!$E$5="",B2154=CERTIFICADO!$E$5)),MAX($Y$4:Y2153)+1,"")</f>
        <v/>
      </c>
    </row>
    <row r="2155" customFormat="false" ht="15" hidden="false" customHeight="false" outlineLevel="0" collapsed="false">
      <c r="A2155" s="11" t="str">
        <f aca="false">IF(C2155="","",ROW()-4)</f>
        <v/>
      </c>
      <c r="B2155" s="12"/>
      <c r="C2155" s="13"/>
      <c r="D2155" s="23" t="str">
        <f aca="false">IF(C2155="","",IFERROR(INDEX(LOTES!$D$5:$D$1004,MATCH(C2155,LOTES!$F$5:$F$1004,0)),"¿Lote?"))</f>
        <v/>
      </c>
      <c r="E2155" s="11" t="str">
        <f aca="false">IF(C2155="","",IFERROR(INDEX(LOTES!$C$5:$C$1004,MATCH(C2155,LOTES!$F$5:$F$1004,0)),""))</f>
        <v/>
      </c>
      <c r="F2155" s="24" t="str">
        <f aca="false">IF(C2155="","",IFERROR(INDEX(LOTES!$B$5:$B$1004,MATCH(C2155,LOTES!$F$5:$F$1004,0)),""))</f>
        <v/>
      </c>
      <c r="G2155" s="15" t="str">
        <f aca="false">IF(OR(B2155="",F2155=""),"",B2155-F2155)</f>
        <v/>
      </c>
      <c r="H2155" s="13"/>
      <c r="I2155" s="13"/>
      <c r="J2155" s="13"/>
      <c r="K2155" s="25"/>
      <c r="L2155" s="25"/>
      <c r="M2155" s="25"/>
      <c r="N2155" s="25"/>
      <c r="O2155" s="26"/>
      <c r="P2155" s="16" t="str">
        <f aca="false">IF(O2155="","",IFERROR(1/(1/(IF(K2155="",INDEX(CONFIG!$F$5:$F$14,MATCH(D2155,CONFIG!$D$5:$D$14,0)),K2155)*IF(M2155="",INDEX(CONFIG!$H$5:$H$14,MATCH(D2155,CONFIG!$D$5:$D$14,0)),M2155))),""))</f>
        <v/>
      </c>
      <c r="Q2155" s="16" t="str">
        <f aca="false">IF(OR(O2155="",P2155=""),"",O2155/P2155)</f>
        <v/>
      </c>
      <c r="R2155" s="16" t="str">
        <f aca="false">IF(Q2155="","",Q2155*0.0980665)</f>
        <v/>
      </c>
      <c r="S2155" s="16" t="str">
        <f aca="false">IF(Q2155="","",IFERROR(Q2155/(1/(1/INDEX(CONFIG!$I$5:$I$14,MATCH(D2155,CONFIG!$D$5:$D$14,0)))),""))</f>
        <v/>
      </c>
      <c r="T2155" s="13"/>
      <c r="U2155" s="13"/>
      <c r="V2155" s="13"/>
      <c r="W2155" s="13"/>
      <c r="X2155" s="22" t="str">
        <f aca="false">IF(Q2155="","",Q2155^2)</f>
        <v/>
      </c>
      <c r="Y2155" s="22" t="str">
        <f aca="false">IF(AND(C2155&lt;&gt;"",C2155=CERTIFICADO!$E$4,OR(CERTIFICADO!$E$5="",B2155=CERTIFICADO!$E$5)),MAX($Y$4:Y2154)+1,"")</f>
        <v/>
      </c>
    </row>
    <row r="2156" customFormat="false" ht="15" hidden="false" customHeight="false" outlineLevel="0" collapsed="false">
      <c r="A2156" s="11" t="str">
        <f aca="false">IF(C2156="","",ROW()-4)</f>
        <v/>
      </c>
      <c r="B2156" s="12"/>
      <c r="C2156" s="13"/>
      <c r="D2156" s="23" t="str">
        <f aca="false">IF(C2156="","",IFERROR(INDEX(LOTES!$D$5:$D$1004,MATCH(C2156,LOTES!$F$5:$F$1004,0)),"¿Lote?"))</f>
        <v/>
      </c>
      <c r="E2156" s="11" t="str">
        <f aca="false">IF(C2156="","",IFERROR(INDEX(LOTES!$C$5:$C$1004,MATCH(C2156,LOTES!$F$5:$F$1004,0)),""))</f>
        <v/>
      </c>
      <c r="F2156" s="24" t="str">
        <f aca="false">IF(C2156="","",IFERROR(INDEX(LOTES!$B$5:$B$1004,MATCH(C2156,LOTES!$F$5:$F$1004,0)),""))</f>
        <v/>
      </c>
      <c r="G2156" s="15" t="str">
        <f aca="false">IF(OR(B2156="",F2156=""),"",B2156-F2156)</f>
        <v/>
      </c>
      <c r="H2156" s="13"/>
      <c r="I2156" s="13"/>
      <c r="J2156" s="13"/>
      <c r="K2156" s="25"/>
      <c r="L2156" s="25"/>
      <c r="M2156" s="25"/>
      <c r="N2156" s="25"/>
      <c r="O2156" s="26"/>
      <c r="P2156" s="16" t="str">
        <f aca="false">IF(O2156="","",IFERROR(1/(1/(IF(K2156="",INDEX(CONFIG!$F$5:$F$14,MATCH(D2156,CONFIG!$D$5:$D$14,0)),K2156)*IF(M2156="",INDEX(CONFIG!$H$5:$H$14,MATCH(D2156,CONFIG!$D$5:$D$14,0)),M2156))),""))</f>
        <v/>
      </c>
      <c r="Q2156" s="16" t="str">
        <f aca="false">IF(OR(O2156="",P2156=""),"",O2156/P2156)</f>
        <v/>
      </c>
      <c r="R2156" s="16" t="str">
        <f aca="false">IF(Q2156="","",Q2156*0.0980665)</f>
        <v/>
      </c>
      <c r="S2156" s="16" t="str">
        <f aca="false">IF(Q2156="","",IFERROR(Q2156/(1/(1/INDEX(CONFIG!$I$5:$I$14,MATCH(D2156,CONFIG!$D$5:$D$14,0)))),""))</f>
        <v/>
      </c>
      <c r="T2156" s="13"/>
      <c r="U2156" s="13"/>
      <c r="V2156" s="13"/>
      <c r="W2156" s="13"/>
      <c r="X2156" s="22" t="str">
        <f aca="false">IF(Q2156="","",Q2156^2)</f>
        <v/>
      </c>
      <c r="Y2156" s="22" t="str">
        <f aca="false">IF(AND(C2156&lt;&gt;"",C2156=CERTIFICADO!$E$4,OR(CERTIFICADO!$E$5="",B2156=CERTIFICADO!$E$5)),MAX($Y$4:Y2155)+1,"")</f>
        <v/>
      </c>
    </row>
    <row r="2157" customFormat="false" ht="15" hidden="false" customHeight="false" outlineLevel="0" collapsed="false">
      <c r="A2157" s="11" t="str">
        <f aca="false">IF(C2157="","",ROW()-4)</f>
        <v/>
      </c>
      <c r="B2157" s="12"/>
      <c r="C2157" s="13"/>
      <c r="D2157" s="23" t="str">
        <f aca="false">IF(C2157="","",IFERROR(INDEX(LOTES!$D$5:$D$1004,MATCH(C2157,LOTES!$F$5:$F$1004,0)),"¿Lote?"))</f>
        <v/>
      </c>
      <c r="E2157" s="11" t="str">
        <f aca="false">IF(C2157="","",IFERROR(INDEX(LOTES!$C$5:$C$1004,MATCH(C2157,LOTES!$F$5:$F$1004,0)),""))</f>
        <v/>
      </c>
      <c r="F2157" s="24" t="str">
        <f aca="false">IF(C2157="","",IFERROR(INDEX(LOTES!$B$5:$B$1004,MATCH(C2157,LOTES!$F$5:$F$1004,0)),""))</f>
        <v/>
      </c>
      <c r="G2157" s="15" t="str">
        <f aca="false">IF(OR(B2157="",F2157=""),"",B2157-F2157)</f>
        <v/>
      </c>
      <c r="H2157" s="13"/>
      <c r="I2157" s="13"/>
      <c r="J2157" s="13"/>
      <c r="K2157" s="25"/>
      <c r="L2157" s="25"/>
      <c r="M2157" s="25"/>
      <c r="N2157" s="25"/>
      <c r="O2157" s="26"/>
      <c r="P2157" s="16" t="str">
        <f aca="false">IF(O2157="","",IFERROR(1/(1/(IF(K2157="",INDEX(CONFIG!$F$5:$F$14,MATCH(D2157,CONFIG!$D$5:$D$14,0)),K2157)*IF(M2157="",INDEX(CONFIG!$H$5:$H$14,MATCH(D2157,CONFIG!$D$5:$D$14,0)),M2157))),""))</f>
        <v/>
      </c>
      <c r="Q2157" s="16" t="str">
        <f aca="false">IF(OR(O2157="",P2157=""),"",O2157/P2157)</f>
        <v/>
      </c>
      <c r="R2157" s="16" t="str">
        <f aca="false">IF(Q2157="","",Q2157*0.0980665)</f>
        <v/>
      </c>
      <c r="S2157" s="16" t="str">
        <f aca="false">IF(Q2157="","",IFERROR(Q2157/(1/(1/INDEX(CONFIG!$I$5:$I$14,MATCH(D2157,CONFIG!$D$5:$D$14,0)))),""))</f>
        <v/>
      </c>
      <c r="T2157" s="13"/>
      <c r="U2157" s="13"/>
      <c r="V2157" s="13"/>
      <c r="W2157" s="13"/>
      <c r="X2157" s="22" t="str">
        <f aca="false">IF(Q2157="","",Q2157^2)</f>
        <v/>
      </c>
      <c r="Y2157" s="22" t="str">
        <f aca="false">IF(AND(C2157&lt;&gt;"",C2157=CERTIFICADO!$E$4,OR(CERTIFICADO!$E$5="",B2157=CERTIFICADO!$E$5)),MAX($Y$4:Y2156)+1,"")</f>
        <v/>
      </c>
    </row>
    <row r="2158" customFormat="false" ht="15" hidden="false" customHeight="false" outlineLevel="0" collapsed="false">
      <c r="A2158" s="11" t="str">
        <f aca="false">IF(C2158="","",ROW()-4)</f>
        <v/>
      </c>
      <c r="B2158" s="12"/>
      <c r="C2158" s="13"/>
      <c r="D2158" s="23" t="str">
        <f aca="false">IF(C2158="","",IFERROR(INDEX(LOTES!$D$5:$D$1004,MATCH(C2158,LOTES!$F$5:$F$1004,0)),"¿Lote?"))</f>
        <v/>
      </c>
      <c r="E2158" s="11" t="str">
        <f aca="false">IF(C2158="","",IFERROR(INDEX(LOTES!$C$5:$C$1004,MATCH(C2158,LOTES!$F$5:$F$1004,0)),""))</f>
        <v/>
      </c>
      <c r="F2158" s="24" t="str">
        <f aca="false">IF(C2158="","",IFERROR(INDEX(LOTES!$B$5:$B$1004,MATCH(C2158,LOTES!$F$5:$F$1004,0)),""))</f>
        <v/>
      </c>
      <c r="G2158" s="15" t="str">
        <f aca="false">IF(OR(B2158="",F2158=""),"",B2158-F2158)</f>
        <v/>
      </c>
      <c r="H2158" s="13"/>
      <c r="I2158" s="13"/>
      <c r="J2158" s="13"/>
      <c r="K2158" s="25"/>
      <c r="L2158" s="25"/>
      <c r="M2158" s="25"/>
      <c r="N2158" s="25"/>
      <c r="O2158" s="26"/>
      <c r="P2158" s="16" t="str">
        <f aca="false">IF(O2158="","",IFERROR(1/(1/(IF(K2158="",INDEX(CONFIG!$F$5:$F$14,MATCH(D2158,CONFIG!$D$5:$D$14,0)),K2158)*IF(M2158="",INDEX(CONFIG!$H$5:$H$14,MATCH(D2158,CONFIG!$D$5:$D$14,0)),M2158))),""))</f>
        <v/>
      </c>
      <c r="Q2158" s="16" t="str">
        <f aca="false">IF(OR(O2158="",P2158=""),"",O2158/P2158)</f>
        <v/>
      </c>
      <c r="R2158" s="16" t="str">
        <f aca="false">IF(Q2158="","",Q2158*0.0980665)</f>
        <v/>
      </c>
      <c r="S2158" s="16" t="str">
        <f aca="false">IF(Q2158="","",IFERROR(Q2158/(1/(1/INDEX(CONFIG!$I$5:$I$14,MATCH(D2158,CONFIG!$D$5:$D$14,0)))),""))</f>
        <v/>
      </c>
      <c r="T2158" s="13"/>
      <c r="U2158" s="13"/>
      <c r="V2158" s="13"/>
      <c r="W2158" s="13"/>
      <c r="X2158" s="22" t="str">
        <f aca="false">IF(Q2158="","",Q2158^2)</f>
        <v/>
      </c>
      <c r="Y2158" s="22" t="str">
        <f aca="false">IF(AND(C2158&lt;&gt;"",C2158=CERTIFICADO!$E$4,OR(CERTIFICADO!$E$5="",B2158=CERTIFICADO!$E$5)),MAX($Y$4:Y2157)+1,"")</f>
        <v/>
      </c>
    </row>
    <row r="2159" customFormat="false" ht="15" hidden="false" customHeight="false" outlineLevel="0" collapsed="false">
      <c r="A2159" s="11" t="str">
        <f aca="false">IF(C2159="","",ROW()-4)</f>
        <v/>
      </c>
      <c r="B2159" s="12"/>
      <c r="C2159" s="13"/>
      <c r="D2159" s="23" t="str">
        <f aca="false">IF(C2159="","",IFERROR(INDEX(LOTES!$D$5:$D$1004,MATCH(C2159,LOTES!$F$5:$F$1004,0)),"¿Lote?"))</f>
        <v/>
      </c>
      <c r="E2159" s="11" t="str">
        <f aca="false">IF(C2159="","",IFERROR(INDEX(LOTES!$C$5:$C$1004,MATCH(C2159,LOTES!$F$5:$F$1004,0)),""))</f>
        <v/>
      </c>
      <c r="F2159" s="24" t="str">
        <f aca="false">IF(C2159="","",IFERROR(INDEX(LOTES!$B$5:$B$1004,MATCH(C2159,LOTES!$F$5:$F$1004,0)),""))</f>
        <v/>
      </c>
      <c r="G2159" s="15" t="str">
        <f aca="false">IF(OR(B2159="",F2159=""),"",B2159-F2159)</f>
        <v/>
      </c>
      <c r="H2159" s="13"/>
      <c r="I2159" s="13"/>
      <c r="J2159" s="13"/>
      <c r="K2159" s="25"/>
      <c r="L2159" s="25"/>
      <c r="M2159" s="25"/>
      <c r="N2159" s="25"/>
      <c r="O2159" s="26"/>
      <c r="P2159" s="16" t="str">
        <f aca="false">IF(O2159="","",IFERROR(1/(1/(IF(K2159="",INDEX(CONFIG!$F$5:$F$14,MATCH(D2159,CONFIG!$D$5:$D$14,0)),K2159)*IF(M2159="",INDEX(CONFIG!$H$5:$H$14,MATCH(D2159,CONFIG!$D$5:$D$14,0)),M2159))),""))</f>
        <v/>
      </c>
      <c r="Q2159" s="16" t="str">
        <f aca="false">IF(OR(O2159="",P2159=""),"",O2159/P2159)</f>
        <v/>
      </c>
      <c r="R2159" s="16" t="str">
        <f aca="false">IF(Q2159="","",Q2159*0.0980665)</f>
        <v/>
      </c>
      <c r="S2159" s="16" t="str">
        <f aca="false">IF(Q2159="","",IFERROR(Q2159/(1/(1/INDEX(CONFIG!$I$5:$I$14,MATCH(D2159,CONFIG!$D$5:$D$14,0)))),""))</f>
        <v/>
      </c>
      <c r="T2159" s="13"/>
      <c r="U2159" s="13"/>
      <c r="V2159" s="13"/>
      <c r="W2159" s="13"/>
      <c r="X2159" s="22" t="str">
        <f aca="false">IF(Q2159="","",Q2159^2)</f>
        <v/>
      </c>
      <c r="Y2159" s="22" t="str">
        <f aca="false">IF(AND(C2159&lt;&gt;"",C2159=CERTIFICADO!$E$4,OR(CERTIFICADO!$E$5="",B2159=CERTIFICADO!$E$5)),MAX($Y$4:Y2158)+1,"")</f>
        <v/>
      </c>
    </row>
    <row r="2160" customFormat="false" ht="15" hidden="false" customHeight="false" outlineLevel="0" collapsed="false">
      <c r="A2160" s="11" t="str">
        <f aca="false">IF(C2160="","",ROW()-4)</f>
        <v/>
      </c>
      <c r="B2160" s="12"/>
      <c r="C2160" s="13"/>
      <c r="D2160" s="23" t="str">
        <f aca="false">IF(C2160="","",IFERROR(INDEX(LOTES!$D$5:$D$1004,MATCH(C2160,LOTES!$F$5:$F$1004,0)),"¿Lote?"))</f>
        <v/>
      </c>
      <c r="E2160" s="11" t="str">
        <f aca="false">IF(C2160="","",IFERROR(INDEX(LOTES!$C$5:$C$1004,MATCH(C2160,LOTES!$F$5:$F$1004,0)),""))</f>
        <v/>
      </c>
      <c r="F2160" s="24" t="str">
        <f aca="false">IF(C2160="","",IFERROR(INDEX(LOTES!$B$5:$B$1004,MATCH(C2160,LOTES!$F$5:$F$1004,0)),""))</f>
        <v/>
      </c>
      <c r="G2160" s="15" t="str">
        <f aca="false">IF(OR(B2160="",F2160=""),"",B2160-F2160)</f>
        <v/>
      </c>
      <c r="H2160" s="13"/>
      <c r="I2160" s="13"/>
      <c r="J2160" s="13"/>
      <c r="K2160" s="25"/>
      <c r="L2160" s="25"/>
      <c r="M2160" s="25"/>
      <c r="N2160" s="25"/>
      <c r="O2160" s="26"/>
      <c r="P2160" s="16" t="str">
        <f aca="false">IF(O2160="","",IFERROR(1/(1/(IF(K2160="",INDEX(CONFIG!$F$5:$F$14,MATCH(D2160,CONFIG!$D$5:$D$14,0)),K2160)*IF(M2160="",INDEX(CONFIG!$H$5:$H$14,MATCH(D2160,CONFIG!$D$5:$D$14,0)),M2160))),""))</f>
        <v/>
      </c>
      <c r="Q2160" s="16" t="str">
        <f aca="false">IF(OR(O2160="",P2160=""),"",O2160/P2160)</f>
        <v/>
      </c>
      <c r="R2160" s="16" t="str">
        <f aca="false">IF(Q2160="","",Q2160*0.0980665)</f>
        <v/>
      </c>
      <c r="S2160" s="16" t="str">
        <f aca="false">IF(Q2160="","",IFERROR(Q2160/(1/(1/INDEX(CONFIG!$I$5:$I$14,MATCH(D2160,CONFIG!$D$5:$D$14,0)))),""))</f>
        <v/>
      </c>
      <c r="T2160" s="13"/>
      <c r="U2160" s="13"/>
      <c r="V2160" s="13"/>
      <c r="W2160" s="13"/>
      <c r="X2160" s="22" t="str">
        <f aca="false">IF(Q2160="","",Q2160^2)</f>
        <v/>
      </c>
      <c r="Y2160" s="22" t="str">
        <f aca="false">IF(AND(C2160&lt;&gt;"",C2160=CERTIFICADO!$E$4,OR(CERTIFICADO!$E$5="",B2160=CERTIFICADO!$E$5)),MAX($Y$4:Y2159)+1,"")</f>
        <v/>
      </c>
    </row>
    <row r="2161" customFormat="false" ht="15" hidden="false" customHeight="false" outlineLevel="0" collapsed="false">
      <c r="A2161" s="11" t="str">
        <f aca="false">IF(C2161="","",ROW()-4)</f>
        <v/>
      </c>
      <c r="B2161" s="12"/>
      <c r="C2161" s="13"/>
      <c r="D2161" s="23" t="str">
        <f aca="false">IF(C2161="","",IFERROR(INDEX(LOTES!$D$5:$D$1004,MATCH(C2161,LOTES!$F$5:$F$1004,0)),"¿Lote?"))</f>
        <v/>
      </c>
      <c r="E2161" s="11" t="str">
        <f aca="false">IF(C2161="","",IFERROR(INDEX(LOTES!$C$5:$C$1004,MATCH(C2161,LOTES!$F$5:$F$1004,0)),""))</f>
        <v/>
      </c>
      <c r="F2161" s="24" t="str">
        <f aca="false">IF(C2161="","",IFERROR(INDEX(LOTES!$B$5:$B$1004,MATCH(C2161,LOTES!$F$5:$F$1004,0)),""))</f>
        <v/>
      </c>
      <c r="G2161" s="15" t="str">
        <f aca="false">IF(OR(B2161="",F2161=""),"",B2161-F2161)</f>
        <v/>
      </c>
      <c r="H2161" s="13"/>
      <c r="I2161" s="13"/>
      <c r="J2161" s="13"/>
      <c r="K2161" s="25"/>
      <c r="L2161" s="25"/>
      <c r="M2161" s="25"/>
      <c r="N2161" s="25"/>
      <c r="O2161" s="26"/>
      <c r="P2161" s="16" t="str">
        <f aca="false">IF(O2161="","",IFERROR(1/(1/(IF(K2161="",INDEX(CONFIG!$F$5:$F$14,MATCH(D2161,CONFIG!$D$5:$D$14,0)),K2161)*IF(M2161="",INDEX(CONFIG!$H$5:$H$14,MATCH(D2161,CONFIG!$D$5:$D$14,0)),M2161))),""))</f>
        <v/>
      </c>
      <c r="Q2161" s="16" t="str">
        <f aca="false">IF(OR(O2161="",P2161=""),"",O2161/P2161)</f>
        <v/>
      </c>
      <c r="R2161" s="16" t="str">
        <f aca="false">IF(Q2161="","",Q2161*0.0980665)</f>
        <v/>
      </c>
      <c r="S2161" s="16" t="str">
        <f aca="false">IF(Q2161="","",IFERROR(Q2161/(1/(1/INDEX(CONFIG!$I$5:$I$14,MATCH(D2161,CONFIG!$D$5:$D$14,0)))),""))</f>
        <v/>
      </c>
      <c r="T2161" s="13"/>
      <c r="U2161" s="13"/>
      <c r="V2161" s="13"/>
      <c r="W2161" s="13"/>
      <c r="X2161" s="22" t="str">
        <f aca="false">IF(Q2161="","",Q2161^2)</f>
        <v/>
      </c>
      <c r="Y2161" s="22" t="str">
        <f aca="false">IF(AND(C2161&lt;&gt;"",C2161=CERTIFICADO!$E$4,OR(CERTIFICADO!$E$5="",B2161=CERTIFICADO!$E$5)),MAX($Y$4:Y2160)+1,"")</f>
        <v/>
      </c>
    </row>
    <row r="2162" customFormat="false" ht="15" hidden="false" customHeight="false" outlineLevel="0" collapsed="false">
      <c r="A2162" s="11" t="str">
        <f aca="false">IF(C2162="","",ROW()-4)</f>
        <v/>
      </c>
      <c r="B2162" s="12"/>
      <c r="C2162" s="13"/>
      <c r="D2162" s="23" t="str">
        <f aca="false">IF(C2162="","",IFERROR(INDEX(LOTES!$D$5:$D$1004,MATCH(C2162,LOTES!$F$5:$F$1004,0)),"¿Lote?"))</f>
        <v/>
      </c>
      <c r="E2162" s="11" t="str">
        <f aca="false">IF(C2162="","",IFERROR(INDEX(LOTES!$C$5:$C$1004,MATCH(C2162,LOTES!$F$5:$F$1004,0)),""))</f>
        <v/>
      </c>
      <c r="F2162" s="24" t="str">
        <f aca="false">IF(C2162="","",IFERROR(INDEX(LOTES!$B$5:$B$1004,MATCH(C2162,LOTES!$F$5:$F$1004,0)),""))</f>
        <v/>
      </c>
      <c r="G2162" s="15" t="str">
        <f aca="false">IF(OR(B2162="",F2162=""),"",B2162-F2162)</f>
        <v/>
      </c>
      <c r="H2162" s="13"/>
      <c r="I2162" s="13"/>
      <c r="J2162" s="13"/>
      <c r="K2162" s="25"/>
      <c r="L2162" s="25"/>
      <c r="M2162" s="25"/>
      <c r="N2162" s="25"/>
      <c r="O2162" s="26"/>
      <c r="P2162" s="16" t="str">
        <f aca="false">IF(O2162="","",IFERROR(1/(1/(IF(K2162="",INDEX(CONFIG!$F$5:$F$14,MATCH(D2162,CONFIG!$D$5:$D$14,0)),K2162)*IF(M2162="",INDEX(CONFIG!$H$5:$H$14,MATCH(D2162,CONFIG!$D$5:$D$14,0)),M2162))),""))</f>
        <v/>
      </c>
      <c r="Q2162" s="16" t="str">
        <f aca="false">IF(OR(O2162="",P2162=""),"",O2162/P2162)</f>
        <v/>
      </c>
      <c r="R2162" s="16" t="str">
        <f aca="false">IF(Q2162="","",Q2162*0.0980665)</f>
        <v/>
      </c>
      <c r="S2162" s="16" t="str">
        <f aca="false">IF(Q2162="","",IFERROR(Q2162/(1/(1/INDEX(CONFIG!$I$5:$I$14,MATCH(D2162,CONFIG!$D$5:$D$14,0)))),""))</f>
        <v/>
      </c>
      <c r="T2162" s="13"/>
      <c r="U2162" s="13"/>
      <c r="V2162" s="13"/>
      <c r="W2162" s="13"/>
      <c r="X2162" s="22" t="str">
        <f aca="false">IF(Q2162="","",Q2162^2)</f>
        <v/>
      </c>
      <c r="Y2162" s="22" t="str">
        <f aca="false">IF(AND(C2162&lt;&gt;"",C2162=CERTIFICADO!$E$4,OR(CERTIFICADO!$E$5="",B2162=CERTIFICADO!$E$5)),MAX($Y$4:Y2161)+1,"")</f>
        <v/>
      </c>
    </row>
    <row r="2163" customFormat="false" ht="15" hidden="false" customHeight="false" outlineLevel="0" collapsed="false">
      <c r="A2163" s="11" t="str">
        <f aca="false">IF(C2163="","",ROW()-4)</f>
        <v/>
      </c>
      <c r="B2163" s="12"/>
      <c r="C2163" s="13"/>
      <c r="D2163" s="23" t="str">
        <f aca="false">IF(C2163="","",IFERROR(INDEX(LOTES!$D$5:$D$1004,MATCH(C2163,LOTES!$F$5:$F$1004,0)),"¿Lote?"))</f>
        <v/>
      </c>
      <c r="E2163" s="11" t="str">
        <f aca="false">IF(C2163="","",IFERROR(INDEX(LOTES!$C$5:$C$1004,MATCH(C2163,LOTES!$F$5:$F$1004,0)),""))</f>
        <v/>
      </c>
      <c r="F2163" s="24" t="str">
        <f aca="false">IF(C2163="","",IFERROR(INDEX(LOTES!$B$5:$B$1004,MATCH(C2163,LOTES!$F$5:$F$1004,0)),""))</f>
        <v/>
      </c>
      <c r="G2163" s="15" t="str">
        <f aca="false">IF(OR(B2163="",F2163=""),"",B2163-F2163)</f>
        <v/>
      </c>
      <c r="H2163" s="13"/>
      <c r="I2163" s="13"/>
      <c r="J2163" s="13"/>
      <c r="K2163" s="25"/>
      <c r="L2163" s="25"/>
      <c r="M2163" s="25"/>
      <c r="N2163" s="25"/>
      <c r="O2163" s="26"/>
      <c r="P2163" s="16" t="str">
        <f aca="false">IF(O2163="","",IFERROR(1/(1/(IF(K2163="",INDEX(CONFIG!$F$5:$F$14,MATCH(D2163,CONFIG!$D$5:$D$14,0)),K2163)*IF(M2163="",INDEX(CONFIG!$H$5:$H$14,MATCH(D2163,CONFIG!$D$5:$D$14,0)),M2163))),""))</f>
        <v/>
      </c>
      <c r="Q2163" s="16" t="str">
        <f aca="false">IF(OR(O2163="",P2163=""),"",O2163/P2163)</f>
        <v/>
      </c>
      <c r="R2163" s="16" t="str">
        <f aca="false">IF(Q2163="","",Q2163*0.0980665)</f>
        <v/>
      </c>
      <c r="S2163" s="16" t="str">
        <f aca="false">IF(Q2163="","",IFERROR(Q2163/(1/(1/INDEX(CONFIG!$I$5:$I$14,MATCH(D2163,CONFIG!$D$5:$D$14,0)))),""))</f>
        <v/>
      </c>
      <c r="T2163" s="13"/>
      <c r="U2163" s="13"/>
      <c r="V2163" s="13"/>
      <c r="W2163" s="13"/>
      <c r="X2163" s="22" t="str">
        <f aca="false">IF(Q2163="","",Q2163^2)</f>
        <v/>
      </c>
      <c r="Y2163" s="22" t="str">
        <f aca="false">IF(AND(C2163&lt;&gt;"",C2163=CERTIFICADO!$E$4,OR(CERTIFICADO!$E$5="",B2163=CERTIFICADO!$E$5)),MAX($Y$4:Y2162)+1,"")</f>
        <v/>
      </c>
    </row>
    <row r="2164" customFormat="false" ht="15" hidden="false" customHeight="false" outlineLevel="0" collapsed="false">
      <c r="A2164" s="11" t="str">
        <f aca="false">IF(C2164="","",ROW()-4)</f>
        <v/>
      </c>
      <c r="B2164" s="12"/>
      <c r="C2164" s="13"/>
      <c r="D2164" s="23" t="str">
        <f aca="false">IF(C2164="","",IFERROR(INDEX(LOTES!$D$5:$D$1004,MATCH(C2164,LOTES!$F$5:$F$1004,0)),"¿Lote?"))</f>
        <v/>
      </c>
      <c r="E2164" s="11" t="str">
        <f aca="false">IF(C2164="","",IFERROR(INDEX(LOTES!$C$5:$C$1004,MATCH(C2164,LOTES!$F$5:$F$1004,0)),""))</f>
        <v/>
      </c>
      <c r="F2164" s="24" t="str">
        <f aca="false">IF(C2164="","",IFERROR(INDEX(LOTES!$B$5:$B$1004,MATCH(C2164,LOTES!$F$5:$F$1004,0)),""))</f>
        <v/>
      </c>
      <c r="G2164" s="15" t="str">
        <f aca="false">IF(OR(B2164="",F2164=""),"",B2164-F2164)</f>
        <v/>
      </c>
      <c r="H2164" s="13"/>
      <c r="I2164" s="13"/>
      <c r="J2164" s="13"/>
      <c r="K2164" s="25"/>
      <c r="L2164" s="25"/>
      <c r="M2164" s="25"/>
      <c r="N2164" s="25"/>
      <c r="O2164" s="26"/>
      <c r="P2164" s="16" t="str">
        <f aca="false">IF(O2164="","",IFERROR(1/(1/(IF(K2164="",INDEX(CONFIG!$F$5:$F$14,MATCH(D2164,CONFIG!$D$5:$D$14,0)),K2164)*IF(M2164="",INDEX(CONFIG!$H$5:$H$14,MATCH(D2164,CONFIG!$D$5:$D$14,0)),M2164))),""))</f>
        <v/>
      </c>
      <c r="Q2164" s="16" t="str">
        <f aca="false">IF(OR(O2164="",P2164=""),"",O2164/P2164)</f>
        <v/>
      </c>
      <c r="R2164" s="16" t="str">
        <f aca="false">IF(Q2164="","",Q2164*0.0980665)</f>
        <v/>
      </c>
      <c r="S2164" s="16" t="str">
        <f aca="false">IF(Q2164="","",IFERROR(Q2164/(1/(1/INDEX(CONFIG!$I$5:$I$14,MATCH(D2164,CONFIG!$D$5:$D$14,0)))),""))</f>
        <v/>
      </c>
      <c r="T2164" s="13"/>
      <c r="U2164" s="13"/>
      <c r="V2164" s="13"/>
      <c r="W2164" s="13"/>
      <c r="X2164" s="22" t="str">
        <f aca="false">IF(Q2164="","",Q2164^2)</f>
        <v/>
      </c>
      <c r="Y2164" s="22" t="str">
        <f aca="false">IF(AND(C2164&lt;&gt;"",C2164=CERTIFICADO!$E$4,OR(CERTIFICADO!$E$5="",B2164=CERTIFICADO!$E$5)),MAX($Y$4:Y2163)+1,"")</f>
        <v/>
      </c>
    </row>
    <row r="2165" customFormat="false" ht="15" hidden="false" customHeight="false" outlineLevel="0" collapsed="false">
      <c r="A2165" s="11" t="str">
        <f aca="false">IF(C2165="","",ROW()-4)</f>
        <v/>
      </c>
      <c r="B2165" s="12"/>
      <c r="C2165" s="13"/>
      <c r="D2165" s="23" t="str">
        <f aca="false">IF(C2165="","",IFERROR(INDEX(LOTES!$D$5:$D$1004,MATCH(C2165,LOTES!$F$5:$F$1004,0)),"¿Lote?"))</f>
        <v/>
      </c>
      <c r="E2165" s="11" t="str">
        <f aca="false">IF(C2165="","",IFERROR(INDEX(LOTES!$C$5:$C$1004,MATCH(C2165,LOTES!$F$5:$F$1004,0)),""))</f>
        <v/>
      </c>
      <c r="F2165" s="24" t="str">
        <f aca="false">IF(C2165="","",IFERROR(INDEX(LOTES!$B$5:$B$1004,MATCH(C2165,LOTES!$F$5:$F$1004,0)),""))</f>
        <v/>
      </c>
      <c r="G2165" s="15" t="str">
        <f aca="false">IF(OR(B2165="",F2165=""),"",B2165-F2165)</f>
        <v/>
      </c>
      <c r="H2165" s="13"/>
      <c r="I2165" s="13"/>
      <c r="J2165" s="13"/>
      <c r="K2165" s="25"/>
      <c r="L2165" s="25"/>
      <c r="M2165" s="25"/>
      <c r="N2165" s="25"/>
      <c r="O2165" s="26"/>
      <c r="P2165" s="16" t="str">
        <f aca="false">IF(O2165="","",IFERROR(1/(1/(IF(K2165="",INDEX(CONFIG!$F$5:$F$14,MATCH(D2165,CONFIG!$D$5:$D$14,0)),K2165)*IF(M2165="",INDEX(CONFIG!$H$5:$H$14,MATCH(D2165,CONFIG!$D$5:$D$14,0)),M2165))),""))</f>
        <v/>
      </c>
      <c r="Q2165" s="16" t="str">
        <f aca="false">IF(OR(O2165="",P2165=""),"",O2165/P2165)</f>
        <v/>
      </c>
      <c r="R2165" s="16" t="str">
        <f aca="false">IF(Q2165="","",Q2165*0.0980665)</f>
        <v/>
      </c>
      <c r="S2165" s="16" t="str">
        <f aca="false">IF(Q2165="","",IFERROR(Q2165/(1/(1/INDEX(CONFIG!$I$5:$I$14,MATCH(D2165,CONFIG!$D$5:$D$14,0)))),""))</f>
        <v/>
      </c>
      <c r="T2165" s="13"/>
      <c r="U2165" s="13"/>
      <c r="V2165" s="13"/>
      <c r="W2165" s="13"/>
      <c r="X2165" s="22" t="str">
        <f aca="false">IF(Q2165="","",Q2165^2)</f>
        <v/>
      </c>
      <c r="Y2165" s="22" t="str">
        <f aca="false">IF(AND(C2165&lt;&gt;"",C2165=CERTIFICADO!$E$4,OR(CERTIFICADO!$E$5="",B2165=CERTIFICADO!$E$5)),MAX($Y$4:Y2164)+1,"")</f>
        <v/>
      </c>
    </row>
    <row r="2166" customFormat="false" ht="15" hidden="false" customHeight="false" outlineLevel="0" collapsed="false">
      <c r="A2166" s="11" t="str">
        <f aca="false">IF(C2166="","",ROW()-4)</f>
        <v/>
      </c>
      <c r="B2166" s="12"/>
      <c r="C2166" s="13"/>
      <c r="D2166" s="23" t="str">
        <f aca="false">IF(C2166="","",IFERROR(INDEX(LOTES!$D$5:$D$1004,MATCH(C2166,LOTES!$F$5:$F$1004,0)),"¿Lote?"))</f>
        <v/>
      </c>
      <c r="E2166" s="11" t="str">
        <f aca="false">IF(C2166="","",IFERROR(INDEX(LOTES!$C$5:$C$1004,MATCH(C2166,LOTES!$F$5:$F$1004,0)),""))</f>
        <v/>
      </c>
      <c r="F2166" s="24" t="str">
        <f aca="false">IF(C2166="","",IFERROR(INDEX(LOTES!$B$5:$B$1004,MATCH(C2166,LOTES!$F$5:$F$1004,0)),""))</f>
        <v/>
      </c>
      <c r="G2166" s="15" t="str">
        <f aca="false">IF(OR(B2166="",F2166=""),"",B2166-F2166)</f>
        <v/>
      </c>
      <c r="H2166" s="13"/>
      <c r="I2166" s="13"/>
      <c r="J2166" s="13"/>
      <c r="K2166" s="25"/>
      <c r="L2166" s="25"/>
      <c r="M2166" s="25"/>
      <c r="N2166" s="25"/>
      <c r="O2166" s="26"/>
      <c r="P2166" s="16" t="str">
        <f aca="false">IF(O2166="","",IFERROR(1/(1/(IF(K2166="",INDEX(CONFIG!$F$5:$F$14,MATCH(D2166,CONFIG!$D$5:$D$14,0)),K2166)*IF(M2166="",INDEX(CONFIG!$H$5:$H$14,MATCH(D2166,CONFIG!$D$5:$D$14,0)),M2166))),""))</f>
        <v/>
      </c>
      <c r="Q2166" s="16" t="str">
        <f aca="false">IF(OR(O2166="",P2166=""),"",O2166/P2166)</f>
        <v/>
      </c>
      <c r="R2166" s="16" t="str">
        <f aca="false">IF(Q2166="","",Q2166*0.0980665)</f>
        <v/>
      </c>
      <c r="S2166" s="16" t="str">
        <f aca="false">IF(Q2166="","",IFERROR(Q2166/(1/(1/INDEX(CONFIG!$I$5:$I$14,MATCH(D2166,CONFIG!$D$5:$D$14,0)))),""))</f>
        <v/>
      </c>
      <c r="T2166" s="13"/>
      <c r="U2166" s="13"/>
      <c r="V2166" s="13"/>
      <c r="W2166" s="13"/>
      <c r="X2166" s="22" t="str">
        <f aca="false">IF(Q2166="","",Q2166^2)</f>
        <v/>
      </c>
      <c r="Y2166" s="22" t="str">
        <f aca="false">IF(AND(C2166&lt;&gt;"",C2166=CERTIFICADO!$E$4,OR(CERTIFICADO!$E$5="",B2166=CERTIFICADO!$E$5)),MAX($Y$4:Y2165)+1,"")</f>
        <v/>
      </c>
    </row>
    <row r="2167" customFormat="false" ht="15" hidden="false" customHeight="false" outlineLevel="0" collapsed="false">
      <c r="A2167" s="11" t="str">
        <f aca="false">IF(C2167="","",ROW()-4)</f>
        <v/>
      </c>
      <c r="B2167" s="12"/>
      <c r="C2167" s="13"/>
      <c r="D2167" s="23" t="str">
        <f aca="false">IF(C2167="","",IFERROR(INDEX(LOTES!$D$5:$D$1004,MATCH(C2167,LOTES!$F$5:$F$1004,0)),"¿Lote?"))</f>
        <v/>
      </c>
      <c r="E2167" s="11" t="str">
        <f aca="false">IF(C2167="","",IFERROR(INDEX(LOTES!$C$5:$C$1004,MATCH(C2167,LOTES!$F$5:$F$1004,0)),""))</f>
        <v/>
      </c>
      <c r="F2167" s="24" t="str">
        <f aca="false">IF(C2167="","",IFERROR(INDEX(LOTES!$B$5:$B$1004,MATCH(C2167,LOTES!$F$5:$F$1004,0)),""))</f>
        <v/>
      </c>
      <c r="G2167" s="15" t="str">
        <f aca="false">IF(OR(B2167="",F2167=""),"",B2167-F2167)</f>
        <v/>
      </c>
      <c r="H2167" s="13"/>
      <c r="I2167" s="13"/>
      <c r="J2167" s="13"/>
      <c r="K2167" s="25"/>
      <c r="L2167" s="25"/>
      <c r="M2167" s="25"/>
      <c r="N2167" s="25"/>
      <c r="O2167" s="26"/>
      <c r="P2167" s="16" t="str">
        <f aca="false">IF(O2167="","",IFERROR(1/(1/(IF(K2167="",INDEX(CONFIG!$F$5:$F$14,MATCH(D2167,CONFIG!$D$5:$D$14,0)),K2167)*IF(M2167="",INDEX(CONFIG!$H$5:$H$14,MATCH(D2167,CONFIG!$D$5:$D$14,0)),M2167))),""))</f>
        <v/>
      </c>
      <c r="Q2167" s="16" t="str">
        <f aca="false">IF(OR(O2167="",P2167=""),"",O2167/P2167)</f>
        <v/>
      </c>
      <c r="R2167" s="16" t="str">
        <f aca="false">IF(Q2167="","",Q2167*0.0980665)</f>
        <v/>
      </c>
      <c r="S2167" s="16" t="str">
        <f aca="false">IF(Q2167="","",IFERROR(Q2167/(1/(1/INDEX(CONFIG!$I$5:$I$14,MATCH(D2167,CONFIG!$D$5:$D$14,0)))),""))</f>
        <v/>
      </c>
      <c r="T2167" s="13"/>
      <c r="U2167" s="13"/>
      <c r="V2167" s="13"/>
      <c r="W2167" s="13"/>
      <c r="X2167" s="22" t="str">
        <f aca="false">IF(Q2167="","",Q2167^2)</f>
        <v/>
      </c>
      <c r="Y2167" s="22" t="str">
        <f aca="false">IF(AND(C2167&lt;&gt;"",C2167=CERTIFICADO!$E$4,OR(CERTIFICADO!$E$5="",B2167=CERTIFICADO!$E$5)),MAX($Y$4:Y2166)+1,"")</f>
        <v/>
      </c>
    </row>
    <row r="2168" customFormat="false" ht="15" hidden="false" customHeight="false" outlineLevel="0" collapsed="false">
      <c r="A2168" s="11" t="str">
        <f aca="false">IF(C2168="","",ROW()-4)</f>
        <v/>
      </c>
      <c r="B2168" s="12"/>
      <c r="C2168" s="13"/>
      <c r="D2168" s="23" t="str">
        <f aca="false">IF(C2168="","",IFERROR(INDEX(LOTES!$D$5:$D$1004,MATCH(C2168,LOTES!$F$5:$F$1004,0)),"¿Lote?"))</f>
        <v/>
      </c>
      <c r="E2168" s="11" t="str">
        <f aca="false">IF(C2168="","",IFERROR(INDEX(LOTES!$C$5:$C$1004,MATCH(C2168,LOTES!$F$5:$F$1004,0)),""))</f>
        <v/>
      </c>
      <c r="F2168" s="24" t="str">
        <f aca="false">IF(C2168="","",IFERROR(INDEX(LOTES!$B$5:$B$1004,MATCH(C2168,LOTES!$F$5:$F$1004,0)),""))</f>
        <v/>
      </c>
      <c r="G2168" s="15" t="str">
        <f aca="false">IF(OR(B2168="",F2168=""),"",B2168-F2168)</f>
        <v/>
      </c>
      <c r="H2168" s="13"/>
      <c r="I2168" s="13"/>
      <c r="J2168" s="13"/>
      <c r="K2168" s="25"/>
      <c r="L2168" s="25"/>
      <c r="M2168" s="25"/>
      <c r="N2168" s="25"/>
      <c r="O2168" s="26"/>
      <c r="P2168" s="16" t="str">
        <f aca="false">IF(O2168="","",IFERROR(1/(1/(IF(K2168="",INDEX(CONFIG!$F$5:$F$14,MATCH(D2168,CONFIG!$D$5:$D$14,0)),K2168)*IF(M2168="",INDEX(CONFIG!$H$5:$H$14,MATCH(D2168,CONFIG!$D$5:$D$14,0)),M2168))),""))</f>
        <v/>
      </c>
      <c r="Q2168" s="16" t="str">
        <f aca="false">IF(OR(O2168="",P2168=""),"",O2168/P2168)</f>
        <v/>
      </c>
      <c r="R2168" s="16" t="str">
        <f aca="false">IF(Q2168="","",Q2168*0.0980665)</f>
        <v/>
      </c>
      <c r="S2168" s="16" t="str">
        <f aca="false">IF(Q2168="","",IFERROR(Q2168/(1/(1/INDEX(CONFIG!$I$5:$I$14,MATCH(D2168,CONFIG!$D$5:$D$14,0)))),""))</f>
        <v/>
      </c>
      <c r="T2168" s="13"/>
      <c r="U2168" s="13"/>
      <c r="V2168" s="13"/>
      <c r="W2168" s="13"/>
      <c r="X2168" s="22" t="str">
        <f aca="false">IF(Q2168="","",Q2168^2)</f>
        <v/>
      </c>
      <c r="Y2168" s="22" t="str">
        <f aca="false">IF(AND(C2168&lt;&gt;"",C2168=CERTIFICADO!$E$4,OR(CERTIFICADO!$E$5="",B2168=CERTIFICADO!$E$5)),MAX($Y$4:Y2167)+1,"")</f>
        <v/>
      </c>
    </row>
    <row r="2169" customFormat="false" ht="15" hidden="false" customHeight="false" outlineLevel="0" collapsed="false">
      <c r="A2169" s="11" t="str">
        <f aca="false">IF(C2169="","",ROW()-4)</f>
        <v/>
      </c>
      <c r="B2169" s="12"/>
      <c r="C2169" s="13"/>
      <c r="D2169" s="23" t="str">
        <f aca="false">IF(C2169="","",IFERROR(INDEX(LOTES!$D$5:$D$1004,MATCH(C2169,LOTES!$F$5:$F$1004,0)),"¿Lote?"))</f>
        <v/>
      </c>
      <c r="E2169" s="11" t="str">
        <f aca="false">IF(C2169="","",IFERROR(INDEX(LOTES!$C$5:$C$1004,MATCH(C2169,LOTES!$F$5:$F$1004,0)),""))</f>
        <v/>
      </c>
      <c r="F2169" s="24" t="str">
        <f aca="false">IF(C2169="","",IFERROR(INDEX(LOTES!$B$5:$B$1004,MATCH(C2169,LOTES!$F$5:$F$1004,0)),""))</f>
        <v/>
      </c>
      <c r="G2169" s="15" t="str">
        <f aca="false">IF(OR(B2169="",F2169=""),"",B2169-F2169)</f>
        <v/>
      </c>
      <c r="H2169" s="13"/>
      <c r="I2169" s="13"/>
      <c r="J2169" s="13"/>
      <c r="K2169" s="25"/>
      <c r="L2169" s="25"/>
      <c r="M2169" s="25"/>
      <c r="N2169" s="25"/>
      <c r="O2169" s="26"/>
      <c r="P2169" s="16" t="str">
        <f aca="false">IF(O2169="","",IFERROR(1/(1/(IF(K2169="",INDEX(CONFIG!$F$5:$F$14,MATCH(D2169,CONFIG!$D$5:$D$14,0)),K2169)*IF(M2169="",INDEX(CONFIG!$H$5:$H$14,MATCH(D2169,CONFIG!$D$5:$D$14,0)),M2169))),""))</f>
        <v/>
      </c>
      <c r="Q2169" s="16" t="str">
        <f aca="false">IF(OR(O2169="",P2169=""),"",O2169/P2169)</f>
        <v/>
      </c>
      <c r="R2169" s="16" t="str">
        <f aca="false">IF(Q2169="","",Q2169*0.0980665)</f>
        <v/>
      </c>
      <c r="S2169" s="16" t="str">
        <f aca="false">IF(Q2169="","",IFERROR(Q2169/(1/(1/INDEX(CONFIG!$I$5:$I$14,MATCH(D2169,CONFIG!$D$5:$D$14,0)))),""))</f>
        <v/>
      </c>
      <c r="T2169" s="13"/>
      <c r="U2169" s="13"/>
      <c r="V2169" s="13"/>
      <c r="W2169" s="13"/>
      <c r="X2169" s="22" t="str">
        <f aca="false">IF(Q2169="","",Q2169^2)</f>
        <v/>
      </c>
      <c r="Y2169" s="22" t="str">
        <f aca="false">IF(AND(C2169&lt;&gt;"",C2169=CERTIFICADO!$E$4,OR(CERTIFICADO!$E$5="",B2169=CERTIFICADO!$E$5)),MAX($Y$4:Y2168)+1,"")</f>
        <v/>
      </c>
    </row>
    <row r="2170" customFormat="false" ht="15" hidden="false" customHeight="false" outlineLevel="0" collapsed="false">
      <c r="A2170" s="11" t="str">
        <f aca="false">IF(C2170="","",ROW()-4)</f>
        <v/>
      </c>
      <c r="B2170" s="12"/>
      <c r="C2170" s="13"/>
      <c r="D2170" s="23" t="str">
        <f aca="false">IF(C2170="","",IFERROR(INDEX(LOTES!$D$5:$D$1004,MATCH(C2170,LOTES!$F$5:$F$1004,0)),"¿Lote?"))</f>
        <v/>
      </c>
      <c r="E2170" s="11" t="str">
        <f aca="false">IF(C2170="","",IFERROR(INDEX(LOTES!$C$5:$C$1004,MATCH(C2170,LOTES!$F$5:$F$1004,0)),""))</f>
        <v/>
      </c>
      <c r="F2170" s="24" t="str">
        <f aca="false">IF(C2170="","",IFERROR(INDEX(LOTES!$B$5:$B$1004,MATCH(C2170,LOTES!$F$5:$F$1004,0)),""))</f>
        <v/>
      </c>
      <c r="G2170" s="15" t="str">
        <f aca="false">IF(OR(B2170="",F2170=""),"",B2170-F2170)</f>
        <v/>
      </c>
      <c r="H2170" s="13"/>
      <c r="I2170" s="13"/>
      <c r="J2170" s="13"/>
      <c r="K2170" s="25"/>
      <c r="L2170" s="25"/>
      <c r="M2170" s="25"/>
      <c r="N2170" s="25"/>
      <c r="O2170" s="26"/>
      <c r="P2170" s="16" t="str">
        <f aca="false">IF(O2170="","",IFERROR(1/(1/(IF(K2170="",INDEX(CONFIG!$F$5:$F$14,MATCH(D2170,CONFIG!$D$5:$D$14,0)),K2170)*IF(M2170="",INDEX(CONFIG!$H$5:$H$14,MATCH(D2170,CONFIG!$D$5:$D$14,0)),M2170))),""))</f>
        <v/>
      </c>
      <c r="Q2170" s="16" t="str">
        <f aca="false">IF(OR(O2170="",P2170=""),"",O2170/P2170)</f>
        <v/>
      </c>
      <c r="R2170" s="16" t="str">
        <f aca="false">IF(Q2170="","",Q2170*0.0980665)</f>
        <v/>
      </c>
      <c r="S2170" s="16" t="str">
        <f aca="false">IF(Q2170="","",IFERROR(Q2170/(1/(1/INDEX(CONFIG!$I$5:$I$14,MATCH(D2170,CONFIG!$D$5:$D$14,0)))),""))</f>
        <v/>
      </c>
      <c r="T2170" s="13"/>
      <c r="U2170" s="13"/>
      <c r="V2170" s="13"/>
      <c r="W2170" s="13"/>
      <c r="X2170" s="22" t="str">
        <f aca="false">IF(Q2170="","",Q2170^2)</f>
        <v/>
      </c>
      <c r="Y2170" s="22" t="str">
        <f aca="false">IF(AND(C2170&lt;&gt;"",C2170=CERTIFICADO!$E$4,OR(CERTIFICADO!$E$5="",B2170=CERTIFICADO!$E$5)),MAX($Y$4:Y2169)+1,"")</f>
        <v/>
      </c>
    </row>
    <row r="2171" customFormat="false" ht="15" hidden="false" customHeight="false" outlineLevel="0" collapsed="false">
      <c r="A2171" s="11" t="str">
        <f aca="false">IF(C2171="","",ROW()-4)</f>
        <v/>
      </c>
      <c r="B2171" s="12"/>
      <c r="C2171" s="13"/>
      <c r="D2171" s="23" t="str">
        <f aca="false">IF(C2171="","",IFERROR(INDEX(LOTES!$D$5:$D$1004,MATCH(C2171,LOTES!$F$5:$F$1004,0)),"¿Lote?"))</f>
        <v/>
      </c>
      <c r="E2171" s="11" t="str">
        <f aca="false">IF(C2171="","",IFERROR(INDEX(LOTES!$C$5:$C$1004,MATCH(C2171,LOTES!$F$5:$F$1004,0)),""))</f>
        <v/>
      </c>
      <c r="F2171" s="24" t="str">
        <f aca="false">IF(C2171="","",IFERROR(INDEX(LOTES!$B$5:$B$1004,MATCH(C2171,LOTES!$F$5:$F$1004,0)),""))</f>
        <v/>
      </c>
      <c r="G2171" s="15" t="str">
        <f aca="false">IF(OR(B2171="",F2171=""),"",B2171-F2171)</f>
        <v/>
      </c>
      <c r="H2171" s="13"/>
      <c r="I2171" s="13"/>
      <c r="J2171" s="13"/>
      <c r="K2171" s="25"/>
      <c r="L2171" s="25"/>
      <c r="M2171" s="25"/>
      <c r="N2171" s="25"/>
      <c r="O2171" s="26"/>
      <c r="P2171" s="16" t="str">
        <f aca="false">IF(O2171="","",IFERROR(1/(1/(IF(K2171="",INDEX(CONFIG!$F$5:$F$14,MATCH(D2171,CONFIG!$D$5:$D$14,0)),K2171)*IF(M2171="",INDEX(CONFIG!$H$5:$H$14,MATCH(D2171,CONFIG!$D$5:$D$14,0)),M2171))),""))</f>
        <v/>
      </c>
      <c r="Q2171" s="16" t="str">
        <f aca="false">IF(OR(O2171="",P2171=""),"",O2171/P2171)</f>
        <v/>
      </c>
      <c r="R2171" s="16" t="str">
        <f aca="false">IF(Q2171="","",Q2171*0.0980665)</f>
        <v/>
      </c>
      <c r="S2171" s="16" t="str">
        <f aca="false">IF(Q2171="","",IFERROR(Q2171/(1/(1/INDEX(CONFIG!$I$5:$I$14,MATCH(D2171,CONFIG!$D$5:$D$14,0)))),""))</f>
        <v/>
      </c>
      <c r="T2171" s="13"/>
      <c r="U2171" s="13"/>
      <c r="V2171" s="13"/>
      <c r="W2171" s="13"/>
      <c r="X2171" s="22" t="str">
        <f aca="false">IF(Q2171="","",Q2171^2)</f>
        <v/>
      </c>
      <c r="Y2171" s="22" t="str">
        <f aca="false">IF(AND(C2171&lt;&gt;"",C2171=CERTIFICADO!$E$4,OR(CERTIFICADO!$E$5="",B2171=CERTIFICADO!$E$5)),MAX($Y$4:Y2170)+1,"")</f>
        <v/>
      </c>
    </row>
    <row r="2172" customFormat="false" ht="15" hidden="false" customHeight="false" outlineLevel="0" collapsed="false">
      <c r="A2172" s="11" t="str">
        <f aca="false">IF(C2172="","",ROW()-4)</f>
        <v/>
      </c>
      <c r="B2172" s="12"/>
      <c r="C2172" s="13"/>
      <c r="D2172" s="23" t="str">
        <f aca="false">IF(C2172="","",IFERROR(INDEX(LOTES!$D$5:$D$1004,MATCH(C2172,LOTES!$F$5:$F$1004,0)),"¿Lote?"))</f>
        <v/>
      </c>
      <c r="E2172" s="11" t="str">
        <f aca="false">IF(C2172="","",IFERROR(INDEX(LOTES!$C$5:$C$1004,MATCH(C2172,LOTES!$F$5:$F$1004,0)),""))</f>
        <v/>
      </c>
      <c r="F2172" s="24" t="str">
        <f aca="false">IF(C2172="","",IFERROR(INDEX(LOTES!$B$5:$B$1004,MATCH(C2172,LOTES!$F$5:$F$1004,0)),""))</f>
        <v/>
      </c>
      <c r="G2172" s="15" t="str">
        <f aca="false">IF(OR(B2172="",F2172=""),"",B2172-F2172)</f>
        <v/>
      </c>
      <c r="H2172" s="13"/>
      <c r="I2172" s="13"/>
      <c r="J2172" s="13"/>
      <c r="K2172" s="25"/>
      <c r="L2172" s="25"/>
      <c r="M2172" s="25"/>
      <c r="N2172" s="25"/>
      <c r="O2172" s="26"/>
      <c r="P2172" s="16" t="str">
        <f aca="false">IF(O2172="","",IFERROR(1/(1/(IF(K2172="",INDEX(CONFIG!$F$5:$F$14,MATCH(D2172,CONFIG!$D$5:$D$14,0)),K2172)*IF(M2172="",INDEX(CONFIG!$H$5:$H$14,MATCH(D2172,CONFIG!$D$5:$D$14,0)),M2172))),""))</f>
        <v/>
      </c>
      <c r="Q2172" s="16" t="str">
        <f aca="false">IF(OR(O2172="",P2172=""),"",O2172/P2172)</f>
        <v/>
      </c>
      <c r="R2172" s="16" t="str">
        <f aca="false">IF(Q2172="","",Q2172*0.0980665)</f>
        <v/>
      </c>
      <c r="S2172" s="16" t="str">
        <f aca="false">IF(Q2172="","",IFERROR(Q2172/(1/(1/INDEX(CONFIG!$I$5:$I$14,MATCH(D2172,CONFIG!$D$5:$D$14,0)))),""))</f>
        <v/>
      </c>
      <c r="T2172" s="13"/>
      <c r="U2172" s="13"/>
      <c r="V2172" s="13"/>
      <c r="W2172" s="13"/>
      <c r="X2172" s="22" t="str">
        <f aca="false">IF(Q2172="","",Q2172^2)</f>
        <v/>
      </c>
      <c r="Y2172" s="22" t="str">
        <f aca="false">IF(AND(C2172&lt;&gt;"",C2172=CERTIFICADO!$E$4,OR(CERTIFICADO!$E$5="",B2172=CERTIFICADO!$E$5)),MAX($Y$4:Y2171)+1,"")</f>
        <v/>
      </c>
    </row>
    <row r="2173" customFormat="false" ht="15" hidden="false" customHeight="false" outlineLevel="0" collapsed="false">
      <c r="A2173" s="11" t="str">
        <f aca="false">IF(C2173="","",ROW()-4)</f>
        <v/>
      </c>
      <c r="B2173" s="12"/>
      <c r="C2173" s="13"/>
      <c r="D2173" s="23" t="str">
        <f aca="false">IF(C2173="","",IFERROR(INDEX(LOTES!$D$5:$D$1004,MATCH(C2173,LOTES!$F$5:$F$1004,0)),"¿Lote?"))</f>
        <v/>
      </c>
      <c r="E2173" s="11" t="str">
        <f aca="false">IF(C2173="","",IFERROR(INDEX(LOTES!$C$5:$C$1004,MATCH(C2173,LOTES!$F$5:$F$1004,0)),""))</f>
        <v/>
      </c>
      <c r="F2173" s="24" t="str">
        <f aca="false">IF(C2173="","",IFERROR(INDEX(LOTES!$B$5:$B$1004,MATCH(C2173,LOTES!$F$5:$F$1004,0)),""))</f>
        <v/>
      </c>
      <c r="G2173" s="15" t="str">
        <f aca="false">IF(OR(B2173="",F2173=""),"",B2173-F2173)</f>
        <v/>
      </c>
      <c r="H2173" s="13"/>
      <c r="I2173" s="13"/>
      <c r="J2173" s="13"/>
      <c r="K2173" s="25"/>
      <c r="L2173" s="25"/>
      <c r="M2173" s="25"/>
      <c r="N2173" s="25"/>
      <c r="O2173" s="26"/>
      <c r="P2173" s="16" t="str">
        <f aca="false">IF(O2173="","",IFERROR(1/(1/(IF(K2173="",INDEX(CONFIG!$F$5:$F$14,MATCH(D2173,CONFIG!$D$5:$D$14,0)),K2173)*IF(M2173="",INDEX(CONFIG!$H$5:$H$14,MATCH(D2173,CONFIG!$D$5:$D$14,0)),M2173))),""))</f>
        <v/>
      </c>
      <c r="Q2173" s="16" t="str">
        <f aca="false">IF(OR(O2173="",P2173=""),"",O2173/P2173)</f>
        <v/>
      </c>
      <c r="R2173" s="16" t="str">
        <f aca="false">IF(Q2173="","",Q2173*0.0980665)</f>
        <v/>
      </c>
      <c r="S2173" s="16" t="str">
        <f aca="false">IF(Q2173="","",IFERROR(Q2173/(1/(1/INDEX(CONFIG!$I$5:$I$14,MATCH(D2173,CONFIG!$D$5:$D$14,0)))),""))</f>
        <v/>
      </c>
      <c r="T2173" s="13"/>
      <c r="U2173" s="13"/>
      <c r="V2173" s="13"/>
      <c r="W2173" s="13"/>
      <c r="X2173" s="22" t="str">
        <f aca="false">IF(Q2173="","",Q2173^2)</f>
        <v/>
      </c>
      <c r="Y2173" s="22" t="str">
        <f aca="false">IF(AND(C2173&lt;&gt;"",C2173=CERTIFICADO!$E$4,OR(CERTIFICADO!$E$5="",B2173=CERTIFICADO!$E$5)),MAX($Y$4:Y2172)+1,"")</f>
        <v/>
      </c>
    </row>
    <row r="2174" customFormat="false" ht="15" hidden="false" customHeight="false" outlineLevel="0" collapsed="false">
      <c r="A2174" s="11" t="str">
        <f aca="false">IF(C2174="","",ROW()-4)</f>
        <v/>
      </c>
      <c r="B2174" s="12"/>
      <c r="C2174" s="13"/>
      <c r="D2174" s="23" t="str">
        <f aca="false">IF(C2174="","",IFERROR(INDEX(LOTES!$D$5:$D$1004,MATCH(C2174,LOTES!$F$5:$F$1004,0)),"¿Lote?"))</f>
        <v/>
      </c>
      <c r="E2174" s="11" t="str">
        <f aca="false">IF(C2174="","",IFERROR(INDEX(LOTES!$C$5:$C$1004,MATCH(C2174,LOTES!$F$5:$F$1004,0)),""))</f>
        <v/>
      </c>
      <c r="F2174" s="24" t="str">
        <f aca="false">IF(C2174="","",IFERROR(INDEX(LOTES!$B$5:$B$1004,MATCH(C2174,LOTES!$F$5:$F$1004,0)),""))</f>
        <v/>
      </c>
      <c r="G2174" s="15" t="str">
        <f aca="false">IF(OR(B2174="",F2174=""),"",B2174-F2174)</f>
        <v/>
      </c>
      <c r="H2174" s="13"/>
      <c r="I2174" s="13"/>
      <c r="J2174" s="13"/>
      <c r="K2174" s="25"/>
      <c r="L2174" s="25"/>
      <c r="M2174" s="25"/>
      <c r="N2174" s="25"/>
      <c r="O2174" s="26"/>
      <c r="P2174" s="16" t="str">
        <f aca="false">IF(O2174="","",IFERROR(1/(1/(IF(K2174="",INDEX(CONFIG!$F$5:$F$14,MATCH(D2174,CONFIG!$D$5:$D$14,0)),K2174)*IF(M2174="",INDEX(CONFIG!$H$5:$H$14,MATCH(D2174,CONFIG!$D$5:$D$14,0)),M2174))),""))</f>
        <v/>
      </c>
      <c r="Q2174" s="16" t="str">
        <f aca="false">IF(OR(O2174="",P2174=""),"",O2174/P2174)</f>
        <v/>
      </c>
      <c r="R2174" s="16" t="str">
        <f aca="false">IF(Q2174="","",Q2174*0.0980665)</f>
        <v/>
      </c>
      <c r="S2174" s="16" t="str">
        <f aca="false">IF(Q2174="","",IFERROR(Q2174/(1/(1/INDEX(CONFIG!$I$5:$I$14,MATCH(D2174,CONFIG!$D$5:$D$14,0)))),""))</f>
        <v/>
      </c>
      <c r="T2174" s="13"/>
      <c r="U2174" s="13"/>
      <c r="V2174" s="13"/>
      <c r="W2174" s="13"/>
      <c r="X2174" s="22" t="str">
        <f aca="false">IF(Q2174="","",Q2174^2)</f>
        <v/>
      </c>
      <c r="Y2174" s="22" t="str">
        <f aca="false">IF(AND(C2174&lt;&gt;"",C2174=CERTIFICADO!$E$4,OR(CERTIFICADO!$E$5="",B2174=CERTIFICADO!$E$5)),MAX($Y$4:Y2173)+1,"")</f>
        <v/>
      </c>
    </row>
    <row r="2175" customFormat="false" ht="15" hidden="false" customHeight="false" outlineLevel="0" collapsed="false">
      <c r="A2175" s="11" t="str">
        <f aca="false">IF(C2175="","",ROW()-4)</f>
        <v/>
      </c>
      <c r="B2175" s="12"/>
      <c r="C2175" s="13"/>
      <c r="D2175" s="23" t="str">
        <f aca="false">IF(C2175="","",IFERROR(INDEX(LOTES!$D$5:$D$1004,MATCH(C2175,LOTES!$F$5:$F$1004,0)),"¿Lote?"))</f>
        <v/>
      </c>
      <c r="E2175" s="11" t="str">
        <f aca="false">IF(C2175="","",IFERROR(INDEX(LOTES!$C$5:$C$1004,MATCH(C2175,LOTES!$F$5:$F$1004,0)),""))</f>
        <v/>
      </c>
      <c r="F2175" s="24" t="str">
        <f aca="false">IF(C2175="","",IFERROR(INDEX(LOTES!$B$5:$B$1004,MATCH(C2175,LOTES!$F$5:$F$1004,0)),""))</f>
        <v/>
      </c>
      <c r="G2175" s="15" t="str">
        <f aca="false">IF(OR(B2175="",F2175=""),"",B2175-F2175)</f>
        <v/>
      </c>
      <c r="H2175" s="13"/>
      <c r="I2175" s="13"/>
      <c r="J2175" s="13"/>
      <c r="K2175" s="25"/>
      <c r="L2175" s="25"/>
      <c r="M2175" s="25"/>
      <c r="N2175" s="25"/>
      <c r="O2175" s="26"/>
      <c r="P2175" s="16" t="str">
        <f aca="false">IF(O2175="","",IFERROR(1/(1/(IF(K2175="",INDEX(CONFIG!$F$5:$F$14,MATCH(D2175,CONFIG!$D$5:$D$14,0)),K2175)*IF(M2175="",INDEX(CONFIG!$H$5:$H$14,MATCH(D2175,CONFIG!$D$5:$D$14,0)),M2175))),""))</f>
        <v/>
      </c>
      <c r="Q2175" s="16" t="str">
        <f aca="false">IF(OR(O2175="",P2175=""),"",O2175/P2175)</f>
        <v/>
      </c>
      <c r="R2175" s="16" t="str">
        <f aca="false">IF(Q2175="","",Q2175*0.0980665)</f>
        <v/>
      </c>
      <c r="S2175" s="16" t="str">
        <f aca="false">IF(Q2175="","",IFERROR(Q2175/(1/(1/INDEX(CONFIG!$I$5:$I$14,MATCH(D2175,CONFIG!$D$5:$D$14,0)))),""))</f>
        <v/>
      </c>
      <c r="T2175" s="13"/>
      <c r="U2175" s="13"/>
      <c r="V2175" s="13"/>
      <c r="W2175" s="13"/>
      <c r="X2175" s="22" t="str">
        <f aca="false">IF(Q2175="","",Q2175^2)</f>
        <v/>
      </c>
      <c r="Y2175" s="22" t="str">
        <f aca="false">IF(AND(C2175&lt;&gt;"",C2175=CERTIFICADO!$E$4,OR(CERTIFICADO!$E$5="",B2175=CERTIFICADO!$E$5)),MAX($Y$4:Y2174)+1,"")</f>
        <v/>
      </c>
    </row>
    <row r="2176" customFormat="false" ht="15" hidden="false" customHeight="false" outlineLevel="0" collapsed="false">
      <c r="A2176" s="11" t="str">
        <f aca="false">IF(C2176="","",ROW()-4)</f>
        <v/>
      </c>
      <c r="B2176" s="12"/>
      <c r="C2176" s="13"/>
      <c r="D2176" s="23" t="str">
        <f aca="false">IF(C2176="","",IFERROR(INDEX(LOTES!$D$5:$D$1004,MATCH(C2176,LOTES!$F$5:$F$1004,0)),"¿Lote?"))</f>
        <v/>
      </c>
      <c r="E2176" s="11" t="str">
        <f aca="false">IF(C2176="","",IFERROR(INDEX(LOTES!$C$5:$C$1004,MATCH(C2176,LOTES!$F$5:$F$1004,0)),""))</f>
        <v/>
      </c>
      <c r="F2176" s="24" t="str">
        <f aca="false">IF(C2176="","",IFERROR(INDEX(LOTES!$B$5:$B$1004,MATCH(C2176,LOTES!$F$5:$F$1004,0)),""))</f>
        <v/>
      </c>
      <c r="G2176" s="15" t="str">
        <f aca="false">IF(OR(B2176="",F2176=""),"",B2176-F2176)</f>
        <v/>
      </c>
      <c r="H2176" s="13"/>
      <c r="I2176" s="13"/>
      <c r="J2176" s="13"/>
      <c r="K2176" s="25"/>
      <c r="L2176" s="25"/>
      <c r="M2176" s="25"/>
      <c r="N2176" s="25"/>
      <c r="O2176" s="26"/>
      <c r="P2176" s="16" t="str">
        <f aca="false">IF(O2176="","",IFERROR(1/(1/(IF(K2176="",INDEX(CONFIG!$F$5:$F$14,MATCH(D2176,CONFIG!$D$5:$D$14,0)),K2176)*IF(M2176="",INDEX(CONFIG!$H$5:$H$14,MATCH(D2176,CONFIG!$D$5:$D$14,0)),M2176))),""))</f>
        <v/>
      </c>
      <c r="Q2176" s="16" t="str">
        <f aca="false">IF(OR(O2176="",P2176=""),"",O2176/P2176)</f>
        <v/>
      </c>
      <c r="R2176" s="16" t="str">
        <f aca="false">IF(Q2176="","",Q2176*0.0980665)</f>
        <v/>
      </c>
      <c r="S2176" s="16" t="str">
        <f aca="false">IF(Q2176="","",IFERROR(Q2176/(1/(1/INDEX(CONFIG!$I$5:$I$14,MATCH(D2176,CONFIG!$D$5:$D$14,0)))),""))</f>
        <v/>
      </c>
      <c r="T2176" s="13"/>
      <c r="U2176" s="13"/>
      <c r="V2176" s="13"/>
      <c r="W2176" s="13"/>
      <c r="X2176" s="22" t="str">
        <f aca="false">IF(Q2176="","",Q2176^2)</f>
        <v/>
      </c>
      <c r="Y2176" s="22" t="str">
        <f aca="false">IF(AND(C2176&lt;&gt;"",C2176=CERTIFICADO!$E$4,OR(CERTIFICADO!$E$5="",B2176=CERTIFICADO!$E$5)),MAX($Y$4:Y2175)+1,"")</f>
        <v/>
      </c>
    </row>
    <row r="2177" customFormat="false" ht="15" hidden="false" customHeight="false" outlineLevel="0" collapsed="false">
      <c r="A2177" s="11" t="str">
        <f aca="false">IF(C2177="","",ROW()-4)</f>
        <v/>
      </c>
      <c r="B2177" s="12"/>
      <c r="C2177" s="13"/>
      <c r="D2177" s="23" t="str">
        <f aca="false">IF(C2177="","",IFERROR(INDEX(LOTES!$D$5:$D$1004,MATCH(C2177,LOTES!$F$5:$F$1004,0)),"¿Lote?"))</f>
        <v/>
      </c>
      <c r="E2177" s="11" t="str">
        <f aca="false">IF(C2177="","",IFERROR(INDEX(LOTES!$C$5:$C$1004,MATCH(C2177,LOTES!$F$5:$F$1004,0)),""))</f>
        <v/>
      </c>
      <c r="F2177" s="24" t="str">
        <f aca="false">IF(C2177="","",IFERROR(INDEX(LOTES!$B$5:$B$1004,MATCH(C2177,LOTES!$F$5:$F$1004,0)),""))</f>
        <v/>
      </c>
      <c r="G2177" s="15" t="str">
        <f aca="false">IF(OR(B2177="",F2177=""),"",B2177-F2177)</f>
        <v/>
      </c>
      <c r="H2177" s="13"/>
      <c r="I2177" s="13"/>
      <c r="J2177" s="13"/>
      <c r="K2177" s="25"/>
      <c r="L2177" s="25"/>
      <c r="M2177" s="25"/>
      <c r="N2177" s="25"/>
      <c r="O2177" s="26"/>
      <c r="P2177" s="16" t="str">
        <f aca="false">IF(O2177="","",IFERROR(1/(1/(IF(K2177="",INDEX(CONFIG!$F$5:$F$14,MATCH(D2177,CONFIG!$D$5:$D$14,0)),K2177)*IF(M2177="",INDEX(CONFIG!$H$5:$H$14,MATCH(D2177,CONFIG!$D$5:$D$14,0)),M2177))),""))</f>
        <v/>
      </c>
      <c r="Q2177" s="16" t="str">
        <f aca="false">IF(OR(O2177="",P2177=""),"",O2177/P2177)</f>
        <v/>
      </c>
      <c r="R2177" s="16" t="str">
        <f aca="false">IF(Q2177="","",Q2177*0.0980665)</f>
        <v/>
      </c>
      <c r="S2177" s="16" t="str">
        <f aca="false">IF(Q2177="","",IFERROR(Q2177/(1/(1/INDEX(CONFIG!$I$5:$I$14,MATCH(D2177,CONFIG!$D$5:$D$14,0)))),""))</f>
        <v/>
      </c>
      <c r="T2177" s="13"/>
      <c r="U2177" s="13"/>
      <c r="V2177" s="13"/>
      <c r="W2177" s="13"/>
      <c r="X2177" s="22" t="str">
        <f aca="false">IF(Q2177="","",Q2177^2)</f>
        <v/>
      </c>
      <c r="Y2177" s="22" t="str">
        <f aca="false">IF(AND(C2177&lt;&gt;"",C2177=CERTIFICADO!$E$4,OR(CERTIFICADO!$E$5="",B2177=CERTIFICADO!$E$5)),MAX($Y$4:Y2176)+1,"")</f>
        <v/>
      </c>
    </row>
    <row r="2178" customFormat="false" ht="15" hidden="false" customHeight="false" outlineLevel="0" collapsed="false">
      <c r="A2178" s="11" t="str">
        <f aca="false">IF(C2178="","",ROW()-4)</f>
        <v/>
      </c>
      <c r="B2178" s="12"/>
      <c r="C2178" s="13"/>
      <c r="D2178" s="23" t="str">
        <f aca="false">IF(C2178="","",IFERROR(INDEX(LOTES!$D$5:$D$1004,MATCH(C2178,LOTES!$F$5:$F$1004,0)),"¿Lote?"))</f>
        <v/>
      </c>
      <c r="E2178" s="11" t="str">
        <f aca="false">IF(C2178="","",IFERROR(INDEX(LOTES!$C$5:$C$1004,MATCH(C2178,LOTES!$F$5:$F$1004,0)),""))</f>
        <v/>
      </c>
      <c r="F2178" s="24" t="str">
        <f aca="false">IF(C2178="","",IFERROR(INDEX(LOTES!$B$5:$B$1004,MATCH(C2178,LOTES!$F$5:$F$1004,0)),""))</f>
        <v/>
      </c>
      <c r="G2178" s="15" t="str">
        <f aca="false">IF(OR(B2178="",F2178=""),"",B2178-F2178)</f>
        <v/>
      </c>
      <c r="H2178" s="13"/>
      <c r="I2178" s="13"/>
      <c r="J2178" s="13"/>
      <c r="K2178" s="25"/>
      <c r="L2178" s="25"/>
      <c r="M2178" s="25"/>
      <c r="N2178" s="25"/>
      <c r="O2178" s="26"/>
      <c r="P2178" s="16" t="str">
        <f aca="false">IF(O2178="","",IFERROR(1/(1/(IF(K2178="",INDEX(CONFIG!$F$5:$F$14,MATCH(D2178,CONFIG!$D$5:$D$14,0)),K2178)*IF(M2178="",INDEX(CONFIG!$H$5:$H$14,MATCH(D2178,CONFIG!$D$5:$D$14,0)),M2178))),""))</f>
        <v/>
      </c>
      <c r="Q2178" s="16" t="str">
        <f aca="false">IF(OR(O2178="",P2178=""),"",O2178/P2178)</f>
        <v/>
      </c>
      <c r="R2178" s="16" t="str">
        <f aca="false">IF(Q2178="","",Q2178*0.0980665)</f>
        <v/>
      </c>
      <c r="S2178" s="16" t="str">
        <f aca="false">IF(Q2178="","",IFERROR(Q2178/(1/(1/INDEX(CONFIG!$I$5:$I$14,MATCH(D2178,CONFIG!$D$5:$D$14,0)))),""))</f>
        <v/>
      </c>
      <c r="T2178" s="13"/>
      <c r="U2178" s="13"/>
      <c r="V2178" s="13"/>
      <c r="W2178" s="13"/>
      <c r="X2178" s="22" t="str">
        <f aca="false">IF(Q2178="","",Q2178^2)</f>
        <v/>
      </c>
      <c r="Y2178" s="22" t="str">
        <f aca="false">IF(AND(C2178&lt;&gt;"",C2178=CERTIFICADO!$E$4,OR(CERTIFICADO!$E$5="",B2178=CERTIFICADO!$E$5)),MAX($Y$4:Y2177)+1,"")</f>
        <v/>
      </c>
    </row>
    <row r="2179" customFormat="false" ht="15" hidden="false" customHeight="false" outlineLevel="0" collapsed="false">
      <c r="A2179" s="11" t="str">
        <f aca="false">IF(C2179="","",ROW()-4)</f>
        <v/>
      </c>
      <c r="B2179" s="12"/>
      <c r="C2179" s="13"/>
      <c r="D2179" s="23" t="str">
        <f aca="false">IF(C2179="","",IFERROR(INDEX(LOTES!$D$5:$D$1004,MATCH(C2179,LOTES!$F$5:$F$1004,0)),"¿Lote?"))</f>
        <v/>
      </c>
      <c r="E2179" s="11" t="str">
        <f aca="false">IF(C2179="","",IFERROR(INDEX(LOTES!$C$5:$C$1004,MATCH(C2179,LOTES!$F$5:$F$1004,0)),""))</f>
        <v/>
      </c>
      <c r="F2179" s="24" t="str">
        <f aca="false">IF(C2179="","",IFERROR(INDEX(LOTES!$B$5:$B$1004,MATCH(C2179,LOTES!$F$5:$F$1004,0)),""))</f>
        <v/>
      </c>
      <c r="G2179" s="15" t="str">
        <f aca="false">IF(OR(B2179="",F2179=""),"",B2179-F2179)</f>
        <v/>
      </c>
      <c r="H2179" s="13"/>
      <c r="I2179" s="13"/>
      <c r="J2179" s="13"/>
      <c r="K2179" s="25"/>
      <c r="L2179" s="25"/>
      <c r="M2179" s="25"/>
      <c r="N2179" s="25"/>
      <c r="O2179" s="26"/>
      <c r="P2179" s="16" t="str">
        <f aca="false">IF(O2179="","",IFERROR(1/(1/(IF(K2179="",INDEX(CONFIG!$F$5:$F$14,MATCH(D2179,CONFIG!$D$5:$D$14,0)),K2179)*IF(M2179="",INDEX(CONFIG!$H$5:$H$14,MATCH(D2179,CONFIG!$D$5:$D$14,0)),M2179))),""))</f>
        <v/>
      </c>
      <c r="Q2179" s="16" t="str">
        <f aca="false">IF(OR(O2179="",P2179=""),"",O2179/P2179)</f>
        <v/>
      </c>
      <c r="R2179" s="16" t="str">
        <f aca="false">IF(Q2179="","",Q2179*0.0980665)</f>
        <v/>
      </c>
      <c r="S2179" s="16" t="str">
        <f aca="false">IF(Q2179="","",IFERROR(Q2179/(1/(1/INDEX(CONFIG!$I$5:$I$14,MATCH(D2179,CONFIG!$D$5:$D$14,0)))),""))</f>
        <v/>
      </c>
      <c r="T2179" s="13"/>
      <c r="U2179" s="13"/>
      <c r="V2179" s="13"/>
      <c r="W2179" s="13"/>
      <c r="X2179" s="22" t="str">
        <f aca="false">IF(Q2179="","",Q2179^2)</f>
        <v/>
      </c>
      <c r="Y2179" s="22" t="str">
        <f aca="false">IF(AND(C2179&lt;&gt;"",C2179=CERTIFICADO!$E$4,OR(CERTIFICADO!$E$5="",B2179=CERTIFICADO!$E$5)),MAX($Y$4:Y2178)+1,"")</f>
        <v/>
      </c>
    </row>
    <row r="2180" customFormat="false" ht="15" hidden="false" customHeight="false" outlineLevel="0" collapsed="false">
      <c r="A2180" s="11" t="str">
        <f aca="false">IF(C2180="","",ROW()-4)</f>
        <v/>
      </c>
      <c r="B2180" s="12"/>
      <c r="C2180" s="13"/>
      <c r="D2180" s="23" t="str">
        <f aca="false">IF(C2180="","",IFERROR(INDEX(LOTES!$D$5:$D$1004,MATCH(C2180,LOTES!$F$5:$F$1004,0)),"¿Lote?"))</f>
        <v/>
      </c>
      <c r="E2180" s="11" t="str">
        <f aca="false">IF(C2180="","",IFERROR(INDEX(LOTES!$C$5:$C$1004,MATCH(C2180,LOTES!$F$5:$F$1004,0)),""))</f>
        <v/>
      </c>
      <c r="F2180" s="24" t="str">
        <f aca="false">IF(C2180="","",IFERROR(INDEX(LOTES!$B$5:$B$1004,MATCH(C2180,LOTES!$F$5:$F$1004,0)),""))</f>
        <v/>
      </c>
      <c r="G2180" s="15" t="str">
        <f aca="false">IF(OR(B2180="",F2180=""),"",B2180-F2180)</f>
        <v/>
      </c>
      <c r="H2180" s="13"/>
      <c r="I2180" s="13"/>
      <c r="J2180" s="13"/>
      <c r="K2180" s="25"/>
      <c r="L2180" s="25"/>
      <c r="M2180" s="25"/>
      <c r="N2180" s="25"/>
      <c r="O2180" s="26"/>
      <c r="P2180" s="16" t="str">
        <f aca="false">IF(O2180="","",IFERROR(1/(1/(IF(K2180="",INDEX(CONFIG!$F$5:$F$14,MATCH(D2180,CONFIG!$D$5:$D$14,0)),K2180)*IF(M2180="",INDEX(CONFIG!$H$5:$H$14,MATCH(D2180,CONFIG!$D$5:$D$14,0)),M2180))),""))</f>
        <v/>
      </c>
      <c r="Q2180" s="16" t="str">
        <f aca="false">IF(OR(O2180="",P2180=""),"",O2180/P2180)</f>
        <v/>
      </c>
      <c r="R2180" s="16" t="str">
        <f aca="false">IF(Q2180="","",Q2180*0.0980665)</f>
        <v/>
      </c>
      <c r="S2180" s="16" t="str">
        <f aca="false">IF(Q2180="","",IFERROR(Q2180/(1/(1/INDEX(CONFIG!$I$5:$I$14,MATCH(D2180,CONFIG!$D$5:$D$14,0)))),""))</f>
        <v/>
      </c>
      <c r="T2180" s="13"/>
      <c r="U2180" s="13"/>
      <c r="V2180" s="13"/>
      <c r="W2180" s="13"/>
      <c r="X2180" s="22" t="str">
        <f aca="false">IF(Q2180="","",Q2180^2)</f>
        <v/>
      </c>
      <c r="Y2180" s="22" t="str">
        <f aca="false">IF(AND(C2180&lt;&gt;"",C2180=CERTIFICADO!$E$4,OR(CERTIFICADO!$E$5="",B2180=CERTIFICADO!$E$5)),MAX($Y$4:Y2179)+1,"")</f>
        <v/>
      </c>
    </row>
    <row r="2181" customFormat="false" ht="15" hidden="false" customHeight="false" outlineLevel="0" collapsed="false">
      <c r="A2181" s="11" t="str">
        <f aca="false">IF(C2181="","",ROW()-4)</f>
        <v/>
      </c>
      <c r="B2181" s="12"/>
      <c r="C2181" s="13"/>
      <c r="D2181" s="23" t="str">
        <f aca="false">IF(C2181="","",IFERROR(INDEX(LOTES!$D$5:$D$1004,MATCH(C2181,LOTES!$F$5:$F$1004,0)),"¿Lote?"))</f>
        <v/>
      </c>
      <c r="E2181" s="11" t="str">
        <f aca="false">IF(C2181="","",IFERROR(INDEX(LOTES!$C$5:$C$1004,MATCH(C2181,LOTES!$F$5:$F$1004,0)),""))</f>
        <v/>
      </c>
      <c r="F2181" s="24" t="str">
        <f aca="false">IF(C2181="","",IFERROR(INDEX(LOTES!$B$5:$B$1004,MATCH(C2181,LOTES!$F$5:$F$1004,0)),""))</f>
        <v/>
      </c>
      <c r="G2181" s="15" t="str">
        <f aca="false">IF(OR(B2181="",F2181=""),"",B2181-F2181)</f>
        <v/>
      </c>
      <c r="H2181" s="13"/>
      <c r="I2181" s="13"/>
      <c r="J2181" s="13"/>
      <c r="K2181" s="25"/>
      <c r="L2181" s="25"/>
      <c r="M2181" s="25"/>
      <c r="N2181" s="25"/>
      <c r="O2181" s="26"/>
      <c r="P2181" s="16" t="str">
        <f aca="false">IF(O2181="","",IFERROR(1/(1/(IF(K2181="",INDEX(CONFIG!$F$5:$F$14,MATCH(D2181,CONFIG!$D$5:$D$14,0)),K2181)*IF(M2181="",INDEX(CONFIG!$H$5:$H$14,MATCH(D2181,CONFIG!$D$5:$D$14,0)),M2181))),""))</f>
        <v/>
      </c>
      <c r="Q2181" s="16" t="str">
        <f aca="false">IF(OR(O2181="",P2181=""),"",O2181/P2181)</f>
        <v/>
      </c>
      <c r="R2181" s="16" t="str">
        <f aca="false">IF(Q2181="","",Q2181*0.0980665)</f>
        <v/>
      </c>
      <c r="S2181" s="16" t="str">
        <f aca="false">IF(Q2181="","",IFERROR(Q2181/(1/(1/INDEX(CONFIG!$I$5:$I$14,MATCH(D2181,CONFIG!$D$5:$D$14,0)))),""))</f>
        <v/>
      </c>
      <c r="T2181" s="13"/>
      <c r="U2181" s="13"/>
      <c r="V2181" s="13"/>
      <c r="W2181" s="13"/>
      <c r="X2181" s="22" t="str">
        <f aca="false">IF(Q2181="","",Q2181^2)</f>
        <v/>
      </c>
      <c r="Y2181" s="22" t="str">
        <f aca="false">IF(AND(C2181&lt;&gt;"",C2181=CERTIFICADO!$E$4,OR(CERTIFICADO!$E$5="",B2181=CERTIFICADO!$E$5)),MAX($Y$4:Y2180)+1,"")</f>
        <v/>
      </c>
    </row>
    <row r="2182" customFormat="false" ht="15" hidden="false" customHeight="false" outlineLevel="0" collapsed="false">
      <c r="A2182" s="11" t="str">
        <f aca="false">IF(C2182="","",ROW()-4)</f>
        <v/>
      </c>
      <c r="B2182" s="12"/>
      <c r="C2182" s="13"/>
      <c r="D2182" s="23" t="str">
        <f aca="false">IF(C2182="","",IFERROR(INDEX(LOTES!$D$5:$D$1004,MATCH(C2182,LOTES!$F$5:$F$1004,0)),"¿Lote?"))</f>
        <v/>
      </c>
      <c r="E2182" s="11" t="str">
        <f aca="false">IF(C2182="","",IFERROR(INDEX(LOTES!$C$5:$C$1004,MATCH(C2182,LOTES!$F$5:$F$1004,0)),""))</f>
        <v/>
      </c>
      <c r="F2182" s="24" t="str">
        <f aca="false">IF(C2182="","",IFERROR(INDEX(LOTES!$B$5:$B$1004,MATCH(C2182,LOTES!$F$5:$F$1004,0)),""))</f>
        <v/>
      </c>
      <c r="G2182" s="15" t="str">
        <f aca="false">IF(OR(B2182="",F2182=""),"",B2182-F2182)</f>
        <v/>
      </c>
      <c r="H2182" s="13"/>
      <c r="I2182" s="13"/>
      <c r="J2182" s="13"/>
      <c r="K2182" s="25"/>
      <c r="L2182" s="25"/>
      <c r="M2182" s="25"/>
      <c r="N2182" s="25"/>
      <c r="O2182" s="26"/>
      <c r="P2182" s="16" t="str">
        <f aca="false">IF(O2182="","",IFERROR(1/(1/(IF(K2182="",INDEX(CONFIG!$F$5:$F$14,MATCH(D2182,CONFIG!$D$5:$D$14,0)),K2182)*IF(M2182="",INDEX(CONFIG!$H$5:$H$14,MATCH(D2182,CONFIG!$D$5:$D$14,0)),M2182))),""))</f>
        <v/>
      </c>
      <c r="Q2182" s="16" t="str">
        <f aca="false">IF(OR(O2182="",P2182=""),"",O2182/P2182)</f>
        <v/>
      </c>
      <c r="R2182" s="16" t="str">
        <f aca="false">IF(Q2182="","",Q2182*0.0980665)</f>
        <v/>
      </c>
      <c r="S2182" s="16" t="str">
        <f aca="false">IF(Q2182="","",IFERROR(Q2182/(1/(1/INDEX(CONFIG!$I$5:$I$14,MATCH(D2182,CONFIG!$D$5:$D$14,0)))),""))</f>
        <v/>
      </c>
      <c r="T2182" s="13"/>
      <c r="U2182" s="13"/>
      <c r="V2182" s="13"/>
      <c r="W2182" s="13"/>
      <c r="X2182" s="22" t="str">
        <f aca="false">IF(Q2182="","",Q2182^2)</f>
        <v/>
      </c>
      <c r="Y2182" s="22" t="str">
        <f aca="false">IF(AND(C2182&lt;&gt;"",C2182=CERTIFICADO!$E$4,OR(CERTIFICADO!$E$5="",B2182=CERTIFICADO!$E$5)),MAX($Y$4:Y2181)+1,"")</f>
        <v/>
      </c>
    </row>
    <row r="2183" customFormat="false" ht="15" hidden="false" customHeight="false" outlineLevel="0" collapsed="false">
      <c r="A2183" s="11" t="str">
        <f aca="false">IF(C2183="","",ROW()-4)</f>
        <v/>
      </c>
      <c r="B2183" s="12"/>
      <c r="C2183" s="13"/>
      <c r="D2183" s="23" t="str">
        <f aca="false">IF(C2183="","",IFERROR(INDEX(LOTES!$D$5:$D$1004,MATCH(C2183,LOTES!$F$5:$F$1004,0)),"¿Lote?"))</f>
        <v/>
      </c>
      <c r="E2183" s="11" t="str">
        <f aca="false">IF(C2183="","",IFERROR(INDEX(LOTES!$C$5:$C$1004,MATCH(C2183,LOTES!$F$5:$F$1004,0)),""))</f>
        <v/>
      </c>
      <c r="F2183" s="24" t="str">
        <f aca="false">IF(C2183="","",IFERROR(INDEX(LOTES!$B$5:$B$1004,MATCH(C2183,LOTES!$F$5:$F$1004,0)),""))</f>
        <v/>
      </c>
      <c r="G2183" s="15" t="str">
        <f aca="false">IF(OR(B2183="",F2183=""),"",B2183-F2183)</f>
        <v/>
      </c>
      <c r="H2183" s="13"/>
      <c r="I2183" s="13"/>
      <c r="J2183" s="13"/>
      <c r="K2183" s="25"/>
      <c r="L2183" s="25"/>
      <c r="M2183" s="25"/>
      <c r="N2183" s="25"/>
      <c r="O2183" s="26"/>
      <c r="P2183" s="16" t="str">
        <f aca="false">IF(O2183="","",IFERROR(1/(1/(IF(K2183="",INDEX(CONFIG!$F$5:$F$14,MATCH(D2183,CONFIG!$D$5:$D$14,0)),K2183)*IF(M2183="",INDEX(CONFIG!$H$5:$H$14,MATCH(D2183,CONFIG!$D$5:$D$14,0)),M2183))),""))</f>
        <v/>
      </c>
      <c r="Q2183" s="16" t="str">
        <f aca="false">IF(OR(O2183="",P2183=""),"",O2183/P2183)</f>
        <v/>
      </c>
      <c r="R2183" s="16" t="str">
        <f aca="false">IF(Q2183="","",Q2183*0.0980665)</f>
        <v/>
      </c>
      <c r="S2183" s="16" t="str">
        <f aca="false">IF(Q2183="","",IFERROR(Q2183/(1/(1/INDEX(CONFIG!$I$5:$I$14,MATCH(D2183,CONFIG!$D$5:$D$14,0)))),""))</f>
        <v/>
      </c>
      <c r="T2183" s="13"/>
      <c r="U2183" s="13"/>
      <c r="V2183" s="13"/>
      <c r="W2183" s="13"/>
      <c r="X2183" s="22" t="str">
        <f aca="false">IF(Q2183="","",Q2183^2)</f>
        <v/>
      </c>
      <c r="Y2183" s="22" t="str">
        <f aca="false">IF(AND(C2183&lt;&gt;"",C2183=CERTIFICADO!$E$4,OR(CERTIFICADO!$E$5="",B2183=CERTIFICADO!$E$5)),MAX($Y$4:Y2182)+1,"")</f>
        <v/>
      </c>
    </row>
    <row r="2184" customFormat="false" ht="15" hidden="false" customHeight="false" outlineLevel="0" collapsed="false">
      <c r="A2184" s="11" t="str">
        <f aca="false">IF(C2184="","",ROW()-4)</f>
        <v/>
      </c>
      <c r="B2184" s="12"/>
      <c r="C2184" s="13"/>
      <c r="D2184" s="23" t="str">
        <f aca="false">IF(C2184="","",IFERROR(INDEX(LOTES!$D$5:$D$1004,MATCH(C2184,LOTES!$F$5:$F$1004,0)),"¿Lote?"))</f>
        <v/>
      </c>
      <c r="E2184" s="11" t="str">
        <f aca="false">IF(C2184="","",IFERROR(INDEX(LOTES!$C$5:$C$1004,MATCH(C2184,LOTES!$F$5:$F$1004,0)),""))</f>
        <v/>
      </c>
      <c r="F2184" s="24" t="str">
        <f aca="false">IF(C2184="","",IFERROR(INDEX(LOTES!$B$5:$B$1004,MATCH(C2184,LOTES!$F$5:$F$1004,0)),""))</f>
        <v/>
      </c>
      <c r="G2184" s="15" t="str">
        <f aca="false">IF(OR(B2184="",F2184=""),"",B2184-F2184)</f>
        <v/>
      </c>
      <c r="H2184" s="13"/>
      <c r="I2184" s="13"/>
      <c r="J2184" s="13"/>
      <c r="K2184" s="25"/>
      <c r="L2184" s="25"/>
      <c r="M2184" s="25"/>
      <c r="N2184" s="25"/>
      <c r="O2184" s="26"/>
      <c r="P2184" s="16" t="str">
        <f aca="false">IF(O2184="","",IFERROR(1/(1/(IF(K2184="",INDEX(CONFIG!$F$5:$F$14,MATCH(D2184,CONFIG!$D$5:$D$14,0)),K2184)*IF(M2184="",INDEX(CONFIG!$H$5:$H$14,MATCH(D2184,CONFIG!$D$5:$D$14,0)),M2184))),""))</f>
        <v/>
      </c>
      <c r="Q2184" s="16" t="str">
        <f aca="false">IF(OR(O2184="",P2184=""),"",O2184/P2184)</f>
        <v/>
      </c>
      <c r="R2184" s="16" t="str">
        <f aca="false">IF(Q2184="","",Q2184*0.0980665)</f>
        <v/>
      </c>
      <c r="S2184" s="16" t="str">
        <f aca="false">IF(Q2184="","",IFERROR(Q2184/(1/(1/INDEX(CONFIG!$I$5:$I$14,MATCH(D2184,CONFIG!$D$5:$D$14,0)))),""))</f>
        <v/>
      </c>
      <c r="T2184" s="13"/>
      <c r="U2184" s="13"/>
      <c r="V2184" s="13"/>
      <c r="W2184" s="13"/>
      <c r="X2184" s="22" t="str">
        <f aca="false">IF(Q2184="","",Q2184^2)</f>
        <v/>
      </c>
      <c r="Y2184" s="22" t="str">
        <f aca="false">IF(AND(C2184&lt;&gt;"",C2184=CERTIFICADO!$E$4,OR(CERTIFICADO!$E$5="",B2184=CERTIFICADO!$E$5)),MAX($Y$4:Y2183)+1,"")</f>
        <v/>
      </c>
    </row>
    <row r="2185" customFormat="false" ht="15" hidden="false" customHeight="false" outlineLevel="0" collapsed="false">
      <c r="A2185" s="11" t="str">
        <f aca="false">IF(C2185="","",ROW()-4)</f>
        <v/>
      </c>
      <c r="B2185" s="12"/>
      <c r="C2185" s="13"/>
      <c r="D2185" s="23" t="str">
        <f aca="false">IF(C2185="","",IFERROR(INDEX(LOTES!$D$5:$D$1004,MATCH(C2185,LOTES!$F$5:$F$1004,0)),"¿Lote?"))</f>
        <v/>
      </c>
      <c r="E2185" s="11" t="str">
        <f aca="false">IF(C2185="","",IFERROR(INDEX(LOTES!$C$5:$C$1004,MATCH(C2185,LOTES!$F$5:$F$1004,0)),""))</f>
        <v/>
      </c>
      <c r="F2185" s="24" t="str">
        <f aca="false">IF(C2185="","",IFERROR(INDEX(LOTES!$B$5:$B$1004,MATCH(C2185,LOTES!$F$5:$F$1004,0)),""))</f>
        <v/>
      </c>
      <c r="G2185" s="15" t="str">
        <f aca="false">IF(OR(B2185="",F2185=""),"",B2185-F2185)</f>
        <v/>
      </c>
      <c r="H2185" s="13"/>
      <c r="I2185" s="13"/>
      <c r="J2185" s="13"/>
      <c r="K2185" s="25"/>
      <c r="L2185" s="25"/>
      <c r="M2185" s="25"/>
      <c r="N2185" s="25"/>
      <c r="O2185" s="26"/>
      <c r="P2185" s="16" t="str">
        <f aca="false">IF(O2185="","",IFERROR(1/(1/(IF(K2185="",INDEX(CONFIG!$F$5:$F$14,MATCH(D2185,CONFIG!$D$5:$D$14,0)),K2185)*IF(M2185="",INDEX(CONFIG!$H$5:$H$14,MATCH(D2185,CONFIG!$D$5:$D$14,0)),M2185))),""))</f>
        <v/>
      </c>
      <c r="Q2185" s="16" t="str">
        <f aca="false">IF(OR(O2185="",P2185=""),"",O2185/P2185)</f>
        <v/>
      </c>
      <c r="R2185" s="16" t="str">
        <f aca="false">IF(Q2185="","",Q2185*0.0980665)</f>
        <v/>
      </c>
      <c r="S2185" s="16" t="str">
        <f aca="false">IF(Q2185="","",IFERROR(Q2185/(1/(1/INDEX(CONFIG!$I$5:$I$14,MATCH(D2185,CONFIG!$D$5:$D$14,0)))),""))</f>
        <v/>
      </c>
      <c r="T2185" s="13"/>
      <c r="U2185" s="13"/>
      <c r="V2185" s="13"/>
      <c r="W2185" s="13"/>
      <c r="X2185" s="22" t="str">
        <f aca="false">IF(Q2185="","",Q2185^2)</f>
        <v/>
      </c>
      <c r="Y2185" s="22" t="str">
        <f aca="false">IF(AND(C2185&lt;&gt;"",C2185=CERTIFICADO!$E$4,OR(CERTIFICADO!$E$5="",B2185=CERTIFICADO!$E$5)),MAX($Y$4:Y2184)+1,"")</f>
        <v/>
      </c>
    </row>
    <row r="2186" customFormat="false" ht="15" hidden="false" customHeight="false" outlineLevel="0" collapsed="false">
      <c r="A2186" s="11" t="str">
        <f aca="false">IF(C2186="","",ROW()-4)</f>
        <v/>
      </c>
      <c r="B2186" s="12"/>
      <c r="C2186" s="13"/>
      <c r="D2186" s="23" t="str">
        <f aca="false">IF(C2186="","",IFERROR(INDEX(LOTES!$D$5:$D$1004,MATCH(C2186,LOTES!$F$5:$F$1004,0)),"¿Lote?"))</f>
        <v/>
      </c>
      <c r="E2186" s="11" t="str">
        <f aca="false">IF(C2186="","",IFERROR(INDEX(LOTES!$C$5:$C$1004,MATCH(C2186,LOTES!$F$5:$F$1004,0)),""))</f>
        <v/>
      </c>
      <c r="F2186" s="24" t="str">
        <f aca="false">IF(C2186="","",IFERROR(INDEX(LOTES!$B$5:$B$1004,MATCH(C2186,LOTES!$F$5:$F$1004,0)),""))</f>
        <v/>
      </c>
      <c r="G2186" s="15" t="str">
        <f aca="false">IF(OR(B2186="",F2186=""),"",B2186-F2186)</f>
        <v/>
      </c>
      <c r="H2186" s="13"/>
      <c r="I2186" s="13"/>
      <c r="J2186" s="13"/>
      <c r="K2186" s="25"/>
      <c r="L2186" s="25"/>
      <c r="M2186" s="25"/>
      <c r="N2186" s="25"/>
      <c r="O2186" s="26"/>
      <c r="P2186" s="16" t="str">
        <f aca="false">IF(O2186="","",IFERROR(1/(1/(IF(K2186="",INDEX(CONFIG!$F$5:$F$14,MATCH(D2186,CONFIG!$D$5:$D$14,0)),K2186)*IF(M2186="",INDEX(CONFIG!$H$5:$H$14,MATCH(D2186,CONFIG!$D$5:$D$14,0)),M2186))),""))</f>
        <v/>
      </c>
      <c r="Q2186" s="16" t="str">
        <f aca="false">IF(OR(O2186="",P2186=""),"",O2186/P2186)</f>
        <v/>
      </c>
      <c r="R2186" s="16" t="str">
        <f aca="false">IF(Q2186="","",Q2186*0.0980665)</f>
        <v/>
      </c>
      <c r="S2186" s="16" t="str">
        <f aca="false">IF(Q2186="","",IFERROR(Q2186/(1/(1/INDEX(CONFIG!$I$5:$I$14,MATCH(D2186,CONFIG!$D$5:$D$14,0)))),""))</f>
        <v/>
      </c>
      <c r="T2186" s="13"/>
      <c r="U2186" s="13"/>
      <c r="V2186" s="13"/>
      <c r="W2186" s="13"/>
      <c r="X2186" s="22" t="str">
        <f aca="false">IF(Q2186="","",Q2186^2)</f>
        <v/>
      </c>
      <c r="Y2186" s="22" t="str">
        <f aca="false">IF(AND(C2186&lt;&gt;"",C2186=CERTIFICADO!$E$4,OR(CERTIFICADO!$E$5="",B2186=CERTIFICADO!$E$5)),MAX($Y$4:Y2185)+1,"")</f>
        <v/>
      </c>
    </row>
    <row r="2187" customFormat="false" ht="15" hidden="false" customHeight="false" outlineLevel="0" collapsed="false">
      <c r="A2187" s="11" t="str">
        <f aca="false">IF(C2187="","",ROW()-4)</f>
        <v/>
      </c>
      <c r="B2187" s="12"/>
      <c r="C2187" s="13"/>
      <c r="D2187" s="23" t="str">
        <f aca="false">IF(C2187="","",IFERROR(INDEX(LOTES!$D$5:$D$1004,MATCH(C2187,LOTES!$F$5:$F$1004,0)),"¿Lote?"))</f>
        <v/>
      </c>
      <c r="E2187" s="11" t="str">
        <f aca="false">IF(C2187="","",IFERROR(INDEX(LOTES!$C$5:$C$1004,MATCH(C2187,LOTES!$F$5:$F$1004,0)),""))</f>
        <v/>
      </c>
      <c r="F2187" s="24" t="str">
        <f aca="false">IF(C2187="","",IFERROR(INDEX(LOTES!$B$5:$B$1004,MATCH(C2187,LOTES!$F$5:$F$1004,0)),""))</f>
        <v/>
      </c>
      <c r="G2187" s="15" t="str">
        <f aca="false">IF(OR(B2187="",F2187=""),"",B2187-F2187)</f>
        <v/>
      </c>
      <c r="H2187" s="13"/>
      <c r="I2187" s="13"/>
      <c r="J2187" s="13"/>
      <c r="K2187" s="25"/>
      <c r="L2187" s="25"/>
      <c r="M2187" s="25"/>
      <c r="N2187" s="25"/>
      <c r="O2187" s="26"/>
      <c r="P2187" s="16" t="str">
        <f aca="false">IF(O2187="","",IFERROR(1/(1/(IF(K2187="",INDEX(CONFIG!$F$5:$F$14,MATCH(D2187,CONFIG!$D$5:$D$14,0)),K2187)*IF(M2187="",INDEX(CONFIG!$H$5:$H$14,MATCH(D2187,CONFIG!$D$5:$D$14,0)),M2187))),""))</f>
        <v/>
      </c>
      <c r="Q2187" s="16" t="str">
        <f aca="false">IF(OR(O2187="",P2187=""),"",O2187/P2187)</f>
        <v/>
      </c>
      <c r="R2187" s="16" t="str">
        <f aca="false">IF(Q2187="","",Q2187*0.0980665)</f>
        <v/>
      </c>
      <c r="S2187" s="16" t="str">
        <f aca="false">IF(Q2187="","",IFERROR(Q2187/(1/(1/INDEX(CONFIG!$I$5:$I$14,MATCH(D2187,CONFIG!$D$5:$D$14,0)))),""))</f>
        <v/>
      </c>
      <c r="T2187" s="13"/>
      <c r="U2187" s="13"/>
      <c r="V2187" s="13"/>
      <c r="W2187" s="13"/>
      <c r="X2187" s="22" t="str">
        <f aca="false">IF(Q2187="","",Q2187^2)</f>
        <v/>
      </c>
      <c r="Y2187" s="22" t="str">
        <f aca="false">IF(AND(C2187&lt;&gt;"",C2187=CERTIFICADO!$E$4,OR(CERTIFICADO!$E$5="",B2187=CERTIFICADO!$E$5)),MAX($Y$4:Y2186)+1,"")</f>
        <v/>
      </c>
    </row>
    <row r="2188" customFormat="false" ht="15" hidden="false" customHeight="false" outlineLevel="0" collapsed="false">
      <c r="A2188" s="11" t="str">
        <f aca="false">IF(C2188="","",ROW()-4)</f>
        <v/>
      </c>
      <c r="B2188" s="12"/>
      <c r="C2188" s="13"/>
      <c r="D2188" s="23" t="str">
        <f aca="false">IF(C2188="","",IFERROR(INDEX(LOTES!$D$5:$D$1004,MATCH(C2188,LOTES!$F$5:$F$1004,0)),"¿Lote?"))</f>
        <v/>
      </c>
      <c r="E2188" s="11" t="str">
        <f aca="false">IF(C2188="","",IFERROR(INDEX(LOTES!$C$5:$C$1004,MATCH(C2188,LOTES!$F$5:$F$1004,0)),""))</f>
        <v/>
      </c>
      <c r="F2188" s="24" t="str">
        <f aca="false">IF(C2188="","",IFERROR(INDEX(LOTES!$B$5:$B$1004,MATCH(C2188,LOTES!$F$5:$F$1004,0)),""))</f>
        <v/>
      </c>
      <c r="G2188" s="15" t="str">
        <f aca="false">IF(OR(B2188="",F2188=""),"",B2188-F2188)</f>
        <v/>
      </c>
      <c r="H2188" s="13"/>
      <c r="I2188" s="13"/>
      <c r="J2188" s="13"/>
      <c r="K2188" s="25"/>
      <c r="L2188" s="25"/>
      <c r="M2188" s="25"/>
      <c r="N2188" s="25"/>
      <c r="O2188" s="26"/>
      <c r="P2188" s="16" t="str">
        <f aca="false">IF(O2188="","",IFERROR(1/(1/(IF(K2188="",INDEX(CONFIG!$F$5:$F$14,MATCH(D2188,CONFIG!$D$5:$D$14,0)),K2188)*IF(M2188="",INDEX(CONFIG!$H$5:$H$14,MATCH(D2188,CONFIG!$D$5:$D$14,0)),M2188))),""))</f>
        <v/>
      </c>
      <c r="Q2188" s="16" t="str">
        <f aca="false">IF(OR(O2188="",P2188=""),"",O2188/P2188)</f>
        <v/>
      </c>
      <c r="R2188" s="16" t="str">
        <f aca="false">IF(Q2188="","",Q2188*0.0980665)</f>
        <v/>
      </c>
      <c r="S2188" s="16" t="str">
        <f aca="false">IF(Q2188="","",IFERROR(Q2188/(1/(1/INDEX(CONFIG!$I$5:$I$14,MATCH(D2188,CONFIG!$D$5:$D$14,0)))),""))</f>
        <v/>
      </c>
      <c r="T2188" s="13"/>
      <c r="U2188" s="13"/>
      <c r="V2188" s="13"/>
      <c r="W2188" s="13"/>
      <c r="X2188" s="22" t="str">
        <f aca="false">IF(Q2188="","",Q2188^2)</f>
        <v/>
      </c>
      <c r="Y2188" s="22" t="str">
        <f aca="false">IF(AND(C2188&lt;&gt;"",C2188=CERTIFICADO!$E$4,OR(CERTIFICADO!$E$5="",B2188=CERTIFICADO!$E$5)),MAX($Y$4:Y2187)+1,"")</f>
        <v/>
      </c>
    </row>
    <row r="2189" customFormat="false" ht="15" hidden="false" customHeight="false" outlineLevel="0" collapsed="false">
      <c r="A2189" s="11" t="str">
        <f aca="false">IF(C2189="","",ROW()-4)</f>
        <v/>
      </c>
      <c r="B2189" s="12"/>
      <c r="C2189" s="13"/>
      <c r="D2189" s="23" t="str">
        <f aca="false">IF(C2189="","",IFERROR(INDEX(LOTES!$D$5:$D$1004,MATCH(C2189,LOTES!$F$5:$F$1004,0)),"¿Lote?"))</f>
        <v/>
      </c>
      <c r="E2189" s="11" t="str">
        <f aca="false">IF(C2189="","",IFERROR(INDEX(LOTES!$C$5:$C$1004,MATCH(C2189,LOTES!$F$5:$F$1004,0)),""))</f>
        <v/>
      </c>
      <c r="F2189" s="24" t="str">
        <f aca="false">IF(C2189="","",IFERROR(INDEX(LOTES!$B$5:$B$1004,MATCH(C2189,LOTES!$F$5:$F$1004,0)),""))</f>
        <v/>
      </c>
      <c r="G2189" s="15" t="str">
        <f aca="false">IF(OR(B2189="",F2189=""),"",B2189-F2189)</f>
        <v/>
      </c>
      <c r="H2189" s="13"/>
      <c r="I2189" s="13"/>
      <c r="J2189" s="13"/>
      <c r="K2189" s="25"/>
      <c r="L2189" s="25"/>
      <c r="M2189" s="25"/>
      <c r="N2189" s="25"/>
      <c r="O2189" s="26"/>
      <c r="P2189" s="16" t="str">
        <f aca="false">IF(O2189="","",IFERROR(1/(1/(IF(K2189="",INDEX(CONFIG!$F$5:$F$14,MATCH(D2189,CONFIG!$D$5:$D$14,0)),K2189)*IF(M2189="",INDEX(CONFIG!$H$5:$H$14,MATCH(D2189,CONFIG!$D$5:$D$14,0)),M2189))),""))</f>
        <v/>
      </c>
      <c r="Q2189" s="16" t="str">
        <f aca="false">IF(OR(O2189="",P2189=""),"",O2189/P2189)</f>
        <v/>
      </c>
      <c r="R2189" s="16" t="str">
        <f aca="false">IF(Q2189="","",Q2189*0.0980665)</f>
        <v/>
      </c>
      <c r="S2189" s="16" t="str">
        <f aca="false">IF(Q2189="","",IFERROR(Q2189/(1/(1/INDEX(CONFIG!$I$5:$I$14,MATCH(D2189,CONFIG!$D$5:$D$14,0)))),""))</f>
        <v/>
      </c>
      <c r="T2189" s="13"/>
      <c r="U2189" s="13"/>
      <c r="V2189" s="13"/>
      <c r="W2189" s="13"/>
      <c r="X2189" s="22" t="str">
        <f aca="false">IF(Q2189="","",Q2189^2)</f>
        <v/>
      </c>
      <c r="Y2189" s="22" t="str">
        <f aca="false">IF(AND(C2189&lt;&gt;"",C2189=CERTIFICADO!$E$4,OR(CERTIFICADO!$E$5="",B2189=CERTIFICADO!$E$5)),MAX($Y$4:Y2188)+1,"")</f>
        <v/>
      </c>
    </row>
    <row r="2190" customFormat="false" ht="15" hidden="false" customHeight="false" outlineLevel="0" collapsed="false">
      <c r="A2190" s="11" t="str">
        <f aca="false">IF(C2190="","",ROW()-4)</f>
        <v/>
      </c>
      <c r="B2190" s="12"/>
      <c r="C2190" s="13"/>
      <c r="D2190" s="23" t="str">
        <f aca="false">IF(C2190="","",IFERROR(INDEX(LOTES!$D$5:$D$1004,MATCH(C2190,LOTES!$F$5:$F$1004,0)),"¿Lote?"))</f>
        <v/>
      </c>
      <c r="E2190" s="11" t="str">
        <f aca="false">IF(C2190="","",IFERROR(INDEX(LOTES!$C$5:$C$1004,MATCH(C2190,LOTES!$F$5:$F$1004,0)),""))</f>
        <v/>
      </c>
      <c r="F2190" s="24" t="str">
        <f aca="false">IF(C2190="","",IFERROR(INDEX(LOTES!$B$5:$B$1004,MATCH(C2190,LOTES!$F$5:$F$1004,0)),""))</f>
        <v/>
      </c>
      <c r="G2190" s="15" t="str">
        <f aca="false">IF(OR(B2190="",F2190=""),"",B2190-F2190)</f>
        <v/>
      </c>
      <c r="H2190" s="13"/>
      <c r="I2190" s="13"/>
      <c r="J2190" s="13"/>
      <c r="K2190" s="25"/>
      <c r="L2190" s="25"/>
      <c r="M2190" s="25"/>
      <c r="N2190" s="25"/>
      <c r="O2190" s="26"/>
      <c r="P2190" s="16" t="str">
        <f aca="false">IF(O2190="","",IFERROR(1/(1/(IF(K2190="",INDEX(CONFIG!$F$5:$F$14,MATCH(D2190,CONFIG!$D$5:$D$14,0)),K2190)*IF(M2190="",INDEX(CONFIG!$H$5:$H$14,MATCH(D2190,CONFIG!$D$5:$D$14,0)),M2190))),""))</f>
        <v/>
      </c>
      <c r="Q2190" s="16" t="str">
        <f aca="false">IF(OR(O2190="",P2190=""),"",O2190/P2190)</f>
        <v/>
      </c>
      <c r="R2190" s="16" t="str">
        <f aca="false">IF(Q2190="","",Q2190*0.0980665)</f>
        <v/>
      </c>
      <c r="S2190" s="16" t="str">
        <f aca="false">IF(Q2190="","",IFERROR(Q2190/(1/(1/INDEX(CONFIG!$I$5:$I$14,MATCH(D2190,CONFIG!$D$5:$D$14,0)))),""))</f>
        <v/>
      </c>
      <c r="T2190" s="13"/>
      <c r="U2190" s="13"/>
      <c r="V2190" s="13"/>
      <c r="W2190" s="13"/>
      <c r="X2190" s="22" t="str">
        <f aca="false">IF(Q2190="","",Q2190^2)</f>
        <v/>
      </c>
      <c r="Y2190" s="22" t="str">
        <f aca="false">IF(AND(C2190&lt;&gt;"",C2190=CERTIFICADO!$E$4,OR(CERTIFICADO!$E$5="",B2190=CERTIFICADO!$E$5)),MAX($Y$4:Y2189)+1,"")</f>
        <v/>
      </c>
    </row>
    <row r="2191" customFormat="false" ht="15" hidden="false" customHeight="false" outlineLevel="0" collapsed="false">
      <c r="A2191" s="11" t="str">
        <f aca="false">IF(C2191="","",ROW()-4)</f>
        <v/>
      </c>
      <c r="B2191" s="12"/>
      <c r="C2191" s="13"/>
      <c r="D2191" s="23" t="str">
        <f aca="false">IF(C2191="","",IFERROR(INDEX(LOTES!$D$5:$D$1004,MATCH(C2191,LOTES!$F$5:$F$1004,0)),"¿Lote?"))</f>
        <v/>
      </c>
      <c r="E2191" s="11" t="str">
        <f aca="false">IF(C2191="","",IFERROR(INDEX(LOTES!$C$5:$C$1004,MATCH(C2191,LOTES!$F$5:$F$1004,0)),""))</f>
        <v/>
      </c>
      <c r="F2191" s="24" t="str">
        <f aca="false">IF(C2191="","",IFERROR(INDEX(LOTES!$B$5:$B$1004,MATCH(C2191,LOTES!$F$5:$F$1004,0)),""))</f>
        <v/>
      </c>
      <c r="G2191" s="15" t="str">
        <f aca="false">IF(OR(B2191="",F2191=""),"",B2191-F2191)</f>
        <v/>
      </c>
      <c r="H2191" s="13"/>
      <c r="I2191" s="13"/>
      <c r="J2191" s="13"/>
      <c r="K2191" s="25"/>
      <c r="L2191" s="25"/>
      <c r="M2191" s="25"/>
      <c r="N2191" s="25"/>
      <c r="O2191" s="26"/>
      <c r="P2191" s="16" t="str">
        <f aca="false">IF(O2191="","",IFERROR(1/(1/(IF(K2191="",INDEX(CONFIG!$F$5:$F$14,MATCH(D2191,CONFIG!$D$5:$D$14,0)),K2191)*IF(M2191="",INDEX(CONFIG!$H$5:$H$14,MATCH(D2191,CONFIG!$D$5:$D$14,0)),M2191))),""))</f>
        <v/>
      </c>
      <c r="Q2191" s="16" t="str">
        <f aca="false">IF(OR(O2191="",P2191=""),"",O2191/P2191)</f>
        <v/>
      </c>
      <c r="R2191" s="16" t="str">
        <f aca="false">IF(Q2191="","",Q2191*0.0980665)</f>
        <v/>
      </c>
      <c r="S2191" s="16" t="str">
        <f aca="false">IF(Q2191="","",IFERROR(Q2191/(1/(1/INDEX(CONFIG!$I$5:$I$14,MATCH(D2191,CONFIG!$D$5:$D$14,0)))),""))</f>
        <v/>
      </c>
      <c r="T2191" s="13"/>
      <c r="U2191" s="13"/>
      <c r="V2191" s="13"/>
      <c r="W2191" s="13"/>
      <c r="X2191" s="22" t="str">
        <f aca="false">IF(Q2191="","",Q2191^2)</f>
        <v/>
      </c>
      <c r="Y2191" s="22" t="str">
        <f aca="false">IF(AND(C2191&lt;&gt;"",C2191=CERTIFICADO!$E$4,OR(CERTIFICADO!$E$5="",B2191=CERTIFICADO!$E$5)),MAX($Y$4:Y2190)+1,"")</f>
        <v/>
      </c>
    </row>
    <row r="2192" customFormat="false" ht="15" hidden="false" customHeight="false" outlineLevel="0" collapsed="false">
      <c r="A2192" s="11" t="str">
        <f aca="false">IF(C2192="","",ROW()-4)</f>
        <v/>
      </c>
      <c r="B2192" s="12"/>
      <c r="C2192" s="13"/>
      <c r="D2192" s="23" t="str">
        <f aca="false">IF(C2192="","",IFERROR(INDEX(LOTES!$D$5:$D$1004,MATCH(C2192,LOTES!$F$5:$F$1004,0)),"¿Lote?"))</f>
        <v/>
      </c>
      <c r="E2192" s="11" t="str">
        <f aca="false">IF(C2192="","",IFERROR(INDEX(LOTES!$C$5:$C$1004,MATCH(C2192,LOTES!$F$5:$F$1004,0)),""))</f>
        <v/>
      </c>
      <c r="F2192" s="24" t="str">
        <f aca="false">IF(C2192="","",IFERROR(INDEX(LOTES!$B$5:$B$1004,MATCH(C2192,LOTES!$F$5:$F$1004,0)),""))</f>
        <v/>
      </c>
      <c r="G2192" s="15" t="str">
        <f aca="false">IF(OR(B2192="",F2192=""),"",B2192-F2192)</f>
        <v/>
      </c>
      <c r="H2192" s="13"/>
      <c r="I2192" s="13"/>
      <c r="J2192" s="13"/>
      <c r="K2192" s="25"/>
      <c r="L2192" s="25"/>
      <c r="M2192" s="25"/>
      <c r="N2192" s="25"/>
      <c r="O2192" s="26"/>
      <c r="P2192" s="16" t="str">
        <f aca="false">IF(O2192="","",IFERROR(1/(1/(IF(K2192="",INDEX(CONFIG!$F$5:$F$14,MATCH(D2192,CONFIG!$D$5:$D$14,0)),K2192)*IF(M2192="",INDEX(CONFIG!$H$5:$H$14,MATCH(D2192,CONFIG!$D$5:$D$14,0)),M2192))),""))</f>
        <v/>
      </c>
      <c r="Q2192" s="16" t="str">
        <f aca="false">IF(OR(O2192="",P2192=""),"",O2192/P2192)</f>
        <v/>
      </c>
      <c r="R2192" s="16" t="str">
        <f aca="false">IF(Q2192="","",Q2192*0.0980665)</f>
        <v/>
      </c>
      <c r="S2192" s="16" t="str">
        <f aca="false">IF(Q2192="","",IFERROR(Q2192/(1/(1/INDEX(CONFIG!$I$5:$I$14,MATCH(D2192,CONFIG!$D$5:$D$14,0)))),""))</f>
        <v/>
      </c>
      <c r="T2192" s="13"/>
      <c r="U2192" s="13"/>
      <c r="V2192" s="13"/>
      <c r="W2192" s="13"/>
      <c r="X2192" s="22" t="str">
        <f aca="false">IF(Q2192="","",Q2192^2)</f>
        <v/>
      </c>
      <c r="Y2192" s="22" t="str">
        <f aca="false">IF(AND(C2192&lt;&gt;"",C2192=CERTIFICADO!$E$4,OR(CERTIFICADO!$E$5="",B2192=CERTIFICADO!$E$5)),MAX($Y$4:Y2191)+1,"")</f>
        <v/>
      </c>
    </row>
    <row r="2193" customFormat="false" ht="15" hidden="false" customHeight="false" outlineLevel="0" collapsed="false">
      <c r="A2193" s="11" t="str">
        <f aca="false">IF(C2193="","",ROW()-4)</f>
        <v/>
      </c>
      <c r="B2193" s="12"/>
      <c r="C2193" s="13"/>
      <c r="D2193" s="23" t="str">
        <f aca="false">IF(C2193="","",IFERROR(INDEX(LOTES!$D$5:$D$1004,MATCH(C2193,LOTES!$F$5:$F$1004,0)),"¿Lote?"))</f>
        <v/>
      </c>
      <c r="E2193" s="11" t="str">
        <f aca="false">IF(C2193="","",IFERROR(INDEX(LOTES!$C$5:$C$1004,MATCH(C2193,LOTES!$F$5:$F$1004,0)),""))</f>
        <v/>
      </c>
      <c r="F2193" s="24" t="str">
        <f aca="false">IF(C2193="","",IFERROR(INDEX(LOTES!$B$5:$B$1004,MATCH(C2193,LOTES!$F$5:$F$1004,0)),""))</f>
        <v/>
      </c>
      <c r="G2193" s="15" t="str">
        <f aca="false">IF(OR(B2193="",F2193=""),"",B2193-F2193)</f>
        <v/>
      </c>
      <c r="H2193" s="13"/>
      <c r="I2193" s="13"/>
      <c r="J2193" s="13"/>
      <c r="K2193" s="25"/>
      <c r="L2193" s="25"/>
      <c r="M2193" s="25"/>
      <c r="N2193" s="25"/>
      <c r="O2193" s="26"/>
      <c r="P2193" s="16" t="str">
        <f aca="false">IF(O2193="","",IFERROR(1/(1/(IF(K2193="",INDEX(CONFIG!$F$5:$F$14,MATCH(D2193,CONFIG!$D$5:$D$14,0)),K2193)*IF(M2193="",INDEX(CONFIG!$H$5:$H$14,MATCH(D2193,CONFIG!$D$5:$D$14,0)),M2193))),""))</f>
        <v/>
      </c>
      <c r="Q2193" s="16" t="str">
        <f aca="false">IF(OR(O2193="",P2193=""),"",O2193/P2193)</f>
        <v/>
      </c>
      <c r="R2193" s="16" t="str">
        <f aca="false">IF(Q2193="","",Q2193*0.0980665)</f>
        <v/>
      </c>
      <c r="S2193" s="16" t="str">
        <f aca="false">IF(Q2193="","",IFERROR(Q2193/(1/(1/INDEX(CONFIG!$I$5:$I$14,MATCH(D2193,CONFIG!$D$5:$D$14,0)))),""))</f>
        <v/>
      </c>
      <c r="T2193" s="13"/>
      <c r="U2193" s="13"/>
      <c r="V2193" s="13"/>
      <c r="W2193" s="13"/>
      <c r="X2193" s="22" t="str">
        <f aca="false">IF(Q2193="","",Q2193^2)</f>
        <v/>
      </c>
      <c r="Y2193" s="22" t="str">
        <f aca="false">IF(AND(C2193&lt;&gt;"",C2193=CERTIFICADO!$E$4,OR(CERTIFICADO!$E$5="",B2193=CERTIFICADO!$E$5)),MAX($Y$4:Y2192)+1,"")</f>
        <v/>
      </c>
    </row>
    <row r="2194" customFormat="false" ht="15" hidden="false" customHeight="false" outlineLevel="0" collapsed="false">
      <c r="A2194" s="11" t="str">
        <f aca="false">IF(C2194="","",ROW()-4)</f>
        <v/>
      </c>
      <c r="B2194" s="12"/>
      <c r="C2194" s="13"/>
      <c r="D2194" s="23" t="str">
        <f aca="false">IF(C2194="","",IFERROR(INDEX(LOTES!$D$5:$D$1004,MATCH(C2194,LOTES!$F$5:$F$1004,0)),"¿Lote?"))</f>
        <v/>
      </c>
      <c r="E2194" s="11" t="str">
        <f aca="false">IF(C2194="","",IFERROR(INDEX(LOTES!$C$5:$C$1004,MATCH(C2194,LOTES!$F$5:$F$1004,0)),""))</f>
        <v/>
      </c>
      <c r="F2194" s="24" t="str">
        <f aca="false">IF(C2194="","",IFERROR(INDEX(LOTES!$B$5:$B$1004,MATCH(C2194,LOTES!$F$5:$F$1004,0)),""))</f>
        <v/>
      </c>
      <c r="G2194" s="15" t="str">
        <f aca="false">IF(OR(B2194="",F2194=""),"",B2194-F2194)</f>
        <v/>
      </c>
      <c r="H2194" s="13"/>
      <c r="I2194" s="13"/>
      <c r="J2194" s="13"/>
      <c r="K2194" s="25"/>
      <c r="L2194" s="25"/>
      <c r="M2194" s="25"/>
      <c r="N2194" s="25"/>
      <c r="O2194" s="26"/>
      <c r="P2194" s="16" t="str">
        <f aca="false">IF(O2194="","",IFERROR(1/(1/(IF(K2194="",INDEX(CONFIG!$F$5:$F$14,MATCH(D2194,CONFIG!$D$5:$D$14,0)),K2194)*IF(M2194="",INDEX(CONFIG!$H$5:$H$14,MATCH(D2194,CONFIG!$D$5:$D$14,0)),M2194))),""))</f>
        <v/>
      </c>
      <c r="Q2194" s="16" t="str">
        <f aca="false">IF(OR(O2194="",P2194=""),"",O2194/P2194)</f>
        <v/>
      </c>
      <c r="R2194" s="16" t="str">
        <f aca="false">IF(Q2194="","",Q2194*0.0980665)</f>
        <v/>
      </c>
      <c r="S2194" s="16" t="str">
        <f aca="false">IF(Q2194="","",IFERROR(Q2194/(1/(1/INDEX(CONFIG!$I$5:$I$14,MATCH(D2194,CONFIG!$D$5:$D$14,0)))),""))</f>
        <v/>
      </c>
      <c r="T2194" s="13"/>
      <c r="U2194" s="13"/>
      <c r="V2194" s="13"/>
      <c r="W2194" s="13"/>
      <c r="X2194" s="22" t="str">
        <f aca="false">IF(Q2194="","",Q2194^2)</f>
        <v/>
      </c>
      <c r="Y2194" s="22" t="str">
        <f aca="false">IF(AND(C2194&lt;&gt;"",C2194=CERTIFICADO!$E$4,OR(CERTIFICADO!$E$5="",B2194=CERTIFICADO!$E$5)),MAX($Y$4:Y2193)+1,"")</f>
        <v/>
      </c>
    </row>
    <row r="2195" customFormat="false" ht="15" hidden="false" customHeight="false" outlineLevel="0" collapsed="false">
      <c r="A2195" s="11" t="str">
        <f aca="false">IF(C2195="","",ROW()-4)</f>
        <v/>
      </c>
      <c r="B2195" s="12"/>
      <c r="C2195" s="13"/>
      <c r="D2195" s="23" t="str">
        <f aca="false">IF(C2195="","",IFERROR(INDEX(LOTES!$D$5:$D$1004,MATCH(C2195,LOTES!$F$5:$F$1004,0)),"¿Lote?"))</f>
        <v/>
      </c>
      <c r="E2195" s="11" t="str">
        <f aca="false">IF(C2195="","",IFERROR(INDEX(LOTES!$C$5:$C$1004,MATCH(C2195,LOTES!$F$5:$F$1004,0)),""))</f>
        <v/>
      </c>
      <c r="F2195" s="24" t="str">
        <f aca="false">IF(C2195="","",IFERROR(INDEX(LOTES!$B$5:$B$1004,MATCH(C2195,LOTES!$F$5:$F$1004,0)),""))</f>
        <v/>
      </c>
      <c r="G2195" s="15" t="str">
        <f aca="false">IF(OR(B2195="",F2195=""),"",B2195-F2195)</f>
        <v/>
      </c>
      <c r="H2195" s="13"/>
      <c r="I2195" s="13"/>
      <c r="J2195" s="13"/>
      <c r="K2195" s="25"/>
      <c r="L2195" s="25"/>
      <c r="M2195" s="25"/>
      <c r="N2195" s="25"/>
      <c r="O2195" s="26"/>
      <c r="P2195" s="16" t="str">
        <f aca="false">IF(O2195="","",IFERROR(1/(1/(IF(K2195="",INDEX(CONFIG!$F$5:$F$14,MATCH(D2195,CONFIG!$D$5:$D$14,0)),K2195)*IF(M2195="",INDEX(CONFIG!$H$5:$H$14,MATCH(D2195,CONFIG!$D$5:$D$14,0)),M2195))),""))</f>
        <v/>
      </c>
      <c r="Q2195" s="16" t="str">
        <f aca="false">IF(OR(O2195="",P2195=""),"",O2195/P2195)</f>
        <v/>
      </c>
      <c r="R2195" s="16" t="str">
        <f aca="false">IF(Q2195="","",Q2195*0.0980665)</f>
        <v/>
      </c>
      <c r="S2195" s="16" t="str">
        <f aca="false">IF(Q2195="","",IFERROR(Q2195/(1/(1/INDEX(CONFIG!$I$5:$I$14,MATCH(D2195,CONFIG!$D$5:$D$14,0)))),""))</f>
        <v/>
      </c>
      <c r="T2195" s="13"/>
      <c r="U2195" s="13"/>
      <c r="V2195" s="13"/>
      <c r="W2195" s="13"/>
      <c r="X2195" s="22" t="str">
        <f aca="false">IF(Q2195="","",Q2195^2)</f>
        <v/>
      </c>
      <c r="Y2195" s="22" t="str">
        <f aca="false">IF(AND(C2195&lt;&gt;"",C2195=CERTIFICADO!$E$4,OR(CERTIFICADO!$E$5="",B2195=CERTIFICADO!$E$5)),MAX($Y$4:Y2194)+1,"")</f>
        <v/>
      </c>
    </row>
    <row r="2196" customFormat="false" ht="15" hidden="false" customHeight="false" outlineLevel="0" collapsed="false">
      <c r="A2196" s="11" t="str">
        <f aca="false">IF(C2196="","",ROW()-4)</f>
        <v/>
      </c>
      <c r="B2196" s="12"/>
      <c r="C2196" s="13"/>
      <c r="D2196" s="23" t="str">
        <f aca="false">IF(C2196="","",IFERROR(INDEX(LOTES!$D$5:$D$1004,MATCH(C2196,LOTES!$F$5:$F$1004,0)),"¿Lote?"))</f>
        <v/>
      </c>
      <c r="E2196" s="11" t="str">
        <f aca="false">IF(C2196="","",IFERROR(INDEX(LOTES!$C$5:$C$1004,MATCH(C2196,LOTES!$F$5:$F$1004,0)),""))</f>
        <v/>
      </c>
      <c r="F2196" s="24" t="str">
        <f aca="false">IF(C2196="","",IFERROR(INDEX(LOTES!$B$5:$B$1004,MATCH(C2196,LOTES!$F$5:$F$1004,0)),""))</f>
        <v/>
      </c>
      <c r="G2196" s="15" t="str">
        <f aca="false">IF(OR(B2196="",F2196=""),"",B2196-F2196)</f>
        <v/>
      </c>
      <c r="H2196" s="13"/>
      <c r="I2196" s="13"/>
      <c r="J2196" s="13"/>
      <c r="K2196" s="25"/>
      <c r="L2196" s="25"/>
      <c r="M2196" s="25"/>
      <c r="N2196" s="25"/>
      <c r="O2196" s="26"/>
      <c r="P2196" s="16" t="str">
        <f aca="false">IF(O2196="","",IFERROR(1/(1/(IF(K2196="",INDEX(CONFIG!$F$5:$F$14,MATCH(D2196,CONFIG!$D$5:$D$14,0)),K2196)*IF(M2196="",INDEX(CONFIG!$H$5:$H$14,MATCH(D2196,CONFIG!$D$5:$D$14,0)),M2196))),""))</f>
        <v/>
      </c>
      <c r="Q2196" s="16" t="str">
        <f aca="false">IF(OR(O2196="",P2196=""),"",O2196/P2196)</f>
        <v/>
      </c>
      <c r="R2196" s="16" t="str">
        <f aca="false">IF(Q2196="","",Q2196*0.0980665)</f>
        <v/>
      </c>
      <c r="S2196" s="16" t="str">
        <f aca="false">IF(Q2196="","",IFERROR(Q2196/(1/(1/INDEX(CONFIG!$I$5:$I$14,MATCH(D2196,CONFIG!$D$5:$D$14,0)))),""))</f>
        <v/>
      </c>
      <c r="T2196" s="13"/>
      <c r="U2196" s="13"/>
      <c r="V2196" s="13"/>
      <c r="W2196" s="13"/>
      <c r="X2196" s="22" t="str">
        <f aca="false">IF(Q2196="","",Q2196^2)</f>
        <v/>
      </c>
      <c r="Y2196" s="22" t="str">
        <f aca="false">IF(AND(C2196&lt;&gt;"",C2196=CERTIFICADO!$E$4,OR(CERTIFICADO!$E$5="",B2196=CERTIFICADO!$E$5)),MAX($Y$4:Y2195)+1,"")</f>
        <v/>
      </c>
    </row>
    <row r="2197" customFormat="false" ht="15" hidden="false" customHeight="false" outlineLevel="0" collapsed="false">
      <c r="A2197" s="11" t="str">
        <f aca="false">IF(C2197="","",ROW()-4)</f>
        <v/>
      </c>
      <c r="B2197" s="12"/>
      <c r="C2197" s="13"/>
      <c r="D2197" s="23" t="str">
        <f aca="false">IF(C2197="","",IFERROR(INDEX(LOTES!$D$5:$D$1004,MATCH(C2197,LOTES!$F$5:$F$1004,0)),"¿Lote?"))</f>
        <v/>
      </c>
      <c r="E2197" s="11" t="str">
        <f aca="false">IF(C2197="","",IFERROR(INDEX(LOTES!$C$5:$C$1004,MATCH(C2197,LOTES!$F$5:$F$1004,0)),""))</f>
        <v/>
      </c>
      <c r="F2197" s="24" t="str">
        <f aca="false">IF(C2197="","",IFERROR(INDEX(LOTES!$B$5:$B$1004,MATCH(C2197,LOTES!$F$5:$F$1004,0)),""))</f>
        <v/>
      </c>
      <c r="G2197" s="15" t="str">
        <f aca="false">IF(OR(B2197="",F2197=""),"",B2197-F2197)</f>
        <v/>
      </c>
      <c r="H2197" s="13"/>
      <c r="I2197" s="13"/>
      <c r="J2197" s="13"/>
      <c r="K2197" s="25"/>
      <c r="L2197" s="25"/>
      <c r="M2197" s="25"/>
      <c r="N2197" s="25"/>
      <c r="O2197" s="26"/>
      <c r="P2197" s="16" t="str">
        <f aca="false">IF(O2197="","",IFERROR(1/(1/(IF(K2197="",INDEX(CONFIG!$F$5:$F$14,MATCH(D2197,CONFIG!$D$5:$D$14,0)),K2197)*IF(M2197="",INDEX(CONFIG!$H$5:$H$14,MATCH(D2197,CONFIG!$D$5:$D$14,0)),M2197))),""))</f>
        <v/>
      </c>
      <c r="Q2197" s="16" t="str">
        <f aca="false">IF(OR(O2197="",P2197=""),"",O2197/P2197)</f>
        <v/>
      </c>
      <c r="R2197" s="16" t="str">
        <f aca="false">IF(Q2197="","",Q2197*0.0980665)</f>
        <v/>
      </c>
      <c r="S2197" s="16" t="str">
        <f aca="false">IF(Q2197="","",IFERROR(Q2197/(1/(1/INDEX(CONFIG!$I$5:$I$14,MATCH(D2197,CONFIG!$D$5:$D$14,0)))),""))</f>
        <v/>
      </c>
      <c r="T2197" s="13"/>
      <c r="U2197" s="13"/>
      <c r="V2197" s="13"/>
      <c r="W2197" s="13"/>
      <c r="X2197" s="22" t="str">
        <f aca="false">IF(Q2197="","",Q2197^2)</f>
        <v/>
      </c>
      <c r="Y2197" s="22" t="str">
        <f aca="false">IF(AND(C2197&lt;&gt;"",C2197=CERTIFICADO!$E$4,OR(CERTIFICADO!$E$5="",B2197=CERTIFICADO!$E$5)),MAX($Y$4:Y2196)+1,"")</f>
        <v/>
      </c>
    </row>
    <row r="2198" customFormat="false" ht="15" hidden="false" customHeight="false" outlineLevel="0" collapsed="false">
      <c r="A2198" s="11" t="str">
        <f aca="false">IF(C2198="","",ROW()-4)</f>
        <v/>
      </c>
      <c r="B2198" s="12"/>
      <c r="C2198" s="13"/>
      <c r="D2198" s="23" t="str">
        <f aca="false">IF(C2198="","",IFERROR(INDEX(LOTES!$D$5:$D$1004,MATCH(C2198,LOTES!$F$5:$F$1004,0)),"¿Lote?"))</f>
        <v/>
      </c>
      <c r="E2198" s="11" t="str">
        <f aca="false">IF(C2198="","",IFERROR(INDEX(LOTES!$C$5:$C$1004,MATCH(C2198,LOTES!$F$5:$F$1004,0)),""))</f>
        <v/>
      </c>
      <c r="F2198" s="24" t="str">
        <f aca="false">IF(C2198="","",IFERROR(INDEX(LOTES!$B$5:$B$1004,MATCH(C2198,LOTES!$F$5:$F$1004,0)),""))</f>
        <v/>
      </c>
      <c r="G2198" s="15" t="str">
        <f aca="false">IF(OR(B2198="",F2198=""),"",B2198-F2198)</f>
        <v/>
      </c>
      <c r="H2198" s="13"/>
      <c r="I2198" s="13"/>
      <c r="J2198" s="13"/>
      <c r="K2198" s="25"/>
      <c r="L2198" s="25"/>
      <c r="M2198" s="25"/>
      <c r="N2198" s="25"/>
      <c r="O2198" s="26"/>
      <c r="P2198" s="16" t="str">
        <f aca="false">IF(O2198="","",IFERROR(1/(1/(IF(K2198="",INDEX(CONFIG!$F$5:$F$14,MATCH(D2198,CONFIG!$D$5:$D$14,0)),K2198)*IF(M2198="",INDEX(CONFIG!$H$5:$H$14,MATCH(D2198,CONFIG!$D$5:$D$14,0)),M2198))),""))</f>
        <v/>
      </c>
      <c r="Q2198" s="16" t="str">
        <f aca="false">IF(OR(O2198="",P2198=""),"",O2198/P2198)</f>
        <v/>
      </c>
      <c r="R2198" s="16" t="str">
        <f aca="false">IF(Q2198="","",Q2198*0.0980665)</f>
        <v/>
      </c>
      <c r="S2198" s="16" t="str">
        <f aca="false">IF(Q2198="","",IFERROR(Q2198/(1/(1/INDEX(CONFIG!$I$5:$I$14,MATCH(D2198,CONFIG!$D$5:$D$14,0)))),""))</f>
        <v/>
      </c>
      <c r="T2198" s="13"/>
      <c r="U2198" s="13"/>
      <c r="V2198" s="13"/>
      <c r="W2198" s="13"/>
      <c r="X2198" s="22" t="str">
        <f aca="false">IF(Q2198="","",Q2198^2)</f>
        <v/>
      </c>
      <c r="Y2198" s="22" t="str">
        <f aca="false">IF(AND(C2198&lt;&gt;"",C2198=CERTIFICADO!$E$4,OR(CERTIFICADO!$E$5="",B2198=CERTIFICADO!$E$5)),MAX($Y$4:Y2197)+1,"")</f>
        <v/>
      </c>
    </row>
    <row r="2199" customFormat="false" ht="15" hidden="false" customHeight="false" outlineLevel="0" collapsed="false">
      <c r="A2199" s="11" t="str">
        <f aca="false">IF(C2199="","",ROW()-4)</f>
        <v/>
      </c>
      <c r="B2199" s="12"/>
      <c r="C2199" s="13"/>
      <c r="D2199" s="23" t="str">
        <f aca="false">IF(C2199="","",IFERROR(INDEX(LOTES!$D$5:$D$1004,MATCH(C2199,LOTES!$F$5:$F$1004,0)),"¿Lote?"))</f>
        <v/>
      </c>
      <c r="E2199" s="11" t="str">
        <f aca="false">IF(C2199="","",IFERROR(INDEX(LOTES!$C$5:$C$1004,MATCH(C2199,LOTES!$F$5:$F$1004,0)),""))</f>
        <v/>
      </c>
      <c r="F2199" s="24" t="str">
        <f aca="false">IF(C2199="","",IFERROR(INDEX(LOTES!$B$5:$B$1004,MATCH(C2199,LOTES!$F$5:$F$1004,0)),""))</f>
        <v/>
      </c>
      <c r="G2199" s="15" t="str">
        <f aca="false">IF(OR(B2199="",F2199=""),"",B2199-F2199)</f>
        <v/>
      </c>
      <c r="H2199" s="13"/>
      <c r="I2199" s="13"/>
      <c r="J2199" s="13"/>
      <c r="K2199" s="25"/>
      <c r="L2199" s="25"/>
      <c r="M2199" s="25"/>
      <c r="N2199" s="25"/>
      <c r="O2199" s="26"/>
      <c r="P2199" s="16" t="str">
        <f aca="false">IF(O2199="","",IFERROR(1/(1/(IF(K2199="",INDEX(CONFIG!$F$5:$F$14,MATCH(D2199,CONFIG!$D$5:$D$14,0)),K2199)*IF(M2199="",INDEX(CONFIG!$H$5:$H$14,MATCH(D2199,CONFIG!$D$5:$D$14,0)),M2199))),""))</f>
        <v/>
      </c>
      <c r="Q2199" s="16" t="str">
        <f aca="false">IF(OR(O2199="",P2199=""),"",O2199/P2199)</f>
        <v/>
      </c>
      <c r="R2199" s="16" t="str">
        <f aca="false">IF(Q2199="","",Q2199*0.0980665)</f>
        <v/>
      </c>
      <c r="S2199" s="16" t="str">
        <f aca="false">IF(Q2199="","",IFERROR(Q2199/(1/(1/INDEX(CONFIG!$I$5:$I$14,MATCH(D2199,CONFIG!$D$5:$D$14,0)))),""))</f>
        <v/>
      </c>
      <c r="T2199" s="13"/>
      <c r="U2199" s="13"/>
      <c r="V2199" s="13"/>
      <c r="W2199" s="13"/>
      <c r="X2199" s="22" t="str">
        <f aca="false">IF(Q2199="","",Q2199^2)</f>
        <v/>
      </c>
      <c r="Y2199" s="22" t="str">
        <f aca="false">IF(AND(C2199&lt;&gt;"",C2199=CERTIFICADO!$E$4,OR(CERTIFICADO!$E$5="",B2199=CERTIFICADO!$E$5)),MAX($Y$4:Y2198)+1,"")</f>
        <v/>
      </c>
    </row>
    <row r="2200" customFormat="false" ht="15" hidden="false" customHeight="false" outlineLevel="0" collapsed="false">
      <c r="A2200" s="11" t="str">
        <f aca="false">IF(C2200="","",ROW()-4)</f>
        <v/>
      </c>
      <c r="B2200" s="12"/>
      <c r="C2200" s="13"/>
      <c r="D2200" s="23" t="str">
        <f aca="false">IF(C2200="","",IFERROR(INDEX(LOTES!$D$5:$D$1004,MATCH(C2200,LOTES!$F$5:$F$1004,0)),"¿Lote?"))</f>
        <v/>
      </c>
      <c r="E2200" s="11" t="str">
        <f aca="false">IF(C2200="","",IFERROR(INDEX(LOTES!$C$5:$C$1004,MATCH(C2200,LOTES!$F$5:$F$1004,0)),""))</f>
        <v/>
      </c>
      <c r="F2200" s="24" t="str">
        <f aca="false">IF(C2200="","",IFERROR(INDEX(LOTES!$B$5:$B$1004,MATCH(C2200,LOTES!$F$5:$F$1004,0)),""))</f>
        <v/>
      </c>
      <c r="G2200" s="15" t="str">
        <f aca="false">IF(OR(B2200="",F2200=""),"",B2200-F2200)</f>
        <v/>
      </c>
      <c r="H2200" s="13"/>
      <c r="I2200" s="13"/>
      <c r="J2200" s="13"/>
      <c r="K2200" s="25"/>
      <c r="L2200" s="25"/>
      <c r="M2200" s="25"/>
      <c r="N2200" s="25"/>
      <c r="O2200" s="26"/>
      <c r="P2200" s="16" t="str">
        <f aca="false">IF(O2200="","",IFERROR(1/(1/(IF(K2200="",INDEX(CONFIG!$F$5:$F$14,MATCH(D2200,CONFIG!$D$5:$D$14,0)),K2200)*IF(M2200="",INDEX(CONFIG!$H$5:$H$14,MATCH(D2200,CONFIG!$D$5:$D$14,0)),M2200))),""))</f>
        <v/>
      </c>
      <c r="Q2200" s="16" t="str">
        <f aca="false">IF(OR(O2200="",P2200=""),"",O2200/P2200)</f>
        <v/>
      </c>
      <c r="R2200" s="16" t="str">
        <f aca="false">IF(Q2200="","",Q2200*0.0980665)</f>
        <v/>
      </c>
      <c r="S2200" s="16" t="str">
        <f aca="false">IF(Q2200="","",IFERROR(Q2200/(1/(1/INDEX(CONFIG!$I$5:$I$14,MATCH(D2200,CONFIG!$D$5:$D$14,0)))),""))</f>
        <v/>
      </c>
      <c r="T2200" s="13"/>
      <c r="U2200" s="13"/>
      <c r="V2200" s="13"/>
      <c r="W2200" s="13"/>
      <c r="X2200" s="22" t="str">
        <f aca="false">IF(Q2200="","",Q2200^2)</f>
        <v/>
      </c>
      <c r="Y2200" s="22" t="str">
        <f aca="false">IF(AND(C2200&lt;&gt;"",C2200=CERTIFICADO!$E$4,OR(CERTIFICADO!$E$5="",B2200=CERTIFICADO!$E$5)),MAX($Y$4:Y2199)+1,"")</f>
        <v/>
      </c>
    </row>
    <row r="2201" customFormat="false" ht="15" hidden="false" customHeight="false" outlineLevel="0" collapsed="false">
      <c r="A2201" s="11" t="str">
        <f aca="false">IF(C2201="","",ROW()-4)</f>
        <v/>
      </c>
      <c r="B2201" s="12"/>
      <c r="C2201" s="13"/>
      <c r="D2201" s="23" t="str">
        <f aca="false">IF(C2201="","",IFERROR(INDEX(LOTES!$D$5:$D$1004,MATCH(C2201,LOTES!$F$5:$F$1004,0)),"¿Lote?"))</f>
        <v/>
      </c>
      <c r="E2201" s="11" t="str">
        <f aca="false">IF(C2201="","",IFERROR(INDEX(LOTES!$C$5:$C$1004,MATCH(C2201,LOTES!$F$5:$F$1004,0)),""))</f>
        <v/>
      </c>
      <c r="F2201" s="24" t="str">
        <f aca="false">IF(C2201="","",IFERROR(INDEX(LOTES!$B$5:$B$1004,MATCH(C2201,LOTES!$F$5:$F$1004,0)),""))</f>
        <v/>
      </c>
      <c r="G2201" s="15" t="str">
        <f aca="false">IF(OR(B2201="",F2201=""),"",B2201-F2201)</f>
        <v/>
      </c>
      <c r="H2201" s="13"/>
      <c r="I2201" s="13"/>
      <c r="J2201" s="13"/>
      <c r="K2201" s="25"/>
      <c r="L2201" s="25"/>
      <c r="M2201" s="25"/>
      <c r="N2201" s="25"/>
      <c r="O2201" s="26"/>
      <c r="P2201" s="16" t="str">
        <f aca="false">IF(O2201="","",IFERROR(1/(1/(IF(K2201="",INDEX(CONFIG!$F$5:$F$14,MATCH(D2201,CONFIG!$D$5:$D$14,0)),K2201)*IF(M2201="",INDEX(CONFIG!$H$5:$H$14,MATCH(D2201,CONFIG!$D$5:$D$14,0)),M2201))),""))</f>
        <v/>
      </c>
      <c r="Q2201" s="16" t="str">
        <f aca="false">IF(OR(O2201="",P2201=""),"",O2201/P2201)</f>
        <v/>
      </c>
      <c r="R2201" s="16" t="str">
        <f aca="false">IF(Q2201="","",Q2201*0.0980665)</f>
        <v/>
      </c>
      <c r="S2201" s="16" t="str">
        <f aca="false">IF(Q2201="","",IFERROR(Q2201/(1/(1/INDEX(CONFIG!$I$5:$I$14,MATCH(D2201,CONFIG!$D$5:$D$14,0)))),""))</f>
        <v/>
      </c>
      <c r="T2201" s="13"/>
      <c r="U2201" s="13"/>
      <c r="V2201" s="13"/>
      <c r="W2201" s="13"/>
      <c r="X2201" s="22" t="str">
        <f aca="false">IF(Q2201="","",Q2201^2)</f>
        <v/>
      </c>
      <c r="Y2201" s="22" t="str">
        <f aca="false">IF(AND(C2201&lt;&gt;"",C2201=CERTIFICADO!$E$4,OR(CERTIFICADO!$E$5="",B2201=CERTIFICADO!$E$5)),MAX($Y$4:Y2200)+1,"")</f>
        <v/>
      </c>
    </row>
    <row r="2202" customFormat="false" ht="15" hidden="false" customHeight="false" outlineLevel="0" collapsed="false">
      <c r="A2202" s="11" t="str">
        <f aca="false">IF(C2202="","",ROW()-4)</f>
        <v/>
      </c>
      <c r="B2202" s="12"/>
      <c r="C2202" s="13"/>
      <c r="D2202" s="23" t="str">
        <f aca="false">IF(C2202="","",IFERROR(INDEX(LOTES!$D$5:$D$1004,MATCH(C2202,LOTES!$F$5:$F$1004,0)),"¿Lote?"))</f>
        <v/>
      </c>
      <c r="E2202" s="11" t="str">
        <f aca="false">IF(C2202="","",IFERROR(INDEX(LOTES!$C$5:$C$1004,MATCH(C2202,LOTES!$F$5:$F$1004,0)),""))</f>
        <v/>
      </c>
      <c r="F2202" s="24" t="str">
        <f aca="false">IF(C2202="","",IFERROR(INDEX(LOTES!$B$5:$B$1004,MATCH(C2202,LOTES!$F$5:$F$1004,0)),""))</f>
        <v/>
      </c>
      <c r="G2202" s="15" t="str">
        <f aca="false">IF(OR(B2202="",F2202=""),"",B2202-F2202)</f>
        <v/>
      </c>
      <c r="H2202" s="13"/>
      <c r="I2202" s="13"/>
      <c r="J2202" s="13"/>
      <c r="K2202" s="25"/>
      <c r="L2202" s="25"/>
      <c r="M2202" s="25"/>
      <c r="N2202" s="25"/>
      <c r="O2202" s="26"/>
      <c r="P2202" s="16" t="str">
        <f aca="false">IF(O2202="","",IFERROR(1/(1/(IF(K2202="",INDEX(CONFIG!$F$5:$F$14,MATCH(D2202,CONFIG!$D$5:$D$14,0)),K2202)*IF(M2202="",INDEX(CONFIG!$H$5:$H$14,MATCH(D2202,CONFIG!$D$5:$D$14,0)),M2202))),""))</f>
        <v/>
      </c>
      <c r="Q2202" s="16" t="str">
        <f aca="false">IF(OR(O2202="",P2202=""),"",O2202/P2202)</f>
        <v/>
      </c>
      <c r="R2202" s="16" t="str">
        <f aca="false">IF(Q2202="","",Q2202*0.0980665)</f>
        <v/>
      </c>
      <c r="S2202" s="16" t="str">
        <f aca="false">IF(Q2202="","",IFERROR(Q2202/(1/(1/INDEX(CONFIG!$I$5:$I$14,MATCH(D2202,CONFIG!$D$5:$D$14,0)))),""))</f>
        <v/>
      </c>
      <c r="T2202" s="13"/>
      <c r="U2202" s="13"/>
      <c r="V2202" s="13"/>
      <c r="W2202" s="13"/>
      <c r="X2202" s="22" t="str">
        <f aca="false">IF(Q2202="","",Q2202^2)</f>
        <v/>
      </c>
      <c r="Y2202" s="22" t="str">
        <f aca="false">IF(AND(C2202&lt;&gt;"",C2202=CERTIFICADO!$E$4,OR(CERTIFICADO!$E$5="",B2202=CERTIFICADO!$E$5)),MAX($Y$4:Y2201)+1,"")</f>
        <v/>
      </c>
    </row>
    <row r="2203" customFormat="false" ht="15" hidden="false" customHeight="false" outlineLevel="0" collapsed="false">
      <c r="A2203" s="11" t="str">
        <f aca="false">IF(C2203="","",ROW()-4)</f>
        <v/>
      </c>
      <c r="B2203" s="12"/>
      <c r="C2203" s="13"/>
      <c r="D2203" s="23" t="str">
        <f aca="false">IF(C2203="","",IFERROR(INDEX(LOTES!$D$5:$D$1004,MATCH(C2203,LOTES!$F$5:$F$1004,0)),"¿Lote?"))</f>
        <v/>
      </c>
      <c r="E2203" s="11" t="str">
        <f aca="false">IF(C2203="","",IFERROR(INDEX(LOTES!$C$5:$C$1004,MATCH(C2203,LOTES!$F$5:$F$1004,0)),""))</f>
        <v/>
      </c>
      <c r="F2203" s="24" t="str">
        <f aca="false">IF(C2203="","",IFERROR(INDEX(LOTES!$B$5:$B$1004,MATCH(C2203,LOTES!$F$5:$F$1004,0)),""))</f>
        <v/>
      </c>
      <c r="G2203" s="15" t="str">
        <f aca="false">IF(OR(B2203="",F2203=""),"",B2203-F2203)</f>
        <v/>
      </c>
      <c r="H2203" s="13"/>
      <c r="I2203" s="13"/>
      <c r="J2203" s="13"/>
      <c r="K2203" s="25"/>
      <c r="L2203" s="25"/>
      <c r="M2203" s="25"/>
      <c r="N2203" s="25"/>
      <c r="O2203" s="26"/>
      <c r="P2203" s="16" t="str">
        <f aca="false">IF(O2203="","",IFERROR(1/(1/(IF(K2203="",INDEX(CONFIG!$F$5:$F$14,MATCH(D2203,CONFIG!$D$5:$D$14,0)),K2203)*IF(M2203="",INDEX(CONFIG!$H$5:$H$14,MATCH(D2203,CONFIG!$D$5:$D$14,0)),M2203))),""))</f>
        <v/>
      </c>
      <c r="Q2203" s="16" t="str">
        <f aca="false">IF(OR(O2203="",P2203=""),"",O2203/P2203)</f>
        <v/>
      </c>
      <c r="R2203" s="16" t="str">
        <f aca="false">IF(Q2203="","",Q2203*0.0980665)</f>
        <v/>
      </c>
      <c r="S2203" s="16" t="str">
        <f aca="false">IF(Q2203="","",IFERROR(Q2203/(1/(1/INDEX(CONFIG!$I$5:$I$14,MATCH(D2203,CONFIG!$D$5:$D$14,0)))),""))</f>
        <v/>
      </c>
      <c r="T2203" s="13"/>
      <c r="U2203" s="13"/>
      <c r="V2203" s="13"/>
      <c r="W2203" s="13"/>
      <c r="X2203" s="22" t="str">
        <f aca="false">IF(Q2203="","",Q2203^2)</f>
        <v/>
      </c>
      <c r="Y2203" s="22" t="str">
        <f aca="false">IF(AND(C2203&lt;&gt;"",C2203=CERTIFICADO!$E$4,OR(CERTIFICADO!$E$5="",B2203=CERTIFICADO!$E$5)),MAX($Y$4:Y2202)+1,"")</f>
        <v/>
      </c>
    </row>
    <row r="2204" customFormat="false" ht="15" hidden="false" customHeight="false" outlineLevel="0" collapsed="false">
      <c r="A2204" s="11" t="str">
        <f aca="false">IF(C2204="","",ROW()-4)</f>
        <v/>
      </c>
      <c r="B2204" s="12"/>
      <c r="C2204" s="13"/>
      <c r="D2204" s="23" t="str">
        <f aca="false">IF(C2204="","",IFERROR(INDEX(LOTES!$D$5:$D$1004,MATCH(C2204,LOTES!$F$5:$F$1004,0)),"¿Lote?"))</f>
        <v/>
      </c>
      <c r="E2204" s="11" t="str">
        <f aca="false">IF(C2204="","",IFERROR(INDEX(LOTES!$C$5:$C$1004,MATCH(C2204,LOTES!$F$5:$F$1004,0)),""))</f>
        <v/>
      </c>
      <c r="F2204" s="24" t="str">
        <f aca="false">IF(C2204="","",IFERROR(INDEX(LOTES!$B$5:$B$1004,MATCH(C2204,LOTES!$F$5:$F$1004,0)),""))</f>
        <v/>
      </c>
      <c r="G2204" s="15" t="str">
        <f aca="false">IF(OR(B2204="",F2204=""),"",B2204-F2204)</f>
        <v/>
      </c>
      <c r="H2204" s="13"/>
      <c r="I2204" s="13"/>
      <c r="J2204" s="13"/>
      <c r="K2204" s="25"/>
      <c r="L2204" s="25"/>
      <c r="M2204" s="25"/>
      <c r="N2204" s="25"/>
      <c r="O2204" s="26"/>
      <c r="P2204" s="16" t="str">
        <f aca="false">IF(O2204="","",IFERROR(1/(1/(IF(K2204="",INDEX(CONFIG!$F$5:$F$14,MATCH(D2204,CONFIG!$D$5:$D$14,0)),K2204)*IF(M2204="",INDEX(CONFIG!$H$5:$H$14,MATCH(D2204,CONFIG!$D$5:$D$14,0)),M2204))),""))</f>
        <v/>
      </c>
      <c r="Q2204" s="16" t="str">
        <f aca="false">IF(OR(O2204="",P2204=""),"",O2204/P2204)</f>
        <v/>
      </c>
      <c r="R2204" s="16" t="str">
        <f aca="false">IF(Q2204="","",Q2204*0.0980665)</f>
        <v/>
      </c>
      <c r="S2204" s="16" t="str">
        <f aca="false">IF(Q2204="","",IFERROR(Q2204/(1/(1/INDEX(CONFIG!$I$5:$I$14,MATCH(D2204,CONFIG!$D$5:$D$14,0)))),""))</f>
        <v/>
      </c>
      <c r="T2204" s="13"/>
      <c r="U2204" s="13"/>
      <c r="V2204" s="13"/>
      <c r="W2204" s="13"/>
      <c r="X2204" s="22" t="str">
        <f aca="false">IF(Q2204="","",Q2204^2)</f>
        <v/>
      </c>
      <c r="Y2204" s="22" t="str">
        <f aca="false">IF(AND(C2204&lt;&gt;"",C2204=CERTIFICADO!$E$4,OR(CERTIFICADO!$E$5="",B2204=CERTIFICADO!$E$5)),MAX($Y$4:Y2203)+1,"")</f>
        <v/>
      </c>
    </row>
    <row r="2205" customFormat="false" ht="15" hidden="false" customHeight="false" outlineLevel="0" collapsed="false">
      <c r="A2205" s="11" t="str">
        <f aca="false">IF(C2205="","",ROW()-4)</f>
        <v/>
      </c>
      <c r="B2205" s="12"/>
      <c r="C2205" s="13"/>
      <c r="D2205" s="23" t="str">
        <f aca="false">IF(C2205="","",IFERROR(INDEX(LOTES!$D$5:$D$1004,MATCH(C2205,LOTES!$F$5:$F$1004,0)),"¿Lote?"))</f>
        <v/>
      </c>
      <c r="E2205" s="11" t="str">
        <f aca="false">IF(C2205="","",IFERROR(INDEX(LOTES!$C$5:$C$1004,MATCH(C2205,LOTES!$F$5:$F$1004,0)),""))</f>
        <v/>
      </c>
      <c r="F2205" s="24" t="str">
        <f aca="false">IF(C2205="","",IFERROR(INDEX(LOTES!$B$5:$B$1004,MATCH(C2205,LOTES!$F$5:$F$1004,0)),""))</f>
        <v/>
      </c>
      <c r="G2205" s="15" t="str">
        <f aca="false">IF(OR(B2205="",F2205=""),"",B2205-F2205)</f>
        <v/>
      </c>
      <c r="H2205" s="13"/>
      <c r="I2205" s="13"/>
      <c r="J2205" s="13"/>
      <c r="K2205" s="25"/>
      <c r="L2205" s="25"/>
      <c r="M2205" s="25"/>
      <c r="N2205" s="25"/>
      <c r="O2205" s="26"/>
      <c r="P2205" s="16" t="str">
        <f aca="false">IF(O2205="","",IFERROR(1/(1/(IF(K2205="",INDEX(CONFIG!$F$5:$F$14,MATCH(D2205,CONFIG!$D$5:$D$14,0)),K2205)*IF(M2205="",INDEX(CONFIG!$H$5:$H$14,MATCH(D2205,CONFIG!$D$5:$D$14,0)),M2205))),""))</f>
        <v/>
      </c>
      <c r="Q2205" s="16" t="str">
        <f aca="false">IF(OR(O2205="",P2205=""),"",O2205/P2205)</f>
        <v/>
      </c>
      <c r="R2205" s="16" t="str">
        <f aca="false">IF(Q2205="","",Q2205*0.0980665)</f>
        <v/>
      </c>
      <c r="S2205" s="16" t="str">
        <f aca="false">IF(Q2205="","",IFERROR(Q2205/(1/(1/INDEX(CONFIG!$I$5:$I$14,MATCH(D2205,CONFIG!$D$5:$D$14,0)))),""))</f>
        <v/>
      </c>
      <c r="T2205" s="13"/>
      <c r="U2205" s="13"/>
      <c r="V2205" s="13"/>
      <c r="W2205" s="13"/>
      <c r="X2205" s="22" t="str">
        <f aca="false">IF(Q2205="","",Q2205^2)</f>
        <v/>
      </c>
      <c r="Y2205" s="22" t="str">
        <f aca="false">IF(AND(C2205&lt;&gt;"",C2205=CERTIFICADO!$E$4,OR(CERTIFICADO!$E$5="",B2205=CERTIFICADO!$E$5)),MAX($Y$4:Y2204)+1,"")</f>
        <v/>
      </c>
    </row>
    <row r="2206" customFormat="false" ht="15" hidden="false" customHeight="false" outlineLevel="0" collapsed="false">
      <c r="A2206" s="11" t="str">
        <f aca="false">IF(C2206="","",ROW()-4)</f>
        <v/>
      </c>
      <c r="B2206" s="12"/>
      <c r="C2206" s="13"/>
      <c r="D2206" s="23" t="str">
        <f aca="false">IF(C2206="","",IFERROR(INDEX(LOTES!$D$5:$D$1004,MATCH(C2206,LOTES!$F$5:$F$1004,0)),"¿Lote?"))</f>
        <v/>
      </c>
      <c r="E2206" s="11" t="str">
        <f aca="false">IF(C2206="","",IFERROR(INDEX(LOTES!$C$5:$C$1004,MATCH(C2206,LOTES!$F$5:$F$1004,0)),""))</f>
        <v/>
      </c>
      <c r="F2206" s="24" t="str">
        <f aca="false">IF(C2206="","",IFERROR(INDEX(LOTES!$B$5:$B$1004,MATCH(C2206,LOTES!$F$5:$F$1004,0)),""))</f>
        <v/>
      </c>
      <c r="G2206" s="15" t="str">
        <f aca="false">IF(OR(B2206="",F2206=""),"",B2206-F2206)</f>
        <v/>
      </c>
      <c r="H2206" s="13"/>
      <c r="I2206" s="13"/>
      <c r="J2206" s="13"/>
      <c r="K2206" s="25"/>
      <c r="L2206" s="25"/>
      <c r="M2206" s="25"/>
      <c r="N2206" s="25"/>
      <c r="O2206" s="26"/>
      <c r="P2206" s="16" t="str">
        <f aca="false">IF(O2206="","",IFERROR(1/(1/(IF(K2206="",INDEX(CONFIG!$F$5:$F$14,MATCH(D2206,CONFIG!$D$5:$D$14,0)),K2206)*IF(M2206="",INDEX(CONFIG!$H$5:$H$14,MATCH(D2206,CONFIG!$D$5:$D$14,0)),M2206))),""))</f>
        <v/>
      </c>
      <c r="Q2206" s="16" t="str">
        <f aca="false">IF(OR(O2206="",P2206=""),"",O2206/P2206)</f>
        <v/>
      </c>
      <c r="R2206" s="16" t="str">
        <f aca="false">IF(Q2206="","",Q2206*0.0980665)</f>
        <v/>
      </c>
      <c r="S2206" s="16" t="str">
        <f aca="false">IF(Q2206="","",IFERROR(Q2206/(1/(1/INDEX(CONFIG!$I$5:$I$14,MATCH(D2206,CONFIG!$D$5:$D$14,0)))),""))</f>
        <v/>
      </c>
      <c r="T2206" s="13"/>
      <c r="U2206" s="13"/>
      <c r="V2206" s="13"/>
      <c r="W2206" s="13"/>
      <c r="X2206" s="22" t="str">
        <f aca="false">IF(Q2206="","",Q2206^2)</f>
        <v/>
      </c>
      <c r="Y2206" s="22" t="str">
        <f aca="false">IF(AND(C2206&lt;&gt;"",C2206=CERTIFICADO!$E$4,OR(CERTIFICADO!$E$5="",B2206=CERTIFICADO!$E$5)),MAX($Y$4:Y2205)+1,"")</f>
        <v/>
      </c>
    </row>
    <row r="2207" customFormat="false" ht="15" hidden="false" customHeight="false" outlineLevel="0" collapsed="false">
      <c r="A2207" s="11" t="str">
        <f aca="false">IF(C2207="","",ROW()-4)</f>
        <v/>
      </c>
      <c r="B2207" s="12"/>
      <c r="C2207" s="13"/>
      <c r="D2207" s="23" t="str">
        <f aca="false">IF(C2207="","",IFERROR(INDEX(LOTES!$D$5:$D$1004,MATCH(C2207,LOTES!$F$5:$F$1004,0)),"¿Lote?"))</f>
        <v/>
      </c>
      <c r="E2207" s="11" t="str">
        <f aca="false">IF(C2207="","",IFERROR(INDEX(LOTES!$C$5:$C$1004,MATCH(C2207,LOTES!$F$5:$F$1004,0)),""))</f>
        <v/>
      </c>
      <c r="F2207" s="24" t="str">
        <f aca="false">IF(C2207="","",IFERROR(INDEX(LOTES!$B$5:$B$1004,MATCH(C2207,LOTES!$F$5:$F$1004,0)),""))</f>
        <v/>
      </c>
      <c r="G2207" s="15" t="str">
        <f aca="false">IF(OR(B2207="",F2207=""),"",B2207-F2207)</f>
        <v/>
      </c>
      <c r="H2207" s="13"/>
      <c r="I2207" s="13"/>
      <c r="J2207" s="13"/>
      <c r="K2207" s="25"/>
      <c r="L2207" s="25"/>
      <c r="M2207" s="25"/>
      <c r="N2207" s="25"/>
      <c r="O2207" s="26"/>
      <c r="P2207" s="16" t="str">
        <f aca="false">IF(O2207="","",IFERROR(1/(1/(IF(K2207="",INDEX(CONFIG!$F$5:$F$14,MATCH(D2207,CONFIG!$D$5:$D$14,0)),K2207)*IF(M2207="",INDEX(CONFIG!$H$5:$H$14,MATCH(D2207,CONFIG!$D$5:$D$14,0)),M2207))),""))</f>
        <v/>
      </c>
      <c r="Q2207" s="16" t="str">
        <f aca="false">IF(OR(O2207="",P2207=""),"",O2207/P2207)</f>
        <v/>
      </c>
      <c r="R2207" s="16" t="str">
        <f aca="false">IF(Q2207="","",Q2207*0.0980665)</f>
        <v/>
      </c>
      <c r="S2207" s="16" t="str">
        <f aca="false">IF(Q2207="","",IFERROR(Q2207/(1/(1/INDEX(CONFIG!$I$5:$I$14,MATCH(D2207,CONFIG!$D$5:$D$14,0)))),""))</f>
        <v/>
      </c>
      <c r="T2207" s="13"/>
      <c r="U2207" s="13"/>
      <c r="V2207" s="13"/>
      <c r="W2207" s="13"/>
      <c r="X2207" s="22" t="str">
        <f aca="false">IF(Q2207="","",Q2207^2)</f>
        <v/>
      </c>
      <c r="Y2207" s="22" t="str">
        <f aca="false">IF(AND(C2207&lt;&gt;"",C2207=CERTIFICADO!$E$4,OR(CERTIFICADO!$E$5="",B2207=CERTIFICADO!$E$5)),MAX($Y$4:Y2206)+1,"")</f>
        <v/>
      </c>
    </row>
    <row r="2208" customFormat="false" ht="15" hidden="false" customHeight="false" outlineLevel="0" collapsed="false">
      <c r="A2208" s="11" t="str">
        <f aca="false">IF(C2208="","",ROW()-4)</f>
        <v/>
      </c>
      <c r="B2208" s="12"/>
      <c r="C2208" s="13"/>
      <c r="D2208" s="23" t="str">
        <f aca="false">IF(C2208="","",IFERROR(INDEX(LOTES!$D$5:$D$1004,MATCH(C2208,LOTES!$F$5:$F$1004,0)),"¿Lote?"))</f>
        <v/>
      </c>
      <c r="E2208" s="11" t="str">
        <f aca="false">IF(C2208="","",IFERROR(INDEX(LOTES!$C$5:$C$1004,MATCH(C2208,LOTES!$F$5:$F$1004,0)),""))</f>
        <v/>
      </c>
      <c r="F2208" s="24" t="str">
        <f aca="false">IF(C2208="","",IFERROR(INDEX(LOTES!$B$5:$B$1004,MATCH(C2208,LOTES!$F$5:$F$1004,0)),""))</f>
        <v/>
      </c>
      <c r="G2208" s="15" t="str">
        <f aca="false">IF(OR(B2208="",F2208=""),"",B2208-F2208)</f>
        <v/>
      </c>
      <c r="H2208" s="13"/>
      <c r="I2208" s="13"/>
      <c r="J2208" s="13"/>
      <c r="K2208" s="25"/>
      <c r="L2208" s="25"/>
      <c r="M2208" s="25"/>
      <c r="N2208" s="25"/>
      <c r="O2208" s="26"/>
      <c r="P2208" s="16" t="str">
        <f aca="false">IF(O2208="","",IFERROR(1/(1/(IF(K2208="",INDEX(CONFIG!$F$5:$F$14,MATCH(D2208,CONFIG!$D$5:$D$14,0)),K2208)*IF(M2208="",INDEX(CONFIG!$H$5:$H$14,MATCH(D2208,CONFIG!$D$5:$D$14,0)),M2208))),""))</f>
        <v/>
      </c>
      <c r="Q2208" s="16" t="str">
        <f aca="false">IF(OR(O2208="",P2208=""),"",O2208/P2208)</f>
        <v/>
      </c>
      <c r="R2208" s="16" t="str">
        <f aca="false">IF(Q2208="","",Q2208*0.0980665)</f>
        <v/>
      </c>
      <c r="S2208" s="16" t="str">
        <f aca="false">IF(Q2208="","",IFERROR(Q2208/(1/(1/INDEX(CONFIG!$I$5:$I$14,MATCH(D2208,CONFIG!$D$5:$D$14,0)))),""))</f>
        <v/>
      </c>
      <c r="T2208" s="13"/>
      <c r="U2208" s="13"/>
      <c r="V2208" s="13"/>
      <c r="W2208" s="13"/>
      <c r="X2208" s="22" t="str">
        <f aca="false">IF(Q2208="","",Q2208^2)</f>
        <v/>
      </c>
      <c r="Y2208" s="22" t="str">
        <f aca="false">IF(AND(C2208&lt;&gt;"",C2208=CERTIFICADO!$E$4,OR(CERTIFICADO!$E$5="",B2208=CERTIFICADO!$E$5)),MAX($Y$4:Y2207)+1,"")</f>
        <v/>
      </c>
    </row>
    <row r="2209" customFormat="false" ht="15" hidden="false" customHeight="false" outlineLevel="0" collapsed="false">
      <c r="A2209" s="11" t="str">
        <f aca="false">IF(C2209="","",ROW()-4)</f>
        <v/>
      </c>
      <c r="B2209" s="12"/>
      <c r="C2209" s="13"/>
      <c r="D2209" s="23" t="str">
        <f aca="false">IF(C2209="","",IFERROR(INDEX(LOTES!$D$5:$D$1004,MATCH(C2209,LOTES!$F$5:$F$1004,0)),"¿Lote?"))</f>
        <v/>
      </c>
      <c r="E2209" s="11" t="str">
        <f aca="false">IF(C2209="","",IFERROR(INDEX(LOTES!$C$5:$C$1004,MATCH(C2209,LOTES!$F$5:$F$1004,0)),""))</f>
        <v/>
      </c>
      <c r="F2209" s="24" t="str">
        <f aca="false">IF(C2209="","",IFERROR(INDEX(LOTES!$B$5:$B$1004,MATCH(C2209,LOTES!$F$5:$F$1004,0)),""))</f>
        <v/>
      </c>
      <c r="G2209" s="15" t="str">
        <f aca="false">IF(OR(B2209="",F2209=""),"",B2209-F2209)</f>
        <v/>
      </c>
      <c r="H2209" s="13"/>
      <c r="I2209" s="13"/>
      <c r="J2209" s="13"/>
      <c r="K2209" s="25"/>
      <c r="L2209" s="25"/>
      <c r="M2209" s="25"/>
      <c r="N2209" s="25"/>
      <c r="O2209" s="26"/>
      <c r="P2209" s="16" t="str">
        <f aca="false">IF(O2209="","",IFERROR(1/(1/(IF(K2209="",INDEX(CONFIG!$F$5:$F$14,MATCH(D2209,CONFIG!$D$5:$D$14,0)),K2209)*IF(M2209="",INDEX(CONFIG!$H$5:$H$14,MATCH(D2209,CONFIG!$D$5:$D$14,0)),M2209))),""))</f>
        <v/>
      </c>
      <c r="Q2209" s="16" t="str">
        <f aca="false">IF(OR(O2209="",P2209=""),"",O2209/P2209)</f>
        <v/>
      </c>
      <c r="R2209" s="16" t="str">
        <f aca="false">IF(Q2209="","",Q2209*0.0980665)</f>
        <v/>
      </c>
      <c r="S2209" s="16" t="str">
        <f aca="false">IF(Q2209="","",IFERROR(Q2209/(1/(1/INDEX(CONFIG!$I$5:$I$14,MATCH(D2209,CONFIG!$D$5:$D$14,0)))),""))</f>
        <v/>
      </c>
      <c r="T2209" s="13"/>
      <c r="U2209" s="13"/>
      <c r="V2209" s="13"/>
      <c r="W2209" s="13"/>
      <c r="X2209" s="22" t="str">
        <f aca="false">IF(Q2209="","",Q2209^2)</f>
        <v/>
      </c>
      <c r="Y2209" s="22" t="str">
        <f aca="false">IF(AND(C2209&lt;&gt;"",C2209=CERTIFICADO!$E$4,OR(CERTIFICADO!$E$5="",B2209=CERTIFICADO!$E$5)),MAX($Y$4:Y2208)+1,"")</f>
        <v/>
      </c>
    </row>
    <row r="2210" customFormat="false" ht="15" hidden="false" customHeight="false" outlineLevel="0" collapsed="false">
      <c r="A2210" s="11" t="str">
        <f aca="false">IF(C2210="","",ROW()-4)</f>
        <v/>
      </c>
      <c r="B2210" s="12"/>
      <c r="C2210" s="13"/>
      <c r="D2210" s="23" t="str">
        <f aca="false">IF(C2210="","",IFERROR(INDEX(LOTES!$D$5:$D$1004,MATCH(C2210,LOTES!$F$5:$F$1004,0)),"¿Lote?"))</f>
        <v/>
      </c>
      <c r="E2210" s="11" t="str">
        <f aca="false">IF(C2210="","",IFERROR(INDEX(LOTES!$C$5:$C$1004,MATCH(C2210,LOTES!$F$5:$F$1004,0)),""))</f>
        <v/>
      </c>
      <c r="F2210" s="24" t="str">
        <f aca="false">IF(C2210="","",IFERROR(INDEX(LOTES!$B$5:$B$1004,MATCH(C2210,LOTES!$F$5:$F$1004,0)),""))</f>
        <v/>
      </c>
      <c r="G2210" s="15" t="str">
        <f aca="false">IF(OR(B2210="",F2210=""),"",B2210-F2210)</f>
        <v/>
      </c>
      <c r="H2210" s="13"/>
      <c r="I2210" s="13"/>
      <c r="J2210" s="13"/>
      <c r="K2210" s="25"/>
      <c r="L2210" s="25"/>
      <c r="M2210" s="25"/>
      <c r="N2210" s="25"/>
      <c r="O2210" s="26"/>
      <c r="P2210" s="16" t="str">
        <f aca="false">IF(O2210="","",IFERROR(1/(1/(IF(K2210="",INDEX(CONFIG!$F$5:$F$14,MATCH(D2210,CONFIG!$D$5:$D$14,0)),K2210)*IF(M2210="",INDEX(CONFIG!$H$5:$H$14,MATCH(D2210,CONFIG!$D$5:$D$14,0)),M2210))),""))</f>
        <v/>
      </c>
      <c r="Q2210" s="16" t="str">
        <f aca="false">IF(OR(O2210="",P2210=""),"",O2210/P2210)</f>
        <v/>
      </c>
      <c r="R2210" s="16" t="str">
        <f aca="false">IF(Q2210="","",Q2210*0.0980665)</f>
        <v/>
      </c>
      <c r="S2210" s="16" t="str">
        <f aca="false">IF(Q2210="","",IFERROR(Q2210/(1/(1/INDEX(CONFIG!$I$5:$I$14,MATCH(D2210,CONFIG!$D$5:$D$14,0)))),""))</f>
        <v/>
      </c>
      <c r="T2210" s="13"/>
      <c r="U2210" s="13"/>
      <c r="V2210" s="13"/>
      <c r="W2210" s="13"/>
      <c r="X2210" s="22" t="str">
        <f aca="false">IF(Q2210="","",Q2210^2)</f>
        <v/>
      </c>
      <c r="Y2210" s="22" t="str">
        <f aca="false">IF(AND(C2210&lt;&gt;"",C2210=CERTIFICADO!$E$4,OR(CERTIFICADO!$E$5="",B2210=CERTIFICADO!$E$5)),MAX($Y$4:Y2209)+1,"")</f>
        <v/>
      </c>
    </row>
    <row r="2211" customFormat="false" ht="15" hidden="false" customHeight="false" outlineLevel="0" collapsed="false">
      <c r="A2211" s="11" t="str">
        <f aca="false">IF(C2211="","",ROW()-4)</f>
        <v/>
      </c>
      <c r="B2211" s="12"/>
      <c r="C2211" s="13"/>
      <c r="D2211" s="23" t="str">
        <f aca="false">IF(C2211="","",IFERROR(INDEX(LOTES!$D$5:$D$1004,MATCH(C2211,LOTES!$F$5:$F$1004,0)),"¿Lote?"))</f>
        <v/>
      </c>
      <c r="E2211" s="11" t="str">
        <f aca="false">IF(C2211="","",IFERROR(INDEX(LOTES!$C$5:$C$1004,MATCH(C2211,LOTES!$F$5:$F$1004,0)),""))</f>
        <v/>
      </c>
      <c r="F2211" s="24" t="str">
        <f aca="false">IF(C2211="","",IFERROR(INDEX(LOTES!$B$5:$B$1004,MATCH(C2211,LOTES!$F$5:$F$1004,0)),""))</f>
        <v/>
      </c>
      <c r="G2211" s="15" t="str">
        <f aca="false">IF(OR(B2211="",F2211=""),"",B2211-F2211)</f>
        <v/>
      </c>
      <c r="H2211" s="13"/>
      <c r="I2211" s="13"/>
      <c r="J2211" s="13"/>
      <c r="K2211" s="25"/>
      <c r="L2211" s="25"/>
      <c r="M2211" s="25"/>
      <c r="N2211" s="25"/>
      <c r="O2211" s="26"/>
      <c r="P2211" s="16" t="str">
        <f aca="false">IF(O2211="","",IFERROR(1/(1/(IF(K2211="",INDEX(CONFIG!$F$5:$F$14,MATCH(D2211,CONFIG!$D$5:$D$14,0)),K2211)*IF(M2211="",INDEX(CONFIG!$H$5:$H$14,MATCH(D2211,CONFIG!$D$5:$D$14,0)),M2211))),""))</f>
        <v/>
      </c>
      <c r="Q2211" s="16" t="str">
        <f aca="false">IF(OR(O2211="",P2211=""),"",O2211/P2211)</f>
        <v/>
      </c>
      <c r="R2211" s="16" t="str">
        <f aca="false">IF(Q2211="","",Q2211*0.0980665)</f>
        <v/>
      </c>
      <c r="S2211" s="16" t="str">
        <f aca="false">IF(Q2211="","",IFERROR(Q2211/(1/(1/INDEX(CONFIG!$I$5:$I$14,MATCH(D2211,CONFIG!$D$5:$D$14,0)))),""))</f>
        <v/>
      </c>
      <c r="T2211" s="13"/>
      <c r="U2211" s="13"/>
      <c r="V2211" s="13"/>
      <c r="W2211" s="13"/>
      <c r="X2211" s="22" t="str">
        <f aca="false">IF(Q2211="","",Q2211^2)</f>
        <v/>
      </c>
      <c r="Y2211" s="22" t="str">
        <f aca="false">IF(AND(C2211&lt;&gt;"",C2211=CERTIFICADO!$E$4,OR(CERTIFICADO!$E$5="",B2211=CERTIFICADO!$E$5)),MAX($Y$4:Y2210)+1,"")</f>
        <v/>
      </c>
    </row>
    <row r="2212" customFormat="false" ht="15" hidden="false" customHeight="false" outlineLevel="0" collapsed="false">
      <c r="A2212" s="11" t="str">
        <f aca="false">IF(C2212="","",ROW()-4)</f>
        <v/>
      </c>
      <c r="B2212" s="12"/>
      <c r="C2212" s="13"/>
      <c r="D2212" s="23" t="str">
        <f aca="false">IF(C2212="","",IFERROR(INDEX(LOTES!$D$5:$D$1004,MATCH(C2212,LOTES!$F$5:$F$1004,0)),"¿Lote?"))</f>
        <v/>
      </c>
      <c r="E2212" s="11" t="str">
        <f aca="false">IF(C2212="","",IFERROR(INDEX(LOTES!$C$5:$C$1004,MATCH(C2212,LOTES!$F$5:$F$1004,0)),""))</f>
        <v/>
      </c>
      <c r="F2212" s="24" t="str">
        <f aca="false">IF(C2212="","",IFERROR(INDEX(LOTES!$B$5:$B$1004,MATCH(C2212,LOTES!$F$5:$F$1004,0)),""))</f>
        <v/>
      </c>
      <c r="G2212" s="15" t="str">
        <f aca="false">IF(OR(B2212="",F2212=""),"",B2212-F2212)</f>
        <v/>
      </c>
      <c r="H2212" s="13"/>
      <c r="I2212" s="13"/>
      <c r="J2212" s="13"/>
      <c r="K2212" s="25"/>
      <c r="L2212" s="25"/>
      <c r="M2212" s="25"/>
      <c r="N2212" s="25"/>
      <c r="O2212" s="26"/>
      <c r="P2212" s="16" t="str">
        <f aca="false">IF(O2212="","",IFERROR(1/(1/(IF(K2212="",INDEX(CONFIG!$F$5:$F$14,MATCH(D2212,CONFIG!$D$5:$D$14,0)),K2212)*IF(M2212="",INDEX(CONFIG!$H$5:$H$14,MATCH(D2212,CONFIG!$D$5:$D$14,0)),M2212))),""))</f>
        <v/>
      </c>
      <c r="Q2212" s="16" t="str">
        <f aca="false">IF(OR(O2212="",P2212=""),"",O2212/P2212)</f>
        <v/>
      </c>
      <c r="R2212" s="16" t="str">
        <f aca="false">IF(Q2212="","",Q2212*0.0980665)</f>
        <v/>
      </c>
      <c r="S2212" s="16" t="str">
        <f aca="false">IF(Q2212="","",IFERROR(Q2212/(1/(1/INDEX(CONFIG!$I$5:$I$14,MATCH(D2212,CONFIG!$D$5:$D$14,0)))),""))</f>
        <v/>
      </c>
      <c r="T2212" s="13"/>
      <c r="U2212" s="13"/>
      <c r="V2212" s="13"/>
      <c r="W2212" s="13"/>
      <c r="X2212" s="22" t="str">
        <f aca="false">IF(Q2212="","",Q2212^2)</f>
        <v/>
      </c>
      <c r="Y2212" s="22" t="str">
        <f aca="false">IF(AND(C2212&lt;&gt;"",C2212=CERTIFICADO!$E$4,OR(CERTIFICADO!$E$5="",B2212=CERTIFICADO!$E$5)),MAX($Y$4:Y2211)+1,"")</f>
        <v/>
      </c>
    </row>
    <row r="2213" customFormat="false" ht="15" hidden="false" customHeight="false" outlineLevel="0" collapsed="false">
      <c r="A2213" s="11" t="str">
        <f aca="false">IF(C2213="","",ROW()-4)</f>
        <v/>
      </c>
      <c r="B2213" s="12"/>
      <c r="C2213" s="13"/>
      <c r="D2213" s="23" t="str">
        <f aca="false">IF(C2213="","",IFERROR(INDEX(LOTES!$D$5:$D$1004,MATCH(C2213,LOTES!$F$5:$F$1004,0)),"¿Lote?"))</f>
        <v/>
      </c>
      <c r="E2213" s="11" t="str">
        <f aca="false">IF(C2213="","",IFERROR(INDEX(LOTES!$C$5:$C$1004,MATCH(C2213,LOTES!$F$5:$F$1004,0)),""))</f>
        <v/>
      </c>
      <c r="F2213" s="24" t="str">
        <f aca="false">IF(C2213="","",IFERROR(INDEX(LOTES!$B$5:$B$1004,MATCH(C2213,LOTES!$F$5:$F$1004,0)),""))</f>
        <v/>
      </c>
      <c r="G2213" s="15" t="str">
        <f aca="false">IF(OR(B2213="",F2213=""),"",B2213-F2213)</f>
        <v/>
      </c>
      <c r="H2213" s="13"/>
      <c r="I2213" s="13"/>
      <c r="J2213" s="13"/>
      <c r="K2213" s="25"/>
      <c r="L2213" s="25"/>
      <c r="M2213" s="25"/>
      <c r="N2213" s="25"/>
      <c r="O2213" s="26"/>
      <c r="P2213" s="16" t="str">
        <f aca="false">IF(O2213="","",IFERROR(1/(1/(IF(K2213="",INDEX(CONFIG!$F$5:$F$14,MATCH(D2213,CONFIG!$D$5:$D$14,0)),K2213)*IF(M2213="",INDEX(CONFIG!$H$5:$H$14,MATCH(D2213,CONFIG!$D$5:$D$14,0)),M2213))),""))</f>
        <v/>
      </c>
      <c r="Q2213" s="16" t="str">
        <f aca="false">IF(OR(O2213="",P2213=""),"",O2213/P2213)</f>
        <v/>
      </c>
      <c r="R2213" s="16" t="str">
        <f aca="false">IF(Q2213="","",Q2213*0.0980665)</f>
        <v/>
      </c>
      <c r="S2213" s="16" t="str">
        <f aca="false">IF(Q2213="","",IFERROR(Q2213/(1/(1/INDEX(CONFIG!$I$5:$I$14,MATCH(D2213,CONFIG!$D$5:$D$14,0)))),""))</f>
        <v/>
      </c>
      <c r="T2213" s="13"/>
      <c r="U2213" s="13"/>
      <c r="V2213" s="13"/>
      <c r="W2213" s="13"/>
      <c r="X2213" s="22" t="str">
        <f aca="false">IF(Q2213="","",Q2213^2)</f>
        <v/>
      </c>
      <c r="Y2213" s="22" t="str">
        <f aca="false">IF(AND(C2213&lt;&gt;"",C2213=CERTIFICADO!$E$4,OR(CERTIFICADO!$E$5="",B2213=CERTIFICADO!$E$5)),MAX($Y$4:Y2212)+1,"")</f>
        <v/>
      </c>
    </row>
    <row r="2214" customFormat="false" ht="15" hidden="false" customHeight="false" outlineLevel="0" collapsed="false">
      <c r="A2214" s="11" t="str">
        <f aca="false">IF(C2214="","",ROW()-4)</f>
        <v/>
      </c>
      <c r="B2214" s="12"/>
      <c r="C2214" s="13"/>
      <c r="D2214" s="23" t="str">
        <f aca="false">IF(C2214="","",IFERROR(INDEX(LOTES!$D$5:$D$1004,MATCH(C2214,LOTES!$F$5:$F$1004,0)),"¿Lote?"))</f>
        <v/>
      </c>
      <c r="E2214" s="11" t="str">
        <f aca="false">IF(C2214="","",IFERROR(INDEX(LOTES!$C$5:$C$1004,MATCH(C2214,LOTES!$F$5:$F$1004,0)),""))</f>
        <v/>
      </c>
      <c r="F2214" s="24" t="str">
        <f aca="false">IF(C2214="","",IFERROR(INDEX(LOTES!$B$5:$B$1004,MATCH(C2214,LOTES!$F$5:$F$1004,0)),""))</f>
        <v/>
      </c>
      <c r="G2214" s="15" t="str">
        <f aca="false">IF(OR(B2214="",F2214=""),"",B2214-F2214)</f>
        <v/>
      </c>
      <c r="H2214" s="13"/>
      <c r="I2214" s="13"/>
      <c r="J2214" s="13"/>
      <c r="K2214" s="25"/>
      <c r="L2214" s="25"/>
      <c r="M2214" s="25"/>
      <c r="N2214" s="25"/>
      <c r="O2214" s="26"/>
      <c r="P2214" s="16" t="str">
        <f aca="false">IF(O2214="","",IFERROR(1/(1/(IF(K2214="",INDEX(CONFIG!$F$5:$F$14,MATCH(D2214,CONFIG!$D$5:$D$14,0)),K2214)*IF(M2214="",INDEX(CONFIG!$H$5:$H$14,MATCH(D2214,CONFIG!$D$5:$D$14,0)),M2214))),""))</f>
        <v/>
      </c>
      <c r="Q2214" s="16" t="str">
        <f aca="false">IF(OR(O2214="",P2214=""),"",O2214/P2214)</f>
        <v/>
      </c>
      <c r="R2214" s="16" t="str">
        <f aca="false">IF(Q2214="","",Q2214*0.0980665)</f>
        <v/>
      </c>
      <c r="S2214" s="16" t="str">
        <f aca="false">IF(Q2214="","",IFERROR(Q2214/(1/(1/INDEX(CONFIG!$I$5:$I$14,MATCH(D2214,CONFIG!$D$5:$D$14,0)))),""))</f>
        <v/>
      </c>
      <c r="T2214" s="13"/>
      <c r="U2214" s="13"/>
      <c r="V2214" s="13"/>
      <c r="W2214" s="13"/>
      <c r="X2214" s="22" t="str">
        <f aca="false">IF(Q2214="","",Q2214^2)</f>
        <v/>
      </c>
      <c r="Y2214" s="22" t="str">
        <f aca="false">IF(AND(C2214&lt;&gt;"",C2214=CERTIFICADO!$E$4,OR(CERTIFICADO!$E$5="",B2214=CERTIFICADO!$E$5)),MAX($Y$4:Y2213)+1,"")</f>
        <v/>
      </c>
    </row>
    <row r="2215" customFormat="false" ht="15" hidden="false" customHeight="false" outlineLevel="0" collapsed="false">
      <c r="A2215" s="11" t="str">
        <f aca="false">IF(C2215="","",ROW()-4)</f>
        <v/>
      </c>
      <c r="B2215" s="12"/>
      <c r="C2215" s="13"/>
      <c r="D2215" s="23" t="str">
        <f aca="false">IF(C2215="","",IFERROR(INDEX(LOTES!$D$5:$D$1004,MATCH(C2215,LOTES!$F$5:$F$1004,0)),"¿Lote?"))</f>
        <v/>
      </c>
      <c r="E2215" s="11" t="str">
        <f aca="false">IF(C2215="","",IFERROR(INDEX(LOTES!$C$5:$C$1004,MATCH(C2215,LOTES!$F$5:$F$1004,0)),""))</f>
        <v/>
      </c>
      <c r="F2215" s="24" t="str">
        <f aca="false">IF(C2215="","",IFERROR(INDEX(LOTES!$B$5:$B$1004,MATCH(C2215,LOTES!$F$5:$F$1004,0)),""))</f>
        <v/>
      </c>
      <c r="G2215" s="15" t="str">
        <f aca="false">IF(OR(B2215="",F2215=""),"",B2215-F2215)</f>
        <v/>
      </c>
      <c r="H2215" s="13"/>
      <c r="I2215" s="13"/>
      <c r="J2215" s="13"/>
      <c r="K2215" s="25"/>
      <c r="L2215" s="25"/>
      <c r="M2215" s="25"/>
      <c r="N2215" s="25"/>
      <c r="O2215" s="26"/>
      <c r="P2215" s="16" t="str">
        <f aca="false">IF(O2215="","",IFERROR(1/(1/(IF(K2215="",INDEX(CONFIG!$F$5:$F$14,MATCH(D2215,CONFIG!$D$5:$D$14,0)),K2215)*IF(M2215="",INDEX(CONFIG!$H$5:$H$14,MATCH(D2215,CONFIG!$D$5:$D$14,0)),M2215))),""))</f>
        <v/>
      </c>
      <c r="Q2215" s="16" t="str">
        <f aca="false">IF(OR(O2215="",P2215=""),"",O2215/P2215)</f>
        <v/>
      </c>
      <c r="R2215" s="16" t="str">
        <f aca="false">IF(Q2215="","",Q2215*0.0980665)</f>
        <v/>
      </c>
      <c r="S2215" s="16" t="str">
        <f aca="false">IF(Q2215="","",IFERROR(Q2215/(1/(1/INDEX(CONFIG!$I$5:$I$14,MATCH(D2215,CONFIG!$D$5:$D$14,0)))),""))</f>
        <v/>
      </c>
      <c r="T2215" s="13"/>
      <c r="U2215" s="13"/>
      <c r="V2215" s="13"/>
      <c r="W2215" s="13"/>
      <c r="X2215" s="22" t="str">
        <f aca="false">IF(Q2215="","",Q2215^2)</f>
        <v/>
      </c>
      <c r="Y2215" s="22" t="str">
        <f aca="false">IF(AND(C2215&lt;&gt;"",C2215=CERTIFICADO!$E$4,OR(CERTIFICADO!$E$5="",B2215=CERTIFICADO!$E$5)),MAX($Y$4:Y2214)+1,"")</f>
        <v/>
      </c>
    </row>
    <row r="2216" customFormat="false" ht="15" hidden="false" customHeight="false" outlineLevel="0" collapsed="false">
      <c r="A2216" s="11" t="str">
        <f aca="false">IF(C2216="","",ROW()-4)</f>
        <v/>
      </c>
      <c r="B2216" s="12"/>
      <c r="C2216" s="13"/>
      <c r="D2216" s="23" t="str">
        <f aca="false">IF(C2216="","",IFERROR(INDEX(LOTES!$D$5:$D$1004,MATCH(C2216,LOTES!$F$5:$F$1004,0)),"¿Lote?"))</f>
        <v/>
      </c>
      <c r="E2216" s="11" t="str">
        <f aca="false">IF(C2216="","",IFERROR(INDEX(LOTES!$C$5:$C$1004,MATCH(C2216,LOTES!$F$5:$F$1004,0)),""))</f>
        <v/>
      </c>
      <c r="F2216" s="24" t="str">
        <f aca="false">IF(C2216="","",IFERROR(INDEX(LOTES!$B$5:$B$1004,MATCH(C2216,LOTES!$F$5:$F$1004,0)),""))</f>
        <v/>
      </c>
      <c r="G2216" s="15" t="str">
        <f aca="false">IF(OR(B2216="",F2216=""),"",B2216-F2216)</f>
        <v/>
      </c>
      <c r="H2216" s="13"/>
      <c r="I2216" s="13"/>
      <c r="J2216" s="13"/>
      <c r="K2216" s="25"/>
      <c r="L2216" s="25"/>
      <c r="M2216" s="25"/>
      <c r="N2216" s="25"/>
      <c r="O2216" s="26"/>
      <c r="P2216" s="16" t="str">
        <f aca="false">IF(O2216="","",IFERROR(1/(1/(IF(K2216="",INDEX(CONFIG!$F$5:$F$14,MATCH(D2216,CONFIG!$D$5:$D$14,0)),K2216)*IF(M2216="",INDEX(CONFIG!$H$5:$H$14,MATCH(D2216,CONFIG!$D$5:$D$14,0)),M2216))),""))</f>
        <v/>
      </c>
      <c r="Q2216" s="16" t="str">
        <f aca="false">IF(OR(O2216="",P2216=""),"",O2216/P2216)</f>
        <v/>
      </c>
      <c r="R2216" s="16" t="str">
        <f aca="false">IF(Q2216="","",Q2216*0.0980665)</f>
        <v/>
      </c>
      <c r="S2216" s="16" t="str">
        <f aca="false">IF(Q2216="","",IFERROR(Q2216/(1/(1/INDEX(CONFIG!$I$5:$I$14,MATCH(D2216,CONFIG!$D$5:$D$14,0)))),""))</f>
        <v/>
      </c>
      <c r="T2216" s="13"/>
      <c r="U2216" s="13"/>
      <c r="V2216" s="13"/>
      <c r="W2216" s="13"/>
      <c r="X2216" s="22" t="str">
        <f aca="false">IF(Q2216="","",Q2216^2)</f>
        <v/>
      </c>
      <c r="Y2216" s="22" t="str">
        <f aca="false">IF(AND(C2216&lt;&gt;"",C2216=CERTIFICADO!$E$4,OR(CERTIFICADO!$E$5="",B2216=CERTIFICADO!$E$5)),MAX($Y$4:Y2215)+1,"")</f>
        <v/>
      </c>
    </row>
    <row r="2217" customFormat="false" ht="15" hidden="false" customHeight="false" outlineLevel="0" collapsed="false">
      <c r="A2217" s="11" t="str">
        <f aca="false">IF(C2217="","",ROW()-4)</f>
        <v/>
      </c>
      <c r="B2217" s="12"/>
      <c r="C2217" s="13"/>
      <c r="D2217" s="23" t="str">
        <f aca="false">IF(C2217="","",IFERROR(INDEX(LOTES!$D$5:$D$1004,MATCH(C2217,LOTES!$F$5:$F$1004,0)),"¿Lote?"))</f>
        <v/>
      </c>
      <c r="E2217" s="11" t="str">
        <f aca="false">IF(C2217="","",IFERROR(INDEX(LOTES!$C$5:$C$1004,MATCH(C2217,LOTES!$F$5:$F$1004,0)),""))</f>
        <v/>
      </c>
      <c r="F2217" s="24" t="str">
        <f aca="false">IF(C2217="","",IFERROR(INDEX(LOTES!$B$5:$B$1004,MATCH(C2217,LOTES!$F$5:$F$1004,0)),""))</f>
        <v/>
      </c>
      <c r="G2217" s="15" t="str">
        <f aca="false">IF(OR(B2217="",F2217=""),"",B2217-F2217)</f>
        <v/>
      </c>
      <c r="H2217" s="13"/>
      <c r="I2217" s="13"/>
      <c r="J2217" s="13"/>
      <c r="K2217" s="25"/>
      <c r="L2217" s="25"/>
      <c r="M2217" s="25"/>
      <c r="N2217" s="25"/>
      <c r="O2217" s="26"/>
      <c r="P2217" s="16" t="str">
        <f aca="false">IF(O2217="","",IFERROR(1/(1/(IF(K2217="",INDEX(CONFIG!$F$5:$F$14,MATCH(D2217,CONFIG!$D$5:$D$14,0)),K2217)*IF(M2217="",INDEX(CONFIG!$H$5:$H$14,MATCH(D2217,CONFIG!$D$5:$D$14,0)),M2217))),""))</f>
        <v/>
      </c>
      <c r="Q2217" s="16" t="str">
        <f aca="false">IF(OR(O2217="",P2217=""),"",O2217/P2217)</f>
        <v/>
      </c>
      <c r="R2217" s="16" t="str">
        <f aca="false">IF(Q2217="","",Q2217*0.0980665)</f>
        <v/>
      </c>
      <c r="S2217" s="16" t="str">
        <f aca="false">IF(Q2217="","",IFERROR(Q2217/(1/(1/INDEX(CONFIG!$I$5:$I$14,MATCH(D2217,CONFIG!$D$5:$D$14,0)))),""))</f>
        <v/>
      </c>
      <c r="T2217" s="13"/>
      <c r="U2217" s="13"/>
      <c r="V2217" s="13"/>
      <c r="W2217" s="13"/>
      <c r="X2217" s="22" t="str">
        <f aca="false">IF(Q2217="","",Q2217^2)</f>
        <v/>
      </c>
      <c r="Y2217" s="22" t="str">
        <f aca="false">IF(AND(C2217&lt;&gt;"",C2217=CERTIFICADO!$E$4,OR(CERTIFICADO!$E$5="",B2217=CERTIFICADO!$E$5)),MAX($Y$4:Y2216)+1,"")</f>
        <v/>
      </c>
    </row>
    <row r="2218" customFormat="false" ht="15" hidden="false" customHeight="false" outlineLevel="0" collapsed="false">
      <c r="A2218" s="11" t="str">
        <f aca="false">IF(C2218="","",ROW()-4)</f>
        <v/>
      </c>
      <c r="B2218" s="12"/>
      <c r="C2218" s="13"/>
      <c r="D2218" s="23" t="str">
        <f aca="false">IF(C2218="","",IFERROR(INDEX(LOTES!$D$5:$D$1004,MATCH(C2218,LOTES!$F$5:$F$1004,0)),"¿Lote?"))</f>
        <v/>
      </c>
      <c r="E2218" s="11" t="str">
        <f aca="false">IF(C2218="","",IFERROR(INDEX(LOTES!$C$5:$C$1004,MATCH(C2218,LOTES!$F$5:$F$1004,0)),""))</f>
        <v/>
      </c>
      <c r="F2218" s="24" t="str">
        <f aca="false">IF(C2218="","",IFERROR(INDEX(LOTES!$B$5:$B$1004,MATCH(C2218,LOTES!$F$5:$F$1004,0)),""))</f>
        <v/>
      </c>
      <c r="G2218" s="15" t="str">
        <f aca="false">IF(OR(B2218="",F2218=""),"",B2218-F2218)</f>
        <v/>
      </c>
      <c r="H2218" s="13"/>
      <c r="I2218" s="13"/>
      <c r="J2218" s="13"/>
      <c r="K2218" s="25"/>
      <c r="L2218" s="25"/>
      <c r="M2218" s="25"/>
      <c r="N2218" s="25"/>
      <c r="O2218" s="26"/>
      <c r="P2218" s="16" t="str">
        <f aca="false">IF(O2218="","",IFERROR(1/(1/(IF(K2218="",INDEX(CONFIG!$F$5:$F$14,MATCH(D2218,CONFIG!$D$5:$D$14,0)),K2218)*IF(M2218="",INDEX(CONFIG!$H$5:$H$14,MATCH(D2218,CONFIG!$D$5:$D$14,0)),M2218))),""))</f>
        <v/>
      </c>
      <c r="Q2218" s="16" t="str">
        <f aca="false">IF(OR(O2218="",P2218=""),"",O2218/P2218)</f>
        <v/>
      </c>
      <c r="R2218" s="16" t="str">
        <f aca="false">IF(Q2218="","",Q2218*0.0980665)</f>
        <v/>
      </c>
      <c r="S2218" s="16" t="str">
        <f aca="false">IF(Q2218="","",IFERROR(Q2218/(1/(1/INDEX(CONFIG!$I$5:$I$14,MATCH(D2218,CONFIG!$D$5:$D$14,0)))),""))</f>
        <v/>
      </c>
      <c r="T2218" s="13"/>
      <c r="U2218" s="13"/>
      <c r="V2218" s="13"/>
      <c r="W2218" s="13"/>
      <c r="X2218" s="22" t="str">
        <f aca="false">IF(Q2218="","",Q2218^2)</f>
        <v/>
      </c>
      <c r="Y2218" s="22" t="str">
        <f aca="false">IF(AND(C2218&lt;&gt;"",C2218=CERTIFICADO!$E$4,OR(CERTIFICADO!$E$5="",B2218=CERTIFICADO!$E$5)),MAX($Y$4:Y2217)+1,"")</f>
        <v/>
      </c>
    </row>
    <row r="2219" customFormat="false" ht="15" hidden="false" customHeight="false" outlineLevel="0" collapsed="false">
      <c r="A2219" s="11" t="str">
        <f aca="false">IF(C2219="","",ROW()-4)</f>
        <v/>
      </c>
      <c r="B2219" s="12"/>
      <c r="C2219" s="13"/>
      <c r="D2219" s="23" t="str">
        <f aca="false">IF(C2219="","",IFERROR(INDEX(LOTES!$D$5:$D$1004,MATCH(C2219,LOTES!$F$5:$F$1004,0)),"¿Lote?"))</f>
        <v/>
      </c>
      <c r="E2219" s="11" t="str">
        <f aca="false">IF(C2219="","",IFERROR(INDEX(LOTES!$C$5:$C$1004,MATCH(C2219,LOTES!$F$5:$F$1004,0)),""))</f>
        <v/>
      </c>
      <c r="F2219" s="24" t="str">
        <f aca="false">IF(C2219="","",IFERROR(INDEX(LOTES!$B$5:$B$1004,MATCH(C2219,LOTES!$F$5:$F$1004,0)),""))</f>
        <v/>
      </c>
      <c r="G2219" s="15" t="str">
        <f aca="false">IF(OR(B2219="",F2219=""),"",B2219-F2219)</f>
        <v/>
      </c>
      <c r="H2219" s="13"/>
      <c r="I2219" s="13"/>
      <c r="J2219" s="13"/>
      <c r="K2219" s="25"/>
      <c r="L2219" s="25"/>
      <c r="M2219" s="25"/>
      <c r="N2219" s="25"/>
      <c r="O2219" s="26"/>
      <c r="P2219" s="16" t="str">
        <f aca="false">IF(O2219="","",IFERROR(1/(1/(IF(K2219="",INDEX(CONFIG!$F$5:$F$14,MATCH(D2219,CONFIG!$D$5:$D$14,0)),K2219)*IF(M2219="",INDEX(CONFIG!$H$5:$H$14,MATCH(D2219,CONFIG!$D$5:$D$14,0)),M2219))),""))</f>
        <v/>
      </c>
      <c r="Q2219" s="16" t="str">
        <f aca="false">IF(OR(O2219="",P2219=""),"",O2219/P2219)</f>
        <v/>
      </c>
      <c r="R2219" s="16" t="str">
        <f aca="false">IF(Q2219="","",Q2219*0.0980665)</f>
        <v/>
      </c>
      <c r="S2219" s="16" t="str">
        <f aca="false">IF(Q2219="","",IFERROR(Q2219/(1/(1/INDEX(CONFIG!$I$5:$I$14,MATCH(D2219,CONFIG!$D$5:$D$14,0)))),""))</f>
        <v/>
      </c>
      <c r="T2219" s="13"/>
      <c r="U2219" s="13"/>
      <c r="V2219" s="13"/>
      <c r="W2219" s="13"/>
      <c r="X2219" s="22" t="str">
        <f aca="false">IF(Q2219="","",Q2219^2)</f>
        <v/>
      </c>
      <c r="Y2219" s="22" t="str">
        <f aca="false">IF(AND(C2219&lt;&gt;"",C2219=CERTIFICADO!$E$4,OR(CERTIFICADO!$E$5="",B2219=CERTIFICADO!$E$5)),MAX($Y$4:Y2218)+1,"")</f>
        <v/>
      </c>
    </row>
    <row r="2220" customFormat="false" ht="15" hidden="false" customHeight="false" outlineLevel="0" collapsed="false">
      <c r="A2220" s="11" t="str">
        <f aca="false">IF(C2220="","",ROW()-4)</f>
        <v/>
      </c>
      <c r="B2220" s="12"/>
      <c r="C2220" s="13"/>
      <c r="D2220" s="23" t="str">
        <f aca="false">IF(C2220="","",IFERROR(INDEX(LOTES!$D$5:$D$1004,MATCH(C2220,LOTES!$F$5:$F$1004,0)),"¿Lote?"))</f>
        <v/>
      </c>
      <c r="E2220" s="11" t="str">
        <f aca="false">IF(C2220="","",IFERROR(INDEX(LOTES!$C$5:$C$1004,MATCH(C2220,LOTES!$F$5:$F$1004,0)),""))</f>
        <v/>
      </c>
      <c r="F2220" s="24" t="str">
        <f aca="false">IF(C2220="","",IFERROR(INDEX(LOTES!$B$5:$B$1004,MATCH(C2220,LOTES!$F$5:$F$1004,0)),""))</f>
        <v/>
      </c>
      <c r="G2220" s="15" t="str">
        <f aca="false">IF(OR(B2220="",F2220=""),"",B2220-F2220)</f>
        <v/>
      </c>
      <c r="H2220" s="13"/>
      <c r="I2220" s="13"/>
      <c r="J2220" s="13"/>
      <c r="K2220" s="25"/>
      <c r="L2220" s="25"/>
      <c r="M2220" s="25"/>
      <c r="N2220" s="25"/>
      <c r="O2220" s="26"/>
      <c r="P2220" s="16" t="str">
        <f aca="false">IF(O2220="","",IFERROR(1/(1/(IF(K2220="",INDEX(CONFIG!$F$5:$F$14,MATCH(D2220,CONFIG!$D$5:$D$14,0)),K2220)*IF(M2220="",INDEX(CONFIG!$H$5:$H$14,MATCH(D2220,CONFIG!$D$5:$D$14,0)),M2220))),""))</f>
        <v/>
      </c>
      <c r="Q2220" s="16" t="str">
        <f aca="false">IF(OR(O2220="",P2220=""),"",O2220/P2220)</f>
        <v/>
      </c>
      <c r="R2220" s="16" t="str">
        <f aca="false">IF(Q2220="","",Q2220*0.0980665)</f>
        <v/>
      </c>
      <c r="S2220" s="16" t="str">
        <f aca="false">IF(Q2220="","",IFERROR(Q2220/(1/(1/INDEX(CONFIG!$I$5:$I$14,MATCH(D2220,CONFIG!$D$5:$D$14,0)))),""))</f>
        <v/>
      </c>
      <c r="T2220" s="13"/>
      <c r="U2220" s="13"/>
      <c r="V2220" s="13"/>
      <c r="W2220" s="13"/>
      <c r="X2220" s="22" t="str">
        <f aca="false">IF(Q2220="","",Q2220^2)</f>
        <v/>
      </c>
      <c r="Y2220" s="22" t="str">
        <f aca="false">IF(AND(C2220&lt;&gt;"",C2220=CERTIFICADO!$E$4,OR(CERTIFICADO!$E$5="",B2220=CERTIFICADO!$E$5)),MAX($Y$4:Y2219)+1,"")</f>
        <v/>
      </c>
    </row>
    <row r="2221" customFormat="false" ht="15" hidden="false" customHeight="false" outlineLevel="0" collapsed="false">
      <c r="A2221" s="11" t="str">
        <f aca="false">IF(C2221="","",ROW()-4)</f>
        <v/>
      </c>
      <c r="B2221" s="12"/>
      <c r="C2221" s="13"/>
      <c r="D2221" s="23" t="str">
        <f aca="false">IF(C2221="","",IFERROR(INDEX(LOTES!$D$5:$D$1004,MATCH(C2221,LOTES!$F$5:$F$1004,0)),"¿Lote?"))</f>
        <v/>
      </c>
      <c r="E2221" s="11" t="str">
        <f aca="false">IF(C2221="","",IFERROR(INDEX(LOTES!$C$5:$C$1004,MATCH(C2221,LOTES!$F$5:$F$1004,0)),""))</f>
        <v/>
      </c>
      <c r="F2221" s="24" t="str">
        <f aca="false">IF(C2221="","",IFERROR(INDEX(LOTES!$B$5:$B$1004,MATCH(C2221,LOTES!$F$5:$F$1004,0)),""))</f>
        <v/>
      </c>
      <c r="G2221" s="15" t="str">
        <f aca="false">IF(OR(B2221="",F2221=""),"",B2221-F2221)</f>
        <v/>
      </c>
      <c r="H2221" s="13"/>
      <c r="I2221" s="13"/>
      <c r="J2221" s="13"/>
      <c r="K2221" s="25"/>
      <c r="L2221" s="25"/>
      <c r="M2221" s="25"/>
      <c r="N2221" s="25"/>
      <c r="O2221" s="26"/>
      <c r="P2221" s="16" t="str">
        <f aca="false">IF(O2221="","",IFERROR(1/(1/(IF(K2221="",INDEX(CONFIG!$F$5:$F$14,MATCH(D2221,CONFIG!$D$5:$D$14,0)),K2221)*IF(M2221="",INDEX(CONFIG!$H$5:$H$14,MATCH(D2221,CONFIG!$D$5:$D$14,0)),M2221))),""))</f>
        <v/>
      </c>
      <c r="Q2221" s="16" t="str">
        <f aca="false">IF(OR(O2221="",P2221=""),"",O2221/P2221)</f>
        <v/>
      </c>
      <c r="R2221" s="16" t="str">
        <f aca="false">IF(Q2221="","",Q2221*0.0980665)</f>
        <v/>
      </c>
      <c r="S2221" s="16" t="str">
        <f aca="false">IF(Q2221="","",IFERROR(Q2221/(1/(1/INDEX(CONFIG!$I$5:$I$14,MATCH(D2221,CONFIG!$D$5:$D$14,0)))),""))</f>
        <v/>
      </c>
      <c r="T2221" s="13"/>
      <c r="U2221" s="13"/>
      <c r="V2221" s="13"/>
      <c r="W2221" s="13"/>
      <c r="X2221" s="22" t="str">
        <f aca="false">IF(Q2221="","",Q2221^2)</f>
        <v/>
      </c>
      <c r="Y2221" s="22" t="str">
        <f aca="false">IF(AND(C2221&lt;&gt;"",C2221=CERTIFICADO!$E$4,OR(CERTIFICADO!$E$5="",B2221=CERTIFICADO!$E$5)),MAX($Y$4:Y2220)+1,"")</f>
        <v/>
      </c>
    </row>
    <row r="2222" customFormat="false" ht="15" hidden="false" customHeight="false" outlineLevel="0" collapsed="false">
      <c r="A2222" s="11" t="str">
        <f aca="false">IF(C2222="","",ROW()-4)</f>
        <v/>
      </c>
      <c r="B2222" s="12"/>
      <c r="C2222" s="13"/>
      <c r="D2222" s="23" t="str">
        <f aca="false">IF(C2222="","",IFERROR(INDEX(LOTES!$D$5:$D$1004,MATCH(C2222,LOTES!$F$5:$F$1004,0)),"¿Lote?"))</f>
        <v/>
      </c>
      <c r="E2222" s="11" t="str">
        <f aca="false">IF(C2222="","",IFERROR(INDEX(LOTES!$C$5:$C$1004,MATCH(C2222,LOTES!$F$5:$F$1004,0)),""))</f>
        <v/>
      </c>
      <c r="F2222" s="24" t="str">
        <f aca="false">IF(C2222="","",IFERROR(INDEX(LOTES!$B$5:$B$1004,MATCH(C2222,LOTES!$F$5:$F$1004,0)),""))</f>
        <v/>
      </c>
      <c r="G2222" s="15" t="str">
        <f aca="false">IF(OR(B2222="",F2222=""),"",B2222-F2222)</f>
        <v/>
      </c>
      <c r="H2222" s="13"/>
      <c r="I2222" s="13"/>
      <c r="J2222" s="13"/>
      <c r="K2222" s="25"/>
      <c r="L2222" s="25"/>
      <c r="M2222" s="25"/>
      <c r="N2222" s="25"/>
      <c r="O2222" s="26"/>
      <c r="P2222" s="16" t="str">
        <f aca="false">IF(O2222="","",IFERROR(1/(1/(IF(K2222="",INDEX(CONFIG!$F$5:$F$14,MATCH(D2222,CONFIG!$D$5:$D$14,0)),K2222)*IF(M2222="",INDEX(CONFIG!$H$5:$H$14,MATCH(D2222,CONFIG!$D$5:$D$14,0)),M2222))),""))</f>
        <v/>
      </c>
      <c r="Q2222" s="16" t="str">
        <f aca="false">IF(OR(O2222="",P2222=""),"",O2222/P2222)</f>
        <v/>
      </c>
      <c r="R2222" s="16" t="str">
        <f aca="false">IF(Q2222="","",Q2222*0.0980665)</f>
        <v/>
      </c>
      <c r="S2222" s="16" t="str">
        <f aca="false">IF(Q2222="","",IFERROR(Q2222/(1/(1/INDEX(CONFIG!$I$5:$I$14,MATCH(D2222,CONFIG!$D$5:$D$14,0)))),""))</f>
        <v/>
      </c>
      <c r="T2222" s="13"/>
      <c r="U2222" s="13"/>
      <c r="V2222" s="13"/>
      <c r="W2222" s="13"/>
      <c r="X2222" s="22" t="str">
        <f aca="false">IF(Q2222="","",Q2222^2)</f>
        <v/>
      </c>
      <c r="Y2222" s="22" t="str">
        <f aca="false">IF(AND(C2222&lt;&gt;"",C2222=CERTIFICADO!$E$4,OR(CERTIFICADO!$E$5="",B2222=CERTIFICADO!$E$5)),MAX($Y$4:Y2221)+1,"")</f>
        <v/>
      </c>
    </row>
    <row r="2223" customFormat="false" ht="15" hidden="false" customHeight="false" outlineLevel="0" collapsed="false">
      <c r="A2223" s="11" t="str">
        <f aca="false">IF(C2223="","",ROW()-4)</f>
        <v/>
      </c>
      <c r="B2223" s="12"/>
      <c r="C2223" s="13"/>
      <c r="D2223" s="23" t="str">
        <f aca="false">IF(C2223="","",IFERROR(INDEX(LOTES!$D$5:$D$1004,MATCH(C2223,LOTES!$F$5:$F$1004,0)),"¿Lote?"))</f>
        <v/>
      </c>
      <c r="E2223" s="11" t="str">
        <f aca="false">IF(C2223="","",IFERROR(INDEX(LOTES!$C$5:$C$1004,MATCH(C2223,LOTES!$F$5:$F$1004,0)),""))</f>
        <v/>
      </c>
      <c r="F2223" s="24" t="str">
        <f aca="false">IF(C2223="","",IFERROR(INDEX(LOTES!$B$5:$B$1004,MATCH(C2223,LOTES!$F$5:$F$1004,0)),""))</f>
        <v/>
      </c>
      <c r="G2223" s="15" t="str">
        <f aca="false">IF(OR(B2223="",F2223=""),"",B2223-F2223)</f>
        <v/>
      </c>
      <c r="H2223" s="13"/>
      <c r="I2223" s="13"/>
      <c r="J2223" s="13"/>
      <c r="K2223" s="25"/>
      <c r="L2223" s="25"/>
      <c r="M2223" s="25"/>
      <c r="N2223" s="25"/>
      <c r="O2223" s="26"/>
      <c r="P2223" s="16" t="str">
        <f aca="false">IF(O2223="","",IFERROR(1/(1/(IF(K2223="",INDEX(CONFIG!$F$5:$F$14,MATCH(D2223,CONFIG!$D$5:$D$14,0)),K2223)*IF(M2223="",INDEX(CONFIG!$H$5:$H$14,MATCH(D2223,CONFIG!$D$5:$D$14,0)),M2223))),""))</f>
        <v/>
      </c>
      <c r="Q2223" s="16" t="str">
        <f aca="false">IF(OR(O2223="",P2223=""),"",O2223/P2223)</f>
        <v/>
      </c>
      <c r="R2223" s="16" t="str">
        <f aca="false">IF(Q2223="","",Q2223*0.0980665)</f>
        <v/>
      </c>
      <c r="S2223" s="16" t="str">
        <f aca="false">IF(Q2223="","",IFERROR(Q2223/(1/(1/INDEX(CONFIG!$I$5:$I$14,MATCH(D2223,CONFIG!$D$5:$D$14,0)))),""))</f>
        <v/>
      </c>
      <c r="T2223" s="13"/>
      <c r="U2223" s="13"/>
      <c r="V2223" s="13"/>
      <c r="W2223" s="13"/>
      <c r="X2223" s="22" t="str">
        <f aca="false">IF(Q2223="","",Q2223^2)</f>
        <v/>
      </c>
      <c r="Y2223" s="22" t="str">
        <f aca="false">IF(AND(C2223&lt;&gt;"",C2223=CERTIFICADO!$E$4,OR(CERTIFICADO!$E$5="",B2223=CERTIFICADO!$E$5)),MAX($Y$4:Y2222)+1,"")</f>
        <v/>
      </c>
    </row>
    <row r="2224" customFormat="false" ht="15" hidden="false" customHeight="false" outlineLevel="0" collapsed="false">
      <c r="A2224" s="11" t="str">
        <f aca="false">IF(C2224="","",ROW()-4)</f>
        <v/>
      </c>
      <c r="B2224" s="12"/>
      <c r="C2224" s="13"/>
      <c r="D2224" s="23" t="str">
        <f aca="false">IF(C2224="","",IFERROR(INDEX(LOTES!$D$5:$D$1004,MATCH(C2224,LOTES!$F$5:$F$1004,0)),"¿Lote?"))</f>
        <v/>
      </c>
      <c r="E2224" s="11" t="str">
        <f aca="false">IF(C2224="","",IFERROR(INDEX(LOTES!$C$5:$C$1004,MATCH(C2224,LOTES!$F$5:$F$1004,0)),""))</f>
        <v/>
      </c>
      <c r="F2224" s="24" t="str">
        <f aca="false">IF(C2224="","",IFERROR(INDEX(LOTES!$B$5:$B$1004,MATCH(C2224,LOTES!$F$5:$F$1004,0)),""))</f>
        <v/>
      </c>
      <c r="G2224" s="15" t="str">
        <f aca="false">IF(OR(B2224="",F2224=""),"",B2224-F2224)</f>
        <v/>
      </c>
      <c r="H2224" s="13"/>
      <c r="I2224" s="13"/>
      <c r="J2224" s="13"/>
      <c r="K2224" s="25"/>
      <c r="L2224" s="25"/>
      <c r="M2224" s="25"/>
      <c r="N2224" s="25"/>
      <c r="O2224" s="26"/>
      <c r="P2224" s="16" t="str">
        <f aca="false">IF(O2224="","",IFERROR(1/(1/(IF(K2224="",INDEX(CONFIG!$F$5:$F$14,MATCH(D2224,CONFIG!$D$5:$D$14,0)),K2224)*IF(M2224="",INDEX(CONFIG!$H$5:$H$14,MATCH(D2224,CONFIG!$D$5:$D$14,0)),M2224))),""))</f>
        <v/>
      </c>
      <c r="Q2224" s="16" t="str">
        <f aca="false">IF(OR(O2224="",P2224=""),"",O2224/P2224)</f>
        <v/>
      </c>
      <c r="R2224" s="16" t="str">
        <f aca="false">IF(Q2224="","",Q2224*0.0980665)</f>
        <v/>
      </c>
      <c r="S2224" s="16" t="str">
        <f aca="false">IF(Q2224="","",IFERROR(Q2224/(1/(1/INDEX(CONFIG!$I$5:$I$14,MATCH(D2224,CONFIG!$D$5:$D$14,0)))),""))</f>
        <v/>
      </c>
      <c r="T2224" s="13"/>
      <c r="U2224" s="13"/>
      <c r="V2224" s="13"/>
      <c r="W2224" s="13"/>
      <c r="X2224" s="22" t="str">
        <f aca="false">IF(Q2224="","",Q2224^2)</f>
        <v/>
      </c>
      <c r="Y2224" s="22" t="str">
        <f aca="false">IF(AND(C2224&lt;&gt;"",C2224=CERTIFICADO!$E$4,OR(CERTIFICADO!$E$5="",B2224=CERTIFICADO!$E$5)),MAX($Y$4:Y2223)+1,"")</f>
        <v/>
      </c>
    </row>
    <row r="2225" customFormat="false" ht="15" hidden="false" customHeight="false" outlineLevel="0" collapsed="false">
      <c r="A2225" s="11" t="str">
        <f aca="false">IF(C2225="","",ROW()-4)</f>
        <v/>
      </c>
      <c r="B2225" s="12"/>
      <c r="C2225" s="13"/>
      <c r="D2225" s="23" t="str">
        <f aca="false">IF(C2225="","",IFERROR(INDEX(LOTES!$D$5:$D$1004,MATCH(C2225,LOTES!$F$5:$F$1004,0)),"¿Lote?"))</f>
        <v/>
      </c>
      <c r="E2225" s="11" t="str">
        <f aca="false">IF(C2225="","",IFERROR(INDEX(LOTES!$C$5:$C$1004,MATCH(C2225,LOTES!$F$5:$F$1004,0)),""))</f>
        <v/>
      </c>
      <c r="F2225" s="24" t="str">
        <f aca="false">IF(C2225="","",IFERROR(INDEX(LOTES!$B$5:$B$1004,MATCH(C2225,LOTES!$F$5:$F$1004,0)),""))</f>
        <v/>
      </c>
      <c r="G2225" s="15" t="str">
        <f aca="false">IF(OR(B2225="",F2225=""),"",B2225-F2225)</f>
        <v/>
      </c>
      <c r="H2225" s="13"/>
      <c r="I2225" s="13"/>
      <c r="J2225" s="13"/>
      <c r="K2225" s="25"/>
      <c r="L2225" s="25"/>
      <c r="M2225" s="25"/>
      <c r="N2225" s="25"/>
      <c r="O2225" s="26"/>
      <c r="P2225" s="16" t="str">
        <f aca="false">IF(O2225="","",IFERROR(1/(1/(IF(K2225="",INDEX(CONFIG!$F$5:$F$14,MATCH(D2225,CONFIG!$D$5:$D$14,0)),K2225)*IF(M2225="",INDEX(CONFIG!$H$5:$H$14,MATCH(D2225,CONFIG!$D$5:$D$14,0)),M2225))),""))</f>
        <v/>
      </c>
      <c r="Q2225" s="16" t="str">
        <f aca="false">IF(OR(O2225="",P2225=""),"",O2225/P2225)</f>
        <v/>
      </c>
      <c r="R2225" s="16" t="str">
        <f aca="false">IF(Q2225="","",Q2225*0.0980665)</f>
        <v/>
      </c>
      <c r="S2225" s="16" t="str">
        <f aca="false">IF(Q2225="","",IFERROR(Q2225/(1/(1/INDEX(CONFIG!$I$5:$I$14,MATCH(D2225,CONFIG!$D$5:$D$14,0)))),""))</f>
        <v/>
      </c>
      <c r="T2225" s="13"/>
      <c r="U2225" s="13"/>
      <c r="V2225" s="13"/>
      <c r="W2225" s="13"/>
      <c r="X2225" s="22" t="str">
        <f aca="false">IF(Q2225="","",Q2225^2)</f>
        <v/>
      </c>
      <c r="Y2225" s="22" t="str">
        <f aca="false">IF(AND(C2225&lt;&gt;"",C2225=CERTIFICADO!$E$4,OR(CERTIFICADO!$E$5="",B2225=CERTIFICADO!$E$5)),MAX($Y$4:Y2224)+1,"")</f>
        <v/>
      </c>
    </row>
    <row r="2226" customFormat="false" ht="15" hidden="false" customHeight="false" outlineLevel="0" collapsed="false">
      <c r="A2226" s="11" t="str">
        <f aca="false">IF(C2226="","",ROW()-4)</f>
        <v/>
      </c>
      <c r="B2226" s="12"/>
      <c r="C2226" s="13"/>
      <c r="D2226" s="23" t="str">
        <f aca="false">IF(C2226="","",IFERROR(INDEX(LOTES!$D$5:$D$1004,MATCH(C2226,LOTES!$F$5:$F$1004,0)),"¿Lote?"))</f>
        <v/>
      </c>
      <c r="E2226" s="11" t="str">
        <f aca="false">IF(C2226="","",IFERROR(INDEX(LOTES!$C$5:$C$1004,MATCH(C2226,LOTES!$F$5:$F$1004,0)),""))</f>
        <v/>
      </c>
      <c r="F2226" s="24" t="str">
        <f aca="false">IF(C2226="","",IFERROR(INDEX(LOTES!$B$5:$B$1004,MATCH(C2226,LOTES!$F$5:$F$1004,0)),""))</f>
        <v/>
      </c>
      <c r="G2226" s="15" t="str">
        <f aca="false">IF(OR(B2226="",F2226=""),"",B2226-F2226)</f>
        <v/>
      </c>
      <c r="H2226" s="13"/>
      <c r="I2226" s="13"/>
      <c r="J2226" s="13"/>
      <c r="K2226" s="25"/>
      <c r="L2226" s="25"/>
      <c r="M2226" s="25"/>
      <c r="N2226" s="25"/>
      <c r="O2226" s="26"/>
      <c r="P2226" s="16" t="str">
        <f aca="false">IF(O2226="","",IFERROR(1/(1/(IF(K2226="",INDEX(CONFIG!$F$5:$F$14,MATCH(D2226,CONFIG!$D$5:$D$14,0)),K2226)*IF(M2226="",INDEX(CONFIG!$H$5:$H$14,MATCH(D2226,CONFIG!$D$5:$D$14,0)),M2226))),""))</f>
        <v/>
      </c>
      <c r="Q2226" s="16" t="str">
        <f aca="false">IF(OR(O2226="",P2226=""),"",O2226/P2226)</f>
        <v/>
      </c>
      <c r="R2226" s="16" t="str">
        <f aca="false">IF(Q2226="","",Q2226*0.0980665)</f>
        <v/>
      </c>
      <c r="S2226" s="16" t="str">
        <f aca="false">IF(Q2226="","",IFERROR(Q2226/(1/(1/INDEX(CONFIG!$I$5:$I$14,MATCH(D2226,CONFIG!$D$5:$D$14,0)))),""))</f>
        <v/>
      </c>
      <c r="T2226" s="13"/>
      <c r="U2226" s="13"/>
      <c r="V2226" s="13"/>
      <c r="W2226" s="13"/>
      <c r="X2226" s="22" t="str">
        <f aca="false">IF(Q2226="","",Q2226^2)</f>
        <v/>
      </c>
      <c r="Y2226" s="22" t="str">
        <f aca="false">IF(AND(C2226&lt;&gt;"",C2226=CERTIFICADO!$E$4,OR(CERTIFICADO!$E$5="",B2226=CERTIFICADO!$E$5)),MAX($Y$4:Y2225)+1,"")</f>
        <v/>
      </c>
    </row>
    <row r="2227" customFormat="false" ht="15" hidden="false" customHeight="false" outlineLevel="0" collapsed="false">
      <c r="A2227" s="11" t="str">
        <f aca="false">IF(C2227="","",ROW()-4)</f>
        <v/>
      </c>
      <c r="B2227" s="12"/>
      <c r="C2227" s="13"/>
      <c r="D2227" s="23" t="str">
        <f aca="false">IF(C2227="","",IFERROR(INDEX(LOTES!$D$5:$D$1004,MATCH(C2227,LOTES!$F$5:$F$1004,0)),"¿Lote?"))</f>
        <v/>
      </c>
      <c r="E2227" s="11" t="str">
        <f aca="false">IF(C2227="","",IFERROR(INDEX(LOTES!$C$5:$C$1004,MATCH(C2227,LOTES!$F$5:$F$1004,0)),""))</f>
        <v/>
      </c>
      <c r="F2227" s="24" t="str">
        <f aca="false">IF(C2227="","",IFERROR(INDEX(LOTES!$B$5:$B$1004,MATCH(C2227,LOTES!$F$5:$F$1004,0)),""))</f>
        <v/>
      </c>
      <c r="G2227" s="15" t="str">
        <f aca="false">IF(OR(B2227="",F2227=""),"",B2227-F2227)</f>
        <v/>
      </c>
      <c r="H2227" s="13"/>
      <c r="I2227" s="13"/>
      <c r="J2227" s="13"/>
      <c r="K2227" s="25"/>
      <c r="L2227" s="25"/>
      <c r="M2227" s="25"/>
      <c r="N2227" s="25"/>
      <c r="O2227" s="26"/>
      <c r="P2227" s="16" t="str">
        <f aca="false">IF(O2227="","",IFERROR(1/(1/(IF(K2227="",INDEX(CONFIG!$F$5:$F$14,MATCH(D2227,CONFIG!$D$5:$D$14,0)),K2227)*IF(M2227="",INDEX(CONFIG!$H$5:$H$14,MATCH(D2227,CONFIG!$D$5:$D$14,0)),M2227))),""))</f>
        <v/>
      </c>
      <c r="Q2227" s="16" t="str">
        <f aca="false">IF(OR(O2227="",P2227=""),"",O2227/P2227)</f>
        <v/>
      </c>
      <c r="R2227" s="16" t="str">
        <f aca="false">IF(Q2227="","",Q2227*0.0980665)</f>
        <v/>
      </c>
      <c r="S2227" s="16" t="str">
        <f aca="false">IF(Q2227="","",IFERROR(Q2227/(1/(1/INDEX(CONFIG!$I$5:$I$14,MATCH(D2227,CONFIG!$D$5:$D$14,0)))),""))</f>
        <v/>
      </c>
      <c r="T2227" s="13"/>
      <c r="U2227" s="13"/>
      <c r="V2227" s="13"/>
      <c r="W2227" s="13"/>
      <c r="X2227" s="22" t="str">
        <f aca="false">IF(Q2227="","",Q2227^2)</f>
        <v/>
      </c>
      <c r="Y2227" s="22" t="str">
        <f aca="false">IF(AND(C2227&lt;&gt;"",C2227=CERTIFICADO!$E$4,OR(CERTIFICADO!$E$5="",B2227=CERTIFICADO!$E$5)),MAX($Y$4:Y2226)+1,"")</f>
        <v/>
      </c>
    </row>
    <row r="2228" customFormat="false" ht="15" hidden="false" customHeight="false" outlineLevel="0" collapsed="false">
      <c r="A2228" s="11" t="str">
        <f aca="false">IF(C2228="","",ROW()-4)</f>
        <v/>
      </c>
      <c r="B2228" s="12"/>
      <c r="C2228" s="13"/>
      <c r="D2228" s="23" t="str">
        <f aca="false">IF(C2228="","",IFERROR(INDEX(LOTES!$D$5:$D$1004,MATCH(C2228,LOTES!$F$5:$F$1004,0)),"¿Lote?"))</f>
        <v/>
      </c>
      <c r="E2228" s="11" t="str">
        <f aca="false">IF(C2228="","",IFERROR(INDEX(LOTES!$C$5:$C$1004,MATCH(C2228,LOTES!$F$5:$F$1004,0)),""))</f>
        <v/>
      </c>
      <c r="F2228" s="24" t="str">
        <f aca="false">IF(C2228="","",IFERROR(INDEX(LOTES!$B$5:$B$1004,MATCH(C2228,LOTES!$F$5:$F$1004,0)),""))</f>
        <v/>
      </c>
      <c r="G2228" s="15" t="str">
        <f aca="false">IF(OR(B2228="",F2228=""),"",B2228-F2228)</f>
        <v/>
      </c>
      <c r="H2228" s="13"/>
      <c r="I2228" s="13"/>
      <c r="J2228" s="13"/>
      <c r="K2228" s="25"/>
      <c r="L2228" s="25"/>
      <c r="M2228" s="25"/>
      <c r="N2228" s="25"/>
      <c r="O2228" s="26"/>
      <c r="P2228" s="16" t="str">
        <f aca="false">IF(O2228="","",IFERROR(1/(1/(IF(K2228="",INDEX(CONFIG!$F$5:$F$14,MATCH(D2228,CONFIG!$D$5:$D$14,0)),K2228)*IF(M2228="",INDEX(CONFIG!$H$5:$H$14,MATCH(D2228,CONFIG!$D$5:$D$14,0)),M2228))),""))</f>
        <v/>
      </c>
      <c r="Q2228" s="16" t="str">
        <f aca="false">IF(OR(O2228="",P2228=""),"",O2228/P2228)</f>
        <v/>
      </c>
      <c r="R2228" s="16" t="str">
        <f aca="false">IF(Q2228="","",Q2228*0.0980665)</f>
        <v/>
      </c>
      <c r="S2228" s="16" t="str">
        <f aca="false">IF(Q2228="","",IFERROR(Q2228/(1/(1/INDEX(CONFIG!$I$5:$I$14,MATCH(D2228,CONFIG!$D$5:$D$14,0)))),""))</f>
        <v/>
      </c>
      <c r="T2228" s="13"/>
      <c r="U2228" s="13"/>
      <c r="V2228" s="13"/>
      <c r="W2228" s="13"/>
      <c r="X2228" s="22" t="str">
        <f aca="false">IF(Q2228="","",Q2228^2)</f>
        <v/>
      </c>
      <c r="Y2228" s="22" t="str">
        <f aca="false">IF(AND(C2228&lt;&gt;"",C2228=CERTIFICADO!$E$4,OR(CERTIFICADO!$E$5="",B2228=CERTIFICADO!$E$5)),MAX($Y$4:Y2227)+1,"")</f>
        <v/>
      </c>
    </row>
    <row r="2229" customFormat="false" ht="15" hidden="false" customHeight="false" outlineLevel="0" collapsed="false">
      <c r="A2229" s="11" t="str">
        <f aca="false">IF(C2229="","",ROW()-4)</f>
        <v/>
      </c>
      <c r="B2229" s="12"/>
      <c r="C2229" s="13"/>
      <c r="D2229" s="23" t="str">
        <f aca="false">IF(C2229="","",IFERROR(INDEX(LOTES!$D$5:$D$1004,MATCH(C2229,LOTES!$F$5:$F$1004,0)),"¿Lote?"))</f>
        <v/>
      </c>
      <c r="E2229" s="11" t="str">
        <f aca="false">IF(C2229="","",IFERROR(INDEX(LOTES!$C$5:$C$1004,MATCH(C2229,LOTES!$F$5:$F$1004,0)),""))</f>
        <v/>
      </c>
      <c r="F2229" s="24" t="str">
        <f aca="false">IF(C2229="","",IFERROR(INDEX(LOTES!$B$5:$B$1004,MATCH(C2229,LOTES!$F$5:$F$1004,0)),""))</f>
        <v/>
      </c>
      <c r="G2229" s="15" t="str">
        <f aca="false">IF(OR(B2229="",F2229=""),"",B2229-F2229)</f>
        <v/>
      </c>
      <c r="H2229" s="13"/>
      <c r="I2229" s="13"/>
      <c r="J2229" s="13"/>
      <c r="K2229" s="25"/>
      <c r="L2229" s="25"/>
      <c r="M2229" s="25"/>
      <c r="N2229" s="25"/>
      <c r="O2229" s="26"/>
      <c r="P2229" s="16" t="str">
        <f aca="false">IF(O2229="","",IFERROR(1/(1/(IF(K2229="",INDEX(CONFIG!$F$5:$F$14,MATCH(D2229,CONFIG!$D$5:$D$14,0)),K2229)*IF(M2229="",INDEX(CONFIG!$H$5:$H$14,MATCH(D2229,CONFIG!$D$5:$D$14,0)),M2229))),""))</f>
        <v/>
      </c>
      <c r="Q2229" s="16" t="str">
        <f aca="false">IF(OR(O2229="",P2229=""),"",O2229/P2229)</f>
        <v/>
      </c>
      <c r="R2229" s="16" t="str">
        <f aca="false">IF(Q2229="","",Q2229*0.0980665)</f>
        <v/>
      </c>
      <c r="S2229" s="16" t="str">
        <f aca="false">IF(Q2229="","",IFERROR(Q2229/(1/(1/INDEX(CONFIG!$I$5:$I$14,MATCH(D2229,CONFIG!$D$5:$D$14,0)))),""))</f>
        <v/>
      </c>
      <c r="T2229" s="13"/>
      <c r="U2229" s="13"/>
      <c r="V2229" s="13"/>
      <c r="W2229" s="13"/>
      <c r="X2229" s="22" t="str">
        <f aca="false">IF(Q2229="","",Q2229^2)</f>
        <v/>
      </c>
      <c r="Y2229" s="22" t="str">
        <f aca="false">IF(AND(C2229&lt;&gt;"",C2229=CERTIFICADO!$E$4,OR(CERTIFICADO!$E$5="",B2229=CERTIFICADO!$E$5)),MAX($Y$4:Y2228)+1,"")</f>
        <v/>
      </c>
    </row>
    <row r="2230" customFormat="false" ht="15" hidden="false" customHeight="false" outlineLevel="0" collapsed="false">
      <c r="A2230" s="11" t="str">
        <f aca="false">IF(C2230="","",ROW()-4)</f>
        <v/>
      </c>
      <c r="B2230" s="12"/>
      <c r="C2230" s="13"/>
      <c r="D2230" s="23" t="str">
        <f aca="false">IF(C2230="","",IFERROR(INDEX(LOTES!$D$5:$D$1004,MATCH(C2230,LOTES!$F$5:$F$1004,0)),"¿Lote?"))</f>
        <v/>
      </c>
      <c r="E2230" s="11" t="str">
        <f aca="false">IF(C2230="","",IFERROR(INDEX(LOTES!$C$5:$C$1004,MATCH(C2230,LOTES!$F$5:$F$1004,0)),""))</f>
        <v/>
      </c>
      <c r="F2230" s="24" t="str">
        <f aca="false">IF(C2230="","",IFERROR(INDEX(LOTES!$B$5:$B$1004,MATCH(C2230,LOTES!$F$5:$F$1004,0)),""))</f>
        <v/>
      </c>
      <c r="G2230" s="15" t="str">
        <f aca="false">IF(OR(B2230="",F2230=""),"",B2230-F2230)</f>
        <v/>
      </c>
      <c r="H2230" s="13"/>
      <c r="I2230" s="13"/>
      <c r="J2230" s="13"/>
      <c r="K2230" s="25"/>
      <c r="L2230" s="25"/>
      <c r="M2230" s="25"/>
      <c r="N2230" s="25"/>
      <c r="O2230" s="26"/>
      <c r="P2230" s="16" t="str">
        <f aca="false">IF(O2230="","",IFERROR(1/(1/(IF(K2230="",INDEX(CONFIG!$F$5:$F$14,MATCH(D2230,CONFIG!$D$5:$D$14,0)),K2230)*IF(M2230="",INDEX(CONFIG!$H$5:$H$14,MATCH(D2230,CONFIG!$D$5:$D$14,0)),M2230))),""))</f>
        <v/>
      </c>
      <c r="Q2230" s="16" t="str">
        <f aca="false">IF(OR(O2230="",P2230=""),"",O2230/P2230)</f>
        <v/>
      </c>
      <c r="R2230" s="16" t="str">
        <f aca="false">IF(Q2230="","",Q2230*0.0980665)</f>
        <v/>
      </c>
      <c r="S2230" s="16" t="str">
        <f aca="false">IF(Q2230="","",IFERROR(Q2230/(1/(1/INDEX(CONFIG!$I$5:$I$14,MATCH(D2230,CONFIG!$D$5:$D$14,0)))),""))</f>
        <v/>
      </c>
      <c r="T2230" s="13"/>
      <c r="U2230" s="13"/>
      <c r="V2230" s="13"/>
      <c r="W2230" s="13"/>
      <c r="X2230" s="22" t="str">
        <f aca="false">IF(Q2230="","",Q2230^2)</f>
        <v/>
      </c>
      <c r="Y2230" s="22" t="str">
        <f aca="false">IF(AND(C2230&lt;&gt;"",C2230=CERTIFICADO!$E$4,OR(CERTIFICADO!$E$5="",B2230=CERTIFICADO!$E$5)),MAX($Y$4:Y2229)+1,"")</f>
        <v/>
      </c>
    </row>
    <row r="2231" customFormat="false" ht="15" hidden="false" customHeight="false" outlineLevel="0" collapsed="false">
      <c r="A2231" s="11" t="str">
        <f aca="false">IF(C2231="","",ROW()-4)</f>
        <v/>
      </c>
      <c r="B2231" s="12"/>
      <c r="C2231" s="13"/>
      <c r="D2231" s="23" t="str">
        <f aca="false">IF(C2231="","",IFERROR(INDEX(LOTES!$D$5:$D$1004,MATCH(C2231,LOTES!$F$5:$F$1004,0)),"¿Lote?"))</f>
        <v/>
      </c>
      <c r="E2231" s="11" t="str">
        <f aca="false">IF(C2231="","",IFERROR(INDEX(LOTES!$C$5:$C$1004,MATCH(C2231,LOTES!$F$5:$F$1004,0)),""))</f>
        <v/>
      </c>
      <c r="F2231" s="24" t="str">
        <f aca="false">IF(C2231="","",IFERROR(INDEX(LOTES!$B$5:$B$1004,MATCH(C2231,LOTES!$F$5:$F$1004,0)),""))</f>
        <v/>
      </c>
      <c r="G2231" s="15" t="str">
        <f aca="false">IF(OR(B2231="",F2231=""),"",B2231-F2231)</f>
        <v/>
      </c>
      <c r="H2231" s="13"/>
      <c r="I2231" s="13"/>
      <c r="J2231" s="13"/>
      <c r="K2231" s="25"/>
      <c r="L2231" s="25"/>
      <c r="M2231" s="25"/>
      <c r="N2231" s="25"/>
      <c r="O2231" s="26"/>
      <c r="P2231" s="16" t="str">
        <f aca="false">IF(O2231="","",IFERROR(1/(1/(IF(K2231="",INDEX(CONFIG!$F$5:$F$14,MATCH(D2231,CONFIG!$D$5:$D$14,0)),K2231)*IF(M2231="",INDEX(CONFIG!$H$5:$H$14,MATCH(D2231,CONFIG!$D$5:$D$14,0)),M2231))),""))</f>
        <v/>
      </c>
      <c r="Q2231" s="16" t="str">
        <f aca="false">IF(OR(O2231="",P2231=""),"",O2231/P2231)</f>
        <v/>
      </c>
      <c r="R2231" s="16" t="str">
        <f aca="false">IF(Q2231="","",Q2231*0.0980665)</f>
        <v/>
      </c>
      <c r="S2231" s="16" t="str">
        <f aca="false">IF(Q2231="","",IFERROR(Q2231/(1/(1/INDEX(CONFIG!$I$5:$I$14,MATCH(D2231,CONFIG!$D$5:$D$14,0)))),""))</f>
        <v/>
      </c>
      <c r="T2231" s="13"/>
      <c r="U2231" s="13"/>
      <c r="V2231" s="13"/>
      <c r="W2231" s="13"/>
      <c r="X2231" s="22" t="str">
        <f aca="false">IF(Q2231="","",Q2231^2)</f>
        <v/>
      </c>
      <c r="Y2231" s="22" t="str">
        <f aca="false">IF(AND(C2231&lt;&gt;"",C2231=CERTIFICADO!$E$4,OR(CERTIFICADO!$E$5="",B2231=CERTIFICADO!$E$5)),MAX($Y$4:Y2230)+1,"")</f>
        <v/>
      </c>
    </row>
    <row r="2232" customFormat="false" ht="15" hidden="false" customHeight="false" outlineLevel="0" collapsed="false">
      <c r="A2232" s="11" t="str">
        <f aca="false">IF(C2232="","",ROW()-4)</f>
        <v/>
      </c>
      <c r="B2232" s="12"/>
      <c r="C2232" s="13"/>
      <c r="D2232" s="23" t="str">
        <f aca="false">IF(C2232="","",IFERROR(INDEX(LOTES!$D$5:$D$1004,MATCH(C2232,LOTES!$F$5:$F$1004,0)),"¿Lote?"))</f>
        <v/>
      </c>
      <c r="E2232" s="11" t="str">
        <f aca="false">IF(C2232="","",IFERROR(INDEX(LOTES!$C$5:$C$1004,MATCH(C2232,LOTES!$F$5:$F$1004,0)),""))</f>
        <v/>
      </c>
      <c r="F2232" s="24" t="str">
        <f aca="false">IF(C2232="","",IFERROR(INDEX(LOTES!$B$5:$B$1004,MATCH(C2232,LOTES!$F$5:$F$1004,0)),""))</f>
        <v/>
      </c>
      <c r="G2232" s="15" t="str">
        <f aca="false">IF(OR(B2232="",F2232=""),"",B2232-F2232)</f>
        <v/>
      </c>
      <c r="H2232" s="13"/>
      <c r="I2232" s="13"/>
      <c r="J2232" s="13"/>
      <c r="K2232" s="25"/>
      <c r="L2232" s="25"/>
      <c r="M2232" s="25"/>
      <c r="N2232" s="25"/>
      <c r="O2232" s="26"/>
      <c r="P2232" s="16" t="str">
        <f aca="false">IF(O2232="","",IFERROR(1/(1/(IF(K2232="",INDEX(CONFIG!$F$5:$F$14,MATCH(D2232,CONFIG!$D$5:$D$14,0)),K2232)*IF(M2232="",INDEX(CONFIG!$H$5:$H$14,MATCH(D2232,CONFIG!$D$5:$D$14,0)),M2232))),""))</f>
        <v/>
      </c>
      <c r="Q2232" s="16" t="str">
        <f aca="false">IF(OR(O2232="",P2232=""),"",O2232/P2232)</f>
        <v/>
      </c>
      <c r="R2232" s="16" t="str">
        <f aca="false">IF(Q2232="","",Q2232*0.0980665)</f>
        <v/>
      </c>
      <c r="S2232" s="16" t="str">
        <f aca="false">IF(Q2232="","",IFERROR(Q2232/(1/(1/INDEX(CONFIG!$I$5:$I$14,MATCH(D2232,CONFIG!$D$5:$D$14,0)))),""))</f>
        <v/>
      </c>
      <c r="T2232" s="13"/>
      <c r="U2232" s="13"/>
      <c r="V2232" s="13"/>
      <c r="W2232" s="13"/>
      <c r="X2232" s="22" t="str">
        <f aca="false">IF(Q2232="","",Q2232^2)</f>
        <v/>
      </c>
      <c r="Y2232" s="22" t="str">
        <f aca="false">IF(AND(C2232&lt;&gt;"",C2232=CERTIFICADO!$E$4,OR(CERTIFICADO!$E$5="",B2232=CERTIFICADO!$E$5)),MAX($Y$4:Y2231)+1,"")</f>
        <v/>
      </c>
    </row>
    <row r="2233" customFormat="false" ht="15" hidden="false" customHeight="false" outlineLevel="0" collapsed="false">
      <c r="A2233" s="11" t="str">
        <f aca="false">IF(C2233="","",ROW()-4)</f>
        <v/>
      </c>
      <c r="B2233" s="12"/>
      <c r="C2233" s="13"/>
      <c r="D2233" s="23" t="str">
        <f aca="false">IF(C2233="","",IFERROR(INDEX(LOTES!$D$5:$D$1004,MATCH(C2233,LOTES!$F$5:$F$1004,0)),"¿Lote?"))</f>
        <v/>
      </c>
      <c r="E2233" s="11" t="str">
        <f aca="false">IF(C2233="","",IFERROR(INDEX(LOTES!$C$5:$C$1004,MATCH(C2233,LOTES!$F$5:$F$1004,0)),""))</f>
        <v/>
      </c>
      <c r="F2233" s="24" t="str">
        <f aca="false">IF(C2233="","",IFERROR(INDEX(LOTES!$B$5:$B$1004,MATCH(C2233,LOTES!$F$5:$F$1004,0)),""))</f>
        <v/>
      </c>
      <c r="G2233" s="15" t="str">
        <f aca="false">IF(OR(B2233="",F2233=""),"",B2233-F2233)</f>
        <v/>
      </c>
      <c r="H2233" s="13"/>
      <c r="I2233" s="13"/>
      <c r="J2233" s="13"/>
      <c r="K2233" s="25"/>
      <c r="L2233" s="25"/>
      <c r="M2233" s="25"/>
      <c r="N2233" s="25"/>
      <c r="O2233" s="26"/>
      <c r="P2233" s="16" t="str">
        <f aca="false">IF(O2233="","",IFERROR(1/(1/(IF(K2233="",INDEX(CONFIG!$F$5:$F$14,MATCH(D2233,CONFIG!$D$5:$D$14,0)),K2233)*IF(M2233="",INDEX(CONFIG!$H$5:$H$14,MATCH(D2233,CONFIG!$D$5:$D$14,0)),M2233))),""))</f>
        <v/>
      </c>
      <c r="Q2233" s="16" t="str">
        <f aca="false">IF(OR(O2233="",P2233=""),"",O2233/P2233)</f>
        <v/>
      </c>
      <c r="R2233" s="16" t="str">
        <f aca="false">IF(Q2233="","",Q2233*0.0980665)</f>
        <v/>
      </c>
      <c r="S2233" s="16" t="str">
        <f aca="false">IF(Q2233="","",IFERROR(Q2233/(1/(1/INDEX(CONFIG!$I$5:$I$14,MATCH(D2233,CONFIG!$D$5:$D$14,0)))),""))</f>
        <v/>
      </c>
      <c r="T2233" s="13"/>
      <c r="U2233" s="13"/>
      <c r="V2233" s="13"/>
      <c r="W2233" s="13"/>
      <c r="X2233" s="22" t="str">
        <f aca="false">IF(Q2233="","",Q2233^2)</f>
        <v/>
      </c>
      <c r="Y2233" s="22" t="str">
        <f aca="false">IF(AND(C2233&lt;&gt;"",C2233=CERTIFICADO!$E$4,OR(CERTIFICADO!$E$5="",B2233=CERTIFICADO!$E$5)),MAX($Y$4:Y2232)+1,"")</f>
        <v/>
      </c>
    </row>
    <row r="2234" customFormat="false" ht="15" hidden="false" customHeight="false" outlineLevel="0" collapsed="false">
      <c r="A2234" s="11" t="str">
        <f aca="false">IF(C2234="","",ROW()-4)</f>
        <v/>
      </c>
      <c r="B2234" s="12"/>
      <c r="C2234" s="13"/>
      <c r="D2234" s="23" t="str">
        <f aca="false">IF(C2234="","",IFERROR(INDEX(LOTES!$D$5:$D$1004,MATCH(C2234,LOTES!$F$5:$F$1004,0)),"¿Lote?"))</f>
        <v/>
      </c>
      <c r="E2234" s="11" t="str">
        <f aca="false">IF(C2234="","",IFERROR(INDEX(LOTES!$C$5:$C$1004,MATCH(C2234,LOTES!$F$5:$F$1004,0)),""))</f>
        <v/>
      </c>
      <c r="F2234" s="24" t="str">
        <f aca="false">IF(C2234="","",IFERROR(INDEX(LOTES!$B$5:$B$1004,MATCH(C2234,LOTES!$F$5:$F$1004,0)),""))</f>
        <v/>
      </c>
      <c r="G2234" s="15" t="str">
        <f aca="false">IF(OR(B2234="",F2234=""),"",B2234-F2234)</f>
        <v/>
      </c>
      <c r="H2234" s="13"/>
      <c r="I2234" s="13"/>
      <c r="J2234" s="13"/>
      <c r="K2234" s="25"/>
      <c r="L2234" s="25"/>
      <c r="M2234" s="25"/>
      <c r="N2234" s="25"/>
      <c r="O2234" s="26"/>
      <c r="P2234" s="16" t="str">
        <f aca="false">IF(O2234="","",IFERROR(1/(1/(IF(K2234="",INDEX(CONFIG!$F$5:$F$14,MATCH(D2234,CONFIG!$D$5:$D$14,0)),K2234)*IF(M2234="",INDEX(CONFIG!$H$5:$H$14,MATCH(D2234,CONFIG!$D$5:$D$14,0)),M2234))),""))</f>
        <v/>
      </c>
      <c r="Q2234" s="16" t="str">
        <f aca="false">IF(OR(O2234="",P2234=""),"",O2234/P2234)</f>
        <v/>
      </c>
      <c r="R2234" s="16" t="str">
        <f aca="false">IF(Q2234="","",Q2234*0.0980665)</f>
        <v/>
      </c>
      <c r="S2234" s="16" t="str">
        <f aca="false">IF(Q2234="","",IFERROR(Q2234/(1/(1/INDEX(CONFIG!$I$5:$I$14,MATCH(D2234,CONFIG!$D$5:$D$14,0)))),""))</f>
        <v/>
      </c>
      <c r="T2234" s="13"/>
      <c r="U2234" s="13"/>
      <c r="V2234" s="13"/>
      <c r="W2234" s="13"/>
      <c r="X2234" s="22" t="str">
        <f aca="false">IF(Q2234="","",Q2234^2)</f>
        <v/>
      </c>
      <c r="Y2234" s="22" t="str">
        <f aca="false">IF(AND(C2234&lt;&gt;"",C2234=CERTIFICADO!$E$4,OR(CERTIFICADO!$E$5="",B2234=CERTIFICADO!$E$5)),MAX($Y$4:Y2233)+1,"")</f>
        <v/>
      </c>
    </row>
    <row r="2235" customFormat="false" ht="15" hidden="false" customHeight="false" outlineLevel="0" collapsed="false">
      <c r="A2235" s="11" t="str">
        <f aca="false">IF(C2235="","",ROW()-4)</f>
        <v/>
      </c>
      <c r="B2235" s="12"/>
      <c r="C2235" s="13"/>
      <c r="D2235" s="23" t="str">
        <f aca="false">IF(C2235="","",IFERROR(INDEX(LOTES!$D$5:$D$1004,MATCH(C2235,LOTES!$F$5:$F$1004,0)),"¿Lote?"))</f>
        <v/>
      </c>
      <c r="E2235" s="11" t="str">
        <f aca="false">IF(C2235="","",IFERROR(INDEX(LOTES!$C$5:$C$1004,MATCH(C2235,LOTES!$F$5:$F$1004,0)),""))</f>
        <v/>
      </c>
      <c r="F2235" s="24" t="str">
        <f aca="false">IF(C2235="","",IFERROR(INDEX(LOTES!$B$5:$B$1004,MATCH(C2235,LOTES!$F$5:$F$1004,0)),""))</f>
        <v/>
      </c>
      <c r="G2235" s="15" t="str">
        <f aca="false">IF(OR(B2235="",F2235=""),"",B2235-F2235)</f>
        <v/>
      </c>
      <c r="H2235" s="13"/>
      <c r="I2235" s="13"/>
      <c r="J2235" s="13"/>
      <c r="K2235" s="25"/>
      <c r="L2235" s="25"/>
      <c r="M2235" s="25"/>
      <c r="N2235" s="25"/>
      <c r="O2235" s="26"/>
      <c r="P2235" s="16" t="str">
        <f aca="false">IF(O2235="","",IFERROR(1/(1/(IF(K2235="",INDEX(CONFIG!$F$5:$F$14,MATCH(D2235,CONFIG!$D$5:$D$14,0)),K2235)*IF(M2235="",INDEX(CONFIG!$H$5:$H$14,MATCH(D2235,CONFIG!$D$5:$D$14,0)),M2235))),""))</f>
        <v/>
      </c>
      <c r="Q2235" s="16" t="str">
        <f aca="false">IF(OR(O2235="",P2235=""),"",O2235/P2235)</f>
        <v/>
      </c>
      <c r="R2235" s="16" t="str">
        <f aca="false">IF(Q2235="","",Q2235*0.0980665)</f>
        <v/>
      </c>
      <c r="S2235" s="16" t="str">
        <f aca="false">IF(Q2235="","",IFERROR(Q2235/(1/(1/INDEX(CONFIG!$I$5:$I$14,MATCH(D2235,CONFIG!$D$5:$D$14,0)))),""))</f>
        <v/>
      </c>
      <c r="T2235" s="13"/>
      <c r="U2235" s="13"/>
      <c r="V2235" s="13"/>
      <c r="W2235" s="13"/>
      <c r="X2235" s="22" t="str">
        <f aca="false">IF(Q2235="","",Q2235^2)</f>
        <v/>
      </c>
      <c r="Y2235" s="22" t="str">
        <f aca="false">IF(AND(C2235&lt;&gt;"",C2235=CERTIFICADO!$E$4,OR(CERTIFICADO!$E$5="",B2235=CERTIFICADO!$E$5)),MAX($Y$4:Y2234)+1,"")</f>
        <v/>
      </c>
    </row>
    <row r="2236" customFormat="false" ht="15" hidden="false" customHeight="false" outlineLevel="0" collapsed="false">
      <c r="A2236" s="11" t="str">
        <f aca="false">IF(C2236="","",ROW()-4)</f>
        <v/>
      </c>
      <c r="B2236" s="12"/>
      <c r="C2236" s="13"/>
      <c r="D2236" s="23" t="str">
        <f aca="false">IF(C2236="","",IFERROR(INDEX(LOTES!$D$5:$D$1004,MATCH(C2236,LOTES!$F$5:$F$1004,0)),"¿Lote?"))</f>
        <v/>
      </c>
      <c r="E2236" s="11" t="str">
        <f aca="false">IF(C2236="","",IFERROR(INDEX(LOTES!$C$5:$C$1004,MATCH(C2236,LOTES!$F$5:$F$1004,0)),""))</f>
        <v/>
      </c>
      <c r="F2236" s="24" t="str">
        <f aca="false">IF(C2236="","",IFERROR(INDEX(LOTES!$B$5:$B$1004,MATCH(C2236,LOTES!$F$5:$F$1004,0)),""))</f>
        <v/>
      </c>
      <c r="G2236" s="15" t="str">
        <f aca="false">IF(OR(B2236="",F2236=""),"",B2236-F2236)</f>
        <v/>
      </c>
      <c r="H2236" s="13"/>
      <c r="I2236" s="13"/>
      <c r="J2236" s="13"/>
      <c r="K2236" s="25"/>
      <c r="L2236" s="25"/>
      <c r="M2236" s="25"/>
      <c r="N2236" s="25"/>
      <c r="O2236" s="26"/>
      <c r="P2236" s="16" t="str">
        <f aca="false">IF(O2236="","",IFERROR(1/(1/(IF(K2236="",INDEX(CONFIG!$F$5:$F$14,MATCH(D2236,CONFIG!$D$5:$D$14,0)),K2236)*IF(M2236="",INDEX(CONFIG!$H$5:$H$14,MATCH(D2236,CONFIG!$D$5:$D$14,0)),M2236))),""))</f>
        <v/>
      </c>
      <c r="Q2236" s="16" t="str">
        <f aca="false">IF(OR(O2236="",P2236=""),"",O2236/P2236)</f>
        <v/>
      </c>
      <c r="R2236" s="16" t="str">
        <f aca="false">IF(Q2236="","",Q2236*0.0980665)</f>
        <v/>
      </c>
      <c r="S2236" s="16" t="str">
        <f aca="false">IF(Q2236="","",IFERROR(Q2236/(1/(1/INDEX(CONFIG!$I$5:$I$14,MATCH(D2236,CONFIG!$D$5:$D$14,0)))),""))</f>
        <v/>
      </c>
      <c r="T2236" s="13"/>
      <c r="U2236" s="13"/>
      <c r="V2236" s="13"/>
      <c r="W2236" s="13"/>
      <c r="X2236" s="22" t="str">
        <f aca="false">IF(Q2236="","",Q2236^2)</f>
        <v/>
      </c>
      <c r="Y2236" s="22" t="str">
        <f aca="false">IF(AND(C2236&lt;&gt;"",C2236=CERTIFICADO!$E$4,OR(CERTIFICADO!$E$5="",B2236=CERTIFICADO!$E$5)),MAX($Y$4:Y2235)+1,"")</f>
        <v/>
      </c>
    </row>
    <row r="2237" customFormat="false" ht="15" hidden="false" customHeight="false" outlineLevel="0" collapsed="false">
      <c r="A2237" s="11" t="str">
        <f aca="false">IF(C2237="","",ROW()-4)</f>
        <v/>
      </c>
      <c r="B2237" s="12"/>
      <c r="C2237" s="13"/>
      <c r="D2237" s="23" t="str">
        <f aca="false">IF(C2237="","",IFERROR(INDEX(LOTES!$D$5:$D$1004,MATCH(C2237,LOTES!$F$5:$F$1004,0)),"¿Lote?"))</f>
        <v/>
      </c>
      <c r="E2237" s="11" t="str">
        <f aca="false">IF(C2237="","",IFERROR(INDEX(LOTES!$C$5:$C$1004,MATCH(C2237,LOTES!$F$5:$F$1004,0)),""))</f>
        <v/>
      </c>
      <c r="F2237" s="24" t="str">
        <f aca="false">IF(C2237="","",IFERROR(INDEX(LOTES!$B$5:$B$1004,MATCH(C2237,LOTES!$F$5:$F$1004,0)),""))</f>
        <v/>
      </c>
      <c r="G2237" s="15" t="str">
        <f aca="false">IF(OR(B2237="",F2237=""),"",B2237-F2237)</f>
        <v/>
      </c>
      <c r="H2237" s="13"/>
      <c r="I2237" s="13"/>
      <c r="J2237" s="13"/>
      <c r="K2237" s="25"/>
      <c r="L2237" s="25"/>
      <c r="M2237" s="25"/>
      <c r="N2237" s="25"/>
      <c r="O2237" s="26"/>
      <c r="P2237" s="16" t="str">
        <f aca="false">IF(O2237="","",IFERROR(1/(1/(IF(K2237="",INDEX(CONFIG!$F$5:$F$14,MATCH(D2237,CONFIG!$D$5:$D$14,0)),K2237)*IF(M2237="",INDEX(CONFIG!$H$5:$H$14,MATCH(D2237,CONFIG!$D$5:$D$14,0)),M2237))),""))</f>
        <v/>
      </c>
      <c r="Q2237" s="16" t="str">
        <f aca="false">IF(OR(O2237="",P2237=""),"",O2237/P2237)</f>
        <v/>
      </c>
      <c r="R2237" s="16" t="str">
        <f aca="false">IF(Q2237="","",Q2237*0.0980665)</f>
        <v/>
      </c>
      <c r="S2237" s="16" t="str">
        <f aca="false">IF(Q2237="","",IFERROR(Q2237/(1/(1/INDEX(CONFIG!$I$5:$I$14,MATCH(D2237,CONFIG!$D$5:$D$14,0)))),""))</f>
        <v/>
      </c>
      <c r="T2237" s="13"/>
      <c r="U2237" s="13"/>
      <c r="V2237" s="13"/>
      <c r="W2237" s="13"/>
      <c r="X2237" s="22" t="str">
        <f aca="false">IF(Q2237="","",Q2237^2)</f>
        <v/>
      </c>
      <c r="Y2237" s="22" t="str">
        <f aca="false">IF(AND(C2237&lt;&gt;"",C2237=CERTIFICADO!$E$4,OR(CERTIFICADO!$E$5="",B2237=CERTIFICADO!$E$5)),MAX($Y$4:Y2236)+1,"")</f>
        <v/>
      </c>
    </row>
    <row r="2238" customFormat="false" ht="15" hidden="false" customHeight="false" outlineLevel="0" collapsed="false">
      <c r="A2238" s="11" t="str">
        <f aca="false">IF(C2238="","",ROW()-4)</f>
        <v/>
      </c>
      <c r="B2238" s="12"/>
      <c r="C2238" s="13"/>
      <c r="D2238" s="23" t="str">
        <f aca="false">IF(C2238="","",IFERROR(INDEX(LOTES!$D$5:$D$1004,MATCH(C2238,LOTES!$F$5:$F$1004,0)),"¿Lote?"))</f>
        <v/>
      </c>
      <c r="E2238" s="11" t="str">
        <f aca="false">IF(C2238="","",IFERROR(INDEX(LOTES!$C$5:$C$1004,MATCH(C2238,LOTES!$F$5:$F$1004,0)),""))</f>
        <v/>
      </c>
      <c r="F2238" s="24" t="str">
        <f aca="false">IF(C2238="","",IFERROR(INDEX(LOTES!$B$5:$B$1004,MATCH(C2238,LOTES!$F$5:$F$1004,0)),""))</f>
        <v/>
      </c>
      <c r="G2238" s="15" t="str">
        <f aca="false">IF(OR(B2238="",F2238=""),"",B2238-F2238)</f>
        <v/>
      </c>
      <c r="H2238" s="13"/>
      <c r="I2238" s="13"/>
      <c r="J2238" s="13"/>
      <c r="K2238" s="25"/>
      <c r="L2238" s="25"/>
      <c r="M2238" s="25"/>
      <c r="N2238" s="25"/>
      <c r="O2238" s="26"/>
      <c r="P2238" s="16" t="str">
        <f aca="false">IF(O2238="","",IFERROR(1/(1/(IF(K2238="",INDEX(CONFIG!$F$5:$F$14,MATCH(D2238,CONFIG!$D$5:$D$14,0)),K2238)*IF(M2238="",INDEX(CONFIG!$H$5:$H$14,MATCH(D2238,CONFIG!$D$5:$D$14,0)),M2238))),""))</f>
        <v/>
      </c>
      <c r="Q2238" s="16" t="str">
        <f aca="false">IF(OR(O2238="",P2238=""),"",O2238/P2238)</f>
        <v/>
      </c>
      <c r="R2238" s="16" t="str">
        <f aca="false">IF(Q2238="","",Q2238*0.0980665)</f>
        <v/>
      </c>
      <c r="S2238" s="16" t="str">
        <f aca="false">IF(Q2238="","",IFERROR(Q2238/(1/(1/INDEX(CONFIG!$I$5:$I$14,MATCH(D2238,CONFIG!$D$5:$D$14,0)))),""))</f>
        <v/>
      </c>
      <c r="T2238" s="13"/>
      <c r="U2238" s="13"/>
      <c r="V2238" s="13"/>
      <c r="W2238" s="13"/>
      <c r="X2238" s="22" t="str">
        <f aca="false">IF(Q2238="","",Q2238^2)</f>
        <v/>
      </c>
      <c r="Y2238" s="22" t="str">
        <f aca="false">IF(AND(C2238&lt;&gt;"",C2238=CERTIFICADO!$E$4,OR(CERTIFICADO!$E$5="",B2238=CERTIFICADO!$E$5)),MAX($Y$4:Y2237)+1,"")</f>
        <v/>
      </c>
    </row>
    <row r="2239" customFormat="false" ht="15" hidden="false" customHeight="false" outlineLevel="0" collapsed="false">
      <c r="A2239" s="11" t="str">
        <f aca="false">IF(C2239="","",ROW()-4)</f>
        <v/>
      </c>
      <c r="B2239" s="12"/>
      <c r="C2239" s="13"/>
      <c r="D2239" s="23" t="str">
        <f aca="false">IF(C2239="","",IFERROR(INDEX(LOTES!$D$5:$D$1004,MATCH(C2239,LOTES!$F$5:$F$1004,0)),"¿Lote?"))</f>
        <v/>
      </c>
      <c r="E2239" s="11" t="str">
        <f aca="false">IF(C2239="","",IFERROR(INDEX(LOTES!$C$5:$C$1004,MATCH(C2239,LOTES!$F$5:$F$1004,0)),""))</f>
        <v/>
      </c>
      <c r="F2239" s="24" t="str">
        <f aca="false">IF(C2239="","",IFERROR(INDEX(LOTES!$B$5:$B$1004,MATCH(C2239,LOTES!$F$5:$F$1004,0)),""))</f>
        <v/>
      </c>
      <c r="G2239" s="15" t="str">
        <f aca="false">IF(OR(B2239="",F2239=""),"",B2239-F2239)</f>
        <v/>
      </c>
      <c r="H2239" s="13"/>
      <c r="I2239" s="13"/>
      <c r="J2239" s="13"/>
      <c r="K2239" s="25"/>
      <c r="L2239" s="25"/>
      <c r="M2239" s="25"/>
      <c r="N2239" s="25"/>
      <c r="O2239" s="26"/>
      <c r="P2239" s="16" t="str">
        <f aca="false">IF(O2239="","",IFERROR(1/(1/(IF(K2239="",INDEX(CONFIG!$F$5:$F$14,MATCH(D2239,CONFIG!$D$5:$D$14,0)),K2239)*IF(M2239="",INDEX(CONFIG!$H$5:$H$14,MATCH(D2239,CONFIG!$D$5:$D$14,0)),M2239))),""))</f>
        <v/>
      </c>
      <c r="Q2239" s="16" t="str">
        <f aca="false">IF(OR(O2239="",P2239=""),"",O2239/P2239)</f>
        <v/>
      </c>
      <c r="R2239" s="16" t="str">
        <f aca="false">IF(Q2239="","",Q2239*0.0980665)</f>
        <v/>
      </c>
      <c r="S2239" s="16" t="str">
        <f aca="false">IF(Q2239="","",IFERROR(Q2239/(1/(1/INDEX(CONFIG!$I$5:$I$14,MATCH(D2239,CONFIG!$D$5:$D$14,0)))),""))</f>
        <v/>
      </c>
      <c r="T2239" s="13"/>
      <c r="U2239" s="13"/>
      <c r="V2239" s="13"/>
      <c r="W2239" s="13"/>
      <c r="X2239" s="22" t="str">
        <f aca="false">IF(Q2239="","",Q2239^2)</f>
        <v/>
      </c>
      <c r="Y2239" s="22" t="str">
        <f aca="false">IF(AND(C2239&lt;&gt;"",C2239=CERTIFICADO!$E$4,OR(CERTIFICADO!$E$5="",B2239=CERTIFICADO!$E$5)),MAX($Y$4:Y2238)+1,"")</f>
        <v/>
      </c>
    </row>
    <row r="2240" customFormat="false" ht="15" hidden="false" customHeight="false" outlineLevel="0" collapsed="false">
      <c r="A2240" s="11" t="str">
        <f aca="false">IF(C2240="","",ROW()-4)</f>
        <v/>
      </c>
      <c r="B2240" s="12"/>
      <c r="C2240" s="13"/>
      <c r="D2240" s="23" t="str">
        <f aca="false">IF(C2240="","",IFERROR(INDEX(LOTES!$D$5:$D$1004,MATCH(C2240,LOTES!$F$5:$F$1004,0)),"¿Lote?"))</f>
        <v/>
      </c>
      <c r="E2240" s="11" t="str">
        <f aca="false">IF(C2240="","",IFERROR(INDEX(LOTES!$C$5:$C$1004,MATCH(C2240,LOTES!$F$5:$F$1004,0)),""))</f>
        <v/>
      </c>
      <c r="F2240" s="24" t="str">
        <f aca="false">IF(C2240="","",IFERROR(INDEX(LOTES!$B$5:$B$1004,MATCH(C2240,LOTES!$F$5:$F$1004,0)),""))</f>
        <v/>
      </c>
      <c r="G2240" s="15" t="str">
        <f aca="false">IF(OR(B2240="",F2240=""),"",B2240-F2240)</f>
        <v/>
      </c>
      <c r="H2240" s="13"/>
      <c r="I2240" s="13"/>
      <c r="J2240" s="13"/>
      <c r="K2240" s="25"/>
      <c r="L2240" s="25"/>
      <c r="M2240" s="25"/>
      <c r="N2240" s="25"/>
      <c r="O2240" s="26"/>
      <c r="P2240" s="16" t="str">
        <f aca="false">IF(O2240="","",IFERROR(1/(1/(IF(K2240="",INDEX(CONFIG!$F$5:$F$14,MATCH(D2240,CONFIG!$D$5:$D$14,0)),K2240)*IF(M2240="",INDEX(CONFIG!$H$5:$H$14,MATCH(D2240,CONFIG!$D$5:$D$14,0)),M2240))),""))</f>
        <v/>
      </c>
      <c r="Q2240" s="16" t="str">
        <f aca="false">IF(OR(O2240="",P2240=""),"",O2240/P2240)</f>
        <v/>
      </c>
      <c r="R2240" s="16" t="str">
        <f aca="false">IF(Q2240="","",Q2240*0.0980665)</f>
        <v/>
      </c>
      <c r="S2240" s="16" t="str">
        <f aca="false">IF(Q2240="","",IFERROR(Q2240/(1/(1/INDEX(CONFIG!$I$5:$I$14,MATCH(D2240,CONFIG!$D$5:$D$14,0)))),""))</f>
        <v/>
      </c>
      <c r="T2240" s="13"/>
      <c r="U2240" s="13"/>
      <c r="V2240" s="13"/>
      <c r="W2240" s="13"/>
      <c r="X2240" s="22" t="str">
        <f aca="false">IF(Q2240="","",Q2240^2)</f>
        <v/>
      </c>
      <c r="Y2240" s="22" t="str">
        <f aca="false">IF(AND(C2240&lt;&gt;"",C2240=CERTIFICADO!$E$4,OR(CERTIFICADO!$E$5="",B2240=CERTIFICADO!$E$5)),MAX($Y$4:Y2239)+1,"")</f>
        <v/>
      </c>
    </row>
    <row r="2241" customFormat="false" ht="15" hidden="false" customHeight="false" outlineLevel="0" collapsed="false">
      <c r="A2241" s="11" t="str">
        <f aca="false">IF(C2241="","",ROW()-4)</f>
        <v/>
      </c>
      <c r="B2241" s="12"/>
      <c r="C2241" s="13"/>
      <c r="D2241" s="23" t="str">
        <f aca="false">IF(C2241="","",IFERROR(INDEX(LOTES!$D$5:$D$1004,MATCH(C2241,LOTES!$F$5:$F$1004,0)),"¿Lote?"))</f>
        <v/>
      </c>
      <c r="E2241" s="11" t="str">
        <f aca="false">IF(C2241="","",IFERROR(INDEX(LOTES!$C$5:$C$1004,MATCH(C2241,LOTES!$F$5:$F$1004,0)),""))</f>
        <v/>
      </c>
      <c r="F2241" s="24" t="str">
        <f aca="false">IF(C2241="","",IFERROR(INDEX(LOTES!$B$5:$B$1004,MATCH(C2241,LOTES!$F$5:$F$1004,0)),""))</f>
        <v/>
      </c>
      <c r="G2241" s="15" t="str">
        <f aca="false">IF(OR(B2241="",F2241=""),"",B2241-F2241)</f>
        <v/>
      </c>
      <c r="H2241" s="13"/>
      <c r="I2241" s="13"/>
      <c r="J2241" s="13"/>
      <c r="K2241" s="25"/>
      <c r="L2241" s="25"/>
      <c r="M2241" s="25"/>
      <c r="N2241" s="25"/>
      <c r="O2241" s="26"/>
      <c r="P2241" s="16" t="str">
        <f aca="false">IF(O2241="","",IFERROR(1/(1/(IF(K2241="",INDEX(CONFIG!$F$5:$F$14,MATCH(D2241,CONFIG!$D$5:$D$14,0)),K2241)*IF(M2241="",INDEX(CONFIG!$H$5:$H$14,MATCH(D2241,CONFIG!$D$5:$D$14,0)),M2241))),""))</f>
        <v/>
      </c>
      <c r="Q2241" s="16" t="str">
        <f aca="false">IF(OR(O2241="",P2241=""),"",O2241/P2241)</f>
        <v/>
      </c>
      <c r="R2241" s="16" t="str">
        <f aca="false">IF(Q2241="","",Q2241*0.0980665)</f>
        <v/>
      </c>
      <c r="S2241" s="16" t="str">
        <f aca="false">IF(Q2241="","",IFERROR(Q2241/(1/(1/INDEX(CONFIG!$I$5:$I$14,MATCH(D2241,CONFIG!$D$5:$D$14,0)))),""))</f>
        <v/>
      </c>
      <c r="T2241" s="13"/>
      <c r="U2241" s="13"/>
      <c r="V2241" s="13"/>
      <c r="W2241" s="13"/>
      <c r="X2241" s="22" t="str">
        <f aca="false">IF(Q2241="","",Q2241^2)</f>
        <v/>
      </c>
      <c r="Y2241" s="22" t="str">
        <f aca="false">IF(AND(C2241&lt;&gt;"",C2241=CERTIFICADO!$E$4,OR(CERTIFICADO!$E$5="",B2241=CERTIFICADO!$E$5)),MAX($Y$4:Y2240)+1,"")</f>
        <v/>
      </c>
    </row>
    <row r="2242" customFormat="false" ht="15" hidden="false" customHeight="false" outlineLevel="0" collapsed="false">
      <c r="A2242" s="11" t="str">
        <f aca="false">IF(C2242="","",ROW()-4)</f>
        <v/>
      </c>
      <c r="B2242" s="12"/>
      <c r="C2242" s="13"/>
      <c r="D2242" s="23" t="str">
        <f aca="false">IF(C2242="","",IFERROR(INDEX(LOTES!$D$5:$D$1004,MATCH(C2242,LOTES!$F$5:$F$1004,0)),"¿Lote?"))</f>
        <v/>
      </c>
      <c r="E2242" s="11" t="str">
        <f aca="false">IF(C2242="","",IFERROR(INDEX(LOTES!$C$5:$C$1004,MATCH(C2242,LOTES!$F$5:$F$1004,0)),""))</f>
        <v/>
      </c>
      <c r="F2242" s="24" t="str">
        <f aca="false">IF(C2242="","",IFERROR(INDEX(LOTES!$B$5:$B$1004,MATCH(C2242,LOTES!$F$5:$F$1004,0)),""))</f>
        <v/>
      </c>
      <c r="G2242" s="15" t="str">
        <f aca="false">IF(OR(B2242="",F2242=""),"",B2242-F2242)</f>
        <v/>
      </c>
      <c r="H2242" s="13"/>
      <c r="I2242" s="13"/>
      <c r="J2242" s="13"/>
      <c r="K2242" s="25"/>
      <c r="L2242" s="25"/>
      <c r="M2242" s="25"/>
      <c r="N2242" s="25"/>
      <c r="O2242" s="26"/>
      <c r="P2242" s="16" t="str">
        <f aca="false">IF(O2242="","",IFERROR(1/(1/(IF(K2242="",INDEX(CONFIG!$F$5:$F$14,MATCH(D2242,CONFIG!$D$5:$D$14,0)),K2242)*IF(M2242="",INDEX(CONFIG!$H$5:$H$14,MATCH(D2242,CONFIG!$D$5:$D$14,0)),M2242))),""))</f>
        <v/>
      </c>
      <c r="Q2242" s="16" t="str">
        <f aca="false">IF(OR(O2242="",P2242=""),"",O2242/P2242)</f>
        <v/>
      </c>
      <c r="R2242" s="16" t="str">
        <f aca="false">IF(Q2242="","",Q2242*0.0980665)</f>
        <v/>
      </c>
      <c r="S2242" s="16" t="str">
        <f aca="false">IF(Q2242="","",IFERROR(Q2242/(1/(1/INDEX(CONFIG!$I$5:$I$14,MATCH(D2242,CONFIG!$D$5:$D$14,0)))),""))</f>
        <v/>
      </c>
      <c r="T2242" s="13"/>
      <c r="U2242" s="13"/>
      <c r="V2242" s="13"/>
      <c r="W2242" s="13"/>
      <c r="X2242" s="22" t="str">
        <f aca="false">IF(Q2242="","",Q2242^2)</f>
        <v/>
      </c>
      <c r="Y2242" s="22" t="str">
        <f aca="false">IF(AND(C2242&lt;&gt;"",C2242=CERTIFICADO!$E$4,OR(CERTIFICADO!$E$5="",B2242=CERTIFICADO!$E$5)),MAX($Y$4:Y2241)+1,"")</f>
        <v/>
      </c>
    </row>
    <row r="2243" customFormat="false" ht="15" hidden="false" customHeight="false" outlineLevel="0" collapsed="false">
      <c r="A2243" s="11" t="str">
        <f aca="false">IF(C2243="","",ROW()-4)</f>
        <v/>
      </c>
      <c r="B2243" s="12"/>
      <c r="C2243" s="13"/>
      <c r="D2243" s="23" t="str">
        <f aca="false">IF(C2243="","",IFERROR(INDEX(LOTES!$D$5:$D$1004,MATCH(C2243,LOTES!$F$5:$F$1004,0)),"¿Lote?"))</f>
        <v/>
      </c>
      <c r="E2243" s="11" t="str">
        <f aca="false">IF(C2243="","",IFERROR(INDEX(LOTES!$C$5:$C$1004,MATCH(C2243,LOTES!$F$5:$F$1004,0)),""))</f>
        <v/>
      </c>
      <c r="F2243" s="24" t="str">
        <f aca="false">IF(C2243="","",IFERROR(INDEX(LOTES!$B$5:$B$1004,MATCH(C2243,LOTES!$F$5:$F$1004,0)),""))</f>
        <v/>
      </c>
      <c r="G2243" s="15" t="str">
        <f aca="false">IF(OR(B2243="",F2243=""),"",B2243-F2243)</f>
        <v/>
      </c>
      <c r="H2243" s="13"/>
      <c r="I2243" s="13"/>
      <c r="J2243" s="13"/>
      <c r="K2243" s="25"/>
      <c r="L2243" s="25"/>
      <c r="M2243" s="25"/>
      <c r="N2243" s="25"/>
      <c r="O2243" s="26"/>
      <c r="P2243" s="16" t="str">
        <f aca="false">IF(O2243="","",IFERROR(1/(1/(IF(K2243="",INDEX(CONFIG!$F$5:$F$14,MATCH(D2243,CONFIG!$D$5:$D$14,0)),K2243)*IF(M2243="",INDEX(CONFIG!$H$5:$H$14,MATCH(D2243,CONFIG!$D$5:$D$14,0)),M2243))),""))</f>
        <v/>
      </c>
      <c r="Q2243" s="16" t="str">
        <f aca="false">IF(OR(O2243="",P2243=""),"",O2243/P2243)</f>
        <v/>
      </c>
      <c r="R2243" s="16" t="str">
        <f aca="false">IF(Q2243="","",Q2243*0.0980665)</f>
        <v/>
      </c>
      <c r="S2243" s="16" t="str">
        <f aca="false">IF(Q2243="","",IFERROR(Q2243/(1/(1/INDEX(CONFIG!$I$5:$I$14,MATCH(D2243,CONFIG!$D$5:$D$14,0)))),""))</f>
        <v/>
      </c>
      <c r="T2243" s="13"/>
      <c r="U2243" s="13"/>
      <c r="V2243" s="13"/>
      <c r="W2243" s="13"/>
      <c r="X2243" s="22" t="str">
        <f aca="false">IF(Q2243="","",Q2243^2)</f>
        <v/>
      </c>
      <c r="Y2243" s="22" t="str">
        <f aca="false">IF(AND(C2243&lt;&gt;"",C2243=CERTIFICADO!$E$4,OR(CERTIFICADO!$E$5="",B2243=CERTIFICADO!$E$5)),MAX($Y$4:Y2242)+1,"")</f>
        <v/>
      </c>
    </row>
    <row r="2244" customFormat="false" ht="15" hidden="false" customHeight="false" outlineLevel="0" collapsed="false">
      <c r="A2244" s="11" t="str">
        <f aca="false">IF(C2244="","",ROW()-4)</f>
        <v/>
      </c>
      <c r="B2244" s="12"/>
      <c r="C2244" s="13"/>
      <c r="D2244" s="23" t="str">
        <f aca="false">IF(C2244="","",IFERROR(INDEX(LOTES!$D$5:$D$1004,MATCH(C2244,LOTES!$F$5:$F$1004,0)),"¿Lote?"))</f>
        <v/>
      </c>
      <c r="E2244" s="11" t="str">
        <f aca="false">IF(C2244="","",IFERROR(INDEX(LOTES!$C$5:$C$1004,MATCH(C2244,LOTES!$F$5:$F$1004,0)),""))</f>
        <v/>
      </c>
      <c r="F2244" s="24" t="str">
        <f aca="false">IF(C2244="","",IFERROR(INDEX(LOTES!$B$5:$B$1004,MATCH(C2244,LOTES!$F$5:$F$1004,0)),""))</f>
        <v/>
      </c>
      <c r="G2244" s="15" t="str">
        <f aca="false">IF(OR(B2244="",F2244=""),"",B2244-F2244)</f>
        <v/>
      </c>
      <c r="H2244" s="13"/>
      <c r="I2244" s="13"/>
      <c r="J2244" s="13"/>
      <c r="K2244" s="25"/>
      <c r="L2244" s="25"/>
      <c r="M2244" s="25"/>
      <c r="N2244" s="25"/>
      <c r="O2244" s="26"/>
      <c r="P2244" s="16" t="str">
        <f aca="false">IF(O2244="","",IFERROR(1/(1/(IF(K2244="",INDEX(CONFIG!$F$5:$F$14,MATCH(D2244,CONFIG!$D$5:$D$14,0)),K2244)*IF(M2244="",INDEX(CONFIG!$H$5:$H$14,MATCH(D2244,CONFIG!$D$5:$D$14,0)),M2244))),""))</f>
        <v/>
      </c>
      <c r="Q2244" s="16" t="str">
        <f aca="false">IF(OR(O2244="",P2244=""),"",O2244/P2244)</f>
        <v/>
      </c>
      <c r="R2244" s="16" t="str">
        <f aca="false">IF(Q2244="","",Q2244*0.0980665)</f>
        <v/>
      </c>
      <c r="S2244" s="16" t="str">
        <f aca="false">IF(Q2244="","",IFERROR(Q2244/(1/(1/INDEX(CONFIG!$I$5:$I$14,MATCH(D2244,CONFIG!$D$5:$D$14,0)))),""))</f>
        <v/>
      </c>
      <c r="T2244" s="13"/>
      <c r="U2244" s="13"/>
      <c r="V2244" s="13"/>
      <c r="W2244" s="13"/>
      <c r="X2244" s="22" t="str">
        <f aca="false">IF(Q2244="","",Q2244^2)</f>
        <v/>
      </c>
      <c r="Y2244" s="22" t="str">
        <f aca="false">IF(AND(C2244&lt;&gt;"",C2244=CERTIFICADO!$E$4,OR(CERTIFICADO!$E$5="",B2244=CERTIFICADO!$E$5)),MAX($Y$4:Y2243)+1,"")</f>
        <v/>
      </c>
    </row>
    <row r="2245" customFormat="false" ht="15" hidden="false" customHeight="false" outlineLevel="0" collapsed="false">
      <c r="A2245" s="11" t="str">
        <f aca="false">IF(C2245="","",ROW()-4)</f>
        <v/>
      </c>
      <c r="B2245" s="12"/>
      <c r="C2245" s="13"/>
      <c r="D2245" s="23" t="str">
        <f aca="false">IF(C2245="","",IFERROR(INDEX(LOTES!$D$5:$D$1004,MATCH(C2245,LOTES!$F$5:$F$1004,0)),"¿Lote?"))</f>
        <v/>
      </c>
      <c r="E2245" s="11" t="str">
        <f aca="false">IF(C2245="","",IFERROR(INDEX(LOTES!$C$5:$C$1004,MATCH(C2245,LOTES!$F$5:$F$1004,0)),""))</f>
        <v/>
      </c>
      <c r="F2245" s="24" t="str">
        <f aca="false">IF(C2245="","",IFERROR(INDEX(LOTES!$B$5:$B$1004,MATCH(C2245,LOTES!$F$5:$F$1004,0)),""))</f>
        <v/>
      </c>
      <c r="G2245" s="15" t="str">
        <f aca="false">IF(OR(B2245="",F2245=""),"",B2245-F2245)</f>
        <v/>
      </c>
      <c r="H2245" s="13"/>
      <c r="I2245" s="13"/>
      <c r="J2245" s="13"/>
      <c r="K2245" s="25"/>
      <c r="L2245" s="25"/>
      <c r="M2245" s="25"/>
      <c r="N2245" s="25"/>
      <c r="O2245" s="26"/>
      <c r="P2245" s="16" t="str">
        <f aca="false">IF(O2245="","",IFERROR(1/(1/(IF(K2245="",INDEX(CONFIG!$F$5:$F$14,MATCH(D2245,CONFIG!$D$5:$D$14,0)),K2245)*IF(M2245="",INDEX(CONFIG!$H$5:$H$14,MATCH(D2245,CONFIG!$D$5:$D$14,0)),M2245))),""))</f>
        <v/>
      </c>
      <c r="Q2245" s="16" t="str">
        <f aca="false">IF(OR(O2245="",P2245=""),"",O2245/P2245)</f>
        <v/>
      </c>
      <c r="R2245" s="16" t="str">
        <f aca="false">IF(Q2245="","",Q2245*0.0980665)</f>
        <v/>
      </c>
      <c r="S2245" s="16" t="str">
        <f aca="false">IF(Q2245="","",IFERROR(Q2245/(1/(1/INDEX(CONFIG!$I$5:$I$14,MATCH(D2245,CONFIG!$D$5:$D$14,0)))),""))</f>
        <v/>
      </c>
      <c r="T2245" s="13"/>
      <c r="U2245" s="13"/>
      <c r="V2245" s="13"/>
      <c r="W2245" s="13"/>
      <c r="X2245" s="22" t="str">
        <f aca="false">IF(Q2245="","",Q2245^2)</f>
        <v/>
      </c>
      <c r="Y2245" s="22" t="str">
        <f aca="false">IF(AND(C2245&lt;&gt;"",C2245=CERTIFICADO!$E$4,OR(CERTIFICADO!$E$5="",B2245=CERTIFICADO!$E$5)),MAX($Y$4:Y2244)+1,"")</f>
        <v/>
      </c>
    </row>
    <row r="2246" customFormat="false" ht="15" hidden="false" customHeight="false" outlineLevel="0" collapsed="false">
      <c r="A2246" s="11" t="str">
        <f aca="false">IF(C2246="","",ROW()-4)</f>
        <v/>
      </c>
      <c r="B2246" s="12"/>
      <c r="C2246" s="13"/>
      <c r="D2246" s="23" t="str">
        <f aca="false">IF(C2246="","",IFERROR(INDEX(LOTES!$D$5:$D$1004,MATCH(C2246,LOTES!$F$5:$F$1004,0)),"¿Lote?"))</f>
        <v/>
      </c>
      <c r="E2246" s="11" t="str">
        <f aca="false">IF(C2246="","",IFERROR(INDEX(LOTES!$C$5:$C$1004,MATCH(C2246,LOTES!$F$5:$F$1004,0)),""))</f>
        <v/>
      </c>
      <c r="F2246" s="24" t="str">
        <f aca="false">IF(C2246="","",IFERROR(INDEX(LOTES!$B$5:$B$1004,MATCH(C2246,LOTES!$F$5:$F$1004,0)),""))</f>
        <v/>
      </c>
      <c r="G2246" s="15" t="str">
        <f aca="false">IF(OR(B2246="",F2246=""),"",B2246-F2246)</f>
        <v/>
      </c>
      <c r="H2246" s="13"/>
      <c r="I2246" s="13"/>
      <c r="J2246" s="13"/>
      <c r="K2246" s="25"/>
      <c r="L2246" s="25"/>
      <c r="M2246" s="25"/>
      <c r="N2246" s="25"/>
      <c r="O2246" s="26"/>
      <c r="P2246" s="16" t="str">
        <f aca="false">IF(O2246="","",IFERROR(1/(1/(IF(K2246="",INDEX(CONFIG!$F$5:$F$14,MATCH(D2246,CONFIG!$D$5:$D$14,0)),K2246)*IF(M2246="",INDEX(CONFIG!$H$5:$H$14,MATCH(D2246,CONFIG!$D$5:$D$14,0)),M2246))),""))</f>
        <v/>
      </c>
      <c r="Q2246" s="16" t="str">
        <f aca="false">IF(OR(O2246="",P2246=""),"",O2246/P2246)</f>
        <v/>
      </c>
      <c r="R2246" s="16" t="str">
        <f aca="false">IF(Q2246="","",Q2246*0.0980665)</f>
        <v/>
      </c>
      <c r="S2246" s="16" t="str">
        <f aca="false">IF(Q2246="","",IFERROR(Q2246/(1/(1/INDEX(CONFIG!$I$5:$I$14,MATCH(D2246,CONFIG!$D$5:$D$14,0)))),""))</f>
        <v/>
      </c>
      <c r="T2246" s="13"/>
      <c r="U2246" s="13"/>
      <c r="V2246" s="13"/>
      <c r="W2246" s="13"/>
      <c r="X2246" s="22" t="str">
        <f aca="false">IF(Q2246="","",Q2246^2)</f>
        <v/>
      </c>
      <c r="Y2246" s="22" t="str">
        <f aca="false">IF(AND(C2246&lt;&gt;"",C2246=CERTIFICADO!$E$4,OR(CERTIFICADO!$E$5="",B2246=CERTIFICADO!$E$5)),MAX($Y$4:Y2245)+1,"")</f>
        <v/>
      </c>
    </row>
    <row r="2247" customFormat="false" ht="15" hidden="false" customHeight="false" outlineLevel="0" collapsed="false">
      <c r="A2247" s="11" t="str">
        <f aca="false">IF(C2247="","",ROW()-4)</f>
        <v/>
      </c>
      <c r="B2247" s="12"/>
      <c r="C2247" s="13"/>
      <c r="D2247" s="23" t="str">
        <f aca="false">IF(C2247="","",IFERROR(INDEX(LOTES!$D$5:$D$1004,MATCH(C2247,LOTES!$F$5:$F$1004,0)),"¿Lote?"))</f>
        <v/>
      </c>
      <c r="E2247" s="11" t="str">
        <f aca="false">IF(C2247="","",IFERROR(INDEX(LOTES!$C$5:$C$1004,MATCH(C2247,LOTES!$F$5:$F$1004,0)),""))</f>
        <v/>
      </c>
      <c r="F2247" s="24" t="str">
        <f aca="false">IF(C2247="","",IFERROR(INDEX(LOTES!$B$5:$B$1004,MATCH(C2247,LOTES!$F$5:$F$1004,0)),""))</f>
        <v/>
      </c>
      <c r="G2247" s="15" t="str">
        <f aca="false">IF(OR(B2247="",F2247=""),"",B2247-F2247)</f>
        <v/>
      </c>
      <c r="H2247" s="13"/>
      <c r="I2247" s="13"/>
      <c r="J2247" s="13"/>
      <c r="K2247" s="25"/>
      <c r="L2247" s="25"/>
      <c r="M2247" s="25"/>
      <c r="N2247" s="25"/>
      <c r="O2247" s="26"/>
      <c r="P2247" s="16" t="str">
        <f aca="false">IF(O2247="","",IFERROR(1/(1/(IF(K2247="",INDEX(CONFIG!$F$5:$F$14,MATCH(D2247,CONFIG!$D$5:$D$14,0)),K2247)*IF(M2247="",INDEX(CONFIG!$H$5:$H$14,MATCH(D2247,CONFIG!$D$5:$D$14,0)),M2247))),""))</f>
        <v/>
      </c>
      <c r="Q2247" s="16" t="str">
        <f aca="false">IF(OR(O2247="",P2247=""),"",O2247/P2247)</f>
        <v/>
      </c>
      <c r="R2247" s="16" t="str">
        <f aca="false">IF(Q2247="","",Q2247*0.0980665)</f>
        <v/>
      </c>
      <c r="S2247" s="16" t="str">
        <f aca="false">IF(Q2247="","",IFERROR(Q2247/(1/(1/INDEX(CONFIG!$I$5:$I$14,MATCH(D2247,CONFIG!$D$5:$D$14,0)))),""))</f>
        <v/>
      </c>
      <c r="T2247" s="13"/>
      <c r="U2247" s="13"/>
      <c r="V2247" s="13"/>
      <c r="W2247" s="13"/>
      <c r="X2247" s="22" t="str">
        <f aca="false">IF(Q2247="","",Q2247^2)</f>
        <v/>
      </c>
      <c r="Y2247" s="22" t="str">
        <f aca="false">IF(AND(C2247&lt;&gt;"",C2247=CERTIFICADO!$E$4,OR(CERTIFICADO!$E$5="",B2247=CERTIFICADO!$E$5)),MAX($Y$4:Y2246)+1,"")</f>
        <v/>
      </c>
    </row>
    <row r="2248" customFormat="false" ht="15" hidden="false" customHeight="false" outlineLevel="0" collapsed="false">
      <c r="A2248" s="11" t="str">
        <f aca="false">IF(C2248="","",ROW()-4)</f>
        <v/>
      </c>
      <c r="B2248" s="12"/>
      <c r="C2248" s="13"/>
      <c r="D2248" s="23" t="str">
        <f aca="false">IF(C2248="","",IFERROR(INDEX(LOTES!$D$5:$D$1004,MATCH(C2248,LOTES!$F$5:$F$1004,0)),"¿Lote?"))</f>
        <v/>
      </c>
      <c r="E2248" s="11" t="str">
        <f aca="false">IF(C2248="","",IFERROR(INDEX(LOTES!$C$5:$C$1004,MATCH(C2248,LOTES!$F$5:$F$1004,0)),""))</f>
        <v/>
      </c>
      <c r="F2248" s="24" t="str">
        <f aca="false">IF(C2248="","",IFERROR(INDEX(LOTES!$B$5:$B$1004,MATCH(C2248,LOTES!$F$5:$F$1004,0)),""))</f>
        <v/>
      </c>
      <c r="G2248" s="15" t="str">
        <f aca="false">IF(OR(B2248="",F2248=""),"",B2248-F2248)</f>
        <v/>
      </c>
      <c r="H2248" s="13"/>
      <c r="I2248" s="13"/>
      <c r="J2248" s="13"/>
      <c r="K2248" s="25"/>
      <c r="L2248" s="25"/>
      <c r="M2248" s="25"/>
      <c r="N2248" s="25"/>
      <c r="O2248" s="26"/>
      <c r="P2248" s="16" t="str">
        <f aca="false">IF(O2248="","",IFERROR(1/(1/(IF(K2248="",INDEX(CONFIG!$F$5:$F$14,MATCH(D2248,CONFIG!$D$5:$D$14,0)),K2248)*IF(M2248="",INDEX(CONFIG!$H$5:$H$14,MATCH(D2248,CONFIG!$D$5:$D$14,0)),M2248))),""))</f>
        <v/>
      </c>
      <c r="Q2248" s="16" t="str">
        <f aca="false">IF(OR(O2248="",P2248=""),"",O2248/P2248)</f>
        <v/>
      </c>
      <c r="R2248" s="16" t="str">
        <f aca="false">IF(Q2248="","",Q2248*0.0980665)</f>
        <v/>
      </c>
      <c r="S2248" s="16" t="str">
        <f aca="false">IF(Q2248="","",IFERROR(Q2248/(1/(1/INDEX(CONFIG!$I$5:$I$14,MATCH(D2248,CONFIG!$D$5:$D$14,0)))),""))</f>
        <v/>
      </c>
      <c r="T2248" s="13"/>
      <c r="U2248" s="13"/>
      <c r="V2248" s="13"/>
      <c r="W2248" s="13"/>
      <c r="X2248" s="22" t="str">
        <f aca="false">IF(Q2248="","",Q2248^2)</f>
        <v/>
      </c>
      <c r="Y2248" s="22" t="str">
        <f aca="false">IF(AND(C2248&lt;&gt;"",C2248=CERTIFICADO!$E$4,OR(CERTIFICADO!$E$5="",B2248=CERTIFICADO!$E$5)),MAX($Y$4:Y2247)+1,"")</f>
        <v/>
      </c>
    </row>
    <row r="2249" customFormat="false" ht="15" hidden="false" customHeight="false" outlineLevel="0" collapsed="false">
      <c r="A2249" s="11" t="str">
        <f aca="false">IF(C2249="","",ROW()-4)</f>
        <v/>
      </c>
      <c r="B2249" s="12"/>
      <c r="C2249" s="13"/>
      <c r="D2249" s="23" t="str">
        <f aca="false">IF(C2249="","",IFERROR(INDEX(LOTES!$D$5:$D$1004,MATCH(C2249,LOTES!$F$5:$F$1004,0)),"¿Lote?"))</f>
        <v/>
      </c>
      <c r="E2249" s="11" t="str">
        <f aca="false">IF(C2249="","",IFERROR(INDEX(LOTES!$C$5:$C$1004,MATCH(C2249,LOTES!$F$5:$F$1004,0)),""))</f>
        <v/>
      </c>
      <c r="F2249" s="24" t="str">
        <f aca="false">IF(C2249="","",IFERROR(INDEX(LOTES!$B$5:$B$1004,MATCH(C2249,LOTES!$F$5:$F$1004,0)),""))</f>
        <v/>
      </c>
      <c r="G2249" s="15" t="str">
        <f aca="false">IF(OR(B2249="",F2249=""),"",B2249-F2249)</f>
        <v/>
      </c>
      <c r="H2249" s="13"/>
      <c r="I2249" s="13"/>
      <c r="J2249" s="13"/>
      <c r="K2249" s="25"/>
      <c r="L2249" s="25"/>
      <c r="M2249" s="25"/>
      <c r="N2249" s="25"/>
      <c r="O2249" s="26"/>
      <c r="P2249" s="16" t="str">
        <f aca="false">IF(O2249="","",IFERROR(1/(1/(IF(K2249="",INDEX(CONFIG!$F$5:$F$14,MATCH(D2249,CONFIG!$D$5:$D$14,0)),K2249)*IF(M2249="",INDEX(CONFIG!$H$5:$H$14,MATCH(D2249,CONFIG!$D$5:$D$14,0)),M2249))),""))</f>
        <v/>
      </c>
      <c r="Q2249" s="16" t="str">
        <f aca="false">IF(OR(O2249="",P2249=""),"",O2249/P2249)</f>
        <v/>
      </c>
      <c r="R2249" s="16" t="str">
        <f aca="false">IF(Q2249="","",Q2249*0.0980665)</f>
        <v/>
      </c>
      <c r="S2249" s="16" t="str">
        <f aca="false">IF(Q2249="","",IFERROR(Q2249/(1/(1/INDEX(CONFIG!$I$5:$I$14,MATCH(D2249,CONFIG!$D$5:$D$14,0)))),""))</f>
        <v/>
      </c>
      <c r="T2249" s="13"/>
      <c r="U2249" s="13"/>
      <c r="V2249" s="13"/>
      <c r="W2249" s="13"/>
      <c r="X2249" s="22" t="str">
        <f aca="false">IF(Q2249="","",Q2249^2)</f>
        <v/>
      </c>
      <c r="Y2249" s="22" t="str">
        <f aca="false">IF(AND(C2249&lt;&gt;"",C2249=CERTIFICADO!$E$4,OR(CERTIFICADO!$E$5="",B2249=CERTIFICADO!$E$5)),MAX($Y$4:Y2248)+1,"")</f>
        <v/>
      </c>
    </row>
    <row r="2250" customFormat="false" ht="15" hidden="false" customHeight="false" outlineLevel="0" collapsed="false">
      <c r="A2250" s="11" t="str">
        <f aca="false">IF(C2250="","",ROW()-4)</f>
        <v/>
      </c>
      <c r="B2250" s="12"/>
      <c r="C2250" s="13"/>
      <c r="D2250" s="23" t="str">
        <f aca="false">IF(C2250="","",IFERROR(INDEX(LOTES!$D$5:$D$1004,MATCH(C2250,LOTES!$F$5:$F$1004,0)),"¿Lote?"))</f>
        <v/>
      </c>
      <c r="E2250" s="11" t="str">
        <f aca="false">IF(C2250="","",IFERROR(INDEX(LOTES!$C$5:$C$1004,MATCH(C2250,LOTES!$F$5:$F$1004,0)),""))</f>
        <v/>
      </c>
      <c r="F2250" s="24" t="str">
        <f aca="false">IF(C2250="","",IFERROR(INDEX(LOTES!$B$5:$B$1004,MATCH(C2250,LOTES!$F$5:$F$1004,0)),""))</f>
        <v/>
      </c>
      <c r="G2250" s="15" t="str">
        <f aca="false">IF(OR(B2250="",F2250=""),"",B2250-F2250)</f>
        <v/>
      </c>
      <c r="H2250" s="13"/>
      <c r="I2250" s="13"/>
      <c r="J2250" s="13"/>
      <c r="K2250" s="25"/>
      <c r="L2250" s="25"/>
      <c r="M2250" s="25"/>
      <c r="N2250" s="25"/>
      <c r="O2250" s="26"/>
      <c r="P2250" s="16" t="str">
        <f aca="false">IF(O2250="","",IFERROR(1/(1/(IF(K2250="",INDEX(CONFIG!$F$5:$F$14,MATCH(D2250,CONFIG!$D$5:$D$14,0)),K2250)*IF(M2250="",INDEX(CONFIG!$H$5:$H$14,MATCH(D2250,CONFIG!$D$5:$D$14,0)),M2250))),""))</f>
        <v/>
      </c>
      <c r="Q2250" s="16" t="str">
        <f aca="false">IF(OR(O2250="",P2250=""),"",O2250/P2250)</f>
        <v/>
      </c>
      <c r="R2250" s="16" t="str">
        <f aca="false">IF(Q2250="","",Q2250*0.0980665)</f>
        <v/>
      </c>
      <c r="S2250" s="16" t="str">
        <f aca="false">IF(Q2250="","",IFERROR(Q2250/(1/(1/INDEX(CONFIG!$I$5:$I$14,MATCH(D2250,CONFIG!$D$5:$D$14,0)))),""))</f>
        <v/>
      </c>
      <c r="T2250" s="13"/>
      <c r="U2250" s="13"/>
      <c r="V2250" s="13"/>
      <c r="W2250" s="13"/>
      <c r="X2250" s="22" t="str">
        <f aca="false">IF(Q2250="","",Q2250^2)</f>
        <v/>
      </c>
      <c r="Y2250" s="22" t="str">
        <f aca="false">IF(AND(C2250&lt;&gt;"",C2250=CERTIFICADO!$E$4,OR(CERTIFICADO!$E$5="",B2250=CERTIFICADO!$E$5)),MAX($Y$4:Y2249)+1,"")</f>
        <v/>
      </c>
    </row>
    <row r="2251" customFormat="false" ht="15" hidden="false" customHeight="false" outlineLevel="0" collapsed="false">
      <c r="A2251" s="11" t="str">
        <f aca="false">IF(C2251="","",ROW()-4)</f>
        <v/>
      </c>
      <c r="B2251" s="12"/>
      <c r="C2251" s="13"/>
      <c r="D2251" s="23" t="str">
        <f aca="false">IF(C2251="","",IFERROR(INDEX(LOTES!$D$5:$D$1004,MATCH(C2251,LOTES!$F$5:$F$1004,0)),"¿Lote?"))</f>
        <v/>
      </c>
      <c r="E2251" s="11" t="str">
        <f aca="false">IF(C2251="","",IFERROR(INDEX(LOTES!$C$5:$C$1004,MATCH(C2251,LOTES!$F$5:$F$1004,0)),""))</f>
        <v/>
      </c>
      <c r="F2251" s="24" t="str">
        <f aca="false">IF(C2251="","",IFERROR(INDEX(LOTES!$B$5:$B$1004,MATCH(C2251,LOTES!$F$5:$F$1004,0)),""))</f>
        <v/>
      </c>
      <c r="G2251" s="15" t="str">
        <f aca="false">IF(OR(B2251="",F2251=""),"",B2251-F2251)</f>
        <v/>
      </c>
      <c r="H2251" s="13"/>
      <c r="I2251" s="13"/>
      <c r="J2251" s="13"/>
      <c r="K2251" s="25"/>
      <c r="L2251" s="25"/>
      <c r="M2251" s="25"/>
      <c r="N2251" s="25"/>
      <c r="O2251" s="26"/>
      <c r="P2251" s="16" t="str">
        <f aca="false">IF(O2251="","",IFERROR(1/(1/(IF(K2251="",INDEX(CONFIG!$F$5:$F$14,MATCH(D2251,CONFIG!$D$5:$D$14,0)),K2251)*IF(M2251="",INDEX(CONFIG!$H$5:$H$14,MATCH(D2251,CONFIG!$D$5:$D$14,0)),M2251))),""))</f>
        <v/>
      </c>
      <c r="Q2251" s="16" t="str">
        <f aca="false">IF(OR(O2251="",P2251=""),"",O2251/P2251)</f>
        <v/>
      </c>
      <c r="R2251" s="16" t="str">
        <f aca="false">IF(Q2251="","",Q2251*0.0980665)</f>
        <v/>
      </c>
      <c r="S2251" s="16" t="str">
        <f aca="false">IF(Q2251="","",IFERROR(Q2251/(1/(1/INDEX(CONFIG!$I$5:$I$14,MATCH(D2251,CONFIG!$D$5:$D$14,0)))),""))</f>
        <v/>
      </c>
      <c r="T2251" s="13"/>
      <c r="U2251" s="13"/>
      <c r="V2251" s="13"/>
      <c r="W2251" s="13"/>
      <c r="X2251" s="22" t="str">
        <f aca="false">IF(Q2251="","",Q2251^2)</f>
        <v/>
      </c>
      <c r="Y2251" s="22" t="str">
        <f aca="false">IF(AND(C2251&lt;&gt;"",C2251=CERTIFICADO!$E$4,OR(CERTIFICADO!$E$5="",B2251=CERTIFICADO!$E$5)),MAX($Y$4:Y2250)+1,"")</f>
        <v/>
      </c>
    </row>
    <row r="2252" customFormat="false" ht="15" hidden="false" customHeight="false" outlineLevel="0" collapsed="false">
      <c r="A2252" s="11" t="str">
        <f aca="false">IF(C2252="","",ROW()-4)</f>
        <v/>
      </c>
      <c r="B2252" s="12"/>
      <c r="C2252" s="13"/>
      <c r="D2252" s="23" t="str">
        <f aca="false">IF(C2252="","",IFERROR(INDEX(LOTES!$D$5:$D$1004,MATCH(C2252,LOTES!$F$5:$F$1004,0)),"¿Lote?"))</f>
        <v/>
      </c>
      <c r="E2252" s="11" t="str">
        <f aca="false">IF(C2252="","",IFERROR(INDEX(LOTES!$C$5:$C$1004,MATCH(C2252,LOTES!$F$5:$F$1004,0)),""))</f>
        <v/>
      </c>
      <c r="F2252" s="24" t="str">
        <f aca="false">IF(C2252="","",IFERROR(INDEX(LOTES!$B$5:$B$1004,MATCH(C2252,LOTES!$F$5:$F$1004,0)),""))</f>
        <v/>
      </c>
      <c r="G2252" s="15" t="str">
        <f aca="false">IF(OR(B2252="",F2252=""),"",B2252-F2252)</f>
        <v/>
      </c>
      <c r="H2252" s="13"/>
      <c r="I2252" s="13"/>
      <c r="J2252" s="13"/>
      <c r="K2252" s="25"/>
      <c r="L2252" s="25"/>
      <c r="M2252" s="25"/>
      <c r="N2252" s="25"/>
      <c r="O2252" s="26"/>
      <c r="P2252" s="16" t="str">
        <f aca="false">IF(O2252="","",IFERROR(1/(1/(IF(K2252="",INDEX(CONFIG!$F$5:$F$14,MATCH(D2252,CONFIG!$D$5:$D$14,0)),K2252)*IF(M2252="",INDEX(CONFIG!$H$5:$H$14,MATCH(D2252,CONFIG!$D$5:$D$14,0)),M2252))),""))</f>
        <v/>
      </c>
      <c r="Q2252" s="16" t="str">
        <f aca="false">IF(OR(O2252="",P2252=""),"",O2252/P2252)</f>
        <v/>
      </c>
      <c r="R2252" s="16" t="str">
        <f aca="false">IF(Q2252="","",Q2252*0.0980665)</f>
        <v/>
      </c>
      <c r="S2252" s="16" t="str">
        <f aca="false">IF(Q2252="","",IFERROR(Q2252/(1/(1/INDEX(CONFIG!$I$5:$I$14,MATCH(D2252,CONFIG!$D$5:$D$14,0)))),""))</f>
        <v/>
      </c>
      <c r="T2252" s="13"/>
      <c r="U2252" s="13"/>
      <c r="V2252" s="13"/>
      <c r="W2252" s="13"/>
      <c r="X2252" s="22" t="str">
        <f aca="false">IF(Q2252="","",Q2252^2)</f>
        <v/>
      </c>
      <c r="Y2252" s="22" t="str">
        <f aca="false">IF(AND(C2252&lt;&gt;"",C2252=CERTIFICADO!$E$4,OR(CERTIFICADO!$E$5="",B2252=CERTIFICADO!$E$5)),MAX($Y$4:Y2251)+1,"")</f>
        <v/>
      </c>
    </row>
    <row r="2253" customFormat="false" ht="15" hidden="false" customHeight="false" outlineLevel="0" collapsed="false">
      <c r="A2253" s="11" t="str">
        <f aca="false">IF(C2253="","",ROW()-4)</f>
        <v/>
      </c>
      <c r="B2253" s="12"/>
      <c r="C2253" s="13"/>
      <c r="D2253" s="23" t="str">
        <f aca="false">IF(C2253="","",IFERROR(INDEX(LOTES!$D$5:$D$1004,MATCH(C2253,LOTES!$F$5:$F$1004,0)),"¿Lote?"))</f>
        <v/>
      </c>
      <c r="E2253" s="11" t="str">
        <f aca="false">IF(C2253="","",IFERROR(INDEX(LOTES!$C$5:$C$1004,MATCH(C2253,LOTES!$F$5:$F$1004,0)),""))</f>
        <v/>
      </c>
      <c r="F2253" s="24" t="str">
        <f aca="false">IF(C2253="","",IFERROR(INDEX(LOTES!$B$5:$B$1004,MATCH(C2253,LOTES!$F$5:$F$1004,0)),""))</f>
        <v/>
      </c>
      <c r="G2253" s="15" t="str">
        <f aca="false">IF(OR(B2253="",F2253=""),"",B2253-F2253)</f>
        <v/>
      </c>
      <c r="H2253" s="13"/>
      <c r="I2253" s="13"/>
      <c r="J2253" s="13"/>
      <c r="K2253" s="25"/>
      <c r="L2253" s="25"/>
      <c r="M2253" s="25"/>
      <c r="N2253" s="25"/>
      <c r="O2253" s="26"/>
      <c r="P2253" s="16" t="str">
        <f aca="false">IF(O2253="","",IFERROR(1/(1/(IF(K2253="",INDEX(CONFIG!$F$5:$F$14,MATCH(D2253,CONFIG!$D$5:$D$14,0)),K2253)*IF(M2253="",INDEX(CONFIG!$H$5:$H$14,MATCH(D2253,CONFIG!$D$5:$D$14,0)),M2253))),""))</f>
        <v/>
      </c>
      <c r="Q2253" s="16" t="str">
        <f aca="false">IF(OR(O2253="",P2253=""),"",O2253/P2253)</f>
        <v/>
      </c>
      <c r="R2253" s="16" t="str">
        <f aca="false">IF(Q2253="","",Q2253*0.0980665)</f>
        <v/>
      </c>
      <c r="S2253" s="16" t="str">
        <f aca="false">IF(Q2253="","",IFERROR(Q2253/(1/(1/INDEX(CONFIG!$I$5:$I$14,MATCH(D2253,CONFIG!$D$5:$D$14,0)))),""))</f>
        <v/>
      </c>
      <c r="T2253" s="13"/>
      <c r="U2253" s="13"/>
      <c r="V2253" s="13"/>
      <c r="W2253" s="13"/>
      <c r="X2253" s="22" t="str">
        <f aca="false">IF(Q2253="","",Q2253^2)</f>
        <v/>
      </c>
      <c r="Y2253" s="22" t="str">
        <f aca="false">IF(AND(C2253&lt;&gt;"",C2253=CERTIFICADO!$E$4,OR(CERTIFICADO!$E$5="",B2253=CERTIFICADO!$E$5)),MAX($Y$4:Y2252)+1,"")</f>
        <v/>
      </c>
    </row>
    <row r="2254" customFormat="false" ht="15" hidden="false" customHeight="false" outlineLevel="0" collapsed="false">
      <c r="A2254" s="11" t="str">
        <f aca="false">IF(C2254="","",ROW()-4)</f>
        <v/>
      </c>
      <c r="B2254" s="12"/>
      <c r="C2254" s="13"/>
      <c r="D2254" s="23" t="str">
        <f aca="false">IF(C2254="","",IFERROR(INDEX(LOTES!$D$5:$D$1004,MATCH(C2254,LOTES!$F$5:$F$1004,0)),"¿Lote?"))</f>
        <v/>
      </c>
      <c r="E2254" s="11" t="str">
        <f aca="false">IF(C2254="","",IFERROR(INDEX(LOTES!$C$5:$C$1004,MATCH(C2254,LOTES!$F$5:$F$1004,0)),""))</f>
        <v/>
      </c>
      <c r="F2254" s="24" t="str">
        <f aca="false">IF(C2254="","",IFERROR(INDEX(LOTES!$B$5:$B$1004,MATCH(C2254,LOTES!$F$5:$F$1004,0)),""))</f>
        <v/>
      </c>
      <c r="G2254" s="15" t="str">
        <f aca="false">IF(OR(B2254="",F2254=""),"",B2254-F2254)</f>
        <v/>
      </c>
      <c r="H2254" s="13"/>
      <c r="I2254" s="13"/>
      <c r="J2254" s="13"/>
      <c r="K2254" s="25"/>
      <c r="L2254" s="25"/>
      <c r="M2254" s="25"/>
      <c r="N2254" s="25"/>
      <c r="O2254" s="26"/>
      <c r="P2254" s="16" t="str">
        <f aca="false">IF(O2254="","",IFERROR(1/(1/(IF(K2254="",INDEX(CONFIG!$F$5:$F$14,MATCH(D2254,CONFIG!$D$5:$D$14,0)),K2254)*IF(M2254="",INDEX(CONFIG!$H$5:$H$14,MATCH(D2254,CONFIG!$D$5:$D$14,0)),M2254))),""))</f>
        <v/>
      </c>
      <c r="Q2254" s="16" t="str">
        <f aca="false">IF(OR(O2254="",P2254=""),"",O2254/P2254)</f>
        <v/>
      </c>
      <c r="R2254" s="16" t="str">
        <f aca="false">IF(Q2254="","",Q2254*0.0980665)</f>
        <v/>
      </c>
      <c r="S2254" s="16" t="str">
        <f aca="false">IF(Q2254="","",IFERROR(Q2254/(1/(1/INDEX(CONFIG!$I$5:$I$14,MATCH(D2254,CONFIG!$D$5:$D$14,0)))),""))</f>
        <v/>
      </c>
      <c r="T2254" s="13"/>
      <c r="U2254" s="13"/>
      <c r="V2254" s="13"/>
      <c r="W2254" s="13"/>
      <c r="X2254" s="22" t="str">
        <f aca="false">IF(Q2254="","",Q2254^2)</f>
        <v/>
      </c>
      <c r="Y2254" s="22" t="str">
        <f aca="false">IF(AND(C2254&lt;&gt;"",C2254=CERTIFICADO!$E$4,OR(CERTIFICADO!$E$5="",B2254=CERTIFICADO!$E$5)),MAX($Y$4:Y2253)+1,"")</f>
        <v/>
      </c>
    </row>
    <row r="2255" customFormat="false" ht="15" hidden="false" customHeight="false" outlineLevel="0" collapsed="false">
      <c r="A2255" s="11" t="str">
        <f aca="false">IF(C2255="","",ROW()-4)</f>
        <v/>
      </c>
      <c r="B2255" s="12"/>
      <c r="C2255" s="13"/>
      <c r="D2255" s="23" t="str">
        <f aca="false">IF(C2255="","",IFERROR(INDEX(LOTES!$D$5:$D$1004,MATCH(C2255,LOTES!$F$5:$F$1004,0)),"¿Lote?"))</f>
        <v/>
      </c>
      <c r="E2255" s="11" t="str">
        <f aca="false">IF(C2255="","",IFERROR(INDEX(LOTES!$C$5:$C$1004,MATCH(C2255,LOTES!$F$5:$F$1004,0)),""))</f>
        <v/>
      </c>
      <c r="F2255" s="24" t="str">
        <f aca="false">IF(C2255="","",IFERROR(INDEX(LOTES!$B$5:$B$1004,MATCH(C2255,LOTES!$F$5:$F$1004,0)),""))</f>
        <v/>
      </c>
      <c r="G2255" s="15" t="str">
        <f aca="false">IF(OR(B2255="",F2255=""),"",B2255-F2255)</f>
        <v/>
      </c>
      <c r="H2255" s="13"/>
      <c r="I2255" s="13"/>
      <c r="J2255" s="13"/>
      <c r="K2255" s="25"/>
      <c r="L2255" s="25"/>
      <c r="M2255" s="25"/>
      <c r="N2255" s="25"/>
      <c r="O2255" s="26"/>
      <c r="P2255" s="16" t="str">
        <f aca="false">IF(O2255="","",IFERROR(1/(1/(IF(K2255="",INDEX(CONFIG!$F$5:$F$14,MATCH(D2255,CONFIG!$D$5:$D$14,0)),K2255)*IF(M2255="",INDEX(CONFIG!$H$5:$H$14,MATCH(D2255,CONFIG!$D$5:$D$14,0)),M2255))),""))</f>
        <v/>
      </c>
      <c r="Q2255" s="16" t="str">
        <f aca="false">IF(OR(O2255="",P2255=""),"",O2255/P2255)</f>
        <v/>
      </c>
      <c r="R2255" s="16" t="str">
        <f aca="false">IF(Q2255="","",Q2255*0.0980665)</f>
        <v/>
      </c>
      <c r="S2255" s="16" t="str">
        <f aca="false">IF(Q2255="","",IFERROR(Q2255/(1/(1/INDEX(CONFIG!$I$5:$I$14,MATCH(D2255,CONFIG!$D$5:$D$14,0)))),""))</f>
        <v/>
      </c>
      <c r="T2255" s="13"/>
      <c r="U2255" s="13"/>
      <c r="V2255" s="13"/>
      <c r="W2255" s="13"/>
      <c r="X2255" s="22" t="str">
        <f aca="false">IF(Q2255="","",Q2255^2)</f>
        <v/>
      </c>
      <c r="Y2255" s="22" t="str">
        <f aca="false">IF(AND(C2255&lt;&gt;"",C2255=CERTIFICADO!$E$4,OR(CERTIFICADO!$E$5="",B2255=CERTIFICADO!$E$5)),MAX($Y$4:Y2254)+1,"")</f>
        <v/>
      </c>
    </row>
    <row r="2256" customFormat="false" ht="15" hidden="false" customHeight="false" outlineLevel="0" collapsed="false">
      <c r="A2256" s="11" t="str">
        <f aca="false">IF(C2256="","",ROW()-4)</f>
        <v/>
      </c>
      <c r="B2256" s="12"/>
      <c r="C2256" s="13"/>
      <c r="D2256" s="23" t="str">
        <f aca="false">IF(C2256="","",IFERROR(INDEX(LOTES!$D$5:$D$1004,MATCH(C2256,LOTES!$F$5:$F$1004,0)),"¿Lote?"))</f>
        <v/>
      </c>
      <c r="E2256" s="11" t="str">
        <f aca="false">IF(C2256="","",IFERROR(INDEX(LOTES!$C$5:$C$1004,MATCH(C2256,LOTES!$F$5:$F$1004,0)),""))</f>
        <v/>
      </c>
      <c r="F2256" s="24" t="str">
        <f aca="false">IF(C2256="","",IFERROR(INDEX(LOTES!$B$5:$B$1004,MATCH(C2256,LOTES!$F$5:$F$1004,0)),""))</f>
        <v/>
      </c>
      <c r="G2256" s="15" t="str">
        <f aca="false">IF(OR(B2256="",F2256=""),"",B2256-F2256)</f>
        <v/>
      </c>
      <c r="H2256" s="13"/>
      <c r="I2256" s="13"/>
      <c r="J2256" s="13"/>
      <c r="K2256" s="25"/>
      <c r="L2256" s="25"/>
      <c r="M2256" s="25"/>
      <c r="N2256" s="25"/>
      <c r="O2256" s="26"/>
      <c r="P2256" s="16" t="str">
        <f aca="false">IF(O2256="","",IFERROR(1/(1/(IF(K2256="",INDEX(CONFIG!$F$5:$F$14,MATCH(D2256,CONFIG!$D$5:$D$14,0)),K2256)*IF(M2256="",INDEX(CONFIG!$H$5:$H$14,MATCH(D2256,CONFIG!$D$5:$D$14,0)),M2256))),""))</f>
        <v/>
      </c>
      <c r="Q2256" s="16" t="str">
        <f aca="false">IF(OR(O2256="",P2256=""),"",O2256/P2256)</f>
        <v/>
      </c>
      <c r="R2256" s="16" t="str">
        <f aca="false">IF(Q2256="","",Q2256*0.0980665)</f>
        <v/>
      </c>
      <c r="S2256" s="16" t="str">
        <f aca="false">IF(Q2256="","",IFERROR(Q2256/(1/(1/INDEX(CONFIG!$I$5:$I$14,MATCH(D2256,CONFIG!$D$5:$D$14,0)))),""))</f>
        <v/>
      </c>
      <c r="T2256" s="13"/>
      <c r="U2256" s="13"/>
      <c r="V2256" s="13"/>
      <c r="W2256" s="13"/>
      <c r="X2256" s="22" t="str">
        <f aca="false">IF(Q2256="","",Q2256^2)</f>
        <v/>
      </c>
      <c r="Y2256" s="22" t="str">
        <f aca="false">IF(AND(C2256&lt;&gt;"",C2256=CERTIFICADO!$E$4,OR(CERTIFICADO!$E$5="",B2256=CERTIFICADO!$E$5)),MAX($Y$4:Y2255)+1,"")</f>
        <v/>
      </c>
    </row>
    <row r="2257" customFormat="false" ht="15" hidden="false" customHeight="false" outlineLevel="0" collapsed="false">
      <c r="A2257" s="11" t="str">
        <f aca="false">IF(C2257="","",ROW()-4)</f>
        <v/>
      </c>
      <c r="B2257" s="12"/>
      <c r="C2257" s="13"/>
      <c r="D2257" s="23" t="str">
        <f aca="false">IF(C2257="","",IFERROR(INDEX(LOTES!$D$5:$D$1004,MATCH(C2257,LOTES!$F$5:$F$1004,0)),"¿Lote?"))</f>
        <v/>
      </c>
      <c r="E2257" s="11" t="str">
        <f aca="false">IF(C2257="","",IFERROR(INDEX(LOTES!$C$5:$C$1004,MATCH(C2257,LOTES!$F$5:$F$1004,0)),""))</f>
        <v/>
      </c>
      <c r="F2257" s="24" t="str">
        <f aca="false">IF(C2257="","",IFERROR(INDEX(LOTES!$B$5:$B$1004,MATCH(C2257,LOTES!$F$5:$F$1004,0)),""))</f>
        <v/>
      </c>
      <c r="G2257" s="15" t="str">
        <f aca="false">IF(OR(B2257="",F2257=""),"",B2257-F2257)</f>
        <v/>
      </c>
      <c r="H2257" s="13"/>
      <c r="I2257" s="13"/>
      <c r="J2257" s="13"/>
      <c r="K2257" s="25"/>
      <c r="L2257" s="25"/>
      <c r="M2257" s="25"/>
      <c r="N2257" s="25"/>
      <c r="O2257" s="26"/>
      <c r="P2257" s="16" t="str">
        <f aca="false">IF(O2257="","",IFERROR(1/(1/(IF(K2257="",INDEX(CONFIG!$F$5:$F$14,MATCH(D2257,CONFIG!$D$5:$D$14,0)),K2257)*IF(M2257="",INDEX(CONFIG!$H$5:$H$14,MATCH(D2257,CONFIG!$D$5:$D$14,0)),M2257))),""))</f>
        <v/>
      </c>
      <c r="Q2257" s="16" t="str">
        <f aca="false">IF(OR(O2257="",P2257=""),"",O2257/P2257)</f>
        <v/>
      </c>
      <c r="R2257" s="16" t="str">
        <f aca="false">IF(Q2257="","",Q2257*0.0980665)</f>
        <v/>
      </c>
      <c r="S2257" s="16" t="str">
        <f aca="false">IF(Q2257="","",IFERROR(Q2257/(1/(1/INDEX(CONFIG!$I$5:$I$14,MATCH(D2257,CONFIG!$D$5:$D$14,0)))),""))</f>
        <v/>
      </c>
      <c r="T2257" s="13"/>
      <c r="U2257" s="13"/>
      <c r="V2257" s="13"/>
      <c r="W2257" s="13"/>
      <c r="X2257" s="22" t="str">
        <f aca="false">IF(Q2257="","",Q2257^2)</f>
        <v/>
      </c>
      <c r="Y2257" s="22" t="str">
        <f aca="false">IF(AND(C2257&lt;&gt;"",C2257=CERTIFICADO!$E$4,OR(CERTIFICADO!$E$5="",B2257=CERTIFICADO!$E$5)),MAX($Y$4:Y2256)+1,"")</f>
        <v/>
      </c>
    </row>
    <row r="2258" customFormat="false" ht="15" hidden="false" customHeight="false" outlineLevel="0" collapsed="false">
      <c r="A2258" s="11" t="str">
        <f aca="false">IF(C2258="","",ROW()-4)</f>
        <v/>
      </c>
      <c r="B2258" s="12"/>
      <c r="C2258" s="13"/>
      <c r="D2258" s="23" t="str">
        <f aca="false">IF(C2258="","",IFERROR(INDEX(LOTES!$D$5:$D$1004,MATCH(C2258,LOTES!$F$5:$F$1004,0)),"¿Lote?"))</f>
        <v/>
      </c>
      <c r="E2258" s="11" t="str">
        <f aca="false">IF(C2258="","",IFERROR(INDEX(LOTES!$C$5:$C$1004,MATCH(C2258,LOTES!$F$5:$F$1004,0)),""))</f>
        <v/>
      </c>
      <c r="F2258" s="24" t="str">
        <f aca="false">IF(C2258="","",IFERROR(INDEX(LOTES!$B$5:$B$1004,MATCH(C2258,LOTES!$F$5:$F$1004,0)),""))</f>
        <v/>
      </c>
      <c r="G2258" s="15" t="str">
        <f aca="false">IF(OR(B2258="",F2258=""),"",B2258-F2258)</f>
        <v/>
      </c>
      <c r="H2258" s="13"/>
      <c r="I2258" s="13"/>
      <c r="J2258" s="13"/>
      <c r="K2258" s="25"/>
      <c r="L2258" s="25"/>
      <c r="M2258" s="25"/>
      <c r="N2258" s="25"/>
      <c r="O2258" s="26"/>
      <c r="P2258" s="16" t="str">
        <f aca="false">IF(O2258="","",IFERROR(1/(1/(IF(K2258="",INDEX(CONFIG!$F$5:$F$14,MATCH(D2258,CONFIG!$D$5:$D$14,0)),K2258)*IF(M2258="",INDEX(CONFIG!$H$5:$H$14,MATCH(D2258,CONFIG!$D$5:$D$14,0)),M2258))),""))</f>
        <v/>
      </c>
      <c r="Q2258" s="16" t="str">
        <f aca="false">IF(OR(O2258="",P2258=""),"",O2258/P2258)</f>
        <v/>
      </c>
      <c r="R2258" s="16" t="str">
        <f aca="false">IF(Q2258="","",Q2258*0.0980665)</f>
        <v/>
      </c>
      <c r="S2258" s="16" t="str">
        <f aca="false">IF(Q2258="","",IFERROR(Q2258/(1/(1/INDEX(CONFIG!$I$5:$I$14,MATCH(D2258,CONFIG!$D$5:$D$14,0)))),""))</f>
        <v/>
      </c>
      <c r="T2258" s="13"/>
      <c r="U2258" s="13"/>
      <c r="V2258" s="13"/>
      <c r="W2258" s="13"/>
      <c r="X2258" s="22" t="str">
        <f aca="false">IF(Q2258="","",Q2258^2)</f>
        <v/>
      </c>
      <c r="Y2258" s="22" t="str">
        <f aca="false">IF(AND(C2258&lt;&gt;"",C2258=CERTIFICADO!$E$4,OR(CERTIFICADO!$E$5="",B2258=CERTIFICADO!$E$5)),MAX($Y$4:Y2257)+1,"")</f>
        <v/>
      </c>
    </row>
    <row r="2259" customFormat="false" ht="15" hidden="false" customHeight="false" outlineLevel="0" collapsed="false">
      <c r="A2259" s="11" t="str">
        <f aca="false">IF(C2259="","",ROW()-4)</f>
        <v/>
      </c>
      <c r="B2259" s="12"/>
      <c r="C2259" s="13"/>
      <c r="D2259" s="23" t="str">
        <f aca="false">IF(C2259="","",IFERROR(INDEX(LOTES!$D$5:$D$1004,MATCH(C2259,LOTES!$F$5:$F$1004,0)),"¿Lote?"))</f>
        <v/>
      </c>
      <c r="E2259" s="11" t="str">
        <f aca="false">IF(C2259="","",IFERROR(INDEX(LOTES!$C$5:$C$1004,MATCH(C2259,LOTES!$F$5:$F$1004,0)),""))</f>
        <v/>
      </c>
      <c r="F2259" s="24" t="str">
        <f aca="false">IF(C2259="","",IFERROR(INDEX(LOTES!$B$5:$B$1004,MATCH(C2259,LOTES!$F$5:$F$1004,0)),""))</f>
        <v/>
      </c>
      <c r="G2259" s="15" t="str">
        <f aca="false">IF(OR(B2259="",F2259=""),"",B2259-F2259)</f>
        <v/>
      </c>
      <c r="H2259" s="13"/>
      <c r="I2259" s="13"/>
      <c r="J2259" s="13"/>
      <c r="K2259" s="25"/>
      <c r="L2259" s="25"/>
      <c r="M2259" s="25"/>
      <c r="N2259" s="25"/>
      <c r="O2259" s="26"/>
      <c r="P2259" s="16" t="str">
        <f aca="false">IF(O2259="","",IFERROR(1/(1/(IF(K2259="",INDEX(CONFIG!$F$5:$F$14,MATCH(D2259,CONFIG!$D$5:$D$14,0)),K2259)*IF(M2259="",INDEX(CONFIG!$H$5:$H$14,MATCH(D2259,CONFIG!$D$5:$D$14,0)),M2259))),""))</f>
        <v/>
      </c>
      <c r="Q2259" s="16" t="str">
        <f aca="false">IF(OR(O2259="",P2259=""),"",O2259/P2259)</f>
        <v/>
      </c>
      <c r="R2259" s="16" t="str">
        <f aca="false">IF(Q2259="","",Q2259*0.0980665)</f>
        <v/>
      </c>
      <c r="S2259" s="16" t="str">
        <f aca="false">IF(Q2259="","",IFERROR(Q2259/(1/(1/INDEX(CONFIG!$I$5:$I$14,MATCH(D2259,CONFIG!$D$5:$D$14,0)))),""))</f>
        <v/>
      </c>
      <c r="T2259" s="13"/>
      <c r="U2259" s="13"/>
      <c r="V2259" s="13"/>
      <c r="W2259" s="13"/>
      <c r="X2259" s="22" t="str">
        <f aca="false">IF(Q2259="","",Q2259^2)</f>
        <v/>
      </c>
      <c r="Y2259" s="22" t="str">
        <f aca="false">IF(AND(C2259&lt;&gt;"",C2259=CERTIFICADO!$E$4,OR(CERTIFICADO!$E$5="",B2259=CERTIFICADO!$E$5)),MAX($Y$4:Y2258)+1,"")</f>
        <v/>
      </c>
    </row>
    <row r="2260" customFormat="false" ht="15" hidden="false" customHeight="false" outlineLevel="0" collapsed="false">
      <c r="A2260" s="11" t="str">
        <f aca="false">IF(C2260="","",ROW()-4)</f>
        <v/>
      </c>
      <c r="B2260" s="12"/>
      <c r="C2260" s="13"/>
      <c r="D2260" s="23" t="str">
        <f aca="false">IF(C2260="","",IFERROR(INDEX(LOTES!$D$5:$D$1004,MATCH(C2260,LOTES!$F$5:$F$1004,0)),"¿Lote?"))</f>
        <v/>
      </c>
      <c r="E2260" s="11" t="str">
        <f aca="false">IF(C2260="","",IFERROR(INDEX(LOTES!$C$5:$C$1004,MATCH(C2260,LOTES!$F$5:$F$1004,0)),""))</f>
        <v/>
      </c>
      <c r="F2260" s="24" t="str">
        <f aca="false">IF(C2260="","",IFERROR(INDEX(LOTES!$B$5:$B$1004,MATCH(C2260,LOTES!$F$5:$F$1004,0)),""))</f>
        <v/>
      </c>
      <c r="G2260" s="15" t="str">
        <f aca="false">IF(OR(B2260="",F2260=""),"",B2260-F2260)</f>
        <v/>
      </c>
      <c r="H2260" s="13"/>
      <c r="I2260" s="13"/>
      <c r="J2260" s="13"/>
      <c r="K2260" s="25"/>
      <c r="L2260" s="25"/>
      <c r="M2260" s="25"/>
      <c r="N2260" s="25"/>
      <c r="O2260" s="26"/>
      <c r="P2260" s="16" t="str">
        <f aca="false">IF(O2260="","",IFERROR(1/(1/(IF(K2260="",INDEX(CONFIG!$F$5:$F$14,MATCH(D2260,CONFIG!$D$5:$D$14,0)),K2260)*IF(M2260="",INDEX(CONFIG!$H$5:$H$14,MATCH(D2260,CONFIG!$D$5:$D$14,0)),M2260))),""))</f>
        <v/>
      </c>
      <c r="Q2260" s="16" t="str">
        <f aca="false">IF(OR(O2260="",P2260=""),"",O2260/P2260)</f>
        <v/>
      </c>
      <c r="R2260" s="16" t="str">
        <f aca="false">IF(Q2260="","",Q2260*0.0980665)</f>
        <v/>
      </c>
      <c r="S2260" s="16" t="str">
        <f aca="false">IF(Q2260="","",IFERROR(Q2260/(1/(1/INDEX(CONFIG!$I$5:$I$14,MATCH(D2260,CONFIG!$D$5:$D$14,0)))),""))</f>
        <v/>
      </c>
      <c r="T2260" s="13"/>
      <c r="U2260" s="13"/>
      <c r="V2260" s="13"/>
      <c r="W2260" s="13"/>
      <c r="X2260" s="22" t="str">
        <f aca="false">IF(Q2260="","",Q2260^2)</f>
        <v/>
      </c>
      <c r="Y2260" s="22" t="str">
        <f aca="false">IF(AND(C2260&lt;&gt;"",C2260=CERTIFICADO!$E$4,OR(CERTIFICADO!$E$5="",B2260=CERTIFICADO!$E$5)),MAX($Y$4:Y2259)+1,"")</f>
        <v/>
      </c>
    </row>
    <row r="2261" customFormat="false" ht="15" hidden="false" customHeight="false" outlineLevel="0" collapsed="false">
      <c r="A2261" s="11" t="str">
        <f aca="false">IF(C2261="","",ROW()-4)</f>
        <v/>
      </c>
      <c r="B2261" s="12"/>
      <c r="C2261" s="13"/>
      <c r="D2261" s="23" t="str">
        <f aca="false">IF(C2261="","",IFERROR(INDEX(LOTES!$D$5:$D$1004,MATCH(C2261,LOTES!$F$5:$F$1004,0)),"¿Lote?"))</f>
        <v/>
      </c>
      <c r="E2261" s="11" t="str">
        <f aca="false">IF(C2261="","",IFERROR(INDEX(LOTES!$C$5:$C$1004,MATCH(C2261,LOTES!$F$5:$F$1004,0)),""))</f>
        <v/>
      </c>
      <c r="F2261" s="24" t="str">
        <f aca="false">IF(C2261="","",IFERROR(INDEX(LOTES!$B$5:$B$1004,MATCH(C2261,LOTES!$F$5:$F$1004,0)),""))</f>
        <v/>
      </c>
      <c r="G2261" s="15" t="str">
        <f aca="false">IF(OR(B2261="",F2261=""),"",B2261-F2261)</f>
        <v/>
      </c>
      <c r="H2261" s="13"/>
      <c r="I2261" s="13"/>
      <c r="J2261" s="13"/>
      <c r="K2261" s="25"/>
      <c r="L2261" s="25"/>
      <c r="M2261" s="25"/>
      <c r="N2261" s="25"/>
      <c r="O2261" s="26"/>
      <c r="P2261" s="16" t="str">
        <f aca="false">IF(O2261="","",IFERROR(1/(1/(IF(K2261="",INDEX(CONFIG!$F$5:$F$14,MATCH(D2261,CONFIG!$D$5:$D$14,0)),K2261)*IF(M2261="",INDEX(CONFIG!$H$5:$H$14,MATCH(D2261,CONFIG!$D$5:$D$14,0)),M2261))),""))</f>
        <v/>
      </c>
      <c r="Q2261" s="16" t="str">
        <f aca="false">IF(OR(O2261="",P2261=""),"",O2261/P2261)</f>
        <v/>
      </c>
      <c r="R2261" s="16" t="str">
        <f aca="false">IF(Q2261="","",Q2261*0.0980665)</f>
        <v/>
      </c>
      <c r="S2261" s="16" t="str">
        <f aca="false">IF(Q2261="","",IFERROR(Q2261/(1/(1/INDEX(CONFIG!$I$5:$I$14,MATCH(D2261,CONFIG!$D$5:$D$14,0)))),""))</f>
        <v/>
      </c>
      <c r="T2261" s="13"/>
      <c r="U2261" s="13"/>
      <c r="V2261" s="13"/>
      <c r="W2261" s="13"/>
      <c r="X2261" s="22" t="str">
        <f aca="false">IF(Q2261="","",Q2261^2)</f>
        <v/>
      </c>
      <c r="Y2261" s="22" t="str">
        <f aca="false">IF(AND(C2261&lt;&gt;"",C2261=CERTIFICADO!$E$4,OR(CERTIFICADO!$E$5="",B2261=CERTIFICADO!$E$5)),MAX($Y$4:Y2260)+1,"")</f>
        <v/>
      </c>
    </row>
    <row r="2262" customFormat="false" ht="15" hidden="false" customHeight="false" outlineLevel="0" collapsed="false">
      <c r="A2262" s="11" t="str">
        <f aca="false">IF(C2262="","",ROW()-4)</f>
        <v/>
      </c>
      <c r="B2262" s="12"/>
      <c r="C2262" s="13"/>
      <c r="D2262" s="23" t="str">
        <f aca="false">IF(C2262="","",IFERROR(INDEX(LOTES!$D$5:$D$1004,MATCH(C2262,LOTES!$F$5:$F$1004,0)),"¿Lote?"))</f>
        <v/>
      </c>
      <c r="E2262" s="11" t="str">
        <f aca="false">IF(C2262="","",IFERROR(INDEX(LOTES!$C$5:$C$1004,MATCH(C2262,LOTES!$F$5:$F$1004,0)),""))</f>
        <v/>
      </c>
      <c r="F2262" s="24" t="str">
        <f aca="false">IF(C2262="","",IFERROR(INDEX(LOTES!$B$5:$B$1004,MATCH(C2262,LOTES!$F$5:$F$1004,0)),""))</f>
        <v/>
      </c>
      <c r="G2262" s="15" t="str">
        <f aca="false">IF(OR(B2262="",F2262=""),"",B2262-F2262)</f>
        <v/>
      </c>
      <c r="H2262" s="13"/>
      <c r="I2262" s="13"/>
      <c r="J2262" s="13"/>
      <c r="K2262" s="25"/>
      <c r="L2262" s="25"/>
      <c r="M2262" s="25"/>
      <c r="N2262" s="25"/>
      <c r="O2262" s="26"/>
      <c r="P2262" s="16" t="str">
        <f aca="false">IF(O2262="","",IFERROR(1/(1/(IF(K2262="",INDEX(CONFIG!$F$5:$F$14,MATCH(D2262,CONFIG!$D$5:$D$14,0)),K2262)*IF(M2262="",INDEX(CONFIG!$H$5:$H$14,MATCH(D2262,CONFIG!$D$5:$D$14,0)),M2262))),""))</f>
        <v/>
      </c>
      <c r="Q2262" s="16" t="str">
        <f aca="false">IF(OR(O2262="",P2262=""),"",O2262/P2262)</f>
        <v/>
      </c>
      <c r="R2262" s="16" t="str">
        <f aca="false">IF(Q2262="","",Q2262*0.0980665)</f>
        <v/>
      </c>
      <c r="S2262" s="16" t="str">
        <f aca="false">IF(Q2262="","",IFERROR(Q2262/(1/(1/INDEX(CONFIG!$I$5:$I$14,MATCH(D2262,CONFIG!$D$5:$D$14,0)))),""))</f>
        <v/>
      </c>
      <c r="T2262" s="13"/>
      <c r="U2262" s="13"/>
      <c r="V2262" s="13"/>
      <c r="W2262" s="13"/>
      <c r="X2262" s="22" t="str">
        <f aca="false">IF(Q2262="","",Q2262^2)</f>
        <v/>
      </c>
      <c r="Y2262" s="22" t="str">
        <f aca="false">IF(AND(C2262&lt;&gt;"",C2262=CERTIFICADO!$E$4,OR(CERTIFICADO!$E$5="",B2262=CERTIFICADO!$E$5)),MAX($Y$4:Y2261)+1,"")</f>
        <v/>
      </c>
    </row>
    <row r="2263" customFormat="false" ht="15" hidden="false" customHeight="false" outlineLevel="0" collapsed="false">
      <c r="A2263" s="11" t="str">
        <f aca="false">IF(C2263="","",ROW()-4)</f>
        <v/>
      </c>
      <c r="B2263" s="12"/>
      <c r="C2263" s="13"/>
      <c r="D2263" s="23" t="str">
        <f aca="false">IF(C2263="","",IFERROR(INDEX(LOTES!$D$5:$D$1004,MATCH(C2263,LOTES!$F$5:$F$1004,0)),"¿Lote?"))</f>
        <v/>
      </c>
      <c r="E2263" s="11" t="str">
        <f aca="false">IF(C2263="","",IFERROR(INDEX(LOTES!$C$5:$C$1004,MATCH(C2263,LOTES!$F$5:$F$1004,0)),""))</f>
        <v/>
      </c>
      <c r="F2263" s="24" t="str">
        <f aca="false">IF(C2263="","",IFERROR(INDEX(LOTES!$B$5:$B$1004,MATCH(C2263,LOTES!$F$5:$F$1004,0)),""))</f>
        <v/>
      </c>
      <c r="G2263" s="15" t="str">
        <f aca="false">IF(OR(B2263="",F2263=""),"",B2263-F2263)</f>
        <v/>
      </c>
      <c r="H2263" s="13"/>
      <c r="I2263" s="13"/>
      <c r="J2263" s="13"/>
      <c r="K2263" s="25"/>
      <c r="L2263" s="25"/>
      <c r="M2263" s="25"/>
      <c r="N2263" s="25"/>
      <c r="O2263" s="26"/>
      <c r="P2263" s="16" t="str">
        <f aca="false">IF(O2263="","",IFERROR(1/(1/(IF(K2263="",INDEX(CONFIG!$F$5:$F$14,MATCH(D2263,CONFIG!$D$5:$D$14,0)),K2263)*IF(M2263="",INDEX(CONFIG!$H$5:$H$14,MATCH(D2263,CONFIG!$D$5:$D$14,0)),M2263))),""))</f>
        <v/>
      </c>
      <c r="Q2263" s="16" t="str">
        <f aca="false">IF(OR(O2263="",P2263=""),"",O2263/P2263)</f>
        <v/>
      </c>
      <c r="R2263" s="16" t="str">
        <f aca="false">IF(Q2263="","",Q2263*0.0980665)</f>
        <v/>
      </c>
      <c r="S2263" s="16" t="str">
        <f aca="false">IF(Q2263="","",IFERROR(Q2263/(1/(1/INDEX(CONFIG!$I$5:$I$14,MATCH(D2263,CONFIG!$D$5:$D$14,0)))),""))</f>
        <v/>
      </c>
      <c r="T2263" s="13"/>
      <c r="U2263" s="13"/>
      <c r="V2263" s="13"/>
      <c r="W2263" s="13"/>
      <c r="X2263" s="22" t="str">
        <f aca="false">IF(Q2263="","",Q2263^2)</f>
        <v/>
      </c>
      <c r="Y2263" s="22" t="str">
        <f aca="false">IF(AND(C2263&lt;&gt;"",C2263=CERTIFICADO!$E$4,OR(CERTIFICADO!$E$5="",B2263=CERTIFICADO!$E$5)),MAX($Y$4:Y2262)+1,"")</f>
        <v/>
      </c>
    </row>
    <row r="2264" customFormat="false" ht="15" hidden="false" customHeight="false" outlineLevel="0" collapsed="false">
      <c r="A2264" s="11" t="str">
        <f aca="false">IF(C2264="","",ROW()-4)</f>
        <v/>
      </c>
      <c r="B2264" s="12"/>
      <c r="C2264" s="13"/>
      <c r="D2264" s="23" t="str">
        <f aca="false">IF(C2264="","",IFERROR(INDEX(LOTES!$D$5:$D$1004,MATCH(C2264,LOTES!$F$5:$F$1004,0)),"¿Lote?"))</f>
        <v/>
      </c>
      <c r="E2264" s="11" t="str">
        <f aca="false">IF(C2264="","",IFERROR(INDEX(LOTES!$C$5:$C$1004,MATCH(C2264,LOTES!$F$5:$F$1004,0)),""))</f>
        <v/>
      </c>
      <c r="F2264" s="24" t="str">
        <f aca="false">IF(C2264="","",IFERROR(INDEX(LOTES!$B$5:$B$1004,MATCH(C2264,LOTES!$F$5:$F$1004,0)),""))</f>
        <v/>
      </c>
      <c r="G2264" s="15" t="str">
        <f aca="false">IF(OR(B2264="",F2264=""),"",B2264-F2264)</f>
        <v/>
      </c>
      <c r="H2264" s="13"/>
      <c r="I2264" s="13"/>
      <c r="J2264" s="13"/>
      <c r="K2264" s="25"/>
      <c r="L2264" s="25"/>
      <c r="M2264" s="25"/>
      <c r="N2264" s="25"/>
      <c r="O2264" s="26"/>
      <c r="P2264" s="16" t="str">
        <f aca="false">IF(O2264="","",IFERROR(1/(1/(IF(K2264="",INDEX(CONFIG!$F$5:$F$14,MATCH(D2264,CONFIG!$D$5:$D$14,0)),K2264)*IF(M2264="",INDEX(CONFIG!$H$5:$H$14,MATCH(D2264,CONFIG!$D$5:$D$14,0)),M2264))),""))</f>
        <v/>
      </c>
      <c r="Q2264" s="16" t="str">
        <f aca="false">IF(OR(O2264="",P2264=""),"",O2264/P2264)</f>
        <v/>
      </c>
      <c r="R2264" s="16" t="str">
        <f aca="false">IF(Q2264="","",Q2264*0.0980665)</f>
        <v/>
      </c>
      <c r="S2264" s="16" t="str">
        <f aca="false">IF(Q2264="","",IFERROR(Q2264/(1/(1/INDEX(CONFIG!$I$5:$I$14,MATCH(D2264,CONFIG!$D$5:$D$14,0)))),""))</f>
        <v/>
      </c>
      <c r="T2264" s="13"/>
      <c r="U2264" s="13"/>
      <c r="V2264" s="13"/>
      <c r="W2264" s="13"/>
      <c r="X2264" s="22" t="str">
        <f aca="false">IF(Q2264="","",Q2264^2)</f>
        <v/>
      </c>
      <c r="Y2264" s="22" t="str">
        <f aca="false">IF(AND(C2264&lt;&gt;"",C2264=CERTIFICADO!$E$4,OR(CERTIFICADO!$E$5="",B2264=CERTIFICADO!$E$5)),MAX($Y$4:Y2263)+1,"")</f>
        <v/>
      </c>
    </row>
    <row r="2265" customFormat="false" ht="15" hidden="false" customHeight="false" outlineLevel="0" collapsed="false">
      <c r="A2265" s="11" t="str">
        <f aca="false">IF(C2265="","",ROW()-4)</f>
        <v/>
      </c>
      <c r="B2265" s="12"/>
      <c r="C2265" s="13"/>
      <c r="D2265" s="23" t="str">
        <f aca="false">IF(C2265="","",IFERROR(INDEX(LOTES!$D$5:$D$1004,MATCH(C2265,LOTES!$F$5:$F$1004,0)),"¿Lote?"))</f>
        <v/>
      </c>
      <c r="E2265" s="11" t="str">
        <f aca="false">IF(C2265="","",IFERROR(INDEX(LOTES!$C$5:$C$1004,MATCH(C2265,LOTES!$F$5:$F$1004,0)),""))</f>
        <v/>
      </c>
      <c r="F2265" s="24" t="str">
        <f aca="false">IF(C2265="","",IFERROR(INDEX(LOTES!$B$5:$B$1004,MATCH(C2265,LOTES!$F$5:$F$1004,0)),""))</f>
        <v/>
      </c>
      <c r="G2265" s="15" t="str">
        <f aca="false">IF(OR(B2265="",F2265=""),"",B2265-F2265)</f>
        <v/>
      </c>
      <c r="H2265" s="13"/>
      <c r="I2265" s="13"/>
      <c r="J2265" s="13"/>
      <c r="K2265" s="25"/>
      <c r="L2265" s="25"/>
      <c r="M2265" s="25"/>
      <c r="N2265" s="25"/>
      <c r="O2265" s="26"/>
      <c r="P2265" s="16" t="str">
        <f aca="false">IF(O2265="","",IFERROR(1/(1/(IF(K2265="",INDEX(CONFIG!$F$5:$F$14,MATCH(D2265,CONFIG!$D$5:$D$14,0)),K2265)*IF(M2265="",INDEX(CONFIG!$H$5:$H$14,MATCH(D2265,CONFIG!$D$5:$D$14,0)),M2265))),""))</f>
        <v/>
      </c>
      <c r="Q2265" s="16" t="str">
        <f aca="false">IF(OR(O2265="",P2265=""),"",O2265/P2265)</f>
        <v/>
      </c>
      <c r="R2265" s="16" t="str">
        <f aca="false">IF(Q2265="","",Q2265*0.0980665)</f>
        <v/>
      </c>
      <c r="S2265" s="16" t="str">
        <f aca="false">IF(Q2265="","",IFERROR(Q2265/(1/(1/INDEX(CONFIG!$I$5:$I$14,MATCH(D2265,CONFIG!$D$5:$D$14,0)))),""))</f>
        <v/>
      </c>
      <c r="T2265" s="13"/>
      <c r="U2265" s="13"/>
      <c r="V2265" s="13"/>
      <c r="W2265" s="13"/>
      <c r="X2265" s="22" t="str">
        <f aca="false">IF(Q2265="","",Q2265^2)</f>
        <v/>
      </c>
      <c r="Y2265" s="22" t="str">
        <f aca="false">IF(AND(C2265&lt;&gt;"",C2265=CERTIFICADO!$E$4,OR(CERTIFICADO!$E$5="",B2265=CERTIFICADO!$E$5)),MAX($Y$4:Y2264)+1,"")</f>
        <v/>
      </c>
    </row>
    <row r="2266" customFormat="false" ht="15" hidden="false" customHeight="false" outlineLevel="0" collapsed="false">
      <c r="A2266" s="11" t="str">
        <f aca="false">IF(C2266="","",ROW()-4)</f>
        <v/>
      </c>
      <c r="B2266" s="12"/>
      <c r="C2266" s="13"/>
      <c r="D2266" s="23" t="str">
        <f aca="false">IF(C2266="","",IFERROR(INDEX(LOTES!$D$5:$D$1004,MATCH(C2266,LOTES!$F$5:$F$1004,0)),"¿Lote?"))</f>
        <v/>
      </c>
      <c r="E2266" s="11" t="str">
        <f aca="false">IF(C2266="","",IFERROR(INDEX(LOTES!$C$5:$C$1004,MATCH(C2266,LOTES!$F$5:$F$1004,0)),""))</f>
        <v/>
      </c>
      <c r="F2266" s="24" t="str">
        <f aca="false">IF(C2266="","",IFERROR(INDEX(LOTES!$B$5:$B$1004,MATCH(C2266,LOTES!$F$5:$F$1004,0)),""))</f>
        <v/>
      </c>
      <c r="G2266" s="15" t="str">
        <f aca="false">IF(OR(B2266="",F2266=""),"",B2266-F2266)</f>
        <v/>
      </c>
      <c r="H2266" s="13"/>
      <c r="I2266" s="13"/>
      <c r="J2266" s="13"/>
      <c r="K2266" s="25"/>
      <c r="L2266" s="25"/>
      <c r="M2266" s="25"/>
      <c r="N2266" s="25"/>
      <c r="O2266" s="26"/>
      <c r="P2266" s="16" t="str">
        <f aca="false">IF(O2266="","",IFERROR(1/(1/(IF(K2266="",INDEX(CONFIG!$F$5:$F$14,MATCH(D2266,CONFIG!$D$5:$D$14,0)),K2266)*IF(M2266="",INDEX(CONFIG!$H$5:$H$14,MATCH(D2266,CONFIG!$D$5:$D$14,0)),M2266))),""))</f>
        <v/>
      </c>
      <c r="Q2266" s="16" t="str">
        <f aca="false">IF(OR(O2266="",P2266=""),"",O2266/P2266)</f>
        <v/>
      </c>
      <c r="R2266" s="16" t="str">
        <f aca="false">IF(Q2266="","",Q2266*0.0980665)</f>
        <v/>
      </c>
      <c r="S2266" s="16" t="str">
        <f aca="false">IF(Q2266="","",IFERROR(Q2266/(1/(1/INDEX(CONFIG!$I$5:$I$14,MATCH(D2266,CONFIG!$D$5:$D$14,0)))),""))</f>
        <v/>
      </c>
      <c r="T2266" s="13"/>
      <c r="U2266" s="13"/>
      <c r="V2266" s="13"/>
      <c r="W2266" s="13"/>
      <c r="X2266" s="22" t="str">
        <f aca="false">IF(Q2266="","",Q2266^2)</f>
        <v/>
      </c>
      <c r="Y2266" s="22" t="str">
        <f aca="false">IF(AND(C2266&lt;&gt;"",C2266=CERTIFICADO!$E$4,OR(CERTIFICADO!$E$5="",B2266=CERTIFICADO!$E$5)),MAX($Y$4:Y2265)+1,"")</f>
        <v/>
      </c>
    </row>
    <row r="2267" customFormat="false" ht="15" hidden="false" customHeight="false" outlineLevel="0" collapsed="false">
      <c r="A2267" s="11" t="str">
        <f aca="false">IF(C2267="","",ROW()-4)</f>
        <v/>
      </c>
      <c r="B2267" s="12"/>
      <c r="C2267" s="13"/>
      <c r="D2267" s="23" t="str">
        <f aca="false">IF(C2267="","",IFERROR(INDEX(LOTES!$D$5:$D$1004,MATCH(C2267,LOTES!$F$5:$F$1004,0)),"¿Lote?"))</f>
        <v/>
      </c>
      <c r="E2267" s="11" t="str">
        <f aca="false">IF(C2267="","",IFERROR(INDEX(LOTES!$C$5:$C$1004,MATCH(C2267,LOTES!$F$5:$F$1004,0)),""))</f>
        <v/>
      </c>
      <c r="F2267" s="24" t="str">
        <f aca="false">IF(C2267="","",IFERROR(INDEX(LOTES!$B$5:$B$1004,MATCH(C2267,LOTES!$F$5:$F$1004,0)),""))</f>
        <v/>
      </c>
      <c r="G2267" s="15" t="str">
        <f aca="false">IF(OR(B2267="",F2267=""),"",B2267-F2267)</f>
        <v/>
      </c>
      <c r="H2267" s="13"/>
      <c r="I2267" s="13"/>
      <c r="J2267" s="13"/>
      <c r="K2267" s="25"/>
      <c r="L2267" s="25"/>
      <c r="M2267" s="25"/>
      <c r="N2267" s="25"/>
      <c r="O2267" s="26"/>
      <c r="P2267" s="16" t="str">
        <f aca="false">IF(O2267="","",IFERROR(1/(1/(IF(K2267="",INDEX(CONFIG!$F$5:$F$14,MATCH(D2267,CONFIG!$D$5:$D$14,0)),K2267)*IF(M2267="",INDEX(CONFIG!$H$5:$H$14,MATCH(D2267,CONFIG!$D$5:$D$14,0)),M2267))),""))</f>
        <v/>
      </c>
      <c r="Q2267" s="16" t="str">
        <f aca="false">IF(OR(O2267="",P2267=""),"",O2267/P2267)</f>
        <v/>
      </c>
      <c r="R2267" s="16" t="str">
        <f aca="false">IF(Q2267="","",Q2267*0.0980665)</f>
        <v/>
      </c>
      <c r="S2267" s="16" t="str">
        <f aca="false">IF(Q2267="","",IFERROR(Q2267/(1/(1/INDEX(CONFIG!$I$5:$I$14,MATCH(D2267,CONFIG!$D$5:$D$14,0)))),""))</f>
        <v/>
      </c>
      <c r="T2267" s="13"/>
      <c r="U2267" s="13"/>
      <c r="V2267" s="13"/>
      <c r="W2267" s="13"/>
      <c r="X2267" s="22" t="str">
        <f aca="false">IF(Q2267="","",Q2267^2)</f>
        <v/>
      </c>
      <c r="Y2267" s="22" t="str">
        <f aca="false">IF(AND(C2267&lt;&gt;"",C2267=CERTIFICADO!$E$4,OR(CERTIFICADO!$E$5="",B2267=CERTIFICADO!$E$5)),MAX($Y$4:Y2266)+1,"")</f>
        <v/>
      </c>
    </row>
    <row r="2268" customFormat="false" ht="15" hidden="false" customHeight="false" outlineLevel="0" collapsed="false">
      <c r="A2268" s="11" t="str">
        <f aca="false">IF(C2268="","",ROW()-4)</f>
        <v/>
      </c>
      <c r="B2268" s="12"/>
      <c r="C2268" s="13"/>
      <c r="D2268" s="23" t="str">
        <f aca="false">IF(C2268="","",IFERROR(INDEX(LOTES!$D$5:$D$1004,MATCH(C2268,LOTES!$F$5:$F$1004,0)),"¿Lote?"))</f>
        <v/>
      </c>
      <c r="E2268" s="11" t="str">
        <f aca="false">IF(C2268="","",IFERROR(INDEX(LOTES!$C$5:$C$1004,MATCH(C2268,LOTES!$F$5:$F$1004,0)),""))</f>
        <v/>
      </c>
      <c r="F2268" s="24" t="str">
        <f aca="false">IF(C2268="","",IFERROR(INDEX(LOTES!$B$5:$B$1004,MATCH(C2268,LOTES!$F$5:$F$1004,0)),""))</f>
        <v/>
      </c>
      <c r="G2268" s="15" t="str">
        <f aca="false">IF(OR(B2268="",F2268=""),"",B2268-F2268)</f>
        <v/>
      </c>
      <c r="H2268" s="13"/>
      <c r="I2268" s="13"/>
      <c r="J2268" s="13"/>
      <c r="K2268" s="25"/>
      <c r="L2268" s="25"/>
      <c r="M2268" s="25"/>
      <c r="N2268" s="25"/>
      <c r="O2268" s="26"/>
      <c r="P2268" s="16" t="str">
        <f aca="false">IF(O2268="","",IFERROR(1/(1/(IF(K2268="",INDEX(CONFIG!$F$5:$F$14,MATCH(D2268,CONFIG!$D$5:$D$14,0)),K2268)*IF(M2268="",INDEX(CONFIG!$H$5:$H$14,MATCH(D2268,CONFIG!$D$5:$D$14,0)),M2268))),""))</f>
        <v/>
      </c>
      <c r="Q2268" s="16" t="str">
        <f aca="false">IF(OR(O2268="",P2268=""),"",O2268/P2268)</f>
        <v/>
      </c>
      <c r="R2268" s="16" t="str">
        <f aca="false">IF(Q2268="","",Q2268*0.0980665)</f>
        <v/>
      </c>
      <c r="S2268" s="16" t="str">
        <f aca="false">IF(Q2268="","",IFERROR(Q2268/(1/(1/INDEX(CONFIG!$I$5:$I$14,MATCH(D2268,CONFIG!$D$5:$D$14,0)))),""))</f>
        <v/>
      </c>
      <c r="T2268" s="13"/>
      <c r="U2268" s="13"/>
      <c r="V2268" s="13"/>
      <c r="W2268" s="13"/>
      <c r="X2268" s="22" t="str">
        <f aca="false">IF(Q2268="","",Q2268^2)</f>
        <v/>
      </c>
      <c r="Y2268" s="22" t="str">
        <f aca="false">IF(AND(C2268&lt;&gt;"",C2268=CERTIFICADO!$E$4,OR(CERTIFICADO!$E$5="",B2268=CERTIFICADO!$E$5)),MAX($Y$4:Y2267)+1,"")</f>
        <v/>
      </c>
    </row>
    <row r="2269" customFormat="false" ht="15" hidden="false" customHeight="false" outlineLevel="0" collapsed="false">
      <c r="A2269" s="11" t="str">
        <f aca="false">IF(C2269="","",ROW()-4)</f>
        <v/>
      </c>
      <c r="B2269" s="12"/>
      <c r="C2269" s="13"/>
      <c r="D2269" s="23" t="str">
        <f aca="false">IF(C2269="","",IFERROR(INDEX(LOTES!$D$5:$D$1004,MATCH(C2269,LOTES!$F$5:$F$1004,0)),"¿Lote?"))</f>
        <v/>
      </c>
      <c r="E2269" s="11" t="str">
        <f aca="false">IF(C2269="","",IFERROR(INDEX(LOTES!$C$5:$C$1004,MATCH(C2269,LOTES!$F$5:$F$1004,0)),""))</f>
        <v/>
      </c>
      <c r="F2269" s="24" t="str">
        <f aca="false">IF(C2269="","",IFERROR(INDEX(LOTES!$B$5:$B$1004,MATCH(C2269,LOTES!$F$5:$F$1004,0)),""))</f>
        <v/>
      </c>
      <c r="G2269" s="15" t="str">
        <f aca="false">IF(OR(B2269="",F2269=""),"",B2269-F2269)</f>
        <v/>
      </c>
      <c r="H2269" s="13"/>
      <c r="I2269" s="13"/>
      <c r="J2269" s="13"/>
      <c r="K2269" s="25"/>
      <c r="L2269" s="25"/>
      <c r="M2269" s="25"/>
      <c r="N2269" s="25"/>
      <c r="O2269" s="26"/>
      <c r="P2269" s="16" t="str">
        <f aca="false">IF(O2269="","",IFERROR(1/(1/(IF(K2269="",INDEX(CONFIG!$F$5:$F$14,MATCH(D2269,CONFIG!$D$5:$D$14,0)),K2269)*IF(M2269="",INDEX(CONFIG!$H$5:$H$14,MATCH(D2269,CONFIG!$D$5:$D$14,0)),M2269))),""))</f>
        <v/>
      </c>
      <c r="Q2269" s="16" t="str">
        <f aca="false">IF(OR(O2269="",P2269=""),"",O2269/P2269)</f>
        <v/>
      </c>
      <c r="R2269" s="16" t="str">
        <f aca="false">IF(Q2269="","",Q2269*0.0980665)</f>
        <v/>
      </c>
      <c r="S2269" s="16" t="str">
        <f aca="false">IF(Q2269="","",IFERROR(Q2269/(1/(1/INDEX(CONFIG!$I$5:$I$14,MATCH(D2269,CONFIG!$D$5:$D$14,0)))),""))</f>
        <v/>
      </c>
      <c r="T2269" s="13"/>
      <c r="U2269" s="13"/>
      <c r="V2269" s="13"/>
      <c r="W2269" s="13"/>
      <c r="X2269" s="22" t="str">
        <f aca="false">IF(Q2269="","",Q2269^2)</f>
        <v/>
      </c>
      <c r="Y2269" s="22" t="str">
        <f aca="false">IF(AND(C2269&lt;&gt;"",C2269=CERTIFICADO!$E$4,OR(CERTIFICADO!$E$5="",B2269=CERTIFICADO!$E$5)),MAX($Y$4:Y2268)+1,"")</f>
        <v/>
      </c>
    </row>
    <row r="2270" customFormat="false" ht="15" hidden="false" customHeight="false" outlineLevel="0" collapsed="false">
      <c r="A2270" s="11" t="str">
        <f aca="false">IF(C2270="","",ROW()-4)</f>
        <v/>
      </c>
      <c r="B2270" s="12"/>
      <c r="C2270" s="13"/>
      <c r="D2270" s="23" t="str">
        <f aca="false">IF(C2270="","",IFERROR(INDEX(LOTES!$D$5:$D$1004,MATCH(C2270,LOTES!$F$5:$F$1004,0)),"¿Lote?"))</f>
        <v/>
      </c>
      <c r="E2270" s="11" t="str">
        <f aca="false">IF(C2270="","",IFERROR(INDEX(LOTES!$C$5:$C$1004,MATCH(C2270,LOTES!$F$5:$F$1004,0)),""))</f>
        <v/>
      </c>
      <c r="F2270" s="24" t="str">
        <f aca="false">IF(C2270="","",IFERROR(INDEX(LOTES!$B$5:$B$1004,MATCH(C2270,LOTES!$F$5:$F$1004,0)),""))</f>
        <v/>
      </c>
      <c r="G2270" s="15" t="str">
        <f aca="false">IF(OR(B2270="",F2270=""),"",B2270-F2270)</f>
        <v/>
      </c>
      <c r="H2270" s="13"/>
      <c r="I2270" s="13"/>
      <c r="J2270" s="13"/>
      <c r="K2270" s="25"/>
      <c r="L2270" s="25"/>
      <c r="M2270" s="25"/>
      <c r="N2270" s="25"/>
      <c r="O2270" s="26"/>
      <c r="P2270" s="16" t="str">
        <f aca="false">IF(O2270="","",IFERROR(1/(1/(IF(K2270="",INDEX(CONFIG!$F$5:$F$14,MATCH(D2270,CONFIG!$D$5:$D$14,0)),K2270)*IF(M2270="",INDEX(CONFIG!$H$5:$H$14,MATCH(D2270,CONFIG!$D$5:$D$14,0)),M2270))),""))</f>
        <v/>
      </c>
      <c r="Q2270" s="16" t="str">
        <f aca="false">IF(OR(O2270="",P2270=""),"",O2270/P2270)</f>
        <v/>
      </c>
      <c r="R2270" s="16" t="str">
        <f aca="false">IF(Q2270="","",Q2270*0.0980665)</f>
        <v/>
      </c>
      <c r="S2270" s="16" t="str">
        <f aca="false">IF(Q2270="","",IFERROR(Q2270/(1/(1/INDEX(CONFIG!$I$5:$I$14,MATCH(D2270,CONFIG!$D$5:$D$14,0)))),""))</f>
        <v/>
      </c>
      <c r="T2270" s="13"/>
      <c r="U2270" s="13"/>
      <c r="V2270" s="13"/>
      <c r="W2270" s="13"/>
      <c r="X2270" s="22" t="str">
        <f aca="false">IF(Q2270="","",Q2270^2)</f>
        <v/>
      </c>
      <c r="Y2270" s="22" t="str">
        <f aca="false">IF(AND(C2270&lt;&gt;"",C2270=CERTIFICADO!$E$4,OR(CERTIFICADO!$E$5="",B2270=CERTIFICADO!$E$5)),MAX($Y$4:Y2269)+1,"")</f>
        <v/>
      </c>
    </row>
    <row r="2271" customFormat="false" ht="15" hidden="false" customHeight="false" outlineLevel="0" collapsed="false">
      <c r="A2271" s="11" t="str">
        <f aca="false">IF(C2271="","",ROW()-4)</f>
        <v/>
      </c>
      <c r="B2271" s="12"/>
      <c r="C2271" s="13"/>
      <c r="D2271" s="23" t="str">
        <f aca="false">IF(C2271="","",IFERROR(INDEX(LOTES!$D$5:$D$1004,MATCH(C2271,LOTES!$F$5:$F$1004,0)),"¿Lote?"))</f>
        <v/>
      </c>
      <c r="E2271" s="11" t="str">
        <f aca="false">IF(C2271="","",IFERROR(INDEX(LOTES!$C$5:$C$1004,MATCH(C2271,LOTES!$F$5:$F$1004,0)),""))</f>
        <v/>
      </c>
      <c r="F2271" s="24" t="str">
        <f aca="false">IF(C2271="","",IFERROR(INDEX(LOTES!$B$5:$B$1004,MATCH(C2271,LOTES!$F$5:$F$1004,0)),""))</f>
        <v/>
      </c>
      <c r="G2271" s="15" t="str">
        <f aca="false">IF(OR(B2271="",F2271=""),"",B2271-F2271)</f>
        <v/>
      </c>
      <c r="H2271" s="13"/>
      <c r="I2271" s="13"/>
      <c r="J2271" s="13"/>
      <c r="K2271" s="25"/>
      <c r="L2271" s="25"/>
      <c r="M2271" s="25"/>
      <c r="N2271" s="25"/>
      <c r="O2271" s="26"/>
      <c r="P2271" s="16" t="str">
        <f aca="false">IF(O2271="","",IFERROR(1/(1/(IF(K2271="",INDEX(CONFIG!$F$5:$F$14,MATCH(D2271,CONFIG!$D$5:$D$14,0)),K2271)*IF(M2271="",INDEX(CONFIG!$H$5:$H$14,MATCH(D2271,CONFIG!$D$5:$D$14,0)),M2271))),""))</f>
        <v/>
      </c>
      <c r="Q2271" s="16" t="str">
        <f aca="false">IF(OR(O2271="",P2271=""),"",O2271/P2271)</f>
        <v/>
      </c>
      <c r="R2271" s="16" t="str">
        <f aca="false">IF(Q2271="","",Q2271*0.0980665)</f>
        <v/>
      </c>
      <c r="S2271" s="16" t="str">
        <f aca="false">IF(Q2271="","",IFERROR(Q2271/(1/(1/INDEX(CONFIG!$I$5:$I$14,MATCH(D2271,CONFIG!$D$5:$D$14,0)))),""))</f>
        <v/>
      </c>
      <c r="T2271" s="13"/>
      <c r="U2271" s="13"/>
      <c r="V2271" s="13"/>
      <c r="W2271" s="13"/>
      <c r="X2271" s="22" t="str">
        <f aca="false">IF(Q2271="","",Q2271^2)</f>
        <v/>
      </c>
      <c r="Y2271" s="22" t="str">
        <f aca="false">IF(AND(C2271&lt;&gt;"",C2271=CERTIFICADO!$E$4,OR(CERTIFICADO!$E$5="",B2271=CERTIFICADO!$E$5)),MAX($Y$4:Y2270)+1,"")</f>
        <v/>
      </c>
    </row>
    <row r="2272" customFormat="false" ht="15" hidden="false" customHeight="false" outlineLevel="0" collapsed="false">
      <c r="A2272" s="11" t="str">
        <f aca="false">IF(C2272="","",ROW()-4)</f>
        <v/>
      </c>
      <c r="B2272" s="12"/>
      <c r="C2272" s="13"/>
      <c r="D2272" s="23" t="str">
        <f aca="false">IF(C2272="","",IFERROR(INDEX(LOTES!$D$5:$D$1004,MATCH(C2272,LOTES!$F$5:$F$1004,0)),"¿Lote?"))</f>
        <v/>
      </c>
      <c r="E2272" s="11" t="str">
        <f aca="false">IF(C2272="","",IFERROR(INDEX(LOTES!$C$5:$C$1004,MATCH(C2272,LOTES!$F$5:$F$1004,0)),""))</f>
        <v/>
      </c>
      <c r="F2272" s="24" t="str">
        <f aca="false">IF(C2272="","",IFERROR(INDEX(LOTES!$B$5:$B$1004,MATCH(C2272,LOTES!$F$5:$F$1004,0)),""))</f>
        <v/>
      </c>
      <c r="G2272" s="15" t="str">
        <f aca="false">IF(OR(B2272="",F2272=""),"",B2272-F2272)</f>
        <v/>
      </c>
      <c r="H2272" s="13"/>
      <c r="I2272" s="13"/>
      <c r="J2272" s="13"/>
      <c r="K2272" s="25"/>
      <c r="L2272" s="25"/>
      <c r="M2272" s="25"/>
      <c r="N2272" s="25"/>
      <c r="O2272" s="26"/>
      <c r="P2272" s="16" t="str">
        <f aca="false">IF(O2272="","",IFERROR(1/(1/(IF(K2272="",INDEX(CONFIG!$F$5:$F$14,MATCH(D2272,CONFIG!$D$5:$D$14,0)),K2272)*IF(M2272="",INDEX(CONFIG!$H$5:$H$14,MATCH(D2272,CONFIG!$D$5:$D$14,0)),M2272))),""))</f>
        <v/>
      </c>
      <c r="Q2272" s="16" t="str">
        <f aca="false">IF(OR(O2272="",P2272=""),"",O2272/P2272)</f>
        <v/>
      </c>
      <c r="R2272" s="16" t="str">
        <f aca="false">IF(Q2272="","",Q2272*0.0980665)</f>
        <v/>
      </c>
      <c r="S2272" s="16" t="str">
        <f aca="false">IF(Q2272="","",IFERROR(Q2272/(1/(1/INDEX(CONFIG!$I$5:$I$14,MATCH(D2272,CONFIG!$D$5:$D$14,0)))),""))</f>
        <v/>
      </c>
      <c r="T2272" s="13"/>
      <c r="U2272" s="13"/>
      <c r="V2272" s="13"/>
      <c r="W2272" s="13"/>
      <c r="X2272" s="22" t="str">
        <f aca="false">IF(Q2272="","",Q2272^2)</f>
        <v/>
      </c>
      <c r="Y2272" s="22" t="str">
        <f aca="false">IF(AND(C2272&lt;&gt;"",C2272=CERTIFICADO!$E$4,OR(CERTIFICADO!$E$5="",B2272=CERTIFICADO!$E$5)),MAX($Y$4:Y2271)+1,"")</f>
        <v/>
      </c>
    </row>
    <row r="2273" customFormat="false" ht="15" hidden="false" customHeight="false" outlineLevel="0" collapsed="false">
      <c r="A2273" s="11" t="str">
        <f aca="false">IF(C2273="","",ROW()-4)</f>
        <v/>
      </c>
      <c r="B2273" s="12"/>
      <c r="C2273" s="13"/>
      <c r="D2273" s="23" t="str">
        <f aca="false">IF(C2273="","",IFERROR(INDEX(LOTES!$D$5:$D$1004,MATCH(C2273,LOTES!$F$5:$F$1004,0)),"¿Lote?"))</f>
        <v/>
      </c>
      <c r="E2273" s="11" t="str">
        <f aca="false">IF(C2273="","",IFERROR(INDEX(LOTES!$C$5:$C$1004,MATCH(C2273,LOTES!$F$5:$F$1004,0)),""))</f>
        <v/>
      </c>
      <c r="F2273" s="24" t="str">
        <f aca="false">IF(C2273="","",IFERROR(INDEX(LOTES!$B$5:$B$1004,MATCH(C2273,LOTES!$F$5:$F$1004,0)),""))</f>
        <v/>
      </c>
      <c r="G2273" s="15" t="str">
        <f aca="false">IF(OR(B2273="",F2273=""),"",B2273-F2273)</f>
        <v/>
      </c>
      <c r="H2273" s="13"/>
      <c r="I2273" s="13"/>
      <c r="J2273" s="13"/>
      <c r="K2273" s="25"/>
      <c r="L2273" s="25"/>
      <c r="M2273" s="25"/>
      <c r="N2273" s="25"/>
      <c r="O2273" s="26"/>
      <c r="P2273" s="16" t="str">
        <f aca="false">IF(O2273="","",IFERROR(1/(1/(IF(K2273="",INDEX(CONFIG!$F$5:$F$14,MATCH(D2273,CONFIG!$D$5:$D$14,0)),K2273)*IF(M2273="",INDEX(CONFIG!$H$5:$H$14,MATCH(D2273,CONFIG!$D$5:$D$14,0)),M2273))),""))</f>
        <v/>
      </c>
      <c r="Q2273" s="16" t="str">
        <f aca="false">IF(OR(O2273="",P2273=""),"",O2273/P2273)</f>
        <v/>
      </c>
      <c r="R2273" s="16" t="str">
        <f aca="false">IF(Q2273="","",Q2273*0.0980665)</f>
        <v/>
      </c>
      <c r="S2273" s="16" t="str">
        <f aca="false">IF(Q2273="","",IFERROR(Q2273/(1/(1/INDEX(CONFIG!$I$5:$I$14,MATCH(D2273,CONFIG!$D$5:$D$14,0)))),""))</f>
        <v/>
      </c>
      <c r="T2273" s="13"/>
      <c r="U2273" s="13"/>
      <c r="V2273" s="13"/>
      <c r="W2273" s="13"/>
      <c r="X2273" s="22" t="str">
        <f aca="false">IF(Q2273="","",Q2273^2)</f>
        <v/>
      </c>
      <c r="Y2273" s="22" t="str">
        <f aca="false">IF(AND(C2273&lt;&gt;"",C2273=CERTIFICADO!$E$4,OR(CERTIFICADO!$E$5="",B2273=CERTIFICADO!$E$5)),MAX($Y$4:Y2272)+1,"")</f>
        <v/>
      </c>
    </row>
    <row r="2274" customFormat="false" ht="15" hidden="false" customHeight="false" outlineLevel="0" collapsed="false">
      <c r="A2274" s="11" t="str">
        <f aca="false">IF(C2274="","",ROW()-4)</f>
        <v/>
      </c>
      <c r="B2274" s="12"/>
      <c r="C2274" s="13"/>
      <c r="D2274" s="23" t="str">
        <f aca="false">IF(C2274="","",IFERROR(INDEX(LOTES!$D$5:$D$1004,MATCH(C2274,LOTES!$F$5:$F$1004,0)),"¿Lote?"))</f>
        <v/>
      </c>
      <c r="E2274" s="11" t="str">
        <f aca="false">IF(C2274="","",IFERROR(INDEX(LOTES!$C$5:$C$1004,MATCH(C2274,LOTES!$F$5:$F$1004,0)),""))</f>
        <v/>
      </c>
      <c r="F2274" s="24" t="str">
        <f aca="false">IF(C2274="","",IFERROR(INDEX(LOTES!$B$5:$B$1004,MATCH(C2274,LOTES!$F$5:$F$1004,0)),""))</f>
        <v/>
      </c>
      <c r="G2274" s="15" t="str">
        <f aca="false">IF(OR(B2274="",F2274=""),"",B2274-F2274)</f>
        <v/>
      </c>
      <c r="H2274" s="13"/>
      <c r="I2274" s="13"/>
      <c r="J2274" s="13"/>
      <c r="K2274" s="25"/>
      <c r="L2274" s="25"/>
      <c r="M2274" s="25"/>
      <c r="N2274" s="25"/>
      <c r="O2274" s="26"/>
      <c r="P2274" s="16" t="str">
        <f aca="false">IF(O2274="","",IFERROR(1/(1/(IF(K2274="",INDEX(CONFIG!$F$5:$F$14,MATCH(D2274,CONFIG!$D$5:$D$14,0)),K2274)*IF(M2274="",INDEX(CONFIG!$H$5:$H$14,MATCH(D2274,CONFIG!$D$5:$D$14,0)),M2274))),""))</f>
        <v/>
      </c>
      <c r="Q2274" s="16" t="str">
        <f aca="false">IF(OR(O2274="",P2274=""),"",O2274/P2274)</f>
        <v/>
      </c>
      <c r="R2274" s="16" t="str">
        <f aca="false">IF(Q2274="","",Q2274*0.0980665)</f>
        <v/>
      </c>
      <c r="S2274" s="16" t="str">
        <f aca="false">IF(Q2274="","",IFERROR(Q2274/(1/(1/INDEX(CONFIG!$I$5:$I$14,MATCH(D2274,CONFIG!$D$5:$D$14,0)))),""))</f>
        <v/>
      </c>
      <c r="T2274" s="13"/>
      <c r="U2274" s="13"/>
      <c r="V2274" s="13"/>
      <c r="W2274" s="13"/>
      <c r="X2274" s="22" t="str">
        <f aca="false">IF(Q2274="","",Q2274^2)</f>
        <v/>
      </c>
      <c r="Y2274" s="22" t="str">
        <f aca="false">IF(AND(C2274&lt;&gt;"",C2274=CERTIFICADO!$E$4,OR(CERTIFICADO!$E$5="",B2274=CERTIFICADO!$E$5)),MAX($Y$4:Y2273)+1,"")</f>
        <v/>
      </c>
    </row>
    <row r="2275" customFormat="false" ht="15" hidden="false" customHeight="false" outlineLevel="0" collapsed="false">
      <c r="A2275" s="11" t="str">
        <f aca="false">IF(C2275="","",ROW()-4)</f>
        <v/>
      </c>
      <c r="B2275" s="12"/>
      <c r="C2275" s="13"/>
      <c r="D2275" s="23" t="str">
        <f aca="false">IF(C2275="","",IFERROR(INDEX(LOTES!$D$5:$D$1004,MATCH(C2275,LOTES!$F$5:$F$1004,0)),"¿Lote?"))</f>
        <v/>
      </c>
      <c r="E2275" s="11" t="str">
        <f aca="false">IF(C2275="","",IFERROR(INDEX(LOTES!$C$5:$C$1004,MATCH(C2275,LOTES!$F$5:$F$1004,0)),""))</f>
        <v/>
      </c>
      <c r="F2275" s="24" t="str">
        <f aca="false">IF(C2275="","",IFERROR(INDEX(LOTES!$B$5:$B$1004,MATCH(C2275,LOTES!$F$5:$F$1004,0)),""))</f>
        <v/>
      </c>
      <c r="G2275" s="15" t="str">
        <f aca="false">IF(OR(B2275="",F2275=""),"",B2275-F2275)</f>
        <v/>
      </c>
      <c r="H2275" s="13"/>
      <c r="I2275" s="13"/>
      <c r="J2275" s="13"/>
      <c r="K2275" s="25"/>
      <c r="L2275" s="25"/>
      <c r="M2275" s="25"/>
      <c r="N2275" s="25"/>
      <c r="O2275" s="26"/>
      <c r="P2275" s="16" t="str">
        <f aca="false">IF(O2275="","",IFERROR(1/(1/(IF(K2275="",INDEX(CONFIG!$F$5:$F$14,MATCH(D2275,CONFIG!$D$5:$D$14,0)),K2275)*IF(M2275="",INDEX(CONFIG!$H$5:$H$14,MATCH(D2275,CONFIG!$D$5:$D$14,0)),M2275))),""))</f>
        <v/>
      </c>
      <c r="Q2275" s="16" t="str">
        <f aca="false">IF(OR(O2275="",P2275=""),"",O2275/P2275)</f>
        <v/>
      </c>
      <c r="R2275" s="16" t="str">
        <f aca="false">IF(Q2275="","",Q2275*0.0980665)</f>
        <v/>
      </c>
      <c r="S2275" s="16" t="str">
        <f aca="false">IF(Q2275="","",IFERROR(Q2275/(1/(1/INDEX(CONFIG!$I$5:$I$14,MATCH(D2275,CONFIG!$D$5:$D$14,0)))),""))</f>
        <v/>
      </c>
      <c r="T2275" s="13"/>
      <c r="U2275" s="13"/>
      <c r="V2275" s="13"/>
      <c r="W2275" s="13"/>
      <c r="X2275" s="22" t="str">
        <f aca="false">IF(Q2275="","",Q2275^2)</f>
        <v/>
      </c>
      <c r="Y2275" s="22" t="str">
        <f aca="false">IF(AND(C2275&lt;&gt;"",C2275=CERTIFICADO!$E$4,OR(CERTIFICADO!$E$5="",B2275=CERTIFICADO!$E$5)),MAX($Y$4:Y2274)+1,"")</f>
        <v/>
      </c>
    </row>
    <row r="2276" customFormat="false" ht="15" hidden="false" customHeight="false" outlineLevel="0" collapsed="false">
      <c r="A2276" s="11" t="str">
        <f aca="false">IF(C2276="","",ROW()-4)</f>
        <v/>
      </c>
      <c r="B2276" s="12"/>
      <c r="C2276" s="13"/>
      <c r="D2276" s="23" t="str">
        <f aca="false">IF(C2276="","",IFERROR(INDEX(LOTES!$D$5:$D$1004,MATCH(C2276,LOTES!$F$5:$F$1004,0)),"¿Lote?"))</f>
        <v/>
      </c>
      <c r="E2276" s="11" t="str">
        <f aca="false">IF(C2276="","",IFERROR(INDEX(LOTES!$C$5:$C$1004,MATCH(C2276,LOTES!$F$5:$F$1004,0)),""))</f>
        <v/>
      </c>
      <c r="F2276" s="24" t="str">
        <f aca="false">IF(C2276="","",IFERROR(INDEX(LOTES!$B$5:$B$1004,MATCH(C2276,LOTES!$F$5:$F$1004,0)),""))</f>
        <v/>
      </c>
      <c r="G2276" s="15" t="str">
        <f aca="false">IF(OR(B2276="",F2276=""),"",B2276-F2276)</f>
        <v/>
      </c>
      <c r="H2276" s="13"/>
      <c r="I2276" s="13"/>
      <c r="J2276" s="13"/>
      <c r="K2276" s="25"/>
      <c r="L2276" s="25"/>
      <c r="M2276" s="25"/>
      <c r="N2276" s="25"/>
      <c r="O2276" s="26"/>
      <c r="P2276" s="16" t="str">
        <f aca="false">IF(O2276="","",IFERROR(1/(1/(IF(K2276="",INDEX(CONFIG!$F$5:$F$14,MATCH(D2276,CONFIG!$D$5:$D$14,0)),K2276)*IF(M2276="",INDEX(CONFIG!$H$5:$H$14,MATCH(D2276,CONFIG!$D$5:$D$14,0)),M2276))),""))</f>
        <v/>
      </c>
      <c r="Q2276" s="16" t="str">
        <f aca="false">IF(OR(O2276="",P2276=""),"",O2276/P2276)</f>
        <v/>
      </c>
      <c r="R2276" s="16" t="str">
        <f aca="false">IF(Q2276="","",Q2276*0.0980665)</f>
        <v/>
      </c>
      <c r="S2276" s="16" t="str">
        <f aca="false">IF(Q2276="","",IFERROR(Q2276/(1/(1/INDEX(CONFIG!$I$5:$I$14,MATCH(D2276,CONFIG!$D$5:$D$14,0)))),""))</f>
        <v/>
      </c>
      <c r="T2276" s="13"/>
      <c r="U2276" s="13"/>
      <c r="V2276" s="13"/>
      <c r="W2276" s="13"/>
      <c r="X2276" s="22" t="str">
        <f aca="false">IF(Q2276="","",Q2276^2)</f>
        <v/>
      </c>
      <c r="Y2276" s="22" t="str">
        <f aca="false">IF(AND(C2276&lt;&gt;"",C2276=CERTIFICADO!$E$4,OR(CERTIFICADO!$E$5="",B2276=CERTIFICADO!$E$5)),MAX($Y$4:Y2275)+1,"")</f>
        <v/>
      </c>
    </row>
    <row r="2277" customFormat="false" ht="15" hidden="false" customHeight="false" outlineLevel="0" collapsed="false">
      <c r="A2277" s="11" t="str">
        <f aca="false">IF(C2277="","",ROW()-4)</f>
        <v/>
      </c>
      <c r="B2277" s="12"/>
      <c r="C2277" s="13"/>
      <c r="D2277" s="23" t="str">
        <f aca="false">IF(C2277="","",IFERROR(INDEX(LOTES!$D$5:$D$1004,MATCH(C2277,LOTES!$F$5:$F$1004,0)),"¿Lote?"))</f>
        <v/>
      </c>
      <c r="E2277" s="11" t="str">
        <f aca="false">IF(C2277="","",IFERROR(INDEX(LOTES!$C$5:$C$1004,MATCH(C2277,LOTES!$F$5:$F$1004,0)),""))</f>
        <v/>
      </c>
      <c r="F2277" s="24" t="str">
        <f aca="false">IF(C2277="","",IFERROR(INDEX(LOTES!$B$5:$B$1004,MATCH(C2277,LOTES!$F$5:$F$1004,0)),""))</f>
        <v/>
      </c>
      <c r="G2277" s="15" t="str">
        <f aca="false">IF(OR(B2277="",F2277=""),"",B2277-F2277)</f>
        <v/>
      </c>
      <c r="H2277" s="13"/>
      <c r="I2277" s="13"/>
      <c r="J2277" s="13"/>
      <c r="K2277" s="25"/>
      <c r="L2277" s="25"/>
      <c r="M2277" s="25"/>
      <c r="N2277" s="25"/>
      <c r="O2277" s="26"/>
      <c r="P2277" s="16" t="str">
        <f aca="false">IF(O2277="","",IFERROR(1/(1/(IF(K2277="",INDEX(CONFIG!$F$5:$F$14,MATCH(D2277,CONFIG!$D$5:$D$14,0)),K2277)*IF(M2277="",INDEX(CONFIG!$H$5:$H$14,MATCH(D2277,CONFIG!$D$5:$D$14,0)),M2277))),""))</f>
        <v/>
      </c>
      <c r="Q2277" s="16" t="str">
        <f aca="false">IF(OR(O2277="",P2277=""),"",O2277/P2277)</f>
        <v/>
      </c>
      <c r="R2277" s="16" t="str">
        <f aca="false">IF(Q2277="","",Q2277*0.0980665)</f>
        <v/>
      </c>
      <c r="S2277" s="16" t="str">
        <f aca="false">IF(Q2277="","",IFERROR(Q2277/(1/(1/INDEX(CONFIG!$I$5:$I$14,MATCH(D2277,CONFIG!$D$5:$D$14,0)))),""))</f>
        <v/>
      </c>
      <c r="T2277" s="13"/>
      <c r="U2277" s="13"/>
      <c r="V2277" s="13"/>
      <c r="W2277" s="13"/>
      <c r="X2277" s="22" t="str">
        <f aca="false">IF(Q2277="","",Q2277^2)</f>
        <v/>
      </c>
      <c r="Y2277" s="22" t="str">
        <f aca="false">IF(AND(C2277&lt;&gt;"",C2277=CERTIFICADO!$E$4,OR(CERTIFICADO!$E$5="",B2277=CERTIFICADO!$E$5)),MAX($Y$4:Y2276)+1,"")</f>
        <v/>
      </c>
    </row>
    <row r="2278" customFormat="false" ht="15" hidden="false" customHeight="false" outlineLevel="0" collapsed="false">
      <c r="A2278" s="11" t="str">
        <f aca="false">IF(C2278="","",ROW()-4)</f>
        <v/>
      </c>
      <c r="B2278" s="12"/>
      <c r="C2278" s="13"/>
      <c r="D2278" s="23" t="str">
        <f aca="false">IF(C2278="","",IFERROR(INDEX(LOTES!$D$5:$D$1004,MATCH(C2278,LOTES!$F$5:$F$1004,0)),"¿Lote?"))</f>
        <v/>
      </c>
      <c r="E2278" s="11" t="str">
        <f aca="false">IF(C2278="","",IFERROR(INDEX(LOTES!$C$5:$C$1004,MATCH(C2278,LOTES!$F$5:$F$1004,0)),""))</f>
        <v/>
      </c>
      <c r="F2278" s="24" t="str">
        <f aca="false">IF(C2278="","",IFERROR(INDEX(LOTES!$B$5:$B$1004,MATCH(C2278,LOTES!$F$5:$F$1004,0)),""))</f>
        <v/>
      </c>
      <c r="G2278" s="15" t="str">
        <f aca="false">IF(OR(B2278="",F2278=""),"",B2278-F2278)</f>
        <v/>
      </c>
      <c r="H2278" s="13"/>
      <c r="I2278" s="13"/>
      <c r="J2278" s="13"/>
      <c r="K2278" s="25"/>
      <c r="L2278" s="25"/>
      <c r="M2278" s="25"/>
      <c r="N2278" s="25"/>
      <c r="O2278" s="26"/>
      <c r="P2278" s="16" t="str">
        <f aca="false">IF(O2278="","",IFERROR(1/(1/(IF(K2278="",INDEX(CONFIG!$F$5:$F$14,MATCH(D2278,CONFIG!$D$5:$D$14,0)),K2278)*IF(M2278="",INDEX(CONFIG!$H$5:$H$14,MATCH(D2278,CONFIG!$D$5:$D$14,0)),M2278))),""))</f>
        <v/>
      </c>
      <c r="Q2278" s="16" t="str">
        <f aca="false">IF(OR(O2278="",P2278=""),"",O2278/P2278)</f>
        <v/>
      </c>
      <c r="R2278" s="16" t="str">
        <f aca="false">IF(Q2278="","",Q2278*0.0980665)</f>
        <v/>
      </c>
      <c r="S2278" s="16" t="str">
        <f aca="false">IF(Q2278="","",IFERROR(Q2278/(1/(1/INDEX(CONFIG!$I$5:$I$14,MATCH(D2278,CONFIG!$D$5:$D$14,0)))),""))</f>
        <v/>
      </c>
      <c r="T2278" s="13"/>
      <c r="U2278" s="13"/>
      <c r="V2278" s="13"/>
      <c r="W2278" s="13"/>
      <c r="X2278" s="22" t="str">
        <f aca="false">IF(Q2278="","",Q2278^2)</f>
        <v/>
      </c>
      <c r="Y2278" s="22" t="str">
        <f aca="false">IF(AND(C2278&lt;&gt;"",C2278=CERTIFICADO!$E$4,OR(CERTIFICADO!$E$5="",B2278=CERTIFICADO!$E$5)),MAX($Y$4:Y2277)+1,"")</f>
        <v/>
      </c>
    </row>
    <row r="2279" customFormat="false" ht="15" hidden="false" customHeight="false" outlineLevel="0" collapsed="false">
      <c r="A2279" s="11" t="str">
        <f aca="false">IF(C2279="","",ROW()-4)</f>
        <v/>
      </c>
      <c r="B2279" s="12"/>
      <c r="C2279" s="13"/>
      <c r="D2279" s="23" t="str">
        <f aca="false">IF(C2279="","",IFERROR(INDEX(LOTES!$D$5:$D$1004,MATCH(C2279,LOTES!$F$5:$F$1004,0)),"¿Lote?"))</f>
        <v/>
      </c>
      <c r="E2279" s="11" t="str">
        <f aca="false">IF(C2279="","",IFERROR(INDEX(LOTES!$C$5:$C$1004,MATCH(C2279,LOTES!$F$5:$F$1004,0)),""))</f>
        <v/>
      </c>
      <c r="F2279" s="24" t="str">
        <f aca="false">IF(C2279="","",IFERROR(INDEX(LOTES!$B$5:$B$1004,MATCH(C2279,LOTES!$F$5:$F$1004,0)),""))</f>
        <v/>
      </c>
      <c r="G2279" s="15" t="str">
        <f aca="false">IF(OR(B2279="",F2279=""),"",B2279-F2279)</f>
        <v/>
      </c>
      <c r="H2279" s="13"/>
      <c r="I2279" s="13"/>
      <c r="J2279" s="13"/>
      <c r="K2279" s="25"/>
      <c r="L2279" s="25"/>
      <c r="M2279" s="25"/>
      <c r="N2279" s="25"/>
      <c r="O2279" s="26"/>
      <c r="P2279" s="16" t="str">
        <f aca="false">IF(O2279="","",IFERROR(1/(1/(IF(K2279="",INDEX(CONFIG!$F$5:$F$14,MATCH(D2279,CONFIG!$D$5:$D$14,0)),K2279)*IF(M2279="",INDEX(CONFIG!$H$5:$H$14,MATCH(D2279,CONFIG!$D$5:$D$14,0)),M2279))),""))</f>
        <v/>
      </c>
      <c r="Q2279" s="16" t="str">
        <f aca="false">IF(OR(O2279="",P2279=""),"",O2279/P2279)</f>
        <v/>
      </c>
      <c r="R2279" s="16" t="str">
        <f aca="false">IF(Q2279="","",Q2279*0.0980665)</f>
        <v/>
      </c>
      <c r="S2279" s="16" t="str">
        <f aca="false">IF(Q2279="","",IFERROR(Q2279/(1/(1/INDEX(CONFIG!$I$5:$I$14,MATCH(D2279,CONFIG!$D$5:$D$14,0)))),""))</f>
        <v/>
      </c>
      <c r="T2279" s="13"/>
      <c r="U2279" s="13"/>
      <c r="V2279" s="13"/>
      <c r="W2279" s="13"/>
      <c r="X2279" s="22" t="str">
        <f aca="false">IF(Q2279="","",Q2279^2)</f>
        <v/>
      </c>
      <c r="Y2279" s="22" t="str">
        <f aca="false">IF(AND(C2279&lt;&gt;"",C2279=CERTIFICADO!$E$4,OR(CERTIFICADO!$E$5="",B2279=CERTIFICADO!$E$5)),MAX($Y$4:Y2278)+1,"")</f>
        <v/>
      </c>
    </row>
    <row r="2280" customFormat="false" ht="15" hidden="false" customHeight="false" outlineLevel="0" collapsed="false">
      <c r="A2280" s="11" t="str">
        <f aca="false">IF(C2280="","",ROW()-4)</f>
        <v/>
      </c>
      <c r="B2280" s="12"/>
      <c r="C2280" s="13"/>
      <c r="D2280" s="23" t="str">
        <f aca="false">IF(C2280="","",IFERROR(INDEX(LOTES!$D$5:$D$1004,MATCH(C2280,LOTES!$F$5:$F$1004,0)),"¿Lote?"))</f>
        <v/>
      </c>
      <c r="E2280" s="11" t="str">
        <f aca="false">IF(C2280="","",IFERROR(INDEX(LOTES!$C$5:$C$1004,MATCH(C2280,LOTES!$F$5:$F$1004,0)),""))</f>
        <v/>
      </c>
      <c r="F2280" s="24" t="str">
        <f aca="false">IF(C2280="","",IFERROR(INDEX(LOTES!$B$5:$B$1004,MATCH(C2280,LOTES!$F$5:$F$1004,0)),""))</f>
        <v/>
      </c>
      <c r="G2280" s="15" t="str">
        <f aca="false">IF(OR(B2280="",F2280=""),"",B2280-F2280)</f>
        <v/>
      </c>
      <c r="H2280" s="13"/>
      <c r="I2280" s="13"/>
      <c r="J2280" s="13"/>
      <c r="K2280" s="25"/>
      <c r="L2280" s="25"/>
      <c r="M2280" s="25"/>
      <c r="N2280" s="25"/>
      <c r="O2280" s="26"/>
      <c r="P2280" s="16" t="str">
        <f aca="false">IF(O2280="","",IFERROR(1/(1/(IF(K2280="",INDEX(CONFIG!$F$5:$F$14,MATCH(D2280,CONFIG!$D$5:$D$14,0)),K2280)*IF(M2280="",INDEX(CONFIG!$H$5:$H$14,MATCH(D2280,CONFIG!$D$5:$D$14,0)),M2280))),""))</f>
        <v/>
      </c>
      <c r="Q2280" s="16" t="str">
        <f aca="false">IF(OR(O2280="",P2280=""),"",O2280/P2280)</f>
        <v/>
      </c>
      <c r="R2280" s="16" t="str">
        <f aca="false">IF(Q2280="","",Q2280*0.0980665)</f>
        <v/>
      </c>
      <c r="S2280" s="16" t="str">
        <f aca="false">IF(Q2280="","",IFERROR(Q2280/(1/(1/INDEX(CONFIG!$I$5:$I$14,MATCH(D2280,CONFIG!$D$5:$D$14,0)))),""))</f>
        <v/>
      </c>
      <c r="T2280" s="13"/>
      <c r="U2280" s="13"/>
      <c r="V2280" s="13"/>
      <c r="W2280" s="13"/>
      <c r="X2280" s="22" t="str">
        <f aca="false">IF(Q2280="","",Q2280^2)</f>
        <v/>
      </c>
      <c r="Y2280" s="22" t="str">
        <f aca="false">IF(AND(C2280&lt;&gt;"",C2280=CERTIFICADO!$E$4,OR(CERTIFICADO!$E$5="",B2280=CERTIFICADO!$E$5)),MAX($Y$4:Y2279)+1,"")</f>
        <v/>
      </c>
    </row>
    <row r="2281" customFormat="false" ht="15" hidden="false" customHeight="false" outlineLevel="0" collapsed="false">
      <c r="A2281" s="11" t="str">
        <f aca="false">IF(C2281="","",ROW()-4)</f>
        <v/>
      </c>
      <c r="B2281" s="12"/>
      <c r="C2281" s="13"/>
      <c r="D2281" s="23" t="str">
        <f aca="false">IF(C2281="","",IFERROR(INDEX(LOTES!$D$5:$D$1004,MATCH(C2281,LOTES!$F$5:$F$1004,0)),"¿Lote?"))</f>
        <v/>
      </c>
      <c r="E2281" s="11" t="str">
        <f aca="false">IF(C2281="","",IFERROR(INDEX(LOTES!$C$5:$C$1004,MATCH(C2281,LOTES!$F$5:$F$1004,0)),""))</f>
        <v/>
      </c>
      <c r="F2281" s="24" t="str">
        <f aca="false">IF(C2281="","",IFERROR(INDEX(LOTES!$B$5:$B$1004,MATCH(C2281,LOTES!$F$5:$F$1004,0)),""))</f>
        <v/>
      </c>
      <c r="G2281" s="15" t="str">
        <f aca="false">IF(OR(B2281="",F2281=""),"",B2281-F2281)</f>
        <v/>
      </c>
      <c r="H2281" s="13"/>
      <c r="I2281" s="13"/>
      <c r="J2281" s="13"/>
      <c r="K2281" s="25"/>
      <c r="L2281" s="25"/>
      <c r="M2281" s="25"/>
      <c r="N2281" s="25"/>
      <c r="O2281" s="26"/>
      <c r="P2281" s="16" t="str">
        <f aca="false">IF(O2281="","",IFERROR(1/(1/(IF(K2281="",INDEX(CONFIG!$F$5:$F$14,MATCH(D2281,CONFIG!$D$5:$D$14,0)),K2281)*IF(M2281="",INDEX(CONFIG!$H$5:$H$14,MATCH(D2281,CONFIG!$D$5:$D$14,0)),M2281))),""))</f>
        <v/>
      </c>
      <c r="Q2281" s="16" t="str">
        <f aca="false">IF(OR(O2281="",P2281=""),"",O2281/P2281)</f>
        <v/>
      </c>
      <c r="R2281" s="16" t="str">
        <f aca="false">IF(Q2281="","",Q2281*0.0980665)</f>
        <v/>
      </c>
      <c r="S2281" s="16" t="str">
        <f aca="false">IF(Q2281="","",IFERROR(Q2281/(1/(1/INDEX(CONFIG!$I$5:$I$14,MATCH(D2281,CONFIG!$D$5:$D$14,0)))),""))</f>
        <v/>
      </c>
      <c r="T2281" s="13"/>
      <c r="U2281" s="13"/>
      <c r="V2281" s="13"/>
      <c r="W2281" s="13"/>
      <c r="X2281" s="22" t="str">
        <f aca="false">IF(Q2281="","",Q2281^2)</f>
        <v/>
      </c>
      <c r="Y2281" s="22" t="str">
        <f aca="false">IF(AND(C2281&lt;&gt;"",C2281=CERTIFICADO!$E$4,OR(CERTIFICADO!$E$5="",B2281=CERTIFICADO!$E$5)),MAX($Y$4:Y2280)+1,"")</f>
        <v/>
      </c>
    </row>
    <row r="2282" customFormat="false" ht="15" hidden="false" customHeight="false" outlineLevel="0" collapsed="false">
      <c r="A2282" s="11" t="str">
        <f aca="false">IF(C2282="","",ROW()-4)</f>
        <v/>
      </c>
      <c r="B2282" s="12"/>
      <c r="C2282" s="13"/>
      <c r="D2282" s="23" t="str">
        <f aca="false">IF(C2282="","",IFERROR(INDEX(LOTES!$D$5:$D$1004,MATCH(C2282,LOTES!$F$5:$F$1004,0)),"¿Lote?"))</f>
        <v/>
      </c>
      <c r="E2282" s="11" t="str">
        <f aca="false">IF(C2282="","",IFERROR(INDEX(LOTES!$C$5:$C$1004,MATCH(C2282,LOTES!$F$5:$F$1004,0)),""))</f>
        <v/>
      </c>
      <c r="F2282" s="24" t="str">
        <f aca="false">IF(C2282="","",IFERROR(INDEX(LOTES!$B$5:$B$1004,MATCH(C2282,LOTES!$F$5:$F$1004,0)),""))</f>
        <v/>
      </c>
      <c r="G2282" s="15" t="str">
        <f aca="false">IF(OR(B2282="",F2282=""),"",B2282-F2282)</f>
        <v/>
      </c>
      <c r="H2282" s="13"/>
      <c r="I2282" s="13"/>
      <c r="J2282" s="13"/>
      <c r="K2282" s="25"/>
      <c r="L2282" s="25"/>
      <c r="M2282" s="25"/>
      <c r="N2282" s="25"/>
      <c r="O2282" s="26"/>
      <c r="P2282" s="16" t="str">
        <f aca="false">IF(O2282="","",IFERROR(1/(1/(IF(K2282="",INDEX(CONFIG!$F$5:$F$14,MATCH(D2282,CONFIG!$D$5:$D$14,0)),K2282)*IF(M2282="",INDEX(CONFIG!$H$5:$H$14,MATCH(D2282,CONFIG!$D$5:$D$14,0)),M2282))),""))</f>
        <v/>
      </c>
      <c r="Q2282" s="16" t="str">
        <f aca="false">IF(OR(O2282="",P2282=""),"",O2282/P2282)</f>
        <v/>
      </c>
      <c r="R2282" s="16" t="str">
        <f aca="false">IF(Q2282="","",Q2282*0.0980665)</f>
        <v/>
      </c>
      <c r="S2282" s="16" t="str">
        <f aca="false">IF(Q2282="","",IFERROR(Q2282/(1/(1/INDEX(CONFIG!$I$5:$I$14,MATCH(D2282,CONFIG!$D$5:$D$14,0)))),""))</f>
        <v/>
      </c>
      <c r="T2282" s="13"/>
      <c r="U2282" s="13"/>
      <c r="V2282" s="13"/>
      <c r="W2282" s="13"/>
      <c r="X2282" s="22" t="str">
        <f aca="false">IF(Q2282="","",Q2282^2)</f>
        <v/>
      </c>
      <c r="Y2282" s="22" t="str">
        <f aca="false">IF(AND(C2282&lt;&gt;"",C2282=CERTIFICADO!$E$4,OR(CERTIFICADO!$E$5="",B2282=CERTIFICADO!$E$5)),MAX($Y$4:Y2281)+1,"")</f>
        <v/>
      </c>
    </row>
    <row r="2283" customFormat="false" ht="15" hidden="false" customHeight="false" outlineLevel="0" collapsed="false">
      <c r="A2283" s="11" t="str">
        <f aca="false">IF(C2283="","",ROW()-4)</f>
        <v/>
      </c>
      <c r="B2283" s="12"/>
      <c r="C2283" s="13"/>
      <c r="D2283" s="23" t="str">
        <f aca="false">IF(C2283="","",IFERROR(INDEX(LOTES!$D$5:$D$1004,MATCH(C2283,LOTES!$F$5:$F$1004,0)),"¿Lote?"))</f>
        <v/>
      </c>
      <c r="E2283" s="11" t="str">
        <f aca="false">IF(C2283="","",IFERROR(INDEX(LOTES!$C$5:$C$1004,MATCH(C2283,LOTES!$F$5:$F$1004,0)),""))</f>
        <v/>
      </c>
      <c r="F2283" s="24" t="str">
        <f aca="false">IF(C2283="","",IFERROR(INDEX(LOTES!$B$5:$B$1004,MATCH(C2283,LOTES!$F$5:$F$1004,0)),""))</f>
        <v/>
      </c>
      <c r="G2283" s="15" t="str">
        <f aca="false">IF(OR(B2283="",F2283=""),"",B2283-F2283)</f>
        <v/>
      </c>
      <c r="H2283" s="13"/>
      <c r="I2283" s="13"/>
      <c r="J2283" s="13"/>
      <c r="K2283" s="25"/>
      <c r="L2283" s="25"/>
      <c r="M2283" s="25"/>
      <c r="N2283" s="25"/>
      <c r="O2283" s="26"/>
      <c r="P2283" s="16" t="str">
        <f aca="false">IF(O2283="","",IFERROR(1/(1/(IF(K2283="",INDEX(CONFIG!$F$5:$F$14,MATCH(D2283,CONFIG!$D$5:$D$14,0)),K2283)*IF(M2283="",INDEX(CONFIG!$H$5:$H$14,MATCH(D2283,CONFIG!$D$5:$D$14,0)),M2283))),""))</f>
        <v/>
      </c>
      <c r="Q2283" s="16" t="str">
        <f aca="false">IF(OR(O2283="",P2283=""),"",O2283/P2283)</f>
        <v/>
      </c>
      <c r="R2283" s="16" t="str">
        <f aca="false">IF(Q2283="","",Q2283*0.0980665)</f>
        <v/>
      </c>
      <c r="S2283" s="16" t="str">
        <f aca="false">IF(Q2283="","",IFERROR(Q2283/(1/(1/INDEX(CONFIG!$I$5:$I$14,MATCH(D2283,CONFIG!$D$5:$D$14,0)))),""))</f>
        <v/>
      </c>
      <c r="T2283" s="13"/>
      <c r="U2283" s="13"/>
      <c r="V2283" s="13"/>
      <c r="W2283" s="13"/>
      <c r="X2283" s="22" t="str">
        <f aca="false">IF(Q2283="","",Q2283^2)</f>
        <v/>
      </c>
      <c r="Y2283" s="22" t="str">
        <f aca="false">IF(AND(C2283&lt;&gt;"",C2283=CERTIFICADO!$E$4,OR(CERTIFICADO!$E$5="",B2283=CERTIFICADO!$E$5)),MAX($Y$4:Y2282)+1,"")</f>
        <v/>
      </c>
    </row>
    <row r="2284" customFormat="false" ht="15" hidden="false" customHeight="false" outlineLevel="0" collapsed="false">
      <c r="A2284" s="11" t="str">
        <f aca="false">IF(C2284="","",ROW()-4)</f>
        <v/>
      </c>
      <c r="B2284" s="12"/>
      <c r="C2284" s="13"/>
      <c r="D2284" s="23" t="str">
        <f aca="false">IF(C2284="","",IFERROR(INDEX(LOTES!$D$5:$D$1004,MATCH(C2284,LOTES!$F$5:$F$1004,0)),"¿Lote?"))</f>
        <v/>
      </c>
      <c r="E2284" s="11" t="str">
        <f aca="false">IF(C2284="","",IFERROR(INDEX(LOTES!$C$5:$C$1004,MATCH(C2284,LOTES!$F$5:$F$1004,0)),""))</f>
        <v/>
      </c>
      <c r="F2284" s="24" t="str">
        <f aca="false">IF(C2284="","",IFERROR(INDEX(LOTES!$B$5:$B$1004,MATCH(C2284,LOTES!$F$5:$F$1004,0)),""))</f>
        <v/>
      </c>
      <c r="G2284" s="15" t="str">
        <f aca="false">IF(OR(B2284="",F2284=""),"",B2284-F2284)</f>
        <v/>
      </c>
      <c r="H2284" s="13"/>
      <c r="I2284" s="13"/>
      <c r="J2284" s="13"/>
      <c r="K2284" s="25"/>
      <c r="L2284" s="25"/>
      <c r="M2284" s="25"/>
      <c r="N2284" s="25"/>
      <c r="O2284" s="26"/>
      <c r="P2284" s="16" t="str">
        <f aca="false">IF(O2284="","",IFERROR(1/(1/(IF(K2284="",INDEX(CONFIG!$F$5:$F$14,MATCH(D2284,CONFIG!$D$5:$D$14,0)),K2284)*IF(M2284="",INDEX(CONFIG!$H$5:$H$14,MATCH(D2284,CONFIG!$D$5:$D$14,0)),M2284))),""))</f>
        <v/>
      </c>
      <c r="Q2284" s="16" t="str">
        <f aca="false">IF(OR(O2284="",P2284=""),"",O2284/P2284)</f>
        <v/>
      </c>
      <c r="R2284" s="16" t="str">
        <f aca="false">IF(Q2284="","",Q2284*0.0980665)</f>
        <v/>
      </c>
      <c r="S2284" s="16" t="str">
        <f aca="false">IF(Q2284="","",IFERROR(Q2284/(1/(1/INDEX(CONFIG!$I$5:$I$14,MATCH(D2284,CONFIG!$D$5:$D$14,0)))),""))</f>
        <v/>
      </c>
      <c r="T2284" s="13"/>
      <c r="U2284" s="13"/>
      <c r="V2284" s="13"/>
      <c r="W2284" s="13"/>
      <c r="X2284" s="22" t="str">
        <f aca="false">IF(Q2284="","",Q2284^2)</f>
        <v/>
      </c>
      <c r="Y2284" s="22" t="str">
        <f aca="false">IF(AND(C2284&lt;&gt;"",C2284=CERTIFICADO!$E$4,OR(CERTIFICADO!$E$5="",B2284=CERTIFICADO!$E$5)),MAX($Y$4:Y2283)+1,"")</f>
        <v/>
      </c>
    </row>
    <row r="2285" customFormat="false" ht="15" hidden="false" customHeight="false" outlineLevel="0" collapsed="false">
      <c r="A2285" s="11" t="str">
        <f aca="false">IF(C2285="","",ROW()-4)</f>
        <v/>
      </c>
      <c r="B2285" s="12"/>
      <c r="C2285" s="13"/>
      <c r="D2285" s="23" t="str">
        <f aca="false">IF(C2285="","",IFERROR(INDEX(LOTES!$D$5:$D$1004,MATCH(C2285,LOTES!$F$5:$F$1004,0)),"¿Lote?"))</f>
        <v/>
      </c>
      <c r="E2285" s="11" t="str">
        <f aca="false">IF(C2285="","",IFERROR(INDEX(LOTES!$C$5:$C$1004,MATCH(C2285,LOTES!$F$5:$F$1004,0)),""))</f>
        <v/>
      </c>
      <c r="F2285" s="24" t="str">
        <f aca="false">IF(C2285="","",IFERROR(INDEX(LOTES!$B$5:$B$1004,MATCH(C2285,LOTES!$F$5:$F$1004,0)),""))</f>
        <v/>
      </c>
      <c r="G2285" s="15" t="str">
        <f aca="false">IF(OR(B2285="",F2285=""),"",B2285-F2285)</f>
        <v/>
      </c>
      <c r="H2285" s="13"/>
      <c r="I2285" s="13"/>
      <c r="J2285" s="13"/>
      <c r="K2285" s="25"/>
      <c r="L2285" s="25"/>
      <c r="M2285" s="25"/>
      <c r="N2285" s="25"/>
      <c r="O2285" s="26"/>
      <c r="P2285" s="16" t="str">
        <f aca="false">IF(O2285="","",IFERROR(1/(1/(IF(K2285="",INDEX(CONFIG!$F$5:$F$14,MATCH(D2285,CONFIG!$D$5:$D$14,0)),K2285)*IF(M2285="",INDEX(CONFIG!$H$5:$H$14,MATCH(D2285,CONFIG!$D$5:$D$14,0)),M2285))),""))</f>
        <v/>
      </c>
      <c r="Q2285" s="16" t="str">
        <f aca="false">IF(OR(O2285="",P2285=""),"",O2285/P2285)</f>
        <v/>
      </c>
      <c r="R2285" s="16" t="str">
        <f aca="false">IF(Q2285="","",Q2285*0.0980665)</f>
        <v/>
      </c>
      <c r="S2285" s="16" t="str">
        <f aca="false">IF(Q2285="","",IFERROR(Q2285/(1/(1/INDEX(CONFIG!$I$5:$I$14,MATCH(D2285,CONFIG!$D$5:$D$14,0)))),""))</f>
        <v/>
      </c>
      <c r="T2285" s="13"/>
      <c r="U2285" s="13"/>
      <c r="V2285" s="13"/>
      <c r="W2285" s="13"/>
      <c r="X2285" s="22" t="str">
        <f aca="false">IF(Q2285="","",Q2285^2)</f>
        <v/>
      </c>
      <c r="Y2285" s="22" t="str">
        <f aca="false">IF(AND(C2285&lt;&gt;"",C2285=CERTIFICADO!$E$4,OR(CERTIFICADO!$E$5="",B2285=CERTIFICADO!$E$5)),MAX($Y$4:Y2284)+1,"")</f>
        <v/>
      </c>
    </row>
    <row r="2286" customFormat="false" ht="15" hidden="false" customHeight="false" outlineLevel="0" collapsed="false">
      <c r="A2286" s="11" t="str">
        <f aca="false">IF(C2286="","",ROW()-4)</f>
        <v/>
      </c>
      <c r="B2286" s="12"/>
      <c r="C2286" s="13"/>
      <c r="D2286" s="23" t="str">
        <f aca="false">IF(C2286="","",IFERROR(INDEX(LOTES!$D$5:$D$1004,MATCH(C2286,LOTES!$F$5:$F$1004,0)),"¿Lote?"))</f>
        <v/>
      </c>
      <c r="E2286" s="11" t="str">
        <f aca="false">IF(C2286="","",IFERROR(INDEX(LOTES!$C$5:$C$1004,MATCH(C2286,LOTES!$F$5:$F$1004,0)),""))</f>
        <v/>
      </c>
      <c r="F2286" s="24" t="str">
        <f aca="false">IF(C2286="","",IFERROR(INDEX(LOTES!$B$5:$B$1004,MATCH(C2286,LOTES!$F$5:$F$1004,0)),""))</f>
        <v/>
      </c>
      <c r="G2286" s="15" t="str">
        <f aca="false">IF(OR(B2286="",F2286=""),"",B2286-F2286)</f>
        <v/>
      </c>
      <c r="H2286" s="13"/>
      <c r="I2286" s="13"/>
      <c r="J2286" s="13"/>
      <c r="K2286" s="25"/>
      <c r="L2286" s="25"/>
      <c r="M2286" s="25"/>
      <c r="N2286" s="25"/>
      <c r="O2286" s="26"/>
      <c r="P2286" s="16" t="str">
        <f aca="false">IF(O2286="","",IFERROR(1/(1/(IF(K2286="",INDEX(CONFIG!$F$5:$F$14,MATCH(D2286,CONFIG!$D$5:$D$14,0)),K2286)*IF(M2286="",INDEX(CONFIG!$H$5:$H$14,MATCH(D2286,CONFIG!$D$5:$D$14,0)),M2286))),""))</f>
        <v/>
      </c>
      <c r="Q2286" s="16" t="str">
        <f aca="false">IF(OR(O2286="",P2286=""),"",O2286/P2286)</f>
        <v/>
      </c>
      <c r="R2286" s="16" t="str">
        <f aca="false">IF(Q2286="","",Q2286*0.0980665)</f>
        <v/>
      </c>
      <c r="S2286" s="16" t="str">
        <f aca="false">IF(Q2286="","",IFERROR(Q2286/(1/(1/INDEX(CONFIG!$I$5:$I$14,MATCH(D2286,CONFIG!$D$5:$D$14,0)))),""))</f>
        <v/>
      </c>
      <c r="T2286" s="13"/>
      <c r="U2286" s="13"/>
      <c r="V2286" s="13"/>
      <c r="W2286" s="13"/>
      <c r="X2286" s="22" t="str">
        <f aca="false">IF(Q2286="","",Q2286^2)</f>
        <v/>
      </c>
      <c r="Y2286" s="22" t="str">
        <f aca="false">IF(AND(C2286&lt;&gt;"",C2286=CERTIFICADO!$E$4,OR(CERTIFICADO!$E$5="",B2286=CERTIFICADO!$E$5)),MAX($Y$4:Y2285)+1,"")</f>
        <v/>
      </c>
    </row>
    <row r="2287" customFormat="false" ht="15" hidden="false" customHeight="false" outlineLevel="0" collapsed="false">
      <c r="A2287" s="11" t="str">
        <f aca="false">IF(C2287="","",ROW()-4)</f>
        <v/>
      </c>
      <c r="B2287" s="12"/>
      <c r="C2287" s="13"/>
      <c r="D2287" s="23" t="str">
        <f aca="false">IF(C2287="","",IFERROR(INDEX(LOTES!$D$5:$D$1004,MATCH(C2287,LOTES!$F$5:$F$1004,0)),"¿Lote?"))</f>
        <v/>
      </c>
      <c r="E2287" s="11" t="str">
        <f aca="false">IF(C2287="","",IFERROR(INDEX(LOTES!$C$5:$C$1004,MATCH(C2287,LOTES!$F$5:$F$1004,0)),""))</f>
        <v/>
      </c>
      <c r="F2287" s="24" t="str">
        <f aca="false">IF(C2287="","",IFERROR(INDEX(LOTES!$B$5:$B$1004,MATCH(C2287,LOTES!$F$5:$F$1004,0)),""))</f>
        <v/>
      </c>
      <c r="G2287" s="15" t="str">
        <f aca="false">IF(OR(B2287="",F2287=""),"",B2287-F2287)</f>
        <v/>
      </c>
      <c r="H2287" s="13"/>
      <c r="I2287" s="13"/>
      <c r="J2287" s="13"/>
      <c r="K2287" s="25"/>
      <c r="L2287" s="25"/>
      <c r="M2287" s="25"/>
      <c r="N2287" s="25"/>
      <c r="O2287" s="26"/>
      <c r="P2287" s="16" t="str">
        <f aca="false">IF(O2287="","",IFERROR(1/(1/(IF(K2287="",INDEX(CONFIG!$F$5:$F$14,MATCH(D2287,CONFIG!$D$5:$D$14,0)),K2287)*IF(M2287="",INDEX(CONFIG!$H$5:$H$14,MATCH(D2287,CONFIG!$D$5:$D$14,0)),M2287))),""))</f>
        <v/>
      </c>
      <c r="Q2287" s="16" t="str">
        <f aca="false">IF(OR(O2287="",P2287=""),"",O2287/P2287)</f>
        <v/>
      </c>
      <c r="R2287" s="16" t="str">
        <f aca="false">IF(Q2287="","",Q2287*0.0980665)</f>
        <v/>
      </c>
      <c r="S2287" s="16" t="str">
        <f aca="false">IF(Q2287="","",IFERROR(Q2287/(1/(1/INDEX(CONFIG!$I$5:$I$14,MATCH(D2287,CONFIG!$D$5:$D$14,0)))),""))</f>
        <v/>
      </c>
      <c r="T2287" s="13"/>
      <c r="U2287" s="13"/>
      <c r="V2287" s="13"/>
      <c r="W2287" s="13"/>
      <c r="X2287" s="22" t="str">
        <f aca="false">IF(Q2287="","",Q2287^2)</f>
        <v/>
      </c>
      <c r="Y2287" s="22" t="str">
        <f aca="false">IF(AND(C2287&lt;&gt;"",C2287=CERTIFICADO!$E$4,OR(CERTIFICADO!$E$5="",B2287=CERTIFICADO!$E$5)),MAX($Y$4:Y2286)+1,"")</f>
        <v/>
      </c>
    </row>
    <row r="2288" customFormat="false" ht="15" hidden="false" customHeight="false" outlineLevel="0" collapsed="false">
      <c r="A2288" s="11" t="str">
        <f aca="false">IF(C2288="","",ROW()-4)</f>
        <v/>
      </c>
      <c r="B2288" s="12"/>
      <c r="C2288" s="13"/>
      <c r="D2288" s="23" t="str">
        <f aca="false">IF(C2288="","",IFERROR(INDEX(LOTES!$D$5:$D$1004,MATCH(C2288,LOTES!$F$5:$F$1004,0)),"¿Lote?"))</f>
        <v/>
      </c>
      <c r="E2288" s="11" t="str">
        <f aca="false">IF(C2288="","",IFERROR(INDEX(LOTES!$C$5:$C$1004,MATCH(C2288,LOTES!$F$5:$F$1004,0)),""))</f>
        <v/>
      </c>
      <c r="F2288" s="24" t="str">
        <f aca="false">IF(C2288="","",IFERROR(INDEX(LOTES!$B$5:$B$1004,MATCH(C2288,LOTES!$F$5:$F$1004,0)),""))</f>
        <v/>
      </c>
      <c r="G2288" s="15" t="str">
        <f aca="false">IF(OR(B2288="",F2288=""),"",B2288-F2288)</f>
        <v/>
      </c>
      <c r="H2288" s="13"/>
      <c r="I2288" s="13"/>
      <c r="J2288" s="13"/>
      <c r="K2288" s="25"/>
      <c r="L2288" s="25"/>
      <c r="M2288" s="25"/>
      <c r="N2288" s="25"/>
      <c r="O2288" s="26"/>
      <c r="P2288" s="16" t="str">
        <f aca="false">IF(O2288="","",IFERROR(1/(1/(IF(K2288="",INDEX(CONFIG!$F$5:$F$14,MATCH(D2288,CONFIG!$D$5:$D$14,0)),K2288)*IF(M2288="",INDEX(CONFIG!$H$5:$H$14,MATCH(D2288,CONFIG!$D$5:$D$14,0)),M2288))),""))</f>
        <v/>
      </c>
      <c r="Q2288" s="16" t="str">
        <f aca="false">IF(OR(O2288="",P2288=""),"",O2288/P2288)</f>
        <v/>
      </c>
      <c r="R2288" s="16" t="str">
        <f aca="false">IF(Q2288="","",Q2288*0.0980665)</f>
        <v/>
      </c>
      <c r="S2288" s="16" t="str">
        <f aca="false">IF(Q2288="","",IFERROR(Q2288/(1/(1/INDEX(CONFIG!$I$5:$I$14,MATCH(D2288,CONFIG!$D$5:$D$14,0)))),""))</f>
        <v/>
      </c>
      <c r="T2288" s="13"/>
      <c r="U2288" s="13"/>
      <c r="V2288" s="13"/>
      <c r="W2288" s="13"/>
      <c r="X2288" s="22" t="str">
        <f aca="false">IF(Q2288="","",Q2288^2)</f>
        <v/>
      </c>
      <c r="Y2288" s="22" t="str">
        <f aca="false">IF(AND(C2288&lt;&gt;"",C2288=CERTIFICADO!$E$4,OR(CERTIFICADO!$E$5="",B2288=CERTIFICADO!$E$5)),MAX($Y$4:Y2287)+1,"")</f>
        <v/>
      </c>
    </row>
    <row r="2289" customFormat="false" ht="15" hidden="false" customHeight="false" outlineLevel="0" collapsed="false">
      <c r="A2289" s="11" t="str">
        <f aca="false">IF(C2289="","",ROW()-4)</f>
        <v/>
      </c>
      <c r="B2289" s="12"/>
      <c r="C2289" s="13"/>
      <c r="D2289" s="23" t="str">
        <f aca="false">IF(C2289="","",IFERROR(INDEX(LOTES!$D$5:$D$1004,MATCH(C2289,LOTES!$F$5:$F$1004,0)),"¿Lote?"))</f>
        <v/>
      </c>
      <c r="E2289" s="11" t="str">
        <f aca="false">IF(C2289="","",IFERROR(INDEX(LOTES!$C$5:$C$1004,MATCH(C2289,LOTES!$F$5:$F$1004,0)),""))</f>
        <v/>
      </c>
      <c r="F2289" s="24" t="str">
        <f aca="false">IF(C2289="","",IFERROR(INDEX(LOTES!$B$5:$B$1004,MATCH(C2289,LOTES!$F$5:$F$1004,0)),""))</f>
        <v/>
      </c>
      <c r="G2289" s="15" t="str">
        <f aca="false">IF(OR(B2289="",F2289=""),"",B2289-F2289)</f>
        <v/>
      </c>
      <c r="H2289" s="13"/>
      <c r="I2289" s="13"/>
      <c r="J2289" s="13"/>
      <c r="K2289" s="25"/>
      <c r="L2289" s="25"/>
      <c r="M2289" s="25"/>
      <c r="N2289" s="25"/>
      <c r="O2289" s="26"/>
      <c r="P2289" s="16" t="str">
        <f aca="false">IF(O2289="","",IFERROR(1/(1/(IF(K2289="",INDEX(CONFIG!$F$5:$F$14,MATCH(D2289,CONFIG!$D$5:$D$14,0)),K2289)*IF(M2289="",INDEX(CONFIG!$H$5:$H$14,MATCH(D2289,CONFIG!$D$5:$D$14,0)),M2289))),""))</f>
        <v/>
      </c>
      <c r="Q2289" s="16" t="str">
        <f aca="false">IF(OR(O2289="",P2289=""),"",O2289/P2289)</f>
        <v/>
      </c>
      <c r="R2289" s="16" t="str">
        <f aca="false">IF(Q2289="","",Q2289*0.0980665)</f>
        <v/>
      </c>
      <c r="S2289" s="16" t="str">
        <f aca="false">IF(Q2289="","",IFERROR(Q2289/(1/(1/INDEX(CONFIG!$I$5:$I$14,MATCH(D2289,CONFIG!$D$5:$D$14,0)))),""))</f>
        <v/>
      </c>
      <c r="T2289" s="13"/>
      <c r="U2289" s="13"/>
      <c r="V2289" s="13"/>
      <c r="W2289" s="13"/>
      <c r="X2289" s="22" t="str">
        <f aca="false">IF(Q2289="","",Q2289^2)</f>
        <v/>
      </c>
      <c r="Y2289" s="22" t="str">
        <f aca="false">IF(AND(C2289&lt;&gt;"",C2289=CERTIFICADO!$E$4,OR(CERTIFICADO!$E$5="",B2289=CERTIFICADO!$E$5)),MAX($Y$4:Y2288)+1,"")</f>
        <v/>
      </c>
    </row>
    <row r="2290" customFormat="false" ht="15" hidden="false" customHeight="false" outlineLevel="0" collapsed="false">
      <c r="A2290" s="11" t="str">
        <f aca="false">IF(C2290="","",ROW()-4)</f>
        <v/>
      </c>
      <c r="B2290" s="12"/>
      <c r="C2290" s="13"/>
      <c r="D2290" s="23" t="str">
        <f aca="false">IF(C2290="","",IFERROR(INDEX(LOTES!$D$5:$D$1004,MATCH(C2290,LOTES!$F$5:$F$1004,0)),"¿Lote?"))</f>
        <v/>
      </c>
      <c r="E2290" s="11" t="str">
        <f aca="false">IF(C2290="","",IFERROR(INDEX(LOTES!$C$5:$C$1004,MATCH(C2290,LOTES!$F$5:$F$1004,0)),""))</f>
        <v/>
      </c>
      <c r="F2290" s="24" t="str">
        <f aca="false">IF(C2290="","",IFERROR(INDEX(LOTES!$B$5:$B$1004,MATCH(C2290,LOTES!$F$5:$F$1004,0)),""))</f>
        <v/>
      </c>
      <c r="G2290" s="15" t="str">
        <f aca="false">IF(OR(B2290="",F2290=""),"",B2290-F2290)</f>
        <v/>
      </c>
      <c r="H2290" s="13"/>
      <c r="I2290" s="13"/>
      <c r="J2290" s="13"/>
      <c r="K2290" s="25"/>
      <c r="L2290" s="25"/>
      <c r="M2290" s="25"/>
      <c r="N2290" s="25"/>
      <c r="O2290" s="26"/>
      <c r="P2290" s="16" t="str">
        <f aca="false">IF(O2290="","",IFERROR(1/(1/(IF(K2290="",INDEX(CONFIG!$F$5:$F$14,MATCH(D2290,CONFIG!$D$5:$D$14,0)),K2290)*IF(M2290="",INDEX(CONFIG!$H$5:$H$14,MATCH(D2290,CONFIG!$D$5:$D$14,0)),M2290))),""))</f>
        <v/>
      </c>
      <c r="Q2290" s="16" t="str">
        <f aca="false">IF(OR(O2290="",P2290=""),"",O2290/P2290)</f>
        <v/>
      </c>
      <c r="R2290" s="16" t="str">
        <f aca="false">IF(Q2290="","",Q2290*0.0980665)</f>
        <v/>
      </c>
      <c r="S2290" s="16" t="str">
        <f aca="false">IF(Q2290="","",IFERROR(Q2290/(1/(1/INDEX(CONFIG!$I$5:$I$14,MATCH(D2290,CONFIG!$D$5:$D$14,0)))),""))</f>
        <v/>
      </c>
      <c r="T2290" s="13"/>
      <c r="U2290" s="13"/>
      <c r="V2290" s="13"/>
      <c r="W2290" s="13"/>
      <c r="X2290" s="22" t="str">
        <f aca="false">IF(Q2290="","",Q2290^2)</f>
        <v/>
      </c>
      <c r="Y2290" s="22" t="str">
        <f aca="false">IF(AND(C2290&lt;&gt;"",C2290=CERTIFICADO!$E$4,OR(CERTIFICADO!$E$5="",B2290=CERTIFICADO!$E$5)),MAX($Y$4:Y2289)+1,"")</f>
        <v/>
      </c>
    </row>
    <row r="2291" customFormat="false" ht="15" hidden="false" customHeight="false" outlineLevel="0" collapsed="false">
      <c r="A2291" s="11" t="str">
        <f aca="false">IF(C2291="","",ROW()-4)</f>
        <v/>
      </c>
      <c r="B2291" s="12"/>
      <c r="C2291" s="13"/>
      <c r="D2291" s="23" t="str">
        <f aca="false">IF(C2291="","",IFERROR(INDEX(LOTES!$D$5:$D$1004,MATCH(C2291,LOTES!$F$5:$F$1004,0)),"¿Lote?"))</f>
        <v/>
      </c>
      <c r="E2291" s="11" t="str">
        <f aca="false">IF(C2291="","",IFERROR(INDEX(LOTES!$C$5:$C$1004,MATCH(C2291,LOTES!$F$5:$F$1004,0)),""))</f>
        <v/>
      </c>
      <c r="F2291" s="24" t="str">
        <f aca="false">IF(C2291="","",IFERROR(INDEX(LOTES!$B$5:$B$1004,MATCH(C2291,LOTES!$F$5:$F$1004,0)),""))</f>
        <v/>
      </c>
      <c r="G2291" s="15" t="str">
        <f aca="false">IF(OR(B2291="",F2291=""),"",B2291-F2291)</f>
        <v/>
      </c>
      <c r="H2291" s="13"/>
      <c r="I2291" s="13"/>
      <c r="J2291" s="13"/>
      <c r="K2291" s="25"/>
      <c r="L2291" s="25"/>
      <c r="M2291" s="25"/>
      <c r="N2291" s="25"/>
      <c r="O2291" s="26"/>
      <c r="P2291" s="16" t="str">
        <f aca="false">IF(O2291="","",IFERROR(1/(1/(IF(K2291="",INDEX(CONFIG!$F$5:$F$14,MATCH(D2291,CONFIG!$D$5:$D$14,0)),K2291)*IF(M2291="",INDEX(CONFIG!$H$5:$H$14,MATCH(D2291,CONFIG!$D$5:$D$14,0)),M2291))),""))</f>
        <v/>
      </c>
      <c r="Q2291" s="16" t="str">
        <f aca="false">IF(OR(O2291="",P2291=""),"",O2291/P2291)</f>
        <v/>
      </c>
      <c r="R2291" s="16" t="str">
        <f aca="false">IF(Q2291="","",Q2291*0.0980665)</f>
        <v/>
      </c>
      <c r="S2291" s="16" t="str">
        <f aca="false">IF(Q2291="","",IFERROR(Q2291/(1/(1/INDEX(CONFIG!$I$5:$I$14,MATCH(D2291,CONFIG!$D$5:$D$14,0)))),""))</f>
        <v/>
      </c>
      <c r="T2291" s="13"/>
      <c r="U2291" s="13"/>
      <c r="V2291" s="13"/>
      <c r="W2291" s="13"/>
      <c r="X2291" s="22" t="str">
        <f aca="false">IF(Q2291="","",Q2291^2)</f>
        <v/>
      </c>
      <c r="Y2291" s="22" t="str">
        <f aca="false">IF(AND(C2291&lt;&gt;"",C2291=CERTIFICADO!$E$4,OR(CERTIFICADO!$E$5="",B2291=CERTIFICADO!$E$5)),MAX($Y$4:Y2290)+1,"")</f>
        <v/>
      </c>
    </row>
    <row r="2292" customFormat="false" ht="15" hidden="false" customHeight="false" outlineLevel="0" collapsed="false">
      <c r="A2292" s="11" t="str">
        <f aca="false">IF(C2292="","",ROW()-4)</f>
        <v/>
      </c>
      <c r="B2292" s="12"/>
      <c r="C2292" s="13"/>
      <c r="D2292" s="23" t="str">
        <f aca="false">IF(C2292="","",IFERROR(INDEX(LOTES!$D$5:$D$1004,MATCH(C2292,LOTES!$F$5:$F$1004,0)),"¿Lote?"))</f>
        <v/>
      </c>
      <c r="E2292" s="11" t="str">
        <f aca="false">IF(C2292="","",IFERROR(INDEX(LOTES!$C$5:$C$1004,MATCH(C2292,LOTES!$F$5:$F$1004,0)),""))</f>
        <v/>
      </c>
      <c r="F2292" s="24" t="str">
        <f aca="false">IF(C2292="","",IFERROR(INDEX(LOTES!$B$5:$B$1004,MATCH(C2292,LOTES!$F$5:$F$1004,0)),""))</f>
        <v/>
      </c>
      <c r="G2292" s="15" t="str">
        <f aca="false">IF(OR(B2292="",F2292=""),"",B2292-F2292)</f>
        <v/>
      </c>
      <c r="H2292" s="13"/>
      <c r="I2292" s="13"/>
      <c r="J2292" s="13"/>
      <c r="K2292" s="25"/>
      <c r="L2292" s="25"/>
      <c r="M2292" s="25"/>
      <c r="N2292" s="25"/>
      <c r="O2292" s="26"/>
      <c r="P2292" s="16" t="str">
        <f aca="false">IF(O2292="","",IFERROR(1/(1/(IF(K2292="",INDEX(CONFIG!$F$5:$F$14,MATCH(D2292,CONFIG!$D$5:$D$14,0)),K2292)*IF(M2292="",INDEX(CONFIG!$H$5:$H$14,MATCH(D2292,CONFIG!$D$5:$D$14,0)),M2292))),""))</f>
        <v/>
      </c>
      <c r="Q2292" s="16" t="str">
        <f aca="false">IF(OR(O2292="",P2292=""),"",O2292/P2292)</f>
        <v/>
      </c>
      <c r="R2292" s="16" t="str">
        <f aca="false">IF(Q2292="","",Q2292*0.0980665)</f>
        <v/>
      </c>
      <c r="S2292" s="16" t="str">
        <f aca="false">IF(Q2292="","",IFERROR(Q2292/(1/(1/INDEX(CONFIG!$I$5:$I$14,MATCH(D2292,CONFIG!$D$5:$D$14,0)))),""))</f>
        <v/>
      </c>
      <c r="T2292" s="13"/>
      <c r="U2292" s="13"/>
      <c r="V2292" s="13"/>
      <c r="W2292" s="13"/>
      <c r="X2292" s="22" t="str">
        <f aca="false">IF(Q2292="","",Q2292^2)</f>
        <v/>
      </c>
      <c r="Y2292" s="22" t="str">
        <f aca="false">IF(AND(C2292&lt;&gt;"",C2292=CERTIFICADO!$E$4,OR(CERTIFICADO!$E$5="",B2292=CERTIFICADO!$E$5)),MAX($Y$4:Y2291)+1,"")</f>
        <v/>
      </c>
    </row>
    <row r="2293" customFormat="false" ht="15" hidden="false" customHeight="false" outlineLevel="0" collapsed="false">
      <c r="A2293" s="11" t="str">
        <f aca="false">IF(C2293="","",ROW()-4)</f>
        <v/>
      </c>
      <c r="B2293" s="12"/>
      <c r="C2293" s="13"/>
      <c r="D2293" s="23" t="str">
        <f aca="false">IF(C2293="","",IFERROR(INDEX(LOTES!$D$5:$D$1004,MATCH(C2293,LOTES!$F$5:$F$1004,0)),"¿Lote?"))</f>
        <v/>
      </c>
      <c r="E2293" s="11" t="str">
        <f aca="false">IF(C2293="","",IFERROR(INDEX(LOTES!$C$5:$C$1004,MATCH(C2293,LOTES!$F$5:$F$1004,0)),""))</f>
        <v/>
      </c>
      <c r="F2293" s="24" t="str">
        <f aca="false">IF(C2293="","",IFERROR(INDEX(LOTES!$B$5:$B$1004,MATCH(C2293,LOTES!$F$5:$F$1004,0)),""))</f>
        <v/>
      </c>
      <c r="G2293" s="15" t="str">
        <f aca="false">IF(OR(B2293="",F2293=""),"",B2293-F2293)</f>
        <v/>
      </c>
      <c r="H2293" s="13"/>
      <c r="I2293" s="13"/>
      <c r="J2293" s="13"/>
      <c r="K2293" s="25"/>
      <c r="L2293" s="25"/>
      <c r="M2293" s="25"/>
      <c r="N2293" s="25"/>
      <c r="O2293" s="26"/>
      <c r="P2293" s="16" t="str">
        <f aca="false">IF(O2293="","",IFERROR(1/(1/(IF(K2293="",INDEX(CONFIG!$F$5:$F$14,MATCH(D2293,CONFIG!$D$5:$D$14,0)),K2293)*IF(M2293="",INDEX(CONFIG!$H$5:$H$14,MATCH(D2293,CONFIG!$D$5:$D$14,0)),M2293))),""))</f>
        <v/>
      </c>
      <c r="Q2293" s="16" t="str">
        <f aca="false">IF(OR(O2293="",P2293=""),"",O2293/P2293)</f>
        <v/>
      </c>
      <c r="R2293" s="16" t="str">
        <f aca="false">IF(Q2293="","",Q2293*0.0980665)</f>
        <v/>
      </c>
      <c r="S2293" s="16" t="str">
        <f aca="false">IF(Q2293="","",IFERROR(Q2293/(1/(1/INDEX(CONFIG!$I$5:$I$14,MATCH(D2293,CONFIG!$D$5:$D$14,0)))),""))</f>
        <v/>
      </c>
      <c r="T2293" s="13"/>
      <c r="U2293" s="13"/>
      <c r="V2293" s="13"/>
      <c r="W2293" s="13"/>
      <c r="X2293" s="22" t="str">
        <f aca="false">IF(Q2293="","",Q2293^2)</f>
        <v/>
      </c>
      <c r="Y2293" s="22" t="str">
        <f aca="false">IF(AND(C2293&lt;&gt;"",C2293=CERTIFICADO!$E$4,OR(CERTIFICADO!$E$5="",B2293=CERTIFICADO!$E$5)),MAX($Y$4:Y2292)+1,"")</f>
        <v/>
      </c>
    </row>
    <row r="2294" customFormat="false" ht="15" hidden="false" customHeight="false" outlineLevel="0" collapsed="false">
      <c r="A2294" s="11" t="str">
        <f aca="false">IF(C2294="","",ROW()-4)</f>
        <v/>
      </c>
      <c r="B2294" s="12"/>
      <c r="C2294" s="13"/>
      <c r="D2294" s="23" t="str">
        <f aca="false">IF(C2294="","",IFERROR(INDEX(LOTES!$D$5:$D$1004,MATCH(C2294,LOTES!$F$5:$F$1004,0)),"¿Lote?"))</f>
        <v/>
      </c>
      <c r="E2294" s="11" t="str">
        <f aca="false">IF(C2294="","",IFERROR(INDEX(LOTES!$C$5:$C$1004,MATCH(C2294,LOTES!$F$5:$F$1004,0)),""))</f>
        <v/>
      </c>
      <c r="F2294" s="24" t="str">
        <f aca="false">IF(C2294="","",IFERROR(INDEX(LOTES!$B$5:$B$1004,MATCH(C2294,LOTES!$F$5:$F$1004,0)),""))</f>
        <v/>
      </c>
      <c r="G2294" s="15" t="str">
        <f aca="false">IF(OR(B2294="",F2294=""),"",B2294-F2294)</f>
        <v/>
      </c>
      <c r="H2294" s="13"/>
      <c r="I2294" s="13"/>
      <c r="J2294" s="13"/>
      <c r="K2294" s="25"/>
      <c r="L2294" s="25"/>
      <c r="M2294" s="25"/>
      <c r="N2294" s="25"/>
      <c r="O2294" s="26"/>
      <c r="P2294" s="16" t="str">
        <f aca="false">IF(O2294="","",IFERROR(1/(1/(IF(K2294="",INDEX(CONFIG!$F$5:$F$14,MATCH(D2294,CONFIG!$D$5:$D$14,0)),K2294)*IF(M2294="",INDEX(CONFIG!$H$5:$H$14,MATCH(D2294,CONFIG!$D$5:$D$14,0)),M2294))),""))</f>
        <v/>
      </c>
      <c r="Q2294" s="16" t="str">
        <f aca="false">IF(OR(O2294="",P2294=""),"",O2294/P2294)</f>
        <v/>
      </c>
      <c r="R2294" s="16" t="str">
        <f aca="false">IF(Q2294="","",Q2294*0.0980665)</f>
        <v/>
      </c>
      <c r="S2294" s="16" t="str">
        <f aca="false">IF(Q2294="","",IFERROR(Q2294/(1/(1/INDEX(CONFIG!$I$5:$I$14,MATCH(D2294,CONFIG!$D$5:$D$14,0)))),""))</f>
        <v/>
      </c>
      <c r="T2294" s="13"/>
      <c r="U2294" s="13"/>
      <c r="V2294" s="13"/>
      <c r="W2294" s="13"/>
      <c r="X2294" s="22" t="str">
        <f aca="false">IF(Q2294="","",Q2294^2)</f>
        <v/>
      </c>
      <c r="Y2294" s="22" t="str">
        <f aca="false">IF(AND(C2294&lt;&gt;"",C2294=CERTIFICADO!$E$4,OR(CERTIFICADO!$E$5="",B2294=CERTIFICADO!$E$5)),MAX($Y$4:Y2293)+1,"")</f>
        <v/>
      </c>
    </row>
    <row r="2295" customFormat="false" ht="15" hidden="false" customHeight="false" outlineLevel="0" collapsed="false">
      <c r="A2295" s="11" t="str">
        <f aca="false">IF(C2295="","",ROW()-4)</f>
        <v/>
      </c>
      <c r="B2295" s="12"/>
      <c r="C2295" s="13"/>
      <c r="D2295" s="23" t="str">
        <f aca="false">IF(C2295="","",IFERROR(INDEX(LOTES!$D$5:$D$1004,MATCH(C2295,LOTES!$F$5:$F$1004,0)),"¿Lote?"))</f>
        <v/>
      </c>
      <c r="E2295" s="11" t="str">
        <f aca="false">IF(C2295="","",IFERROR(INDEX(LOTES!$C$5:$C$1004,MATCH(C2295,LOTES!$F$5:$F$1004,0)),""))</f>
        <v/>
      </c>
      <c r="F2295" s="24" t="str">
        <f aca="false">IF(C2295="","",IFERROR(INDEX(LOTES!$B$5:$B$1004,MATCH(C2295,LOTES!$F$5:$F$1004,0)),""))</f>
        <v/>
      </c>
      <c r="G2295" s="15" t="str">
        <f aca="false">IF(OR(B2295="",F2295=""),"",B2295-F2295)</f>
        <v/>
      </c>
      <c r="H2295" s="13"/>
      <c r="I2295" s="13"/>
      <c r="J2295" s="13"/>
      <c r="K2295" s="25"/>
      <c r="L2295" s="25"/>
      <c r="M2295" s="25"/>
      <c r="N2295" s="25"/>
      <c r="O2295" s="26"/>
      <c r="P2295" s="16" t="str">
        <f aca="false">IF(O2295="","",IFERROR(1/(1/(IF(K2295="",INDEX(CONFIG!$F$5:$F$14,MATCH(D2295,CONFIG!$D$5:$D$14,0)),K2295)*IF(M2295="",INDEX(CONFIG!$H$5:$H$14,MATCH(D2295,CONFIG!$D$5:$D$14,0)),M2295))),""))</f>
        <v/>
      </c>
      <c r="Q2295" s="16" t="str">
        <f aca="false">IF(OR(O2295="",P2295=""),"",O2295/P2295)</f>
        <v/>
      </c>
      <c r="R2295" s="16" t="str">
        <f aca="false">IF(Q2295="","",Q2295*0.0980665)</f>
        <v/>
      </c>
      <c r="S2295" s="16" t="str">
        <f aca="false">IF(Q2295="","",IFERROR(Q2295/(1/(1/INDEX(CONFIG!$I$5:$I$14,MATCH(D2295,CONFIG!$D$5:$D$14,0)))),""))</f>
        <v/>
      </c>
      <c r="T2295" s="13"/>
      <c r="U2295" s="13"/>
      <c r="V2295" s="13"/>
      <c r="W2295" s="13"/>
      <c r="X2295" s="22" t="str">
        <f aca="false">IF(Q2295="","",Q2295^2)</f>
        <v/>
      </c>
      <c r="Y2295" s="22" t="str">
        <f aca="false">IF(AND(C2295&lt;&gt;"",C2295=CERTIFICADO!$E$4,OR(CERTIFICADO!$E$5="",B2295=CERTIFICADO!$E$5)),MAX($Y$4:Y2294)+1,"")</f>
        <v/>
      </c>
    </row>
    <row r="2296" customFormat="false" ht="15" hidden="false" customHeight="false" outlineLevel="0" collapsed="false">
      <c r="A2296" s="11" t="str">
        <f aca="false">IF(C2296="","",ROW()-4)</f>
        <v/>
      </c>
      <c r="B2296" s="12"/>
      <c r="C2296" s="13"/>
      <c r="D2296" s="23" t="str">
        <f aca="false">IF(C2296="","",IFERROR(INDEX(LOTES!$D$5:$D$1004,MATCH(C2296,LOTES!$F$5:$F$1004,0)),"¿Lote?"))</f>
        <v/>
      </c>
      <c r="E2296" s="11" t="str">
        <f aca="false">IF(C2296="","",IFERROR(INDEX(LOTES!$C$5:$C$1004,MATCH(C2296,LOTES!$F$5:$F$1004,0)),""))</f>
        <v/>
      </c>
      <c r="F2296" s="24" t="str">
        <f aca="false">IF(C2296="","",IFERROR(INDEX(LOTES!$B$5:$B$1004,MATCH(C2296,LOTES!$F$5:$F$1004,0)),""))</f>
        <v/>
      </c>
      <c r="G2296" s="15" t="str">
        <f aca="false">IF(OR(B2296="",F2296=""),"",B2296-F2296)</f>
        <v/>
      </c>
      <c r="H2296" s="13"/>
      <c r="I2296" s="13"/>
      <c r="J2296" s="13"/>
      <c r="K2296" s="25"/>
      <c r="L2296" s="25"/>
      <c r="M2296" s="25"/>
      <c r="N2296" s="25"/>
      <c r="O2296" s="26"/>
      <c r="P2296" s="16" t="str">
        <f aca="false">IF(O2296="","",IFERROR(1/(1/(IF(K2296="",INDEX(CONFIG!$F$5:$F$14,MATCH(D2296,CONFIG!$D$5:$D$14,0)),K2296)*IF(M2296="",INDEX(CONFIG!$H$5:$H$14,MATCH(D2296,CONFIG!$D$5:$D$14,0)),M2296))),""))</f>
        <v/>
      </c>
      <c r="Q2296" s="16" t="str">
        <f aca="false">IF(OR(O2296="",P2296=""),"",O2296/P2296)</f>
        <v/>
      </c>
      <c r="R2296" s="16" t="str">
        <f aca="false">IF(Q2296="","",Q2296*0.0980665)</f>
        <v/>
      </c>
      <c r="S2296" s="16" t="str">
        <f aca="false">IF(Q2296="","",IFERROR(Q2296/(1/(1/INDEX(CONFIG!$I$5:$I$14,MATCH(D2296,CONFIG!$D$5:$D$14,0)))),""))</f>
        <v/>
      </c>
      <c r="T2296" s="13"/>
      <c r="U2296" s="13"/>
      <c r="V2296" s="13"/>
      <c r="W2296" s="13"/>
      <c r="X2296" s="22" t="str">
        <f aca="false">IF(Q2296="","",Q2296^2)</f>
        <v/>
      </c>
      <c r="Y2296" s="22" t="str">
        <f aca="false">IF(AND(C2296&lt;&gt;"",C2296=CERTIFICADO!$E$4,OR(CERTIFICADO!$E$5="",B2296=CERTIFICADO!$E$5)),MAX($Y$4:Y2295)+1,"")</f>
        <v/>
      </c>
    </row>
    <row r="2297" customFormat="false" ht="15" hidden="false" customHeight="false" outlineLevel="0" collapsed="false">
      <c r="A2297" s="11" t="str">
        <f aca="false">IF(C2297="","",ROW()-4)</f>
        <v/>
      </c>
      <c r="B2297" s="12"/>
      <c r="C2297" s="13"/>
      <c r="D2297" s="23" t="str">
        <f aca="false">IF(C2297="","",IFERROR(INDEX(LOTES!$D$5:$D$1004,MATCH(C2297,LOTES!$F$5:$F$1004,0)),"¿Lote?"))</f>
        <v/>
      </c>
      <c r="E2297" s="11" t="str">
        <f aca="false">IF(C2297="","",IFERROR(INDEX(LOTES!$C$5:$C$1004,MATCH(C2297,LOTES!$F$5:$F$1004,0)),""))</f>
        <v/>
      </c>
      <c r="F2297" s="24" t="str">
        <f aca="false">IF(C2297="","",IFERROR(INDEX(LOTES!$B$5:$B$1004,MATCH(C2297,LOTES!$F$5:$F$1004,0)),""))</f>
        <v/>
      </c>
      <c r="G2297" s="15" t="str">
        <f aca="false">IF(OR(B2297="",F2297=""),"",B2297-F2297)</f>
        <v/>
      </c>
      <c r="H2297" s="13"/>
      <c r="I2297" s="13"/>
      <c r="J2297" s="13"/>
      <c r="K2297" s="25"/>
      <c r="L2297" s="25"/>
      <c r="M2297" s="25"/>
      <c r="N2297" s="25"/>
      <c r="O2297" s="26"/>
      <c r="P2297" s="16" t="str">
        <f aca="false">IF(O2297="","",IFERROR(1/(1/(IF(K2297="",INDEX(CONFIG!$F$5:$F$14,MATCH(D2297,CONFIG!$D$5:$D$14,0)),K2297)*IF(M2297="",INDEX(CONFIG!$H$5:$H$14,MATCH(D2297,CONFIG!$D$5:$D$14,0)),M2297))),""))</f>
        <v/>
      </c>
      <c r="Q2297" s="16" t="str">
        <f aca="false">IF(OR(O2297="",P2297=""),"",O2297/P2297)</f>
        <v/>
      </c>
      <c r="R2297" s="16" t="str">
        <f aca="false">IF(Q2297="","",Q2297*0.0980665)</f>
        <v/>
      </c>
      <c r="S2297" s="16" t="str">
        <f aca="false">IF(Q2297="","",IFERROR(Q2297/(1/(1/INDEX(CONFIG!$I$5:$I$14,MATCH(D2297,CONFIG!$D$5:$D$14,0)))),""))</f>
        <v/>
      </c>
      <c r="T2297" s="13"/>
      <c r="U2297" s="13"/>
      <c r="V2297" s="13"/>
      <c r="W2297" s="13"/>
      <c r="X2297" s="22" t="str">
        <f aca="false">IF(Q2297="","",Q2297^2)</f>
        <v/>
      </c>
      <c r="Y2297" s="22" t="str">
        <f aca="false">IF(AND(C2297&lt;&gt;"",C2297=CERTIFICADO!$E$4,OR(CERTIFICADO!$E$5="",B2297=CERTIFICADO!$E$5)),MAX($Y$4:Y2296)+1,"")</f>
        <v/>
      </c>
    </row>
    <row r="2298" customFormat="false" ht="15" hidden="false" customHeight="false" outlineLevel="0" collapsed="false">
      <c r="A2298" s="11" t="str">
        <f aca="false">IF(C2298="","",ROW()-4)</f>
        <v/>
      </c>
      <c r="B2298" s="12"/>
      <c r="C2298" s="13"/>
      <c r="D2298" s="23" t="str">
        <f aca="false">IF(C2298="","",IFERROR(INDEX(LOTES!$D$5:$D$1004,MATCH(C2298,LOTES!$F$5:$F$1004,0)),"¿Lote?"))</f>
        <v/>
      </c>
      <c r="E2298" s="11" t="str">
        <f aca="false">IF(C2298="","",IFERROR(INDEX(LOTES!$C$5:$C$1004,MATCH(C2298,LOTES!$F$5:$F$1004,0)),""))</f>
        <v/>
      </c>
      <c r="F2298" s="24" t="str">
        <f aca="false">IF(C2298="","",IFERROR(INDEX(LOTES!$B$5:$B$1004,MATCH(C2298,LOTES!$F$5:$F$1004,0)),""))</f>
        <v/>
      </c>
      <c r="G2298" s="15" t="str">
        <f aca="false">IF(OR(B2298="",F2298=""),"",B2298-F2298)</f>
        <v/>
      </c>
      <c r="H2298" s="13"/>
      <c r="I2298" s="13"/>
      <c r="J2298" s="13"/>
      <c r="K2298" s="25"/>
      <c r="L2298" s="25"/>
      <c r="M2298" s="25"/>
      <c r="N2298" s="25"/>
      <c r="O2298" s="26"/>
      <c r="P2298" s="16" t="str">
        <f aca="false">IF(O2298="","",IFERROR(1/(1/(IF(K2298="",INDEX(CONFIG!$F$5:$F$14,MATCH(D2298,CONFIG!$D$5:$D$14,0)),K2298)*IF(M2298="",INDEX(CONFIG!$H$5:$H$14,MATCH(D2298,CONFIG!$D$5:$D$14,0)),M2298))),""))</f>
        <v/>
      </c>
      <c r="Q2298" s="16" t="str">
        <f aca="false">IF(OR(O2298="",P2298=""),"",O2298/P2298)</f>
        <v/>
      </c>
      <c r="R2298" s="16" t="str">
        <f aca="false">IF(Q2298="","",Q2298*0.0980665)</f>
        <v/>
      </c>
      <c r="S2298" s="16" t="str">
        <f aca="false">IF(Q2298="","",IFERROR(Q2298/(1/(1/INDEX(CONFIG!$I$5:$I$14,MATCH(D2298,CONFIG!$D$5:$D$14,0)))),""))</f>
        <v/>
      </c>
      <c r="T2298" s="13"/>
      <c r="U2298" s="13"/>
      <c r="V2298" s="13"/>
      <c r="W2298" s="13"/>
      <c r="X2298" s="22" t="str">
        <f aca="false">IF(Q2298="","",Q2298^2)</f>
        <v/>
      </c>
      <c r="Y2298" s="22" t="str">
        <f aca="false">IF(AND(C2298&lt;&gt;"",C2298=CERTIFICADO!$E$4,OR(CERTIFICADO!$E$5="",B2298=CERTIFICADO!$E$5)),MAX($Y$4:Y2297)+1,"")</f>
        <v/>
      </c>
    </row>
    <row r="2299" customFormat="false" ht="15" hidden="false" customHeight="false" outlineLevel="0" collapsed="false">
      <c r="A2299" s="11" t="str">
        <f aca="false">IF(C2299="","",ROW()-4)</f>
        <v/>
      </c>
      <c r="B2299" s="12"/>
      <c r="C2299" s="13"/>
      <c r="D2299" s="23" t="str">
        <f aca="false">IF(C2299="","",IFERROR(INDEX(LOTES!$D$5:$D$1004,MATCH(C2299,LOTES!$F$5:$F$1004,0)),"¿Lote?"))</f>
        <v/>
      </c>
      <c r="E2299" s="11" t="str">
        <f aca="false">IF(C2299="","",IFERROR(INDEX(LOTES!$C$5:$C$1004,MATCH(C2299,LOTES!$F$5:$F$1004,0)),""))</f>
        <v/>
      </c>
      <c r="F2299" s="24" t="str">
        <f aca="false">IF(C2299="","",IFERROR(INDEX(LOTES!$B$5:$B$1004,MATCH(C2299,LOTES!$F$5:$F$1004,0)),""))</f>
        <v/>
      </c>
      <c r="G2299" s="15" t="str">
        <f aca="false">IF(OR(B2299="",F2299=""),"",B2299-F2299)</f>
        <v/>
      </c>
      <c r="H2299" s="13"/>
      <c r="I2299" s="13"/>
      <c r="J2299" s="13"/>
      <c r="K2299" s="25"/>
      <c r="L2299" s="25"/>
      <c r="M2299" s="25"/>
      <c r="N2299" s="25"/>
      <c r="O2299" s="26"/>
      <c r="P2299" s="16" t="str">
        <f aca="false">IF(O2299="","",IFERROR(1/(1/(IF(K2299="",INDEX(CONFIG!$F$5:$F$14,MATCH(D2299,CONFIG!$D$5:$D$14,0)),K2299)*IF(M2299="",INDEX(CONFIG!$H$5:$H$14,MATCH(D2299,CONFIG!$D$5:$D$14,0)),M2299))),""))</f>
        <v/>
      </c>
      <c r="Q2299" s="16" t="str">
        <f aca="false">IF(OR(O2299="",P2299=""),"",O2299/P2299)</f>
        <v/>
      </c>
      <c r="R2299" s="16" t="str">
        <f aca="false">IF(Q2299="","",Q2299*0.0980665)</f>
        <v/>
      </c>
      <c r="S2299" s="16" t="str">
        <f aca="false">IF(Q2299="","",IFERROR(Q2299/(1/(1/INDEX(CONFIG!$I$5:$I$14,MATCH(D2299,CONFIG!$D$5:$D$14,0)))),""))</f>
        <v/>
      </c>
      <c r="T2299" s="13"/>
      <c r="U2299" s="13"/>
      <c r="V2299" s="13"/>
      <c r="W2299" s="13"/>
      <c r="X2299" s="22" t="str">
        <f aca="false">IF(Q2299="","",Q2299^2)</f>
        <v/>
      </c>
      <c r="Y2299" s="22" t="str">
        <f aca="false">IF(AND(C2299&lt;&gt;"",C2299=CERTIFICADO!$E$4,OR(CERTIFICADO!$E$5="",B2299=CERTIFICADO!$E$5)),MAX($Y$4:Y2298)+1,"")</f>
        <v/>
      </c>
    </row>
    <row r="2300" customFormat="false" ht="15" hidden="false" customHeight="false" outlineLevel="0" collapsed="false">
      <c r="A2300" s="11" t="str">
        <f aca="false">IF(C2300="","",ROW()-4)</f>
        <v/>
      </c>
      <c r="B2300" s="12"/>
      <c r="C2300" s="13"/>
      <c r="D2300" s="23" t="str">
        <f aca="false">IF(C2300="","",IFERROR(INDEX(LOTES!$D$5:$D$1004,MATCH(C2300,LOTES!$F$5:$F$1004,0)),"¿Lote?"))</f>
        <v/>
      </c>
      <c r="E2300" s="11" t="str">
        <f aca="false">IF(C2300="","",IFERROR(INDEX(LOTES!$C$5:$C$1004,MATCH(C2300,LOTES!$F$5:$F$1004,0)),""))</f>
        <v/>
      </c>
      <c r="F2300" s="24" t="str">
        <f aca="false">IF(C2300="","",IFERROR(INDEX(LOTES!$B$5:$B$1004,MATCH(C2300,LOTES!$F$5:$F$1004,0)),""))</f>
        <v/>
      </c>
      <c r="G2300" s="15" t="str">
        <f aca="false">IF(OR(B2300="",F2300=""),"",B2300-F2300)</f>
        <v/>
      </c>
      <c r="H2300" s="13"/>
      <c r="I2300" s="13"/>
      <c r="J2300" s="13"/>
      <c r="K2300" s="25"/>
      <c r="L2300" s="25"/>
      <c r="M2300" s="25"/>
      <c r="N2300" s="25"/>
      <c r="O2300" s="26"/>
      <c r="P2300" s="16" t="str">
        <f aca="false">IF(O2300="","",IFERROR(1/(1/(IF(K2300="",INDEX(CONFIG!$F$5:$F$14,MATCH(D2300,CONFIG!$D$5:$D$14,0)),K2300)*IF(M2300="",INDEX(CONFIG!$H$5:$H$14,MATCH(D2300,CONFIG!$D$5:$D$14,0)),M2300))),""))</f>
        <v/>
      </c>
      <c r="Q2300" s="16" t="str">
        <f aca="false">IF(OR(O2300="",P2300=""),"",O2300/P2300)</f>
        <v/>
      </c>
      <c r="R2300" s="16" t="str">
        <f aca="false">IF(Q2300="","",Q2300*0.0980665)</f>
        <v/>
      </c>
      <c r="S2300" s="16" t="str">
        <f aca="false">IF(Q2300="","",IFERROR(Q2300/(1/(1/INDEX(CONFIG!$I$5:$I$14,MATCH(D2300,CONFIG!$D$5:$D$14,0)))),""))</f>
        <v/>
      </c>
      <c r="T2300" s="13"/>
      <c r="U2300" s="13"/>
      <c r="V2300" s="13"/>
      <c r="W2300" s="13"/>
      <c r="X2300" s="22" t="str">
        <f aca="false">IF(Q2300="","",Q2300^2)</f>
        <v/>
      </c>
      <c r="Y2300" s="22" t="str">
        <f aca="false">IF(AND(C2300&lt;&gt;"",C2300=CERTIFICADO!$E$4,OR(CERTIFICADO!$E$5="",B2300=CERTIFICADO!$E$5)),MAX($Y$4:Y2299)+1,"")</f>
        <v/>
      </c>
    </row>
    <row r="2301" customFormat="false" ht="15" hidden="false" customHeight="false" outlineLevel="0" collapsed="false">
      <c r="A2301" s="11" t="str">
        <f aca="false">IF(C2301="","",ROW()-4)</f>
        <v/>
      </c>
      <c r="B2301" s="12"/>
      <c r="C2301" s="13"/>
      <c r="D2301" s="23" t="str">
        <f aca="false">IF(C2301="","",IFERROR(INDEX(LOTES!$D$5:$D$1004,MATCH(C2301,LOTES!$F$5:$F$1004,0)),"¿Lote?"))</f>
        <v/>
      </c>
      <c r="E2301" s="11" t="str">
        <f aca="false">IF(C2301="","",IFERROR(INDEX(LOTES!$C$5:$C$1004,MATCH(C2301,LOTES!$F$5:$F$1004,0)),""))</f>
        <v/>
      </c>
      <c r="F2301" s="24" t="str">
        <f aca="false">IF(C2301="","",IFERROR(INDEX(LOTES!$B$5:$B$1004,MATCH(C2301,LOTES!$F$5:$F$1004,0)),""))</f>
        <v/>
      </c>
      <c r="G2301" s="15" t="str">
        <f aca="false">IF(OR(B2301="",F2301=""),"",B2301-F2301)</f>
        <v/>
      </c>
      <c r="H2301" s="13"/>
      <c r="I2301" s="13"/>
      <c r="J2301" s="13"/>
      <c r="K2301" s="25"/>
      <c r="L2301" s="25"/>
      <c r="M2301" s="25"/>
      <c r="N2301" s="25"/>
      <c r="O2301" s="26"/>
      <c r="P2301" s="16" t="str">
        <f aca="false">IF(O2301="","",IFERROR(1/(1/(IF(K2301="",INDEX(CONFIG!$F$5:$F$14,MATCH(D2301,CONFIG!$D$5:$D$14,0)),K2301)*IF(M2301="",INDEX(CONFIG!$H$5:$H$14,MATCH(D2301,CONFIG!$D$5:$D$14,0)),M2301))),""))</f>
        <v/>
      </c>
      <c r="Q2301" s="16" t="str">
        <f aca="false">IF(OR(O2301="",P2301=""),"",O2301/P2301)</f>
        <v/>
      </c>
      <c r="R2301" s="16" t="str">
        <f aca="false">IF(Q2301="","",Q2301*0.0980665)</f>
        <v/>
      </c>
      <c r="S2301" s="16" t="str">
        <f aca="false">IF(Q2301="","",IFERROR(Q2301/(1/(1/INDEX(CONFIG!$I$5:$I$14,MATCH(D2301,CONFIG!$D$5:$D$14,0)))),""))</f>
        <v/>
      </c>
      <c r="T2301" s="13"/>
      <c r="U2301" s="13"/>
      <c r="V2301" s="13"/>
      <c r="W2301" s="13"/>
      <c r="X2301" s="22" t="str">
        <f aca="false">IF(Q2301="","",Q2301^2)</f>
        <v/>
      </c>
      <c r="Y2301" s="22" t="str">
        <f aca="false">IF(AND(C2301&lt;&gt;"",C2301=CERTIFICADO!$E$4,OR(CERTIFICADO!$E$5="",B2301=CERTIFICADO!$E$5)),MAX($Y$4:Y2300)+1,"")</f>
        <v/>
      </c>
    </row>
    <row r="2302" customFormat="false" ht="15" hidden="false" customHeight="false" outlineLevel="0" collapsed="false">
      <c r="A2302" s="11" t="str">
        <f aca="false">IF(C2302="","",ROW()-4)</f>
        <v/>
      </c>
      <c r="B2302" s="12"/>
      <c r="C2302" s="13"/>
      <c r="D2302" s="23" t="str">
        <f aca="false">IF(C2302="","",IFERROR(INDEX(LOTES!$D$5:$D$1004,MATCH(C2302,LOTES!$F$5:$F$1004,0)),"¿Lote?"))</f>
        <v/>
      </c>
      <c r="E2302" s="11" t="str">
        <f aca="false">IF(C2302="","",IFERROR(INDEX(LOTES!$C$5:$C$1004,MATCH(C2302,LOTES!$F$5:$F$1004,0)),""))</f>
        <v/>
      </c>
      <c r="F2302" s="24" t="str">
        <f aca="false">IF(C2302="","",IFERROR(INDEX(LOTES!$B$5:$B$1004,MATCH(C2302,LOTES!$F$5:$F$1004,0)),""))</f>
        <v/>
      </c>
      <c r="G2302" s="15" t="str">
        <f aca="false">IF(OR(B2302="",F2302=""),"",B2302-F2302)</f>
        <v/>
      </c>
      <c r="H2302" s="13"/>
      <c r="I2302" s="13"/>
      <c r="J2302" s="13"/>
      <c r="K2302" s="25"/>
      <c r="L2302" s="25"/>
      <c r="M2302" s="25"/>
      <c r="N2302" s="25"/>
      <c r="O2302" s="26"/>
      <c r="P2302" s="16" t="str">
        <f aca="false">IF(O2302="","",IFERROR(1/(1/(IF(K2302="",INDEX(CONFIG!$F$5:$F$14,MATCH(D2302,CONFIG!$D$5:$D$14,0)),K2302)*IF(M2302="",INDEX(CONFIG!$H$5:$H$14,MATCH(D2302,CONFIG!$D$5:$D$14,0)),M2302))),""))</f>
        <v/>
      </c>
      <c r="Q2302" s="16" t="str">
        <f aca="false">IF(OR(O2302="",P2302=""),"",O2302/P2302)</f>
        <v/>
      </c>
      <c r="R2302" s="16" t="str">
        <f aca="false">IF(Q2302="","",Q2302*0.0980665)</f>
        <v/>
      </c>
      <c r="S2302" s="16" t="str">
        <f aca="false">IF(Q2302="","",IFERROR(Q2302/(1/(1/INDEX(CONFIG!$I$5:$I$14,MATCH(D2302,CONFIG!$D$5:$D$14,0)))),""))</f>
        <v/>
      </c>
      <c r="T2302" s="13"/>
      <c r="U2302" s="13"/>
      <c r="V2302" s="13"/>
      <c r="W2302" s="13"/>
      <c r="X2302" s="22" t="str">
        <f aca="false">IF(Q2302="","",Q2302^2)</f>
        <v/>
      </c>
      <c r="Y2302" s="22" t="str">
        <f aca="false">IF(AND(C2302&lt;&gt;"",C2302=CERTIFICADO!$E$4,OR(CERTIFICADO!$E$5="",B2302=CERTIFICADO!$E$5)),MAX($Y$4:Y2301)+1,"")</f>
        <v/>
      </c>
    </row>
    <row r="2303" customFormat="false" ht="15" hidden="false" customHeight="false" outlineLevel="0" collapsed="false">
      <c r="A2303" s="11" t="str">
        <f aca="false">IF(C2303="","",ROW()-4)</f>
        <v/>
      </c>
      <c r="B2303" s="12"/>
      <c r="C2303" s="13"/>
      <c r="D2303" s="23" t="str">
        <f aca="false">IF(C2303="","",IFERROR(INDEX(LOTES!$D$5:$D$1004,MATCH(C2303,LOTES!$F$5:$F$1004,0)),"¿Lote?"))</f>
        <v/>
      </c>
      <c r="E2303" s="11" t="str">
        <f aca="false">IF(C2303="","",IFERROR(INDEX(LOTES!$C$5:$C$1004,MATCH(C2303,LOTES!$F$5:$F$1004,0)),""))</f>
        <v/>
      </c>
      <c r="F2303" s="24" t="str">
        <f aca="false">IF(C2303="","",IFERROR(INDEX(LOTES!$B$5:$B$1004,MATCH(C2303,LOTES!$F$5:$F$1004,0)),""))</f>
        <v/>
      </c>
      <c r="G2303" s="15" t="str">
        <f aca="false">IF(OR(B2303="",F2303=""),"",B2303-F2303)</f>
        <v/>
      </c>
      <c r="H2303" s="13"/>
      <c r="I2303" s="13"/>
      <c r="J2303" s="13"/>
      <c r="K2303" s="25"/>
      <c r="L2303" s="25"/>
      <c r="M2303" s="25"/>
      <c r="N2303" s="25"/>
      <c r="O2303" s="26"/>
      <c r="P2303" s="16" t="str">
        <f aca="false">IF(O2303="","",IFERROR(1/(1/(IF(K2303="",INDEX(CONFIG!$F$5:$F$14,MATCH(D2303,CONFIG!$D$5:$D$14,0)),K2303)*IF(M2303="",INDEX(CONFIG!$H$5:$H$14,MATCH(D2303,CONFIG!$D$5:$D$14,0)),M2303))),""))</f>
        <v/>
      </c>
      <c r="Q2303" s="16" t="str">
        <f aca="false">IF(OR(O2303="",P2303=""),"",O2303/P2303)</f>
        <v/>
      </c>
      <c r="R2303" s="16" t="str">
        <f aca="false">IF(Q2303="","",Q2303*0.0980665)</f>
        <v/>
      </c>
      <c r="S2303" s="16" t="str">
        <f aca="false">IF(Q2303="","",IFERROR(Q2303/(1/(1/INDEX(CONFIG!$I$5:$I$14,MATCH(D2303,CONFIG!$D$5:$D$14,0)))),""))</f>
        <v/>
      </c>
      <c r="T2303" s="13"/>
      <c r="U2303" s="13"/>
      <c r="V2303" s="13"/>
      <c r="W2303" s="13"/>
      <c r="X2303" s="22" t="str">
        <f aca="false">IF(Q2303="","",Q2303^2)</f>
        <v/>
      </c>
      <c r="Y2303" s="22" t="str">
        <f aca="false">IF(AND(C2303&lt;&gt;"",C2303=CERTIFICADO!$E$4,OR(CERTIFICADO!$E$5="",B2303=CERTIFICADO!$E$5)),MAX($Y$4:Y2302)+1,"")</f>
        <v/>
      </c>
    </row>
    <row r="2304" customFormat="false" ht="15" hidden="false" customHeight="false" outlineLevel="0" collapsed="false">
      <c r="A2304" s="11" t="str">
        <f aca="false">IF(C2304="","",ROW()-4)</f>
        <v/>
      </c>
      <c r="B2304" s="12"/>
      <c r="C2304" s="13"/>
      <c r="D2304" s="23" t="str">
        <f aca="false">IF(C2304="","",IFERROR(INDEX(LOTES!$D$5:$D$1004,MATCH(C2304,LOTES!$F$5:$F$1004,0)),"¿Lote?"))</f>
        <v/>
      </c>
      <c r="E2304" s="11" t="str">
        <f aca="false">IF(C2304="","",IFERROR(INDEX(LOTES!$C$5:$C$1004,MATCH(C2304,LOTES!$F$5:$F$1004,0)),""))</f>
        <v/>
      </c>
      <c r="F2304" s="24" t="str">
        <f aca="false">IF(C2304="","",IFERROR(INDEX(LOTES!$B$5:$B$1004,MATCH(C2304,LOTES!$F$5:$F$1004,0)),""))</f>
        <v/>
      </c>
      <c r="G2304" s="15" t="str">
        <f aca="false">IF(OR(B2304="",F2304=""),"",B2304-F2304)</f>
        <v/>
      </c>
      <c r="H2304" s="13"/>
      <c r="I2304" s="13"/>
      <c r="J2304" s="13"/>
      <c r="K2304" s="25"/>
      <c r="L2304" s="25"/>
      <c r="M2304" s="25"/>
      <c r="N2304" s="25"/>
      <c r="O2304" s="26"/>
      <c r="P2304" s="16" t="str">
        <f aca="false">IF(O2304="","",IFERROR(1/(1/(IF(K2304="",INDEX(CONFIG!$F$5:$F$14,MATCH(D2304,CONFIG!$D$5:$D$14,0)),K2304)*IF(M2304="",INDEX(CONFIG!$H$5:$H$14,MATCH(D2304,CONFIG!$D$5:$D$14,0)),M2304))),""))</f>
        <v/>
      </c>
      <c r="Q2304" s="16" t="str">
        <f aca="false">IF(OR(O2304="",P2304=""),"",O2304/P2304)</f>
        <v/>
      </c>
      <c r="R2304" s="16" t="str">
        <f aca="false">IF(Q2304="","",Q2304*0.0980665)</f>
        <v/>
      </c>
      <c r="S2304" s="16" t="str">
        <f aca="false">IF(Q2304="","",IFERROR(Q2304/(1/(1/INDEX(CONFIG!$I$5:$I$14,MATCH(D2304,CONFIG!$D$5:$D$14,0)))),""))</f>
        <v/>
      </c>
      <c r="T2304" s="13"/>
      <c r="U2304" s="13"/>
      <c r="V2304" s="13"/>
      <c r="W2304" s="13"/>
      <c r="X2304" s="22" t="str">
        <f aca="false">IF(Q2304="","",Q2304^2)</f>
        <v/>
      </c>
      <c r="Y2304" s="22" t="str">
        <f aca="false">IF(AND(C2304&lt;&gt;"",C2304=CERTIFICADO!$E$4,OR(CERTIFICADO!$E$5="",B2304=CERTIFICADO!$E$5)),MAX($Y$4:Y2303)+1,"")</f>
        <v/>
      </c>
    </row>
    <row r="2305" customFormat="false" ht="15" hidden="false" customHeight="false" outlineLevel="0" collapsed="false">
      <c r="A2305" s="11" t="str">
        <f aca="false">IF(C2305="","",ROW()-4)</f>
        <v/>
      </c>
      <c r="B2305" s="12"/>
      <c r="C2305" s="13"/>
      <c r="D2305" s="23" t="str">
        <f aca="false">IF(C2305="","",IFERROR(INDEX(LOTES!$D$5:$D$1004,MATCH(C2305,LOTES!$F$5:$F$1004,0)),"¿Lote?"))</f>
        <v/>
      </c>
      <c r="E2305" s="11" t="str">
        <f aca="false">IF(C2305="","",IFERROR(INDEX(LOTES!$C$5:$C$1004,MATCH(C2305,LOTES!$F$5:$F$1004,0)),""))</f>
        <v/>
      </c>
      <c r="F2305" s="24" t="str">
        <f aca="false">IF(C2305="","",IFERROR(INDEX(LOTES!$B$5:$B$1004,MATCH(C2305,LOTES!$F$5:$F$1004,0)),""))</f>
        <v/>
      </c>
      <c r="G2305" s="15" t="str">
        <f aca="false">IF(OR(B2305="",F2305=""),"",B2305-F2305)</f>
        <v/>
      </c>
      <c r="H2305" s="13"/>
      <c r="I2305" s="13"/>
      <c r="J2305" s="13"/>
      <c r="K2305" s="25"/>
      <c r="L2305" s="25"/>
      <c r="M2305" s="25"/>
      <c r="N2305" s="25"/>
      <c r="O2305" s="26"/>
      <c r="P2305" s="16" t="str">
        <f aca="false">IF(O2305="","",IFERROR(1/(1/(IF(K2305="",INDEX(CONFIG!$F$5:$F$14,MATCH(D2305,CONFIG!$D$5:$D$14,0)),K2305)*IF(M2305="",INDEX(CONFIG!$H$5:$H$14,MATCH(D2305,CONFIG!$D$5:$D$14,0)),M2305))),""))</f>
        <v/>
      </c>
      <c r="Q2305" s="16" t="str">
        <f aca="false">IF(OR(O2305="",P2305=""),"",O2305/P2305)</f>
        <v/>
      </c>
      <c r="R2305" s="16" t="str">
        <f aca="false">IF(Q2305="","",Q2305*0.0980665)</f>
        <v/>
      </c>
      <c r="S2305" s="16" t="str">
        <f aca="false">IF(Q2305="","",IFERROR(Q2305/(1/(1/INDEX(CONFIG!$I$5:$I$14,MATCH(D2305,CONFIG!$D$5:$D$14,0)))),""))</f>
        <v/>
      </c>
      <c r="T2305" s="13"/>
      <c r="U2305" s="13"/>
      <c r="V2305" s="13"/>
      <c r="W2305" s="13"/>
      <c r="X2305" s="22" t="str">
        <f aca="false">IF(Q2305="","",Q2305^2)</f>
        <v/>
      </c>
      <c r="Y2305" s="22" t="str">
        <f aca="false">IF(AND(C2305&lt;&gt;"",C2305=CERTIFICADO!$E$4,OR(CERTIFICADO!$E$5="",B2305=CERTIFICADO!$E$5)),MAX($Y$4:Y2304)+1,"")</f>
        <v/>
      </c>
    </row>
    <row r="2306" customFormat="false" ht="15" hidden="false" customHeight="false" outlineLevel="0" collapsed="false">
      <c r="A2306" s="11" t="str">
        <f aca="false">IF(C2306="","",ROW()-4)</f>
        <v/>
      </c>
      <c r="B2306" s="12"/>
      <c r="C2306" s="13"/>
      <c r="D2306" s="23" t="str">
        <f aca="false">IF(C2306="","",IFERROR(INDEX(LOTES!$D$5:$D$1004,MATCH(C2306,LOTES!$F$5:$F$1004,0)),"¿Lote?"))</f>
        <v/>
      </c>
      <c r="E2306" s="11" t="str">
        <f aca="false">IF(C2306="","",IFERROR(INDEX(LOTES!$C$5:$C$1004,MATCH(C2306,LOTES!$F$5:$F$1004,0)),""))</f>
        <v/>
      </c>
      <c r="F2306" s="24" t="str">
        <f aca="false">IF(C2306="","",IFERROR(INDEX(LOTES!$B$5:$B$1004,MATCH(C2306,LOTES!$F$5:$F$1004,0)),""))</f>
        <v/>
      </c>
      <c r="G2306" s="15" t="str">
        <f aca="false">IF(OR(B2306="",F2306=""),"",B2306-F2306)</f>
        <v/>
      </c>
      <c r="H2306" s="13"/>
      <c r="I2306" s="13"/>
      <c r="J2306" s="13"/>
      <c r="K2306" s="25"/>
      <c r="L2306" s="25"/>
      <c r="M2306" s="25"/>
      <c r="N2306" s="25"/>
      <c r="O2306" s="26"/>
      <c r="P2306" s="16" t="str">
        <f aca="false">IF(O2306="","",IFERROR(1/(1/(IF(K2306="",INDEX(CONFIG!$F$5:$F$14,MATCH(D2306,CONFIG!$D$5:$D$14,0)),K2306)*IF(M2306="",INDEX(CONFIG!$H$5:$H$14,MATCH(D2306,CONFIG!$D$5:$D$14,0)),M2306))),""))</f>
        <v/>
      </c>
      <c r="Q2306" s="16" t="str">
        <f aca="false">IF(OR(O2306="",P2306=""),"",O2306/P2306)</f>
        <v/>
      </c>
      <c r="R2306" s="16" t="str">
        <f aca="false">IF(Q2306="","",Q2306*0.0980665)</f>
        <v/>
      </c>
      <c r="S2306" s="16" t="str">
        <f aca="false">IF(Q2306="","",IFERROR(Q2306/(1/(1/INDEX(CONFIG!$I$5:$I$14,MATCH(D2306,CONFIG!$D$5:$D$14,0)))),""))</f>
        <v/>
      </c>
      <c r="T2306" s="13"/>
      <c r="U2306" s="13"/>
      <c r="V2306" s="13"/>
      <c r="W2306" s="13"/>
      <c r="X2306" s="22" t="str">
        <f aca="false">IF(Q2306="","",Q2306^2)</f>
        <v/>
      </c>
      <c r="Y2306" s="22" t="str">
        <f aca="false">IF(AND(C2306&lt;&gt;"",C2306=CERTIFICADO!$E$4,OR(CERTIFICADO!$E$5="",B2306=CERTIFICADO!$E$5)),MAX($Y$4:Y2305)+1,"")</f>
        <v/>
      </c>
    </row>
    <row r="2307" customFormat="false" ht="15" hidden="false" customHeight="false" outlineLevel="0" collapsed="false">
      <c r="A2307" s="11" t="str">
        <f aca="false">IF(C2307="","",ROW()-4)</f>
        <v/>
      </c>
      <c r="B2307" s="12"/>
      <c r="C2307" s="13"/>
      <c r="D2307" s="23" t="str">
        <f aca="false">IF(C2307="","",IFERROR(INDEX(LOTES!$D$5:$D$1004,MATCH(C2307,LOTES!$F$5:$F$1004,0)),"¿Lote?"))</f>
        <v/>
      </c>
      <c r="E2307" s="11" t="str">
        <f aca="false">IF(C2307="","",IFERROR(INDEX(LOTES!$C$5:$C$1004,MATCH(C2307,LOTES!$F$5:$F$1004,0)),""))</f>
        <v/>
      </c>
      <c r="F2307" s="24" t="str">
        <f aca="false">IF(C2307="","",IFERROR(INDEX(LOTES!$B$5:$B$1004,MATCH(C2307,LOTES!$F$5:$F$1004,0)),""))</f>
        <v/>
      </c>
      <c r="G2307" s="15" t="str">
        <f aca="false">IF(OR(B2307="",F2307=""),"",B2307-F2307)</f>
        <v/>
      </c>
      <c r="H2307" s="13"/>
      <c r="I2307" s="13"/>
      <c r="J2307" s="13"/>
      <c r="K2307" s="25"/>
      <c r="L2307" s="25"/>
      <c r="M2307" s="25"/>
      <c r="N2307" s="25"/>
      <c r="O2307" s="26"/>
      <c r="P2307" s="16" t="str">
        <f aca="false">IF(O2307="","",IFERROR(1/(1/(IF(K2307="",INDEX(CONFIG!$F$5:$F$14,MATCH(D2307,CONFIG!$D$5:$D$14,0)),K2307)*IF(M2307="",INDEX(CONFIG!$H$5:$H$14,MATCH(D2307,CONFIG!$D$5:$D$14,0)),M2307))),""))</f>
        <v/>
      </c>
      <c r="Q2307" s="16" t="str">
        <f aca="false">IF(OR(O2307="",P2307=""),"",O2307/P2307)</f>
        <v/>
      </c>
      <c r="R2307" s="16" t="str">
        <f aca="false">IF(Q2307="","",Q2307*0.0980665)</f>
        <v/>
      </c>
      <c r="S2307" s="16" t="str">
        <f aca="false">IF(Q2307="","",IFERROR(Q2307/(1/(1/INDEX(CONFIG!$I$5:$I$14,MATCH(D2307,CONFIG!$D$5:$D$14,0)))),""))</f>
        <v/>
      </c>
      <c r="T2307" s="13"/>
      <c r="U2307" s="13"/>
      <c r="V2307" s="13"/>
      <c r="W2307" s="13"/>
      <c r="X2307" s="22" t="str">
        <f aca="false">IF(Q2307="","",Q2307^2)</f>
        <v/>
      </c>
      <c r="Y2307" s="22" t="str">
        <f aca="false">IF(AND(C2307&lt;&gt;"",C2307=CERTIFICADO!$E$4,OR(CERTIFICADO!$E$5="",B2307=CERTIFICADO!$E$5)),MAX($Y$4:Y2306)+1,"")</f>
        <v/>
      </c>
    </row>
    <row r="2308" customFormat="false" ht="15" hidden="false" customHeight="false" outlineLevel="0" collapsed="false">
      <c r="A2308" s="11" t="str">
        <f aca="false">IF(C2308="","",ROW()-4)</f>
        <v/>
      </c>
      <c r="B2308" s="12"/>
      <c r="C2308" s="13"/>
      <c r="D2308" s="23" t="str">
        <f aca="false">IF(C2308="","",IFERROR(INDEX(LOTES!$D$5:$D$1004,MATCH(C2308,LOTES!$F$5:$F$1004,0)),"¿Lote?"))</f>
        <v/>
      </c>
      <c r="E2308" s="11" t="str">
        <f aca="false">IF(C2308="","",IFERROR(INDEX(LOTES!$C$5:$C$1004,MATCH(C2308,LOTES!$F$5:$F$1004,0)),""))</f>
        <v/>
      </c>
      <c r="F2308" s="24" t="str">
        <f aca="false">IF(C2308="","",IFERROR(INDEX(LOTES!$B$5:$B$1004,MATCH(C2308,LOTES!$F$5:$F$1004,0)),""))</f>
        <v/>
      </c>
      <c r="G2308" s="15" t="str">
        <f aca="false">IF(OR(B2308="",F2308=""),"",B2308-F2308)</f>
        <v/>
      </c>
      <c r="H2308" s="13"/>
      <c r="I2308" s="13"/>
      <c r="J2308" s="13"/>
      <c r="K2308" s="25"/>
      <c r="L2308" s="25"/>
      <c r="M2308" s="25"/>
      <c r="N2308" s="25"/>
      <c r="O2308" s="26"/>
      <c r="P2308" s="16" t="str">
        <f aca="false">IF(O2308="","",IFERROR(1/(1/(IF(K2308="",INDEX(CONFIG!$F$5:$F$14,MATCH(D2308,CONFIG!$D$5:$D$14,0)),K2308)*IF(M2308="",INDEX(CONFIG!$H$5:$H$14,MATCH(D2308,CONFIG!$D$5:$D$14,0)),M2308))),""))</f>
        <v/>
      </c>
      <c r="Q2308" s="16" t="str">
        <f aca="false">IF(OR(O2308="",P2308=""),"",O2308/P2308)</f>
        <v/>
      </c>
      <c r="R2308" s="16" t="str">
        <f aca="false">IF(Q2308="","",Q2308*0.0980665)</f>
        <v/>
      </c>
      <c r="S2308" s="16" t="str">
        <f aca="false">IF(Q2308="","",IFERROR(Q2308/(1/(1/INDEX(CONFIG!$I$5:$I$14,MATCH(D2308,CONFIG!$D$5:$D$14,0)))),""))</f>
        <v/>
      </c>
      <c r="T2308" s="13"/>
      <c r="U2308" s="13"/>
      <c r="V2308" s="13"/>
      <c r="W2308" s="13"/>
      <c r="X2308" s="22" t="str">
        <f aca="false">IF(Q2308="","",Q2308^2)</f>
        <v/>
      </c>
      <c r="Y2308" s="22" t="str">
        <f aca="false">IF(AND(C2308&lt;&gt;"",C2308=CERTIFICADO!$E$4,OR(CERTIFICADO!$E$5="",B2308=CERTIFICADO!$E$5)),MAX($Y$4:Y2307)+1,"")</f>
        <v/>
      </c>
    </row>
    <row r="2309" customFormat="false" ht="15" hidden="false" customHeight="false" outlineLevel="0" collapsed="false">
      <c r="A2309" s="11" t="str">
        <f aca="false">IF(C2309="","",ROW()-4)</f>
        <v/>
      </c>
      <c r="B2309" s="12"/>
      <c r="C2309" s="13"/>
      <c r="D2309" s="23" t="str">
        <f aca="false">IF(C2309="","",IFERROR(INDEX(LOTES!$D$5:$D$1004,MATCH(C2309,LOTES!$F$5:$F$1004,0)),"¿Lote?"))</f>
        <v/>
      </c>
      <c r="E2309" s="11" t="str">
        <f aca="false">IF(C2309="","",IFERROR(INDEX(LOTES!$C$5:$C$1004,MATCH(C2309,LOTES!$F$5:$F$1004,0)),""))</f>
        <v/>
      </c>
      <c r="F2309" s="24" t="str">
        <f aca="false">IF(C2309="","",IFERROR(INDEX(LOTES!$B$5:$B$1004,MATCH(C2309,LOTES!$F$5:$F$1004,0)),""))</f>
        <v/>
      </c>
      <c r="G2309" s="15" t="str">
        <f aca="false">IF(OR(B2309="",F2309=""),"",B2309-F2309)</f>
        <v/>
      </c>
      <c r="H2309" s="13"/>
      <c r="I2309" s="13"/>
      <c r="J2309" s="13"/>
      <c r="K2309" s="25"/>
      <c r="L2309" s="25"/>
      <c r="M2309" s="25"/>
      <c r="N2309" s="25"/>
      <c r="O2309" s="26"/>
      <c r="P2309" s="16" t="str">
        <f aca="false">IF(O2309="","",IFERROR(1/(1/(IF(K2309="",INDEX(CONFIG!$F$5:$F$14,MATCH(D2309,CONFIG!$D$5:$D$14,0)),K2309)*IF(M2309="",INDEX(CONFIG!$H$5:$H$14,MATCH(D2309,CONFIG!$D$5:$D$14,0)),M2309))),""))</f>
        <v/>
      </c>
      <c r="Q2309" s="16" t="str">
        <f aca="false">IF(OR(O2309="",P2309=""),"",O2309/P2309)</f>
        <v/>
      </c>
      <c r="R2309" s="16" t="str">
        <f aca="false">IF(Q2309="","",Q2309*0.0980665)</f>
        <v/>
      </c>
      <c r="S2309" s="16" t="str">
        <f aca="false">IF(Q2309="","",IFERROR(Q2309/(1/(1/INDEX(CONFIG!$I$5:$I$14,MATCH(D2309,CONFIG!$D$5:$D$14,0)))),""))</f>
        <v/>
      </c>
      <c r="T2309" s="13"/>
      <c r="U2309" s="13"/>
      <c r="V2309" s="13"/>
      <c r="W2309" s="13"/>
      <c r="X2309" s="22" t="str">
        <f aca="false">IF(Q2309="","",Q2309^2)</f>
        <v/>
      </c>
      <c r="Y2309" s="22" t="str">
        <f aca="false">IF(AND(C2309&lt;&gt;"",C2309=CERTIFICADO!$E$4,OR(CERTIFICADO!$E$5="",B2309=CERTIFICADO!$E$5)),MAX($Y$4:Y2308)+1,"")</f>
        <v/>
      </c>
    </row>
    <row r="2310" customFormat="false" ht="15" hidden="false" customHeight="false" outlineLevel="0" collapsed="false">
      <c r="A2310" s="11" t="str">
        <f aca="false">IF(C2310="","",ROW()-4)</f>
        <v/>
      </c>
      <c r="B2310" s="12"/>
      <c r="C2310" s="13"/>
      <c r="D2310" s="23" t="str">
        <f aca="false">IF(C2310="","",IFERROR(INDEX(LOTES!$D$5:$D$1004,MATCH(C2310,LOTES!$F$5:$F$1004,0)),"¿Lote?"))</f>
        <v/>
      </c>
      <c r="E2310" s="11" t="str">
        <f aca="false">IF(C2310="","",IFERROR(INDEX(LOTES!$C$5:$C$1004,MATCH(C2310,LOTES!$F$5:$F$1004,0)),""))</f>
        <v/>
      </c>
      <c r="F2310" s="24" t="str">
        <f aca="false">IF(C2310="","",IFERROR(INDEX(LOTES!$B$5:$B$1004,MATCH(C2310,LOTES!$F$5:$F$1004,0)),""))</f>
        <v/>
      </c>
      <c r="G2310" s="15" t="str">
        <f aca="false">IF(OR(B2310="",F2310=""),"",B2310-F2310)</f>
        <v/>
      </c>
      <c r="H2310" s="13"/>
      <c r="I2310" s="13"/>
      <c r="J2310" s="13"/>
      <c r="K2310" s="25"/>
      <c r="L2310" s="25"/>
      <c r="M2310" s="25"/>
      <c r="N2310" s="25"/>
      <c r="O2310" s="26"/>
      <c r="P2310" s="16" t="str">
        <f aca="false">IF(O2310="","",IFERROR(1/(1/(IF(K2310="",INDEX(CONFIG!$F$5:$F$14,MATCH(D2310,CONFIG!$D$5:$D$14,0)),K2310)*IF(M2310="",INDEX(CONFIG!$H$5:$H$14,MATCH(D2310,CONFIG!$D$5:$D$14,0)),M2310))),""))</f>
        <v/>
      </c>
      <c r="Q2310" s="16" t="str">
        <f aca="false">IF(OR(O2310="",P2310=""),"",O2310/P2310)</f>
        <v/>
      </c>
      <c r="R2310" s="16" t="str">
        <f aca="false">IF(Q2310="","",Q2310*0.0980665)</f>
        <v/>
      </c>
      <c r="S2310" s="16" t="str">
        <f aca="false">IF(Q2310="","",IFERROR(Q2310/(1/(1/INDEX(CONFIG!$I$5:$I$14,MATCH(D2310,CONFIG!$D$5:$D$14,0)))),""))</f>
        <v/>
      </c>
      <c r="T2310" s="13"/>
      <c r="U2310" s="13"/>
      <c r="V2310" s="13"/>
      <c r="W2310" s="13"/>
      <c r="X2310" s="22" t="str">
        <f aca="false">IF(Q2310="","",Q2310^2)</f>
        <v/>
      </c>
      <c r="Y2310" s="22" t="str">
        <f aca="false">IF(AND(C2310&lt;&gt;"",C2310=CERTIFICADO!$E$4,OR(CERTIFICADO!$E$5="",B2310=CERTIFICADO!$E$5)),MAX($Y$4:Y2309)+1,"")</f>
        <v/>
      </c>
    </row>
    <row r="2311" customFormat="false" ht="15" hidden="false" customHeight="false" outlineLevel="0" collapsed="false">
      <c r="A2311" s="11" t="str">
        <f aca="false">IF(C2311="","",ROW()-4)</f>
        <v/>
      </c>
      <c r="B2311" s="12"/>
      <c r="C2311" s="13"/>
      <c r="D2311" s="23" t="str">
        <f aca="false">IF(C2311="","",IFERROR(INDEX(LOTES!$D$5:$D$1004,MATCH(C2311,LOTES!$F$5:$F$1004,0)),"¿Lote?"))</f>
        <v/>
      </c>
      <c r="E2311" s="11" t="str">
        <f aca="false">IF(C2311="","",IFERROR(INDEX(LOTES!$C$5:$C$1004,MATCH(C2311,LOTES!$F$5:$F$1004,0)),""))</f>
        <v/>
      </c>
      <c r="F2311" s="24" t="str">
        <f aca="false">IF(C2311="","",IFERROR(INDEX(LOTES!$B$5:$B$1004,MATCH(C2311,LOTES!$F$5:$F$1004,0)),""))</f>
        <v/>
      </c>
      <c r="G2311" s="15" t="str">
        <f aca="false">IF(OR(B2311="",F2311=""),"",B2311-F2311)</f>
        <v/>
      </c>
      <c r="H2311" s="13"/>
      <c r="I2311" s="13"/>
      <c r="J2311" s="13"/>
      <c r="K2311" s="25"/>
      <c r="L2311" s="25"/>
      <c r="M2311" s="25"/>
      <c r="N2311" s="25"/>
      <c r="O2311" s="26"/>
      <c r="P2311" s="16" t="str">
        <f aca="false">IF(O2311="","",IFERROR(1/(1/(IF(K2311="",INDEX(CONFIG!$F$5:$F$14,MATCH(D2311,CONFIG!$D$5:$D$14,0)),K2311)*IF(M2311="",INDEX(CONFIG!$H$5:$H$14,MATCH(D2311,CONFIG!$D$5:$D$14,0)),M2311))),""))</f>
        <v/>
      </c>
      <c r="Q2311" s="16" t="str">
        <f aca="false">IF(OR(O2311="",P2311=""),"",O2311/P2311)</f>
        <v/>
      </c>
      <c r="R2311" s="16" t="str">
        <f aca="false">IF(Q2311="","",Q2311*0.0980665)</f>
        <v/>
      </c>
      <c r="S2311" s="16" t="str">
        <f aca="false">IF(Q2311="","",IFERROR(Q2311/(1/(1/INDEX(CONFIG!$I$5:$I$14,MATCH(D2311,CONFIG!$D$5:$D$14,0)))),""))</f>
        <v/>
      </c>
      <c r="T2311" s="13"/>
      <c r="U2311" s="13"/>
      <c r="V2311" s="13"/>
      <c r="W2311" s="13"/>
      <c r="X2311" s="22" t="str">
        <f aca="false">IF(Q2311="","",Q2311^2)</f>
        <v/>
      </c>
      <c r="Y2311" s="22" t="str">
        <f aca="false">IF(AND(C2311&lt;&gt;"",C2311=CERTIFICADO!$E$4,OR(CERTIFICADO!$E$5="",B2311=CERTIFICADO!$E$5)),MAX($Y$4:Y2310)+1,"")</f>
        <v/>
      </c>
    </row>
    <row r="2312" customFormat="false" ht="15" hidden="false" customHeight="false" outlineLevel="0" collapsed="false">
      <c r="A2312" s="11" t="str">
        <f aca="false">IF(C2312="","",ROW()-4)</f>
        <v/>
      </c>
      <c r="B2312" s="12"/>
      <c r="C2312" s="13"/>
      <c r="D2312" s="23" t="str">
        <f aca="false">IF(C2312="","",IFERROR(INDEX(LOTES!$D$5:$D$1004,MATCH(C2312,LOTES!$F$5:$F$1004,0)),"¿Lote?"))</f>
        <v/>
      </c>
      <c r="E2312" s="11" t="str">
        <f aca="false">IF(C2312="","",IFERROR(INDEX(LOTES!$C$5:$C$1004,MATCH(C2312,LOTES!$F$5:$F$1004,0)),""))</f>
        <v/>
      </c>
      <c r="F2312" s="24" t="str">
        <f aca="false">IF(C2312="","",IFERROR(INDEX(LOTES!$B$5:$B$1004,MATCH(C2312,LOTES!$F$5:$F$1004,0)),""))</f>
        <v/>
      </c>
      <c r="G2312" s="15" t="str">
        <f aca="false">IF(OR(B2312="",F2312=""),"",B2312-F2312)</f>
        <v/>
      </c>
      <c r="H2312" s="13"/>
      <c r="I2312" s="13"/>
      <c r="J2312" s="13"/>
      <c r="K2312" s="25"/>
      <c r="L2312" s="25"/>
      <c r="M2312" s="25"/>
      <c r="N2312" s="25"/>
      <c r="O2312" s="26"/>
      <c r="P2312" s="16" t="str">
        <f aca="false">IF(O2312="","",IFERROR(1/(1/(IF(K2312="",INDEX(CONFIG!$F$5:$F$14,MATCH(D2312,CONFIG!$D$5:$D$14,0)),K2312)*IF(M2312="",INDEX(CONFIG!$H$5:$H$14,MATCH(D2312,CONFIG!$D$5:$D$14,0)),M2312))),""))</f>
        <v/>
      </c>
      <c r="Q2312" s="16" t="str">
        <f aca="false">IF(OR(O2312="",P2312=""),"",O2312/P2312)</f>
        <v/>
      </c>
      <c r="R2312" s="16" t="str">
        <f aca="false">IF(Q2312="","",Q2312*0.0980665)</f>
        <v/>
      </c>
      <c r="S2312" s="16" t="str">
        <f aca="false">IF(Q2312="","",IFERROR(Q2312/(1/(1/INDEX(CONFIG!$I$5:$I$14,MATCH(D2312,CONFIG!$D$5:$D$14,0)))),""))</f>
        <v/>
      </c>
      <c r="T2312" s="13"/>
      <c r="U2312" s="13"/>
      <c r="V2312" s="13"/>
      <c r="W2312" s="13"/>
      <c r="X2312" s="22" t="str">
        <f aca="false">IF(Q2312="","",Q2312^2)</f>
        <v/>
      </c>
      <c r="Y2312" s="22" t="str">
        <f aca="false">IF(AND(C2312&lt;&gt;"",C2312=CERTIFICADO!$E$4,OR(CERTIFICADO!$E$5="",B2312=CERTIFICADO!$E$5)),MAX($Y$4:Y2311)+1,"")</f>
        <v/>
      </c>
    </row>
    <row r="2313" customFormat="false" ht="15" hidden="false" customHeight="false" outlineLevel="0" collapsed="false">
      <c r="A2313" s="11" t="str">
        <f aca="false">IF(C2313="","",ROW()-4)</f>
        <v/>
      </c>
      <c r="B2313" s="12"/>
      <c r="C2313" s="13"/>
      <c r="D2313" s="23" t="str">
        <f aca="false">IF(C2313="","",IFERROR(INDEX(LOTES!$D$5:$D$1004,MATCH(C2313,LOTES!$F$5:$F$1004,0)),"¿Lote?"))</f>
        <v/>
      </c>
      <c r="E2313" s="11" t="str">
        <f aca="false">IF(C2313="","",IFERROR(INDEX(LOTES!$C$5:$C$1004,MATCH(C2313,LOTES!$F$5:$F$1004,0)),""))</f>
        <v/>
      </c>
      <c r="F2313" s="24" t="str">
        <f aca="false">IF(C2313="","",IFERROR(INDEX(LOTES!$B$5:$B$1004,MATCH(C2313,LOTES!$F$5:$F$1004,0)),""))</f>
        <v/>
      </c>
      <c r="G2313" s="15" t="str">
        <f aca="false">IF(OR(B2313="",F2313=""),"",B2313-F2313)</f>
        <v/>
      </c>
      <c r="H2313" s="13"/>
      <c r="I2313" s="13"/>
      <c r="J2313" s="13"/>
      <c r="K2313" s="25"/>
      <c r="L2313" s="25"/>
      <c r="M2313" s="25"/>
      <c r="N2313" s="25"/>
      <c r="O2313" s="26"/>
      <c r="P2313" s="16" t="str">
        <f aca="false">IF(O2313="","",IFERROR(1/(1/(IF(K2313="",INDEX(CONFIG!$F$5:$F$14,MATCH(D2313,CONFIG!$D$5:$D$14,0)),K2313)*IF(M2313="",INDEX(CONFIG!$H$5:$H$14,MATCH(D2313,CONFIG!$D$5:$D$14,0)),M2313))),""))</f>
        <v/>
      </c>
      <c r="Q2313" s="16" t="str">
        <f aca="false">IF(OR(O2313="",P2313=""),"",O2313/P2313)</f>
        <v/>
      </c>
      <c r="R2313" s="16" t="str">
        <f aca="false">IF(Q2313="","",Q2313*0.0980665)</f>
        <v/>
      </c>
      <c r="S2313" s="16" t="str">
        <f aca="false">IF(Q2313="","",IFERROR(Q2313/(1/(1/INDEX(CONFIG!$I$5:$I$14,MATCH(D2313,CONFIG!$D$5:$D$14,0)))),""))</f>
        <v/>
      </c>
      <c r="T2313" s="13"/>
      <c r="U2313" s="13"/>
      <c r="V2313" s="13"/>
      <c r="W2313" s="13"/>
      <c r="X2313" s="22" t="str">
        <f aca="false">IF(Q2313="","",Q2313^2)</f>
        <v/>
      </c>
      <c r="Y2313" s="22" t="str">
        <f aca="false">IF(AND(C2313&lt;&gt;"",C2313=CERTIFICADO!$E$4,OR(CERTIFICADO!$E$5="",B2313=CERTIFICADO!$E$5)),MAX($Y$4:Y2312)+1,"")</f>
        <v/>
      </c>
    </row>
    <row r="2314" customFormat="false" ht="15" hidden="false" customHeight="false" outlineLevel="0" collapsed="false">
      <c r="A2314" s="11" t="str">
        <f aca="false">IF(C2314="","",ROW()-4)</f>
        <v/>
      </c>
      <c r="B2314" s="12"/>
      <c r="C2314" s="13"/>
      <c r="D2314" s="23" t="str">
        <f aca="false">IF(C2314="","",IFERROR(INDEX(LOTES!$D$5:$D$1004,MATCH(C2314,LOTES!$F$5:$F$1004,0)),"¿Lote?"))</f>
        <v/>
      </c>
      <c r="E2314" s="11" t="str">
        <f aca="false">IF(C2314="","",IFERROR(INDEX(LOTES!$C$5:$C$1004,MATCH(C2314,LOTES!$F$5:$F$1004,0)),""))</f>
        <v/>
      </c>
      <c r="F2314" s="24" t="str">
        <f aca="false">IF(C2314="","",IFERROR(INDEX(LOTES!$B$5:$B$1004,MATCH(C2314,LOTES!$F$5:$F$1004,0)),""))</f>
        <v/>
      </c>
      <c r="G2314" s="15" t="str">
        <f aca="false">IF(OR(B2314="",F2314=""),"",B2314-F2314)</f>
        <v/>
      </c>
      <c r="H2314" s="13"/>
      <c r="I2314" s="13"/>
      <c r="J2314" s="13"/>
      <c r="K2314" s="25"/>
      <c r="L2314" s="25"/>
      <c r="M2314" s="25"/>
      <c r="N2314" s="25"/>
      <c r="O2314" s="26"/>
      <c r="P2314" s="16" t="str">
        <f aca="false">IF(O2314="","",IFERROR(1/(1/(IF(K2314="",INDEX(CONFIG!$F$5:$F$14,MATCH(D2314,CONFIG!$D$5:$D$14,0)),K2314)*IF(M2314="",INDEX(CONFIG!$H$5:$H$14,MATCH(D2314,CONFIG!$D$5:$D$14,0)),M2314))),""))</f>
        <v/>
      </c>
      <c r="Q2314" s="16" t="str">
        <f aca="false">IF(OR(O2314="",P2314=""),"",O2314/P2314)</f>
        <v/>
      </c>
      <c r="R2314" s="16" t="str">
        <f aca="false">IF(Q2314="","",Q2314*0.0980665)</f>
        <v/>
      </c>
      <c r="S2314" s="16" t="str">
        <f aca="false">IF(Q2314="","",IFERROR(Q2314/(1/(1/INDEX(CONFIG!$I$5:$I$14,MATCH(D2314,CONFIG!$D$5:$D$14,0)))),""))</f>
        <v/>
      </c>
      <c r="T2314" s="13"/>
      <c r="U2314" s="13"/>
      <c r="V2314" s="13"/>
      <c r="W2314" s="13"/>
      <c r="X2314" s="22" t="str">
        <f aca="false">IF(Q2314="","",Q2314^2)</f>
        <v/>
      </c>
      <c r="Y2314" s="22" t="str">
        <f aca="false">IF(AND(C2314&lt;&gt;"",C2314=CERTIFICADO!$E$4,OR(CERTIFICADO!$E$5="",B2314=CERTIFICADO!$E$5)),MAX($Y$4:Y2313)+1,"")</f>
        <v/>
      </c>
    </row>
    <row r="2315" customFormat="false" ht="15" hidden="false" customHeight="false" outlineLevel="0" collapsed="false">
      <c r="A2315" s="11" t="str">
        <f aca="false">IF(C2315="","",ROW()-4)</f>
        <v/>
      </c>
      <c r="B2315" s="12"/>
      <c r="C2315" s="13"/>
      <c r="D2315" s="23" t="str">
        <f aca="false">IF(C2315="","",IFERROR(INDEX(LOTES!$D$5:$D$1004,MATCH(C2315,LOTES!$F$5:$F$1004,0)),"¿Lote?"))</f>
        <v/>
      </c>
      <c r="E2315" s="11" t="str">
        <f aca="false">IF(C2315="","",IFERROR(INDEX(LOTES!$C$5:$C$1004,MATCH(C2315,LOTES!$F$5:$F$1004,0)),""))</f>
        <v/>
      </c>
      <c r="F2315" s="24" t="str">
        <f aca="false">IF(C2315="","",IFERROR(INDEX(LOTES!$B$5:$B$1004,MATCH(C2315,LOTES!$F$5:$F$1004,0)),""))</f>
        <v/>
      </c>
      <c r="G2315" s="15" t="str">
        <f aca="false">IF(OR(B2315="",F2315=""),"",B2315-F2315)</f>
        <v/>
      </c>
      <c r="H2315" s="13"/>
      <c r="I2315" s="13"/>
      <c r="J2315" s="13"/>
      <c r="K2315" s="25"/>
      <c r="L2315" s="25"/>
      <c r="M2315" s="25"/>
      <c r="N2315" s="25"/>
      <c r="O2315" s="26"/>
      <c r="P2315" s="16" t="str">
        <f aca="false">IF(O2315="","",IFERROR(1/(1/(IF(K2315="",INDEX(CONFIG!$F$5:$F$14,MATCH(D2315,CONFIG!$D$5:$D$14,0)),K2315)*IF(M2315="",INDEX(CONFIG!$H$5:$H$14,MATCH(D2315,CONFIG!$D$5:$D$14,0)),M2315))),""))</f>
        <v/>
      </c>
      <c r="Q2315" s="16" t="str">
        <f aca="false">IF(OR(O2315="",P2315=""),"",O2315/P2315)</f>
        <v/>
      </c>
      <c r="R2315" s="16" t="str">
        <f aca="false">IF(Q2315="","",Q2315*0.0980665)</f>
        <v/>
      </c>
      <c r="S2315" s="16" t="str">
        <f aca="false">IF(Q2315="","",IFERROR(Q2315/(1/(1/INDEX(CONFIG!$I$5:$I$14,MATCH(D2315,CONFIG!$D$5:$D$14,0)))),""))</f>
        <v/>
      </c>
      <c r="T2315" s="13"/>
      <c r="U2315" s="13"/>
      <c r="V2315" s="13"/>
      <c r="W2315" s="13"/>
      <c r="X2315" s="22" t="str">
        <f aca="false">IF(Q2315="","",Q2315^2)</f>
        <v/>
      </c>
      <c r="Y2315" s="22" t="str">
        <f aca="false">IF(AND(C2315&lt;&gt;"",C2315=CERTIFICADO!$E$4,OR(CERTIFICADO!$E$5="",B2315=CERTIFICADO!$E$5)),MAX($Y$4:Y2314)+1,"")</f>
        <v/>
      </c>
    </row>
    <row r="2316" customFormat="false" ht="15" hidden="false" customHeight="false" outlineLevel="0" collapsed="false">
      <c r="A2316" s="11" t="str">
        <f aca="false">IF(C2316="","",ROW()-4)</f>
        <v/>
      </c>
      <c r="B2316" s="12"/>
      <c r="C2316" s="13"/>
      <c r="D2316" s="23" t="str">
        <f aca="false">IF(C2316="","",IFERROR(INDEX(LOTES!$D$5:$D$1004,MATCH(C2316,LOTES!$F$5:$F$1004,0)),"¿Lote?"))</f>
        <v/>
      </c>
      <c r="E2316" s="11" t="str">
        <f aca="false">IF(C2316="","",IFERROR(INDEX(LOTES!$C$5:$C$1004,MATCH(C2316,LOTES!$F$5:$F$1004,0)),""))</f>
        <v/>
      </c>
      <c r="F2316" s="24" t="str">
        <f aca="false">IF(C2316="","",IFERROR(INDEX(LOTES!$B$5:$B$1004,MATCH(C2316,LOTES!$F$5:$F$1004,0)),""))</f>
        <v/>
      </c>
      <c r="G2316" s="15" t="str">
        <f aca="false">IF(OR(B2316="",F2316=""),"",B2316-F2316)</f>
        <v/>
      </c>
      <c r="H2316" s="13"/>
      <c r="I2316" s="13"/>
      <c r="J2316" s="13"/>
      <c r="K2316" s="25"/>
      <c r="L2316" s="25"/>
      <c r="M2316" s="25"/>
      <c r="N2316" s="25"/>
      <c r="O2316" s="26"/>
      <c r="P2316" s="16" t="str">
        <f aca="false">IF(O2316="","",IFERROR(1/(1/(IF(K2316="",INDEX(CONFIG!$F$5:$F$14,MATCH(D2316,CONFIG!$D$5:$D$14,0)),K2316)*IF(M2316="",INDEX(CONFIG!$H$5:$H$14,MATCH(D2316,CONFIG!$D$5:$D$14,0)),M2316))),""))</f>
        <v/>
      </c>
      <c r="Q2316" s="16" t="str">
        <f aca="false">IF(OR(O2316="",P2316=""),"",O2316/P2316)</f>
        <v/>
      </c>
      <c r="R2316" s="16" t="str">
        <f aca="false">IF(Q2316="","",Q2316*0.0980665)</f>
        <v/>
      </c>
      <c r="S2316" s="16" t="str">
        <f aca="false">IF(Q2316="","",IFERROR(Q2316/(1/(1/INDEX(CONFIG!$I$5:$I$14,MATCH(D2316,CONFIG!$D$5:$D$14,0)))),""))</f>
        <v/>
      </c>
      <c r="T2316" s="13"/>
      <c r="U2316" s="13"/>
      <c r="V2316" s="13"/>
      <c r="W2316" s="13"/>
      <c r="X2316" s="22" t="str">
        <f aca="false">IF(Q2316="","",Q2316^2)</f>
        <v/>
      </c>
      <c r="Y2316" s="22" t="str">
        <f aca="false">IF(AND(C2316&lt;&gt;"",C2316=CERTIFICADO!$E$4,OR(CERTIFICADO!$E$5="",B2316=CERTIFICADO!$E$5)),MAX($Y$4:Y2315)+1,"")</f>
        <v/>
      </c>
    </row>
    <row r="2317" customFormat="false" ht="15" hidden="false" customHeight="false" outlineLevel="0" collapsed="false">
      <c r="A2317" s="11" t="str">
        <f aca="false">IF(C2317="","",ROW()-4)</f>
        <v/>
      </c>
      <c r="B2317" s="12"/>
      <c r="C2317" s="13"/>
      <c r="D2317" s="23" t="str">
        <f aca="false">IF(C2317="","",IFERROR(INDEX(LOTES!$D$5:$D$1004,MATCH(C2317,LOTES!$F$5:$F$1004,0)),"¿Lote?"))</f>
        <v/>
      </c>
      <c r="E2317" s="11" t="str">
        <f aca="false">IF(C2317="","",IFERROR(INDEX(LOTES!$C$5:$C$1004,MATCH(C2317,LOTES!$F$5:$F$1004,0)),""))</f>
        <v/>
      </c>
      <c r="F2317" s="24" t="str">
        <f aca="false">IF(C2317="","",IFERROR(INDEX(LOTES!$B$5:$B$1004,MATCH(C2317,LOTES!$F$5:$F$1004,0)),""))</f>
        <v/>
      </c>
      <c r="G2317" s="15" t="str">
        <f aca="false">IF(OR(B2317="",F2317=""),"",B2317-F2317)</f>
        <v/>
      </c>
      <c r="H2317" s="13"/>
      <c r="I2317" s="13"/>
      <c r="J2317" s="13"/>
      <c r="K2317" s="25"/>
      <c r="L2317" s="25"/>
      <c r="M2317" s="25"/>
      <c r="N2317" s="25"/>
      <c r="O2317" s="26"/>
      <c r="P2317" s="16" t="str">
        <f aca="false">IF(O2317="","",IFERROR(1/(1/(IF(K2317="",INDEX(CONFIG!$F$5:$F$14,MATCH(D2317,CONFIG!$D$5:$D$14,0)),K2317)*IF(M2317="",INDEX(CONFIG!$H$5:$H$14,MATCH(D2317,CONFIG!$D$5:$D$14,0)),M2317))),""))</f>
        <v/>
      </c>
      <c r="Q2317" s="16" t="str">
        <f aca="false">IF(OR(O2317="",P2317=""),"",O2317/P2317)</f>
        <v/>
      </c>
      <c r="R2317" s="16" t="str">
        <f aca="false">IF(Q2317="","",Q2317*0.0980665)</f>
        <v/>
      </c>
      <c r="S2317" s="16" t="str">
        <f aca="false">IF(Q2317="","",IFERROR(Q2317/(1/(1/INDEX(CONFIG!$I$5:$I$14,MATCH(D2317,CONFIG!$D$5:$D$14,0)))),""))</f>
        <v/>
      </c>
      <c r="T2317" s="13"/>
      <c r="U2317" s="13"/>
      <c r="V2317" s="13"/>
      <c r="W2317" s="13"/>
      <c r="X2317" s="22" t="str">
        <f aca="false">IF(Q2317="","",Q2317^2)</f>
        <v/>
      </c>
      <c r="Y2317" s="22" t="str">
        <f aca="false">IF(AND(C2317&lt;&gt;"",C2317=CERTIFICADO!$E$4,OR(CERTIFICADO!$E$5="",B2317=CERTIFICADO!$E$5)),MAX($Y$4:Y2316)+1,"")</f>
        <v/>
      </c>
    </row>
    <row r="2318" customFormat="false" ht="15" hidden="false" customHeight="false" outlineLevel="0" collapsed="false">
      <c r="A2318" s="11" t="str">
        <f aca="false">IF(C2318="","",ROW()-4)</f>
        <v/>
      </c>
      <c r="B2318" s="12"/>
      <c r="C2318" s="13"/>
      <c r="D2318" s="23" t="str">
        <f aca="false">IF(C2318="","",IFERROR(INDEX(LOTES!$D$5:$D$1004,MATCH(C2318,LOTES!$F$5:$F$1004,0)),"¿Lote?"))</f>
        <v/>
      </c>
      <c r="E2318" s="11" t="str">
        <f aca="false">IF(C2318="","",IFERROR(INDEX(LOTES!$C$5:$C$1004,MATCH(C2318,LOTES!$F$5:$F$1004,0)),""))</f>
        <v/>
      </c>
      <c r="F2318" s="24" t="str">
        <f aca="false">IF(C2318="","",IFERROR(INDEX(LOTES!$B$5:$B$1004,MATCH(C2318,LOTES!$F$5:$F$1004,0)),""))</f>
        <v/>
      </c>
      <c r="G2318" s="15" t="str">
        <f aca="false">IF(OR(B2318="",F2318=""),"",B2318-F2318)</f>
        <v/>
      </c>
      <c r="H2318" s="13"/>
      <c r="I2318" s="13"/>
      <c r="J2318" s="13"/>
      <c r="K2318" s="25"/>
      <c r="L2318" s="25"/>
      <c r="M2318" s="25"/>
      <c r="N2318" s="25"/>
      <c r="O2318" s="26"/>
      <c r="P2318" s="16" t="str">
        <f aca="false">IF(O2318="","",IFERROR(1/(1/(IF(K2318="",INDEX(CONFIG!$F$5:$F$14,MATCH(D2318,CONFIG!$D$5:$D$14,0)),K2318)*IF(M2318="",INDEX(CONFIG!$H$5:$H$14,MATCH(D2318,CONFIG!$D$5:$D$14,0)),M2318))),""))</f>
        <v/>
      </c>
      <c r="Q2318" s="16" t="str">
        <f aca="false">IF(OR(O2318="",P2318=""),"",O2318/P2318)</f>
        <v/>
      </c>
      <c r="R2318" s="16" t="str">
        <f aca="false">IF(Q2318="","",Q2318*0.0980665)</f>
        <v/>
      </c>
      <c r="S2318" s="16" t="str">
        <f aca="false">IF(Q2318="","",IFERROR(Q2318/(1/(1/INDEX(CONFIG!$I$5:$I$14,MATCH(D2318,CONFIG!$D$5:$D$14,0)))),""))</f>
        <v/>
      </c>
      <c r="T2318" s="13"/>
      <c r="U2318" s="13"/>
      <c r="V2318" s="13"/>
      <c r="W2318" s="13"/>
      <c r="X2318" s="22" t="str">
        <f aca="false">IF(Q2318="","",Q2318^2)</f>
        <v/>
      </c>
      <c r="Y2318" s="22" t="str">
        <f aca="false">IF(AND(C2318&lt;&gt;"",C2318=CERTIFICADO!$E$4,OR(CERTIFICADO!$E$5="",B2318=CERTIFICADO!$E$5)),MAX($Y$4:Y2317)+1,"")</f>
        <v/>
      </c>
    </row>
    <row r="2319" customFormat="false" ht="15" hidden="false" customHeight="false" outlineLevel="0" collapsed="false">
      <c r="A2319" s="11" t="str">
        <f aca="false">IF(C2319="","",ROW()-4)</f>
        <v/>
      </c>
      <c r="B2319" s="12"/>
      <c r="C2319" s="13"/>
      <c r="D2319" s="23" t="str">
        <f aca="false">IF(C2319="","",IFERROR(INDEX(LOTES!$D$5:$D$1004,MATCH(C2319,LOTES!$F$5:$F$1004,0)),"¿Lote?"))</f>
        <v/>
      </c>
      <c r="E2319" s="11" t="str">
        <f aca="false">IF(C2319="","",IFERROR(INDEX(LOTES!$C$5:$C$1004,MATCH(C2319,LOTES!$F$5:$F$1004,0)),""))</f>
        <v/>
      </c>
      <c r="F2319" s="24" t="str">
        <f aca="false">IF(C2319="","",IFERROR(INDEX(LOTES!$B$5:$B$1004,MATCH(C2319,LOTES!$F$5:$F$1004,0)),""))</f>
        <v/>
      </c>
      <c r="G2319" s="15" t="str">
        <f aca="false">IF(OR(B2319="",F2319=""),"",B2319-F2319)</f>
        <v/>
      </c>
      <c r="H2319" s="13"/>
      <c r="I2319" s="13"/>
      <c r="J2319" s="13"/>
      <c r="K2319" s="25"/>
      <c r="L2319" s="25"/>
      <c r="M2319" s="25"/>
      <c r="N2319" s="25"/>
      <c r="O2319" s="26"/>
      <c r="P2319" s="16" t="str">
        <f aca="false">IF(O2319="","",IFERROR(1/(1/(IF(K2319="",INDEX(CONFIG!$F$5:$F$14,MATCH(D2319,CONFIG!$D$5:$D$14,0)),K2319)*IF(M2319="",INDEX(CONFIG!$H$5:$H$14,MATCH(D2319,CONFIG!$D$5:$D$14,0)),M2319))),""))</f>
        <v/>
      </c>
      <c r="Q2319" s="16" t="str">
        <f aca="false">IF(OR(O2319="",P2319=""),"",O2319/P2319)</f>
        <v/>
      </c>
      <c r="R2319" s="16" t="str">
        <f aca="false">IF(Q2319="","",Q2319*0.0980665)</f>
        <v/>
      </c>
      <c r="S2319" s="16" t="str">
        <f aca="false">IF(Q2319="","",IFERROR(Q2319/(1/(1/INDEX(CONFIG!$I$5:$I$14,MATCH(D2319,CONFIG!$D$5:$D$14,0)))),""))</f>
        <v/>
      </c>
      <c r="T2319" s="13"/>
      <c r="U2319" s="13"/>
      <c r="V2319" s="13"/>
      <c r="W2319" s="13"/>
      <c r="X2319" s="22" t="str">
        <f aca="false">IF(Q2319="","",Q2319^2)</f>
        <v/>
      </c>
      <c r="Y2319" s="22" t="str">
        <f aca="false">IF(AND(C2319&lt;&gt;"",C2319=CERTIFICADO!$E$4,OR(CERTIFICADO!$E$5="",B2319=CERTIFICADO!$E$5)),MAX($Y$4:Y2318)+1,"")</f>
        <v/>
      </c>
    </row>
    <row r="2320" customFormat="false" ht="15" hidden="false" customHeight="false" outlineLevel="0" collapsed="false">
      <c r="A2320" s="11" t="str">
        <f aca="false">IF(C2320="","",ROW()-4)</f>
        <v/>
      </c>
      <c r="B2320" s="12"/>
      <c r="C2320" s="13"/>
      <c r="D2320" s="23" t="str">
        <f aca="false">IF(C2320="","",IFERROR(INDEX(LOTES!$D$5:$D$1004,MATCH(C2320,LOTES!$F$5:$F$1004,0)),"¿Lote?"))</f>
        <v/>
      </c>
      <c r="E2320" s="11" t="str">
        <f aca="false">IF(C2320="","",IFERROR(INDEX(LOTES!$C$5:$C$1004,MATCH(C2320,LOTES!$F$5:$F$1004,0)),""))</f>
        <v/>
      </c>
      <c r="F2320" s="24" t="str">
        <f aca="false">IF(C2320="","",IFERROR(INDEX(LOTES!$B$5:$B$1004,MATCH(C2320,LOTES!$F$5:$F$1004,0)),""))</f>
        <v/>
      </c>
      <c r="G2320" s="15" t="str">
        <f aca="false">IF(OR(B2320="",F2320=""),"",B2320-F2320)</f>
        <v/>
      </c>
      <c r="H2320" s="13"/>
      <c r="I2320" s="13"/>
      <c r="J2320" s="13"/>
      <c r="K2320" s="25"/>
      <c r="L2320" s="25"/>
      <c r="M2320" s="25"/>
      <c r="N2320" s="25"/>
      <c r="O2320" s="26"/>
      <c r="P2320" s="16" t="str">
        <f aca="false">IF(O2320="","",IFERROR(1/(1/(IF(K2320="",INDEX(CONFIG!$F$5:$F$14,MATCH(D2320,CONFIG!$D$5:$D$14,0)),K2320)*IF(M2320="",INDEX(CONFIG!$H$5:$H$14,MATCH(D2320,CONFIG!$D$5:$D$14,0)),M2320))),""))</f>
        <v/>
      </c>
      <c r="Q2320" s="16" t="str">
        <f aca="false">IF(OR(O2320="",P2320=""),"",O2320/P2320)</f>
        <v/>
      </c>
      <c r="R2320" s="16" t="str">
        <f aca="false">IF(Q2320="","",Q2320*0.0980665)</f>
        <v/>
      </c>
      <c r="S2320" s="16" t="str">
        <f aca="false">IF(Q2320="","",IFERROR(Q2320/(1/(1/INDEX(CONFIG!$I$5:$I$14,MATCH(D2320,CONFIG!$D$5:$D$14,0)))),""))</f>
        <v/>
      </c>
      <c r="T2320" s="13"/>
      <c r="U2320" s="13"/>
      <c r="V2320" s="13"/>
      <c r="W2320" s="13"/>
      <c r="X2320" s="22" t="str">
        <f aca="false">IF(Q2320="","",Q2320^2)</f>
        <v/>
      </c>
      <c r="Y2320" s="22" t="str">
        <f aca="false">IF(AND(C2320&lt;&gt;"",C2320=CERTIFICADO!$E$4,OR(CERTIFICADO!$E$5="",B2320=CERTIFICADO!$E$5)),MAX($Y$4:Y2319)+1,"")</f>
        <v/>
      </c>
    </row>
    <row r="2321" customFormat="false" ht="15" hidden="false" customHeight="false" outlineLevel="0" collapsed="false">
      <c r="A2321" s="11" t="str">
        <f aca="false">IF(C2321="","",ROW()-4)</f>
        <v/>
      </c>
      <c r="B2321" s="12"/>
      <c r="C2321" s="13"/>
      <c r="D2321" s="23" t="str">
        <f aca="false">IF(C2321="","",IFERROR(INDEX(LOTES!$D$5:$D$1004,MATCH(C2321,LOTES!$F$5:$F$1004,0)),"¿Lote?"))</f>
        <v/>
      </c>
      <c r="E2321" s="11" t="str">
        <f aca="false">IF(C2321="","",IFERROR(INDEX(LOTES!$C$5:$C$1004,MATCH(C2321,LOTES!$F$5:$F$1004,0)),""))</f>
        <v/>
      </c>
      <c r="F2321" s="24" t="str">
        <f aca="false">IF(C2321="","",IFERROR(INDEX(LOTES!$B$5:$B$1004,MATCH(C2321,LOTES!$F$5:$F$1004,0)),""))</f>
        <v/>
      </c>
      <c r="G2321" s="15" t="str">
        <f aca="false">IF(OR(B2321="",F2321=""),"",B2321-F2321)</f>
        <v/>
      </c>
      <c r="H2321" s="13"/>
      <c r="I2321" s="13"/>
      <c r="J2321" s="13"/>
      <c r="K2321" s="25"/>
      <c r="L2321" s="25"/>
      <c r="M2321" s="25"/>
      <c r="N2321" s="25"/>
      <c r="O2321" s="26"/>
      <c r="P2321" s="16" t="str">
        <f aca="false">IF(O2321="","",IFERROR(1/(1/(IF(K2321="",INDEX(CONFIG!$F$5:$F$14,MATCH(D2321,CONFIG!$D$5:$D$14,0)),K2321)*IF(M2321="",INDEX(CONFIG!$H$5:$H$14,MATCH(D2321,CONFIG!$D$5:$D$14,0)),M2321))),""))</f>
        <v/>
      </c>
      <c r="Q2321" s="16" t="str">
        <f aca="false">IF(OR(O2321="",P2321=""),"",O2321/P2321)</f>
        <v/>
      </c>
      <c r="R2321" s="16" t="str">
        <f aca="false">IF(Q2321="","",Q2321*0.0980665)</f>
        <v/>
      </c>
      <c r="S2321" s="16" t="str">
        <f aca="false">IF(Q2321="","",IFERROR(Q2321/(1/(1/INDEX(CONFIG!$I$5:$I$14,MATCH(D2321,CONFIG!$D$5:$D$14,0)))),""))</f>
        <v/>
      </c>
      <c r="T2321" s="13"/>
      <c r="U2321" s="13"/>
      <c r="V2321" s="13"/>
      <c r="W2321" s="13"/>
      <c r="X2321" s="22" t="str">
        <f aca="false">IF(Q2321="","",Q2321^2)</f>
        <v/>
      </c>
      <c r="Y2321" s="22" t="str">
        <f aca="false">IF(AND(C2321&lt;&gt;"",C2321=CERTIFICADO!$E$4,OR(CERTIFICADO!$E$5="",B2321=CERTIFICADO!$E$5)),MAX($Y$4:Y2320)+1,"")</f>
        <v/>
      </c>
    </row>
    <row r="2322" customFormat="false" ht="15" hidden="false" customHeight="false" outlineLevel="0" collapsed="false">
      <c r="A2322" s="11" t="str">
        <f aca="false">IF(C2322="","",ROW()-4)</f>
        <v/>
      </c>
      <c r="B2322" s="12"/>
      <c r="C2322" s="13"/>
      <c r="D2322" s="23" t="str">
        <f aca="false">IF(C2322="","",IFERROR(INDEX(LOTES!$D$5:$D$1004,MATCH(C2322,LOTES!$F$5:$F$1004,0)),"¿Lote?"))</f>
        <v/>
      </c>
      <c r="E2322" s="11" t="str">
        <f aca="false">IF(C2322="","",IFERROR(INDEX(LOTES!$C$5:$C$1004,MATCH(C2322,LOTES!$F$5:$F$1004,0)),""))</f>
        <v/>
      </c>
      <c r="F2322" s="24" t="str">
        <f aca="false">IF(C2322="","",IFERROR(INDEX(LOTES!$B$5:$B$1004,MATCH(C2322,LOTES!$F$5:$F$1004,0)),""))</f>
        <v/>
      </c>
      <c r="G2322" s="15" t="str">
        <f aca="false">IF(OR(B2322="",F2322=""),"",B2322-F2322)</f>
        <v/>
      </c>
      <c r="H2322" s="13"/>
      <c r="I2322" s="13"/>
      <c r="J2322" s="13"/>
      <c r="K2322" s="25"/>
      <c r="L2322" s="25"/>
      <c r="M2322" s="25"/>
      <c r="N2322" s="25"/>
      <c r="O2322" s="26"/>
      <c r="P2322" s="16" t="str">
        <f aca="false">IF(O2322="","",IFERROR(1/(1/(IF(K2322="",INDEX(CONFIG!$F$5:$F$14,MATCH(D2322,CONFIG!$D$5:$D$14,0)),K2322)*IF(M2322="",INDEX(CONFIG!$H$5:$H$14,MATCH(D2322,CONFIG!$D$5:$D$14,0)),M2322))),""))</f>
        <v/>
      </c>
      <c r="Q2322" s="16" t="str">
        <f aca="false">IF(OR(O2322="",P2322=""),"",O2322/P2322)</f>
        <v/>
      </c>
      <c r="R2322" s="16" t="str">
        <f aca="false">IF(Q2322="","",Q2322*0.0980665)</f>
        <v/>
      </c>
      <c r="S2322" s="16" t="str">
        <f aca="false">IF(Q2322="","",IFERROR(Q2322/(1/(1/INDEX(CONFIG!$I$5:$I$14,MATCH(D2322,CONFIG!$D$5:$D$14,0)))),""))</f>
        <v/>
      </c>
      <c r="T2322" s="13"/>
      <c r="U2322" s="13"/>
      <c r="V2322" s="13"/>
      <c r="W2322" s="13"/>
      <c r="X2322" s="22" t="str">
        <f aca="false">IF(Q2322="","",Q2322^2)</f>
        <v/>
      </c>
      <c r="Y2322" s="22" t="str">
        <f aca="false">IF(AND(C2322&lt;&gt;"",C2322=CERTIFICADO!$E$4,OR(CERTIFICADO!$E$5="",B2322=CERTIFICADO!$E$5)),MAX($Y$4:Y2321)+1,"")</f>
        <v/>
      </c>
    </row>
    <row r="2323" customFormat="false" ht="15" hidden="false" customHeight="false" outlineLevel="0" collapsed="false">
      <c r="A2323" s="11" t="str">
        <f aca="false">IF(C2323="","",ROW()-4)</f>
        <v/>
      </c>
      <c r="B2323" s="12"/>
      <c r="C2323" s="13"/>
      <c r="D2323" s="23" t="str">
        <f aca="false">IF(C2323="","",IFERROR(INDEX(LOTES!$D$5:$D$1004,MATCH(C2323,LOTES!$F$5:$F$1004,0)),"¿Lote?"))</f>
        <v/>
      </c>
      <c r="E2323" s="11" t="str">
        <f aca="false">IF(C2323="","",IFERROR(INDEX(LOTES!$C$5:$C$1004,MATCH(C2323,LOTES!$F$5:$F$1004,0)),""))</f>
        <v/>
      </c>
      <c r="F2323" s="24" t="str">
        <f aca="false">IF(C2323="","",IFERROR(INDEX(LOTES!$B$5:$B$1004,MATCH(C2323,LOTES!$F$5:$F$1004,0)),""))</f>
        <v/>
      </c>
      <c r="G2323" s="15" t="str">
        <f aca="false">IF(OR(B2323="",F2323=""),"",B2323-F2323)</f>
        <v/>
      </c>
      <c r="H2323" s="13"/>
      <c r="I2323" s="13"/>
      <c r="J2323" s="13"/>
      <c r="K2323" s="25"/>
      <c r="L2323" s="25"/>
      <c r="M2323" s="25"/>
      <c r="N2323" s="25"/>
      <c r="O2323" s="26"/>
      <c r="P2323" s="16" t="str">
        <f aca="false">IF(O2323="","",IFERROR(1/(1/(IF(K2323="",INDEX(CONFIG!$F$5:$F$14,MATCH(D2323,CONFIG!$D$5:$D$14,0)),K2323)*IF(M2323="",INDEX(CONFIG!$H$5:$H$14,MATCH(D2323,CONFIG!$D$5:$D$14,0)),M2323))),""))</f>
        <v/>
      </c>
      <c r="Q2323" s="16" t="str">
        <f aca="false">IF(OR(O2323="",P2323=""),"",O2323/P2323)</f>
        <v/>
      </c>
      <c r="R2323" s="16" t="str">
        <f aca="false">IF(Q2323="","",Q2323*0.0980665)</f>
        <v/>
      </c>
      <c r="S2323" s="16" t="str">
        <f aca="false">IF(Q2323="","",IFERROR(Q2323/(1/(1/INDEX(CONFIG!$I$5:$I$14,MATCH(D2323,CONFIG!$D$5:$D$14,0)))),""))</f>
        <v/>
      </c>
      <c r="T2323" s="13"/>
      <c r="U2323" s="13"/>
      <c r="V2323" s="13"/>
      <c r="W2323" s="13"/>
      <c r="X2323" s="22" t="str">
        <f aca="false">IF(Q2323="","",Q2323^2)</f>
        <v/>
      </c>
      <c r="Y2323" s="22" t="str">
        <f aca="false">IF(AND(C2323&lt;&gt;"",C2323=CERTIFICADO!$E$4,OR(CERTIFICADO!$E$5="",B2323=CERTIFICADO!$E$5)),MAX($Y$4:Y2322)+1,"")</f>
        <v/>
      </c>
    </row>
    <row r="2324" customFormat="false" ht="15" hidden="false" customHeight="false" outlineLevel="0" collapsed="false">
      <c r="A2324" s="11" t="str">
        <f aca="false">IF(C2324="","",ROW()-4)</f>
        <v/>
      </c>
      <c r="B2324" s="12"/>
      <c r="C2324" s="13"/>
      <c r="D2324" s="23" t="str">
        <f aca="false">IF(C2324="","",IFERROR(INDEX(LOTES!$D$5:$D$1004,MATCH(C2324,LOTES!$F$5:$F$1004,0)),"¿Lote?"))</f>
        <v/>
      </c>
      <c r="E2324" s="11" t="str">
        <f aca="false">IF(C2324="","",IFERROR(INDEX(LOTES!$C$5:$C$1004,MATCH(C2324,LOTES!$F$5:$F$1004,0)),""))</f>
        <v/>
      </c>
      <c r="F2324" s="24" t="str">
        <f aca="false">IF(C2324="","",IFERROR(INDEX(LOTES!$B$5:$B$1004,MATCH(C2324,LOTES!$F$5:$F$1004,0)),""))</f>
        <v/>
      </c>
      <c r="G2324" s="15" t="str">
        <f aca="false">IF(OR(B2324="",F2324=""),"",B2324-F2324)</f>
        <v/>
      </c>
      <c r="H2324" s="13"/>
      <c r="I2324" s="13"/>
      <c r="J2324" s="13"/>
      <c r="K2324" s="25"/>
      <c r="L2324" s="25"/>
      <c r="M2324" s="25"/>
      <c r="N2324" s="25"/>
      <c r="O2324" s="26"/>
      <c r="P2324" s="16" t="str">
        <f aca="false">IF(O2324="","",IFERROR(1/(1/(IF(K2324="",INDEX(CONFIG!$F$5:$F$14,MATCH(D2324,CONFIG!$D$5:$D$14,0)),K2324)*IF(M2324="",INDEX(CONFIG!$H$5:$H$14,MATCH(D2324,CONFIG!$D$5:$D$14,0)),M2324))),""))</f>
        <v/>
      </c>
      <c r="Q2324" s="16" t="str">
        <f aca="false">IF(OR(O2324="",P2324=""),"",O2324/P2324)</f>
        <v/>
      </c>
      <c r="R2324" s="16" t="str">
        <f aca="false">IF(Q2324="","",Q2324*0.0980665)</f>
        <v/>
      </c>
      <c r="S2324" s="16" t="str">
        <f aca="false">IF(Q2324="","",IFERROR(Q2324/(1/(1/INDEX(CONFIG!$I$5:$I$14,MATCH(D2324,CONFIG!$D$5:$D$14,0)))),""))</f>
        <v/>
      </c>
      <c r="T2324" s="13"/>
      <c r="U2324" s="13"/>
      <c r="V2324" s="13"/>
      <c r="W2324" s="13"/>
      <c r="X2324" s="22" t="str">
        <f aca="false">IF(Q2324="","",Q2324^2)</f>
        <v/>
      </c>
      <c r="Y2324" s="22" t="str">
        <f aca="false">IF(AND(C2324&lt;&gt;"",C2324=CERTIFICADO!$E$4,OR(CERTIFICADO!$E$5="",B2324=CERTIFICADO!$E$5)),MAX($Y$4:Y2323)+1,"")</f>
        <v/>
      </c>
    </row>
    <row r="2325" customFormat="false" ht="15" hidden="false" customHeight="false" outlineLevel="0" collapsed="false">
      <c r="A2325" s="11" t="str">
        <f aca="false">IF(C2325="","",ROW()-4)</f>
        <v/>
      </c>
      <c r="B2325" s="12"/>
      <c r="C2325" s="13"/>
      <c r="D2325" s="23" t="str">
        <f aca="false">IF(C2325="","",IFERROR(INDEX(LOTES!$D$5:$D$1004,MATCH(C2325,LOTES!$F$5:$F$1004,0)),"¿Lote?"))</f>
        <v/>
      </c>
      <c r="E2325" s="11" t="str">
        <f aca="false">IF(C2325="","",IFERROR(INDEX(LOTES!$C$5:$C$1004,MATCH(C2325,LOTES!$F$5:$F$1004,0)),""))</f>
        <v/>
      </c>
      <c r="F2325" s="24" t="str">
        <f aca="false">IF(C2325="","",IFERROR(INDEX(LOTES!$B$5:$B$1004,MATCH(C2325,LOTES!$F$5:$F$1004,0)),""))</f>
        <v/>
      </c>
      <c r="G2325" s="15" t="str">
        <f aca="false">IF(OR(B2325="",F2325=""),"",B2325-F2325)</f>
        <v/>
      </c>
      <c r="H2325" s="13"/>
      <c r="I2325" s="13"/>
      <c r="J2325" s="13"/>
      <c r="K2325" s="25"/>
      <c r="L2325" s="25"/>
      <c r="M2325" s="25"/>
      <c r="N2325" s="25"/>
      <c r="O2325" s="26"/>
      <c r="P2325" s="16" t="str">
        <f aca="false">IF(O2325="","",IFERROR(1/(1/(IF(K2325="",INDEX(CONFIG!$F$5:$F$14,MATCH(D2325,CONFIG!$D$5:$D$14,0)),K2325)*IF(M2325="",INDEX(CONFIG!$H$5:$H$14,MATCH(D2325,CONFIG!$D$5:$D$14,0)),M2325))),""))</f>
        <v/>
      </c>
      <c r="Q2325" s="16" t="str">
        <f aca="false">IF(OR(O2325="",P2325=""),"",O2325/P2325)</f>
        <v/>
      </c>
      <c r="R2325" s="16" t="str">
        <f aca="false">IF(Q2325="","",Q2325*0.0980665)</f>
        <v/>
      </c>
      <c r="S2325" s="16" t="str">
        <f aca="false">IF(Q2325="","",IFERROR(Q2325/(1/(1/INDEX(CONFIG!$I$5:$I$14,MATCH(D2325,CONFIG!$D$5:$D$14,0)))),""))</f>
        <v/>
      </c>
      <c r="T2325" s="13"/>
      <c r="U2325" s="13"/>
      <c r="V2325" s="13"/>
      <c r="W2325" s="13"/>
      <c r="X2325" s="22" t="str">
        <f aca="false">IF(Q2325="","",Q2325^2)</f>
        <v/>
      </c>
      <c r="Y2325" s="22" t="str">
        <f aca="false">IF(AND(C2325&lt;&gt;"",C2325=CERTIFICADO!$E$4,OR(CERTIFICADO!$E$5="",B2325=CERTIFICADO!$E$5)),MAX($Y$4:Y2324)+1,"")</f>
        <v/>
      </c>
    </row>
    <row r="2326" customFormat="false" ht="15" hidden="false" customHeight="false" outlineLevel="0" collapsed="false">
      <c r="A2326" s="11" t="str">
        <f aca="false">IF(C2326="","",ROW()-4)</f>
        <v/>
      </c>
      <c r="B2326" s="12"/>
      <c r="C2326" s="13"/>
      <c r="D2326" s="23" t="str">
        <f aca="false">IF(C2326="","",IFERROR(INDEX(LOTES!$D$5:$D$1004,MATCH(C2326,LOTES!$F$5:$F$1004,0)),"¿Lote?"))</f>
        <v/>
      </c>
      <c r="E2326" s="11" t="str">
        <f aca="false">IF(C2326="","",IFERROR(INDEX(LOTES!$C$5:$C$1004,MATCH(C2326,LOTES!$F$5:$F$1004,0)),""))</f>
        <v/>
      </c>
      <c r="F2326" s="24" t="str">
        <f aca="false">IF(C2326="","",IFERROR(INDEX(LOTES!$B$5:$B$1004,MATCH(C2326,LOTES!$F$5:$F$1004,0)),""))</f>
        <v/>
      </c>
      <c r="G2326" s="15" t="str">
        <f aca="false">IF(OR(B2326="",F2326=""),"",B2326-F2326)</f>
        <v/>
      </c>
      <c r="H2326" s="13"/>
      <c r="I2326" s="13"/>
      <c r="J2326" s="13"/>
      <c r="K2326" s="25"/>
      <c r="L2326" s="25"/>
      <c r="M2326" s="25"/>
      <c r="N2326" s="25"/>
      <c r="O2326" s="26"/>
      <c r="P2326" s="16" t="str">
        <f aca="false">IF(O2326="","",IFERROR(1/(1/(IF(K2326="",INDEX(CONFIG!$F$5:$F$14,MATCH(D2326,CONFIG!$D$5:$D$14,0)),K2326)*IF(M2326="",INDEX(CONFIG!$H$5:$H$14,MATCH(D2326,CONFIG!$D$5:$D$14,0)),M2326))),""))</f>
        <v/>
      </c>
      <c r="Q2326" s="16" t="str">
        <f aca="false">IF(OR(O2326="",P2326=""),"",O2326/P2326)</f>
        <v/>
      </c>
      <c r="R2326" s="16" t="str">
        <f aca="false">IF(Q2326="","",Q2326*0.0980665)</f>
        <v/>
      </c>
      <c r="S2326" s="16" t="str">
        <f aca="false">IF(Q2326="","",IFERROR(Q2326/(1/(1/INDEX(CONFIG!$I$5:$I$14,MATCH(D2326,CONFIG!$D$5:$D$14,0)))),""))</f>
        <v/>
      </c>
      <c r="T2326" s="13"/>
      <c r="U2326" s="13"/>
      <c r="V2326" s="13"/>
      <c r="W2326" s="13"/>
      <c r="X2326" s="22" t="str">
        <f aca="false">IF(Q2326="","",Q2326^2)</f>
        <v/>
      </c>
      <c r="Y2326" s="22" t="str">
        <f aca="false">IF(AND(C2326&lt;&gt;"",C2326=CERTIFICADO!$E$4,OR(CERTIFICADO!$E$5="",B2326=CERTIFICADO!$E$5)),MAX($Y$4:Y2325)+1,"")</f>
        <v/>
      </c>
    </row>
    <row r="2327" customFormat="false" ht="15" hidden="false" customHeight="false" outlineLevel="0" collapsed="false">
      <c r="A2327" s="11" t="str">
        <f aca="false">IF(C2327="","",ROW()-4)</f>
        <v/>
      </c>
      <c r="B2327" s="12"/>
      <c r="C2327" s="13"/>
      <c r="D2327" s="23" t="str">
        <f aca="false">IF(C2327="","",IFERROR(INDEX(LOTES!$D$5:$D$1004,MATCH(C2327,LOTES!$F$5:$F$1004,0)),"¿Lote?"))</f>
        <v/>
      </c>
      <c r="E2327" s="11" t="str">
        <f aca="false">IF(C2327="","",IFERROR(INDEX(LOTES!$C$5:$C$1004,MATCH(C2327,LOTES!$F$5:$F$1004,0)),""))</f>
        <v/>
      </c>
      <c r="F2327" s="24" t="str">
        <f aca="false">IF(C2327="","",IFERROR(INDEX(LOTES!$B$5:$B$1004,MATCH(C2327,LOTES!$F$5:$F$1004,0)),""))</f>
        <v/>
      </c>
      <c r="G2327" s="15" t="str">
        <f aca="false">IF(OR(B2327="",F2327=""),"",B2327-F2327)</f>
        <v/>
      </c>
      <c r="H2327" s="13"/>
      <c r="I2327" s="13"/>
      <c r="J2327" s="13"/>
      <c r="K2327" s="25"/>
      <c r="L2327" s="25"/>
      <c r="M2327" s="25"/>
      <c r="N2327" s="25"/>
      <c r="O2327" s="26"/>
      <c r="P2327" s="16" t="str">
        <f aca="false">IF(O2327="","",IFERROR(1/(1/(IF(K2327="",INDEX(CONFIG!$F$5:$F$14,MATCH(D2327,CONFIG!$D$5:$D$14,0)),K2327)*IF(M2327="",INDEX(CONFIG!$H$5:$H$14,MATCH(D2327,CONFIG!$D$5:$D$14,0)),M2327))),""))</f>
        <v/>
      </c>
      <c r="Q2327" s="16" t="str">
        <f aca="false">IF(OR(O2327="",P2327=""),"",O2327/P2327)</f>
        <v/>
      </c>
      <c r="R2327" s="16" t="str">
        <f aca="false">IF(Q2327="","",Q2327*0.0980665)</f>
        <v/>
      </c>
      <c r="S2327" s="16" t="str">
        <f aca="false">IF(Q2327="","",IFERROR(Q2327/(1/(1/INDEX(CONFIG!$I$5:$I$14,MATCH(D2327,CONFIG!$D$5:$D$14,0)))),""))</f>
        <v/>
      </c>
      <c r="T2327" s="13"/>
      <c r="U2327" s="13"/>
      <c r="V2327" s="13"/>
      <c r="W2327" s="13"/>
      <c r="X2327" s="22" t="str">
        <f aca="false">IF(Q2327="","",Q2327^2)</f>
        <v/>
      </c>
      <c r="Y2327" s="22" t="str">
        <f aca="false">IF(AND(C2327&lt;&gt;"",C2327=CERTIFICADO!$E$4,OR(CERTIFICADO!$E$5="",B2327=CERTIFICADO!$E$5)),MAX($Y$4:Y2326)+1,"")</f>
        <v/>
      </c>
    </row>
    <row r="2328" customFormat="false" ht="15" hidden="false" customHeight="false" outlineLevel="0" collapsed="false">
      <c r="A2328" s="11" t="str">
        <f aca="false">IF(C2328="","",ROW()-4)</f>
        <v/>
      </c>
      <c r="B2328" s="12"/>
      <c r="C2328" s="13"/>
      <c r="D2328" s="23" t="str">
        <f aca="false">IF(C2328="","",IFERROR(INDEX(LOTES!$D$5:$D$1004,MATCH(C2328,LOTES!$F$5:$F$1004,0)),"¿Lote?"))</f>
        <v/>
      </c>
      <c r="E2328" s="11" t="str">
        <f aca="false">IF(C2328="","",IFERROR(INDEX(LOTES!$C$5:$C$1004,MATCH(C2328,LOTES!$F$5:$F$1004,0)),""))</f>
        <v/>
      </c>
      <c r="F2328" s="24" t="str">
        <f aca="false">IF(C2328="","",IFERROR(INDEX(LOTES!$B$5:$B$1004,MATCH(C2328,LOTES!$F$5:$F$1004,0)),""))</f>
        <v/>
      </c>
      <c r="G2328" s="15" t="str">
        <f aca="false">IF(OR(B2328="",F2328=""),"",B2328-F2328)</f>
        <v/>
      </c>
      <c r="H2328" s="13"/>
      <c r="I2328" s="13"/>
      <c r="J2328" s="13"/>
      <c r="K2328" s="25"/>
      <c r="L2328" s="25"/>
      <c r="M2328" s="25"/>
      <c r="N2328" s="25"/>
      <c r="O2328" s="26"/>
      <c r="P2328" s="16" t="str">
        <f aca="false">IF(O2328="","",IFERROR(1/(1/(IF(K2328="",INDEX(CONFIG!$F$5:$F$14,MATCH(D2328,CONFIG!$D$5:$D$14,0)),K2328)*IF(M2328="",INDEX(CONFIG!$H$5:$H$14,MATCH(D2328,CONFIG!$D$5:$D$14,0)),M2328))),""))</f>
        <v/>
      </c>
      <c r="Q2328" s="16" t="str">
        <f aca="false">IF(OR(O2328="",P2328=""),"",O2328/P2328)</f>
        <v/>
      </c>
      <c r="R2328" s="16" t="str">
        <f aca="false">IF(Q2328="","",Q2328*0.0980665)</f>
        <v/>
      </c>
      <c r="S2328" s="16" t="str">
        <f aca="false">IF(Q2328="","",IFERROR(Q2328/(1/(1/INDEX(CONFIG!$I$5:$I$14,MATCH(D2328,CONFIG!$D$5:$D$14,0)))),""))</f>
        <v/>
      </c>
      <c r="T2328" s="13"/>
      <c r="U2328" s="13"/>
      <c r="V2328" s="13"/>
      <c r="W2328" s="13"/>
      <c r="X2328" s="22" t="str">
        <f aca="false">IF(Q2328="","",Q2328^2)</f>
        <v/>
      </c>
      <c r="Y2328" s="22" t="str">
        <f aca="false">IF(AND(C2328&lt;&gt;"",C2328=CERTIFICADO!$E$4,OR(CERTIFICADO!$E$5="",B2328=CERTIFICADO!$E$5)),MAX($Y$4:Y2327)+1,"")</f>
        <v/>
      </c>
    </row>
    <row r="2329" customFormat="false" ht="15" hidden="false" customHeight="false" outlineLevel="0" collapsed="false">
      <c r="A2329" s="11" t="str">
        <f aca="false">IF(C2329="","",ROW()-4)</f>
        <v/>
      </c>
      <c r="B2329" s="12"/>
      <c r="C2329" s="13"/>
      <c r="D2329" s="23" t="str">
        <f aca="false">IF(C2329="","",IFERROR(INDEX(LOTES!$D$5:$D$1004,MATCH(C2329,LOTES!$F$5:$F$1004,0)),"¿Lote?"))</f>
        <v/>
      </c>
      <c r="E2329" s="11" t="str">
        <f aca="false">IF(C2329="","",IFERROR(INDEX(LOTES!$C$5:$C$1004,MATCH(C2329,LOTES!$F$5:$F$1004,0)),""))</f>
        <v/>
      </c>
      <c r="F2329" s="24" t="str">
        <f aca="false">IF(C2329="","",IFERROR(INDEX(LOTES!$B$5:$B$1004,MATCH(C2329,LOTES!$F$5:$F$1004,0)),""))</f>
        <v/>
      </c>
      <c r="G2329" s="15" t="str">
        <f aca="false">IF(OR(B2329="",F2329=""),"",B2329-F2329)</f>
        <v/>
      </c>
      <c r="H2329" s="13"/>
      <c r="I2329" s="13"/>
      <c r="J2329" s="13"/>
      <c r="K2329" s="25"/>
      <c r="L2329" s="25"/>
      <c r="M2329" s="25"/>
      <c r="N2329" s="25"/>
      <c r="O2329" s="26"/>
      <c r="P2329" s="16" t="str">
        <f aca="false">IF(O2329="","",IFERROR(1/(1/(IF(K2329="",INDEX(CONFIG!$F$5:$F$14,MATCH(D2329,CONFIG!$D$5:$D$14,0)),K2329)*IF(M2329="",INDEX(CONFIG!$H$5:$H$14,MATCH(D2329,CONFIG!$D$5:$D$14,0)),M2329))),""))</f>
        <v/>
      </c>
      <c r="Q2329" s="16" t="str">
        <f aca="false">IF(OR(O2329="",P2329=""),"",O2329/P2329)</f>
        <v/>
      </c>
      <c r="R2329" s="16" t="str">
        <f aca="false">IF(Q2329="","",Q2329*0.0980665)</f>
        <v/>
      </c>
      <c r="S2329" s="16" t="str">
        <f aca="false">IF(Q2329="","",IFERROR(Q2329/(1/(1/INDEX(CONFIG!$I$5:$I$14,MATCH(D2329,CONFIG!$D$5:$D$14,0)))),""))</f>
        <v/>
      </c>
      <c r="T2329" s="13"/>
      <c r="U2329" s="13"/>
      <c r="V2329" s="13"/>
      <c r="W2329" s="13"/>
      <c r="X2329" s="22" t="str">
        <f aca="false">IF(Q2329="","",Q2329^2)</f>
        <v/>
      </c>
      <c r="Y2329" s="22" t="str">
        <f aca="false">IF(AND(C2329&lt;&gt;"",C2329=CERTIFICADO!$E$4,OR(CERTIFICADO!$E$5="",B2329=CERTIFICADO!$E$5)),MAX($Y$4:Y2328)+1,"")</f>
        <v/>
      </c>
    </row>
    <row r="2330" customFormat="false" ht="15" hidden="false" customHeight="false" outlineLevel="0" collapsed="false">
      <c r="A2330" s="11" t="str">
        <f aca="false">IF(C2330="","",ROW()-4)</f>
        <v/>
      </c>
      <c r="B2330" s="12"/>
      <c r="C2330" s="13"/>
      <c r="D2330" s="23" t="str">
        <f aca="false">IF(C2330="","",IFERROR(INDEX(LOTES!$D$5:$D$1004,MATCH(C2330,LOTES!$F$5:$F$1004,0)),"¿Lote?"))</f>
        <v/>
      </c>
      <c r="E2330" s="11" t="str">
        <f aca="false">IF(C2330="","",IFERROR(INDEX(LOTES!$C$5:$C$1004,MATCH(C2330,LOTES!$F$5:$F$1004,0)),""))</f>
        <v/>
      </c>
      <c r="F2330" s="24" t="str">
        <f aca="false">IF(C2330="","",IFERROR(INDEX(LOTES!$B$5:$B$1004,MATCH(C2330,LOTES!$F$5:$F$1004,0)),""))</f>
        <v/>
      </c>
      <c r="G2330" s="15" t="str">
        <f aca="false">IF(OR(B2330="",F2330=""),"",B2330-F2330)</f>
        <v/>
      </c>
      <c r="H2330" s="13"/>
      <c r="I2330" s="13"/>
      <c r="J2330" s="13"/>
      <c r="K2330" s="25"/>
      <c r="L2330" s="25"/>
      <c r="M2330" s="25"/>
      <c r="N2330" s="25"/>
      <c r="O2330" s="26"/>
      <c r="P2330" s="16" t="str">
        <f aca="false">IF(O2330="","",IFERROR(1/(1/(IF(K2330="",INDEX(CONFIG!$F$5:$F$14,MATCH(D2330,CONFIG!$D$5:$D$14,0)),K2330)*IF(M2330="",INDEX(CONFIG!$H$5:$H$14,MATCH(D2330,CONFIG!$D$5:$D$14,0)),M2330))),""))</f>
        <v/>
      </c>
      <c r="Q2330" s="16" t="str">
        <f aca="false">IF(OR(O2330="",P2330=""),"",O2330/P2330)</f>
        <v/>
      </c>
      <c r="R2330" s="16" t="str">
        <f aca="false">IF(Q2330="","",Q2330*0.0980665)</f>
        <v/>
      </c>
      <c r="S2330" s="16" t="str">
        <f aca="false">IF(Q2330="","",IFERROR(Q2330/(1/(1/INDEX(CONFIG!$I$5:$I$14,MATCH(D2330,CONFIG!$D$5:$D$14,0)))),""))</f>
        <v/>
      </c>
      <c r="T2330" s="13"/>
      <c r="U2330" s="13"/>
      <c r="V2330" s="13"/>
      <c r="W2330" s="13"/>
      <c r="X2330" s="22" t="str">
        <f aca="false">IF(Q2330="","",Q2330^2)</f>
        <v/>
      </c>
      <c r="Y2330" s="22" t="str">
        <f aca="false">IF(AND(C2330&lt;&gt;"",C2330=CERTIFICADO!$E$4,OR(CERTIFICADO!$E$5="",B2330=CERTIFICADO!$E$5)),MAX($Y$4:Y2329)+1,"")</f>
        <v/>
      </c>
    </row>
    <row r="2331" customFormat="false" ht="15" hidden="false" customHeight="false" outlineLevel="0" collapsed="false">
      <c r="A2331" s="11" t="str">
        <f aca="false">IF(C2331="","",ROW()-4)</f>
        <v/>
      </c>
      <c r="B2331" s="12"/>
      <c r="C2331" s="13"/>
      <c r="D2331" s="23" t="str">
        <f aca="false">IF(C2331="","",IFERROR(INDEX(LOTES!$D$5:$D$1004,MATCH(C2331,LOTES!$F$5:$F$1004,0)),"¿Lote?"))</f>
        <v/>
      </c>
      <c r="E2331" s="11" t="str">
        <f aca="false">IF(C2331="","",IFERROR(INDEX(LOTES!$C$5:$C$1004,MATCH(C2331,LOTES!$F$5:$F$1004,0)),""))</f>
        <v/>
      </c>
      <c r="F2331" s="24" t="str">
        <f aca="false">IF(C2331="","",IFERROR(INDEX(LOTES!$B$5:$B$1004,MATCH(C2331,LOTES!$F$5:$F$1004,0)),""))</f>
        <v/>
      </c>
      <c r="G2331" s="15" t="str">
        <f aca="false">IF(OR(B2331="",F2331=""),"",B2331-F2331)</f>
        <v/>
      </c>
      <c r="H2331" s="13"/>
      <c r="I2331" s="13"/>
      <c r="J2331" s="13"/>
      <c r="K2331" s="25"/>
      <c r="L2331" s="25"/>
      <c r="M2331" s="25"/>
      <c r="N2331" s="25"/>
      <c r="O2331" s="26"/>
      <c r="P2331" s="16" t="str">
        <f aca="false">IF(O2331="","",IFERROR(1/(1/(IF(K2331="",INDEX(CONFIG!$F$5:$F$14,MATCH(D2331,CONFIG!$D$5:$D$14,0)),K2331)*IF(M2331="",INDEX(CONFIG!$H$5:$H$14,MATCH(D2331,CONFIG!$D$5:$D$14,0)),M2331))),""))</f>
        <v/>
      </c>
      <c r="Q2331" s="16" t="str">
        <f aca="false">IF(OR(O2331="",P2331=""),"",O2331/P2331)</f>
        <v/>
      </c>
      <c r="R2331" s="16" t="str">
        <f aca="false">IF(Q2331="","",Q2331*0.0980665)</f>
        <v/>
      </c>
      <c r="S2331" s="16" t="str">
        <f aca="false">IF(Q2331="","",IFERROR(Q2331/(1/(1/INDEX(CONFIG!$I$5:$I$14,MATCH(D2331,CONFIG!$D$5:$D$14,0)))),""))</f>
        <v/>
      </c>
      <c r="T2331" s="13"/>
      <c r="U2331" s="13"/>
      <c r="V2331" s="13"/>
      <c r="W2331" s="13"/>
      <c r="X2331" s="22" t="str">
        <f aca="false">IF(Q2331="","",Q2331^2)</f>
        <v/>
      </c>
      <c r="Y2331" s="22" t="str">
        <f aca="false">IF(AND(C2331&lt;&gt;"",C2331=CERTIFICADO!$E$4,OR(CERTIFICADO!$E$5="",B2331=CERTIFICADO!$E$5)),MAX($Y$4:Y2330)+1,"")</f>
        <v/>
      </c>
    </row>
    <row r="2332" customFormat="false" ht="15" hidden="false" customHeight="false" outlineLevel="0" collapsed="false">
      <c r="A2332" s="11" t="str">
        <f aca="false">IF(C2332="","",ROW()-4)</f>
        <v/>
      </c>
      <c r="B2332" s="12"/>
      <c r="C2332" s="13"/>
      <c r="D2332" s="23" t="str">
        <f aca="false">IF(C2332="","",IFERROR(INDEX(LOTES!$D$5:$D$1004,MATCH(C2332,LOTES!$F$5:$F$1004,0)),"¿Lote?"))</f>
        <v/>
      </c>
      <c r="E2332" s="11" t="str">
        <f aca="false">IF(C2332="","",IFERROR(INDEX(LOTES!$C$5:$C$1004,MATCH(C2332,LOTES!$F$5:$F$1004,0)),""))</f>
        <v/>
      </c>
      <c r="F2332" s="24" t="str">
        <f aca="false">IF(C2332="","",IFERROR(INDEX(LOTES!$B$5:$B$1004,MATCH(C2332,LOTES!$F$5:$F$1004,0)),""))</f>
        <v/>
      </c>
      <c r="G2332" s="15" t="str">
        <f aca="false">IF(OR(B2332="",F2332=""),"",B2332-F2332)</f>
        <v/>
      </c>
      <c r="H2332" s="13"/>
      <c r="I2332" s="13"/>
      <c r="J2332" s="13"/>
      <c r="K2332" s="25"/>
      <c r="L2332" s="25"/>
      <c r="M2332" s="25"/>
      <c r="N2332" s="25"/>
      <c r="O2332" s="26"/>
      <c r="P2332" s="16" t="str">
        <f aca="false">IF(O2332="","",IFERROR(1/(1/(IF(K2332="",INDEX(CONFIG!$F$5:$F$14,MATCH(D2332,CONFIG!$D$5:$D$14,0)),K2332)*IF(M2332="",INDEX(CONFIG!$H$5:$H$14,MATCH(D2332,CONFIG!$D$5:$D$14,0)),M2332))),""))</f>
        <v/>
      </c>
      <c r="Q2332" s="16" t="str">
        <f aca="false">IF(OR(O2332="",P2332=""),"",O2332/P2332)</f>
        <v/>
      </c>
      <c r="R2332" s="16" t="str">
        <f aca="false">IF(Q2332="","",Q2332*0.0980665)</f>
        <v/>
      </c>
      <c r="S2332" s="16" t="str">
        <f aca="false">IF(Q2332="","",IFERROR(Q2332/(1/(1/INDEX(CONFIG!$I$5:$I$14,MATCH(D2332,CONFIG!$D$5:$D$14,0)))),""))</f>
        <v/>
      </c>
      <c r="T2332" s="13"/>
      <c r="U2332" s="13"/>
      <c r="V2332" s="13"/>
      <c r="W2332" s="13"/>
      <c r="X2332" s="22" t="str">
        <f aca="false">IF(Q2332="","",Q2332^2)</f>
        <v/>
      </c>
      <c r="Y2332" s="22" t="str">
        <f aca="false">IF(AND(C2332&lt;&gt;"",C2332=CERTIFICADO!$E$4,OR(CERTIFICADO!$E$5="",B2332=CERTIFICADO!$E$5)),MAX($Y$4:Y2331)+1,"")</f>
        <v/>
      </c>
    </row>
    <row r="2333" customFormat="false" ht="15" hidden="false" customHeight="false" outlineLevel="0" collapsed="false">
      <c r="A2333" s="11" t="str">
        <f aca="false">IF(C2333="","",ROW()-4)</f>
        <v/>
      </c>
      <c r="B2333" s="12"/>
      <c r="C2333" s="13"/>
      <c r="D2333" s="23" t="str">
        <f aca="false">IF(C2333="","",IFERROR(INDEX(LOTES!$D$5:$D$1004,MATCH(C2333,LOTES!$F$5:$F$1004,0)),"¿Lote?"))</f>
        <v/>
      </c>
      <c r="E2333" s="11" t="str">
        <f aca="false">IF(C2333="","",IFERROR(INDEX(LOTES!$C$5:$C$1004,MATCH(C2333,LOTES!$F$5:$F$1004,0)),""))</f>
        <v/>
      </c>
      <c r="F2333" s="24" t="str">
        <f aca="false">IF(C2333="","",IFERROR(INDEX(LOTES!$B$5:$B$1004,MATCH(C2333,LOTES!$F$5:$F$1004,0)),""))</f>
        <v/>
      </c>
      <c r="G2333" s="15" t="str">
        <f aca="false">IF(OR(B2333="",F2333=""),"",B2333-F2333)</f>
        <v/>
      </c>
      <c r="H2333" s="13"/>
      <c r="I2333" s="13"/>
      <c r="J2333" s="13"/>
      <c r="K2333" s="25"/>
      <c r="L2333" s="25"/>
      <c r="M2333" s="25"/>
      <c r="N2333" s="25"/>
      <c r="O2333" s="26"/>
      <c r="P2333" s="16" t="str">
        <f aca="false">IF(O2333="","",IFERROR(1/(1/(IF(K2333="",INDEX(CONFIG!$F$5:$F$14,MATCH(D2333,CONFIG!$D$5:$D$14,0)),K2333)*IF(M2333="",INDEX(CONFIG!$H$5:$H$14,MATCH(D2333,CONFIG!$D$5:$D$14,0)),M2333))),""))</f>
        <v/>
      </c>
      <c r="Q2333" s="16" t="str">
        <f aca="false">IF(OR(O2333="",P2333=""),"",O2333/P2333)</f>
        <v/>
      </c>
      <c r="R2333" s="16" t="str">
        <f aca="false">IF(Q2333="","",Q2333*0.0980665)</f>
        <v/>
      </c>
      <c r="S2333" s="16" t="str">
        <f aca="false">IF(Q2333="","",IFERROR(Q2333/(1/(1/INDEX(CONFIG!$I$5:$I$14,MATCH(D2333,CONFIG!$D$5:$D$14,0)))),""))</f>
        <v/>
      </c>
      <c r="T2333" s="13"/>
      <c r="U2333" s="13"/>
      <c r="V2333" s="13"/>
      <c r="W2333" s="13"/>
      <c r="X2333" s="22" t="str">
        <f aca="false">IF(Q2333="","",Q2333^2)</f>
        <v/>
      </c>
      <c r="Y2333" s="22" t="str">
        <f aca="false">IF(AND(C2333&lt;&gt;"",C2333=CERTIFICADO!$E$4,OR(CERTIFICADO!$E$5="",B2333=CERTIFICADO!$E$5)),MAX($Y$4:Y2332)+1,"")</f>
        <v/>
      </c>
    </row>
    <row r="2334" customFormat="false" ht="15" hidden="false" customHeight="false" outlineLevel="0" collapsed="false">
      <c r="A2334" s="11" t="str">
        <f aca="false">IF(C2334="","",ROW()-4)</f>
        <v/>
      </c>
      <c r="B2334" s="12"/>
      <c r="C2334" s="13"/>
      <c r="D2334" s="23" t="str">
        <f aca="false">IF(C2334="","",IFERROR(INDEX(LOTES!$D$5:$D$1004,MATCH(C2334,LOTES!$F$5:$F$1004,0)),"¿Lote?"))</f>
        <v/>
      </c>
      <c r="E2334" s="11" t="str">
        <f aca="false">IF(C2334="","",IFERROR(INDEX(LOTES!$C$5:$C$1004,MATCH(C2334,LOTES!$F$5:$F$1004,0)),""))</f>
        <v/>
      </c>
      <c r="F2334" s="24" t="str">
        <f aca="false">IF(C2334="","",IFERROR(INDEX(LOTES!$B$5:$B$1004,MATCH(C2334,LOTES!$F$5:$F$1004,0)),""))</f>
        <v/>
      </c>
      <c r="G2334" s="15" t="str">
        <f aca="false">IF(OR(B2334="",F2334=""),"",B2334-F2334)</f>
        <v/>
      </c>
      <c r="H2334" s="13"/>
      <c r="I2334" s="13"/>
      <c r="J2334" s="13"/>
      <c r="K2334" s="25"/>
      <c r="L2334" s="25"/>
      <c r="M2334" s="25"/>
      <c r="N2334" s="25"/>
      <c r="O2334" s="26"/>
      <c r="P2334" s="16" t="str">
        <f aca="false">IF(O2334="","",IFERROR(1/(1/(IF(K2334="",INDEX(CONFIG!$F$5:$F$14,MATCH(D2334,CONFIG!$D$5:$D$14,0)),K2334)*IF(M2334="",INDEX(CONFIG!$H$5:$H$14,MATCH(D2334,CONFIG!$D$5:$D$14,0)),M2334))),""))</f>
        <v/>
      </c>
      <c r="Q2334" s="16" t="str">
        <f aca="false">IF(OR(O2334="",P2334=""),"",O2334/P2334)</f>
        <v/>
      </c>
      <c r="R2334" s="16" t="str">
        <f aca="false">IF(Q2334="","",Q2334*0.0980665)</f>
        <v/>
      </c>
      <c r="S2334" s="16" t="str">
        <f aca="false">IF(Q2334="","",IFERROR(Q2334/(1/(1/INDEX(CONFIG!$I$5:$I$14,MATCH(D2334,CONFIG!$D$5:$D$14,0)))),""))</f>
        <v/>
      </c>
      <c r="T2334" s="13"/>
      <c r="U2334" s="13"/>
      <c r="V2334" s="13"/>
      <c r="W2334" s="13"/>
      <c r="X2334" s="22" t="str">
        <f aca="false">IF(Q2334="","",Q2334^2)</f>
        <v/>
      </c>
      <c r="Y2334" s="22" t="str">
        <f aca="false">IF(AND(C2334&lt;&gt;"",C2334=CERTIFICADO!$E$4,OR(CERTIFICADO!$E$5="",B2334=CERTIFICADO!$E$5)),MAX($Y$4:Y2333)+1,"")</f>
        <v/>
      </c>
    </row>
    <row r="2335" customFormat="false" ht="15" hidden="false" customHeight="false" outlineLevel="0" collapsed="false">
      <c r="A2335" s="11" t="str">
        <f aca="false">IF(C2335="","",ROW()-4)</f>
        <v/>
      </c>
      <c r="B2335" s="12"/>
      <c r="C2335" s="13"/>
      <c r="D2335" s="23" t="str">
        <f aca="false">IF(C2335="","",IFERROR(INDEX(LOTES!$D$5:$D$1004,MATCH(C2335,LOTES!$F$5:$F$1004,0)),"¿Lote?"))</f>
        <v/>
      </c>
      <c r="E2335" s="11" t="str">
        <f aca="false">IF(C2335="","",IFERROR(INDEX(LOTES!$C$5:$C$1004,MATCH(C2335,LOTES!$F$5:$F$1004,0)),""))</f>
        <v/>
      </c>
      <c r="F2335" s="24" t="str">
        <f aca="false">IF(C2335="","",IFERROR(INDEX(LOTES!$B$5:$B$1004,MATCH(C2335,LOTES!$F$5:$F$1004,0)),""))</f>
        <v/>
      </c>
      <c r="G2335" s="15" t="str">
        <f aca="false">IF(OR(B2335="",F2335=""),"",B2335-F2335)</f>
        <v/>
      </c>
      <c r="H2335" s="13"/>
      <c r="I2335" s="13"/>
      <c r="J2335" s="13"/>
      <c r="K2335" s="25"/>
      <c r="L2335" s="25"/>
      <c r="M2335" s="25"/>
      <c r="N2335" s="25"/>
      <c r="O2335" s="26"/>
      <c r="P2335" s="16" t="str">
        <f aca="false">IF(O2335="","",IFERROR(1/(1/(IF(K2335="",INDEX(CONFIG!$F$5:$F$14,MATCH(D2335,CONFIG!$D$5:$D$14,0)),K2335)*IF(M2335="",INDEX(CONFIG!$H$5:$H$14,MATCH(D2335,CONFIG!$D$5:$D$14,0)),M2335))),""))</f>
        <v/>
      </c>
      <c r="Q2335" s="16" t="str">
        <f aca="false">IF(OR(O2335="",P2335=""),"",O2335/P2335)</f>
        <v/>
      </c>
      <c r="R2335" s="16" t="str">
        <f aca="false">IF(Q2335="","",Q2335*0.0980665)</f>
        <v/>
      </c>
      <c r="S2335" s="16" t="str">
        <f aca="false">IF(Q2335="","",IFERROR(Q2335/(1/(1/INDEX(CONFIG!$I$5:$I$14,MATCH(D2335,CONFIG!$D$5:$D$14,0)))),""))</f>
        <v/>
      </c>
      <c r="T2335" s="13"/>
      <c r="U2335" s="13"/>
      <c r="V2335" s="13"/>
      <c r="W2335" s="13"/>
      <c r="X2335" s="22" t="str">
        <f aca="false">IF(Q2335="","",Q2335^2)</f>
        <v/>
      </c>
      <c r="Y2335" s="22" t="str">
        <f aca="false">IF(AND(C2335&lt;&gt;"",C2335=CERTIFICADO!$E$4,OR(CERTIFICADO!$E$5="",B2335=CERTIFICADO!$E$5)),MAX($Y$4:Y2334)+1,"")</f>
        <v/>
      </c>
    </row>
    <row r="2336" customFormat="false" ht="15" hidden="false" customHeight="false" outlineLevel="0" collapsed="false">
      <c r="A2336" s="11" t="str">
        <f aca="false">IF(C2336="","",ROW()-4)</f>
        <v/>
      </c>
      <c r="B2336" s="12"/>
      <c r="C2336" s="13"/>
      <c r="D2336" s="23" t="str">
        <f aca="false">IF(C2336="","",IFERROR(INDEX(LOTES!$D$5:$D$1004,MATCH(C2336,LOTES!$F$5:$F$1004,0)),"¿Lote?"))</f>
        <v/>
      </c>
      <c r="E2336" s="11" t="str">
        <f aca="false">IF(C2336="","",IFERROR(INDEX(LOTES!$C$5:$C$1004,MATCH(C2336,LOTES!$F$5:$F$1004,0)),""))</f>
        <v/>
      </c>
      <c r="F2336" s="24" t="str">
        <f aca="false">IF(C2336="","",IFERROR(INDEX(LOTES!$B$5:$B$1004,MATCH(C2336,LOTES!$F$5:$F$1004,0)),""))</f>
        <v/>
      </c>
      <c r="G2336" s="15" t="str">
        <f aca="false">IF(OR(B2336="",F2336=""),"",B2336-F2336)</f>
        <v/>
      </c>
      <c r="H2336" s="13"/>
      <c r="I2336" s="13"/>
      <c r="J2336" s="13"/>
      <c r="K2336" s="25"/>
      <c r="L2336" s="25"/>
      <c r="M2336" s="25"/>
      <c r="N2336" s="25"/>
      <c r="O2336" s="26"/>
      <c r="P2336" s="16" t="str">
        <f aca="false">IF(O2336="","",IFERROR(1/(1/(IF(K2336="",INDEX(CONFIG!$F$5:$F$14,MATCH(D2336,CONFIG!$D$5:$D$14,0)),K2336)*IF(M2336="",INDEX(CONFIG!$H$5:$H$14,MATCH(D2336,CONFIG!$D$5:$D$14,0)),M2336))),""))</f>
        <v/>
      </c>
      <c r="Q2336" s="16" t="str">
        <f aca="false">IF(OR(O2336="",P2336=""),"",O2336/P2336)</f>
        <v/>
      </c>
      <c r="R2336" s="16" t="str">
        <f aca="false">IF(Q2336="","",Q2336*0.0980665)</f>
        <v/>
      </c>
      <c r="S2336" s="16" t="str">
        <f aca="false">IF(Q2336="","",IFERROR(Q2336/(1/(1/INDEX(CONFIG!$I$5:$I$14,MATCH(D2336,CONFIG!$D$5:$D$14,0)))),""))</f>
        <v/>
      </c>
      <c r="T2336" s="13"/>
      <c r="U2336" s="13"/>
      <c r="V2336" s="13"/>
      <c r="W2336" s="13"/>
      <c r="X2336" s="22" t="str">
        <f aca="false">IF(Q2336="","",Q2336^2)</f>
        <v/>
      </c>
      <c r="Y2336" s="22" t="str">
        <f aca="false">IF(AND(C2336&lt;&gt;"",C2336=CERTIFICADO!$E$4,OR(CERTIFICADO!$E$5="",B2336=CERTIFICADO!$E$5)),MAX($Y$4:Y2335)+1,"")</f>
        <v/>
      </c>
    </row>
    <row r="2337" customFormat="false" ht="15" hidden="false" customHeight="false" outlineLevel="0" collapsed="false">
      <c r="A2337" s="11" t="str">
        <f aca="false">IF(C2337="","",ROW()-4)</f>
        <v/>
      </c>
      <c r="B2337" s="12"/>
      <c r="C2337" s="13"/>
      <c r="D2337" s="23" t="str">
        <f aca="false">IF(C2337="","",IFERROR(INDEX(LOTES!$D$5:$D$1004,MATCH(C2337,LOTES!$F$5:$F$1004,0)),"¿Lote?"))</f>
        <v/>
      </c>
      <c r="E2337" s="11" t="str">
        <f aca="false">IF(C2337="","",IFERROR(INDEX(LOTES!$C$5:$C$1004,MATCH(C2337,LOTES!$F$5:$F$1004,0)),""))</f>
        <v/>
      </c>
      <c r="F2337" s="24" t="str">
        <f aca="false">IF(C2337="","",IFERROR(INDEX(LOTES!$B$5:$B$1004,MATCH(C2337,LOTES!$F$5:$F$1004,0)),""))</f>
        <v/>
      </c>
      <c r="G2337" s="15" t="str">
        <f aca="false">IF(OR(B2337="",F2337=""),"",B2337-F2337)</f>
        <v/>
      </c>
      <c r="H2337" s="13"/>
      <c r="I2337" s="13"/>
      <c r="J2337" s="13"/>
      <c r="K2337" s="25"/>
      <c r="L2337" s="25"/>
      <c r="M2337" s="25"/>
      <c r="N2337" s="25"/>
      <c r="O2337" s="26"/>
      <c r="P2337" s="16" t="str">
        <f aca="false">IF(O2337="","",IFERROR(1/(1/(IF(K2337="",INDEX(CONFIG!$F$5:$F$14,MATCH(D2337,CONFIG!$D$5:$D$14,0)),K2337)*IF(M2337="",INDEX(CONFIG!$H$5:$H$14,MATCH(D2337,CONFIG!$D$5:$D$14,0)),M2337))),""))</f>
        <v/>
      </c>
      <c r="Q2337" s="16" t="str">
        <f aca="false">IF(OR(O2337="",P2337=""),"",O2337/P2337)</f>
        <v/>
      </c>
      <c r="R2337" s="16" t="str">
        <f aca="false">IF(Q2337="","",Q2337*0.0980665)</f>
        <v/>
      </c>
      <c r="S2337" s="16" t="str">
        <f aca="false">IF(Q2337="","",IFERROR(Q2337/(1/(1/INDEX(CONFIG!$I$5:$I$14,MATCH(D2337,CONFIG!$D$5:$D$14,0)))),""))</f>
        <v/>
      </c>
      <c r="T2337" s="13"/>
      <c r="U2337" s="13"/>
      <c r="V2337" s="13"/>
      <c r="W2337" s="13"/>
      <c r="X2337" s="22" t="str">
        <f aca="false">IF(Q2337="","",Q2337^2)</f>
        <v/>
      </c>
      <c r="Y2337" s="22" t="str">
        <f aca="false">IF(AND(C2337&lt;&gt;"",C2337=CERTIFICADO!$E$4,OR(CERTIFICADO!$E$5="",B2337=CERTIFICADO!$E$5)),MAX($Y$4:Y2336)+1,"")</f>
        <v/>
      </c>
    </row>
    <row r="2338" customFormat="false" ht="15" hidden="false" customHeight="false" outlineLevel="0" collapsed="false">
      <c r="A2338" s="11" t="str">
        <f aca="false">IF(C2338="","",ROW()-4)</f>
        <v/>
      </c>
      <c r="B2338" s="12"/>
      <c r="C2338" s="13"/>
      <c r="D2338" s="23" t="str">
        <f aca="false">IF(C2338="","",IFERROR(INDEX(LOTES!$D$5:$D$1004,MATCH(C2338,LOTES!$F$5:$F$1004,0)),"¿Lote?"))</f>
        <v/>
      </c>
      <c r="E2338" s="11" t="str">
        <f aca="false">IF(C2338="","",IFERROR(INDEX(LOTES!$C$5:$C$1004,MATCH(C2338,LOTES!$F$5:$F$1004,0)),""))</f>
        <v/>
      </c>
      <c r="F2338" s="24" t="str">
        <f aca="false">IF(C2338="","",IFERROR(INDEX(LOTES!$B$5:$B$1004,MATCH(C2338,LOTES!$F$5:$F$1004,0)),""))</f>
        <v/>
      </c>
      <c r="G2338" s="15" t="str">
        <f aca="false">IF(OR(B2338="",F2338=""),"",B2338-F2338)</f>
        <v/>
      </c>
      <c r="H2338" s="13"/>
      <c r="I2338" s="13"/>
      <c r="J2338" s="13"/>
      <c r="K2338" s="25"/>
      <c r="L2338" s="25"/>
      <c r="M2338" s="25"/>
      <c r="N2338" s="25"/>
      <c r="O2338" s="26"/>
      <c r="P2338" s="16" t="str">
        <f aca="false">IF(O2338="","",IFERROR(1/(1/(IF(K2338="",INDEX(CONFIG!$F$5:$F$14,MATCH(D2338,CONFIG!$D$5:$D$14,0)),K2338)*IF(M2338="",INDEX(CONFIG!$H$5:$H$14,MATCH(D2338,CONFIG!$D$5:$D$14,0)),M2338))),""))</f>
        <v/>
      </c>
      <c r="Q2338" s="16" t="str">
        <f aca="false">IF(OR(O2338="",P2338=""),"",O2338/P2338)</f>
        <v/>
      </c>
      <c r="R2338" s="16" t="str">
        <f aca="false">IF(Q2338="","",Q2338*0.0980665)</f>
        <v/>
      </c>
      <c r="S2338" s="16" t="str">
        <f aca="false">IF(Q2338="","",IFERROR(Q2338/(1/(1/INDEX(CONFIG!$I$5:$I$14,MATCH(D2338,CONFIG!$D$5:$D$14,0)))),""))</f>
        <v/>
      </c>
      <c r="T2338" s="13"/>
      <c r="U2338" s="13"/>
      <c r="V2338" s="13"/>
      <c r="W2338" s="13"/>
      <c r="X2338" s="22" t="str">
        <f aca="false">IF(Q2338="","",Q2338^2)</f>
        <v/>
      </c>
      <c r="Y2338" s="22" t="str">
        <f aca="false">IF(AND(C2338&lt;&gt;"",C2338=CERTIFICADO!$E$4,OR(CERTIFICADO!$E$5="",B2338=CERTIFICADO!$E$5)),MAX($Y$4:Y2337)+1,"")</f>
        <v/>
      </c>
    </row>
    <row r="2339" customFormat="false" ht="15" hidden="false" customHeight="false" outlineLevel="0" collapsed="false">
      <c r="A2339" s="11" t="str">
        <f aca="false">IF(C2339="","",ROW()-4)</f>
        <v/>
      </c>
      <c r="B2339" s="12"/>
      <c r="C2339" s="13"/>
      <c r="D2339" s="23" t="str">
        <f aca="false">IF(C2339="","",IFERROR(INDEX(LOTES!$D$5:$D$1004,MATCH(C2339,LOTES!$F$5:$F$1004,0)),"¿Lote?"))</f>
        <v/>
      </c>
      <c r="E2339" s="11" t="str">
        <f aca="false">IF(C2339="","",IFERROR(INDEX(LOTES!$C$5:$C$1004,MATCH(C2339,LOTES!$F$5:$F$1004,0)),""))</f>
        <v/>
      </c>
      <c r="F2339" s="24" t="str">
        <f aca="false">IF(C2339="","",IFERROR(INDEX(LOTES!$B$5:$B$1004,MATCH(C2339,LOTES!$F$5:$F$1004,0)),""))</f>
        <v/>
      </c>
      <c r="G2339" s="15" t="str">
        <f aca="false">IF(OR(B2339="",F2339=""),"",B2339-F2339)</f>
        <v/>
      </c>
      <c r="H2339" s="13"/>
      <c r="I2339" s="13"/>
      <c r="J2339" s="13"/>
      <c r="K2339" s="25"/>
      <c r="L2339" s="25"/>
      <c r="M2339" s="25"/>
      <c r="N2339" s="25"/>
      <c r="O2339" s="26"/>
      <c r="P2339" s="16" t="str">
        <f aca="false">IF(O2339="","",IFERROR(1/(1/(IF(K2339="",INDEX(CONFIG!$F$5:$F$14,MATCH(D2339,CONFIG!$D$5:$D$14,0)),K2339)*IF(M2339="",INDEX(CONFIG!$H$5:$H$14,MATCH(D2339,CONFIG!$D$5:$D$14,0)),M2339))),""))</f>
        <v/>
      </c>
      <c r="Q2339" s="16" t="str">
        <f aca="false">IF(OR(O2339="",P2339=""),"",O2339/P2339)</f>
        <v/>
      </c>
      <c r="R2339" s="16" t="str">
        <f aca="false">IF(Q2339="","",Q2339*0.0980665)</f>
        <v/>
      </c>
      <c r="S2339" s="16" t="str">
        <f aca="false">IF(Q2339="","",IFERROR(Q2339/(1/(1/INDEX(CONFIG!$I$5:$I$14,MATCH(D2339,CONFIG!$D$5:$D$14,0)))),""))</f>
        <v/>
      </c>
      <c r="T2339" s="13"/>
      <c r="U2339" s="13"/>
      <c r="V2339" s="13"/>
      <c r="W2339" s="13"/>
      <c r="X2339" s="22" t="str">
        <f aca="false">IF(Q2339="","",Q2339^2)</f>
        <v/>
      </c>
      <c r="Y2339" s="22" t="str">
        <f aca="false">IF(AND(C2339&lt;&gt;"",C2339=CERTIFICADO!$E$4,OR(CERTIFICADO!$E$5="",B2339=CERTIFICADO!$E$5)),MAX($Y$4:Y2338)+1,"")</f>
        <v/>
      </c>
    </row>
    <row r="2340" customFormat="false" ht="15" hidden="false" customHeight="false" outlineLevel="0" collapsed="false">
      <c r="A2340" s="11" t="str">
        <f aca="false">IF(C2340="","",ROW()-4)</f>
        <v/>
      </c>
      <c r="B2340" s="12"/>
      <c r="C2340" s="13"/>
      <c r="D2340" s="23" t="str">
        <f aca="false">IF(C2340="","",IFERROR(INDEX(LOTES!$D$5:$D$1004,MATCH(C2340,LOTES!$F$5:$F$1004,0)),"¿Lote?"))</f>
        <v/>
      </c>
      <c r="E2340" s="11" t="str">
        <f aca="false">IF(C2340="","",IFERROR(INDEX(LOTES!$C$5:$C$1004,MATCH(C2340,LOTES!$F$5:$F$1004,0)),""))</f>
        <v/>
      </c>
      <c r="F2340" s="24" t="str">
        <f aca="false">IF(C2340="","",IFERROR(INDEX(LOTES!$B$5:$B$1004,MATCH(C2340,LOTES!$F$5:$F$1004,0)),""))</f>
        <v/>
      </c>
      <c r="G2340" s="15" t="str">
        <f aca="false">IF(OR(B2340="",F2340=""),"",B2340-F2340)</f>
        <v/>
      </c>
      <c r="H2340" s="13"/>
      <c r="I2340" s="13"/>
      <c r="J2340" s="13"/>
      <c r="K2340" s="25"/>
      <c r="L2340" s="25"/>
      <c r="M2340" s="25"/>
      <c r="N2340" s="25"/>
      <c r="O2340" s="26"/>
      <c r="P2340" s="16" t="str">
        <f aca="false">IF(O2340="","",IFERROR(1/(1/(IF(K2340="",INDEX(CONFIG!$F$5:$F$14,MATCH(D2340,CONFIG!$D$5:$D$14,0)),K2340)*IF(M2340="",INDEX(CONFIG!$H$5:$H$14,MATCH(D2340,CONFIG!$D$5:$D$14,0)),M2340))),""))</f>
        <v/>
      </c>
      <c r="Q2340" s="16" t="str">
        <f aca="false">IF(OR(O2340="",P2340=""),"",O2340/P2340)</f>
        <v/>
      </c>
      <c r="R2340" s="16" t="str">
        <f aca="false">IF(Q2340="","",Q2340*0.0980665)</f>
        <v/>
      </c>
      <c r="S2340" s="16" t="str">
        <f aca="false">IF(Q2340="","",IFERROR(Q2340/(1/(1/INDEX(CONFIG!$I$5:$I$14,MATCH(D2340,CONFIG!$D$5:$D$14,0)))),""))</f>
        <v/>
      </c>
      <c r="T2340" s="13"/>
      <c r="U2340" s="13"/>
      <c r="V2340" s="13"/>
      <c r="W2340" s="13"/>
      <c r="X2340" s="22" t="str">
        <f aca="false">IF(Q2340="","",Q2340^2)</f>
        <v/>
      </c>
      <c r="Y2340" s="22" t="str">
        <f aca="false">IF(AND(C2340&lt;&gt;"",C2340=CERTIFICADO!$E$4,OR(CERTIFICADO!$E$5="",B2340=CERTIFICADO!$E$5)),MAX($Y$4:Y2339)+1,"")</f>
        <v/>
      </c>
    </row>
    <row r="2341" customFormat="false" ht="15" hidden="false" customHeight="false" outlineLevel="0" collapsed="false">
      <c r="A2341" s="11" t="str">
        <f aca="false">IF(C2341="","",ROW()-4)</f>
        <v/>
      </c>
      <c r="B2341" s="12"/>
      <c r="C2341" s="13"/>
      <c r="D2341" s="23" t="str">
        <f aca="false">IF(C2341="","",IFERROR(INDEX(LOTES!$D$5:$D$1004,MATCH(C2341,LOTES!$F$5:$F$1004,0)),"¿Lote?"))</f>
        <v/>
      </c>
      <c r="E2341" s="11" t="str">
        <f aca="false">IF(C2341="","",IFERROR(INDEX(LOTES!$C$5:$C$1004,MATCH(C2341,LOTES!$F$5:$F$1004,0)),""))</f>
        <v/>
      </c>
      <c r="F2341" s="24" t="str">
        <f aca="false">IF(C2341="","",IFERROR(INDEX(LOTES!$B$5:$B$1004,MATCH(C2341,LOTES!$F$5:$F$1004,0)),""))</f>
        <v/>
      </c>
      <c r="G2341" s="15" t="str">
        <f aca="false">IF(OR(B2341="",F2341=""),"",B2341-F2341)</f>
        <v/>
      </c>
      <c r="H2341" s="13"/>
      <c r="I2341" s="13"/>
      <c r="J2341" s="13"/>
      <c r="K2341" s="25"/>
      <c r="L2341" s="25"/>
      <c r="M2341" s="25"/>
      <c r="N2341" s="25"/>
      <c r="O2341" s="26"/>
      <c r="P2341" s="16" t="str">
        <f aca="false">IF(O2341="","",IFERROR(1/(1/(IF(K2341="",INDEX(CONFIG!$F$5:$F$14,MATCH(D2341,CONFIG!$D$5:$D$14,0)),K2341)*IF(M2341="",INDEX(CONFIG!$H$5:$H$14,MATCH(D2341,CONFIG!$D$5:$D$14,0)),M2341))),""))</f>
        <v/>
      </c>
      <c r="Q2341" s="16" t="str">
        <f aca="false">IF(OR(O2341="",P2341=""),"",O2341/P2341)</f>
        <v/>
      </c>
      <c r="R2341" s="16" t="str">
        <f aca="false">IF(Q2341="","",Q2341*0.0980665)</f>
        <v/>
      </c>
      <c r="S2341" s="16" t="str">
        <f aca="false">IF(Q2341="","",IFERROR(Q2341/(1/(1/INDEX(CONFIG!$I$5:$I$14,MATCH(D2341,CONFIG!$D$5:$D$14,0)))),""))</f>
        <v/>
      </c>
      <c r="T2341" s="13"/>
      <c r="U2341" s="13"/>
      <c r="V2341" s="13"/>
      <c r="W2341" s="13"/>
      <c r="X2341" s="22" t="str">
        <f aca="false">IF(Q2341="","",Q2341^2)</f>
        <v/>
      </c>
      <c r="Y2341" s="22" t="str">
        <f aca="false">IF(AND(C2341&lt;&gt;"",C2341=CERTIFICADO!$E$4,OR(CERTIFICADO!$E$5="",B2341=CERTIFICADO!$E$5)),MAX($Y$4:Y2340)+1,"")</f>
        <v/>
      </c>
    </row>
    <row r="2342" customFormat="false" ht="15" hidden="false" customHeight="false" outlineLevel="0" collapsed="false">
      <c r="A2342" s="11" t="str">
        <f aca="false">IF(C2342="","",ROW()-4)</f>
        <v/>
      </c>
      <c r="B2342" s="12"/>
      <c r="C2342" s="13"/>
      <c r="D2342" s="23" t="str">
        <f aca="false">IF(C2342="","",IFERROR(INDEX(LOTES!$D$5:$D$1004,MATCH(C2342,LOTES!$F$5:$F$1004,0)),"¿Lote?"))</f>
        <v/>
      </c>
      <c r="E2342" s="11" t="str">
        <f aca="false">IF(C2342="","",IFERROR(INDEX(LOTES!$C$5:$C$1004,MATCH(C2342,LOTES!$F$5:$F$1004,0)),""))</f>
        <v/>
      </c>
      <c r="F2342" s="24" t="str">
        <f aca="false">IF(C2342="","",IFERROR(INDEX(LOTES!$B$5:$B$1004,MATCH(C2342,LOTES!$F$5:$F$1004,0)),""))</f>
        <v/>
      </c>
      <c r="G2342" s="15" t="str">
        <f aca="false">IF(OR(B2342="",F2342=""),"",B2342-F2342)</f>
        <v/>
      </c>
      <c r="H2342" s="13"/>
      <c r="I2342" s="13"/>
      <c r="J2342" s="13"/>
      <c r="K2342" s="25"/>
      <c r="L2342" s="25"/>
      <c r="M2342" s="25"/>
      <c r="N2342" s="25"/>
      <c r="O2342" s="26"/>
      <c r="P2342" s="16" t="str">
        <f aca="false">IF(O2342="","",IFERROR(1/(1/(IF(K2342="",INDEX(CONFIG!$F$5:$F$14,MATCH(D2342,CONFIG!$D$5:$D$14,0)),K2342)*IF(M2342="",INDEX(CONFIG!$H$5:$H$14,MATCH(D2342,CONFIG!$D$5:$D$14,0)),M2342))),""))</f>
        <v/>
      </c>
      <c r="Q2342" s="16" t="str">
        <f aca="false">IF(OR(O2342="",P2342=""),"",O2342/P2342)</f>
        <v/>
      </c>
      <c r="R2342" s="16" t="str">
        <f aca="false">IF(Q2342="","",Q2342*0.0980665)</f>
        <v/>
      </c>
      <c r="S2342" s="16" t="str">
        <f aca="false">IF(Q2342="","",IFERROR(Q2342/(1/(1/INDEX(CONFIG!$I$5:$I$14,MATCH(D2342,CONFIG!$D$5:$D$14,0)))),""))</f>
        <v/>
      </c>
      <c r="T2342" s="13"/>
      <c r="U2342" s="13"/>
      <c r="V2342" s="13"/>
      <c r="W2342" s="13"/>
      <c r="X2342" s="22" t="str">
        <f aca="false">IF(Q2342="","",Q2342^2)</f>
        <v/>
      </c>
      <c r="Y2342" s="22" t="str">
        <f aca="false">IF(AND(C2342&lt;&gt;"",C2342=CERTIFICADO!$E$4,OR(CERTIFICADO!$E$5="",B2342=CERTIFICADO!$E$5)),MAX($Y$4:Y2341)+1,"")</f>
        <v/>
      </c>
    </row>
    <row r="2343" customFormat="false" ht="15" hidden="false" customHeight="false" outlineLevel="0" collapsed="false">
      <c r="A2343" s="11" t="str">
        <f aca="false">IF(C2343="","",ROW()-4)</f>
        <v/>
      </c>
      <c r="B2343" s="12"/>
      <c r="C2343" s="13"/>
      <c r="D2343" s="23" t="str">
        <f aca="false">IF(C2343="","",IFERROR(INDEX(LOTES!$D$5:$D$1004,MATCH(C2343,LOTES!$F$5:$F$1004,0)),"¿Lote?"))</f>
        <v/>
      </c>
      <c r="E2343" s="11" t="str">
        <f aca="false">IF(C2343="","",IFERROR(INDEX(LOTES!$C$5:$C$1004,MATCH(C2343,LOTES!$F$5:$F$1004,0)),""))</f>
        <v/>
      </c>
      <c r="F2343" s="24" t="str">
        <f aca="false">IF(C2343="","",IFERROR(INDEX(LOTES!$B$5:$B$1004,MATCH(C2343,LOTES!$F$5:$F$1004,0)),""))</f>
        <v/>
      </c>
      <c r="G2343" s="15" t="str">
        <f aca="false">IF(OR(B2343="",F2343=""),"",B2343-F2343)</f>
        <v/>
      </c>
      <c r="H2343" s="13"/>
      <c r="I2343" s="13"/>
      <c r="J2343" s="13"/>
      <c r="K2343" s="25"/>
      <c r="L2343" s="25"/>
      <c r="M2343" s="25"/>
      <c r="N2343" s="25"/>
      <c r="O2343" s="26"/>
      <c r="P2343" s="16" t="str">
        <f aca="false">IF(O2343="","",IFERROR(1/(1/(IF(K2343="",INDEX(CONFIG!$F$5:$F$14,MATCH(D2343,CONFIG!$D$5:$D$14,0)),K2343)*IF(M2343="",INDEX(CONFIG!$H$5:$H$14,MATCH(D2343,CONFIG!$D$5:$D$14,0)),M2343))),""))</f>
        <v/>
      </c>
      <c r="Q2343" s="16" t="str">
        <f aca="false">IF(OR(O2343="",P2343=""),"",O2343/P2343)</f>
        <v/>
      </c>
      <c r="R2343" s="16" t="str">
        <f aca="false">IF(Q2343="","",Q2343*0.0980665)</f>
        <v/>
      </c>
      <c r="S2343" s="16" t="str">
        <f aca="false">IF(Q2343="","",IFERROR(Q2343/(1/(1/INDEX(CONFIG!$I$5:$I$14,MATCH(D2343,CONFIG!$D$5:$D$14,0)))),""))</f>
        <v/>
      </c>
      <c r="T2343" s="13"/>
      <c r="U2343" s="13"/>
      <c r="V2343" s="13"/>
      <c r="W2343" s="13"/>
      <c r="X2343" s="22" t="str">
        <f aca="false">IF(Q2343="","",Q2343^2)</f>
        <v/>
      </c>
      <c r="Y2343" s="22" t="str">
        <f aca="false">IF(AND(C2343&lt;&gt;"",C2343=CERTIFICADO!$E$4,OR(CERTIFICADO!$E$5="",B2343=CERTIFICADO!$E$5)),MAX($Y$4:Y2342)+1,"")</f>
        <v/>
      </c>
    </row>
    <row r="2344" customFormat="false" ht="15" hidden="false" customHeight="false" outlineLevel="0" collapsed="false">
      <c r="A2344" s="11" t="str">
        <f aca="false">IF(C2344="","",ROW()-4)</f>
        <v/>
      </c>
      <c r="B2344" s="12"/>
      <c r="C2344" s="13"/>
      <c r="D2344" s="23" t="str">
        <f aca="false">IF(C2344="","",IFERROR(INDEX(LOTES!$D$5:$D$1004,MATCH(C2344,LOTES!$F$5:$F$1004,0)),"¿Lote?"))</f>
        <v/>
      </c>
      <c r="E2344" s="11" t="str">
        <f aca="false">IF(C2344="","",IFERROR(INDEX(LOTES!$C$5:$C$1004,MATCH(C2344,LOTES!$F$5:$F$1004,0)),""))</f>
        <v/>
      </c>
      <c r="F2344" s="24" t="str">
        <f aca="false">IF(C2344="","",IFERROR(INDEX(LOTES!$B$5:$B$1004,MATCH(C2344,LOTES!$F$5:$F$1004,0)),""))</f>
        <v/>
      </c>
      <c r="G2344" s="15" t="str">
        <f aca="false">IF(OR(B2344="",F2344=""),"",B2344-F2344)</f>
        <v/>
      </c>
      <c r="H2344" s="13"/>
      <c r="I2344" s="13"/>
      <c r="J2344" s="13"/>
      <c r="K2344" s="25"/>
      <c r="L2344" s="25"/>
      <c r="M2344" s="25"/>
      <c r="N2344" s="25"/>
      <c r="O2344" s="26"/>
      <c r="P2344" s="16" t="str">
        <f aca="false">IF(O2344="","",IFERROR(1/(1/(IF(K2344="",INDEX(CONFIG!$F$5:$F$14,MATCH(D2344,CONFIG!$D$5:$D$14,0)),K2344)*IF(M2344="",INDEX(CONFIG!$H$5:$H$14,MATCH(D2344,CONFIG!$D$5:$D$14,0)),M2344))),""))</f>
        <v/>
      </c>
      <c r="Q2344" s="16" t="str">
        <f aca="false">IF(OR(O2344="",P2344=""),"",O2344/P2344)</f>
        <v/>
      </c>
      <c r="R2344" s="16" t="str">
        <f aca="false">IF(Q2344="","",Q2344*0.0980665)</f>
        <v/>
      </c>
      <c r="S2344" s="16" t="str">
        <f aca="false">IF(Q2344="","",IFERROR(Q2344/(1/(1/INDEX(CONFIG!$I$5:$I$14,MATCH(D2344,CONFIG!$D$5:$D$14,0)))),""))</f>
        <v/>
      </c>
      <c r="T2344" s="13"/>
      <c r="U2344" s="13"/>
      <c r="V2344" s="13"/>
      <c r="W2344" s="13"/>
      <c r="X2344" s="22" t="str">
        <f aca="false">IF(Q2344="","",Q2344^2)</f>
        <v/>
      </c>
      <c r="Y2344" s="22" t="str">
        <f aca="false">IF(AND(C2344&lt;&gt;"",C2344=CERTIFICADO!$E$4,OR(CERTIFICADO!$E$5="",B2344=CERTIFICADO!$E$5)),MAX($Y$4:Y2343)+1,"")</f>
        <v/>
      </c>
    </row>
    <row r="2345" customFormat="false" ht="15" hidden="false" customHeight="false" outlineLevel="0" collapsed="false">
      <c r="A2345" s="11" t="str">
        <f aca="false">IF(C2345="","",ROW()-4)</f>
        <v/>
      </c>
      <c r="B2345" s="12"/>
      <c r="C2345" s="13"/>
      <c r="D2345" s="23" t="str">
        <f aca="false">IF(C2345="","",IFERROR(INDEX(LOTES!$D$5:$D$1004,MATCH(C2345,LOTES!$F$5:$F$1004,0)),"¿Lote?"))</f>
        <v/>
      </c>
      <c r="E2345" s="11" t="str">
        <f aca="false">IF(C2345="","",IFERROR(INDEX(LOTES!$C$5:$C$1004,MATCH(C2345,LOTES!$F$5:$F$1004,0)),""))</f>
        <v/>
      </c>
      <c r="F2345" s="24" t="str">
        <f aca="false">IF(C2345="","",IFERROR(INDEX(LOTES!$B$5:$B$1004,MATCH(C2345,LOTES!$F$5:$F$1004,0)),""))</f>
        <v/>
      </c>
      <c r="G2345" s="15" t="str">
        <f aca="false">IF(OR(B2345="",F2345=""),"",B2345-F2345)</f>
        <v/>
      </c>
      <c r="H2345" s="13"/>
      <c r="I2345" s="13"/>
      <c r="J2345" s="13"/>
      <c r="K2345" s="25"/>
      <c r="L2345" s="25"/>
      <c r="M2345" s="25"/>
      <c r="N2345" s="25"/>
      <c r="O2345" s="26"/>
      <c r="P2345" s="16" t="str">
        <f aca="false">IF(O2345="","",IFERROR(1/(1/(IF(K2345="",INDEX(CONFIG!$F$5:$F$14,MATCH(D2345,CONFIG!$D$5:$D$14,0)),K2345)*IF(M2345="",INDEX(CONFIG!$H$5:$H$14,MATCH(D2345,CONFIG!$D$5:$D$14,0)),M2345))),""))</f>
        <v/>
      </c>
      <c r="Q2345" s="16" t="str">
        <f aca="false">IF(OR(O2345="",P2345=""),"",O2345/P2345)</f>
        <v/>
      </c>
      <c r="R2345" s="16" t="str">
        <f aca="false">IF(Q2345="","",Q2345*0.0980665)</f>
        <v/>
      </c>
      <c r="S2345" s="16" t="str">
        <f aca="false">IF(Q2345="","",IFERROR(Q2345/(1/(1/INDEX(CONFIG!$I$5:$I$14,MATCH(D2345,CONFIG!$D$5:$D$14,0)))),""))</f>
        <v/>
      </c>
      <c r="T2345" s="13"/>
      <c r="U2345" s="13"/>
      <c r="V2345" s="13"/>
      <c r="W2345" s="13"/>
      <c r="X2345" s="22" t="str">
        <f aca="false">IF(Q2345="","",Q2345^2)</f>
        <v/>
      </c>
      <c r="Y2345" s="22" t="str">
        <f aca="false">IF(AND(C2345&lt;&gt;"",C2345=CERTIFICADO!$E$4,OR(CERTIFICADO!$E$5="",B2345=CERTIFICADO!$E$5)),MAX($Y$4:Y2344)+1,"")</f>
        <v/>
      </c>
    </row>
    <row r="2346" customFormat="false" ht="15" hidden="false" customHeight="false" outlineLevel="0" collapsed="false">
      <c r="A2346" s="11" t="str">
        <f aca="false">IF(C2346="","",ROW()-4)</f>
        <v/>
      </c>
      <c r="B2346" s="12"/>
      <c r="C2346" s="13"/>
      <c r="D2346" s="23" t="str">
        <f aca="false">IF(C2346="","",IFERROR(INDEX(LOTES!$D$5:$D$1004,MATCH(C2346,LOTES!$F$5:$F$1004,0)),"¿Lote?"))</f>
        <v/>
      </c>
      <c r="E2346" s="11" t="str">
        <f aca="false">IF(C2346="","",IFERROR(INDEX(LOTES!$C$5:$C$1004,MATCH(C2346,LOTES!$F$5:$F$1004,0)),""))</f>
        <v/>
      </c>
      <c r="F2346" s="24" t="str">
        <f aca="false">IF(C2346="","",IFERROR(INDEX(LOTES!$B$5:$B$1004,MATCH(C2346,LOTES!$F$5:$F$1004,0)),""))</f>
        <v/>
      </c>
      <c r="G2346" s="15" t="str">
        <f aca="false">IF(OR(B2346="",F2346=""),"",B2346-F2346)</f>
        <v/>
      </c>
      <c r="H2346" s="13"/>
      <c r="I2346" s="13"/>
      <c r="J2346" s="13"/>
      <c r="K2346" s="25"/>
      <c r="L2346" s="25"/>
      <c r="M2346" s="25"/>
      <c r="N2346" s="25"/>
      <c r="O2346" s="26"/>
      <c r="P2346" s="16" t="str">
        <f aca="false">IF(O2346="","",IFERROR(1/(1/(IF(K2346="",INDEX(CONFIG!$F$5:$F$14,MATCH(D2346,CONFIG!$D$5:$D$14,0)),K2346)*IF(M2346="",INDEX(CONFIG!$H$5:$H$14,MATCH(D2346,CONFIG!$D$5:$D$14,0)),M2346))),""))</f>
        <v/>
      </c>
      <c r="Q2346" s="16" t="str">
        <f aca="false">IF(OR(O2346="",P2346=""),"",O2346/P2346)</f>
        <v/>
      </c>
      <c r="R2346" s="16" t="str">
        <f aca="false">IF(Q2346="","",Q2346*0.0980665)</f>
        <v/>
      </c>
      <c r="S2346" s="16" t="str">
        <f aca="false">IF(Q2346="","",IFERROR(Q2346/(1/(1/INDEX(CONFIG!$I$5:$I$14,MATCH(D2346,CONFIG!$D$5:$D$14,0)))),""))</f>
        <v/>
      </c>
      <c r="T2346" s="13"/>
      <c r="U2346" s="13"/>
      <c r="V2346" s="13"/>
      <c r="W2346" s="13"/>
      <c r="X2346" s="22" t="str">
        <f aca="false">IF(Q2346="","",Q2346^2)</f>
        <v/>
      </c>
      <c r="Y2346" s="22" t="str">
        <f aca="false">IF(AND(C2346&lt;&gt;"",C2346=CERTIFICADO!$E$4,OR(CERTIFICADO!$E$5="",B2346=CERTIFICADO!$E$5)),MAX($Y$4:Y2345)+1,"")</f>
        <v/>
      </c>
    </row>
    <row r="2347" customFormat="false" ht="15" hidden="false" customHeight="false" outlineLevel="0" collapsed="false">
      <c r="A2347" s="11" t="str">
        <f aca="false">IF(C2347="","",ROW()-4)</f>
        <v/>
      </c>
      <c r="B2347" s="12"/>
      <c r="C2347" s="13"/>
      <c r="D2347" s="23" t="str">
        <f aca="false">IF(C2347="","",IFERROR(INDEX(LOTES!$D$5:$D$1004,MATCH(C2347,LOTES!$F$5:$F$1004,0)),"¿Lote?"))</f>
        <v/>
      </c>
      <c r="E2347" s="11" t="str">
        <f aca="false">IF(C2347="","",IFERROR(INDEX(LOTES!$C$5:$C$1004,MATCH(C2347,LOTES!$F$5:$F$1004,0)),""))</f>
        <v/>
      </c>
      <c r="F2347" s="24" t="str">
        <f aca="false">IF(C2347="","",IFERROR(INDEX(LOTES!$B$5:$B$1004,MATCH(C2347,LOTES!$F$5:$F$1004,0)),""))</f>
        <v/>
      </c>
      <c r="G2347" s="15" t="str">
        <f aca="false">IF(OR(B2347="",F2347=""),"",B2347-F2347)</f>
        <v/>
      </c>
      <c r="H2347" s="13"/>
      <c r="I2347" s="13"/>
      <c r="J2347" s="13"/>
      <c r="K2347" s="25"/>
      <c r="L2347" s="25"/>
      <c r="M2347" s="25"/>
      <c r="N2347" s="25"/>
      <c r="O2347" s="26"/>
      <c r="P2347" s="16" t="str">
        <f aca="false">IF(O2347="","",IFERROR(1/(1/(IF(K2347="",INDEX(CONFIG!$F$5:$F$14,MATCH(D2347,CONFIG!$D$5:$D$14,0)),K2347)*IF(M2347="",INDEX(CONFIG!$H$5:$H$14,MATCH(D2347,CONFIG!$D$5:$D$14,0)),M2347))),""))</f>
        <v/>
      </c>
      <c r="Q2347" s="16" t="str">
        <f aca="false">IF(OR(O2347="",P2347=""),"",O2347/P2347)</f>
        <v/>
      </c>
      <c r="R2347" s="16" t="str">
        <f aca="false">IF(Q2347="","",Q2347*0.0980665)</f>
        <v/>
      </c>
      <c r="S2347" s="16" t="str">
        <f aca="false">IF(Q2347="","",IFERROR(Q2347/(1/(1/INDEX(CONFIG!$I$5:$I$14,MATCH(D2347,CONFIG!$D$5:$D$14,0)))),""))</f>
        <v/>
      </c>
      <c r="T2347" s="13"/>
      <c r="U2347" s="13"/>
      <c r="V2347" s="13"/>
      <c r="W2347" s="13"/>
      <c r="X2347" s="22" t="str">
        <f aca="false">IF(Q2347="","",Q2347^2)</f>
        <v/>
      </c>
      <c r="Y2347" s="22" t="str">
        <f aca="false">IF(AND(C2347&lt;&gt;"",C2347=CERTIFICADO!$E$4,OR(CERTIFICADO!$E$5="",B2347=CERTIFICADO!$E$5)),MAX($Y$4:Y2346)+1,"")</f>
        <v/>
      </c>
    </row>
    <row r="2348" customFormat="false" ht="15" hidden="false" customHeight="false" outlineLevel="0" collapsed="false">
      <c r="A2348" s="11" t="str">
        <f aca="false">IF(C2348="","",ROW()-4)</f>
        <v/>
      </c>
      <c r="B2348" s="12"/>
      <c r="C2348" s="13"/>
      <c r="D2348" s="23" t="str">
        <f aca="false">IF(C2348="","",IFERROR(INDEX(LOTES!$D$5:$D$1004,MATCH(C2348,LOTES!$F$5:$F$1004,0)),"¿Lote?"))</f>
        <v/>
      </c>
      <c r="E2348" s="11" t="str">
        <f aca="false">IF(C2348="","",IFERROR(INDEX(LOTES!$C$5:$C$1004,MATCH(C2348,LOTES!$F$5:$F$1004,0)),""))</f>
        <v/>
      </c>
      <c r="F2348" s="24" t="str">
        <f aca="false">IF(C2348="","",IFERROR(INDEX(LOTES!$B$5:$B$1004,MATCH(C2348,LOTES!$F$5:$F$1004,0)),""))</f>
        <v/>
      </c>
      <c r="G2348" s="15" t="str">
        <f aca="false">IF(OR(B2348="",F2348=""),"",B2348-F2348)</f>
        <v/>
      </c>
      <c r="H2348" s="13"/>
      <c r="I2348" s="13"/>
      <c r="J2348" s="13"/>
      <c r="K2348" s="25"/>
      <c r="L2348" s="25"/>
      <c r="M2348" s="25"/>
      <c r="N2348" s="25"/>
      <c r="O2348" s="26"/>
      <c r="P2348" s="16" t="str">
        <f aca="false">IF(O2348="","",IFERROR(1/(1/(IF(K2348="",INDEX(CONFIG!$F$5:$F$14,MATCH(D2348,CONFIG!$D$5:$D$14,0)),K2348)*IF(M2348="",INDEX(CONFIG!$H$5:$H$14,MATCH(D2348,CONFIG!$D$5:$D$14,0)),M2348))),""))</f>
        <v/>
      </c>
      <c r="Q2348" s="16" t="str">
        <f aca="false">IF(OR(O2348="",P2348=""),"",O2348/P2348)</f>
        <v/>
      </c>
      <c r="R2348" s="16" t="str">
        <f aca="false">IF(Q2348="","",Q2348*0.0980665)</f>
        <v/>
      </c>
      <c r="S2348" s="16" t="str">
        <f aca="false">IF(Q2348="","",IFERROR(Q2348/(1/(1/INDEX(CONFIG!$I$5:$I$14,MATCH(D2348,CONFIG!$D$5:$D$14,0)))),""))</f>
        <v/>
      </c>
      <c r="T2348" s="13"/>
      <c r="U2348" s="13"/>
      <c r="V2348" s="13"/>
      <c r="W2348" s="13"/>
      <c r="X2348" s="22" t="str">
        <f aca="false">IF(Q2348="","",Q2348^2)</f>
        <v/>
      </c>
      <c r="Y2348" s="22" t="str">
        <f aca="false">IF(AND(C2348&lt;&gt;"",C2348=CERTIFICADO!$E$4,OR(CERTIFICADO!$E$5="",B2348=CERTIFICADO!$E$5)),MAX($Y$4:Y2347)+1,"")</f>
        <v/>
      </c>
    </row>
    <row r="2349" customFormat="false" ht="15" hidden="false" customHeight="false" outlineLevel="0" collapsed="false">
      <c r="A2349" s="11" t="str">
        <f aca="false">IF(C2349="","",ROW()-4)</f>
        <v/>
      </c>
      <c r="B2349" s="12"/>
      <c r="C2349" s="13"/>
      <c r="D2349" s="23" t="str">
        <f aca="false">IF(C2349="","",IFERROR(INDEX(LOTES!$D$5:$D$1004,MATCH(C2349,LOTES!$F$5:$F$1004,0)),"¿Lote?"))</f>
        <v/>
      </c>
      <c r="E2349" s="11" t="str">
        <f aca="false">IF(C2349="","",IFERROR(INDEX(LOTES!$C$5:$C$1004,MATCH(C2349,LOTES!$F$5:$F$1004,0)),""))</f>
        <v/>
      </c>
      <c r="F2349" s="24" t="str">
        <f aca="false">IF(C2349="","",IFERROR(INDEX(LOTES!$B$5:$B$1004,MATCH(C2349,LOTES!$F$5:$F$1004,0)),""))</f>
        <v/>
      </c>
      <c r="G2349" s="15" t="str">
        <f aca="false">IF(OR(B2349="",F2349=""),"",B2349-F2349)</f>
        <v/>
      </c>
      <c r="H2349" s="13"/>
      <c r="I2349" s="13"/>
      <c r="J2349" s="13"/>
      <c r="K2349" s="25"/>
      <c r="L2349" s="25"/>
      <c r="M2349" s="25"/>
      <c r="N2349" s="25"/>
      <c r="O2349" s="26"/>
      <c r="P2349" s="16" t="str">
        <f aca="false">IF(O2349="","",IFERROR(1/(1/(IF(K2349="",INDEX(CONFIG!$F$5:$F$14,MATCH(D2349,CONFIG!$D$5:$D$14,0)),K2349)*IF(M2349="",INDEX(CONFIG!$H$5:$H$14,MATCH(D2349,CONFIG!$D$5:$D$14,0)),M2349))),""))</f>
        <v/>
      </c>
      <c r="Q2349" s="16" t="str">
        <f aca="false">IF(OR(O2349="",P2349=""),"",O2349/P2349)</f>
        <v/>
      </c>
      <c r="R2349" s="16" t="str">
        <f aca="false">IF(Q2349="","",Q2349*0.0980665)</f>
        <v/>
      </c>
      <c r="S2349" s="16" t="str">
        <f aca="false">IF(Q2349="","",IFERROR(Q2349/(1/(1/INDEX(CONFIG!$I$5:$I$14,MATCH(D2349,CONFIG!$D$5:$D$14,0)))),""))</f>
        <v/>
      </c>
      <c r="T2349" s="13"/>
      <c r="U2349" s="13"/>
      <c r="V2349" s="13"/>
      <c r="W2349" s="13"/>
      <c r="X2349" s="22" t="str">
        <f aca="false">IF(Q2349="","",Q2349^2)</f>
        <v/>
      </c>
      <c r="Y2349" s="22" t="str">
        <f aca="false">IF(AND(C2349&lt;&gt;"",C2349=CERTIFICADO!$E$4,OR(CERTIFICADO!$E$5="",B2349=CERTIFICADO!$E$5)),MAX($Y$4:Y2348)+1,"")</f>
        <v/>
      </c>
    </row>
    <row r="2350" customFormat="false" ht="15" hidden="false" customHeight="false" outlineLevel="0" collapsed="false">
      <c r="A2350" s="11" t="str">
        <f aca="false">IF(C2350="","",ROW()-4)</f>
        <v/>
      </c>
      <c r="B2350" s="12"/>
      <c r="C2350" s="13"/>
      <c r="D2350" s="23" t="str">
        <f aca="false">IF(C2350="","",IFERROR(INDEX(LOTES!$D$5:$D$1004,MATCH(C2350,LOTES!$F$5:$F$1004,0)),"¿Lote?"))</f>
        <v/>
      </c>
      <c r="E2350" s="11" t="str">
        <f aca="false">IF(C2350="","",IFERROR(INDEX(LOTES!$C$5:$C$1004,MATCH(C2350,LOTES!$F$5:$F$1004,0)),""))</f>
        <v/>
      </c>
      <c r="F2350" s="24" t="str">
        <f aca="false">IF(C2350="","",IFERROR(INDEX(LOTES!$B$5:$B$1004,MATCH(C2350,LOTES!$F$5:$F$1004,0)),""))</f>
        <v/>
      </c>
      <c r="G2350" s="15" t="str">
        <f aca="false">IF(OR(B2350="",F2350=""),"",B2350-F2350)</f>
        <v/>
      </c>
      <c r="H2350" s="13"/>
      <c r="I2350" s="13"/>
      <c r="J2350" s="13"/>
      <c r="K2350" s="25"/>
      <c r="L2350" s="25"/>
      <c r="M2350" s="25"/>
      <c r="N2350" s="25"/>
      <c r="O2350" s="26"/>
      <c r="P2350" s="16" t="str">
        <f aca="false">IF(O2350="","",IFERROR(1/(1/(IF(K2350="",INDEX(CONFIG!$F$5:$F$14,MATCH(D2350,CONFIG!$D$5:$D$14,0)),K2350)*IF(M2350="",INDEX(CONFIG!$H$5:$H$14,MATCH(D2350,CONFIG!$D$5:$D$14,0)),M2350))),""))</f>
        <v/>
      </c>
      <c r="Q2350" s="16" t="str">
        <f aca="false">IF(OR(O2350="",P2350=""),"",O2350/P2350)</f>
        <v/>
      </c>
      <c r="R2350" s="16" t="str">
        <f aca="false">IF(Q2350="","",Q2350*0.0980665)</f>
        <v/>
      </c>
      <c r="S2350" s="16" t="str">
        <f aca="false">IF(Q2350="","",IFERROR(Q2350/(1/(1/INDEX(CONFIG!$I$5:$I$14,MATCH(D2350,CONFIG!$D$5:$D$14,0)))),""))</f>
        <v/>
      </c>
      <c r="T2350" s="13"/>
      <c r="U2350" s="13"/>
      <c r="V2350" s="13"/>
      <c r="W2350" s="13"/>
      <c r="X2350" s="22" t="str">
        <f aca="false">IF(Q2350="","",Q2350^2)</f>
        <v/>
      </c>
      <c r="Y2350" s="22" t="str">
        <f aca="false">IF(AND(C2350&lt;&gt;"",C2350=CERTIFICADO!$E$4,OR(CERTIFICADO!$E$5="",B2350=CERTIFICADO!$E$5)),MAX($Y$4:Y2349)+1,"")</f>
        <v/>
      </c>
    </row>
    <row r="2351" customFormat="false" ht="15" hidden="false" customHeight="false" outlineLevel="0" collapsed="false">
      <c r="A2351" s="11" t="str">
        <f aca="false">IF(C2351="","",ROW()-4)</f>
        <v/>
      </c>
      <c r="B2351" s="12"/>
      <c r="C2351" s="13"/>
      <c r="D2351" s="23" t="str">
        <f aca="false">IF(C2351="","",IFERROR(INDEX(LOTES!$D$5:$D$1004,MATCH(C2351,LOTES!$F$5:$F$1004,0)),"¿Lote?"))</f>
        <v/>
      </c>
      <c r="E2351" s="11" t="str">
        <f aca="false">IF(C2351="","",IFERROR(INDEX(LOTES!$C$5:$C$1004,MATCH(C2351,LOTES!$F$5:$F$1004,0)),""))</f>
        <v/>
      </c>
      <c r="F2351" s="24" t="str">
        <f aca="false">IF(C2351="","",IFERROR(INDEX(LOTES!$B$5:$B$1004,MATCH(C2351,LOTES!$F$5:$F$1004,0)),""))</f>
        <v/>
      </c>
      <c r="G2351" s="15" t="str">
        <f aca="false">IF(OR(B2351="",F2351=""),"",B2351-F2351)</f>
        <v/>
      </c>
      <c r="H2351" s="13"/>
      <c r="I2351" s="13"/>
      <c r="J2351" s="13"/>
      <c r="K2351" s="25"/>
      <c r="L2351" s="25"/>
      <c r="M2351" s="25"/>
      <c r="N2351" s="25"/>
      <c r="O2351" s="26"/>
      <c r="P2351" s="16" t="str">
        <f aca="false">IF(O2351="","",IFERROR(1/(1/(IF(K2351="",INDEX(CONFIG!$F$5:$F$14,MATCH(D2351,CONFIG!$D$5:$D$14,0)),K2351)*IF(M2351="",INDEX(CONFIG!$H$5:$H$14,MATCH(D2351,CONFIG!$D$5:$D$14,0)),M2351))),""))</f>
        <v/>
      </c>
      <c r="Q2351" s="16" t="str">
        <f aca="false">IF(OR(O2351="",P2351=""),"",O2351/P2351)</f>
        <v/>
      </c>
      <c r="R2351" s="16" t="str">
        <f aca="false">IF(Q2351="","",Q2351*0.0980665)</f>
        <v/>
      </c>
      <c r="S2351" s="16" t="str">
        <f aca="false">IF(Q2351="","",IFERROR(Q2351/(1/(1/INDEX(CONFIG!$I$5:$I$14,MATCH(D2351,CONFIG!$D$5:$D$14,0)))),""))</f>
        <v/>
      </c>
      <c r="T2351" s="13"/>
      <c r="U2351" s="13"/>
      <c r="V2351" s="13"/>
      <c r="W2351" s="13"/>
      <c r="X2351" s="22" t="str">
        <f aca="false">IF(Q2351="","",Q2351^2)</f>
        <v/>
      </c>
      <c r="Y2351" s="22" t="str">
        <f aca="false">IF(AND(C2351&lt;&gt;"",C2351=CERTIFICADO!$E$4,OR(CERTIFICADO!$E$5="",B2351=CERTIFICADO!$E$5)),MAX($Y$4:Y2350)+1,"")</f>
        <v/>
      </c>
    </row>
    <row r="2352" customFormat="false" ht="15" hidden="false" customHeight="false" outlineLevel="0" collapsed="false">
      <c r="A2352" s="11" t="str">
        <f aca="false">IF(C2352="","",ROW()-4)</f>
        <v/>
      </c>
      <c r="B2352" s="12"/>
      <c r="C2352" s="13"/>
      <c r="D2352" s="23" t="str">
        <f aca="false">IF(C2352="","",IFERROR(INDEX(LOTES!$D$5:$D$1004,MATCH(C2352,LOTES!$F$5:$F$1004,0)),"¿Lote?"))</f>
        <v/>
      </c>
      <c r="E2352" s="11" t="str">
        <f aca="false">IF(C2352="","",IFERROR(INDEX(LOTES!$C$5:$C$1004,MATCH(C2352,LOTES!$F$5:$F$1004,0)),""))</f>
        <v/>
      </c>
      <c r="F2352" s="24" t="str">
        <f aca="false">IF(C2352="","",IFERROR(INDEX(LOTES!$B$5:$B$1004,MATCH(C2352,LOTES!$F$5:$F$1004,0)),""))</f>
        <v/>
      </c>
      <c r="G2352" s="15" t="str">
        <f aca="false">IF(OR(B2352="",F2352=""),"",B2352-F2352)</f>
        <v/>
      </c>
      <c r="H2352" s="13"/>
      <c r="I2352" s="13"/>
      <c r="J2352" s="13"/>
      <c r="K2352" s="25"/>
      <c r="L2352" s="25"/>
      <c r="M2352" s="25"/>
      <c r="N2352" s="25"/>
      <c r="O2352" s="26"/>
      <c r="P2352" s="16" t="str">
        <f aca="false">IF(O2352="","",IFERROR(1/(1/(IF(K2352="",INDEX(CONFIG!$F$5:$F$14,MATCH(D2352,CONFIG!$D$5:$D$14,0)),K2352)*IF(M2352="",INDEX(CONFIG!$H$5:$H$14,MATCH(D2352,CONFIG!$D$5:$D$14,0)),M2352))),""))</f>
        <v/>
      </c>
      <c r="Q2352" s="16" t="str">
        <f aca="false">IF(OR(O2352="",P2352=""),"",O2352/P2352)</f>
        <v/>
      </c>
      <c r="R2352" s="16" t="str">
        <f aca="false">IF(Q2352="","",Q2352*0.0980665)</f>
        <v/>
      </c>
      <c r="S2352" s="16" t="str">
        <f aca="false">IF(Q2352="","",IFERROR(Q2352/(1/(1/INDEX(CONFIG!$I$5:$I$14,MATCH(D2352,CONFIG!$D$5:$D$14,0)))),""))</f>
        <v/>
      </c>
      <c r="T2352" s="13"/>
      <c r="U2352" s="13"/>
      <c r="V2352" s="13"/>
      <c r="W2352" s="13"/>
      <c r="X2352" s="22" t="str">
        <f aca="false">IF(Q2352="","",Q2352^2)</f>
        <v/>
      </c>
      <c r="Y2352" s="22" t="str">
        <f aca="false">IF(AND(C2352&lt;&gt;"",C2352=CERTIFICADO!$E$4,OR(CERTIFICADO!$E$5="",B2352=CERTIFICADO!$E$5)),MAX($Y$4:Y2351)+1,"")</f>
        <v/>
      </c>
    </row>
    <row r="2353" customFormat="false" ht="15" hidden="false" customHeight="false" outlineLevel="0" collapsed="false">
      <c r="A2353" s="11" t="str">
        <f aca="false">IF(C2353="","",ROW()-4)</f>
        <v/>
      </c>
      <c r="B2353" s="12"/>
      <c r="C2353" s="13"/>
      <c r="D2353" s="23" t="str">
        <f aca="false">IF(C2353="","",IFERROR(INDEX(LOTES!$D$5:$D$1004,MATCH(C2353,LOTES!$F$5:$F$1004,0)),"¿Lote?"))</f>
        <v/>
      </c>
      <c r="E2353" s="11" t="str">
        <f aca="false">IF(C2353="","",IFERROR(INDEX(LOTES!$C$5:$C$1004,MATCH(C2353,LOTES!$F$5:$F$1004,0)),""))</f>
        <v/>
      </c>
      <c r="F2353" s="24" t="str">
        <f aca="false">IF(C2353="","",IFERROR(INDEX(LOTES!$B$5:$B$1004,MATCH(C2353,LOTES!$F$5:$F$1004,0)),""))</f>
        <v/>
      </c>
      <c r="G2353" s="15" t="str">
        <f aca="false">IF(OR(B2353="",F2353=""),"",B2353-F2353)</f>
        <v/>
      </c>
      <c r="H2353" s="13"/>
      <c r="I2353" s="13"/>
      <c r="J2353" s="13"/>
      <c r="K2353" s="25"/>
      <c r="L2353" s="25"/>
      <c r="M2353" s="25"/>
      <c r="N2353" s="25"/>
      <c r="O2353" s="26"/>
      <c r="P2353" s="16" t="str">
        <f aca="false">IF(O2353="","",IFERROR(1/(1/(IF(K2353="",INDEX(CONFIG!$F$5:$F$14,MATCH(D2353,CONFIG!$D$5:$D$14,0)),K2353)*IF(M2353="",INDEX(CONFIG!$H$5:$H$14,MATCH(D2353,CONFIG!$D$5:$D$14,0)),M2353))),""))</f>
        <v/>
      </c>
      <c r="Q2353" s="16" t="str">
        <f aca="false">IF(OR(O2353="",P2353=""),"",O2353/P2353)</f>
        <v/>
      </c>
      <c r="R2353" s="16" t="str">
        <f aca="false">IF(Q2353="","",Q2353*0.0980665)</f>
        <v/>
      </c>
      <c r="S2353" s="16" t="str">
        <f aca="false">IF(Q2353="","",IFERROR(Q2353/(1/(1/INDEX(CONFIG!$I$5:$I$14,MATCH(D2353,CONFIG!$D$5:$D$14,0)))),""))</f>
        <v/>
      </c>
      <c r="T2353" s="13"/>
      <c r="U2353" s="13"/>
      <c r="V2353" s="13"/>
      <c r="W2353" s="13"/>
      <c r="X2353" s="22" t="str">
        <f aca="false">IF(Q2353="","",Q2353^2)</f>
        <v/>
      </c>
      <c r="Y2353" s="22" t="str">
        <f aca="false">IF(AND(C2353&lt;&gt;"",C2353=CERTIFICADO!$E$4,OR(CERTIFICADO!$E$5="",B2353=CERTIFICADO!$E$5)),MAX($Y$4:Y2352)+1,"")</f>
        <v/>
      </c>
    </row>
    <row r="2354" customFormat="false" ht="15" hidden="false" customHeight="false" outlineLevel="0" collapsed="false">
      <c r="A2354" s="11" t="str">
        <f aca="false">IF(C2354="","",ROW()-4)</f>
        <v/>
      </c>
      <c r="B2354" s="12"/>
      <c r="C2354" s="13"/>
      <c r="D2354" s="23" t="str">
        <f aca="false">IF(C2354="","",IFERROR(INDEX(LOTES!$D$5:$D$1004,MATCH(C2354,LOTES!$F$5:$F$1004,0)),"¿Lote?"))</f>
        <v/>
      </c>
      <c r="E2354" s="11" t="str">
        <f aca="false">IF(C2354="","",IFERROR(INDEX(LOTES!$C$5:$C$1004,MATCH(C2354,LOTES!$F$5:$F$1004,0)),""))</f>
        <v/>
      </c>
      <c r="F2354" s="24" t="str">
        <f aca="false">IF(C2354="","",IFERROR(INDEX(LOTES!$B$5:$B$1004,MATCH(C2354,LOTES!$F$5:$F$1004,0)),""))</f>
        <v/>
      </c>
      <c r="G2354" s="15" t="str">
        <f aca="false">IF(OR(B2354="",F2354=""),"",B2354-F2354)</f>
        <v/>
      </c>
      <c r="H2354" s="13"/>
      <c r="I2354" s="13"/>
      <c r="J2354" s="13"/>
      <c r="K2354" s="25"/>
      <c r="L2354" s="25"/>
      <c r="M2354" s="25"/>
      <c r="N2354" s="25"/>
      <c r="O2354" s="26"/>
      <c r="P2354" s="16" t="str">
        <f aca="false">IF(O2354="","",IFERROR(1/(1/(IF(K2354="",INDEX(CONFIG!$F$5:$F$14,MATCH(D2354,CONFIG!$D$5:$D$14,0)),K2354)*IF(M2354="",INDEX(CONFIG!$H$5:$H$14,MATCH(D2354,CONFIG!$D$5:$D$14,0)),M2354))),""))</f>
        <v/>
      </c>
      <c r="Q2354" s="16" t="str">
        <f aca="false">IF(OR(O2354="",P2354=""),"",O2354/P2354)</f>
        <v/>
      </c>
      <c r="R2354" s="16" t="str">
        <f aca="false">IF(Q2354="","",Q2354*0.0980665)</f>
        <v/>
      </c>
      <c r="S2354" s="16" t="str">
        <f aca="false">IF(Q2354="","",IFERROR(Q2354/(1/(1/INDEX(CONFIG!$I$5:$I$14,MATCH(D2354,CONFIG!$D$5:$D$14,0)))),""))</f>
        <v/>
      </c>
      <c r="T2354" s="13"/>
      <c r="U2354" s="13"/>
      <c r="V2354" s="13"/>
      <c r="W2354" s="13"/>
      <c r="X2354" s="22" t="str">
        <f aca="false">IF(Q2354="","",Q2354^2)</f>
        <v/>
      </c>
      <c r="Y2354" s="22" t="str">
        <f aca="false">IF(AND(C2354&lt;&gt;"",C2354=CERTIFICADO!$E$4,OR(CERTIFICADO!$E$5="",B2354=CERTIFICADO!$E$5)),MAX($Y$4:Y2353)+1,"")</f>
        <v/>
      </c>
    </row>
    <row r="2355" customFormat="false" ht="15" hidden="false" customHeight="false" outlineLevel="0" collapsed="false">
      <c r="A2355" s="11" t="str">
        <f aca="false">IF(C2355="","",ROW()-4)</f>
        <v/>
      </c>
      <c r="B2355" s="12"/>
      <c r="C2355" s="13"/>
      <c r="D2355" s="23" t="str">
        <f aca="false">IF(C2355="","",IFERROR(INDEX(LOTES!$D$5:$D$1004,MATCH(C2355,LOTES!$F$5:$F$1004,0)),"¿Lote?"))</f>
        <v/>
      </c>
      <c r="E2355" s="11" t="str">
        <f aca="false">IF(C2355="","",IFERROR(INDEX(LOTES!$C$5:$C$1004,MATCH(C2355,LOTES!$F$5:$F$1004,0)),""))</f>
        <v/>
      </c>
      <c r="F2355" s="24" t="str">
        <f aca="false">IF(C2355="","",IFERROR(INDEX(LOTES!$B$5:$B$1004,MATCH(C2355,LOTES!$F$5:$F$1004,0)),""))</f>
        <v/>
      </c>
      <c r="G2355" s="15" t="str">
        <f aca="false">IF(OR(B2355="",F2355=""),"",B2355-F2355)</f>
        <v/>
      </c>
      <c r="H2355" s="13"/>
      <c r="I2355" s="13"/>
      <c r="J2355" s="13"/>
      <c r="K2355" s="25"/>
      <c r="L2355" s="25"/>
      <c r="M2355" s="25"/>
      <c r="N2355" s="25"/>
      <c r="O2355" s="26"/>
      <c r="P2355" s="16" t="str">
        <f aca="false">IF(O2355="","",IFERROR(1/(1/(IF(K2355="",INDEX(CONFIG!$F$5:$F$14,MATCH(D2355,CONFIG!$D$5:$D$14,0)),K2355)*IF(M2355="",INDEX(CONFIG!$H$5:$H$14,MATCH(D2355,CONFIG!$D$5:$D$14,0)),M2355))),""))</f>
        <v/>
      </c>
      <c r="Q2355" s="16" t="str">
        <f aca="false">IF(OR(O2355="",P2355=""),"",O2355/P2355)</f>
        <v/>
      </c>
      <c r="R2355" s="16" t="str">
        <f aca="false">IF(Q2355="","",Q2355*0.0980665)</f>
        <v/>
      </c>
      <c r="S2355" s="16" t="str">
        <f aca="false">IF(Q2355="","",IFERROR(Q2355/(1/(1/INDEX(CONFIG!$I$5:$I$14,MATCH(D2355,CONFIG!$D$5:$D$14,0)))),""))</f>
        <v/>
      </c>
      <c r="T2355" s="13"/>
      <c r="U2355" s="13"/>
      <c r="V2355" s="13"/>
      <c r="W2355" s="13"/>
      <c r="X2355" s="22" t="str">
        <f aca="false">IF(Q2355="","",Q2355^2)</f>
        <v/>
      </c>
      <c r="Y2355" s="22" t="str">
        <f aca="false">IF(AND(C2355&lt;&gt;"",C2355=CERTIFICADO!$E$4,OR(CERTIFICADO!$E$5="",B2355=CERTIFICADO!$E$5)),MAX($Y$4:Y2354)+1,"")</f>
        <v/>
      </c>
    </row>
    <row r="2356" customFormat="false" ht="15" hidden="false" customHeight="false" outlineLevel="0" collapsed="false">
      <c r="A2356" s="11" t="str">
        <f aca="false">IF(C2356="","",ROW()-4)</f>
        <v/>
      </c>
      <c r="B2356" s="12"/>
      <c r="C2356" s="13"/>
      <c r="D2356" s="23" t="str">
        <f aca="false">IF(C2356="","",IFERROR(INDEX(LOTES!$D$5:$D$1004,MATCH(C2356,LOTES!$F$5:$F$1004,0)),"¿Lote?"))</f>
        <v/>
      </c>
      <c r="E2356" s="11" t="str">
        <f aca="false">IF(C2356="","",IFERROR(INDEX(LOTES!$C$5:$C$1004,MATCH(C2356,LOTES!$F$5:$F$1004,0)),""))</f>
        <v/>
      </c>
      <c r="F2356" s="24" t="str">
        <f aca="false">IF(C2356="","",IFERROR(INDEX(LOTES!$B$5:$B$1004,MATCH(C2356,LOTES!$F$5:$F$1004,0)),""))</f>
        <v/>
      </c>
      <c r="G2356" s="15" t="str">
        <f aca="false">IF(OR(B2356="",F2356=""),"",B2356-F2356)</f>
        <v/>
      </c>
      <c r="H2356" s="13"/>
      <c r="I2356" s="13"/>
      <c r="J2356" s="13"/>
      <c r="K2356" s="25"/>
      <c r="L2356" s="25"/>
      <c r="M2356" s="25"/>
      <c r="N2356" s="25"/>
      <c r="O2356" s="26"/>
      <c r="P2356" s="16" t="str">
        <f aca="false">IF(O2356="","",IFERROR(1/(1/(IF(K2356="",INDEX(CONFIG!$F$5:$F$14,MATCH(D2356,CONFIG!$D$5:$D$14,0)),K2356)*IF(M2356="",INDEX(CONFIG!$H$5:$H$14,MATCH(D2356,CONFIG!$D$5:$D$14,0)),M2356))),""))</f>
        <v/>
      </c>
      <c r="Q2356" s="16" t="str">
        <f aca="false">IF(OR(O2356="",P2356=""),"",O2356/P2356)</f>
        <v/>
      </c>
      <c r="R2356" s="16" t="str">
        <f aca="false">IF(Q2356="","",Q2356*0.0980665)</f>
        <v/>
      </c>
      <c r="S2356" s="16" t="str">
        <f aca="false">IF(Q2356="","",IFERROR(Q2356/(1/(1/INDEX(CONFIG!$I$5:$I$14,MATCH(D2356,CONFIG!$D$5:$D$14,0)))),""))</f>
        <v/>
      </c>
      <c r="T2356" s="13"/>
      <c r="U2356" s="13"/>
      <c r="V2356" s="13"/>
      <c r="W2356" s="13"/>
      <c r="X2356" s="22" t="str">
        <f aca="false">IF(Q2356="","",Q2356^2)</f>
        <v/>
      </c>
      <c r="Y2356" s="22" t="str">
        <f aca="false">IF(AND(C2356&lt;&gt;"",C2356=CERTIFICADO!$E$4,OR(CERTIFICADO!$E$5="",B2356=CERTIFICADO!$E$5)),MAX($Y$4:Y2355)+1,"")</f>
        <v/>
      </c>
    </row>
    <row r="2357" customFormat="false" ht="15" hidden="false" customHeight="false" outlineLevel="0" collapsed="false">
      <c r="A2357" s="11" t="str">
        <f aca="false">IF(C2357="","",ROW()-4)</f>
        <v/>
      </c>
      <c r="B2357" s="12"/>
      <c r="C2357" s="13"/>
      <c r="D2357" s="23" t="str">
        <f aca="false">IF(C2357="","",IFERROR(INDEX(LOTES!$D$5:$D$1004,MATCH(C2357,LOTES!$F$5:$F$1004,0)),"¿Lote?"))</f>
        <v/>
      </c>
      <c r="E2357" s="11" t="str">
        <f aca="false">IF(C2357="","",IFERROR(INDEX(LOTES!$C$5:$C$1004,MATCH(C2357,LOTES!$F$5:$F$1004,0)),""))</f>
        <v/>
      </c>
      <c r="F2357" s="24" t="str">
        <f aca="false">IF(C2357="","",IFERROR(INDEX(LOTES!$B$5:$B$1004,MATCH(C2357,LOTES!$F$5:$F$1004,0)),""))</f>
        <v/>
      </c>
      <c r="G2357" s="15" t="str">
        <f aca="false">IF(OR(B2357="",F2357=""),"",B2357-F2357)</f>
        <v/>
      </c>
      <c r="H2357" s="13"/>
      <c r="I2357" s="13"/>
      <c r="J2357" s="13"/>
      <c r="K2357" s="25"/>
      <c r="L2357" s="25"/>
      <c r="M2357" s="25"/>
      <c r="N2357" s="25"/>
      <c r="O2357" s="26"/>
      <c r="P2357" s="16" t="str">
        <f aca="false">IF(O2357="","",IFERROR(1/(1/(IF(K2357="",INDEX(CONFIG!$F$5:$F$14,MATCH(D2357,CONFIG!$D$5:$D$14,0)),K2357)*IF(M2357="",INDEX(CONFIG!$H$5:$H$14,MATCH(D2357,CONFIG!$D$5:$D$14,0)),M2357))),""))</f>
        <v/>
      </c>
      <c r="Q2357" s="16" t="str">
        <f aca="false">IF(OR(O2357="",P2357=""),"",O2357/P2357)</f>
        <v/>
      </c>
      <c r="R2357" s="16" t="str">
        <f aca="false">IF(Q2357="","",Q2357*0.0980665)</f>
        <v/>
      </c>
      <c r="S2357" s="16" t="str">
        <f aca="false">IF(Q2357="","",IFERROR(Q2357/(1/(1/INDEX(CONFIG!$I$5:$I$14,MATCH(D2357,CONFIG!$D$5:$D$14,0)))),""))</f>
        <v/>
      </c>
      <c r="T2357" s="13"/>
      <c r="U2357" s="13"/>
      <c r="V2357" s="13"/>
      <c r="W2357" s="13"/>
      <c r="X2357" s="22" t="str">
        <f aca="false">IF(Q2357="","",Q2357^2)</f>
        <v/>
      </c>
      <c r="Y2357" s="22" t="str">
        <f aca="false">IF(AND(C2357&lt;&gt;"",C2357=CERTIFICADO!$E$4,OR(CERTIFICADO!$E$5="",B2357=CERTIFICADO!$E$5)),MAX($Y$4:Y2356)+1,"")</f>
        <v/>
      </c>
    </row>
    <row r="2358" customFormat="false" ht="15" hidden="false" customHeight="false" outlineLevel="0" collapsed="false">
      <c r="A2358" s="11" t="str">
        <f aca="false">IF(C2358="","",ROW()-4)</f>
        <v/>
      </c>
      <c r="B2358" s="12"/>
      <c r="C2358" s="13"/>
      <c r="D2358" s="23" t="str">
        <f aca="false">IF(C2358="","",IFERROR(INDEX(LOTES!$D$5:$D$1004,MATCH(C2358,LOTES!$F$5:$F$1004,0)),"¿Lote?"))</f>
        <v/>
      </c>
      <c r="E2358" s="11" t="str">
        <f aca="false">IF(C2358="","",IFERROR(INDEX(LOTES!$C$5:$C$1004,MATCH(C2358,LOTES!$F$5:$F$1004,0)),""))</f>
        <v/>
      </c>
      <c r="F2358" s="24" t="str">
        <f aca="false">IF(C2358="","",IFERROR(INDEX(LOTES!$B$5:$B$1004,MATCH(C2358,LOTES!$F$5:$F$1004,0)),""))</f>
        <v/>
      </c>
      <c r="G2358" s="15" t="str">
        <f aca="false">IF(OR(B2358="",F2358=""),"",B2358-F2358)</f>
        <v/>
      </c>
      <c r="H2358" s="13"/>
      <c r="I2358" s="13"/>
      <c r="J2358" s="13"/>
      <c r="K2358" s="25"/>
      <c r="L2358" s="25"/>
      <c r="M2358" s="25"/>
      <c r="N2358" s="25"/>
      <c r="O2358" s="26"/>
      <c r="P2358" s="16" t="str">
        <f aca="false">IF(O2358="","",IFERROR(1/(1/(IF(K2358="",INDEX(CONFIG!$F$5:$F$14,MATCH(D2358,CONFIG!$D$5:$D$14,0)),K2358)*IF(M2358="",INDEX(CONFIG!$H$5:$H$14,MATCH(D2358,CONFIG!$D$5:$D$14,0)),M2358))),""))</f>
        <v/>
      </c>
      <c r="Q2358" s="16" t="str">
        <f aca="false">IF(OR(O2358="",P2358=""),"",O2358/P2358)</f>
        <v/>
      </c>
      <c r="R2358" s="16" t="str">
        <f aca="false">IF(Q2358="","",Q2358*0.0980665)</f>
        <v/>
      </c>
      <c r="S2358" s="16" t="str">
        <f aca="false">IF(Q2358="","",IFERROR(Q2358/(1/(1/INDEX(CONFIG!$I$5:$I$14,MATCH(D2358,CONFIG!$D$5:$D$14,0)))),""))</f>
        <v/>
      </c>
      <c r="T2358" s="13"/>
      <c r="U2358" s="13"/>
      <c r="V2358" s="13"/>
      <c r="W2358" s="13"/>
      <c r="X2358" s="22" t="str">
        <f aca="false">IF(Q2358="","",Q2358^2)</f>
        <v/>
      </c>
      <c r="Y2358" s="22" t="str">
        <f aca="false">IF(AND(C2358&lt;&gt;"",C2358=CERTIFICADO!$E$4,OR(CERTIFICADO!$E$5="",B2358=CERTIFICADO!$E$5)),MAX($Y$4:Y2357)+1,"")</f>
        <v/>
      </c>
    </row>
    <row r="2359" customFormat="false" ht="15" hidden="false" customHeight="false" outlineLevel="0" collapsed="false">
      <c r="A2359" s="11" t="str">
        <f aca="false">IF(C2359="","",ROW()-4)</f>
        <v/>
      </c>
      <c r="B2359" s="12"/>
      <c r="C2359" s="13"/>
      <c r="D2359" s="23" t="str">
        <f aca="false">IF(C2359="","",IFERROR(INDEX(LOTES!$D$5:$D$1004,MATCH(C2359,LOTES!$F$5:$F$1004,0)),"¿Lote?"))</f>
        <v/>
      </c>
      <c r="E2359" s="11" t="str">
        <f aca="false">IF(C2359="","",IFERROR(INDEX(LOTES!$C$5:$C$1004,MATCH(C2359,LOTES!$F$5:$F$1004,0)),""))</f>
        <v/>
      </c>
      <c r="F2359" s="24" t="str">
        <f aca="false">IF(C2359="","",IFERROR(INDEX(LOTES!$B$5:$B$1004,MATCH(C2359,LOTES!$F$5:$F$1004,0)),""))</f>
        <v/>
      </c>
      <c r="G2359" s="15" t="str">
        <f aca="false">IF(OR(B2359="",F2359=""),"",B2359-F2359)</f>
        <v/>
      </c>
      <c r="H2359" s="13"/>
      <c r="I2359" s="13"/>
      <c r="J2359" s="13"/>
      <c r="K2359" s="25"/>
      <c r="L2359" s="25"/>
      <c r="M2359" s="25"/>
      <c r="N2359" s="25"/>
      <c r="O2359" s="26"/>
      <c r="P2359" s="16" t="str">
        <f aca="false">IF(O2359="","",IFERROR(1/(1/(IF(K2359="",INDEX(CONFIG!$F$5:$F$14,MATCH(D2359,CONFIG!$D$5:$D$14,0)),K2359)*IF(M2359="",INDEX(CONFIG!$H$5:$H$14,MATCH(D2359,CONFIG!$D$5:$D$14,0)),M2359))),""))</f>
        <v/>
      </c>
      <c r="Q2359" s="16" t="str">
        <f aca="false">IF(OR(O2359="",P2359=""),"",O2359/P2359)</f>
        <v/>
      </c>
      <c r="R2359" s="16" t="str">
        <f aca="false">IF(Q2359="","",Q2359*0.0980665)</f>
        <v/>
      </c>
      <c r="S2359" s="16" t="str">
        <f aca="false">IF(Q2359="","",IFERROR(Q2359/(1/(1/INDEX(CONFIG!$I$5:$I$14,MATCH(D2359,CONFIG!$D$5:$D$14,0)))),""))</f>
        <v/>
      </c>
      <c r="T2359" s="13"/>
      <c r="U2359" s="13"/>
      <c r="V2359" s="13"/>
      <c r="W2359" s="13"/>
      <c r="X2359" s="22" t="str">
        <f aca="false">IF(Q2359="","",Q2359^2)</f>
        <v/>
      </c>
      <c r="Y2359" s="22" t="str">
        <f aca="false">IF(AND(C2359&lt;&gt;"",C2359=CERTIFICADO!$E$4,OR(CERTIFICADO!$E$5="",B2359=CERTIFICADO!$E$5)),MAX($Y$4:Y2358)+1,"")</f>
        <v/>
      </c>
    </row>
    <row r="2360" customFormat="false" ht="15" hidden="false" customHeight="false" outlineLevel="0" collapsed="false">
      <c r="A2360" s="11" t="str">
        <f aca="false">IF(C2360="","",ROW()-4)</f>
        <v/>
      </c>
      <c r="B2360" s="12"/>
      <c r="C2360" s="13"/>
      <c r="D2360" s="23" t="str">
        <f aca="false">IF(C2360="","",IFERROR(INDEX(LOTES!$D$5:$D$1004,MATCH(C2360,LOTES!$F$5:$F$1004,0)),"¿Lote?"))</f>
        <v/>
      </c>
      <c r="E2360" s="11" t="str">
        <f aca="false">IF(C2360="","",IFERROR(INDEX(LOTES!$C$5:$C$1004,MATCH(C2360,LOTES!$F$5:$F$1004,0)),""))</f>
        <v/>
      </c>
      <c r="F2360" s="24" t="str">
        <f aca="false">IF(C2360="","",IFERROR(INDEX(LOTES!$B$5:$B$1004,MATCH(C2360,LOTES!$F$5:$F$1004,0)),""))</f>
        <v/>
      </c>
      <c r="G2360" s="15" t="str">
        <f aca="false">IF(OR(B2360="",F2360=""),"",B2360-F2360)</f>
        <v/>
      </c>
      <c r="H2360" s="13"/>
      <c r="I2360" s="13"/>
      <c r="J2360" s="13"/>
      <c r="K2360" s="25"/>
      <c r="L2360" s="25"/>
      <c r="M2360" s="25"/>
      <c r="N2360" s="25"/>
      <c r="O2360" s="26"/>
      <c r="P2360" s="16" t="str">
        <f aca="false">IF(O2360="","",IFERROR(1/(1/(IF(K2360="",INDEX(CONFIG!$F$5:$F$14,MATCH(D2360,CONFIG!$D$5:$D$14,0)),K2360)*IF(M2360="",INDEX(CONFIG!$H$5:$H$14,MATCH(D2360,CONFIG!$D$5:$D$14,0)),M2360))),""))</f>
        <v/>
      </c>
      <c r="Q2360" s="16" t="str">
        <f aca="false">IF(OR(O2360="",P2360=""),"",O2360/P2360)</f>
        <v/>
      </c>
      <c r="R2360" s="16" t="str">
        <f aca="false">IF(Q2360="","",Q2360*0.0980665)</f>
        <v/>
      </c>
      <c r="S2360" s="16" t="str">
        <f aca="false">IF(Q2360="","",IFERROR(Q2360/(1/(1/INDEX(CONFIG!$I$5:$I$14,MATCH(D2360,CONFIG!$D$5:$D$14,0)))),""))</f>
        <v/>
      </c>
      <c r="T2360" s="13"/>
      <c r="U2360" s="13"/>
      <c r="V2360" s="13"/>
      <c r="W2360" s="13"/>
      <c r="X2360" s="22" t="str">
        <f aca="false">IF(Q2360="","",Q2360^2)</f>
        <v/>
      </c>
      <c r="Y2360" s="22" t="str">
        <f aca="false">IF(AND(C2360&lt;&gt;"",C2360=CERTIFICADO!$E$4,OR(CERTIFICADO!$E$5="",B2360=CERTIFICADO!$E$5)),MAX($Y$4:Y2359)+1,"")</f>
        <v/>
      </c>
    </row>
    <row r="2361" customFormat="false" ht="15" hidden="false" customHeight="false" outlineLevel="0" collapsed="false">
      <c r="A2361" s="11" t="str">
        <f aca="false">IF(C2361="","",ROW()-4)</f>
        <v/>
      </c>
      <c r="B2361" s="12"/>
      <c r="C2361" s="13"/>
      <c r="D2361" s="23" t="str">
        <f aca="false">IF(C2361="","",IFERROR(INDEX(LOTES!$D$5:$D$1004,MATCH(C2361,LOTES!$F$5:$F$1004,0)),"¿Lote?"))</f>
        <v/>
      </c>
      <c r="E2361" s="11" t="str">
        <f aca="false">IF(C2361="","",IFERROR(INDEX(LOTES!$C$5:$C$1004,MATCH(C2361,LOTES!$F$5:$F$1004,0)),""))</f>
        <v/>
      </c>
      <c r="F2361" s="24" t="str">
        <f aca="false">IF(C2361="","",IFERROR(INDEX(LOTES!$B$5:$B$1004,MATCH(C2361,LOTES!$F$5:$F$1004,0)),""))</f>
        <v/>
      </c>
      <c r="G2361" s="15" t="str">
        <f aca="false">IF(OR(B2361="",F2361=""),"",B2361-F2361)</f>
        <v/>
      </c>
      <c r="H2361" s="13"/>
      <c r="I2361" s="13"/>
      <c r="J2361" s="13"/>
      <c r="K2361" s="25"/>
      <c r="L2361" s="25"/>
      <c r="M2361" s="25"/>
      <c r="N2361" s="25"/>
      <c r="O2361" s="26"/>
      <c r="P2361" s="16" t="str">
        <f aca="false">IF(O2361="","",IFERROR(1/(1/(IF(K2361="",INDEX(CONFIG!$F$5:$F$14,MATCH(D2361,CONFIG!$D$5:$D$14,0)),K2361)*IF(M2361="",INDEX(CONFIG!$H$5:$H$14,MATCH(D2361,CONFIG!$D$5:$D$14,0)),M2361))),""))</f>
        <v/>
      </c>
      <c r="Q2361" s="16" t="str">
        <f aca="false">IF(OR(O2361="",P2361=""),"",O2361/P2361)</f>
        <v/>
      </c>
      <c r="R2361" s="16" t="str">
        <f aca="false">IF(Q2361="","",Q2361*0.0980665)</f>
        <v/>
      </c>
      <c r="S2361" s="16" t="str">
        <f aca="false">IF(Q2361="","",IFERROR(Q2361/(1/(1/INDEX(CONFIG!$I$5:$I$14,MATCH(D2361,CONFIG!$D$5:$D$14,0)))),""))</f>
        <v/>
      </c>
      <c r="T2361" s="13"/>
      <c r="U2361" s="13"/>
      <c r="V2361" s="13"/>
      <c r="W2361" s="13"/>
      <c r="X2361" s="22" t="str">
        <f aca="false">IF(Q2361="","",Q2361^2)</f>
        <v/>
      </c>
      <c r="Y2361" s="22" t="str">
        <f aca="false">IF(AND(C2361&lt;&gt;"",C2361=CERTIFICADO!$E$4,OR(CERTIFICADO!$E$5="",B2361=CERTIFICADO!$E$5)),MAX($Y$4:Y2360)+1,"")</f>
        <v/>
      </c>
    </row>
    <row r="2362" customFormat="false" ht="15" hidden="false" customHeight="false" outlineLevel="0" collapsed="false">
      <c r="A2362" s="11" t="str">
        <f aca="false">IF(C2362="","",ROW()-4)</f>
        <v/>
      </c>
      <c r="B2362" s="12"/>
      <c r="C2362" s="13"/>
      <c r="D2362" s="23" t="str">
        <f aca="false">IF(C2362="","",IFERROR(INDEX(LOTES!$D$5:$D$1004,MATCH(C2362,LOTES!$F$5:$F$1004,0)),"¿Lote?"))</f>
        <v/>
      </c>
      <c r="E2362" s="11" t="str">
        <f aca="false">IF(C2362="","",IFERROR(INDEX(LOTES!$C$5:$C$1004,MATCH(C2362,LOTES!$F$5:$F$1004,0)),""))</f>
        <v/>
      </c>
      <c r="F2362" s="24" t="str">
        <f aca="false">IF(C2362="","",IFERROR(INDEX(LOTES!$B$5:$B$1004,MATCH(C2362,LOTES!$F$5:$F$1004,0)),""))</f>
        <v/>
      </c>
      <c r="G2362" s="15" t="str">
        <f aca="false">IF(OR(B2362="",F2362=""),"",B2362-F2362)</f>
        <v/>
      </c>
      <c r="H2362" s="13"/>
      <c r="I2362" s="13"/>
      <c r="J2362" s="13"/>
      <c r="K2362" s="25"/>
      <c r="L2362" s="25"/>
      <c r="M2362" s="25"/>
      <c r="N2362" s="25"/>
      <c r="O2362" s="26"/>
      <c r="P2362" s="16" t="str">
        <f aca="false">IF(O2362="","",IFERROR(1/(1/(IF(K2362="",INDEX(CONFIG!$F$5:$F$14,MATCH(D2362,CONFIG!$D$5:$D$14,0)),K2362)*IF(M2362="",INDEX(CONFIG!$H$5:$H$14,MATCH(D2362,CONFIG!$D$5:$D$14,0)),M2362))),""))</f>
        <v/>
      </c>
      <c r="Q2362" s="16" t="str">
        <f aca="false">IF(OR(O2362="",P2362=""),"",O2362/P2362)</f>
        <v/>
      </c>
      <c r="R2362" s="16" t="str">
        <f aca="false">IF(Q2362="","",Q2362*0.0980665)</f>
        <v/>
      </c>
      <c r="S2362" s="16" t="str">
        <f aca="false">IF(Q2362="","",IFERROR(Q2362/(1/(1/INDEX(CONFIG!$I$5:$I$14,MATCH(D2362,CONFIG!$D$5:$D$14,0)))),""))</f>
        <v/>
      </c>
      <c r="T2362" s="13"/>
      <c r="U2362" s="13"/>
      <c r="V2362" s="13"/>
      <c r="W2362" s="13"/>
      <c r="X2362" s="22" t="str">
        <f aca="false">IF(Q2362="","",Q2362^2)</f>
        <v/>
      </c>
      <c r="Y2362" s="22" t="str">
        <f aca="false">IF(AND(C2362&lt;&gt;"",C2362=CERTIFICADO!$E$4,OR(CERTIFICADO!$E$5="",B2362=CERTIFICADO!$E$5)),MAX($Y$4:Y2361)+1,"")</f>
        <v/>
      </c>
    </row>
    <row r="2363" customFormat="false" ht="15" hidden="false" customHeight="false" outlineLevel="0" collapsed="false">
      <c r="A2363" s="11" t="str">
        <f aca="false">IF(C2363="","",ROW()-4)</f>
        <v/>
      </c>
      <c r="B2363" s="12"/>
      <c r="C2363" s="13"/>
      <c r="D2363" s="23" t="str">
        <f aca="false">IF(C2363="","",IFERROR(INDEX(LOTES!$D$5:$D$1004,MATCH(C2363,LOTES!$F$5:$F$1004,0)),"¿Lote?"))</f>
        <v/>
      </c>
      <c r="E2363" s="11" t="str">
        <f aca="false">IF(C2363="","",IFERROR(INDEX(LOTES!$C$5:$C$1004,MATCH(C2363,LOTES!$F$5:$F$1004,0)),""))</f>
        <v/>
      </c>
      <c r="F2363" s="24" t="str">
        <f aca="false">IF(C2363="","",IFERROR(INDEX(LOTES!$B$5:$B$1004,MATCH(C2363,LOTES!$F$5:$F$1004,0)),""))</f>
        <v/>
      </c>
      <c r="G2363" s="15" t="str">
        <f aca="false">IF(OR(B2363="",F2363=""),"",B2363-F2363)</f>
        <v/>
      </c>
      <c r="H2363" s="13"/>
      <c r="I2363" s="13"/>
      <c r="J2363" s="13"/>
      <c r="K2363" s="25"/>
      <c r="L2363" s="25"/>
      <c r="M2363" s="25"/>
      <c r="N2363" s="25"/>
      <c r="O2363" s="26"/>
      <c r="P2363" s="16" t="str">
        <f aca="false">IF(O2363="","",IFERROR(1/(1/(IF(K2363="",INDEX(CONFIG!$F$5:$F$14,MATCH(D2363,CONFIG!$D$5:$D$14,0)),K2363)*IF(M2363="",INDEX(CONFIG!$H$5:$H$14,MATCH(D2363,CONFIG!$D$5:$D$14,0)),M2363))),""))</f>
        <v/>
      </c>
      <c r="Q2363" s="16" t="str">
        <f aca="false">IF(OR(O2363="",P2363=""),"",O2363/P2363)</f>
        <v/>
      </c>
      <c r="R2363" s="16" t="str">
        <f aca="false">IF(Q2363="","",Q2363*0.0980665)</f>
        <v/>
      </c>
      <c r="S2363" s="16" t="str">
        <f aca="false">IF(Q2363="","",IFERROR(Q2363/(1/(1/INDEX(CONFIG!$I$5:$I$14,MATCH(D2363,CONFIG!$D$5:$D$14,0)))),""))</f>
        <v/>
      </c>
      <c r="T2363" s="13"/>
      <c r="U2363" s="13"/>
      <c r="V2363" s="13"/>
      <c r="W2363" s="13"/>
      <c r="X2363" s="22" t="str">
        <f aca="false">IF(Q2363="","",Q2363^2)</f>
        <v/>
      </c>
      <c r="Y2363" s="22" t="str">
        <f aca="false">IF(AND(C2363&lt;&gt;"",C2363=CERTIFICADO!$E$4,OR(CERTIFICADO!$E$5="",B2363=CERTIFICADO!$E$5)),MAX($Y$4:Y2362)+1,"")</f>
        <v/>
      </c>
    </row>
    <row r="2364" customFormat="false" ht="15" hidden="false" customHeight="false" outlineLevel="0" collapsed="false">
      <c r="A2364" s="11" t="str">
        <f aca="false">IF(C2364="","",ROW()-4)</f>
        <v/>
      </c>
      <c r="B2364" s="12"/>
      <c r="C2364" s="13"/>
      <c r="D2364" s="23" t="str">
        <f aca="false">IF(C2364="","",IFERROR(INDEX(LOTES!$D$5:$D$1004,MATCH(C2364,LOTES!$F$5:$F$1004,0)),"¿Lote?"))</f>
        <v/>
      </c>
      <c r="E2364" s="11" t="str">
        <f aca="false">IF(C2364="","",IFERROR(INDEX(LOTES!$C$5:$C$1004,MATCH(C2364,LOTES!$F$5:$F$1004,0)),""))</f>
        <v/>
      </c>
      <c r="F2364" s="24" t="str">
        <f aca="false">IF(C2364="","",IFERROR(INDEX(LOTES!$B$5:$B$1004,MATCH(C2364,LOTES!$F$5:$F$1004,0)),""))</f>
        <v/>
      </c>
      <c r="G2364" s="15" t="str">
        <f aca="false">IF(OR(B2364="",F2364=""),"",B2364-F2364)</f>
        <v/>
      </c>
      <c r="H2364" s="13"/>
      <c r="I2364" s="13"/>
      <c r="J2364" s="13"/>
      <c r="K2364" s="25"/>
      <c r="L2364" s="25"/>
      <c r="M2364" s="25"/>
      <c r="N2364" s="25"/>
      <c r="O2364" s="26"/>
      <c r="P2364" s="16" t="str">
        <f aca="false">IF(O2364="","",IFERROR(1/(1/(IF(K2364="",INDEX(CONFIG!$F$5:$F$14,MATCH(D2364,CONFIG!$D$5:$D$14,0)),K2364)*IF(M2364="",INDEX(CONFIG!$H$5:$H$14,MATCH(D2364,CONFIG!$D$5:$D$14,0)),M2364))),""))</f>
        <v/>
      </c>
      <c r="Q2364" s="16" t="str">
        <f aca="false">IF(OR(O2364="",P2364=""),"",O2364/P2364)</f>
        <v/>
      </c>
      <c r="R2364" s="16" t="str">
        <f aca="false">IF(Q2364="","",Q2364*0.0980665)</f>
        <v/>
      </c>
      <c r="S2364" s="16" t="str">
        <f aca="false">IF(Q2364="","",IFERROR(Q2364/(1/(1/INDEX(CONFIG!$I$5:$I$14,MATCH(D2364,CONFIG!$D$5:$D$14,0)))),""))</f>
        <v/>
      </c>
      <c r="T2364" s="13"/>
      <c r="U2364" s="13"/>
      <c r="V2364" s="13"/>
      <c r="W2364" s="13"/>
      <c r="X2364" s="22" t="str">
        <f aca="false">IF(Q2364="","",Q2364^2)</f>
        <v/>
      </c>
      <c r="Y2364" s="22" t="str">
        <f aca="false">IF(AND(C2364&lt;&gt;"",C2364=CERTIFICADO!$E$4,OR(CERTIFICADO!$E$5="",B2364=CERTIFICADO!$E$5)),MAX($Y$4:Y2363)+1,"")</f>
        <v/>
      </c>
    </row>
    <row r="2365" customFormat="false" ht="15" hidden="false" customHeight="false" outlineLevel="0" collapsed="false">
      <c r="A2365" s="11" t="str">
        <f aca="false">IF(C2365="","",ROW()-4)</f>
        <v/>
      </c>
      <c r="B2365" s="12"/>
      <c r="C2365" s="13"/>
      <c r="D2365" s="23" t="str">
        <f aca="false">IF(C2365="","",IFERROR(INDEX(LOTES!$D$5:$D$1004,MATCH(C2365,LOTES!$F$5:$F$1004,0)),"¿Lote?"))</f>
        <v/>
      </c>
      <c r="E2365" s="11" t="str">
        <f aca="false">IF(C2365="","",IFERROR(INDEX(LOTES!$C$5:$C$1004,MATCH(C2365,LOTES!$F$5:$F$1004,0)),""))</f>
        <v/>
      </c>
      <c r="F2365" s="24" t="str">
        <f aca="false">IF(C2365="","",IFERROR(INDEX(LOTES!$B$5:$B$1004,MATCH(C2365,LOTES!$F$5:$F$1004,0)),""))</f>
        <v/>
      </c>
      <c r="G2365" s="15" t="str">
        <f aca="false">IF(OR(B2365="",F2365=""),"",B2365-F2365)</f>
        <v/>
      </c>
      <c r="H2365" s="13"/>
      <c r="I2365" s="13"/>
      <c r="J2365" s="13"/>
      <c r="K2365" s="25"/>
      <c r="L2365" s="25"/>
      <c r="M2365" s="25"/>
      <c r="N2365" s="25"/>
      <c r="O2365" s="26"/>
      <c r="P2365" s="16" t="str">
        <f aca="false">IF(O2365="","",IFERROR(1/(1/(IF(K2365="",INDEX(CONFIG!$F$5:$F$14,MATCH(D2365,CONFIG!$D$5:$D$14,0)),K2365)*IF(M2365="",INDEX(CONFIG!$H$5:$H$14,MATCH(D2365,CONFIG!$D$5:$D$14,0)),M2365))),""))</f>
        <v/>
      </c>
      <c r="Q2365" s="16" t="str">
        <f aca="false">IF(OR(O2365="",P2365=""),"",O2365/P2365)</f>
        <v/>
      </c>
      <c r="R2365" s="16" t="str">
        <f aca="false">IF(Q2365="","",Q2365*0.0980665)</f>
        <v/>
      </c>
      <c r="S2365" s="16" t="str">
        <f aca="false">IF(Q2365="","",IFERROR(Q2365/(1/(1/INDEX(CONFIG!$I$5:$I$14,MATCH(D2365,CONFIG!$D$5:$D$14,0)))),""))</f>
        <v/>
      </c>
      <c r="T2365" s="13"/>
      <c r="U2365" s="13"/>
      <c r="V2365" s="13"/>
      <c r="W2365" s="13"/>
      <c r="X2365" s="22" t="str">
        <f aca="false">IF(Q2365="","",Q2365^2)</f>
        <v/>
      </c>
      <c r="Y2365" s="22" t="str">
        <f aca="false">IF(AND(C2365&lt;&gt;"",C2365=CERTIFICADO!$E$4,OR(CERTIFICADO!$E$5="",B2365=CERTIFICADO!$E$5)),MAX($Y$4:Y2364)+1,"")</f>
        <v/>
      </c>
    </row>
    <row r="2366" customFormat="false" ht="15" hidden="false" customHeight="false" outlineLevel="0" collapsed="false">
      <c r="A2366" s="11" t="str">
        <f aca="false">IF(C2366="","",ROW()-4)</f>
        <v/>
      </c>
      <c r="B2366" s="12"/>
      <c r="C2366" s="13"/>
      <c r="D2366" s="23" t="str">
        <f aca="false">IF(C2366="","",IFERROR(INDEX(LOTES!$D$5:$D$1004,MATCH(C2366,LOTES!$F$5:$F$1004,0)),"¿Lote?"))</f>
        <v/>
      </c>
      <c r="E2366" s="11" t="str">
        <f aca="false">IF(C2366="","",IFERROR(INDEX(LOTES!$C$5:$C$1004,MATCH(C2366,LOTES!$F$5:$F$1004,0)),""))</f>
        <v/>
      </c>
      <c r="F2366" s="24" t="str">
        <f aca="false">IF(C2366="","",IFERROR(INDEX(LOTES!$B$5:$B$1004,MATCH(C2366,LOTES!$F$5:$F$1004,0)),""))</f>
        <v/>
      </c>
      <c r="G2366" s="15" t="str">
        <f aca="false">IF(OR(B2366="",F2366=""),"",B2366-F2366)</f>
        <v/>
      </c>
      <c r="H2366" s="13"/>
      <c r="I2366" s="13"/>
      <c r="J2366" s="13"/>
      <c r="K2366" s="25"/>
      <c r="L2366" s="25"/>
      <c r="M2366" s="25"/>
      <c r="N2366" s="25"/>
      <c r="O2366" s="26"/>
      <c r="P2366" s="16" t="str">
        <f aca="false">IF(O2366="","",IFERROR(1/(1/(IF(K2366="",INDEX(CONFIG!$F$5:$F$14,MATCH(D2366,CONFIG!$D$5:$D$14,0)),K2366)*IF(M2366="",INDEX(CONFIG!$H$5:$H$14,MATCH(D2366,CONFIG!$D$5:$D$14,0)),M2366))),""))</f>
        <v/>
      </c>
      <c r="Q2366" s="16" t="str">
        <f aca="false">IF(OR(O2366="",P2366=""),"",O2366/P2366)</f>
        <v/>
      </c>
      <c r="R2366" s="16" t="str">
        <f aca="false">IF(Q2366="","",Q2366*0.0980665)</f>
        <v/>
      </c>
      <c r="S2366" s="16" t="str">
        <f aca="false">IF(Q2366="","",IFERROR(Q2366/(1/(1/INDEX(CONFIG!$I$5:$I$14,MATCH(D2366,CONFIG!$D$5:$D$14,0)))),""))</f>
        <v/>
      </c>
      <c r="T2366" s="13"/>
      <c r="U2366" s="13"/>
      <c r="V2366" s="13"/>
      <c r="W2366" s="13"/>
      <c r="X2366" s="22" t="str">
        <f aca="false">IF(Q2366="","",Q2366^2)</f>
        <v/>
      </c>
      <c r="Y2366" s="22" t="str">
        <f aca="false">IF(AND(C2366&lt;&gt;"",C2366=CERTIFICADO!$E$4,OR(CERTIFICADO!$E$5="",B2366=CERTIFICADO!$E$5)),MAX($Y$4:Y2365)+1,"")</f>
        <v/>
      </c>
    </row>
    <row r="2367" customFormat="false" ht="15" hidden="false" customHeight="false" outlineLevel="0" collapsed="false">
      <c r="A2367" s="11" t="str">
        <f aca="false">IF(C2367="","",ROW()-4)</f>
        <v/>
      </c>
      <c r="B2367" s="12"/>
      <c r="C2367" s="13"/>
      <c r="D2367" s="23" t="str">
        <f aca="false">IF(C2367="","",IFERROR(INDEX(LOTES!$D$5:$D$1004,MATCH(C2367,LOTES!$F$5:$F$1004,0)),"¿Lote?"))</f>
        <v/>
      </c>
      <c r="E2367" s="11" t="str">
        <f aca="false">IF(C2367="","",IFERROR(INDEX(LOTES!$C$5:$C$1004,MATCH(C2367,LOTES!$F$5:$F$1004,0)),""))</f>
        <v/>
      </c>
      <c r="F2367" s="24" t="str">
        <f aca="false">IF(C2367="","",IFERROR(INDEX(LOTES!$B$5:$B$1004,MATCH(C2367,LOTES!$F$5:$F$1004,0)),""))</f>
        <v/>
      </c>
      <c r="G2367" s="15" t="str">
        <f aca="false">IF(OR(B2367="",F2367=""),"",B2367-F2367)</f>
        <v/>
      </c>
      <c r="H2367" s="13"/>
      <c r="I2367" s="13"/>
      <c r="J2367" s="13"/>
      <c r="K2367" s="25"/>
      <c r="L2367" s="25"/>
      <c r="M2367" s="25"/>
      <c r="N2367" s="25"/>
      <c r="O2367" s="26"/>
      <c r="P2367" s="16" t="str">
        <f aca="false">IF(O2367="","",IFERROR(1/(1/(IF(K2367="",INDEX(CONFIG!$F$5:$F$14,MATCH(D2367,CONFIG!$D$5:$D$14,0)),K2367)*IF(M2367="",INDEX(CONFIG!$H$5:$H$14,MATCH(D2367,CONFIG!$D$5:$D$14,0)),M2367))),""))</f>
        <v/>
      </c>
      <c r="Q2367" s="16" t="str">
        <f aca="false">IF(OR(O2367="",P2367=""),"",O2367/P2367)</f>
        <v/>
      </c>
      <c r="R2367" s="16" t="str">
        <f aca="false">IF(Q2367="","",Q2367*0.0980665)</f>
        <v/>
      </c>
      <c r="S2367" s="16" t="str">
        <f aca="false">IF(Q2367="","",IFERROR(Q2367/(1/(1/INDEX(CONFIG!$I$5:$I$14,MATCH(D2367,CONFIG!$D$5:$D$14,0)))),""))</f>
        <v/>
      </c>
      <c r="T2367" s="13"/>
      <c r="U2367" s="13"/>
      <c r="V2367" s="13"/>
      <c r="W2367" s="13"/>
      <c r="X2367" s="22" t="str">
        <f aca="false">IF(Q2367="","",Q2367^2)</f>
        <v/>
      </c>
      <c r="Y2367" s="22" t="str">
        <f aca="false">IF(AND(C2367&lt;&gt;"",C2367=CERTIFICADO!$E$4,OR(CERTIFICADO!$E$5="",B2367=CERTIFICADO!$E$5)),MAX($Y$4:Y2366)+1,"")</f>
        <v/>
      </c>
    </row>
    <row r="2368" customFormat="false" ht="15" hidden="false" customHeight="false" outlineLevel="0" collapsed="false">
      <c r="A2368" s="11" t="str">
        <f aca="false">IF(C2368="","",ROW()-4)</f>
        <v/>
      </c>
      <c r="B2368" s="12"/>
      <c r="C2368" s="13"/>
      <c r="D2368" s="23" t="str">
        <f aca="false">IF(C2368="","",IFERROR(INDEX(LOTES!$D$5:$D$1004,MATCH(C2368,LOTES!$F$5:$F$1004,0)),"¿Lote?"))</f>
        <v/>
      </c>
      <c r="E2368" s="11" t="str">
        <f aca="false">IF(C2368="","",IFERROR(INDEX(LOTES!$C$5:$C$1004,MATCH(C2368,LOTES!$F$5:$F$1004,0)),""))</f>
        <v/>
      </c>
      <c r="F2368" s="24" t="str">
        <f aca="false">IF(C2368="","",IFERROR(INDEX(LOTES!$B$5:$B$1004,MATCH(C2368,LOTES!$F$5:$F$1004,0)),""))</f>
        <v/>
      </c>
      <c r="G2368" s="15" t="str">
        <f aca="false">IF(OR(B2368="",F2368=""),"",B2368-F2368)</f>
        <v/>
      </c>
      <c r="H2368" s="13"/>
      <c r="I2368" s="13"/>
      <c r="J2368" s="13"/>
      <c r="K2368" s="25"/>
      <c r="L2368" s="25"/>
      <c r="M2368" s="25"/>
      <c r="N2368" s="25"/>
      <c r="O2368" s="26"/>
      <c r="P2368" s="16" t="str">
        <f aca="false">IF(O2368="","",IFERROR(1/(1/(IF(K2368="",INDEX(CONFIG!$F$5:$F$14,MATCH(D2368,CONFIG!$D$5:$D$14,0)),K2368)*IF(M2368="",INDEX(CONFIG!$H$5:$H$14,MATCH(D2368,CONFIG!$D$5:$D$14,0)),M2368))),""))</f>
        <v/>
      </c>
      <c r="Q2368" s="16" t="str">
        <f aca="false">IF(OR(O2368="",P2368=""),"",O2368/P2368)</f>
        <v/>
      </c>
      <c r="R2368" s="16" t="str">
        <f aca="false">IF(Q2368="","",Q2368*0.0980665)</f>
        <v/>
      </c>
      <c r="S2368" s="16" t="str">
        <f aca="false">IF(Q2368="","",IFERROR(Q2368/(1/(1/INDEX(CONFIG!$I$5:$I$14,MATCH(D2368,CONFIG!$D$5:$D$14,0)))),""))</f>
        <v/>
      </c>
      <c r="T2368" s="13"/>
      <c r="U2368" s="13"/>
      <c r="V2368" s="13"/>
      <c r="W2368" s="13"/>
      <c r="X2368" s="22" t="str">
        <f aca="false">IF(Q2368="","",Q2368^2)</f>
        <v/>
      </c>
      <c r="Y2368" s="22" t="str">
        <f aca="false">IF(AND(C2368&lt;&gt;"",C2368=CERTIFICADO!$E$4,OR(CERTIFICADO!$E$5="",B2368=CERTIFICADO!$E$5)),MAX($Y$4:Y2367)+1,"")</f>
        <v/>
      </c>
    </row>
    <row r="2369" customFormat="false" ht="15" hidden="false" customHeight="false" outlineLevel="0" collapsed="false">
      <c r="A2369" s="11" t="str">
        <f aca="false">IF(C2369="","",ROW()-4)</f>
        <v/>
      </c>
      <c r="B2369" s="12"/>
      <c r="C2369" s="13"/>
      <c r="D2369" s="23" t="str">
        <f aca="false">IF(C2369="","",IFERROR(INDEX(LOTES!$D$5:$D$1004,MATCH(C2369,LOTES!$F$5:$F$1004,0)),"¿Lote?"))</f>
        <v/>
      </c>
      <c r="E2369" s="11" t="str">
        <f aca="false">IF(C2369="","",IFERROR(INDEX(LOTES!$C$5:$C$1004,MATCH(C2369,LOTES!$F$5:$F$1004,0)),""))</f>
        <v/>
      </c>
      <c r="F2369" s="24" t="str">
        <f aca="false">IF(C2369="","",IFERROR(INDEX(LOTES!$B$5:$B$1004,MATCH(C2369,LOTES!$F$5:$F$1004,0)),""))</f>
        <v/>
      </c>
      <c r="G2369" s="15" t="str">
        <f aca="false">IF(OR(B2369="",F2369=""),"",B2369-F2369)</f>
        <v/>
      </c>
      <c r="H2369" s="13"/>
      <c r="I2369" s="13"/>
      <c r="J2369" s="13"/>
      <c r="K2369" s="25"/>
      <c r="L2369" s="25"/>
      <c r="M2369" s="25"/>
      <c r="N2369" s="25"/>
      <c r="O2369" s="26"/>
      <c r="P2369" s="16" t="str">
        <f aca="false">IF(O2369="","",IFERROR(1/(1/(IF(K2369="",INDEX(CONFIG!$F$5:$F$14,MATCH(D2369,CONFIG!$D$5:$D$14,0)),K2369)*IF(M2369="",INDEX(CONFIG!$H$5:$H$14,MATCH(D2369,CONFIG!$D$5:$D$14,0)),M2369))),""))</f>
        <v/>
      </c>
      <c r="Q2369" s="16" t="str">
        <f aca="false">IF(OR(O2369="",P2369=""),"",O2369/P2369)</f>
        <v/>
      </c>
      <c r="R2369" s="16" t="str">
        <f aca="false">IF(Q2369="","",Q2369*0.0980665)</f>
        <v/>
      </c>
      <c r="S2369" s="16" t="str">
        <f aca="false">IF(Q2369="","",IFERROR(Q2369/(1/(1/INDEX(CONFIG!$I$5:$I$14,MATCH(D2369,CONFIG!$D$5:$D$14,0)))),""))</f>
        <v/>
      </c>
      <c r="T2369" s="13"/>
      <c r="U2369" s="13"/>
      <c r="V2369" s="13"/>
      <c r="W2369" s="13"/>
      <c r="X2369" s="22" t="str">
        <f aca="false">IF(Q2369="","",Q2369^2)</f>
        <v/>
      </c>
      <c r="Y2369" s="22" t="str">
        <f aca="false">IF(AND(C2369&lt;&gt;"",C2369=CERTIFICADO!$E$4,OR(CERTIFICADO!$E$5="",B2369=CERTIFICADO!$E$5)),MAX($Y$4:Y2368)+1,"")</f>
        <v/>
      </c>
    </row>
    <row r="2370" customFormat="false" ht="15" hidden="false" customHeight="false" outlineLevel="0" collapsed="false">
      <c r="A2370" s="11" t="str">
        <f aca="false">IF(C2370="","",ROW()-4)</f>
        <v/>
      </c>
      <c r="B2370" s="12"/>
      <c r="C2370" s="13"/>
      <c r="D2370" s="23" t="str">
        <f aca="false">IF(C2370="","",IFERROR(INDEX(LOTES!$D$5:$D$1004,MATCH(C2370,LOTES!$F$5:$F$1004,0)),"¿Lote?"))</f>
        <v/>
      </c>
      <c r="E2370" s="11" t="str">
        <f aca="false">IF(C2370="","",IFERROR(INDEX(LOTES!$C$5:$C$1004,MATCH(C2370,LOTES!$F$5:$F$1004,0)),""))</f>
        <v/>
      </c>
      <c r="F2370" s="24" t="str">
        <f aca="false">IF(C2370="","",IFERROR(INDEX(LOTES!$B$5:$B$1004,MATCH(C2370,LOTES!$F$5:$F$1004,0)),""))</f>
        <v/>
      </c>
      <c r="G2370" s="15" t="str">
        <f aca="false">IF(OR(B2370="",F2370=""),"",B2370-F2370)</f>
        <v/>
      </c>
      <c r="H2370" s="13"/>
      <c r="I2370" s="13"/>
      <c r="J2370" s="13"/>
      <c r="K2370" s="25"/>
      <c r="L2370" s="25"/>
      <c r="M2370" s="25"/>
      <c r="N2370" s="25"/>
      <c r="O2370" s="26"/>
      <c r="P2370" s="16" t="str">
        <f aca="false">IF(O2370="","",IFERROR(1/(1/(IF(K2370="",INDEX(CONFIG!$F$5:$F$14,MATCH(D2370,CONFIG!$D$5:$D$14,0)),K2370)*IF(M2370="",INDEX(CONFIG!$H$5:$H$14,MATCH(D2370,CONFIG!$D$5:$D$14,0)),M2370))),""))</f>
        <v/>
      </c>
      <c r="Q2370" s="16" t="str">
        <f aca="false">IF(OR(O2370="",P2370=""),"",O2370/P2370)</f>
        <v/>
      </c>
      <c r="R2370" s="16" t="str">
        <f aca="false">IF(Q2370="","",Q2370*0.0980665)</f>
        <v/>
      </c>
      <c r="S2370" s="16" t="str">
        <f aca="false">IF(Q2370="","",IFERROR(Q2370/(1/(1/INDEX(CONFIG!$I$5:$I$14,MATCH(D2370,CONFIG!$D$5:$D$14,0)))),""))</f>
        <v/>
      </c>
      <c r="T2370" s="13"/>
      <c r="U2370" s="13"/>
      <c r="V2370" s="13"/>
      <c r="W2370" s="13"/>
      <c r="X2370" s="22" t="str">
        <f aca="false">IF(Q2370="","",Q2370^2)</f>
        <v/>
      </c>
      <c r="Y2370" s="22" t="str">
        <f aca="false">IF(AND(C2370&lt;&gt;"",C2370=CERTIFICADO!$E$4,OR(CERTIFICADO!$E$5="",B2370=CERTIFICADO!$E$5)),MAX($Y$4:Y2369)+1,"")</f>
        <v/>
      </c>
    </row>
    <row r="2371" customFormat="false" ht="15" hidden="false" customHeight="false" outlineLevel="0" collapsed="false">
      <c r="A2371" s="11" t="str">
        <f aca="false">IF(C2371="","",ROW()-4)</f>
        <v/>
      </c>
      <c r="B2371" s="12"/>
      <c r="C2371" s="13"/>
      <c r="D2371" s="23" t="str">
        <f aca="false">IF(C2371="","",IFERROR(INDEX(LOTES!$D$5:$D$1004,MATCH(C2371,LOTES!$F$5:$F$1004,0)),"¿Lote?"))</f>
        <v/>
      </c>
      <c r="E2371" s="11" t="str">
        <f aca="false">IF(C2371="","",IFERROR(INDEX(LOTES!$C$5:$C$1004,MATCH(C2371,LOTES!$F$5:$F$1004,0)),""))</f>
        <v/>
      </c>
      <c r="F2371" s="24" t="str">
        <f aca="false">IF(C2371="","",IFERROR(INDEX(LOTES!$B$5:$B$1004,MATCH(C2371,LOTES!$F$5:$F$1004,0)),""))</f>
        <v/>
      </c>
      <c r="G2371" s="15" t="str">
        <f aca="false">IF(OR(B2371="",F2371=""),"",B2371-F2371)</f>
        <v/>
      </c>
      <c r="H2371" s="13"/>
      <c r="I2371" s="13"/>
      <c r="J2371" s="13"/>
      <c r="K2371" s="25"/>
      <c r="L2371" s="25"/>
      <c r="M2371" s="25"/>
      <c r="N2371" s="25"/>
      <c r="O2371" s="26"/>
      <c r="P2371" s="16" t="str">
        <f aca="false">IF(O2371="","",IFERROR(1/(1/(IF(K2371="",INDEX(CONFIG!$F$5:$F$14,MATCH(D2371,CONFIG!$D$5:$D$14,0)),K2371)*IF(M2371="",INDEX(CONFIG!$H$5:$H$14,MATCH(D2371,CONFIG!$D$5:$D$14,0)),M2371))),""))</f>
        <v/>
      </c>
      <c r="Q2371" s="16" t="str">
        <f aca="false">IF(OR(O2371="",P2371=""),"",O2371/P2371)</f>
        <v/>
      </c>
      <c r="R2371" s="16" t="str">
        <f aca="false">IF(Q2371="","",Q2371*0.0980665)</f>
        <v/>
      </c>
      <c r="S2371" s="16" t="str">
        <f aca="false">IF(Q2371="","",IFERROR(Q2371/(1/(1/INDEX(CONFIG!$I$5:$I$14,MATCH(D2371,CONFIG!$D$5:$D$14,0)))),""))</f>
        <v/>
      </c>
      <c r="T2371" s="13"/>
      <c r="U2371" s="13"/>
      <c r="V2371" s="13"/>
      <c r="W2371" s="13"/>
      <c r="X2371" s="22" t="str">
        <f aca="false">IF(Q2371="","",Q2371^2)</f>
        <v/>
      </c>
      <c r="Y2371" s="22" t="str">
        <f aca="false">IF(AND(C2371&lt;&gt;"",C2371=CERTIFICADO!$E$4,OR(CERTIFICADO!$E$5="",B2371=CERTIFICADO!$E$5)),MAX($Y$4:Y2370)+1,"")</f>
        <v/>
      </c>
    </row>
    <row r="2372" customFormat="false" ht="15" hidden="false" customHeight="false" outlineLevel="0" collapsed="false">
      <c r="A2372" s="11" t="str">
        <f aca="false">IF(C2372="","",ROW()-4)</f>
        <v/>
      </c>
      <c r="B2372" s="12"/>
      <c r="C2372" s="13"/>
      <c r="D2372" s="23" t="str">
        <f aca="false">IF(C2372="","",IFERROR(INDEX(LOTES!$D$5:$D$1004,MATCH(C2372,LOTES!$F$5:$F$1004,0)),"¿Lote?"))</f>
        <v/>
      </c>
      <c r="E2372" s="11" t="str">
        <f aca="false">IF(C2372="","",IFERROR(INDEX(LOTES!$C$5:$C$1004,MATCH(C2372,LOTES!$F$5:$F$1004,0)),""))</f>
        <v/>
      </c>
      <c r="F2372" s="24" t="str">
        <f aca="false">IF(C2372="","",IFERROR(INDEX(LOTES!$B$5:$B$1004,MATCH(C2372,LOTES!$F$5:$F$1004,0)),""))</f>
        <v/>
      </c>
      <c r="G2372" s="15" t="str">
        <f aca="false">IF(OR(B2372="",F2372=""),"",B2372-F2372)</f>
        <v/>
      </c>
      <c r="H2372" s="13"/>
      <c r="I2372" s="13"/>
      <c r="J2372" s="13"/>
      <c r="K2372" s="25"/>
      <c r="L2372" s="25"/>
      <c r="M2372" s="25"/>
      <c r="N2372" s="25"/>
      <c r="O2372" s="26"/>
      <c r="P2372" s="16" t="str">
        <f aca="false">IF(O2372="","",IFERROR(1/(1/(IF(K2372="",INDEX(CONFIG!$F$5:$F$14,MATCH(D2372,CONFIG!$D$5:$D$14,0)),K2372)*IF(M2372="",INDEX(CONFIG!$H$5:$H$14,MATCH(D2372,CONFIG!$D$5:$D$14,0)),M2372))),""))</f>
        <v/>
      </c>
      <c r="Q2372" s="16" t="str">
        <f aca="false">IF(OR(O2372="",P2372=""),"",O2372/P2372)</f>
        <v/>
      </c>
      <c r="R2372" s="16" t="str">
        <f aca="false">IF(Q2372="","",Q2372*0.0980665)</f>
        <v/>
      </c>
      <c r="S2372" s="16" t="str">
        <f aca="false">IF(Q2372="","",IFERROR(Q2372/(1/(1/INDEX(CONFIG!$I$5:$I$14,MATCH(D2372,CONFIG!$D$5:$D$14,0)))),""))</f>
        <v/>
      </c>
      <c r="T2372" s="13"/>
      <c r="U2372" s="13"/>
      <c r="V2372" s="13"/>
      <c r="W2372" s="13"/>
      <c r="X2372" s="22" t="str">
        <f aca="false">IF(Q2372="","",Q2372^2)</f>
        <v/>
      </c>
      <c r="Y2372" s="22" t="str">
        <f aca="false">IF(AND(C2372&lt;&gt;"",C2372=CERTIFICADO!$E$4,OR(CERTIFICADO!$E$5="",B2372=CERTIFICADO!$E$5)),MAX($Y$4:Y2371)+1,"")</f>
        <v/>
      </c>
    </row>
    <row r="2373" customFormat="false" ht="15" hidden="false" customHeight="false" outlineLevel="0" collapsed="false">
      <c r="A2373" s="11" t="str">
        <f aca="false">IF(C2373="","",ROW()-4)</f>
        <v/>
      </c>
      <c r="B2373" s="12"/>
      <c r="C2373" s="13"/>
      <c r="D2373" s="23" t="str">
        <f aca="false">IF(C2373="","",IFERROR(INDEX(LOTES!$D$5:$D$1004,MATCH(C2373,LOTES!$F$5:$F$1004,0)),"¿Lote?"))</f>
        <v/>
      </c>
      <c r="E2373" s="11" t="str">
        <f aca="false">IF(C2373="","",IFERROR(INDEX(LOTES!$C$5:$C$1004,MATCH(C2373,LOTES!$F$5:$F$1004,0)),""))</f>
        <v/>
      </c>
      <c r="F2373" s="24" t="str">
        <f aca="false">IF(C2373="","",IFERROR(INDEX(LOTES!$B$5:$B$1004,MATCH(C2373,LOTES!$F$5:$F$1004,0)),""))</f>
        <v/>
      </c>
      <c r="G2373" s="15" t="str">
        <f aca="false">IF(OR(B2373="",F2373=""),"",B2373-F2373)</f>
        <v/>
      </c>
      <c r="H2373" s="13"/>
      <c r="I2373" s="13"/>
      <c r="J2373" s="13"/>
      <c r="K2373" s="25"/>
      <c r="L2373" s="25"/>
      <c r="M2373" s="25"/>
      <c r="N2373" s="25"/>
      <c r="O2373" s="26"/>
      <c r="P2373" s="16" t="str">
        <f aca="false">IF(O2373="","",IFERROR(1/(1/(IF(K2373="",INDEX(CONFIG!$F$5:$F$14,MATCH(D2373,CONFIG!$D$5:$D$14,0)),K2373)*IF(M2373="",INDEX(CONFIG!$H$5:$H$14,MATCH(D2373,CONFIG!$D$5:$D$14,0)),M2373))),""))</f>
        <v/>
      </c>
      <c r="Q2373" s="16" t="str">
        <f aca="false">IF(OR(O2373="",P2373=""),"",O2373/P2373)</f>
        <v/>
      </c>
      <c r="R2373" s="16" t="str">
        <f aca="false">IF(Q2373="","",Q2373*0.0980665)</f>
        <v/>
      </c>
      <c r="S2373" s="16" t="str">
        <f aca="false">IF(Q2373="","",IFERROR(Q2373/(1/(1/INDEX(CONFIG!$I$5:$I$14,MATCH(D2373,CONFIG!$D$5:$D$14,0)))),""))</f>
        <v/>
      </c>
      <c r="T2373" s="13"/>
      <c r="U2373" s="13"/>
      <c r="V2373" s="13"/>
      <c r="W2373" s="13"/>
      <c r="X2373" s="22" t="str">
        <f aca="false">IF(Q2373="","",Q2373^2)</f>
        <v/>
      </c>
      <c r="Y2373" s="22" t="str">
        <f aca="false">IF(AND(C2373&lt;&gt;"",C2373=CERTIFICADO!$E$4,OR(CERTIFICADO!$E$5="",B2373=CERTIFICADO!$E$5)),MAX($Y$4:Y2372)+1,"")</f>
        <v/>
      </c>
    </row>
    <row r="2374" customFormat="false" ht="15" hidden="false" customHeight="false" outlineLevel="0" collapsed="false">
      <c r="A2374" s="11" t="str">
        <f aca="false">IF(C2374="","",ROW()-4)</f>
        <v/>
      </c>
      <c r="B2374" s="12"/>
      <c r="C2374" s="13"/>
      <c r="D2374" s="23" t="str">
        <f aca="false">IF(C2374="","",IFERROR(INDEX(LOTES!$D$5:$D$1004,MATCH(C2374,LOTES!$F$5:$F$1004,0)),"¿Lote?"))</f>
        <v/>
      </c>
      <c r="E2374" s="11" t="str">
        <f aca="false">IF(C2374="","",IFERROR(INDEX(LOTES!$C$5:$C$1004,MATCH(C2374,LOTES!$F$5:$F$1004,0)),""))</f>
        <v/>
      </c>
      <c r="F2374" s="24" t="str">
        <f aca="false">IF(C2374="","",IFERROR(INDEX(LOTES!$B$5:$B$1004,MATCH(C2374,LOTES!$F$5:$F$1004,0)),""))</f>
        <v/>
      </c>
      <c r="G2374" s="15" t="str">
        <f aca="false">IF(OR(B2374="",F2374=""),"",B2374-F2374)</f>
        <v/>
      </c>
      <c r="H2374" s="13"/>
      <c r="I2374" s="13"/>
      <c r="J2374" s="13"/>
      <c r="K2374" s="25"/>
      <c r="L2374" s="25"/>
      <c r="M2374" s="25"/>
      <c r="N2374" s="25"/>
      <c r="O2374" s="26"/>
      <c r="P2374" s="16" t="str">
        <f aca="false">IF(O2374="","",IFERROR(1/(1/(IF(K2374="",INDEX(CONFIG!$F$5:$F$14,MATCH(D2374,CONFIG!$D$5:$D$14,0)),K2374)*IF(M2374="",INDEX(CONFIG!$H$5:$H$14,MATCH(D2374,CONFIG!$D$5:$D$14,0)),M2374))),""))</f>
        <v/>
      </c>
      <c r="Q2374" s="16" t="str">
        <f aca="false">IF(OR(O2374="",P2374=""),"",O2374/P2374)</f>
        <v/>
      </c>
      <c r="R2374" s="16" t="str">
        <f aca="false">IF(Q2374="","",Q2374*0.0980665)</f>
        <v/>
      </c>
      <c r="S2374" s="16" t="str">
        <f aca="false">IF(Q2374="","",IFERROR(Q2374/(1/(1/INDEX(CONFIG!$I$5:$I$14,MATCH(D2374,CONFIG!$D$5:$D$14,0)))),""))</f>
        <v/>
      </c>
      <c r="T2374" s="13"/>
      <c r="U2374" s="13"/>
      <c r="V2374" s="13"/>
      <c r="W2374" s="13"/>
      <c r="X2374" s="22" t="str">
        <f aca="false">IF(Q2374="","",Q2374^2)</f>
        <v/>
      </c>
      <c r="Y2374" s="22" t="str">
        <f aca="false">IF(AND(C2374&lt;&gt;"",C2374=CERTIFICADO!$E$4,OR(CERTIFICADO!$E$5="",B2374=CERTIFICADO!$E$5)),MAX($Y$4:Y2373)+1,"")</f>
        <v/>
      </c>
    </row>
    <row r="2375" customFormat="false" ht="15" hidden="false" customHeight="false" outlineLevel="0" collapsed="false">
      <c r="A2375" s="11" t="str">
        <f aca="false">IF(C2375="","",ROW()-4)</f>
        <v/>
      </c>
      <c r="B2375" s="12"/>
      <c r="C2375" s="13"/>
      <c r="D2375" s="23" t="str">
        <f aca="false">IF(C2375="","",IFERROR(INDEX(LOTES!$D$5:$D$1004,MATCH(C2375,LOTES!$F$5:$F$1004,0)),"¿Lote?"))</f>
        <v/>
      </c>
      <c r="E2375" s="11" t="str">
        <f aca="false">IF(C2375="","",IFERROR(INDEX(LOTES!$C$5:$C$1004,MATCH(C2375,LOTES!$F$5:$F$1004,0)),""))</f>
        <v/>
      </c>
      <c r="F2375" s="24" t="str">
        <f aca="false">IF(C2375="","",IFERROR(INDEX(LOTES!$B$5:$B$1004,MATCH(C2375,LOTES!$F$5:$F$1004,0)),""))</f>
        <v/>
      </c>
      <c r="G2375" s="15" t="str">
        <f aca="false">IF(OR(B2375="",F2375=""),"",B2375-F2375)</f>
        <v/>
      </c>
      <c r="H2375" s="13"/>
      <c r="I2375" s="13"/>
      <c r="J2375" s="13"/>
      <c r="K2375" s="25"/>
      <c r="L2375" s="25"/>
      <c r="M2375" s="25"/>
      <c r="N2375" s="25"/>
      <c r="O2375" s="26"/>
      <c r="P2375" s="16" t="str">
        <f aca="false">IF(O2375="","",IFERROR(1/(1/(IF(K2375="",INDEX(CONFIG!$F$5:$F$14,MATCH(D2375,CONFIG!$D$5:$D$14,0)),K2375)*IF(M2375="",INDEX(CONFIG!$H$5:$H$14,MATCH(D2375,CONFIG!$D$5:$D$14,0)),M2375))),""))</f>
        <v/>
      </c>
      <c r="Q2375" s="16" t="str">
        <f aca="false">IF(OR(O2375="",P2375=""),"",O2375/P2375)</f>
        <v/>
      </c>
      <c r="R2375" s="16" t="str">
        <f aca="false">IF(Q2375="","",Q2375*0.0980665)</f>
        <v/>
      </c>
      <c r="S2375" s="16" t="str">
        <f aca="false">IF(Q2375="","",IFERROR(Q2375/(1/(1/INDEX(CONFIG!$I$5:$I$14,MATCH(D2375,CONFIG!$D$5:$D$14,0)))),""))</f>
        <v/>
      </c>
      <c r="T2375" s="13"/>
      <c r="U2375" s="13"/>
      <c r="V2375" s="13"/>
      <c r="W2375" s="13"/>
      <c r="X2375" s="22" t="str">
        <f aca="false">IF(Q2375="","",Q2375^2)</f>
        <v/>
      </c>
      <c r="Y2375" s="22" t="str">
        <f aca="false">IF(AND(C2375&lt;&gt;"",C2375=CERTIFICADO!$E$4,OR(CERTIFICADO!$E$5="",B2375=CERTIFICADO!$E$5)),MAX($Y$4:Y2374)+1,"")</f>
        <v/>
      </c>
    </row>
    <row r="2376" customFormat="false" ht="15" hidden="false" customHeight="false" outlineLevel="0" collapsed="false">
      <c r="A2376" s="11" t="str">
        <f aca="false">IF(C2376="","",ROW()-4)</f>
        <v/>
      </c>
      <c r="B2376" s="12"/>
      <c r="C2376" s="13"/>
      <c r="D2376" s="23" t="str">
        <f aca="false">IF(C2376="","",IFERROR(INDEX(LOTES!$D$5:$D$1004,MATCH(C2376,LOTES!$F$5:$F$1004,0)),"¿Lote?"))</f>
        <v/>
      </c>
      <c r="E2376" s="11" t="str">
        <f aca="false">IF(C2376="","",IFERROR(INDEX(LOTES!$C$5:$C$1004,MATCH(C2376,LOTES!$F$5:$F$1004,0)),""))</f>
        <v/>
      </c>
      <c r="F2376" s="24" t="str">
        <f aca="false">IF(C2376="","",IFERROR(INDEX(LOTES!$B$5:$B$1004,MATCH(C2376,LOTES!$F$5:$F$1004,0)),""))</f>
        <v/>
      </c>
      <c r="G2376" s="15" t="str">
        <f aca="false">IF(OR(B2376="",F2376=""),"",B2376-F2376)</f>
        <v/>
      </c>
      <c r="H2376" s="13"/>
      <c r="I2376" s="13"/>
      <c r="J2376" s="13"/>
      <c r="K2376" s="25"/>
      <c r="L2376" s="25"/>
      <c r="M2376" s="25"/>
      <c r="N2376" s="25"/>
      <c r="O2376" s="26"/>
      <c r="P2376" s="16" t="str">
        <f aca="false">IF(O2376="","",IFERROR(1/(1/(IF(K2376="",INDEX(CONFIG!$F$5:$F$14,MATCH(D2376,CONFIG!$D$5:$D$14,0)),K2376)*IF(M2376="",INDEX(CONFIG!$H$5:$H$14,MATCH(D2376,CONFIG!$D$5:$D$14,0)),M2376))),""))</f>
        <v/>
      </c>
      <c r="Q2376" s="16" t="str">
        <f aca="false">IF(OR(O2376="",P2376=""),"",O2376/P2376)</f>
        <v/>
      </c>
      <c r="R2376" s="16" t="str">
        <f aca="false">IF(Q2376="","",Q2376*0.0980665)</f>
        <v/>
      </c>
      <c r="S2376" s="16" t="str">
        <f aca="false">IF(Q2376="","",IFERROR(Q2376/(1/(1/INDEX(CONFIG!$I$5:$I$14,MATCH(D2376,CONFIG!$D$5:$D$14,0)))),""))</f>
        <v/>
      </c>
      <c r="T2376" s="13"/>
      <c r="U2376" s="13"/>
      <c r="V2376" s="13"/>
      <c r="W2376" s="13"/>
      <c r="X2376" s="22" t="str">
        <f aca="false">IF(Q2376="","",Q2376^2)</f>
        <v/>
      </c>
      <c r="Y2376" s="22" t="str">
        <f aca="false">IF(AND(C2376&lt;&gt;"",C2376=CERTIFICADO!$E$4,OR(CERTIFICADO!$E$5="",B2376=CERTIFICADO!$E$5)),MAX($Y$4:Y2375)+1,"")</f>
        <v/>
      </c>
    </row>
    <row r="2377" customFormat="false" ht="15" hidden="false" customHeight="false" outlineLevel="0" collapsed="false">
      <c r="A2377" s="11" t="str">
        <f aca="false">IF(C2377="","",ROW()-4)</f>
        <v/>
      </c>
      <c r="B2377" s="12"/>
      <c r="C2377" s="13"/>
      <c r="D2377" s="23" t="str">
        <f aca="false">IF(C2377="","",IFERROR(INDEX(LOTES!$D$5:$D$1004,MATCH(C2377,LOTES!$F$5:$F$1004,0)),"¿Lote?"))</f>
        <v/>
      </c>
      <c r="E2377" s="11" t="str">
        <f aca="false">IF(C2377="","",IFERROR(INDEX(LOTES!$C$5:$C$1004,MATCH(C2377,LOTES!$F$5:$F$1004,0)),""))</f>
        <v/>
      </c>
      <c r="F2377" s="24" t="str">
        <f aca="false">IF(C2377="","",IFERROR(INDEX(LOTES!$B$5:$B$1004,MATCH(C2377,LOTES!$F$5:$F$1004,0)),""))</f>
        <v/>
      </c>
      <c r="G2377" s="15" t="str">
        <f aca="false">IF(OR(B2377="",F2377=""),"",B2377-F2377)</f>
        <v/>
      </c>
      <c r="H2377" s="13"/>
      <c r="I2377" s="13"/>
      <c r="J2377" s="13"/>
      <c r="K2377" s="25"/>
      <c r="L2377" s="25"/>
      <c r="M2377" s="25"/>
      <c r="N2377" s="25"/>
      <c r="O2377" s="26"/>
      <c r="P2377" s="16" t="str">
        <f aca="false">IF(O2377="","",IFERROR(1/(1/(IF(K2377="",INDEX(CONFIG!$F$5:$F$14,MATCH(D2377,CONFIG!$D$5:$D$14,0)),K2377)*IF(M2377="",INDEX(CONFIG!$H$5:$H$14,MATCH(D2377,CONFIG!$D$5:$D$14,0)),M2377))),""))</f>
        <v/>
      </c>
      <c r="Q2377" s="16" t="str">
        <f aca="false">IF(OR(O2377="",P2377=""),"",O2377/P2377)</f>
        <v/>
      </c>
      <c r="R2377" s="16" t="str">
        <f aca="false">IF(Q2377="","",Q2377*0.0980665)</f>
        <v/>
      </c>
      <c r="S2377" s="16" t="str">
        <f aca="false">IF(Q2377="","",IFERROR(Q2377/(1/(1/INDEX(CONFIG!$I$5:$I$14,MATCH(D2377,CONFIG!$D$5:$D$14,0)))),""))</f>
        <v/>
      </c>
      <c r="T2377" s="13"/>
      <c r="U2377" s="13"/>
      <c r="V2377" s="13"/>
      <c r="W2377" s="13"/>
      <c r="X2377" s="22" t="str">
        <f aca="false">IF(Q2377="","",Q2377^2)</f>
        <v/>
      </c>
      <c r="Y2377" s="22" t="str">
        <f aca="false">IF(AND(C2377&lt;&gt;"",C2377=CERTIFICADO!$E$4,OR(CERTIFICADO!$E$5="",B2377=CERTIFICADO!$E$5)),MAX($Y$4:Y2376)+1,"")</f>
        <v/>
      </c>
    </row>
    <row r="2378" customFormat="false" ht="15" hidden="false" customHeight="false" outlineLevel="0" collapsed="false">
      <c r="A2378" s="11" t="str">
        <f aca="false">IF(C2378="","",ROW()-4)</f>
        <v/>
      </c>
      <c r="B2378" s="12"/>
      <c r="C2378" s="13"/>
      <c r="D2378" s="23" t="str">
        <f aca="false">IF(C2378="","",IFERROR(INDEX(LOTES!$D$5:$D$1004,MATCH(C2378,LOTES!$F$5:$F$1004,0)),"¿Lote?"))</f>
        <v/>
      </c>
      <c r="E2378" s="11" t="str">
        <f aca="false">IF(C2378="","",IFERROR(INDEX(LOTES!$C$5:$C$1004,MATCH(C2378,LOTES!$F$5:$F$1004,0)),""))</f>
        <v/>
      </c>
      <c r="F2378" s="24" t="str">
        <f aca="false">IF(C2378="","",IFERROR(INDEX(LOTES!$B$5:$B$1004,MATCH(C2378,LOTES!$F$5:$F$1004,0)),""))</f>
        <v/>
      </c>
      <c r="G2378" s="15" t="str">
        <f aca="false">IF(OR(B2378="",F2378=""),"",B2378-F2378)</f>
        <v/>
      </c>
      <c r="H2378" s="13"/>
      <c r="I2378" s="13"/>
      <c r="J2378" s="13"/>
      <c r="K2378" s="25"/>
      <c r="L2378" s="25"/>
      <c r="M2378" s="25"/>
      <c r="N2378" s="25"/>
      <c r="O2378" s="26"/>
      <c r="P2378" s="16" t="str">
        <f aca="false">IF(O2378="","",IFERROR(1/(1/(IF(K2378="",INDEX(CONFIG!$F$5:$F$14,MATCH(D2378,CONFIG!$D$5:$D$14,0)),K2378)*IF(M2378="",INDEX(CONFIG!$H$5:$H$14,MATCH(D2378,CONFIG!$D$5:$D$14,0)),M2378))),""))</f>
        <v/>
      </c>
      <c r="Q2378" s="16" t="str">
        <f aca="false">IF(OR(O2378="",P2378=""),"",O2378/P2378)</f>
        <v/>
      </c>
      <c r="R2378" s="16" t="str">
        <f aca="false">IF(Q2378="","",Q2378*0.0980665)</f>
        <v/>
      </c>
      <c r="S2378" s="16" t="str">
        <f aca="false">IF(Q2378="","",IFERROR(Q2378/(1/(1/INDEX(CONFIG!$I$5:$I$14,MATCH(D2378,CONFIG!$D$5:$D$14,0)))),""))</f>
        <v/>
      </c>
      <c r="T2378" s="13"/>
      <c r="U2378" s="13"/>
      <c r="V2378" s="13"/>
      <c r="W2378" s="13"/>
      <c r="X2378" s="22" t="str">
        <f aca="false">IF(Q2378="","",Q2378^2)</f>
        <v/>
      </c>
      <c r="Y2378" s="22" t="str">
        <f aca="false">IF(AND(C2378&lt;&gt;"",C2378=CERTIFICADO!$E$4,OR(CERTIFICADO!$E$5="",B2378=CERTIFICADO!$E$5)),MAX($Y$4:Y2377)+1,"")</f>
        <v/>
      </c>
    </row>
    <row r="2379" customFormat="false" ht="15" hidden="false" customHeight="false" outlineLevel="0" collapsed="false">
      <c r="A2379" s="11" t="str">
        <f aca="false">IF(C2379="","",ROW()-4)</f>
        <v/>
      </c>
      <c r="B2379" s="12"/>
      <c r="C2379" s="13"/>
      <c r="D2379" s="23" t="str">
        <f aca="false">IF(C2379="","",IFERROR(INDEX(LOTES!$D$5:$D$1004,MATCH(C2379,LOTES!$F$5:$F$1004,0)),"¿Lote?"))</f>
        <v/>
      </c>
      <c r="E2379" s="11" t="str">
        <f aca="false">IF(C2379="","",IFERROR(INDEX(LOTES!$C$5:$C$1004,MATCH(C2379,LOTES!$F$5:$F$1004,0)),""))</f>
        <v/>
      </c>
      <c r="F2379" s="24" t="str">
        <f aca="false">IF(C2379="","",IFERROR(INDEX(LOTES!$B$5:$B$1004,MATCH(C2379,LOTES!$F$5:$F$1004,0)),""))</f>
        <v/>
      </c>
      <c r="G2379" s="15" t="str">
        <f aca="false">IF(OR(B2379="",F2379=""),"",B2379-F2379)</f>
        <v/>
      </c>
      <c r="H2379" s="13"/>
      <c r="I2379" s="13"/>
      <c r="J2379" s="13"/>
      <c r="K2379" s="25"/>
      <c r="L2379" s="25"/>
      <c r="M2379" s="25"/>
      <c r="N2379" s="25"/>
      <c r="O2379" s="26"/>
      <c r="P2379" s="16" t="str">
        <f aca="false">IF(O2379="","",IFERROR(1/(1/(IF(K2379="",INDEX(CONFIG!$F$5:$F$14,MATCH(D2379,CONFIG!$D$5:$D$14,0)),K2379)*IF(M2379="",INDEX(CONFIG!$H$5:$H$14,MATCH(D2379,CONFIG!$D$5:$D$14,0)),M2379))),""))</f>
        <v/>
      </c>
      <c r="Q2379" s="16" t="str">
        <f aca="false">IF(OR(O2379="",P2379=""),"",O2379/P2379)</f>
        <v/>
      </c>
      <c r="R2379" s="16" t="str">
        <f aca="false">IF(Q2379="","",Q2379*0.0980665)</f>
        <v/>
      </c>
      <c r="S2379" s="16" t="str">
        <f aca="false">IF(Q2379="","",IFERROR(Q2379/(1/(1/INDEX(CONFIG!$I$5:$I$14,MATCH(D2379,CONFIG!$D$5:$D$14,0)))),""))</f>
        <v/>
      </c>
      <c r="T2379" s="13"/>
      <c r="U2379" s="13"/>
      <c r="V2379" s="13"/>
      <c r="W2379" s="13"/>
      <c r="X2379" s="22" t="str">
        <f aca="false">IF(Q2379="","",Q2379^2)</f>
        <v/>
      </c>
      <c r="Y2379" s="22" t="str">
        <f aca="false">IF(AND(C2379&lt;&gt;"",C2379=CERTIFICADO!$E$4,OR(CERTIFICADO!$E$5="",B2379=CERTIFICADO!$E$5)),MAX($Y$4:Y2378)+1,"")</f>
        <v/>
      </c>
    </row>
    <row r="2380" customFormat="false" ht="15" hidden="false" customHeight="false" outlineLevel="0" collapsed="false">
      <c r="A2380" s="11" t="str">
        <f aca="false">IF(C2380="","",ROW()-4)</f>
        <v/>
      </c>
      <c r="B2380" s="12"/>
      <c r="C2380" s="13"/>
      <c r="D2380" s="23" t="str">
        <f aca="false">IF(C2380="","",IFERROR(INDEX(LOTES!$D$5:$D$1004,MATCH(C2380,LOTES!$F$5:$F$1004,0)),"¿Lote?"))</f>
        <v/>
      </c>
      <c r="E2380" s="11" t="str">
        <f aca="false">IF(C2380="","",IFERROR(INDEX(LOTES!$C$5:$C$1004,MATCH(C2380,LOTES!$F$5:$F$1004,0)),""))</f>
        <v/>
      </c>
      <c r="F2380" s="24" t="str">
        <f aca="false">IF(C2380="","",IFERROR(INDEX(LOTES!$B$5:$B$1004,MATCH(C2380,LOTES!$F$5:$F$1004,0)),""))</f>
        <v/>
      </c>
      <c r="G2380" s="15" t="str">
        <f aca="false">IF(OR(B2380="",F2380=""),"",B2380-F2380)</f>
        <v/>
      </c>
      <c r="H2380" s="13"/>
      <c r="I2380" s="13"/>
      <c r="J2380" s="13"/>
      <c r="K2380" s="25"/>
      <c r="L2380" s="25"/>
      <c r="M2380" s="25"/>
      <c r="N2380" s="25"/>
      <c r="O2380" s="26"/>
      <c r="P2380" s="16" t="str">
        <f aca="false">IF(O2380="","",IFERROR(1/(1/(IF(K2380="",INDEX(CONFIG!$F$5:$F$14,MATCH(D2380,CONFIG!$D$5:$D$14,0)),K2380)*IF(M2380="",INDEX(CONFIG!$H$5:$H$14,MATCH(D2380,CONFIG!$D$5:$D$14,0)),M2380))),""))</f>
        <v/>
      </c>
      <c r="Q2380" s="16" t="str">
        <f aca="false">IF(OR(O2380="",P2380=""),"",O2380/P2380)</f>
        <v/>
      </c>
      <c r="R2380" s="16" t="str">
        <f aca="false">IF(Q2380="","",Q2380*0.0980665)</f>
        <v/>
      </c>
      <c r="S2380" s="16" t="str">
        <f aca="false">IF(Q2380="","",IFERROR(Q2380/(1/(1/INDEX(CONFIG!$I$5:$I$14,MATCH(D2380,CONFIG!$D$5:$D$14,0)))),""))</f>
        <v/>
      </c>
      <c r="T2380" s="13"/>
      <c r="U2380" s="13"/>
      <c r="V2380" s="13"/>
      <c r="W2380" s="13"/>
      <c r="X2380" s="22" t="str">
        <f aca="false">IF(Q2380="","",Q2380^2)</f>
        <v/>
      </c>
      <c r="Y2380" s="22" t="str">
        <f aca="false">IF(AND(C2380&lt;&gt;"",C2380=CERTIFICADO!$E$4,OR(CERTIFICADO!$E$5="",B2380=CERTIFICADO!$E$5)),MAX($Y$4:Y2379)+1,"")</f>
        <v/>
      </c>
    </row>
    <row r="2381" customFormat="false" ht="15" hidden="false" customHeight="false" outlineLevel="0" collapsed="false">
      <c r="A2381" s="11" t="str">
        <f aca="false">IF(C2381="","",ROW()-4)</f>
        <v/>
      </c>
      <c r="B2381" s="12"/>
      <c r="C2381" s="13"/>
      <c r="D2381" s="23" t="str">
        <f aca="false">IF(C2381="","",IFERROR(INDEX(LOTES!$D$5:$D$1004,MATCH(C2381,LOTES!$F$5:$F$1004,0)),"¿Lote?"))</f>
        <v/>
      </c>
      <c r="E2381" s="11" t="str">
        <f aca="false">IF(C2381="","",IFERROR(INDEX(LOTES!$C$5:$C$1004,MATCH(C2381,LOTES!$F$5:$F$1004,0)),""))</f>
        <v/>
      </c>
      <c r="F2381" s="24" t="str">
        <f aca="false">IF(C2381="","",IFERROR(INDEX(LOTES!$B$5:$B$1004,MATCH(C2381,LOTES!$F$5:$F$1004,0)),""))</f>
        <v/>
      </c>
      <c r="G2381" s="15" t="str">
        <f aca="false">IF(OR(B2381="",F2381=""),"",B2381-F2381)</f>
        <v/>
      </c>
      <c r="H2381" s="13"/>
      <c r="I2381" s="13"/>
      <c r="J2381" s="13"/>
      <c r="K2381" s="25"/>
      <c r="L2381" s="25"/>
      <c r="M2381" s="25"/>
      <c r="N2381" s="25"/>
      <c r="O2381" s="26"/>
      <c r="P2381" s="16" t="str">
        <f aca="false">IF(O2381="","",IFERROR(1/(1/(IF(K2381="",INDEX(CONFIG!$F$5:$F$14,MATCH(D2381,CONFIG!$D$5:$D$14,0)),K2381)*IF(M2381="",INDEX(CONFIG!$H$5:$H$14,MATCH(D2381,CONFIG!$D$5:$D$14,0)),M2381))),""))</f>
        <v/>
      </c>
      <c r="Q2381" s="16" t="str">
        <f aca="false">IF(OR(O2381="",P2381=""),"",O2381/P2381)</f>
        <v/>
      </c>
      <c r="R2381" s="16" t="str">
        <f aca="false">IF(Q2381="","",Q2381*0.0980665)</f>
        <v/>
      </c>
      <c r="S2381" s="16" t="str">
        <f aca="false">IF(Q2381="","",IFERROR(Q2381/(1/(1/INDEX(CONFIG!$I$5:$I$14,MATCH(D2381,CONFIG!$D$5:$D$14,0)))),""))</f>
        <v/>
      </c>
      <c r="T2381" s="13"/>
      <c r="U2381" s="13"/>
      <c r="V2381" s="13"/>
      <c r="W2381" s="13"/>
      <c r="X2381" s="22" t="str">
        <f aca="false">IF(Q2381="","",Q2381^2)</f>
        <v/>
      </c>
      <c r="Y2381" s="22" t="str">
        <f aca="false">IF(AND(C2381&lt;&gt;"",C2381=CERTIFICADO!$E$4,OR(CERTIFICADO!$E$5="",B2381=CERTIFICADO!$E$5)),MAX($Y$4:Y2380)+1,"")</f>
        <v/>
      </c>
    </row>
    <row r="2382" customFormat="false" ht="15" hidden="false" customHeight="false" outlineLevel="0" collapsed="false">
      <c r="A2382" s="11" t="str">
        <f aca="false">IF(C2382="","",ROW()-4)</f>
        <v/>
      </c>
      <c r="B2382" s="12"/>
      <c r="C2382" s="13"/>
      <c r="D2382" s="23" t="str">
        <f aca="false">IF(C2382="","",IFERROR(INDEX(LOTES!$D$5:$D$1004,MATCH(C2382,LOTES!$F$5:$F$1004,0)),"¿Lote?"))</f>
        <v/>
      </c>
      <c r="E2382" s="11" t="str">
        <f aca="false">IF(C2382="","",IFERROR(INDEX(LOTES!$C$5:$C$1004,MATCH(C2382,LOTES!$F$5:$F$1004,0)),""))</f>
        <v/>
      </c>
      <c r="F2382" s="24" t="str">
        <f aca="false">IF(C2382="","",IFERROR(INDEX(LOTES!$B$5:$B$1004,MATCH(C2382,LOTES!$F$5:$F$1004,0)),""))</f>
        <v/>
      </c>
      <c r="G2382" s="15" t="str">
        <f aca="false">IF(OR(B2382="",F2382=""),"",B2382-F2382)</f>
        <v/>
      </c>
      <c r="H2382" s="13"/>
      <c r="I2382" s="13"/>
      <c r="J2382" s="13"/>
      <c r="K2382" s="25"/>
      <c r="L2382" s="25"/>
      <c r="M2382" s="25"/>
      <c r="N2382" s="25"/>
      <c r="O2382" s="26"/>
      <c r="P2382" s="16" t="str">
        <f aca="false">IF(O2382="","",IFERROR(1/(1/(IF(K2382="",INDEX(CONFIG!$F$5:$F$14,MATCH(D2382,CONFIG!$D$5:$D$14,0)),K2382)*IF(M2382="",INDEX(CONFIG!$H$5:$H$14,MATCH(D2382,CONFIG!$D$5:$D$14,0)),M2382))),""))</f>
        <v/>
      </c>
      <c r="Q2382" s="16" t="str">
        <f aca="false">IF(OR(O2382="",P2382=""),"",O2382/P2382)</f>
        <v/>
      </c>
      <c r="R2382" s="16" t="str">
        <f aca="false">IF(Q2382="","",Q2382*0.0980665)</f>
        <v/>
      </c>
      <c r="S2382" s="16" t="str">
        <f aca="false">IF(Q2382="","",IFERROR(Q2382/(1/(1/INDEX(CONFIG!$I$5:$I$14,MATCH(D2382,CONFIG!$D$5:$D$14,0)))),""))</f>
        <v/>
      </c>
      <c r="T2382" s="13"/>
      <c r="U2382" s="13"/>
      <c r="V2382" s="13"/>
      <c r="W2382" s="13"/>
      <c r="X2382" s="22" t="str">
        <f aca="false">IF(Q2382="","",Q2382^2)</f>
        <v/>
      </c>
      <c r="Y2382" s="22" t="str">
        <f aca="false">IF(AND(C2382&lt;&gt;"",C2382=CERTIFICADO!$E$4,OR(CERTIFICADO!$E$5="",B2382=CERTIFICADO!$E$5)),MAX($Y$4:Y2381)+1,"")</f>
        <v/>
      </c>
    </row>
    <row r="2383" customFormat="false" ht="15" hidden="false" customHeight="false" outlineLevel="0" collapsed="false">
      <c r="A2383" s="11" t="str">
        <f aca="false">IF(C2383="","",ROW()-4)</f>
        <v/>
      </c>
      <c r="B2383" s="12"/>
      <c r="C2383" s="13"/>
      <c r="D2383" s="23" t="str">
        <f aca="false">IF(C2383="","",IFERROR(INDEX(LOTES!$D$5:$D$1004,MATCH(C2383,LOTES!$F$5:$F$1004,0)),"¿Lote?"))</f>
        <v/>
      </c>
      <c r="E2383" s="11" t="str">
        <f aca="false">IF(C2383="","",IFERROR(INDEX(LOTES!$C$5:$C$1004,MATCH(C2383,LOTES!$F$5:$F$1004,0)),""))</f>
        <v/>
      </c>
      <c r="F2383" s="24" t="str">
        <f aca="false">IF(C2383="","",IFERROR(INDEX(LOTES!$B$5:$B$1004,MATCH(C2383,LOTES!$F$5:$F$1004,0)),""))</f>
        <v/>
      </c>
      <c r="G2383" s="15" t="str">
        <f aca="false">IF(OR(B2383="",F2383=""),"",B2383-F2383)</f>
        <v/>
      </c>
      <c r="H2383" s="13"/>
      <c r="I2383" s="13"/>
      <c r="J2383" s="13"/>
      <c r="K2383" s="25"/>
      <c r="L2383" s="25"/>
      <c r="M2383" s="25"/>
      <c r="N2383" s="25"/>
      <c r="O2383" s="26"/>
      <c r="P2383" s="16" t="str">
        <f aca="false">IF(O2383="","",IFERROR(1/(1/(IF(K2383="",INDEX(CONFIG!$F$5:$F$14,MATCH(D2383,CONFIG!$D$5:$D$14,0)),K2383)*IF(M2383="",INDEX(CONFIG!$H$5:$H$14,MATCH(D2383,CONFIG!$D$5:$D$14,0)),M2383))),""))</f>
        <v/>
      </c>
      <c r="Q2383" s="16" t="str">
        <f aca="false">IF(OR(O2383="",P2383=""),"",O2383/P2383)</f>
        <v/>
      </c>
      <c r="R2383" s="16" t="str">
        <f aca="false">IF(Q2383="","",Q2383*0.0980665)</f>
        <v/>
      </c>
      <c r="S2383" s="16" t="str">
        <f aca="false">IF(Q2383="","",IFERROR(Q2383/(1/(1/INDEX(CONFIG!$I$5:$I$14,MATCH(D2383,CONFIG!$D$5:$D$14,0)))),""))</f>
        <v/>
      </c>
      <c r="T2383" s="13"/>
      <c r="U2383" s="13"/>
      <c r="V2383" s="13"/>
      <c r="W2383" s="13"/>
      <c r="X2383" s="22" t="str">
        <f aca="false">IF(Q2383="","",Q2383^2)</f>
        <v/>
      </c>
      <c r="Y2383" s="22" t="str">
        <f aca="false">IF(AND(C2383&lt;&gt;"",C2383=CERTIFICADO!$E$4,OR(CERTIFICADO!$E$5="",B2383=CERTIFICADO!$E$5)),MAX($Y$4:Y2382)+1,"")</f>
        <v/>
      </c>
    </row>
    <row r="2384" customFormat="false" ht="15" hidden="false" customHeight="false" outlineLevel="0" collapsed="false">
      <c r="A2384" s="11" t="str">
        <f aca="false">IF(C2384="","",ROW()-4)</f>
        <v/>
      </c>
      <c r="B2384" s="12"/>
      <c r="C2384" s="13"/>
      <c r="D2384" s="23" t="str">
        <f aca="false">IF(C2384="","",IFERROR(INDEX(LOTES!$D$5:$D$1004,MATCH(C2384,LOTES!$F$5:$F$1004,0)),"¿Lote?"))</f>
        <v/>
      </c>
      <c r="E2384" s="11" t="str">
        <f aca="false">IF(C2384="","",IFERROR(INDEX(LOTES!$C$5:$C$1004,MATCH(C2384,LOTES!$F$5:$F$1004,0)),""))</f>
        <v/>
      </c>
      <c r="F2384" s="24" t="str">
        <f aca="false">IF(C2384="","",IFERROR(INDEX(LOTES!$B$5:$B$1004,MATCH(C2384,LOTES!$F$5:$F$1004,0)),""))</f>
        <v/>
      </c>
      <c r="G2384" s="15" t="str">
        <f aca="false">IF(OR(B2384="",F2384=""),"",B2384-F2384)</f>
        <v/>
      </c>
      <c r="H2384" s="13"/>
      <c r="I2384" s="13"/>
      <c r="J2384" s="13"/>
      <c r="K2384" s="25"/>
      <c r="L2384" s="25"/>
      <c r="M2384" s="25"/>
      <c r="N2384" s="25"/>
      <c r="O2384" s="26"/>
      <c r="P2384" s="16" t="str">
        <f aca="false">IF(O2384="","",IFERROR(1/(1/(IF(K2384="",INDEX(CONFIG!$F$5:$F$14,MATCH(D2384,CONFIG!$D$5:$D$14,0)),K2384)*IF(M2384="",INDEX(CONFIG!$H$5:$H$14,MATCH(D2384,CONFIG!$D$5:$D$14,0)),M2384))),""))</f>
        <v/>
      </c>
      <c r="Q2384" s="16" t="str">
        <f aca="false">IF(OR(O2384="",P2384=""),"",O2384/P2384)</f>
        <v/>
      </c>
      <c r="R2384" s="16" t="str">
        <f aca="false">IF(Q2384="","",Q2384*0.0980665)</f>
        <v/>
      </c>
      <c r="S2384" s="16" t="str">
        <f aca="false">IF(Q2384="","",IFERROR(Q2384/(1/(1/INDEX(CONFIG!$I$5:$I$14,MATCH(D2384,CONFIG!$D$5:$D$14,0)))),""))</f>
        <v/>
      </c>
      <c r="T2384" s="13"/>
      <c r="U2384" s="13"/>
      <c r="V2384" s="13"/>
      <c r="W2384" s="13"/>
      <c r="X2384" s="22" t="str">
        <f aca="false">IF(Q2384="","",Q2384^2)</f>
        <v/>
      </c>
      <c r="Y2384" s="22" t="str">
        <f aca="false">IF(AND(C2384&lt;&gt;"",C2384=CERTIFICADO!$E$4,OR(CERTIFICADO!$E$5="",B2384=CERTIFICADO!$E$5)),MAX($Y$4:Y2383)+1,"")</f>
        <v/>
      </c>
    </row>
    <row r="2385" customFormat="false" ht="15" hidden="false" customHeight="false" outlineLevel="0" collapsed="false">
      <c r="A2385" s="11" t="str">
        <f aca="false">IF(C2385="","",ROW()-4)</f>
        <v/>
      </c>
      <c r="B2385" s="12"/>
      <c r="C2385" s="13"/>
      <c r="D2385" s="23" t="str">
        <f aca="false">IF(C2385="","",IFERROR(INDEX(LOTES!$D$5:$D$1004,MATCH(C2385,LOTES!$F$5:$F$1004,0)),"¿Lote?"))</f>
        <v/>
      </c>
      <c r="E2385" s="11" t="str">
        <f aca="false">IF(C2385="","",IFERROR(INDEX(LOTES!$C$5:$C$1004,MATCH(C2385,LOTES!$F$5:$F$1004,0)),""))</f>
        <v/>
      </c>
      <c r="F2385" s="24" t="str">
        <f aca="false">IF(C2385="","",IFERROR(INDEX(LOTES!$B$5:$B$1004,MATCH(C2385,LOTES!$F$5:$F$1004,0)),""))</f>
        <v/>
      </c>
      <c r="G2385" s="15" t="str">
        <f aca="false">IF(OR(B2385="",F2385=""),"",B2385-F2385)</f>
        <v/>
      </c>
      <c r="H2385" s="13"/>
      <c r="I2385" s="13"/>
      <c r="J2385" s="13"/>
      <c r="K2385" s="25"/>
      <c r="L2385" s="25"/>
      <c r="M2385" s="25"/>
      <c r="N2385" s="25"/>
      <c r="O2385" s="26"/>
      <c r="P2385" s="16" t="str">
        <f aca="false">IF(O2385="","",IFERROR(1/(1/(IF(K2385="",INDEX(CONFIG!$F$5:$F$14,MATCH(D2385,CONFIG!$D$5:$D$14,0)),K2385)*IF(M2385="",INDEX(CONFIG!$H$5:$H$14,MATCH(D2385,CONFIG!$D$5:$D$14,0)),M2385))),""))</f>
        <v/>
      </c>
      <c r="Q2385" s="16" t="str">
        <f aca="false">IF(OR(O2385="",P2385=""),"",O2385/P2385)</f>
        <v/>
      </c>
      <c r="R2385" s="16" t="str">
        <f aca="false">IF(Q2385="","",Q2385*0.0980665)</f>
        <v/>
      </c>
      <c r="S2385" s="16" t="str">
        <f aca="false">IF(Q2385="","",IFERROR(Q2385/(1/(1/INDEX(CONFIG!$I$5:$I$14,MATCH(D2385,CONFIG!$D$5:$D$14,0)))),""))</f>
        <v/>
      </c>
      <c r="T2385" s="13"/>
      <c r="U2385" s="13"/>
      <c r="V2385" s="13"/>
      <c r="W2385" s="13"/>
      <c r="X2385" s="22" t="str">
        <f aca="false">IF(Q2385="","",Q2385^2)</f>
        <v/>
      </c>
      <c r="Y2385" s="22" t="str">
        <f aca="false">IF(AND(C2385&lt;&gt;"",C2385=CERTIFICADO!$E$4,OR(CERTIFICADO!$E$5="",B2385=CERTIFICADO!$E$5)),MAX($Y$4:Y2384)+1,"")</f>
        <v/>
      </c>
    </row>
    <row r="2386" customFormat="false" ht="15" hidden="false" customHeight="false" outlineLevel="0" collapsed="false">
      <c r="A2386" s="11" t="str">
        <f aca="false">IF(C2386="","",ROW()-4)</f>
        <v/>
      </c>
      <c r="B2386" s="12"/>
      <c r="C2386" s="13"/>
      <c r="D2386" s="23" t="str">
        <f aca="false">IF(C2386="","",IFERROR(INDEX(LOTES!$D$5:$D$1004,MATCH(C2386,LOTES!$F$5:$F$1004,0)),"¿Lote?"))</f>
        <v/>
      </c>
      <c r="E2386" s="11" t="str">
        <f aca="false">IF(C2386="","",IFERROR(INDEX(LOTES!$C$5:$C$1004,MATCH(C2386,LOTES!$F$5:$F$1004,0)),""))</f>
        <v/>
      </c>
      <c r="F2386" s="24" t="str">
        <f aca="false">IF(C2386="","",IFERROR(INDEX(LOTES!$B$5:$B$1004,MATCH(C2386,LOTES!$F$5:$F$1004,0)),""))</f>
        <v/>
      </c>
      <c r="G2386" s="15" t="str">
        <f aca="false">IF(OR(B2386="",F2386=""),"",B2386-F2386)</f>
        <v/>
      </c>
      <c r="H2386" s="13"/>
      <c r="I2386" s="13"/>
      <c r="J2386" s="13"/>
      <c r="K2386" s="25"/>
      <c r="L2386" s="25"/>
      <c r="M2386" s="25"/>
      <c r="N2386" s="25"/>
      <c r="O2386" s="26"/>
      <c r="P2386" s="16" t="str">
        <f aca="false">IF(O2386="","",IFERROR(1/(1/(IF(K2386="",INDEX(CONFIG!$F$5:$F$14,MATCH(D2386,CONFIG!$D$5:$D$14,0)),K2386)*IF(M2386="",INDEX(CONFIG!$H$5:$H$14,MATCH(D2386,CONFIG!$D$5:$D$14,0)),M2386))),""))</f>
        <v/>
      </c>
      <c r="Q2386" s="16" t="str">
        <f aca="false">IF(OR(O2386="",P2386=""),"",O2386/P2386)</f>
        <v/>
      </c>
      <c r="R2386" s="16" t="str">
        <f aca="false">IF(Q2386="","",Q2386*0.0980665)</f>
        <v/>
      </c>
      <c r="S2386" s="16" t="str">
        <f aca="false">IF(Q2386="","",IFERROR(Q2386/(1/(1/INDEX(CONFIG!$I$5:$I$14,MATCH(D2386,CONFIG!$D$5:$D$14,0)))),""))</f>
        <v/>
      </c>
      <c r="T2386" s="13"/>
      <c r="U2386" s="13"/>
      <c r="V2386" s="13"/>
      <c r="W2386" s="13"/>
      <c r="X2386" s="22" t="str">
        <f aca="false">IF(Q2386="","",Q2386^2)</f>
        <v/>
      </c>
      <c r="Y2386" s="22" t="str">
        <f aca="false">IF(AND(C2386&lt;&gt;"",C2386=CERTIFICADO!$E$4,OR(CERTIFICADO!$E$5="",B2386=CERTIFICADO!$E$5)),MAX($Y$4:Y2385)+1,"")</f>
        <v/>
      </c>
    </row>
    <row r="2387" customFormat="false" ht="15" hidden="false" customHeight="false" outlineLevel="0" collapsed="false">
      <c r="A2387" s="11" t="str">
        <f aca="false">IF(C2387="","",ROW()-4)</f>
        <v/>
      </c>
      <c r="B2387" s="12"/>
      <c r="C2387" s="13"/>
      <c r="D2387" s="23" t="str">
        <f aca="false">IF(C2387="","",IFERROR(INDEX(LOTES!$D$5:$D$1004,MATCH(C2387,LOTES!$F$5:$F$1004,0)),"¿Lote?"))</f>
        <v/>
      </c>
      <c r="E2387" s="11" t="str">
        <f aca="false">IF(C2387="","",IFERROR(INDEX(LOTES!$C$5:$C$1004,MATCH(C2387,LOTES!$F$5:$F$1004,0)),""))</f>
        <v/>
      </c>
      <c r="F2387" s="24" t="str">
        <f aca="false">IF(C2387="","",IFERROR(INDEX(LOTES!$B$5:$B$1004,MATCH(C2387,LOTES!$F$5:$F$1004,0)),""))</f>
        <v/>
      </c>
      <c r="G2387" s="15" t="str">
        <f aca="false">IF(OR(B2387="",F2387=""),"",B2387-F2387)</f>
        <v/>
      </c>
      <c r="H2387" s="13"/>
      <c r="I2387" s="13"/>
      <c r="J2387" s="13"/>
      <c r="K2387" s="25"/>
      <c r="L2387" s="25"/>
      <c r="M2387" s="25"/>
      <c r="N2387" s="25"/>
      <c r="O2387" s="26"/>
      <c r="P2387" s="16" t="str">
        <f aca="false">IF(O2387="","",IFERROR(1/(1/(IF(K2387="",INDEX(CONFIG!$F$5:$F$14,MATCH(D2387,CONFIG!$D$5:$D$14,0)),K2387)*IF(M2387="",INDEX(CONFIG!$H$5:$H$14,MATCH(D2387,CONFIG!$D$5:$D$14,0)),M2387))),""))</f>
        <v/>
      </c>
      <c r="Q2387" s="16" t="str">
        <f aca="false">IF(OR(O2387="",P2387=""),"",O2387/P2387)</f>
        <v/>
      </c>
      <c r="R2387" s="16" t="str">
        <f aca="false">IF(Q2387="","",Q2387*0.0980665)</f>
        <v/>
      </c>
      <c r="S2387" s="16" t="str">
        <f aca="false">IF(Q2387="","",IFERROR(Q2387/(1/(1/INDEX(CONFIG!$I$5:$I$14,MATCH(D2387,CONFIG!$D$5:$D$14,0)))),""))</f>
        <v/>
      </c>
      <c r="T2387" s="13"/>
      <c r="U2387" s="13"/>
      <c r="V2387" s="13"/>
      <c r="W2387" s="13"/>
      <c r="X2387" s="22" t="str">
        <f aca="false">IF(Q2387="","",Q2387^2)</f>
        <v/>
      </c>
      <c r="Y2387" s="22" t="str">
        <f aca="false">IF(AND(C2387&lt;&gt;"",C2387=CERTIFICADO!$E$4,OR(CERTIFICADO!$E$5="",B2387=CERTIFICADO!$E$5)),MAX($Y$4:Y2386)+1,"")</f>
        <v/>
      </c>
    </row>
    <row r="2388" customFormat="false" ht="15" hidden="false" customHeight="false" outlineLevel="0" collapsed="false">
      <c r="A2388" s="11" t="str">
        <f aca="false">IF(C2388="","",ROW()-4)</f>
        <v/>
      </c>
      <c r="B2388" s="12"/>
      <c r="C2388" s="13"/>
      <c r="D2388" s="23" t="str">
        <f aca="false">IF(C2388="","",IFERROR(INDEX(LOTES!$D$5:$D$1004,MATCH(C2388,LOTES!$F$5:$F$1004,0)),"¿Lote?"))</f>
        <v/>
      </c>
      <c r="E2388" s="11" t="str">
        <f aca="false">IF(C2388="","",IFERROR(INDEX(LOTES!$C$5:$C$1004,MATCH(C2388,LOTES!$F$5:$F$1004,0)),""))</f>
        <v/>
      </c>
      <c r="F2388" s="24" t="str">
        <f aca="false">IF(C2388="","",IFERROR(INDEX(LOTES!$B$5:$B$1004,MATCH(C2388,LOTES!$F$5:$F$1004,0)),""))</f>
        <v/>
      </c>
      <c r="G2388" s="15" t="str">
        <f aca="false">IF(OR(B2388="",F2388=""),"",B2388-F2388)</f>
        <v/>
      </c>
      <c r="H2388" s="13"/>
      <c r="I2388" s="13"/>
      <c r="J2388" s="13"/>
      <c r="K2388" s="25"/>
      <c r="L2388" s="25"/>
      <c r="M2388" s="25"/>
      <c r="N2388" s="25"/>
      <c r="O2388" s="26"/>
      <c r="P2388" s="16" t="str">
        <f aca="false">IF(O2388="","",IFERROR(1/(1/(IF(K2388="",INDEX(CONFIG!$F$5:$F$14,MATCH(D2388,CONFIG!$D$5:$D$14,0)),K2388)*IF(M2388="",INDEX(CONFIG!$H$5:$H$14,MATCH(D2388,CONFIG!$D$5:$D$14,0)),M2388))),""))</f>
        <v/>
      </c>
      <c r="Q2388" s="16" t="str">
        <f aca="false">IF(OR(O2388="",P2388=""),"",O2388/P2388)</f>
        <v/>
      </c>
      <c r="R2388" s="16" t="str">
        <f aca="false">IF(Q2388="","",Q2388*0.0980665)</f>
        <v/>
      </c>
      <c r="S2388" s="16" t="str">
        <f aca="false">IF(Q2388="","",IFERROR(Q2388/(1/(1/INDEX(CONFIG!$I$5:$I$14,MATCH(D2388,CONFIG!$D$5:$D$14,0)))),""))</f>
        <v/>
      </c>
      <c r="T2388" s="13"/>
      <c r="U2388" s="13"/>
      <c r="V2388" s="13"/>
      <c r="W2388" s="13"/>
      <c r="X2388" s="22" t="str">
        <f aca="false">IF(Q2388="","",Q2388^2)</f>
        <v/>
      </c>
      <c r="Y2388" s="22" t="str">
        <f aca="false">IF(AND(C2388&lt;&gt;"",C2388=CERTIFICADO!$E$4,OR(CERTIFICADO!$E$5="",B2388=CERTIFICADO!$E$5)),MAX($Y$4:Y2387)+1,"")</f>
        <v/>
      </c>
    </row>
    <row r="2389" customFormat="false" ht="15" hidden="false" customHeight="false" outlineLevel="0" collapsed="false">
      <c r="A2389" s="11" t="str">
        <f aca="false">IF(C2389="","",ROW()-4)</f>
        <v/>
      </c>
      <c r="B2389" s="12"/>
      <c r="C2389" s="13"/>
      <c r="D2389" s="23" t="str">
        <f aca="false">IF(C2389="","",IFERROR(INDEX(LOTES!$D$5:$D$1004,MATCH(C2389,LOTES!$F$5:$F$1004,0)),"¿Lote?"))</f>
        <v/>
      </c>
      <c r="E2389" s="11" t="str">
        <f aca="false">IF(C2389="","",IFERROR(INDEX(LOTES!$C$5:$C$1004,MATCH(C2389,LOTES!$F$5:$F$1004,0)),""))</f>
        <v/>
      </c>
      <c r="F2389" s="24" t="str">
        <f aca="false">IF(C2389="","",IFERROR(INDEX(LOTES!$B$5:$B$1004,MATCH(C2389,LOTES!$F$5:$F$1004,0)),""))</f>
        <v/>
      </c>
      <c r="G2389" s="15" t="str">
        <f aca="false">IF(OR(B2389="",F2389=""),"",B2389-F2389)</f>
        <v/>
      </c>
      <c r="H2389" s="13"/>
      <c r="I2389" s="13"/>
      <c r="J2389" s="13"/>
      <c r="K2389" s="25"/>
      <c r="L2389" s="25"/>
      <c r="M2389" s="25"/>
      <c r="N2389" s="25"/>
      <c r="O2389" s="26"/>
      <c r="P2389" s="16" t="str">
        <f aca="false">IF(O2389="","",IFERROR(1/(1/(IF(K2389="",INDEX(CONFIG!$F$5:$F$14,MATCH(D2389,CONFIG!$D$5:$D$14,0)),K2389)*IF(M2389="",INDEX(CONFIG!$H$5:$H$14,MATCH(D2389,CONFIG!$D$5:$D$14,0)),M2389))),""))</f>
        <v/>
      </c>
      <c r="Q2389" s="16" t="str">
        <f aca="false">IF(OR(O2389="",P2389=""),"",O2389/P2389)</f>
        <v/>
      </c>
      <c r="R2389" s="16" t="str">
        <f aca="false">IF(Q2389="","",Q2389*0.0980665)</f>
        <v/>
      </c>
      <c r="S2389" s="16" t="str">
        <f aca="false">IF(Q2389="","",IFERROR(Q2389/(1/(1/INDEX(CONFIG!$I$5:$I$14,MATCH(D2389,CONFIG!$D$5:$D$14,0)))),""))</f>
        <v/>
      </c>
      <c r="T2389" s="13"/>
      <c r="U2389" s="13"/>
      <c r="V2389" s="13"/>
      <c r="W2389" s="13"/>
      <c r="X2389" s="22" t="str">
        <f aca="false">IF(Q2389="","",Q2389^2)</f>
        <v/>
      </c>
      <c r="Y2389" s="22" t="str">
        <f aca="false">IF(AND(C2389&lt;&gt;"",C2389=CERTIFICADO!$E$4,OR(CERTIFICADO!$E$5="",B2389=CERTIFICADO!$E$5)),MAX($Y$4:Y2388)+1,"")</f>
        <v/>
      </c>
    </row>
    <row r="2390" customFormat="false" ht="15" hidden="false" customHeight="false" outlineLevel="0" collapsed="false">
      <c r="A2390" s="11" t="str">
        <f aca="false">IF(C2390="","",ROW()-4)</f>
        <v/>
      </c>
      <c r="B2390" s="12"/>
      <c r="C2390" s="13"/>
      <c r="D2390" s="23" t="str">
        <f aca="false">IF(C2390="","",IFERROR(INDEX(LOTES!$D$5:$D$1004,MATCH(C2390,LOTES!$F$5:$F$1004,0)),"¿Lote?"))</f>
        <v/>
      </c>
      <c r="E2390" s="11" t="str">
        <f aca="false">IF(C2390="","",IFERROR(INDEX(LOTES!$C$5:$C$1004,MATCH(C2390,LOTES!$F$5:$F$1004,0)),""))</f>
        <v/>
      </c>
      <c r="F2390" s="24" t="str">
        <f aca="false">IF(C2390="","",IFERROR(INDEX(LOTES!$B$5:$B$1004,MATCH(C2390,LOTES!$F$5:$F$1004,0)),""))</f>
        <v/>
      </c>
      <c r="G2390" s="15" t="str">
        <f aca="false">IF(OR(B2390="",F2390=""),"",B2390-F2390)</f>
        <v/>
      </c>
      <c r="H2390" s="13"/>
      <c r="I2390" s="13"/>
      <c r="J2390" s="13"/>
      <c r="K2390" s="25"/>
      <c r="L2390" s="25"/>
      <c r="M2390" s="25"/>
      <c r="N2390" s="25"/>
      <c r="O2390" s="26"/>
      <c r="P2390" s="16" t="str">
        <f aca="false">IF(O2390="","",IFERROR(1/(1/(IF(K2390="",INDEX(CONFIG!$F$5:$F$14,MATCH(D2390,CONFIG!$D$5:$D$14,0)),K2390)*IF(M2390="",INDEX(CONFIG!$H$5:$H$14,MATCH(D2390,CONFIG!$D$5:$D$14,0)),M2390))),""))</f>
        <v/>
      </c>
      <c r="Q2390" s="16" t="str">
        <f aca="false">IF(OR(O2390="",P2390=""),"",O2390/P2390)</f>
        <v/>
      </c>
      <c r="R2390" s="16" t="str">
        <f aca="false">IF(Q2390="","",Q2390*0.0980665)</f>
        <v/>
      </c>
      <c r="S2390" s="16" t="str">
        <f aca="false">IF(Q2390="","",IFERROR(Q2390/(1/(1/INDEX(CONFIG!$I$5:$I$14,MATCH(D2390,CONFIG!$D$5:$D$14,0)))),""))</f>
        <v/>
      </c>
      <c r="T2390" s="13"/>
      <c r="U2390" s="13"/>
      <c r="V2390" s="13"/>
      <c r="W2390" s="13"/>
      <c r="X2390" s="22" t="str">
        <f aca="false">IF(Q2390="","",Q2390^2)</f>
        <v/>
      </c>
      <c r="Y2390" s="22" t="str">
        <f aca="false">IF(AND(C2390&lt;&gt;"",C2390=CERTIFICADO!$E$4,OR(CERTIFICADO!$E$5="",B2390=CERTIFICADO!$E$5)),MAX($Y$4:Y2389)+1,"")</f>
        <v/>
      </c>
    </row>
    <row r="2391" customFormat="false" ht="15" hidden="false" customHeight="false" outlineLevel="0" collapsed="false">
      <c r="A2391" s="11" t="str">
        <f aca="false">IF(C2391="","",ROW()-4)</f>
        <v/>
      </c>
      <c r="B2391" s="12"/>
      <c r="C2391" s="13"/>
      <c r="D2391" s="23" t="str">
        <f aca="false">IF(C2391="","",IFERROR(INDEX(LOTES!$D$5:$D$1004,MATCH(C2391,LOTES!$F$5:$F$1004,0)),"¿Lote?"))</f>
        <v/>
      </c>
      <c r="E2391" s="11" t="str">
        <f aca="false">IF(C2391="","",IFERROR(INDEX(LOTES!$C$5:$C$1004,MATCH(C2391,LOTES!$F$5:$F$1004,0)),""))</f>
        <v/>
      </c>
      <c r="F2391" s="24" t="str">
        <f aca="false">IF(C2391="","",IFERROR(INDEX(LOTES!$B$5:$B$1004,MATCH(C2391,LOTES!$F$5:$F$1004,0)),""))</f>
        <v/>
      </c>
      <c r="G2391" s="15" t="str">
        <f aca="false">IF(OR(B2391="",F2391=""),"",B2391-F2391)</f>
        <v/>
      </c>
      <c r="H2391" s="13"/>
      <c r="I2391" s="13"/>
      <c r="J2391" s="13"/>
      <c r="K2391" s="25"/>
      <c r="L2391" s="25"/>
      <c r="M2391" s="25"/>
      <c r="N2391" s="25"/>
      <c r="O2391" s="26"/>
      <c r="P2391" s="16" t="str">
        <f aca="false">IF(O2391="","",IFERROR(1/(1/(IF(K2391="",INDEX(CONFIG!$F$5:$F$14,MATCH(D2391,CONFIG!$D$5:$D$14,0)),K2391)*IF(M2391="",INDEX(CONFIG!$H$5:$H$14,MATCH(D2391,CONFIG!$D$5:$D$14,0)),M2391))),""))</f>
        <v/>
      </c>
      <c r="Q2391" s="16" t="str">
        <f aca="false">IF(OR(O2391="",P2391=""),"",O2391/P2391)</f>
        <v/>
      </c>
      <c r="R2391" s="16" t="str">
        <f aca="false">IF(Q2391="","",Q2391*0.0980665)</f>
        <v/>
      </c>
      <c r="S2391" s="16" t="str">
        <f aca="false">IF(Q2391="","",IFERROR(Q2391/(1/(1/INDEX(CONFIG!$I$5:$I$14,MATCH(D2391,CONFIG!$D$5:$D$14,0)))),""))</f>
        <v/>
      </c>
      <c r="T2391" s="13"/>
      <c r="U2391" s="13"/>
      <c r="V2391" s="13"/>
      <c r="W2391" s="13"/>
      <c r="X2391" s="22" t="str">
        <f aca="false">IF(Q2391="","",Q2391^2)</f>
        <v/>
      </c>
      <c r="Y2391" s="22" t="str">
        <f aca="false">IF(AND(C2391&lt;&gt;"",C2391=CERTIFICADO!$E$4,OR(CERTIFICADO!$E$5="",B2391=CERTIFICADO!$E$5)),MAX($Y$4:Y2390)+1,"")</f>
        <v/>
      </c>
    </row>
    <row r="2392" customFormat="false" ht="15" hidden="false" customHeight="false" outlineLevel="0" collapsed="false">
      <c r="A2392" s="11" t="str">
        <f aca="false">IF(C2392="","",ROW()-4)</f>
        <v/>
      </c>
      <c r="B2392" s="12"/>
      <c r="C2392" s="13"/>
      <c r="D2392" s="23" t="str">
        <f aca="false">IF(C2392="","",IFERROR(INDEX(LOTES!$D$5:$D$1004,MATCH(C2392,LOTES!$F$5:$F$1004,0)),"¿Lote?"))</f>
        <v/>
      </c>
      <c r="E2392" s="11" t="str">
        <f aca="false">IF(C2392="","",IFERROR(INDEX(LOTES!$C$5:$C$1004,MATCH(C2392,LOTES!$F$5:$F$1004,0)),""))</f>
        <v/>
      </c>
      <c r="F2392" s="24" t="str">
        <f aca="false">IF(C2392="","",IFERROR(INDEX(LOTES!$B$5:$B$1004,MATCH(C2392,LOTES!$F$5:$F$1004,0)),""))</f>
        <v/>
      </c>
      <c r="G2392" s="15" t="str">
        <f aca="false">IF(OR(B2392="",F2392=""),"",B2392-F2392)</f>
        <v/>
      </c>
      <c r="H2392" s="13"/>
      <c r="I2392" s="13"/>
      <c r="J2392" s="13"/>
      <c r="K2392" s="25"/>
      <c r="L2392" s="25"/>
      <c r="M2392" s="25"/>
      <c r="N2392" s="25"/>
      <c r="O2392" s="26"/>
      <c r="P2392" s="16" t="str">
        <f aca="false">IF(O2392="","",IFERROR(1/(1/(IF(K2392="",INDEX(CONFIG!$F$5:$F$14,MATCH(D2392,CONFIG!$D$5:$D$14,0)),K2392)*IF(M2392="",INDEX(CONFIG!$H$5:$H$14,MATCH(D2392,CONFIG!$D$5:$D$14,0)),M2392))),""))</f>
        <v/>
      </c>
      <c r="Q2392" s="16" t="str">
        <f aca="false">IF(OR(O2392="",P2392=""),"",O2392/P2392)</f>
        <v/>
      </c>
      <c r="R2392" s="16" t="str">
        <f aca="false">IF(Q2392="","",Q2392*0.0980665)</f>
        <v/>
      </c>
      <c r="S2392" s="16" t="str">
        <f aca="false">IF(Q2392="","",IFERROR(Q2392/(1/(1/INDEX(CONFIG!$I$5:$I$14,MATCH(D2392,CONFIG!$D$5:$D$14,0)))),""))</f>
        <v/>
      </c>
      <c r="T2392" s="13"/>
      <c r="U2392" s="13"/>
      <c r="V2392" s="13"/>
      <c r="W2392" s="13"/>
      <c r="X2392" s="22" t="str">
        <f aca="false">IF(Q2392="","",Q2392^2)</f>
        <v/>
      </c>
      <c r="Y2392" s="22" t="str">
        <f aca="false">IF(AND(C2392&lt;&gt;"",C2392=CERTIFICADO!$E$4,OR(CERTIFICADO!$E$5="",B2392=CERTIFICADO!$E$5)),MAX($Y$4:Y2391)+1,"")</f>
        <v/>
      </c>
    </row>
    <row r="2393" customFormat="false" ht="15" hidden="false" customHeight="false" outlineLevel="0" collapsed="false">
      <c r="A2393" s="11" t="str">
        <f aca="false">IF(C2393="","",ROW()-4)</f>
        <v/>
      </c>
      <c r="B2393" s="12"/>
      <c r="C2393" s="13"/>
      <c r="D2393" s="23" t="str">
        <f aca="false">IF(C2393="","",IFERROR(INDEX(LOTES!$D$5:$D$1004,MATCH(C2393,LOTES!$F$5:$F$1004,0)),"¿Lote?"))</f>
        <v/>
      </c>
      <c r="E2393" s="11" t="str">
        <f aca="false">IF(C2393="","",IFERROR(INDEX(LOTES!$C$5:$C$1004,MATCH(C2393,LOTES!$F$5:$F$1004,0)),""))</f>
        <v/>
      </c>
      <c r="F2393" s="24" t="str">
        <f aca="false">IF(C2393="","",IFERROR(INDEX(LOTES!$B$5:$B$1004,MATCH(C2393,LOTES!$F$5:$F$1004,0)),""))</f>
        <v/>
      </c>
      <c r="G2393" s="15" t="str">
        <f aca="false">IF(OR(B2393="",F2393=""),"",B2393-F2393)</f>
        <v/>
      </c>
      <c r="H2393" s="13"/>
      <c r="I2393" s="13"/>
      <c r="J2393" s="13"/>
      <c r="K2393" s="25"/>
      <c r="L2393" s="25"/>
      <c r="M2393" s="25"/>
      <c r="N2393" s="25"/>
      <c r="O2393" s="26"/>
      <c r="P2393" s="16" t="str">
        <f aca="false">IF(O2393="","",IFERROR(1/(1/(IF(K2393="",INDEX(CONFIG!$F$5:$F$14,MATCH(D2393,CONFIG!$D$5:$D$14,0)),K2393)*IF(M2393="",INDEX(CONFIG!$H$5:$H$14,MATCH(D2393,CONFIG!$D$5:$D$14,0)),M2393))),""))</f>
        <v/>
      </c>
      <c r="Q2393" s="16" t="str">
        <f aca="false">IF(OR(O2393="",P2393=""),"",O2393/P2393)</f>
        <v/>
      </c>
      <c r="R2393" s="16" t="str">
        <f aca="false">IF(Q2393="","",Q2393*0.0980665)</f>
        <v/>
      </c>
      <c r="S2393" s="16" t="str">
        <f aca="false">IF(Q2393="","",IFERROR(Q2393/(1/(1/INDEX(CONFIG!$I$5:$I$14,MATCH(D2393,CONFIG!$D$5:$D$14,0)))),""))</f>
        <v/>
      </c>
      <c r="T2393" s="13"/>
      <c r="U2393" s="13"/>
      <c r="V2393" s="13"/>
      <c r="W2393" s="13"/>
      <c r="X2393" s="22" t="str">
        <f aca="false">IF(Q2393="","",Q2393^2)</f>
        <v/>
      </c>
      <c r="Y2393" s="22" t="str">
        <f aca="false">IF(AND(C2393&lt;&gt;"",C2393=CERTIFICADO!$E$4,OR(CERTIFICADO!$E$5="",B2393=CERTIFICADO!$E$5)),MAX($Y$4:Y2392)+1,"")</f>
        <v/>
      </c>
    </row>
    <row r="2394" customFormat="false" ht="15" hidden="false" customHeight="false" outlineLevel="0" collapsed="false">
      <c r="A2394" s="11" t="str">
        <f aca="false">IF(C2394="","",ROW()-4)</f>
        <v/>
      </c>
      <c r="B2394" s="12"/>
      <c r="C2394" s="13"/>
      <c r="D2394" s="23" t="str">
        <f aca="false">IF(C2394="","",IFERROR(INDEX(LOTES!$D$5:$D$1004,MATCH(C2394,LOTES!$F$5:$F$1004,0)),"¿Lote?"))</f>
        <v/>
      </c>
      <c r="E2394" s="11" t="str">
        <f aca="false">IF(C2394="","",IFERROR(INDEX(LOTES!$C$5:$C$1004,MATCH(C2394,LOTES!$F$5:$F$1004,0)),""))</f>
        <v/>
      </c>
      <c r="F2394" s="24" t="str">
        <f aca="false">IF(C2394="","",IFERROR(INDEX(LOTES!$B$5:$B$1004,MATCH(C2394,LOTES!$F$5:$F$1004,0)),""))</f>
        <v/>
      </c>
      <c r="G2394" s="15" t="str">
        <f aca="false">IF(OR(B2394="",F2394=""),"",B2394-F2394)</f>
        <v/>
      </c>
      <c r="H2394" s="13"/>
      <c r="I2394" s="13"/>
      <c r="J2394" s="13"/>
      <c r="K2394" s="25"/>
      <c r="L2394" s="25"/>
      <c r="M2394" s="25"/>
      <c r="N2394" s="25"/>
      <c r="O2394" s="26"/>
      <c r="P2394" s="16" t="str">
        <f aca="false">IF(O2394="","",IFERROR(1/(1/(IF(K2394="",INDEX(CONFIG!$F$5:$F$14,MATCH(D2394,CONFIG!$D$5:$D$14,0)),K2394)*IF(M2394="",INDEX(CONFIG!$H$5:$H$14,MATCH(D2394,CONFIG!$D$5:$D$14,0)),M2394))),""))</f>
        <v/>
      </c>
      <c r="Q2394" s="16" t="str">
        <f aca="false">IF(OR(O2394="",P2394=""),"",O2394/P2394)</f>
        <v/>
      </c>
      <c r="R2394" s="16" t="str">
        <f aca="false">IF(Q2394="","",Q2394*0.0980665)</f>
        <v/>
      </c>
      <c r="S2394" s="16" t="str">
        <f aca="false">IF(Q2394="","",IFERROR(Q2394/(1/(1/INDEX(CONFIG!$I$5:$I$14,MATCH(D2394,CONFIG!$D$5:$D$14,0)))),""))</f>
        <v/>
      </c>
      <c r="T2394" s="13"/>
      <c r="U2394" s="13"/>
      <c r="V2394" s="13"/>
      <c r="W2394" s="13"/>
      <c r="X2394" s="22" t="str">
        <f aca="false">IF(Q2394="","",Q2394^2)</f>
        <v/>
      </c>
      <c r="Y2394" s="22" t="str">
        <f aca="false">IF(AND(C2394&lt;&gt;"",C2394=CERTIFICADO!$E$4,OR(CERTIFICADO!$E$5="",B2394=CERTIFICADO!$E$5)),MAX($Y$4:Y2393)+1,"")</f>
        <v/>
      </c>
    </row>
    <row r="2395" customFormat="false" ht="15" hidden="false" customHeight="false" outlineLevel="0" collapsed="false">
      <c r="A2395" s="11" t="str">
        <f aca="false">IF(C2395="","",ROW()-4)</f>
        <v/>
      </c>
      <c r="B2395" s="12"/>
      <c r="C2395" s="13"/>
      <c r="D2395" s="23" t="str">
        <f aca="false">IF(C2395="","",IFERROR(INDEX(LOTES!$D$5:$D$1004,MATCH(C2395,LOTES!$F$5:$F$1004,0)),"¿Lote?"))</f>
        <v/>
      </c>
      <c r="E2395" s="11" t="str">
        <f aca="false">IF(C2395="","",IFERROR(INDEX(LOTES!$C$5:$C$1004,MATCH(C2395,LOTES!$F$5:$F$1004,0)),""))</f>
        <v/>
      </c>
      <c r="F2395" s="24" t="str">
        <f aca="false">IF(C2395="","",IFERROR(INDEX(LOTES!$B$5:$B$1004,MATCH(C2395,LOTES!$F$5:$F$1004,0)),""))</f>
        <v/>
      </c>
      <c r="G2395" s="15" t="str">
        <f aca="false">IF(OR(B2395="",F2395=""),"",B2395-F2395)</f>
        <v/>
      </c>
      <c r="H2395" s="13"/>
      <c r="I2395" s="13"/>
      <c r="J2395" s="13"/>
      <c r="K2395" s="25"/>
      <c r="L2395" s="25"/>
      <c r="M2395" s="25"/>
      <c r="N2395" s="25"/>
      <c r="O2395" s="26"/>
      <c r="P2395" s="16" t="str">
        <f aca="false">IF(O2395="","",IFERROR(1/(1/(IF(K2395="",INDEX(CONFIG!$F$5:$F$14,MATCH(D2395,CONFIG!$D$5:$D$14,0)),K2395)*IF(M2395="",INDEX(CONFIG!$H$5:$H$14,MATCH(D2395,CONFIG!$D$5:$D$14,0)),M2395))),""))</f>
        <v/>
      </c>
      <c r="Q2395" s="16" t="str">
        <f aca="false">IF(OR(O2395="",P2395=""),"",O2395/P2395)</f>
        <v/>
      </c>
      <c r="R2395" s="16" t="str">
        <f aca="false">IF(Q2395="","",Q2395*0.0980665)</f>
        <v/>
      </c>
      <c r="S2395" s="16" t="str">
        <f aca="false">IF(Q2395="","",IFERROR(Q2395/(1/(1/INDEX(CONFIG!$I$5:$I$14,MATCH(D2395,CONFIG!$D$5:$D$14,0)))),""))</f>
        <v/>
      </c>
      <c r="T2395" s="13"/>
      <c r="U2395" s="13"/>
      <c r="V2395" s="13"/>
      <c r="W2395" s="13"/>
      <c r="X2395" s="22" t="str">
        <f aca="false">IF(Q2395="","",Q2395^2)</f>
        <v/>
      </c>
      <c r="Y2395" s="22" t="str">
        <f aca="false">IF(AND(C2395&lt;&gt;"",C2395=CERTIFICADO!$E$4,OR(CERTIFICADO!$E$5="",B2395=CERTIFICADO!$E$5)),MAX($Y$4:Y2394)+1,"")</f>
        <v/>
      </c>
    </row>
    <row r="2396" customFormat="false" ht="15" hidden="false" customHeight="false" outlineLevel="0" collapsed="false">
      <c r="A2396" s="11" t="str">
        <f aca="false">IF(C2396="","",ROW()-4)</f>
        <v/>
      </c>
      <c r="B2396" s="12"/>
      <c r="C2396" s="13"/>
      <c r="D2396" s="23" t="str">
        <f aca="false">IF(C2396="","",IFERROR(INDEX(LOTES!$D$5:$D$1004,MATCH(C2396,LOTES!$F$5:$F$1004,0)),"¿Lote?"))</f>
        <v/>
      </c>
      <c r="E2396" s="11" t="str">
        <f aca="false">IF(C2396="","",IFERROR(INDEX(LOTES!$C$5:$C$1004,MATCH(C2396,LOTES!$F$5:$F$1004,0)),""))</f>
        <v/>
      </c>
      <c r="F2396" s="24" t="str">
        <f aca="false">IF(C2396="","",IFERROR(INDEX(LOTES!$B$5:$B$1004,MATCH(C2396,LOTES!$F$5:$F$1004,0)),""))</f>
        <v/>
      </c>
      <c r="G2396" s="15" t="str">
        <f aca="false">IF(OR(B2396="",F2396=""),"",B2396-F2396)</f>
        <v/>
      </c>
      <c r="H2396" s="13"/>
      <c r="I2396" s="13"/>
      <c r="J2396" s="13"/>
      <c r="K2396" s="25"/>
      <c r="L2396" s="25"/>
      <c r="M2396" s="25"/>
      <c r="N2396" s="25"/>
      <c r="O2396" s="26"/>
      <c r="P2396" s="16" t="str">
        <f aca="false">IF(O2396="","",IFERROR(1/(1/(IF(K2396="",INDEX(CONFIG!$F$5:$F$14,MATCH(D2396,CONFIG!$D$5:$D$14,0)),K2396)*IF(M2396="",INDEX(CONFIG!$H$5:$H$14,MATCH(D2396,CONFIG!$D$5:$D$14,0)),M2396))),""))</f>
        <v/>
      </c>
      <c r="Q2396" s="16" t="str">
        <f aca="false">IF(OR(O2396="",P2396=""),"",O2396/P2396)</f>
        <v/>
      </c>
      <c r="R2396" s="16" t="str">
        <f aca="false">IF(Q2396="","",Q2396*0.0980665)</f>
        <v/>
      </c>
      <c r="S2396" s="16" t="str">
        <f aca="false">IF(Q2396="","",IFERROR(Q2396/(1/(1/INDEX(CONFIG!$I$5:$I$14,MATCH(D2396,CONFIG!$D$5:$D$14,0)))),""))</f>
        <v/>
      </c>
      <c r="T2396" s="13"/>
      <c r="U2396" s="13"/>
      <c r="V2396" s="13"/>
      <c r="W2396" s="13"/>
      <c r="X2396" s="22" t="str">
        <f aca="false">IF(Q2396="","",Q2396^2)</f>
        <v/>
      </c>
      <c r="Y2396" s="22" t="str">
        <f aca="false">IF(AND(C2396&lt;&gt;"",C2396=CERTIFICADO!$E$4,OR(CERTIFICADO!$E$5="",B2396=CERTIFICADO!$E$5)),MAX($Y$4:Y2395)+1,"")</f>
        <v/>
      </c>
    </row>
    <row r="2397" customFormat="false" ht="15" hidden="false" customHeight="false" outlineLevel="0" collapsed="false">
      <c r="A2397" s="11" t="str">
        <f aca="false">IF(C2397="","",ROW()-4)</f>
        <v/>
      </c>
      <c r="B2397" s="12"/>
      <c r="C2397" s="13"/>
      <c r="D2397" s="23" t="str">
        <f aca="false">IF(C2397="","",IFERROR(INDEX(LOTES!$D$5:$D$1004,MATCH(C2397,LOTES!$F$5:$F$1004,0)),"¿Lote?"))</f>
        <v/>
      </c>
      <c r="E2397" s="11" t="str">
        <f aca="false">IF(C2397="","",IFERROR(INDEX(LOTES!$C$5:$C$1004,MATCH(C2397,LOTES!$F$5:$F$1004,0)),""))</f>
        <v/>
      </c>
      <c r="F2397" s="24" t="str">
        <f aca="false">IF(C2397="","",IFERROR(INDEX(LOTES!$B$5:$B$1004,MATCH(C2397,LOTES!$F$5:$F$1004,0)),""))</f>
        <v/>
      </c>
      <c r="G2397" s="15" t="str">
        <f aca="false">IF(OR(B2397="",F2397=""),"",B2397-F2397)</f>
        <v/>
      </c>
      <c r="H2397" s="13"/>
      <c r="I2397" s="13"/>
      <c r="J2397" s="13"/>
      <c r="K2397" s="25"/>
      <c r="L2397" s="25"/>
      <c r="M2397" s="25"/>
      <c r="N2397" s="25"/>
      <c r="O2397" s="26"/>
      <c r="P2397" s="16" t="str">
        <f aca="false">IF(O2397="","",IFERROR(1/(1/(IF(K2397="",INDEX(CONFIG!$F$5:$F$14,MATCH(D2397,CONFIG!$D$5:$D$14,0)),K2397)*IF(M2397="",INDEX(CONFIG!$H$5:$H$14,MATCH(D2397,CONFIG!$D$5:$D$14,0)),M2397))),""))</f>
        <v/>
      </c>
      <c r="Q2397" s="16" t="str">
        <f aca="false">IF(OR(O2397="",P2397=""),"",O2397/P2397)</f>
        <v/>
      </c>
      <c r="R2397" s="16" t="str">
        <f aca="false">IF(Q2397="","",Q2397*0.0980665)</f>
        <v/>
      </c>
      <c r="S2397" s="16" t="str">
        <f aca="false">IF(Q2397="","",IFERROR(Q2397/(1/(1/INDEX(CONFIG!$I$5:$I$14,MATCH(D2397,CONFIG!$D$5:$D$14,0)))),""))</f>
        <v/>
      </c>
      <c r="T2397" s="13"/>
      <c r="U2397" s="13"/>
      <c r="V2397" s="13"/>
      <c r="W2397" s="13"/>
      <c r="X2397" s="22" t="str">
        <f aca="false">IF(Q2397="","",Q2397^2)</f>
        <v/>
      </c>
      <c r="Y2397" s="22" t="str">
        <f aca="false">IF(AND(C2397&lt;&gt;"",C2397=CERTIFICADO!$E$4,OR(CERTIFICADO!$E$5="",B2397=CERTIFICADO!$E$5)),MAX($Y$4:Y2396)+1,"")</f>
        <v/>
      </c>
    </row>
    <row r="2398" customFormat="false" ht="15" hidden="false" customHeight="false" outlineLevel="0" collapsed="false">
      <c r="A2398" s="11" t="str">
        <f aca="false">IF(C2398="","",ROW()-4)</f>
        <v/>
      </c>
      <c r="B2398" s="12"/>
      <c r="C2398" s="13"/>
      <c r="D2398" s="23" t="str">
        <f aca="false">IF(C2398="","",IFERROR(INDEX(LOTES!$D$5:$D$1004,MATCH(C2398,LOTES!$F$5:$F$1004,0)),"¿Lote?"))</f>
        <v/>
      </c>
      <c r="E2398" s="11" t="str">
        <f aca="false">IF(C2398="","",IFERROR(INDEX(LOTES!$C$5:$C$1004,MATCH(C2398,LOTES!$F$5:$F$1004,0)),""))</f>
        <v/>
      </c>
      <c r="F2398" s="24" t="str">
        <f aca="false">IF(C2398="","",IFERROR(INDEX(LOTES!$B$5:$B$1004,MATCH(C2398,LOTES!$F$5:$F$1004,0)),""))</f>
        <v/>
      </c>
      <c r="G2398" s="15" t="str">
        <f aca="false">IF(OR(B2398="",F2398=""),"",B2398-F2398)</f>
        <v/>
      </c>
      <c r="H2398" s="13"/>
      <c r="I2398" s="13"/>
      <c r="J2398" s="13"/>
      <c r="K2398" s="25"/>
      <c r="L2398" s="25"/>
      <c r="M2398" s="25"/>
      <c r="N2398" s="25"/>
      <c r="O2398" s="26"/>
      <c r="P2398" s="16" t="str">
        <f aca="false">IF(O2398="","",IFERROR(1/(1/(IF(K2398="",INDEX(CONFIG!$F$5:$F$14,MATCH(D2398,CONFIG!$D$5:$D$14,0)),K2398)*IF(M2398="",INDEX(CONFIG!$H$5:$H$14,MATCH(D2398,CONFIG!$D$5:$D$14,0)),M2398))),""))</f>
        <v/>
      </c>
      <c r="Q2398" s="16" t="str">
        <f aca="false">IF(OR(O2398="",P2398=""),"",O2398/P2398)</f>
        <v/>
      </c>
      <c r="R2398" s="16" t="str">
        <f aca="false">IF(Q2398="","",Q2398*0.0980665)</f>
        <v/>
      </c>
      <c r="S2398" s="16" t="str">
        <f aca="false">IF(Q2398="","",IFERROR(Q2398/(1/(1/INDEX(CONFIG!$I$5:$I$14,MATCH(D2398,CONFIG!$D$5:$D$14,0)))),""))</f>
        <v/>
      </c>
      <c r="T2398" s="13"/>
      <c r="U2398" s="13"/>
      <c r="V2398" s="13"/>
      <c r="W2398" s="13"/>
      <c r="X2398" s="22" t="str">
        <f aca="false">IF(Q2398="","",Q2398^2)</f>
        <v/>
      </c>
      <c r="Y2398" s="22" t="str">
        <f aca="false">IF(AND(C2398&lt;&gt;"",C2398=CERTIFICADO!$E$4,OR(CERTIFICADO!$E$5="",B2398=CERTIFICADO!$E$5)),MAX($Y$4:Y2397)+1,"")</f>
        <v/>
      </c>
    </row>
    <row r="2399" customFormat="false" ht="15" hidden="false" customHeight="false" outlineLevel="0" collapsed="false">
      <c r="A2399" s="11" t="str">
        <f aca="false">IF(C2399="","",ROW()-4)</f>
        <v/>
      </c>
      <c r="B2399" s="12"/>
      <c r="C2399" s="13"/>
      <c r="D2399" s="23" t="str">
        <f aca="false">IF(C2399="","",IFERROR(INDEX(LOTES!$D$5:$D$1004,MATCH(C2399,LOTES!$F$5:$F$1004,0)),"¿Lote?"))</f>
        <v/>
      </c>
      <c r="E2399" s="11" t="str">
        <f aca="false">IF(C2399="","",IFERROR(INDEX(LOTES!$C$5:$C$1004,MATCH(C2399,LOTES!$F$5:$F$1004,0)),""))</f>
        <v/>
      </c>
      <c r="F2399" s="24" t="str">
        <f aca="false">IF(C2399="","",IFERROR(INDEX(LOTES!$B$5:$B$1004,MATCH(C2399,LOTES!$F$5:$F$1004,0)),""))</f>
        <v/>
      </c>
      <c r="G2399" s="15" t="str">
        <f aca="false">IF(OR(B2399="",F2399=""),"",B2399-F2399)</f>
        <v/>
      </c>
      <c r="H2399" s="13"/>
      <c r="I2399" s="13"/>
      <c r="J2399" s="13"/>
      <c r="K2399" s="25"/>
      <c r="L2399" s="25"/>
      <c r="M2399" s="25"/>
      <c r="N2399" s="25"/>
      <c r="O2399" s="26"/>
      <c r="P2399" s="16" t="str">
        <f aca="false">IF(O2399="","",IFERROR(1/(1/(IF(K2399="",INDEX(CONFIG!$F$5:$F$14,MATCH(D2399,CONFIG!$D$5:$D$14,0)),K2399)*IF(M2399="",INDEX(CONFIG!$H$5:$H$14,MATCH(D2399,CONFIG!$D$5:$D$14,0)),M2399))),""))</f>
        <v/>
      </c>
      <c r="Q2399" s="16" t="str">
        <f aca="false">IF(OR(O2399="",P2399=""),"",O2399/P2399)</f>
        <v/>
      </c>
      <c r="R2399" s="16" t="str">
        <f aca="false">IF(Q2399="","",Q2399*0.0980665)</f>
        <v/>
      </c>
      <c r="S2399" s="16" t="str">
        <f aca="false">IF(Q2399="","",IFERROR(Q2399/(1/(1/INDEX(CONFIG!$I$5:$I$14,MATCH(D2399,CONFIG!$D$5:$D$14,0)))),""))</f>
        <v/>
      </c>
      <c r="T2399" s="13"/>
      <c r="U2399" s="13"/>
      <c r="V2399" s="13"/>
      <c r="W2399" s="13"/>
      <c r="X2399" s="22" t="str">
        <f aca="false">IF(Q2399="","",Q2399^2)</f>
        <v/>
      </c>
      <c r="Y2399" s="22" t="str">
        <f aca="false">IF(AND(C2399&lt;&gt;"",C2399=CERTIFICADO!$E$4,OR(CERTIFICADO!$E$5="",B2399=CERTIFICADO!$E$5)),MAX($Y$4:Y2398)+1,"")</f>
        <v/>
      </c>
    </row>
    <row r="2400" customFormat="false" ht="15" hidden="false" customHeight="false" outlineLevel="0" collapsed="false">
      <c r="A2400" s="11" t="str">
        <f aca="false">IF(C2400="","",ROW()-4)</f>
        <v/>
      </c>
      <c r="B2400" s="12"/>
      <c r="C2400" s="13"/>
      <c r="D2400" s="23" t="str">
        <f aca="false">IF(C2400="","",IFERROR(INDEX(LOTES!$D$5:$D$1004,MATCH(C2400,LOTES!$F$5:$F$1004,0)),"¿Lote?"))</f>
        <v/>
      </c>
      <c r="E2400" s="11" t="str">
        <f aca="false">IF(C2400="","",IFERROR(INDEX(LOTES!$C$5:$C$1004,MATCH(C2400,LOTES!$F$5:$F$1004,0)),""))</f>
        <v/>
      </c>
      <c r="F2400" s="24" t="str">
        <f aca="false">IF(C2400="","",IFERROR(INDEX(LOTES!$B$5:$B$1004,MATCH(C2400,LOTES!$F$5:$F$1004,0)),""))</f>
        <v/>
      </c>
      <c r="G2400" s="15" t="str">
        <f aca="false">IF(OR(B2400="",F2400=""),"",B2400-F2400)</f>
        <v/>
      </c>
      <c r="H2400" s="13"/>
      <c r="I2400" s="13"/>
      <c r="J2400" s="13"/>
      <c r="K2400" s="25"/>
      <c r="L2400" s="25"/>
      <c r="M2400" s="25"/>
      <c r="N2400" s="25"/>
      <c r="O2400" s="26"/>
      <c r="P2400" s="16" t="str">
        <f aca="false">IF(O2400="","",IFERROR(1/(1/(IF(K2400="",INDEX(CONFIG!$F$5:$F$14,MATCH(D2400,CONFIG!$D$5:$D$14,0)),K2400)*IF(M2400="",INDEX(CONFIG!$H$5:$H$14,MATCH(D2400,CONFIG!$D$5:$D$14,0)),M2400))),""))</f>
        <v/>
      </c>
      <c r="Q2400" s="16" t="str">
        <f aca="false">IF(OR(O2400="",P2400=""),"",O2400/P2400)</f>
        <v/>
      </c>
      <c r="R2400" s="16" t="str">
        <f aca="false">IF(Q2400="","",Q2400*0.0980665)</f>
        <v/>
      </c>
      <c r="S2400" s="16" t="str">
        <f aca="false">IF(Q2400="","",IFERROR(Q2400/(1/(1/INDEX(CONFIG!$I$5:$I$14,MATCH(D2400,CONFIG!$D$5:$D$14,0)))),""))</f>
        <v/>
      </c>
      <c r="T2400" s="13"/>
      <c r="U2400" s="13"/>
      <c r="V2400" s="13"/>
      <c r="W2400" s="13"/>
      <c r="X2400" s="22" t="str">
        <f aca="false">IF(Q2400="","",Q2400^2)</f>
        <v/>
      </c>
      <c r="Y2400" s="22" t="str">
        <f aca="false">IF(AND(C2400&lt;&gt;"",C2400=CERTIFICADO!$E$4,OR(CERTIFICADO!$E$5="",B2400=CERTIFICADO!$E$5)),MAX($Y$4:Y2399)+1,"")</f>
        <v/>
      </c>
    </row>
    <row r="2401" customFormat="false" ht="15" hidden="false" customHeight="false" outlineLevel="0" collapsed="false">
      <c r="A2401" s="11" t="str">
        <f aca="false">IF(C2401="","",ROW()-4)</f>
        <v/>
      </c>
      <c r="B2401" s="12"/>
      <c r="C2401" s="13"/>
      <c r="D2401" s="23" t="str">
        <f aca="false">IF(C2401="","",IFERROR(INDEX(LOTES!$D$5:$D$1004,MATCH(C2401,LOTES!$F$5:$F$1004,0)),"¿Lote?"))</f>
        <v/>
      </c>
      <c r="E2401" s="11" t="str">
        <f aca="false">IF(C2401="","",IFERROR(INDEX(LOTES!$C$5:$C$1004,MATCH(C2401,LOTES!$F$5:$F$1004,0)),""))</f>
        <v/>
      </c>
      <c r="F2401" s="24" t="str">
        <f aca="false">IF(C2401="","",IFERROR(INDEX(LOTES!$B$5:$B$1004,MATCH(C2401,LOTES!$F$5:$F$1004,0)),""))</f>
        <v/>
      </c>
      <c r="G2401" s="15" t="str">
        <f aca="false">IF(OR(B2401="",F2401=""),"",B2401-F2401)</f>
        <v/>
      </c>
      <c r="H2401" s="13"/>
      <c r="I2401" s="13"/>
      <c r="J2401" s="13"/>
      <c r="K2401" s="25"/>
      <c r="L2401" s="25"/>
      <c r="M2401" s="25"/>
      <c r="N2401" s="25"/>
      <c r="O2401" s="26"/>
      <c r="P2401" s="16" t="str">
        <f aca="false">IF(O2401="","",IFERROR(1/(1/(IF(K2401="",INDEX(CONFIG!$F$5:$F$14,MATCH(D2401,CONFIG!$D$5:$D$14,0)),K2401)*IF(M2401="",INDEX(CONFIG!$H$5:$H$14,MATCH(D2401,CONFIG!$D$5:$D$14,0)),M2401))),""))</f>
        <v/>
      </c>
      <c r="Q2401" s="16" t="str">
        <f aca="false">IF(OR(O2401="",P2401=""),"",O2401/P2401)</f>
        <v/>
      </c>
      <c r="R2401" s="16" t="str">
        <f aca="false">IF(Q2401="","",Q2401*0.0980665)</f>
        <v/>
      </c>
      <c r="S2401" s="16" t="str">
        <f aca="false">IF(Q2401="","",IFERROR(Q2401/(1/(1/INDEX(CONFIG!$I$5:$I$14,MATCH(D2401,CONFIG!$D$5:$D$14,0)))),""))</f>
        <v/>
      </c>
      <c r="T2401" s="13"/>
      <c r="U2401" s="13"/>
      <c r="V2401" s="13"/>
      <c r="W2401" s="13"/>
      <c r="X2401" s="22" t="str">
        <f aca="false">IF(Q2401="","",Q2401^2)</f>
        <v/>
      </c>
      <c r="Y2401" s="22" t="str">
        <f aca="false">IF(AND(C2401&lt;&gt;"",C2401=CERTIFICADO!$E$4,OR(CERTIFICADO!$E$5="",B2401=CERTIFICADO!$E$5)),MAX($Y$4:Y2400)+1,"")</f>
        <v/>
      </c>
    </row>
    <row r="2402" customFormat="false" ht="15" hidden="false" customHeight="false" outlineLevel="0" collapsed="false">
      <c r="A2402" s="11" t="str">
        <f aca="false">IF(C2402="","",ROW()-4)</f>
        <v/>
      </c>
      <c r="B2402" s="12"/>
      <c r="C2402" s="13"/>
      <c r="D2402" s="23" t="str">
        <f aca="false">IF(C2402="","",IFERROR(INDEX(LOTES!$D$5:$D$1004,MATCH(C2402,LOTES!$F$5:$F$1004,0)),"¿Lote?"))</f>
        <v/>
      </c>
      <c r="E2402" s="11" t="str">
        <f aca="false">IF(C2402="","",IFERROR(INDEX(LOTES!$C$5:$C$1004,MATCH(C2402,LOTES!$F$5:$F$1004,0)),""))</f>
        <v/>
      </c>
      <c r="F2402" s="24" t="str">
        <f aca="false">IF(C2402="","",IFERROR(INDEX(LOTES!$B$5:$B$1004,MATCH(C2402,LOTES!$F$5:$F$1004,0)),""))</f>
        <v/>
      </c>
      <c r="G2402" s="15" t="str">
        <f aca="false">IF(OR(B2402="",F2402=""),"",B2402-F2402)</f>
        <v/>
      </c>
      <c r="H2402" s="13"/>
      <c r="I2402" s="13"/>
      <c r="J2402" s="13"/>
      <c r="K2402" s="25"/>
      <c r="L2402" s="25"/>
      <c r="M2402" s="25"/>
      <c r="N2402" s="25"/>
      <c r="O2402" s="26"/>
      <c r="P2402" s="16" t="str">
        <f aca="false">IF(O2402="","",IFERROR(1/(1/(IF(K2402="",INDEX(CONFIG!$F$5:$F$14,MATCH(D2402,CONFIG!$D$5:$D$14,0)),K2402)*IF(M2402="",INDEX(CONFIG!$H$5:$H$14,MATCH(D2402,CONFIG!$D$5:$D$14,0)),M2402))),""))</f>
        <v/>
      </c>
      <c r="Q2402" s="16" t="str">
        <f aca="false">IF(OR(O2402="",P2402=""),"",O2402/P2402)</f>
        <v/>
      </c>
      <c r="R2402" s="16" t="str">
        <f aca="false">IF(Q2402="","",Q2402*0.0980665)</f>
        <v/>
      </c>
      <c r="S2402" s="16" t="str">
        <f aca="false">IF(Q2402="","",IFERROR(Q2402/(1/(1/INDEX(CONFIG!$I$5:$I$14,MATCH(D2402,CONFIG!$D$5:$D$14,0)))),""))</f>
        <v/>
      </c>
      <c r="T2402" s="13"/>
      <c r="U2402" s="13"/>
      <c r="V2402" s="13"/>
      <c r="W2402" s="13"/>
      <c r="X2402" s="22" t="str">
        <f aca="false">IF(Q2402="","",Q2402^2)</f>
        <v/>
      </c>
      <c r="Y2402" s="22" t="str">
        <f aca="false">IF(AND(C2402&lt;&gt;"",C2402=CERTIFICADO!$E$4,OR(CERTIFICADO!$E$5="",B2402=CERTIFICADO!$E$5)),MAX($Y$4:Y2401)+1,"")</f>
        <v/>
      </c>
    </row>
    <row r="2403" customFormat="false" ht="15" hidden="false" customHeight="false" outlineLevel="0" collapsed="false">
      <c r="A2403" s="11" t="str">
        <f aca="false">IF(C2403="","",ROW()-4)</f>
        <v/>
      </c>
      <c r="B2403" s="12"/>
      <c r="C2403" s="13"/>
      <c r="D2403" s="23" t="str">
        <f aca="false">IF(C2403="","",IFERROR(INDEX(LOTES!$D$5:$D$1004,MATCH(C2403,LOTES!$F$5:$F$1004,0)),"¿Lote?"))</f>
        <v/>
      </c>
      <c r="E2403" s="11" t="str">
        <f aca="false">IF(C2403="","",IFERROR(INDEX(LOTES!$C$5:$C$1004,MATCH(C2403,LOTES!$F$5:$F$1004,0)),""))</f>
        <v/>
      </c>
      <c r="F2403" s="24" t="str">
        <f aca="false">IF(C2403="","",IFERROR(INDEX(LOTES!$B$5:$B$1004,MATCH(C2403,LOTES!$F$5:$F$1004,0)),""))</f>
        <v/>
      </c>
      <c r="G2403" s="15" t="str">
        <f aca="false">IF(OR(B2403="",F2403=""),"",B2403-F2403)</f>
        <v/>
      </c>
      <c r="H2403" s="13"/>
      <c r="I2403" s="13"/>
      <c r="J2403" s="13"/>
      <c r="K2403" s="25"/>
      <c r="L2403" s="25"/>
      <c r="M2403" s="25"/>
      <c r="N2403" s="25"/>
      <c r="O2403" s="26"/>
      <c r="P2403" s="16" t="str">
        <f aca="false">IF(O2403="","",IFERROR(1/(1/(IF(K2403="",INDEX(CONFIG!$F$5:$F$14,MATCH(D2403,CONFIG!$D$5:$D$14,0)),K2403)*IF(M2403="",INDEX(CONFIG!$H$5:$H$14,MATCH(D2403,CONFIG!$D$5:$D$14,0)),M2403))),""))</f>
        <v/>
      </c>
      <c r="Q2403" s="16" t="str">
        <f aca="false">IF(OR(O2403="",P2403=""),"",O2403/P2403)</f>
        <v/>
      </c>
      <c r="R2403" s="16" t="str">
        <f aca="false">IF(Q2403="","",Q2403*0.0980665)</f>
        <v/>
      </c>
      <c r="S2403" s="16" t="str">
        <f aca="false">IF(Q2403="","",IFERROR(Q2403/(1/(1/INDEX(CONFIG!$I$5:$I$14,MATCH(D2403,CONFIG!$D$5:$D$14,0)))),""))</f>
        <v/>
      </c>
      <c r="T2403" s="13"/>
      <c r="U2403" s="13"/>
      <c r="V2403" s="13"/>
      <c r="W2403" s="13"/>
      <c r="X2403" s="22" t="str">
        <f aca="false">IF(Q2403="","",Q2403^2)</f>
        <v/>
      </c>
      <c r="Y2403" s="22" t="str">
        <f aca="false">IF(AND(C2403&lt;&gt;"",C2403=CERTIFICADO!$E$4,OR(CERTIFICADO!$E$5="",B2403=CERTIFICADO!$E$5)),MAX($Y$4:Y2402)+1,"")</f>
        <v/>
      </c>
    </row>
    <row r="2404" customFormat="false" ht="15" hidden="false" customHeight="false" outlineLevel="0" collapsed="false">
      <c r="A2404" s="11" t="str">
        <f aca="false">IF(C2404="","",ROW()-4)</f>
        <v/>
      </c>
      <c r="B2404" s="12"/>
      <c r="C2404" s="13"/>
      <c r="D2404" s="23" t="str">
        <f aca="false">IF(C2404="","",IFERROR(INDEX(LOTES!$D$5:$D$1004,MATCH(C2404,LOTES!$F$5:$F$1004,0)),"¿Lote?"))</f>
        <v/>
      </c>
      <c r="E2404" s="11" t="str">
        <f aca="false">IF(C2404="","",IFERROR(INDEX(LOTES!$C$5:$C$1004,MATCH(C2404,LOTES!$F$5:$F$1004,0)),""))</f>
        <v/>
      </c>
      <c r="F2404" s="24" t="str">
        <f aca="false">IF(C2404="","",IFERROR(INDEX(LOTES!$B$5:$B$1004,MATCH(C2404,LOTES!$F$5:$F$1004,0)),""))</f>
        <v/>
      </c>
      <c r="G2404" s="15" t="str">
        <f aca="false">IF(OR(B2404="",F2404=""),"",B2404-F2404)</f>
        <v/>
      </c>
      <c r="H2404" s="13"/>
      <c r="I2404" s="13"/>
      <c r="J2404" s="13"/>
      <c r="K2404" s="25"/>
      <c r="L2404" s="25"/>
      <c r="M2404" s="25"/>
      <c r="N2404" s="25"/>
      <c r="O2404" s="26"/>
      <c r="P2404" s="16" t="str">
        <f aca="false">IF(O2404="","",IFERROR(1/(1/(IF(K2404="",INDEX(CONFIG!$F$5:$F$14,MATCH(D2404,CONFIG!$D$5:$D$14,0)),K2404)*IF(M2404="",INDEX(CONFIG!$H$5:$H$14,MATCH(D2404,CONFIG!$D$5:$D$14,0)),M2404))),""))</f>
        <v/>
      </c>
      <c r="Q2404" s="16" t="str">
        <f aca="false">IF(OR(O2404="",P2404=""),"",O2404/P2404)</f>
        <v/>
      </c>
      <c r="R2404" s="16" t="str">
        <f aca="false">IF(Q2404="","",Q2404*0.0980665)</f>
        <v/>
      </c>
      <c r="S2404" s="16" t="str">
        <f aca="false">IF(Q2404="","",IFERROR(Q2404/(1/(1/INDEX(CONFIG!$I$5:$I$14,MATCH(D2404,CONFIG!$D$5:$D$14,0)))),""))</f>
        <v/>
      </c>
      <c r="T2404" s="13"/>
      <c r="U2404" s="13"/>
      <c r="V2404" s="13"/>
      <c r="W2404" s="13"/>
      <c r="X2404" s="22" t="str">
        <f aca="false">IF(Q2404="","",Q2404^2)</f>
        <v/>
      </c>
      <c r="Y2404" s="22" t="str">
        <f aca="false">IF(AND(C2404&lt;&gt;"",C2404=CERTIFICADO!$E$4,OR(CERTIFICADO!$E$5="",B2404=CERTIFICADO!$E$5)),MAX($Y$4:Y2403)+1,"")</f>
        <v/>
      </c>
    </row>
    <row r="2405" customFormat="false" ht="15" hidden="false" customHeight="false" outlineLevel="0" collapsed="false">
      <c r="A2405" s="11" t="str">
        <f aca="false">IF(C2405="","",ROW()-4)</f>
        <v/>
      </c>
      <c r="B2405" s="12"/>
      <c r="C2405" s="13"/>
      <c r="D2405" s="23" t="str">
        <f aca="false">IF(C2405="","",IFERROR(INDEX(LOTES!$D$5:$D$1004,MATCH(C2405,LOTES!$F$5:$F$1004,0)),"¿Lote?"))</f>
        <v/>
      </c>
      <c r="E2405" s="11" t="str">
        <f aca="false">IF(C2405="","",IFERROR(INDEX(LOTES!$C$5:$C$1004,MATCH(C2405,LOTES!$F$5:$F$1004,0)),""))</f>
        <v/>
      </c>
      <c r="F2405" s="24" t="str">
        <f aca="false">IF(C2405="","",IFERROR(INDEX(LOTES!$B$5:$B$1004,MATCH(C2405,LOTES!$F$5:$F$1004,0)),""))</f>
        <v/>
      </c>
      <c r="G2405" s="15" t="str">
        <f aca="false">IF(OR(B2405="",F2405=""),"",B2405-F2405)</f>
        <v/>
      </c>
      <c r="H2405" s="13"/>
      <c r="I2405" s="13"/>
      <c r="J2405" s="13"/>
      <c r="K2405" s="25"/>
      <c r="L2405" s="25"/>
      <c r="M2405" s="25"/>
      <c r="N2405" s="25"/>
      <c r="O2405" s="26"/>
      <c r="P2405" s="16" t="str">
        <f aca="false">IF(O2405="","",IFERROR(1/(1/(IF(K2405="",INDEX(CONFIG!$F$5:$F$14,MATCH(D2405,CONFIG!$D$5:$D$14,0)),K2405)*IF(M2405="",INDEX(CONFIG!$H$5:$H$14,MATCH(D2405,CONFIG!$D$5:$D$14,0)),M2405))),""))</f>
        <v/>
      </c>
      <c r="Q2405" s="16" t="str">
        <f aca="false">IF(OR(O2405="",P2405=""),"",O2405/P2405)</f>
        <v/>
      </c>
      <c r="R2405" s="16" t="str">
        <f aca="false">IF(Q2405="","",Q2405*0.0980665)</f>
        <v/>
      </c>
      <c r="S2405" s="16" t="str">
        <f aca="false">IF(Q2405="","",IFERROR(Q2405/(1/(1/INDEX(CONFIG!$I$5:$I$14,MATCH(D2405,CONFIG!$D$5:$D$14,0)))),""))</f>
        <v/>
      </c>
      <c r="T2405" s="13"/>
      <c r="U2405" s="13"/>
      <c r="V2405" s="13"/>
      <c r="W2405" s="13"/>
      <c r="X2405" s="22" t="str">
        <f aca="false">IF(Q2405="","",Q2405^2)</f>
        <v/>
      </c>
      <c r="Y2405" s="22" t="str">
        <f aca="false">IF(AND(C2405&lt;&gt;"",C2405=CERTIFICADO!$E$4,OR(CERTIFICADO!$E$5="",B2405=CERTIFICADO!$E$5)),MAX($Y$4:Y2404)+1,"")</f>
        <v/>
      </c>
    </row>
    <row r="2406" customFormat="false" ht="15" hidden="false" customHeight="false" outlineLevel="0" collapsed="false">
      <c r="A2406" s="11" t="str">
        <f aca="false">IF(C2406="","",ROW()-4)</f>
        <v/>
      </c>
      <c r="B2406" s="12"/>
      <c r="C2406" s="13"/>
      <c r="D2406" s="23" t="str">
        <f aca="false">IF(C2406="","",IFERROR(INDEX(LOTES!$D$5:$D$1004,MATCH(C2406,LOTES!$F$5:$F$1004,0)),"¿Lote?"))</f>
        <v/>
      </c>
      <c r="E2406" s="11" t="str">
        <f aca="false">IF(C2406="","",IFERROR(INDEX(LOTES!$C$5:$C$1004,MATCH(C2406,LOTES!$F$5:$F$1004,0)),""))</f>
        <v/>
      </c>
      <c r="F2406" s="24" t="str">
        <f aca="false">IF(C2406="","",IFERROR(INDEX(LOTES!$B$5:$B$1004,MATCH(C2406,LOTES!$F$5:$F$1004,0)),""))</f>
        <v/>
      </c>
      <c r="G2406" s="15" t="str">
        <f aca="false">IF(OR(B2406="",F2406=""),"",B2406-F2406)</f>
        <v/>
      </c>
      <c r="H2406" s="13"/>
      <c r="I2406" s="13"/>
      <c r="J2406" s="13"/>
      <c r="K2406" s="25"/>
      <c r="L2406" s="25"/>
      <c r="M2406" s="25"/>
      <c r="N2406" s="25"/>
      <c r="O2406" s="26"/>
      <c r="P2406" s="16" t="str">
        <f aca="false">IF(O2406="","",IFERROR(1/(1/(IF(K2406="",INDEX(CONFIG!$F$5:$F$14,MATCH(D2406,CONFIG!$D$5:$D$14,0)),K2406)*IF(M2406="",INDEX(CONFIG!$H$5:$H$14,MATCH(D2406,CONFIG!$D$5:$D$14,0)),M2406))),""))</f>
        <v/>
      </c>
      <c r="Q2406" s="16" t="str">
        <f aca="false">IF(OR(O2406="",P2406=""),"",O2406/P2406)</f>
        <v/>
      </c>
      <c r="R2406" s="16" t="str">
        <f aca="false">IF(Q2406="","",Q2406*0.0980665)</f>
        <v/>
      </c>
      <c r="S2406" s="16" t="str">
        <f aca="false">IF(Q2406="","",IFERROR(Q2406/(1/(1/INDEX(CONFIG!$I$5:$I$14,MATCH(D2406,CONFIG!$D$5:$D$14,0)))),""))</f>
        <v/>
      </c>
      <c r="T2406" s="13"/>
      <c r="U2406" s="13"/>
      <c r="V2406" s="13"/>
      <c r="W2406" s="13"/>
      <c r="X2406" s="22" t="str">
        <f aca="false">IF(Q2406="","",Q2406^2)</f>
        <v/>
      </c>
      <c r="Y2406" s="22" t="str">
        <f aca="false">IF(AND(C2406&lt;&gt;"",C2406=CERTIFICADO!$E$4,OR(CERTIFICADO!$E$5="",B2406=CERTIFICADO!$E$5)),MAX($Y$4:Y2405)+1,"")</f>
        <v/>
      </c>
    </row>
    <row r="2407" customFormat="false" ht="15" hidden="false" customHeight="false" outlineLevel="0" collapsed="false">
      <c r="A2407" s="11" t="str">
        <f aca="false">IF(C2407="","",ROW()-4)</f>
        <v/>
      </c>
      <c r="B2407" s="12"/>
      <c r="C2407" s="13"/>
      <c r="D2407" s="23" t="str">
        <f aca="false">IF(C2407="","",IFERROR(INDEX(LOTES!$D$5:$D$1004,MATCH(C2407,LOTES!$F$5:$F$1004,0)),"¿Lote?"))</f>
        <v/>
      </c>
      <c r="E2407" s="11" t="str">
        <f aca="false">IF(C2407="","",IFERROR(INDEX(LOTES!$C$5:$C$1004,MATCH(C2407,LOTES!$F$5:$F$1004,0)),""))</f>
        <v/>
      </c>
      <c r="F2407" s="24" t="str">
        <f aca="false">IF(C2407="","",IFERROR(INDEX(LOTES!$B$5:$B$1004,MATCH(C2407,LOTES!$F$5:$F$1004,0)),""))</f>
        <v/>
      </c>
      <c r="G2407" s="15" t="str">
        <f aca="false">IF(OR(B2407="",F2407=""),"",B2407-F2407)</f>
        <v/>
      </c>
      <c r="H2407" s="13"/>
      <c r="I2407" s="13"/>
      <c r="J2407" s="13"/>
      <c r="K2407" s="25"/>
      <c r="L2407" s="25"/>
      <c r="M2407" s="25"/>
      <c r="N2407" s="25"/>
      <c r="O2407" s="26"/>
      <c r="P2407" s="16" t="str">
        <f aca="false">IF(O2407="","",IFERROR(1/(1/(IF(K2407="",INDEX(CONFIG!$F$5:$F$14,MATCH(D2407,CONFIG!$D$5:$D$14,0)),K2407)*IF(M2407="",INDEX(CONFIG!$H$5:$H$14,MATCH(D2407,CONFIG!$D$5:$D$14,0)),M2407))),""))</f>
        <v/>
      </c>
      <c r="Q2407" s="16" t="str">
        <f aca="false">IF(OR(O2407="",P2407=""),"",O2407/P2407)</f>
        <v/>
      </c>
      <c r="R2407" s="16" t="str">
        <f aca="false">IF(Q2407="","",Q2407*0.0980665)</f>
        <v/>
      </c>
      <c r="S2407" s="16" t="str">
        <f aca="false">IF(Q2407="","",IFERROR(Q2407/(1/(1/INDEX(CONFIG!$I$5:$I$14,MATCH(D2407,CONFIG!$D$5:$D$14,0)))),""))</f>
        <v/>
      </c>
      <c r="T2407" s="13"/>
      <c r="U2407" s="13"/>
      <c r="V2407" s="13"/>
      <c r="W2407" s="13"/>
      <c r="X2407" s="22" t="str">
        <f aca="false">IF(Q2407="","",Q2407^2)</f>
        <v/>
      </c>
      <c r="Y2407" s="22" t="str">
        <f aca="false">IF(AND(C2407&lt;&gt;"",C2407=CERTIFICADO!$E$4,OR(CERTIFICADO!$E$5="",B2407=CERTIFICADO!$E$5)),MAX($Y$4:Y2406)+1,"")</f>
        <v/>
      </c>
    </row>
    <row r="2408" customFormat="false" ht="15" hidden="false" customHeight="false" outlineLevel="0" collapsed="false">
      <c r="A2408" s="11" t="str">
        <f aca="false">IF(C2408="","",ROW()-4)</f>
        <v/>
      </c>
      <c r="B2408" s="12"/>
      <c r="C2408" s="13"/>
      <c r="D2408" s="23" t="str">
        <f aca="false">IF(C2408="","",IFERROR(INDEX(LOTES!$D$5:$D$1004,MATCH(C2408,LOTES!$F$5:$F$1004,0)),"¿Lote?"))</f>
        <v/>
      </c>
      <c r="E2408" s="11" t="str">
        <f aca="false">IF(C2408="","",IFERROR(INDEX(LOTES!$C$5:$C$1004,MATCH(C2408,LOTES!$F$5:$F$1004,0)),""))</f>
        <v/>
      </c>
      <c r="F2408" s="24" t="str">
        <f aca="false">IF(C2408="","",IFERROR(INDEX(LOTES!$B$5:$B$1004,MATCH(C2408,LOTES!$F$5:$F$1004,0)),""))</f>
        <v/>
      </c>
      <c r="G2408" s="15" t="str">
        <f aca="false">IF(OR(B2408="",F2408=""),"",B2408-F2408)</f>
        <v/>
      </c>
      <c r="H2408" s="13"/>
      <c r="I2408" s="13"/>
      <c r="J2408" s="13"/>
      <c r="K2408" s="25"/>
      <c r="L2408" s="25"/>
      <c r="M2408" s="25"/>
      <c r="N2408" s="25"/>
      <c r="O2408" s="26"/>
      <c r="P2408" s="16" t="str">
        <f aca="false">IF(O2408="","",IFERROR(1/(1/(IF(K2408="",INDEX(CONFIG!$F$5:$F$14,MATCH(D2408,CONFIG!$D$5:$D$14,0)),K2408)*IF(M2408="",INDEX(CONFIG!$H$5:$H$14,MATCH(D2408,CONFIG!$D$5:$D$14,0)),M2408))),""))</f>
        <v/>
      </c>
      <c r="Q2408" s="16" t="str">
        <f aca="false">IF(OR(O2408="",P2408=""),"",O2408/P2408)</f>
        <v/>
      </c>
      <c r="R2408" s="16" t="str">
        <f aca="false">IF(Q2408="","",Q2408*0.0980665)</f>
        <v/>
      </c>
      <c r="S2408" s="16" t="str">
        <f aca="false">IF(Q2408="","",IFERROR(Q2408/(1/(1/INDEX(CONFIG!$I$5:$I$14,MATCH(D2408,CONFIG!$D$5:$D$14,0)))),""))</f>
        <v/>
      </c>
      <c r="T2408" s="13"/>
      <c r="U2408" s="13"/>
      <c r="V2408" s="13"/>
      <c r="W2408" s="13"/>
      <c r="X2408" s="22" t="str">
        <f aca="false">IF(Q2408="","",Q2408^2)</f>
        <v/>
      </c>
      <c r="Y2408" s="22" t="str">
        <f aca="false">IF(AND(C2408&lt;&gt;"",C2408=CERTIFICADO!$E$4,OR(CERTIFICADO!$E$5="",B2408=CERTIFICADO!$E$5)),MAX($Y$4:Y2407)+1,"")</f>
        <v/>
      </c>
    </row>
    <row r="2409" customFormat="false" ht="15" hidden="false" customHeight="false" outlineLevel="0" collapsed="false">
      <c r="A2409" s="11" t="str">
        <f aca="false">IF(C2409="","",ROW()-4)</f>
        <v/>
      </c>
      <c r="B2409" s="12"/>
      <c r="C2409" s="13"/>
      <c r="D2409" s="23" t="str">
        <f aca="false">IF(C2409="","",IFERROR(INDEX(LOTES!$D$5:$D$1004,MATCH(C2409,LOTES!$F$5:$F$1004,0)),"¿Lote?"))</f>
        <v/>
      </c>
      <c r="E2409" s="11" t="str">
        <f aca="false">IF(C2409="","",IFERROR(INDEX(LOTES!$C$5:$C$1004,MATCH(C2409,LOTES!$F$5:$F$1004,0)),""))</f>
        <v/>
      </c>
      <c r="F2409" s="24" t="str">
        <f aca="false">IF(C2409="","",IFERROR(INDEX(LOTES!$B$5:$B$1004,MATCH(C2409,LOTES!$F$5:$F$1004,0)),""))</f>
        <v/>
      </c>
      <c r="G2409" s="15" t="str">
        <f aca="false">IF(OR(B2409="",F2409=""),"",B2409-F2409)</f>
        <v/>
      </c>
      <c r="H2409" s="13"/>
      <c r="I2409" s="13"/>
      <c r="J2409" s="13"/>
      <c r="K2409" s="25"/>
      <c r="L2409" s="25"/>
      <c r="M2409" s="25"/>
      <c r="N2409" s="25"/>
      <c r="O2409" s="26"/>
      <c r="P2409" s="16" t="str">
        <f aca="false">IF(O2409="","",IFERROR(1/(1/(IF(K2409="",INDEX(CONFIG!$F$5:$F$14,MATCH(D2409,CONFIG!$D$5:$D$14,0)),K2409)*IF(M2409="",INDEX(CONFIG!$H$5:$H$14,MATCH(D2409,CONFIG!$D$5:$D$14,0)),M2409))),""))</f>
        <v/>
      </c>
      <c r="Q2409" s="16" t="str">
        <f aca="false">IF(OR(O2409="",P2409=""),"",O2409/P2409)</f>
        <v/>
      </c>
      <c r="R2409" s="16" t="str">
        <f aca="false">IF(Q2409="","",Q2409*0.0980665)</f>
        <v/>
      </c>
      <c r="S2409" s="16" t="str">
        <f aca="false">IF(Q2409="","",IFERROR(Q2409/(1/(1/INDEX(CONFIG!$I$5:$I$14,MATCH(D2409,CONFIG!$D$5:$D$14,0)))),""))</f>
        <v/>
      </c>
      <c r="T2409" s="13"/>
      <c r="U2409" s="13"/>
      <c r="V2409" s="13"/>
      <c r="W2409" s="13"/>
      <c r="X2409" s="22" t="str">
        <f aca="false">IF(Q2409="","",Q2409^2)</f>
        <v/>
      </c>
      <c r="Y2409" s="22" t="str">
        <f aca="false">IF(AND(C2409&lt;&gt;"",C2409=CERTIFICADO!$E$4,OR(CERTIFICADO!$E$5="",B2409=CERTIFICADO!$E$5)),MAX($Y$4:Y2408)+1,"")</f>
        <v/>
      </c>
    </row>
    <row r="2410" customFormat="false" ht="15" hidden="false" customHeight="false" outlineLevel="0" collapsed="false">
      <c r="A2410" s="11" t="str">
        <f aca="false">IF(C2410="","",ROW()-4)</f>
        <v/>
      </c>
      <c r="B2410" s="12"/>
      <c r="C2410" s="13"/>
      <c r="D2410" s="23" t="str">
        <f aca="false">IF(C2410="","",IFERROR(INDEX(LOTES!$D$5:$D$1004,MATCH(C2410,LOTES!$F$5:$F$1004,0)),"¿Lote?"))</f>
        <v/>
      </c>
      <c r="E2410" s="11" t="str">
        <f aca="false">IF(C2410="","",IFERROR(INDEX(LOTES!$C$5:$C$1004,MATCH(C2410,LOTES!$F$5:$F$1004,0)),""))</f>
        <v/>
      </c>
      <c r="F2410" s="24" t="str">
        <f aca="false">IF(C2410="","",IFERROR(INDEX(LOTES!$B$5:$B$1004,MATCH(C2410,LOTES!$F$5:$F$1004,0)),""))</f>
        <v/>
      </c>
      <c r="G2410" s="15" t="str">
        <f aca="false">IF(OR(B2410="",F2410=""),"",B2410-F2410)</f>
        <v/>
      </c>
      <c r="H2410" s="13"/>
      <c r="I2410" s="13"/>
      <c r="J2410" s="13"/>
      <c r="K2410" s="25"/>
      <c r="L2410" s="25"/>
      <c r="M2410" s="25"/>
      <c r="N2410" s="25"/>
      <c r="O2410" s="26"/>
      <c r="P2410" s="16" t="str">
        <f aca="false">IF(O2410="","",IFERROR(1/(1/(IF(K2410="",INDEX(CONFIG!$F$5:$F$14,MATCH(D2410,CONFIG!$D$5:$D$14,0)),K2410)*IF(M2410="",INDEX(CONFIG!$H$5:$H$14,MATCH(D2410,CONFIG!$D$5:$D$14,0)),M2410))),""))</f>
        <v/>
      </c>
      <c r="Q2410" s="16" t="str">
        <f aca="false">IF(OR(O2410="",P2410=""),"",O2410/P2410)</f>
        <v/>
      </c>
      <c r="R2410" s="16" t="str">
        <f aca="false">IF(Q2410="","",Q2410*0.0980665)</f>
        <v/>
      </c>
      <c r="S2410" s="16" t="str">
        <f aca="false">IF(Q2410="","",IFERROR(Q2410/(1/(1/INDEX(CONFIG!$I$5:$I$14,MATCH(D2410,CONFIG!$D$5:$D$14,0)))),""))</f>
        <v/>
      </c>
      <c r="T2410" s="13"/>
      <c r="U2410" s="13"/>
      <c r="V2410" s="13"/>
      <c r="W2410" s="13"/>
      <c r="X2410" s="22" t="str">
        <f aca="false">IF(Q2410="","",Q2410^2)</f>
        <v/>
      </c>
      <c r="Y2410" s="22" t="str">
        <f aca="false">IF(AND(C2410&lt;&gt;"",C2410=CERTIFICADO!$E$4,OR(CERTIFICADO!$E$5="",B2410=CERTIFICADO!$E$5)),MAX($Y$4:Y2409)+1,"")</f>
        <v/>
      </c>
    </row>
    <row r="2411" customFormat="false" ht="15" hidden="false" customHeight="false" outlineLevel="0" collapsed="false">
      <c r="A2411" s="11" t="str">
        <f aca="false">IF(C2411="","",ROW()-4)</f>
        <v/>
      </c>
      <c r="B2411" s="12"/>
      <c r="C2411" s="13"/>
      <c r="D2411" s="23" t="str">
        <f aca="false">IF(C2411="","",IFERROR(INDEX(LOTES!$D$5:$D$1004,MATCH(C2411,LOTES!$F$5:$F$1004,0)),"¿Lote?"))</f>
        <v/>
      </c>
      <c r="E2411" s="11" t="str">
        <f aca="false">IF(C2411="","",IFERROR(INDEX(LOTES!$C$5:$C$1004,MATCH(C2411,LOTES!$F$5:$F$1004,0)),""))</f>
        <v/>
      </c>
      <c r="F2411" s="24" t="str">
        <f aca="false">IF(C2411="","",IFERROR(INDEX(LOTES!$B$5:$B$1004,MATCH(C2411,LOTES!$F$5:$F$1004,0)),""))</f>
        <v/>
      </c>
      <c r="G2411" s="15" t="str">
        <f aca="false">IF(OR(B2411="",F2411=""),"",B2411-F2411)</f>
        <v/>
      </c>
      <c r="H2411" s="13"/>
      <c r="I2411" s="13"/>
      <c r="J2411" s="13"/>
      <c r="K2411" s="25"/>
      <c r="L2411" s="25"/>
      <c r="M2411" s="25"/>
      <c r="N2411" s="25"/>
      <c r="O2411" s="26"/>
      <c r="P2411" s="16" t="str">
        <f aca="false">IF(O2411="","",IFERROR(1/(1/(IF(K2411="",INDEX(CONFIG!$F$5:$F$14,MATCH(D2411,CONFIG!$D$5:$D$14,0)),K2411)*IF(M2411="",INDEX(CONFIG!$H$5:$H$14,MATCH(D2411,CONFIG!$D$5:$D$14,0)),M2411))),""))</f>
        <v/>
      </c>
      <c r="Q2411" s="16" t="str">
        <f aca="false">IF(OR(O2411="",P2411=""),"",O2411/P2411)</f>
        <v/>
      </c>
      <c r="R2411" s="16" t="str">
        <f aca="false">IF(Q2411="","",Q2411*0.0980665)</f>
        <v/>
      </c>
      <c r="S2411" s="16" t="str">
        <f aca="false">IF(Q2411="","",IFERROR(Q2411/(1/(1/INDEX(CONFIG!$I$5:$I$14,MATCH(D2411,CONFIG!$D$5:$D$14,0)))),""))</f>
        <v/>
      </c>
      <c r="T2411" s="13"/>
      <c r="U2411" s="13"/>
      <c r="V2411" s="13"/>
      <c r="W2411" s="13"/>
      <c r="X2411" s="22" t="str">
        <f aca="false">IF(Q2411="","",Q2411^2)</f>
        <v/>
      </c>
      <c r="Y2411" s="22" t="str">
        <f aca="false">IF(AND(C2411&lt;&gt;"",C2411=CERTIFICADO!$E$4,OR(CERTIFICADO!$E$5="",B2411=CERTIFICADO!$E$5)),MAX($Y$4:Y2410)+1,"")</f>
        <v/>
      </c>
    </row>
    <row r="2412" customFormat="false" ht="15" hidden="false" customHeight="false" outlineLevel="0" collapsed="false">
      <c r="A2412" s="11" t="str">
        <f aca="false">IF(C2412="","",ROW()-4)</f>
        <v/>
      </c>
      <c r="B2412" s="12"/>
      <c r="C2412" s="13"/>
      <c r="D2412" s="23" t="str">
        <f aca="false">IF(C2412="","",IFERROR(INDEX(LOTES!$D$5:$D$1004,MATCH(C2412,LOTES!$F$5:$F$1004,0)),"¿Lote?"))</f>
        <v/>
      </c>
      <c r="E2412" s="11" t="str">
        <f aca="false">IF(C2412="","",IFERROR(INDEX(LOTES!$C$5:$C$1004,MATCH(C2412,LOTES!$F$5:$F$1004,0)),""))</f>
        <v/>
      </c>
      <c r="F2412" s="24" t="str">
        <f aca="false">IF(C2412="","",IFERROR(INDEX(LOTES!$B$5:$B$1004,MATCH(C2412,LOTES!$F$5:$F$1004,0)),""))</f>
        <v/>
      </c>
      <c r="G2412" s="15" t="str">
        <f aca="false">IF(OR(B2412="",F2412=""),"",B2412-F2412)</f>
        <v/>
      </c>
      <c r="H2412" s="13"/>
      <c r="I2412" s="13"/>
      <c r="J2412" s="13"/>
      <c r="K2412" s="25"/>
      <c r="L2412" s="25"/>
      <c r="M2412" s="25"/>
      <c r="N2412" s="25"/>
      <c r="O2412" s="26"/>
      <c r="P2412" s="16" t="str">
        <f aca="false">IF(O2412="","",IFERROR(1/(1/(IF(K2412="",INDEX(CONFIG!$F$5:$F$14,MATCH(D2412,CONFIG!$D$5:$D$14,0)),K2412)*IF(M2412="",INDEX(CONFIG!$H$5:$H$14,MATCH(D2412,CONFIG!$D$5:$D$14,0)),M2412))),""))</f>
        <v/>
      </c>
      <c r="Q2412" s="16" t="str">
        <f aca="false">IF(OR(O2412="",P2412=""),"",O2412/P2412)</f>
        <v/>
      </c>
      <c r="R2412" s="16" t="str">
        <f aca="false">IF(Q2412="","",Q2412*0.0980665)</f>
        <v/>
      </c>
      <c r="S2412" s="16" t="str">
        <f aca="false">IF(Q2412="","",IFERROR(Q2412/(1/(1/INDEX(CONFIG!$I$5:$I$14,MATCH(D2412,CONFIG!$D$5:$D$14,0)))),""))</f>
        <v/>
      </c>
      <c r="T2412" s="13"/>
      <c r="U2412" s="13"/>
      <c r="V2412" s="13"/>
      <c r="W2412" s="13"/>
      <c r="X2412" s="22" t="str">
        <f aca="false">IF(Q2412="","",Q2412^2)</f>
        <v/>
      </c>
      <c r="Y2412" s="22" t="str">
        <f aca="false">IF(AND(C2412&lt;&gt;"",C2412=CERTIFICADO!$E$4,OR(CERTIFICADO!$E$5="",B2412=CERTIFICADO!$E$5)),MAX($Y$4:Y2411)+1,"")</f>
        <v/>
      </c>
    </row>
    <row r="2413" customFormat="false" ht="15" hidden="false" customHeight="false" outlineLevel="0" collapsed="false">
      <c r="A2413" s="11" t="str">
        <f aca="false">IF(C2413="","",ROW()-4)</f>
        <v/>
      </c>
      <c r="B2413" s="12"/>
      <c r="C2413" s="13"/>
      <c r="D2413" s="23" t="str">
        <f aca="false">IF(C2413="","",IFERROR(INDEX(LOTES!$D$5:$D$1004,MATCH(C2413,LOTES!$F$5:$F$1004,0)),"¿Lote?"))</f>
        <v/>
      </c>
      <c r="E2413" s="11" t="str">
        <f aca="false">IF(C2413="","",IFERROR(INDEX(LOTES!$C$5:$C$1004,MATCH(C2413,LOTES!$F$5:$F$1004,0)),""))</f>
        <v/>
      </c>
      <c r="F2413" s="24" t="str">
        <f aca="false">IF(C2413="","",IFERROR(INDEX(LOTES!$B$5:$B$1004,MATCH(C2413,LOTES!$F$5:$F$1004,0)),""))</f>
        <v/>
      </c>
      <c r="G2413" s="15" t="str">
        <f aca="false">IF(OR(B2413="",F2413=""),"",B2413-F2413)</f>
        <v/>
      </c>
      <c r="H2413" s="13"/>
      <c r="I2413" s="13"/>
      <c r="J2413" s="13"/>
      <c r="K2413" s="25"/>
      <c r="L2413" s="25"/>
      <c r="M2413" s="25"/>
      <c r="N2413" s="25"/>
      <c r="O2413" s="26"/>
      <c r="P2413" s="16" t="str">
        <f aca="false">IF(O2413="","",IFERROR(1/(1/(IF(K2413="",INDEX(CONFIG!$F$5:$F$14,MATCH(D2413,CONFIG!$D$5:$D$14,0)),K2413)*IF(M2413="",INDEX(CONFIG!$H$5:$H$14,MATCH(D2413,CONFIG!$D$5:$D$14,0)),M2413))),""))</f>
        <v/>
      </c>
      <c r="Q2413" s="16" t="str">
        <f aca="false">IF(OR(O2413="",P2413=""),"",O2413/P2413)</f>
        <v/>
      </c>
      <c r="R2413" s="16" t="str">
        <f aca="false">IF(Q2413="","",Q2413*0.0980665)</f>
        <v/>
      </c>
      <c r="S2413" s="16" t="str">
        <f aca="false">IF(Q2413="","",IFERROR(Q2413/(1/(1/INDEX(CONFIG!$I$5:$I$14,MATCH(D2413,CONFIG!$D$5:$D$14,0)))),""))</f>
        <v/>
      </c>
      <c r="T2413" s="13"/>
      <c r="U2413" s="13"/>
      <c r="V2413" s="13"/>
      <c r="W2413" s="13"/>
      <c r="X2413" s="22" t="str">
        <f aca="false">IF(Q2413="","",Q2413^2)</f>
        <v/>
      </c>
      <c r="Y2413" s="22" t="str">
        <f aca="false">IF(AND(C2413&lt;&gt;"",C2413=CERTIFICADO!$E$4,OR(CERTIFICADO!$E$5="",B2413=CERTIFICADO!$E$5)),MAX($Y$4:Y2412)+1,"")</f>
        <v/>
      </c>
    </row>
    <row r="2414" customFormat="false" ht="15" hidden="false" customHeight="false" outlineLevel="0" collapsed="false">
      <c r="A2414" s="11" t="str">
        <f aca="false">IF(C2414="","",ROW()-4)</f>
        <v/>
      </c>
      <c r="B2414" s="12"/>
      <c r="C2414" s="13"/>
      <c r="D2414" s="23" t="str">
        <f aca="false">IF(C2414="","",IFERROR(INDEX(LOTES!$D$5:$D$1004,MATCH(C2414,LOTES!$F$5:$F$1004,0)),"¿Lote?"))</f>
        <v/>
      </c>
      <c r="E2414" s="11" t="str">
        <f aca="false">IF(C2414="","",IFERROR(INDEX(LOTES!$C$5:$C$1004,MATCH(C2414,LOTES!$F$5:$F$1004,0)),""))</f>
        <v/>
      </c>
      <c r="F2414" s="24" t="str">
        <f aca="false">IF(C2414="","",IFERROR(INDEX(LOTES!$B$5:$B$1004,MATCH(C2414,LOTES!$F$5:$F$1004,0)),""))</f>
        <v/>
      </c>
      <c r="G2414" s="15" t="str">
        <f aca="false">IF(OR(B2414="",F2414=""),"",B2414-F2414)</f>
        <v/>
      </c>
      <c r="H2414" s="13"/>
      <c r="I2414" s="13"/>
      <c r="J2414" s="13"/>
      <c r="K2414" s="25"/>
      <c r="L2414" s="25"/>
      <c r="M2414" s="25"/>
      <c r="N2414" s="25"/>
      <c r="O2414" s="26"/>
      <c r="P2414" s="16" t="str">
        <f aca="false">IF(O2414="","",IFERROR(1/(1/(IF(K2414="",INDEX(CONFIG!$F$5:$F$14,MATCH(D2414,CONFIG!$D$5:$D$14,0)),K2414)*IF(M2414="",INDEX(CONFIG!$H$5:$H$14,MATCH(D2414,CONFIG!$D$5:$D$14,0)),M2414))),""))</f>
        <v/>
      </c>
      <c r="Q2414" s="16" t="str">
        <f aca="false">IF(OR(O2414="",P2414=""),"",O2414/P2414)</f>
        <v/>
      </c>
      <c r="R2414" s="16" t="str">
        <f aca="false">IF(Q2414="","",Q2414*0.0980665)</f>
        <v/>
      </c>
      <c r="S2414" s="16" t="str">
        <f aca="false">IF(Q2414="","",IFERROR(Q2414/(1/(1/INDEX(CONFIG!$I$5:$I$14,MATCH(D2414,CONFIG!$D$5:$D$14,0)))),""))</f>
        <v/>
      </c>
      <c r="T2414" s="13"/>
      <c r="U2414" s="13"/>
      <c r="V2414" s="13"/>
      <c r="W2414" s="13"/>
      <c r="X2414" s="22" t="str">
        <f aca="false">IF(Q2414="","",Q2414^2)</f>
        <v/>
      </c>
      <c r="Y2414" s="22" t="str">
        <f aca="false">IF(AND(C2414&lt;&gt;"",C2414=CERTIFICADO!$E$4,OR(CERTIFICADO!$E$5="",B2414=CERTIFICADO!$E$5)),MAX($Y$4:Y2413)+1,"")</f>
        <v/>
      </c>
    </row>
    <row r="2415" customFormat="false" ht="15" hidden="false" customHeight="false" outlineLevel="0" collapsed="false">
      <c r="A2415" s="11" t="str">
        <f aca="false">IF(C2415="","",ROW()-4)</f>
        <v/>
      </c>
      <c r="B2415" s="12"/>
      <c r="C2415" s="13"/>
      <c r="D2415" s="23" t="str">
        <f aca="false">IF(C2415="","",IFERROR(INDEX(LOTES!$D$5:$D$1004,MATCH(C2415,LOTES!$F$5:$F$1004,0)),"¿Lote?"))</f>
        <v/>
      </c>
      <c r="E2415" s="11" t="str">
        <f aca="false">IF(C2415="","",IFERROR(INDEX(LOTES!$C$5:$C$1004,MATCH(C2415,LOTES!$F$5:$F$1004,0)),""))</f>
        <v/>
      </c>
      <c r="F2415" s="24" t="str">
        <f aca="false">IF(C2415="","",IFERROR(INDEX(LOTES!$B$5:$B$1004,MATCH(C2415,LOTES!$F$5:$F$1004,0)),""))</f>
        <v/>
      </c>
      <c r="G2415" s="15" t="str">
        <f aca="false">IF(OR(B2415="",F2415=""),"",B2415-F2415)</f>
        <v/>
      </c>
      <c r="H2415" s="13"/>
      <c r="I2415" s="13"/>
      <c r="J2415" s="13"/>
      <c r="K2415" s="25"/>
      <c r="L2415" s="25"/>
      <c r="M2415" s="25"/>
      <c r="N2415" s="25"/>
      <c r="O2415" s="26"/>
      <c r="P2415" s="16" t="str">
        <f aca="false">IF(O2415="","",IFERROR(1/(1/(IF(K2415="",INDEX(CONFIG!$F$5:$F$14,MATCH(D2415,CONFIG!$D$5:$D$14,0)),K2415)*IF(M2415="",INDEX(CONFIG!$H$5:$H$14,MATCH(D2415,CONFIG!$D$5:$D$14,0)),M2415))),""))</f>
        <v/>
      </c>
      <c r="Q2415" s="16" t="str">
        <f aca="false">IF(OR(O2415="",P2415=""),"",O2415/P2415)</f>
        <v/>
      </c>
      <c r="R2415" s="16" t="str">
        <f aca="false">IF(Q2415="","",Q2415*0.0980665)</f>
        <v/>
      </c>
      <c r="S2415" s="16" t="str">
        <f aca="false">IF(Q2415="","",IFERROR(Q2415/(1/(1/INDEX(CONFIG!$I$5:$I$14,MATCH(D2415,CONFIG!$D$5:$D$14,0)))),""))</f>
        <v/>
      </c>
      <c r="T2415" s="13"/>
      <c r="U2415" s="13"/>
      <c r="V2415" s="13"/>
      <c r="W2415" s="13"/>
      <c r="X2415" s="22" t="str">
        <f aca="false">IF(Q2415="","",Q2415^2)</f>
        <v/>
      </c>
      <c r="Y2415" s="22" t="str">
        <f aca="false">IF(AND(C2415&lt;&gt;"",C2415=CERTIFICADO!$E$4,OR(CERTIFICADO!$E$5="",B2415=CERTIFICADO!$E$5)),MAX($Y$4:Y2414)+1,"")</f>
        <v/>
      </c>
    </row>
    <row r="2416" customFormat="false" ht="15" hidden="false" customHeight="false" outlineLevel="0" collapsed="false">
      <c r="A2416" s="11" t="str">
        <f aca="false">IF(C2416="","",ROW()-4)</f>
        <v/>
      </c>
      <c r="B2416" s="12"/>
      <c r="C2416" s="13"/>
      <c r="D2416" s="23" t="str">
        <f aca="false">IF(C2416="","",IFERROR(INDEX(LOTES!$D$5:$D$1004,MATCH(C2416,LOTES!$F$5:$F$1004,0)),"¿Lote?"))</f>
        <v/>
      </c>
      <c r="E2416" s="11" t="str">
        <f aca="false">IF(C2416="","",IFERROR(INDEX(LOTES!$C$5:$C$1004,MATCH(C2416,LOTES!$F$5:$F$1004,0)),""))</f>
        <v/>
      </c>
      <c r="F2416" s="24" t="str">
        <f aca="false">IF(C2416="","",IFERROR(INDEX(LOTES!$B$5:$B$1004,MATCH(C2416,LOTES!$F$5:$F$1004,0)),""))</f>
        <v/>
      </c>
      <c r="G2416" s="15" t="str">
        <f aca="false">IF(OR(B2416="",F2416=""),"",B2416-F2416)</f>
        <v/>
      </c>
      <c r="H2416" s="13"/>
      <c r="I2416" s="13"/>
      <c r="J2416" s="13"/>
      <c r="K2416" s="25"/>
      <c r="L2416" s="25"/>
      <c r="M2416" s="25"/>
      <c r="N2416" s="25"/>
      <c r="O2416" s="26"/>
      <c r="P2416" s="16" t="str">
        <f aca="false">IF(O2416="","",IFERROR(1/(1/(IF(K2416="",INDEX(CONFIG!$F$5:$F$14,MATCH(D2416,CONFIG!$D$5:$D$14,0)),K2416)*IF(M2416="",INDEX(CONFIG!$H$5:$H$14,MATCH(D2416,CONFIG!$D$5:$D$14,0)),M2416))),""))</f>
        <v/>
      </c>
      <c r="Q2416" s="16" t="str">
        <f aca="false">IF(OR(O2416="",P2416=""),"",O2416/P2416)</f>
        <v/>
      </c>
      <c r="R2416" s="16" t="str">
        <f aca="false">IF(Q2416="","",Q2416*0.0980665)</f>
        <v/>
      </c>
      <c r="S2416" s="16" t="str">
        <f aca="false">IF(Q2416="","",IFERROR(Q2416/(1/(1/INDEX(CONFIG!$I$5:$I$14,MATCH(D2416,CONFIG!$D$5:$D$14,0)))),""))</f>
        <v/>
      </c>
      <c r="T2416" s="13"/>
      <c r="U2416" s="13"/>
      <c r="V2416" s="13"/>
      <c r="W2416" s="13"/>
      <c r="X2416" s="22" t="str">
        <f aca="false">IF(Q2416="","",Q2416^2)</f>
        <v/>
      </c>
      <c r="Y2416" s="22" t="str">
        <f aca="false">IF(AND(C2416&lt;&gt;"",C2416=CERTIFICADO!$E$4,OR(CERTIFICADO!$E$5="",B2416=CERTIFICADO!$E$5)),MAX($Y$4:Y2415)+1,"")</f>
        <v/>
      </c>
    </row>
    <row r="2417" customFormat="false" ht="15" hidden="false" customHeight="false" outlineLevel="0" collapsed="false">
      <c r="A2417" s="11" t="str">
        <f aca="false">IF(C2417="","",ROW()-4)</f>
        <v/>
      </c>
      <c r="B2417" s="12"/>
      <c r="C2417" s="13"/>
      <c r="D2417" s="23" t="str">
        <f aca="false">IF(C2417="","",IFERROR(INDEX(LOTES!$D$5:$D$1004,MATCH(C2417,LOTES!$F$5:$F$1004,0)),"¿Lote?"))</f>
        <v/>
      </c>
      <c r="E2417" s="11" t="str">
        <f aca="false">IF(C2417="","",IFERROR(INDEX(LOTES!$C$5:$C$1004,MATCH(C2417,LOTES!$F$5:$F$1004,0)),""))</f>
        <v/>
      </c>
      <c r="F2417" s="24" t="str">
        <f aca="false">IF(C2417="","",IFERROR(INDEX(LOTES!$B$5:$B$1004,MATCH(C2417,LOTES!$F$5:$F$1004,0)),""))</f>
        <v/>
      </c>
      <c r="G2417" s="15" t="str">
        <f aca="false">IF(OR(B2417="",F2417=""),"",B2417-F2417)</f>
        <v/>
      </c>
      <c r="H2417" s="13"/>
      <c r="I2417" s="13"/>
      <c r="J2417" s="13"/>
      <c r="K2417" s="25"/>
      <c r="L2417" s="25"/>
      <c r="M2417" s="25"/>
      <c r="N2417" s="25"/>
      <c r="O2417" s="26"/>
      <c r="P2417" s="16" t="str">
        <f aca="false">IF(O2417="","",IFERROR(1/(1/(IF(K2417="",INDEX(CONFIG!$F$5:$F$14,MATCH(D2417,CONFIG!$D$5:$D$14,0)),K2417)*IF(M2417="",INDEX(CONFIG!$H$5:$H$14,MATCH(D2417,CONFIG!$D$5:$D$14,0)),M2417))),""))</f>
        <v/>
      </c>
      <c r="Q2417" s="16" t="str">
        <f aca="false">IF(OR(O2417="",P2417=""),"",O2417/P2417)</f>
        <v/>
      </c>
      <c r="R2417" s="16" t="str">
        <f aca="false">IF(Q2417="","",Q2417*0.0980665)</f>
        <v/>
      </c>
      <c r="S2417" s="16" t="str">
        <f aca="false">IF(Q2417="","",IFERROR(Q2417/(1/(1/INDEX(CONFIG!$I$5:$I$14,MATCH(D2417,CONFIG!$D$5:$D$14,0)))),""))</f>
        <v/>
      </c>
      <c r="T2417" s="13"/>
      <c r="U2417" s="13"/>
      <c r="V2417" s="13"/>
      <c r="W2417" s="13"/>
      <c r="X2417" s="22" t="str">
        <f aca="false">IF(Q2417="","",Q2417^2)</f>
        <v/>
      </c>
      <c r="Y2417" s="22" t="str">
        <f aca="false">IF(AND(C2417&lt;&gt;"",C2417=CERTIFICADO!$E$4,OR(CERTIFICADO!$E$5="",B2417=CERTIFICADO!$E$5)),MAX($Y$4:Y2416)+1,"")</f>
        <v/>
      </c>
    </row>
    <row r="2418" customFormat="false" ht="15" hidden="false" customHeight="false" outlineLevel="0" collapsed="false">
      <c r="A2418" s="11" t="str">
        <f aca="false">IF(C2418="","",ROW()-4)</f>
        <v/>
      </c>
      <c r="B2418" s="12"/>
      <c r="C2418" s="13"/>
      <c r="D2418" s="23" t="str">
        <f aca="false">IF(C2418="","",IFERROR(INDEX(LOTES!$D$5:$D$1004,MATCH(C2418,LOTES!$F$5:$F$1004,0)),"¿Lote?"))</f>
        <v/>
      </c>
      <c r="E2418" s="11" t="str">
        <f aca="false">IF(C2418="","",IFERROR(INDEX(LOTES!$C$5:$C$1004,MATCH(C2418,LOTES!$F$5:$F$1004,0)),""))</f>
        <v/>
      </c>
      <c r="F2418" s="24" t="str">
        <f aca="false">IF(C2418="","",IFERROR(INDEX(LOTES!$B$5:$B$1004,MATCH(C2418,LOTES!$F$5:$F$1004,0)),""))</f>
        <v/>
      </c>
      <c r="G2418" s="15" t="str">
        <f aca="false">IF(OR(B2418="",F2418=""),"",B2418-F2418)</f>
        <v/>
      </c>
      <c r="H2418" s="13"/>
      <c r="I2418" s="13"/>
      <c r="J2418" s="13"/>
      <c r="K2418" s="25"/>
      <c r="L2418" s="25"/>
      <c r="M2418" s="25"/>
      <c r="N2418" s="25"/>
      <c r="O2418" s="26"/>
      <c r="P2418" s="16" t="str">
        <f aca="false">IF(O2418="","",IFERROR(1/(1/(IF(K2418="",INDEX(CONFIG!$F$5:$F$14,MATCH(D2418,CONFIG!$D$5:$D$14,0)),K2418)*IF(M2418="",INDEX(CONFIG!$H$5:$H$14,MATCH(D2418,CONFIG!$D$5:$D$14,0)),M2418))),""))</f>
        <v/>
      </c>
      <c r="Q2418" s="16" t="str">
        <f aca="false">IF(OR(O2418="",P2418=""),"",O2418/P2418)</f>
        <v/>
      </c>
      <c r="R2418" s="16" t="str">
        <f aca="false">IF(Q2418="","",Q2418*0.0980665)</f>
        <v/>
      </c>
      <c r="S2418" s="16" t="str">
        <f aca="false">IF(Q2418="","",IFERROR(Q2418/(1/(1/INDEX(CONFIG!$I$5:$I$14,MATCH(D2418,CONFIG!$D$5:$D$14,0)))),""))</f>
        <v/>
      </c>
      <c r="T2418" s="13"/>
      <c r="U2418" s="13"/>
      <c r="V2418" s="13"/>
      <c r="W2418" s="13"/>
      <c r="X2418" s="22" t="str">
        <f aca="false">IF(Q2418="","",Q2418^2)</f>
        <v/>
      </c>
      <c r="Y2418" s="22" t="str">
        <f aca="false">IF(AND(C2418&lt;&gt;"",C2418=CERTIFICADO!$E$4,OR(CERTIFICADO!$E$5="",B2418=CERTIFICADO!$E$5)),MAX($Y$4:Y2417)+1,"")</f>
        <v/>
      </c>
    </row>
    <row r="2419" customFormat="false" ht="15" hidden="false" customHeight="false" outlineLevel="0" collapsed="false">
      <c r="A2419" s="11" t="str">
        <f aca="false">IF(C2419="","",ROW()-4)</f>
        <v/>
      </c>
      <c r="B2419" s="12"/>
      <c r="C2419" s="13"/>
      <c r="D2419" s="23" t="str">
        <f aca="false">IF(C2419="","",IFERROR(INDEX(LOTES!$D$5:$D$1004,MATCH(C2419,LOTES!$F$5:$F$1004,0)),"¿Lote?"))</f>
        <v/>
      </c>
      <c r="E2419" s="11" t="str">
        <f aca="false">IF(C2419="","",IFERROR(INDEX(LOTES!$C$5:$C$1004,MATCH(C2419,LOTES!$F$5:$F$1004,0)),""))</f>
        <v/>
      </c>
      <c r="F2419" s="24" t="str">
        <f aca="false">IF(C2419="","",IFERROR(INDEX(LOTES!$B$5:$B$1004,MATCH(C2419,LOTES!$F$5:$F$1004,0)),""))</f>
        <v/>
      </c>
      <c r="G2419" s="15" t="str">
        <f aca="false">IF(OR(B2419="",F2419=""),"",B2419-F2419)</f>
        <v/>
      </c>
      <c r="H2419" s="13"/>
      <c r="I2419" s="13"/>
      <c r="J2419" s="13"/>
      <c r="K2419" s="25"/>
      <c r="L2419" s="25"/>
      <c r="M2419" s="25"/>
      <c r="N2419" s="25"/>
      <c r="O2419" s="26"/>
      <c r="P2419" s="16" t="str">
        <f aca="false">IF(O2419="","",IFERROR(1/(1/(IF(K2419="",INDEX(CONFIG!$F$5:$F$14,MATCH(D2419,CONFIG!$D$5:$D$14,0)),K2419)*IF(M2419="",INDEX(CONFIG!$H$5:$H$14,MATCH(D2419,CONFIG!$D$5:$D$14,0)),M2419))),""))</f>
        <v/>
      </c>
      <c r="Q2419" s="16" t="str">
        <f aca="false">IF(OR(O2419="",P2419=""),"",O2419/P2419)</f>
        <v/>
      </c>
      <c r="R2419" s="16" t="str">
        <f aca="false">IF(Q2419="","",Q2419*0.0980665)</f>
        <v/>
      </c>
      <c r="S2419" s="16" t="str">
        <f aca="false">IF(Q2419="","",IFERROR(Q2419/(1/(1/INDEX(CONFIG!$I$5:$I$14,MATCH(D2419,CONFIG!$D$5:$D$14,0)))),""))</f>
        <v/>
      </c>
      <c r="T2419" s="13"/>
      <c r="U2419" s="13"/>
      <c r="V2419" s="13"/>
      <c r="W2419" s="13"/>
      <c r="X2419" s="22" t="str">
        <f aca="false">IF(Q2419="","",Q2419^2)</f>
        <v/>
      </c>
      <c r="Y2419" s="22" t="str">
        <f aca="false">IF(AND(C2419&lt;&gt;"",C2419=CERTIFICADO!$E$4,OR(CERTIFICADO!$E$5="",B2419=CERTIFICADO!$E$5)),MAX($Y$4:Y2418)+1,"")</f>
        <v/>
      </c>
    </row>
    <row r="2420" customFormat="false" ht="15" hidden="false" customHeight="false" outlineLevel="0" collapsed="false">
      <c r="A2420" s="11" t="str">
        <f aca="false">IF(C2420="","",ROW()-4)</f>
        <v/>
      </c>
      <c r="B2420" s="12"/>
      <c r="C2420" s="13"/>
      <c r="D2420" s="23" t="str">
        <f aca="false">IF(C2420="","",IFERROR(INDEX(LOTES!$D$5:$D$1004,MATCH(C2420,LOTES!$F$5:$F$1004,0)),"¿Lote?"))</f>
        <v/>
      </c>
      <c r="E2420" s="11" t="str">
        <f aca="false">IF(C2420="","",IFERROR(INDEX(LOTES!$C$5:$C$1004,MATCH(C2420,LOTES!$F$5:$F$1004,0)),""))</f>
        <v/>
      </c>
      <c r="F2420" s="24" t="str">
        <f aca="false">IF(C2420="","",IFERROR(INDEX(LOTES!$B$5:$B$1004,MATCH(C2420,LOTES!$F$5:$F$1004,0)),""))</f>
        <v/>
      </c>
      <c r="G2420" s="15" t="str">
        <f aca="false">IF(OR(B2420="",F2420=""),"",B2420-F2420)</f>
        <v/>
      </c>
      <c r="H2420" s="13"/>
      <c r="I2420" s="13"/>
      <c r="J2420" s="13"/>
      <c r="K2420" s="25"/>
      <c r="L2420" s="25"/>
      <c r="M2420" s="25"/>
      <c r="N2420" s="25"/>
      <c r="O2420" s="26"/>
      <c r="P2420" s="16" t="str">
        <f aca="false">IF(O2420="","",IFERROR(1/(1/(IF(K2420="",INDEX(CONFIG!$F$5:$F$14,MATCH(D2420,CONFIG!$D$5:$D$14,0)),K2420)*IF(M2420="",INDEX(CONFIG!$H$5:$H$14,MATCH(D2420,CONFIG!$D$5:$D$14,0)),M2420))),""))</f>
        <v/>
      </c>
      <c r="Q2420" s="16" t="str">
        <f aca="false">IF(OR(O2420="",P2420=""),"",O2420/P2420)</f>
        <v/>
      </c>
      <c r="R2420" s="16" t="str">
        <f aca="false">IF(Q2420="","",Q2420*0.0980665)</f>
        <v/>
      </c>
      <c r="S2420" s="16" t="str">
        <f aca="false">IF(Q2420="","",IFERROR(Q2420/(1/(1/INDEX(CONFIG!$I$5:$I$14,MATCH(D2420,CONFIG!$D$5:$D$14,0)))),""))</f>
        <v/>
      </c>
      <c r="T2420" s="13"/>
      <c r="U2420" s="13"/>
      <c r="V2420" s="13"/>
      <c r="W2420" s="13"/>
      <c r="X2420" s="22" t="str">
        <f aca="false">IF(Q2420="","",Q2420^2)</f>
        <v/>
      </c>
      <c r="Y2420" s="22" t="str">
        <f aca="false">IF(AND(C2420&lt;&gt;"",C2420=CERTIFICADO!$E$4,OR(CERTIFICADO!$E$5="",B2420=CERTIFICADO!$E$5)),MAX($Y$4:Y2419)+1,"")</f>
        <v/>
      </c>
    </row>
    <row r="2421" customFormat="false" ht="15" hidden="false" customHeight="false" outlineLevel="0" collapsed="false">
      <c r="A2421" s="11" t="str">
        <f aca="false">IF(C2421="","",ROW()-4)</f>
        <v/>
      </c>
      <c r="B2421" s="12"/>
      <c r="C2421" s="13"/>
      <c r="D2421" s="23" t="str">
        <f aca="false">IF(C2421="","",IFERROR(INDEX(LOTES!$D$5:$D$1004,MATCH(C2421,LOTES!$F$5:$F$1004,0)),"¿Lote?"))</f>
        <v/>
      </c>
      <c r="E2421" s="11" t="str">
        <f aca="false">IF(C2421="","",IFERROR(INDEX(LOTES!$C$5:$C$1004,MATCH(C2421,LOTES!$F$5:$F$1004,0)),""))</f>
        <v/>
      </c>
      <c r="F2421" s="24" t="str">
        <f aca="false">IF(C2421="","",IFERROR(INDEX(LOTES!$B$5:$B$1004,MATCH(C2421,LOTES!$F$5:$F$1004,0)),""))</f>
        <v/>
      </c>
      <c r="G2421" s="15" t="str">
        <f aca="false">IF(OR(B2421="",F2421=""),"",B2421-F2421)</f>
        <v/>
      </c>
      <c r="H2421" s="13"/>
      <c r="I2421" s="13"/>
      <c r="J2421" s="13"/>
      <c r="K2421" s="25"/>
      <c r="L2421" s="25"/>
      <c r="M2421" s="25"/>
      <c r="N2421" s="25"/>
      <c r="O2421" s="26"/>
      <c r="P2421" s="16" t="str">
        <f aca="false">IF(O2421="","",IFERROR(1/(1/(IF(K2421="",INDEX(CONFIG!$F$5:$F$14,MATCH(D2421,CONFIG!$D$5:$D$14,0)),K2421)*IF(M2421="",INDEX(CONFIG!$H$5:$H$14,MATCH(D2421,CONFIG!$D$5:$D$14,0)),M2421))),""))</f>
        <v/>
      </c>
      <c r="Q2421" s="16" t="str">
        <f aca="false">IF(OR(O2421="",P2421=""),"",O2421/P2421)</f>
        <v/>
      </c>
      <c r="R2421" s="16" t="str">
        <f aca="false">IF(Q2421="","",Q2421*0.0980665)</f>
        <v/>
      </c>
      <c r="S2421" s="16" t="str">
        <f aca="false">IF(Q2421="","",IFERROR(Q2421/(1/(1/INDEX(CONFIG!$I$5:$I$14,MATCH(D2421,CONFIG!$D$5:$D$14,0)))),""))</f>
        <v/>
      </c>
      <c r="T2421" s="13"/>
      <c r="U2421" s="13"/>
      <c r="V2421" s="13"/>
      <c r="W2421" s="13"/>
      <c r="X2421" s="22" t="str">
        <f aca="false">IF(Q2421="","",Q2421^2)</f>
        <v/>
      </c>
      <c r="Y2421" s="22" t="str">
        <f aca="false">IF(AND(C2421&lt;&gt;"",C2421=CERTIFICADO!$E$4,OR(CERTIFICADO!$E$5="",B2421=CERTIFICADO!$E$5)),MAX($Y$4:Y2420)+1,"")</f>
        <v/>
      </c>
    </row>
    <row r="2422" customFormat="false" ht="15" hidden="false" customHeight="false" outlineLevel="0" collapsed="false">
      <c r="A2422" s="11" t="str">
        <f aca="false">IF(C2422="","",ROW()-4)</f>
        <v/>
      </c>
      <c r="B2422" s="12"/>
      <c r="C2422" s="13"/>
      <c r="D2422" s="23" t="str">
        <f aca="false">IF(C2422="","",IFERROR(INDEX(LOTES!$D$5:$D$1004,MATCH(C2422,LOTES!$F$5:$F$1004,0)),"¿Lote?"))</f>
        <v/>
      </c>
      <c r="E2422" s="11" t="str">
        <f aca="false">IF(C2422="","",IFERROR(INDEX(LOTES!$C$5:$C$1004,MATCH(C2422,LOTES!$F$5:$F$1004,0)),""))</f>
        <v/>
      </c>
      <c r="F2422" s="24" t="str">
        <f aca="false">IF(C2422="","",IFERROR(INDEX(LOTES!$B$5:$B$1004,MATCH(C2422,LOTES!$F$5:$F$1004,0)),""))</f>
        <v/>
      </c>
      <c r="G2422" s="15" t="str">
        <f aca="false">IF(OR(B2422="",F2422=""),"",B2422-F2422)</f>
        <v/>
      </c>
      <c r="H2422" s="13"/>
      <c r="I2422" s="13"/>
      <c r="J2422" s="13"/>
      <c r="K2422" s="25"/>
      <c r="L2422" s="25"/>
      <c r="M2422" s="25"/>
      <c r="N2422" s="25"/>
      <c r="O2422" s="26"/>
      <c r="P2422" s="16" t="str">
        <f aca="false">IF(O2422="","",IFERROR(1/(1/(IF(K2422="",INDEX(CONFIG!$F$5:$F$14,MATCH(D2422,CONFIG!$D$5:$D$14,0)),K2422)*IF(M2422="",INDEX(CONFIG!$H$5:$H$14,MATCH(D2422,CONFIG!$D$5:$D$14,0)),M2422))),""))</f>
        <v/>
      </c>
      <c r="Q2422" s="16" t="str">
        <f aca="false">IF(OR(O2422="",P2422=""),"",O2422/P2422)</f>
        <v/>
      </c>
      <c r="R2422" s="16" t="str">
        <f aca="false">IF(Q2422="","",Q2422*0.0980665)</f>
        <v/>
      </c>
      <c r="S2422" s="16" t="str">
        <f aca="false">IF(Q2422="","",IFERROR(Q2422/(1/(1/INDEX(CONFIG!$I$5:$I$14,MATCH(D2422,CONFIG!$D$5:$D$14,0)))),""))</f>
        <v/>
      </c>
      <c r="T2422" s="13"/>
      <c r="U2422" s="13"/>
      <c r="V2422" s="13"/>
      <c r="W2422" s="13"/>
      <c r="X2422" s="22" t="str">
        <f aca="false">IF(Q2422="","",Q2422^2)</f>
        <v/>
      </c>
      <c r="Y2422" s="22" t="str">
        <f aca="false">IF(AND(C2422&lt;&gt;"",C2422=CERTIFICADO!$E$4,OR(CERTIFICADO!$E$5="",B2422=CERTIFICADO!$E$5)),MAX($Y$4:Y2421)+1,"")</f>
        <v/>
      </c>
    </row>
    <row r="2423" customFormat="false" ht="15" hidden="false" customHeight="false" outlineLevel="0" collapsed="false">
      <c r="A2423" s="11" t="str">
        <f aca="false">IF(C2423="","",ROW()-4)</f>
        <v/>
      </c>
      <c r="B2423" s="12"/>
      <c r="C2423" s="13"/>
      <c r="D2423" s="23" t="str">
        <f aca="false">IF(C2423="","",IFERROR(INDEX(LOTES!$D$5:$D$1004,MATCH(C2423,LOTES!$F$5:$F$1004,0)),"¿Lote?"))</f>
        <v/>
      </c>
      <c r="E2423" s="11" t="str">
        <f aca="false">IF(C2423="","",IFERROR(INDEX(LOTES!$C$5:$C$1004,MATCH(C2423,LOTES!$F$5:$F$1004,0)),""))</f>
        <v/>
      </c>
      <c r="F2423" s="24" t="str">
        <f aca="false">IF(C2423="","",IFERROR(INDEX(LOTES!$B$5:$B$1004,MATCH(C2423,LOTES!$F$5:$F$1004,0)),""))</f>
        <v/>
      </c>
      <c r="G2423" s="15" t="str">
        <f aca="false">IF(OR(B2423="",F2423=""),"",B2423-F2423)</f>
        <v/>
      </c>
      <c r="H2423" s="13"/>
      <c r="I2423" s="13"/>
      <c r="J2423" s="13"/>
      <c r="K2423" s="25"/>
      <c r="L2423" s="25"/>
      <c r="M2423" s="25"/>
      <c r="N2423" s="25"/>
      <c r="O2423" s="26"/>
      <c r="P2423" s="16" t="str">
        <f aca="false">IF(O2423="","",IFERROR(1/(1/(IF(K2423="",INDEX(CONFIG!$F$5:$F$14,MATCH(D2423,CONFIG!$D$5:$D$14,0)),K2423)*IF(M2423="",INDEX(CONFIG!$H$5:$H$14,MATCH(D2423,CONFIG!$D$5:$D$14,0)),M2423))),""))</f>
        <v/>
      </c>
      <c r="Q2423" s="16" t="str">
        <f aca="false">IF(OR(O2423="",P2423=""),"",O2423/P2423)</f>
        <v/>
      </c>
      <c r="R2423" s="16" t="str">
        <f aca="false">IF(Q2423="","",Q2423*0.0980665)</f>
        <v/>
      </c>
      <c r="S2423" s="16" t="str">
        <f aca="false">IF(Q2423="","",IFERROR(Q2423/(1/(1/INDEX(CONFIG!$I$5:$I$14,MATCH(D2423,CONFIG!$D$5:$D$14,0)))),""))</f>
        <v/>
      </c>
      <c r="T2423" s="13"/>
      <c r="U2423" s="13"/>
      <c r="V2423" s="13"/>
      <c r="W2423" s="13"/>
      <c r="X2423" s="22" t="str">
        <f aca="false">IF(Q2423="","",Q2423^2)</f>
        <v/>
      </c>
      <c r="Y2423" s="22" t="str">
        <f aca="false">IF(AND(C2423&lt;&gt;"",C2423=CERTIFICADO!$E$4,OR(CERTIFICADO!$E$5="",B2423=CERTIFICADO!$E$5)),MAX($Y$4:Y2422)+1,"")</f>
        <v/>
      </c>
    </row>
    <row r="2424" customFormat="false" ht="15" hidden="false" customHeight="false" outlineLevel="0" collapsed="false">
      <c r="A2424" s="11" t="str">
        <f aca="false">IF(C2424="","",ROW()-4)</f>
        <v/>
      </c>
      <c r="B2424" s="12"/>
      <c r="C2424" s="13"/>
      <c r="D2424" s="23" t="str">
        <f aca="false">IF(C2424="","",IFERROR(INDEX(LOTES!$D$5:$D$1004,MATCH(C2424,LOTES!$F$5:$F$1004,0)),"¿Lote?"))</f>
        <v/>
      </c>
      <c r="E2424" s="11" t="str">
        <f aca="false">IF(C2424="","",IFERROR(INDEX(LOTES!$C$5:$C$1004,MATCH(C2424,LOTES!$F$5:$F$1004,0)),""))</f>
        <v/>
      </c>
      <c r="F2424" s="24" t="str">
        <f aca="false">IF(C2424="","",IFERROR(INDEX(LOTES!$B$5:$B$1004,MATCH(C2424,LOTES!$F$5:$F$1004,0)),""))</f>
        <v/>
      </c>
      <c r="G2424" s="15" t="str">
        <f aca="false">IF(OR(B2424="",F2424=""),"",B2424-F2424)</f>
        <v/>
      </c>
      <c r="H2424" s="13"/>
      <c r="I2424" s="13"/>
      <c r="J2424" s="13"/>
      <c r="K2424" s="25"/>
      <c r="L2424" s="25"/>
      <c r="M2424" s="25"/>
      <c r="N2424" s="25"/>
      <c r="O2424" s="26"/>
      <c r="P2424" s="16" t="str">
        <f aca="false">IF(O2424="","",IFERROR(1/(1/(IF(K2424="",INDEX(CONFIG!$F$5:$F$14,MATCH(D2424,CONFIG!$D$5:$D$14,0)),K2424)*IF(M2424="",INDEX(CONFIG!$H$5:$H$14,MATCH(D2424,CONFIG!$D$5:$D$14,0)),M2424))),""))</f>
        <v/>
      </c>
      <c r="Q2424" s="16" t="str">
        <f aca="false">IF(OR(O2424="",P2424=""),"",O2424/P2424)</f>
        <v/>
      </c>
      <c r="R2424" s="16" t="str">
        <f aca="false">IF(Q2424="","",Q2424*0.0980665)</f>
        <v/>
      </c>
      <c r="S2424" s="16" t="str">
        <f aca="false">IF(Q2424="","",IFERROR(Q2424/(1/(1/INDEX(CONFIG!$I$5:$I$14,MATCH(D2424,CONFIG!$D$5:$D$14,0)))),""))</f>
        <v/>
      </c>
      <c r="T2424" s="13"/>
      <c r="U2424" s="13"/>
      <c r="V2424" s="13"/>
      <c r="W2424" s="13"/>
      <c r="X2424" s="22" t="str">
        <f aca="false">IF(Q2424="","",Q2424^2)</f>
        <v/>
      </c>
      <c r="Y2424" s="22" t="str">
        <f aca="false">IF(AND(C2424&lt;&gt;"",C2424=CERTIFICADO!$E$4,OR(CERTIFICADO!$E$5="",B2424=CERTIFICADO!$E$5)),MAX($Y$4:Y2423)+1,"")</f>
        <v/>
      </c>
    </row>
    <row r="2425" customFormat="false" ht="15" hidden="false" customHeight="false" outlineLevel="0" collapsed="false">
      <c r="A2425" s="11" t="str">
        <f aca="false">IF(C2425="","",ROW()-4)</f>
        <v/>
      </c>
      <c r="B2425" s="12"/>
      <c r="C2425" s="13"/>
      <c r="D2425" s="23" t="str">
        <f aca="false">IF(C2425="","",IFERROR(INDEX(LOTES!$D$5:$D$1004,MATCH(C2425,LOTES!$F$5:$F$1004,0)),"¿Lote?"))</f>
        <v/>
      </c>
      <c r="E2425" s="11" t="str">
        <f aca="false">IF(C2425="","",IFERROR(INDEX(LOTES!$C$5:$C$1004,MATCH(C2425,LOTES!$F$5:$F$1004,0)),""))</f>
        <v/>
      </c>
      <c r="F2425" s="24" t="str">
        <f aca="false">IF(C2425="","",IFERROR(INDEX(LOTES!$B$5:$B$1004,MATCH(C2425,LOTES!$F$5:$F$1004,0)),""))</f>
        <v/>
      </c>
      <c r="G2425" s="15" t="str">
        <f aca="false">IF(OR(B2425="",F2425=""),"",B2425-F2425)</f>
        <v/>
      </c>
      <c r="H2425" s="13"/>
      <c r="I2425" s="13"/>
      <c r="J2425" s="13"/>
      <c r="K2425" s="25"/>
      <c r="L2425" s="25"/>
      <c r="M2425" s="25"/>
      <c r="N2425" s="25"/>
      <c r="O2425" s="26"/>
      <c r="P2425" s="16" t="str">
        <f aca="false">IF(O2425="","",IFERROR(1/(1/(IF(K2425="",INDEX(CONFIG!$F$5:$F$14,MATCH(D2425,CONFIG!$D$5:$D$14,0)),K2425)*IF(M2425="",INDEX(CONFIG!$H$5:$H$14,MATCH(D2425,CONFIG!$D$5:$D$14,0)),M2425))),""))</f>
        <v/>
      </c>
      <c r="Q2425" s="16" t="str">
        <f aca="false">IF(OR(O2425="",P2425=""),"",O2425/P2425)</f>
        <v/>
      </c>
      <c r="R2425" s="16" t="str">
        <f aca="false">IF(Q2425="","",Q2425*0.0980665)</f>
        <v/>
      </c>
      <c r="S2425" s="16" t="str">
        <f aca="false">IF(Q2425="","",IFERROR(Q2425/(1/(1/INDEX(CONFIG!$I$5:$I$14,MATCH(D2425,CONFIG!$D$5:$D$14,0)))),""))</f>
        <v/>
      </c>
      <c r="T2425" s="13"/>
      <c r="U2425" s="13"/>
      <c r="V2425" s="13"/>
      <c r="W2425" s="13"/>
      <c r="X2425" s="22" t="str">
        <f aca="false">IF(Q2425="","",Q2425^2)</f>
        <v/>
      </c>
      <c r="Y2425" s="22" t="str">
        <f aca="false">IF(AND(C2425&lt;&gt;"",C2425=CERTIFICADO!$E$4,OR(CERTIFICADO!$E$5="",B2425=CERTIFICADO!$E$5)),MAX($Y$4:Y2424)+1,"")</f>
        <v/>
      </c>
    </row>
    <row r="2426" customFormat="false" ht="15" hidden="false" customHeight="false" outlineLevel="0" collapsed="false">
      <c r="A2426" s="11" t="str">
        <f aca="false">IF(C2426="","",ROW()-4)</f>
        <v/>
      </c>
      <c r="B2426" s="12"/>
      <c r="C2426" s="13"/>
      <c r="D2426" s="23" t="str">
        <f aca="false">IF(C2426="","",IFERROR(INDEX(LOTES!$D$5:$D$1004,MATCH(C2426,LOTES!$F$5:$F$1004,0)),"¿Lote?"))</f>
        <v/>
      </c>
      <c r="E2426" s="11" t="str">
        <f aca="false">IF(C2426="","",IFERROR(INDEX(LOTES!$C$5:$C$1004,MATCH(C2426,LOTES!$F$5:$F$1004,0)),""))</f>
        <v/>
      </c>
      <c r="F2426" s="24" t="str">
        <f aca="false">IF(C2426="","",IFERROR(INDEX(LOTES!$B$5:$B$1004,MATCH(C2426,LOTES!$F$5:$F$1004,0)),""))</f>
        <v/>
      </c>
      <c r="G2426" s="15" t="str">
        <f aca="false">IF(OR(B2426="",F2426=""),"",B2426-F2426)</f>
        <v/>
      </c>
      <c r="H2426" s="13"/>
      <c r="I2426" s="13"/>
      <c r="J2426" s="13"/>
      <c r="K2426" s="25"/>
      <c r="L2426" s="25"/>
      <c r="M2426" s="25"/>
      <c r="N2426" s="25"/>
      <c r="O2426" s="26"/>
      <c r="P2426" s="16" t="str">
        <f aca="false">IF(O2426="","",IFERROR(1/(1/(IF(K2426="",INDEX(CONFIG!$F$5:$F$14,MATCH(D2426,CONFIG!$D$5:$D$14,0)),K2426)*IF(M2426="",INDEX(CONFIG!$H$5:$H$14,MATCH(D2426,CONFIG!$D$5:$D$14,0)),M2426))),""))</f>
        <v/>
      </c>
      <c r="Q2426" s="16" t="str">
        <f aca="false">IF(OR(O2426="",P2426=""),"",O2426/P2426)</f>
        <v/>
      </c>
      <c r="R2426" s="16" t="str">
        <f aca="false">IF(Q2426="","",Q2426*0.0980665)</f>
        <v/>
      </c>
      <c r="S2426" s="16" t="str">
        <f aca="false">IF(Q2426="","",IFERROR(Q2426/(1/(1/INDEX(CONFIG!$I$5:$I$14,MATCH(D2426,CONFIG!$D$5:$D$14,0)))),""))</f>
        <v/>
      </c>
      <c r="T2426" s="13"/>
      <c r="U2426" s="13"/>
      <c r="V2426" s="13"/>
      <c r="W2426" s="13"/>
      <c r="X2426" s="22" t="str">
        <f aca="false">IF(Q2426="","",Q2426^2)</f>
        <v/>
      </c>
      <c r="Y2426" s="22" t="str">
        <f aca="false">IF(AND(C2426&lt;&gt;"",C2426=CERTIFICADO!$E$4,OR(CERTIFICADO!$E$5="",B2426=CERTIFICADO!$E$5)),MAX($Y$4:Y2425)+1,"")</f>
        <v/>
      </c>
    </row>
    <row r="2427" customFormat="false" ht="15" hidden="false" customHeight="false" outlineLevel="0" collapsed="false">
      <c r="A2427" s="11" t="str">
        <f aca="false">IF(C2427="","",ROW()-4)</f>
        <v/>
      </c>
      <c r="B2427" s="12"/>
      <c r="C2427" s="13"/>
      <c r="D2427" s="23" t="str">
        <f aca="false">IF(C2427="","",IFERROR(INDEX(LOTES!$D$5:$D$1004,MATCH(C2427,LOTES!$F$5:$F$1004,0)),"¿Lote?"))</f>
        <v/>
      </c>
      <c r="E2427" s="11" t="str">
        <f aca="false">IF(C2427="","",IFERROR(INDEX(LOTES!$C$5:$C$1004,MATCH(C2427,LOTES!$F$5:$F$1004,0)),""))</f>
        <v/>
      </c>
      <c r="F2427" s="24" t="str">
        <f aca="false">IF(C2427="","",IFERROR(INDEX(LOTES!$B$5:$B$1004,MATCH(C2427,LOTES!$F$5:$F$1004,0)),""))</f>
        <v/>
      </c>
      <c r="G2427" s="15" t="str">
        <f aca="false">IF(OR(B2427="",F2427=""),"",B2427-F2427)</f>
        <v/>
      </c>
      <c r="H2427" s="13"/>
      <c r="I2427" s="13"/>
      <c r="J2427" s="13"/>
      <c r="K2427" s="25"/>
      <c r="L2427" s="25"/>
      <c r="M2427" s="25"/>
      <c r="N2427" s="25"/>
      <c r="O2427" s="26"/>
      <c r="P2427" s="16" t="str">
        <f aca="false">IF(O2427="","",IFERROR(1/(1/(IF(K2427="",INDEX(CONFIG!$F$5:$F$14,MATCH(D2427,CONFIG!$D$5:$D$14,0)),K2427)*IF(M2427="",INDEX(CONFIG!$H$5:$H$14,MATCH(D2427,CONFIG!$D$5:$D$14,0)),M2427))),""))</f>
        <v/>
      </c>
      <c r="Q2427" s="16" t="str">
        <f aca="false">IF(OR(O2427="",P2427=""),"",O2427/P2427)</f>
        <v/>
      </c>
      <c r="R2427" s="16" t="str">
        <f aca="false">IF(Q2427="","",Q2427*0.0980665)</f>
        <v/>
      </c>
      <c r="S2427" s="16" t="str">
        <f aca="false">IF(Q2427="","",IFERROR(Q2427/(1/(1/INDEX(CONFIG!$I$5:$I$14,MATCH(D2427,CONFIG!$D$5:$D$14,0)))),""))</f>
        <v/>
      </c>
      <c r="T2427" s="13"/>
      <c r="U2427" s="13"/>
      <c r="V2427" s="13"/>
      <c r="W2427" s="13"/>
      <c r="X2427" s="22" t="str">
        <f aca="false">IF(Q2427="","",Q2427^2)</f>
        <v/>
      </c>
      <c r="Y2427" s="22" t="str">
        <f aca="false">IF(AND(C2427&lt;&gt;"",C2427=CERTIFICADO!$E$4,OR(CERTIFICADO!$E$5="",B2427=CERTIFICADO!$E$5)),MAX($Y$4:Y2426)+1,"")</f>
        <v/>
      </c>
    </row>
    <row r="2428" customFormat="false" ht="15" hidden="false" customHeight="false" outlineLevel="0" collapsed="false">
      <c r="A2428" s="11" t="str">
        <f aca="false">IF(C2428="","",ROW()-4)</f>
        <v/>
      </c>
      <c r="B2428" s="12"/>
      <c r="C2428" s="13"/>
      <c r="D2428" s="23" t="str">
        <f aca="false">IF(C2428="","",IFERROR(INDEX(LOTES!$D$5:$D$1004,MATCH(C2428,LOTES!$F$5:$F$1004,0)),"¿Lote?"))</f>
        <v/>
      </c>
      <c r="E2428" s="11" t="str">
        <f aca="false">IF(C2428="","",IFERROR(INDEX(LOTES!$C$5:$C$1004,MATCH(C2428,LOTES!$F$5:$F$1004,0)),""))</f>
        <v/>
      </c>
      <c r="F2428" s="24" t="str">
        <f aca="false">IF(C2428="","",IFERROR(INDEX(LOTES!$B$5:$B$1004,MATCH(C2428,LOTES!$F$5:$F$1004,0)),""))</f>
        <v/>
      </c>
      <c r="G2428" s="15" t="str">
        <f aca="false">IF(OR(B2428="",F2428=""),"",B2428-F2428)</f>
        <v/>
      </c>
      <c r="H2428" s="13"/>
      <c r="I2428" s="13"/>
      <c r="J2428" s="13"/>
      <c r="K2428" s="25"/>
      <c r="L2428" s="25"/>
      <c r="M2428" s="25"/>
      <c r="N2428" s="25"/>
      <c r="O2428" s="26"/>
      <c r="P2428" s="16" t="str">
        <f aca="false">IF(O2428="","",IFERROR(1/(1/(IF(K2428="",INDEX(CONFIG!$F$5:$F$14,MATCH(D2428,CONFIG!$D$5:$D$14,0)),K2428)*IF(M2428="",INDEX(CONFIG!$H$5:$H$14,MATCH(D2428,CONFIG!$D$5:$D$14,0)),M2428))),""))</f>
        <v/>
      </c>
      <c r="Q2428" s="16" t="str">
        <f aca="false">IF(OR(O2428="",P2428=""),"",O2428/P2428)</f>
        <v/>
      </c>
      <c r="R2428" s="16" t="str">
        <f aca="false">IF(Q2428="","",Q2428*0.0980665)</f>
        <v/>
      </c>
      <c r="S2428" s="16" t="str">
        <f aca="false">IF(Q2428="","",IFERROR(Q2428/(1/(1/INDEX(CONFIG!$I$5:$I$14,MATCH(D2428,CONFIG!$D$5:$D$14,0)))),""))</f>
        <v/>
      </c>
      <c r="T2428" s="13"/>
      <c r="U2428" s="13"/>
      <c r="V2428" s="13"/>
      <c r="W2428" s="13"/>
      <c r="X2428" s="22" t="str">
        <f aca="false">IF(Q2428="","",Q2428^2)</f>
        <v/>
      </c>
      <c r="Y2428" s="22" t="str">
        <f aca="false">IF(AND(C2428&lt;&gt;"",C2428=CERTIFICADO!$E$4,OR(CERTIFICADO!$E$5="",B2428=CERTIFICADO!$E$5)),MAX($Y$4:Y2427)+1,"")</f>
        <v/>
      </c>
    </row>
    <row r="2429" customFormat="false" ht="15" hidden="false" customHeight="false" outlineLevel="0" collapsed="false">
      <c r="A2429" s="11" t="str">
        <f aca="false">IF(C2429="","",ROW()-4)</f>
        <v/>
      </c>
      <c r="B2429" s="12"/>
      <c r="C2429" s="13"/>
      <c r="D2429" s="23" t="str">
        <f aca="false">IF(C2429="","",IFERROR(INDEX(LOTES!$D$5:$D$1004,MATCH(C2429,LOTES!$F$5:$F$1004,0)),"¿Lote?"))</f>
        <v/>
      </c>
      <c r="E2429" s="11" t="str">
        <f aca="false">IF(C2429="","",IFERROR(INDEX(LOTES!$C$5:$C$1004,MATCH(C2429,LOTES!$F$5:$F$1004,0)),""))</f>
        <v/>
      </c>
      <c r="F2429" s="24" t="str">
        <f aca="false">IF(C2429="","",IFERROR(INDEX(LOTES!$B$5:$B$1004,MATCH(C2429,LOTES!$F$5:$F$1004,0)),""))</f>
        <v/>
      </c>
      <c r="G2429" s="15" t="str">
        <f aca="false">IF(OR(B2429="",F2429=""),"",B2429-F2429)</f>
        <v/>
      </c>
      <c r="H2429" s="13"/>
      <c r="I2429" s="13"/>
      <c r="J2429" s="13"/>
      <c r="K2429" s="25"/>
      <c r="L2429" s="25"/>
      <c r="M2429" s="25"/>
      <c r="N2429" s="25"/>
      <c r="O2429" s="26"/>
      <c r="P2429" s="16" t="str">
        <f aca="false">IF(O2429="","",IFERROR(1/(1/(IF(K2429="",INDEX(CONFIG!$F$5:$F$14,MATCH(D2429,CONFIG!$D$5:$D$14,0)),K2429)*IF(M2429="",INDEX(CONFIG!$H$5:$H$14,MATCH(D2429,CONFIG!$D$5:$D$14,0)),M2429))),""))</f>
        <v/>
      </c>
      <c r="Q2429" s="16" t="str">
        <f aca="false">IF(OR(O2429="",P2429=""),"",O2429/P2429)</f>
        <v/>
      </c>
      <c r="R2429" s="16" t="str">
        <f aca="false">IF(Q2429="","",Q2429*0.0980665)</f>
        <v/>
      </c>
      <c r="S2429" s="16" t="str">
        <f aca="false">IF(Q2429="","",IFERROR(Q2429/(1/(1/INDEX(CONFIG!$I$5:$I$14,MATCH(D2429,CONFIG!$D$5:$D$14,0)))),""))</f>
        <v/>
      </c>
      <c r="T2429" s="13"/>
      <c r="U2429" s="13"/>
      <c r="V2429" s="13"/>
      <c r="W2429" s="13"/>
      <c r="X2429" s="22" t="str">
        <f aca="false">IF(Q2429="","",Q2429^2)</f>
        <v/>
      </c>
      <c r="Y2429" s="22" t="str">
        <f aca="false">IF(AND(C2429&lt;&gt;"",C2429=CERTIFICADO!$E$4,OR(CERTIFICADO!$E$5="",B2429=CERTIFICADO!$E$5)),MAX($Y$4:Y2428)+1,"")</f>
        <v/>
      </c>
    </row>
    <row r="2430" customFormat="false" ht="15" hidden="false" customHeight="false" outlineLevel="0" collapsed="false">
      <c r="A2430" s="11" t="str">
        <f aca="false">IF(C2430="","",ROW()-4)</f>
        <v/>
      </c>
      <c r="B2430" s="12"/>
      <c r="C2430" s="13"/>
      <c r="D2430" s="23" t="str">
        <f aca="false">IF(C2430="","",IFERROR(INDEX(LOTES!$D$5:$D$1004,MATCH(C2430,LOTES!$F$5:$F$1004,0)),"¿Lote?"))</f>
        <v/>
      </c>
      <c r="E2430" s="11" t="str">
        <f aca="false">IF(C2430="","",IFERROR(INDEX(LOTES!$C$5:$C$1004,MATCH(C2430,LOTES!$F$5:$F$1004,0)),""))</f>
        <v/>
      </c>
      <c r="F2430" s="24" t="str">
        <f aca="false">IF(C2430="","",IFERROR(INDEX(LOTES!$B$5:$B$1004,MATCH(C2430,LOTES!$F$5:$F$1004,0)),""))</f>
        <v/>
      </c>
      <c r="G2430" s="15" t="str">
        <f aca="false">IF(OR(B2430="",F2430=""),"",B2430-F2430)</f>
        <v/>
      </c>
      <c r="H2430" s="13"/>
      <c r="I2430" s="13"/>
      <c r="J2430" s="13"/>
      <c r="K2430" s="25"/>
      <c r="L2430" s="25"/>
      <c r="M2430" s="25"/>
      <c r="N2430" s="25"/>
      <c r="O2430" s="26"/>
      <c r="P2430" s="16" t="str">
        <f aca="false">IF(O2430="","",IFERROR(1/(1/(IF(K2430="",INDEX(CONFIG!$F$5:$F$14,MATCH(D2430,CONFIG!$D$5:$D$14,0)),K2430)*IF(M2430="",INDEX(CONFIG!$H$5:$H$14,MATCH(D2430,CONFIG!$D$5:$D$14,0)),M2430))),""))</f>
        <v/>
      </c>
      <c r="Q2430" s="16" t="str">
        <f aca="false">IF(OR(O2430="",P2430=""),"",O2430/P2430)</f>
        <v/>
      </c>
      <c r="R2430" s="16" t="str">
        <f aca="false">IF(Q2430="","",Q2430*0.0980665)</f>
        <v/>
      </c>
      <c r="S2430" s="16" t="str">
        <f aca="false">IF(Q2430="","",IFERROR(Q2430/(1/(1/INDEX(CONFIG!$I$5:$I$14,MATCH(D2430,CONFIG!$D$5:$D$14,0)))),""))</f>
        <v/>
      </c>
      <c r="T2430" s="13"/>
      <c r="U2430" s="13"/>
      <c r="V2430" s="13"/>
      <c r="W2430" s="13"/>
      <c r="X2430" s="22" t="str">
        <f aca="false">IF(Q2430="","",Q2430^2)</f>
        <v/>
      </c>
      <c r="Y2430" s="22" t="str">
        <f aca="false">IF(AND(C2430&lt;&gt;"",C2430=CERTIFICADO!$E$4,OR(CERTIFICADO!$E$5="",B2430=CERTIFICADO!$E$5)),MAX($Y$4:Y2429)+1,"")</f>
        <v/>
      </c>
    </row>
    <row r="2431" customFormat="false" ht="15" hidden="false" customHeight="false" outlineLevel="0" collapsed="false">
      <c r="A2431" s="11" t="str">
        <f aca="false">IF(C2431="","",ROW()-4)</f>
        <v/>
      </c>
      <c r="B2431" s="12"/>
      <c r="C2431" s="13"/>
      <c r="D2431" s="23" t="str">
        <f aca="false">IF(C2431="","",IFERROR(INDEX(LOTES!$D$5:$D$1004,MATCH(C2431,LOTES!$F$5:$F$1004,0)),"¿Lote?"))</f>
        <v/>
      </c>
      <c r="E2431" s="11" t="str">
        <f aca="false">IF(C2431="","",IFERROR(INDEX(LOTES!$C$5:$C$1004,MATCH(C2431,LOTES!$F$5:$F$1004,0)),""))</f>
        <v/>
      </c>
      <c r="F2431" s="24" t="str">
        <f aca="false">IF(C2431="","",IFERROR(INDEX(LOTES!$B$5:$B$1004,MATCH(C2431,LOTES!$F$5:$F$1004,0)),""))</f>
        <v/>
      </c>
      <c r="G2431" s="15" t="str">
        <f aca="false">IF(OR(B2431="",F2431=""),"",B2431-F2431)</f>
        <v/>
      </c>
      <c r="H2431" s="13"/>
      <c r="I2431" s="13"/>
      <c r="J2431" s="13"/>
      <c r="K2431" s="25"/>
      <c r="L2431" s="25"/>
      <c r="M2431" s="25"/>
      <c r="N2431" s="25"/>
      <c r="O2431" s="26"/>
      <c r="P2431" s="16" t="str">
        <f aca="false">IF(O2431="","",IFERROR(1/(1/(IF(K2431="",INDEX(CONFIG!$F$5:$F$14,MATCH(D2431,CONFIG!$D$5:$D$14,0)),K2431)*IF(M2431="",INDEX(CONFIG!$H$5:$H$14,MATCH(D2431,CONFIG!$D$5:$D$14,0)),M2431))),""))</f>
        <v/>
      </c>
      <c r="Q2431" s="16" t="str">
        <f aca="false">IF(OR(O2431="",P2431=""),"",O2431/P2431)</f>
        <v/>
      </c>
      <c r="R2431" s="16" t="str">
        <f aca="false">IF(Q2431="","",Q2431*0.0980665)</f>
        <v/>
      </c>
      <c r="S2431" s="16" t="str">
        <f aca="false">IF(Q2431="","",IFERROR(Q2431/(1/(1/INDEX(CONFIG!$I$5:$I$14,MATCH(D2431,CONFIG!$D$5:$D$14,0)))),""))</f>
        <v/>
      </c>
      <c r="T2431" s="13"/>
      <c r="U2431" s="13"/>
      <c r="V2431" s="13"/>
      <c r="W2431" s="13"/>
      <c r="X2431" s="22" t="str">
        <f aca="false">IF(Q2431="","",Q2431^2)</f>
        <v/>
      </c>
      <c r="Y2431" s="22" t="str">
        <f aca="false">IF(AND(C2431&lt;&gt;"",C2431=CERTIFICADO!$E$4,OR(CERTIFICADO!$E$5="",B2431=CERTIFICADO!$E$5)),MAX($Y$4:Y2430)+1,"")</f>
        <v/>
      </c>
    </row>
    <row r="2432" customFormat="false" ht="15" hidden="false" customHeight="false" outlineLevel="0" collapsed="false">
      <c r="A2432" s="11" t="str">
        <f aca="false">IF(C2432="","",ROW()-4)</f>
        <v/>
      </c>
      <c r="B2432" s="12"/>
      <c r="C2432" s="13"/>
      <c r="D2432" s="23" t="str">
        <f aca="false">IF(C2432="","",IFERROR(INDEX(LOTES!$D$5:$D$1004,MATCH(C2432,LOTES!$F$5:$F$1004,0)),"¿Lote?"))</f>
        <v/>
      </c>
      <c r="E2432" s="11" t="str">
        <f aca="false">IF(C2432="","",IFERROR(INDEX(LOTES!$C$5:$C$1004,MATCH(C2432,LOTES!$F$5:$F$1004,0)),""))</f>
        <v/>
      </c>
      <c r="F2432" s="24" t="str">
        <f aca="false">IF(C2432="","",IFERROR(INDEX(LOTES!$B$5:$B$1004,MATCH(C2432,LOTES!$F$5:$F$1004,0)),""))</f>
        <v/>
      </c>
      <c r="G2432" s="15" t="str">
        <f aca="false">IF(OR(B2432="",F2432=""),"",B2432-F2432)</f>
        <v/>
      </c>
      <c r="H2432" s="13"/>
      <c r="I2432" s="13"/>
      <c r="J2432" s="13"/>
      <c r="K2432" s="25"/>
      <c r="L2432" s="25"/>
      <c r="M2432" s="25"/>
      <c r="N2432" s="25"/>
      <c r="O2432" s="26"/>
      <c r="P2432" s="16" t="str">
        <f aca="false">IF(O2432="","",IFERROR(1/(1/(IF(K2432="",INDEX(CONFIG!$F$5:$F$14,MATCH(D2432,CONFIG!$D$5:$D$14,0)),K2432)*IF(M2432="",INDEX(CONFIG!$H$5:$H$14,MATCH(D2432,CONFIG!$D$5:$D$14,0)),M2432))),""))</f>
        <v/>
      </c>
      <c r="Q2432" s="16" t="str">
        <f aca="false">IF(OR(O2432="",P2432=""),"",O2432/P2432)</f>
        <v/>
      </c>
      <c r="R2432" s="16" t="str">
        <f aca="false">IF(Q2432="","",Q2432*0.0980665)</f>
        <v/>
      </c>
      <c r="S2432" s="16" t="str">
        <f aca="false">IF(Q2432="","",IFERROR(Q2432/(1/(1/INDEX(CONFIG!$I$5:$I$14,MATCH(D2432,CONFIG!$D$5:$D$14,0)))),""))</f>
        <v/>
      </c>
      <c r="T2432" s="13"/>
      <c r="U2432" s="13"/>
      <c r="V2432" s="13"/>
      <c r="W2432" s="13"/>
      <c r="X2432" s="22" t="str">
        <f aca="false">IF(Q2432="","",Q2432^2)</f>
        <v/>
      </c>
      <c r="Y2432" s="22" t="str">
        <f aca="false">IF(AND(C2432&lt;&gt;"",C2432=CERTIFICADO!$E$4,OR(CERTIFICADO!$E$5="",B2432=CERTIFICADO!$E$5)),MAX($Y$4:Y2431)+1,"")</f>
        <v/>
      </c>
    </row>
    <row r="2433" customFormat="false" ht="15" hidden="false" customHeight="false" outlineLevel="0" collapsed="false">
      <c r="A2433" s="11" t="str">
        <f aca="false">IF(C2433="","",ROW()-4)</f>
        <v/>
      </c>
      <c r="B2433" s="12"/>
      <c r="C2433" s="13"/>
      <c r="D2433" s="23" t="str">
        <f aca="false">IF(C2433="","",IFERROR(INDEX(LOTES!$D$5:$D$1004,MATCH(C2433,LOTES!$F$5:$F$1004,0)),"¿Lote?"))</f>
        <v/>
      </c>
      <c r="E2433" s="11" t="str">
        <f aca="false">IF(C2433="","",IFERROR(INDEX(LOTES!$C$5:$C$1004,MATCH(C2433,LOTES!$F$5:$F$1004,0)),""))</f>
        <v/>
      </c>
      <c r="F2433" s="24" t="str">
        <f aca="false">IF(C2433="","",IFERROR(INDEX(LOTES!$B$5:$B$1004,MATCH(C2433,LOTES!$F$5:$F$1004,0)),""))</f>
        <v/>
      </c>
      <c r="G2433" s="15" t="str">
        <f aca="false">IF(OR(B2433="",F2433=""),"",B2433-F2433)</f>
        <v/>
      </c>
      <c r="H2433" s="13"/>
      <c r="I2433" s="13"/>
      <c r="J2433" s="13"/>
      <c r="K2433" s="25"/>
      <c r="L2433" s="25"/>
      <c r="M2433" s="25"/>
      <c r="N2433" s="25"/>
      <c r="O2433" s="26"/>
      <c r="P2433" s="16" t="str">
        <f aca="false">IF(O2433="","",IFERROR(1/(1/(IF(K2433="",INDEX(CONFIG!$F$5:$F$14,MATCH(D2433,CONFIG!$D$5:$D$14,0)),K2433)*IF(M2433="",INDEX(CONFIG!$H$5:$H$14,MATCH(D2433,CONFIG!$D$5:$D$14,0)),M2433))),""))</f>
        <v/>
      </c>
      <c r="Q2433" s="16" t="str">
        <f aca="false">IF(OR(O2433="",P2433=""),"",O2433/P2433)</f>
        <v/>
      </c>
      <c r="R2433" s="16" t="str">
        <f aca="false">IF(Q2433="","",Q2433*0.0980665)</f>
        <v/>
      </c>
      <c r="S2433" s="16" t="str">
        <f aca="false">IF(Q2433="","",IFERROR(Q2433/(1/(1/INDEX(CONFIG!$I$5:$I$14,MATCH(D2433,CONFIG!$D$5:$D$14,0)))),""))</f>
        <v/>
      </c>
      <c r="T2433" s="13"/>
      <c r="U2433" s="13"/>
      <c r="V2433" s="13"/>
      <c r="W2433" s="13"/>
      <c r="X2433" s="22" t="str">
        <f aca="false">IF(Q2433="","",Q2433^2)</f>
        <v/>
      </c>
      <c r="Y2433" s="22" t="str">
        <f aca="false">IF(AND(C2433&lt;&gt;"",C2433=CERTIFICADO!$E$4,OR(CERTIFICADO!$E$5="",B2433=CERTIFICADO!$E$5)),MAX($Y$4:Y2432)+1,"")</f>
        <v/>
      </c>
    </row>
    <row r="2434" customFormat="false" ht="15" hidden="false" customHeight="false" outlineLevel="0" collapsed="false">
      <c r="A2434" s="11" t="str">
        <f aca="false">IF(C2434="","",ROW()-4)</f>
        <v/>
      </c>
      <c r="B2434" s="12"/>
      <c r="C2434" s="13"/>
      <c r="D2434" s="23" t="str">
        <f aca="false">IF(C2434="","",IFERROR(INDEX(LOTES!$D$5:$D$1004,MATCH(C2434,LOTES!$F$5:$F$1004,0)),"¿Lote?"))</f>
        <v/>
      </c>
      <c r="E2434" s="11" t="str">
        <f aca="false">IF(C2434="","",IFERROR(INDEX(LOTES!$C$5:$C$1004,MATCH(C2434,LOTES!$F$5:$F$1004,0)),""))</f>
        <v/>
      </c>
      <c r="F2434" s="24" t="str">
        <f aca="false">IF(C2434="","",IFERROR(INDEX(LOTES!$B$5:$B$1004,MATCH(C2434,LOTES!$F$5:$F$1004,0)),""))</f>
        <v/>
      </c>
      <c r="G2434" s="15" t="str">
        <f aca="false">IF(OR(B2434="",F2434=""),"",B2434-F2434)</f>
        <v/>
      </c>
      <c r="H2434" s="13"/>
      <c r="I2434" s="13"/>
      <c r="J2434" s="13"/>
      <c r="K2434" s="25"/>
      <c r="L2434" s="25"/>
      <c r="M2434" s="25"/>
      <c r="N2434" s="25"/>
      <c r="O2434" s="26"/>
      <c r="P2434" s="16" t="str">
        <f aca="false">IF(O2434="","",IFERROR(1/(1/(IF(K2434="",INDEX(CONFIG!$F$5:$F$14,MATCH(D2434,CONFIG!$D$5:$D$14,0)),K2434)*IF(M2434="",INDEX(CONFIG!$H$5:$H$14,MATCH(D2434,CONFIG!$D$5:$D$14,0)),M2434))),""))</f>
        <v/>
      </c>
      <c r="Q2434" s="16" t="str">
        <f aca="false">IF(OR(O2434="",P2434=""),"",O2434/P2434)</f>
        <v/>
      </c>
      <c r="R2434" s="16" t="str">
        <f aca="false">IF(Q2434="","",Q2434*0.0980665)</f>
        <v/>
      </c>
      <c r="S2434" s="16" t="str">
        <f aca="false">IF(Q2434="","",IFERROR(Q2434/(1/(1/INDEX(CONFIG!$I$5:$I$14,MATCH(D2434,CONFIG!$D$5:$D$14,0)))),""))</f>
        <v/>
      </c>
      <c r="T2434" s="13"/>
      <c r="U2434" s="13"/>
      <c r="V2434" s="13"/>
      <c r="W2434" s="13"/>
      <c r="X2434" s="22" t="str">
        <f aca="false">IF(Q2434="","",Q2434^2)</f>
        <v/>
      </c>
      <c r="Y2434" s="22" t="str">
        <f aca="false">IF(AND(C2434&lt;&gt;"",C2434=CERTIFICADO!$E$4,OR(CERTIFICADO!$E$5="",B2434=CERTIFICADO!$E$5)),MAX($Y$4:Y2433)+1,"")</f>
        <v/>
      </c>
    </row>
    <row r="2435" customFormat="false" ht="15" hidden="false" customHeight="false" outlineLevel="0" collapsed="false">
      <c r="A2435" s="11" t="str">
        <f aca="false">IF(C2435="","",ROW()-4)</f>
        <v/>
      </c>
      <c r="B2435" s="12"/>
      <c r="C2435" s="13"/>
      <c r="D2435" s="23" t="str">
        <f aca="false">IF(C2435="","",IFERROR(INDEX(LOTES!$D$5:$D$1004,MATCH(C2435,LOTES!$F$5:$F$1004,0)),"¿Lote?"))</f>
        <v/>
      </c>
      <c r="E2435" s="11" t="str">
        <f aca="false">IF(C2435="","",IFERROR(INDEX(LOTES!$C$5:$C$1004,MATCH(C2435,LOTES!$F$5:$F$1004,0)),""))</f>
        <v/>
      </c>
      <c r="F2435" s="24" t="str">
        <f aca="false">IF(C2435="","",IFERROR(INDEX(LOTES!$B$5:$B$1004,MATCH(C2435,LOTES!$F$5:$F$1004,0)),""))</f>
        <v/>
      </c>
      <c r="G2435" s="15" t="str">
        <f aca="false">IF(OR(B2435="",F2435=""),"",B2435-F2435)</f>
        <v/>
      </c>
      <c r="H2435" s="13"/>
      <c r="I2435" s="13"/>
      <c r="J2435" s="13"/>
      <c r="K2435" s="25"/>
      <c r="L2435" s="25"/>
      <c r="M2435" s="25"/>
      <c r="N2435" s="25"/>
      <c r="O2435" s="26"/>
      <c r="P2435" s="16" t="str">
        <f aca="false">IF(O2435="","",IFERROR(1/(1/(IF(K2435="",INDEX(CONFIG!$F$5:$F$14,MATCH(D2435,CONFIG!$D$5:$D$14,0)),K2435)*IF(M2435="",INDEX(CONFIG!$H$5:$H$14,MATCH(D2435,CONFIG!$D$5:$D$14,0)),M2435))),""))</f>
        <v/>
      </c>
      <c r="Q2435" s="16" t="str">
        <f aca="false">IF(OR(O2435="",P2435=""),"",O2435/P2435)</f>
        <v/>
      </c>
      <c r="R2435" s="16" t="str">
        <f aca="false">IF(Q2435="","",Q2435*0.0980665)</f>
        <v/>
      </c>
      <c r="S2435" s="16" t="str">
        <f aca="false">IF(Q2435="","",IFERROR(Q2435/(1/(1/INDEX(CONFIG!$I$5:$I$14,MATCH(D2435,CONFIG!$D$5:$D$14,0)))),""))</f>
        <v/>
      </c>
      <c r="T2435" s="13"/>
      <c r="U2435" s="13"/>
      <c r="V2435" s="13"/>
      <c r="W2435" s="13"/>
      <c r="X2435" s="22" t="str">
        <f aca="false">IF(Q2435="","",Q2435^2)</f>
        <v/>
      </c>
      <c r="Y2435" s="22" t="str">
        <f aca="false">IF(AND(C2435&lt;&gt;"",C2435=CERTIFICADO!$E$4,OR(CERTIFICADO!$E$5="",B2435=CERTIFICADO!$E$5)),MAX($Y$4:Y2434)+1,"")</f>
        <v/>
      </c>
    </row>
    <row r="2436" customFormat="false" ht="15" hidden="false" customHeight="false" outlineLevel="0" collapsed="false">
      <c r="A2436" s="11" t="str">
        <f aca="false">IF(C2436="","",ROW()-4)</f>
        <v/>
      </c>
      <c r="B2436" s="12"/>
      <c r="C2436" s="13"/>
      <c r="D2436" s="23" t="str">
        <f aca="false">IF(C2436="","",IFERROR(INDEX(LOTES!$D$5:$D$1004,MATCH(C2436,LOTES!$F$5:$F$1004,0)),"¿Lote?"))</f>
        <v/>
      </c>
      <c r="E2436" s="11" t="str">
        <f aca="false">IF(C2436="","",IFERROR(INDEX(LOTES!$C$5:$C$1004,MATCH(C2436,LOTES!$F$5:$F$1004,0)),""))</f>
        <v/>
      </c>
      <c r="F2436" s="24" t="str">
        <f aca="false">IF(C2436="","",IFERROR(INDEX(LOTES!$B$5:$B$1004,MATCH(C2436,LOTES!$F$5:$F$1004,0)),""))</f>
        <v/>
      </c>
      <c r="G2436" s="15" t="str">
        <f aca="false">IF(OR(B2436="",F2436=""),"",B2436-F2436)</f>
        <v/>
      </c>
      <c r="H2436" s="13"/>
      <c r="I2436" s="13"/>
      <c r="J2436" s="13"/>
      <c r="K2436" s="25"/>
      <c r="L2436" s="25"/>
      <c r="M2436" s="25"/>
      <c r="N2436" s="25"/>
      <c r="O2436" s="26"/>
      <c r="P2436" s="16" t="str">
        <f aca="false">IF(O2436="","",IFERROR(1/(1/(IF(K2436="",INDEX(CONFIG!$F$5:$F$14,MATCH(D2436,CONFIG!$D$5:$D$14,0)),K2436)*IF(M2436="",INDEX(CONFIG!$H$5:$H$14,MATCH(D2436,CONFIG!$D$5:$D$14,0)),M2436))),""))</f>
        <v/>
      </c>
      <c r="Q2436" s="16" t="str">
        <f aca="false">IF(OR(O2436="",P2436=""),"",O2436/P2436)</f>
        <v/>
      </c>
      <c r="R2436" s="16" t="str">
        <f aca="false">IF(Q2436="","",Q2436*0.0980665)</f>
        <v/>
      </c>
      <c r="S2436" s="16" t="str">
        <f aca="false">IF(Q2436="","",IFERROR(Q2436/(1/(1/INDEX(CONFIG!$I$5:$I$14,MATCH(D2436,CONFIG!$D$5:$D$14,0)))),""))</f>
        <v/>
      </c>
      <c r="T2436" s="13"/>
      <c r="U2436" s="13"/>
      <c r="V2436" s="13"/>
      <c r="W2436" s="13"/>
      <c r="X2436" s="22" t="str">
        <f aca="false">IF(Q2436="","",Q2436^2)</f>
        <v/>
      </c>
      <c r="Y2436" s="22" t="str">
        <f aca="false">IF(AND(C2436&lt;&gt;"",C2436=CERTIFICADO!$E$4,OR(CERTIFICADO!$E$5="",B2436=CERTIFICADO!$E$5)),MAX($Y$4:Y2435)+1,"")</f>
        <v/>
      </c>
    </row>
    <row r="2437" customFormat="false" ht="15" hidden="false" customHeight="false" outlineLevel="0" collapsed="false">
      <c r="A2437" s="11" t="str">
        <f aca="false">IF(C2437="","",ROW()-4)</f>
        <v/>
      </c>
      <c r="B2437" s="12"/>
      <c r="C2437" s="13"/>
      <c r="D2437" s="23" t="str">
        <f aca="false">IF(C2437="","",IFERROR(INDEX(LOTES!$D$5:$D$1004,MATCH(C2437,LOTES!$F$5:$F$1004,0)),"¿Lote?"))</f>
        <v/>
      </c>
      <c r="E2437" s="11" t="str">
        <f aca="false">IF(C2437="","",IFERROR(INDEX(LOTES!$C$5:$C$1004,MATCH(C2437,LOTES!$F$5:$F$1004,0)),""))</f>
        <v/>
      </c>
      <c r="F2437" s="24" t="str">
        <f aca="false">IF(C2437="","",IFERROR(INDEX(LOTES!$B$5:$B$1004,MATCH(C2437,LOTES!$F$5:$F$1004,0)),""))</f>
        <v/>
      </c>
      <c r="G2437" s="15" t="str">
        <f aca="false">IF(OR(B2437="",F2437=""),"",B2437-F2437)</f>
        <v/>
      </c>
      <c r="H2437" s="13"/>
      <c r="I2437" s="13"/>
      <c r="J2437" s="13"/>
      <c r="K2437" s="25"/>
      <c r="L2437" s="25"/>
      <c r="M2437" s="25"/>
      <c r="N2437" s="25"/>
      <c r="O2437" s="26"/>
      <c r="P2437" s="16" t="str">
        <f aca="false">IF(O2437="","",IFERROR(1/(1/(IF(K2437="",INDEX(CONFIG!$F$5:$F$14,MATCH(D2437,CONFIG!$D$5:$D$14,0)),K2437)*IF(M2437="",INDEX(CONFIG!$H$5:$H$14,MATCH(D2437,CONFIG!$D$5:$D$14,0)),M2437))),""))</f>
        <v/>
      </c>
      <c r="Q2437" s="16" t="str">
        <f aca="false">IF(OR(O2437="",P2437=""),"",O2437/P2437)</f>
        <v/>
      </c>
      <c r="R2437" s="16" t="str">
        <f aca="false">IF(Q2437="","",Q2437*0.0980665)</f>
        <v/>
      </c>
      <c r="S2437" s="16" t="str">
        <f aca="false">IF(Q2437="","",IFERROR(Q2437/(1/(1/INDEX(CONFIG!$I$5:$I$14,MATCH(D2437,CONFIG!$D$5:$D$14,0)))),""))</f>
        <v/>
      </c>
      <c r="T2437" s="13"/>
      <c r="U2437" s="13"/>
      <c r="V2437" s="13"/>
      <c r="W2437" s="13"/>
      <c r="X2437" s="22" t="str">
        <f aca="false">IF(Q2437="","",Q2437^2)</f>
        <v/>
      </c>
      <c r="Y2437" s="22" t="str">
        <f aca="false">IF(AND(C2437&lt;&gt;"",C2437=CERTIFICADO!$E$4,OR(CERTIFICADO!$E$5="",B2437=CERTIFICADO!$E$5)),MAX($Y$4:Y2436)+1,"")</f>
        <v/>
      </c>
    </row>
    <row r="2438" customFormat="false" ht="15" hidden="false" customHeight="false" outlineLevel="0" collapsed="false">
      <c r="A2438" s="11" t="str">
        <f aca="false">IF(C2438="","",ROW()-4)</f>
        <v/>
      </c>
      <c r="B2438" s="12"/>
      <c r="C2438" s="13"/>
      <c r="D2438" s="23" t="str">
        <f aca="false">IF(C2438="","",IFERROR(INDEX(LOTES!$D$5:$D$1004,MATCH(C2438,LOTES!$F$5:$F$1004,0)),"¿Lote?"))</f>
        <v/>
      </c>
      <c r="E2438" s="11" t="str">
        <f aca="false">IF(C2438="","",IFERROR(INDEX(LOTES!$C$5:$C$1004,MATCH(C2438,LOTES!$F$5:$F$1004,0)),""))</f>
        <v/>
      </c>
      <c r="F2438" s="24" t="str">
        <f aca="false">IF(C2438="","",IFERROR(INDEX(LOTES!$B$5:$B$1004,MATCH(C2438,LOTES!$F$5:$F$1004,0)),""))</f>
        <v/>
      </c>
      <c r="G2438" s="15" t="str">
        <f aca="false">IF(OR(B2438="",F2438=""),"",B2438-F2438)</f>
        <v/>
      </c>
      <c r="H2438" s="13"/>
      <c r="I2438" s="13"/>
      <c r="J2438" s="13"/>
      <c r="K2438" s="25"/>
      <c r="L2438" s="25"/>
      <c r="M2438" s="25"/>
      <c r="N2438" s="25"/>
      <c r="O2438" s="26"/>
      <c r="P2438" s="16" t="str">
        <f aca="false">IF(O2438="","",IFERROR(1/(1/(IF(K2438="",INDEX(CONFIG!$F$5:$F$14,MATCH(D2438,CONFIG!$D$5:$D$14,0)),K2438)*IF(M2438="",INDEX(CONFIG!$H$5:$H$14,MATCH(D2438,CONFIG!$D$5:$D$14,0)),M2438))),""))</f>
        <v/>
      </c>
      <c r="Q2438" s="16" t="str">
        <f aca="false">IF(OR(O2438="",P2438=""),"",O2438/P2438)</f>
        <v/>
      </c>
      <c r="R2438" s="16" t="str">
        <f aca="false">IF(Q2438="","",Q2438*0.0980665)</f>
        <v/>
      </c>
      <c r="S2438" s="16" t="str">
        <f aca="false">IF(Q2438="","",IFERROR(Q2438/(1/(1/INDEX(CONFIG!$I$5:$I$14,MATCH(D2438,CONFIG!$D$5:$D$14,0)))),""))</f>
        <v/>
      </c>
      <c r="T2438" s="13"/>
      <c r="U2438" s="13"/>
      <c r="V2438" s="13"/>
      <c r="W2438" s="13"/>
      <c r="X2438" s="22" t="str">
        <f aca="false">IF(Q2438="","",Q2438^2)</f>
        <v/>
      </c>
      <c r="Y2438" s="22" t="str">
        <f aca="false">IF(AND(C2438&lt;&gt;"",C2438=CERTIFICADO!$E$4,OR(CERTIFICADO!$E$5="",B2438=CERTIFICADO!$E$5)),MAX($Y$4:Y2437)+1,"")</f>
        <v/>
      </c>
    </row>
    <row r="2439" customFormat="false" ht="15" hidden="false" customHeight="false" outlineLevel="0" collapsed="false">
      <c r="A2439" s="11" t="str">
        <f aca="false">IF(C2439="","",ROW()-4)</f>
        <v/>
      </c>
      <c r="B2439" s="12"/>
      <c r="C2439" s="13"/>
      <c r="D2439" s="23" t="str">
        <f aca="false">IF(C2439="","",IFERROR(INDEX(LOTES!$D$5:$D$1004,MATCH(C2439,LOTES!$F$5:$F$1004,0)),"¿Lote?"))</f>
        <v/>
      </c>
      <c r="E2439" s="11" t="str">
        <f aca="false">IF(C2439="","",IFERROR(INDEX(LOTES!$C$5:$C$1004,MATCH(C2439,LOTES!$F$5:$F$1004,0)),""))</f>
        <v/>
      </c>
      <c r="F2439" s="24" t="str">
        <f aca="false">IF(C2439="","",IFERROR(INDEX(LOTES!$B$5:$B$1004,MATCH(C2439,LOTES!$F$5:$F$1004,0)),""))</f>
        <v/>
      </c>
      <c r="G2439" s="15" t="str">
        <f aca="false">IF(OR(B2439="",F2439=""),"",B2439-F2439)</f>
        <v/>
      </c>
      <c r="H2439" s="13"/>
      <c r="I2439" s="13"/>
      <c r="J2439" s="13"/>
      <c r="K2439" s="25"/>
      <c r="L2439" s="25"/>
      <c r="M2439" s="25"/>
      <c r="N2439" s="25"/>
      <c r="O2439" s="26"/>
      <c r="P2439" s="16" t="str">
        <f aca="false">IF(O2439="","",IFERROR(1/(1/(IF(K2439="",INDEX(CONFIG!$F$5:$F$14,MATCH(D2439,CONFIG!$D$5:$D$14,0)),K2439)*IF(M2439="",INDEX(CONFIG!$H$5:$H$14,MATCH(D2439,CONFIG!$D$5:$D$14,0)),M2439))),""))</f>
        <v/>
      </c>
      <c r="Q2439" s="16" t="str">
        <f aca="false">IF(OR(O2439="",P2439=""),"",O2439/P2439)</f>
        <v/>
      </c>
      <c r="R2439" s="16" t="str">
        <f aca="false">IF(Q2439="","",Q2439*0.0980665)</f>
        <v/>
      </c>
      <c r="S2439" s="16" t="str">
        <f aca="false">IF(Q2439="","",IFERROR(Q2439/(1/(1/INDEX(CONFIG!$I$5:$I$14,MATCH(D2439,CONFIG!$D$5:$D$14,0)))),""))</f>
        <v/>
      </c>
      <c r="T2439" s="13"/>
      <c r="U2439" s="13"/>
      <c r="V2439" s="13"/>
      <c r="W2439" s="13"/>
      <c r="X2439" s="22" t="str">
        <f aca="false">IF(Q2439="","",Q2439^2)</f>
        <v/>
      </c>
      <c r="Y2439" s="22" t="str">
        <f aca="false">IF(AND(C2439&lt;&gt;"",C2439=CERTIFICADO!$E$4,OR(CERTIFICADO!$E$5="",B2439=CERTIFICADO!$E$5)),MAX($Y$4:Y2438)+1,"")</f>
        <v/>
      </c>
    </row>
    <row r="2440" customFormat="false" ht="15" hidden="false" customHeight="false" outlineLevel="0" collapsed="false">
      <c r="A2440" s="11" t="str">
        <f aca="false">IF(C2440="","",ROW()-4)</f>
        <v/>
      </c>
      <c r="B2440" s="12"/>
      <c r="C2440" s="13"/>
      <c r="D2440" s="23" t="str">
        <f aca="false">IF(C2440="","",IFERROR(INDEX(LOTES!$D$5:$D$1004,MATCH(C2440,LOTES!$F$5:$F$1004,0)),"¿Lote?"))</f>
        <v/>
      </c>
      <c r="E2440" s="11" t="str">
        <f aca="false">IF(C2440="","",IFERROR(INDEX(LOTES!$C$5:$C$1004,MATCH(C2440,LOTES!$F$5:$F$1004,0)),""))</f>
        <v/>
      </c>
      <c r="F2440" s="24" t="str">
        <f aca="false">IF(C2440="","",IFERROR(INDEX(LOTES!$B$5:$B$1004,MATCH(C2440,LOTES!$F$5:$F$1004,0)),""))</f>
        <v/>
      </c>
      <c r="G2440" s="15" t="str">
        <f aca="false">IF(OR(B2440="",F2440=""),"",B2440-F2440)</f>
        <v/>
      </c>
      <c r="H2440" s="13"/>
      <c r="I2440" s="13"/>
      <c r="J2440" s="13"/>
      <c r="K2440" s="25"/>
      <c r="L2440" s="25"/>
      <c r="M2440" s="25"/>
      <c r="N2440" s="25"/>
      <c r="O2440" s="26"/>
      <c r="P2440" s="16" t="str">
        <f aca="false">IF(O2440="","",IFERROR(1/(1/(IF(K2440="",INDEX(CONFIG!$F$5:$F$14,MATCH(D2440,CONFIG!$D$5:$D$14,0)),K2440)*IF(M2440="",INDEX(CONFIG!$H$5:$H$14,MATCH(D2440,CONFIG!$D$5:$D$14,0)),M2440))),""))</f>
        <v/>
      </c>
      <c r="Q2440" s="16" t="str">
        <f aca="false">IF(OR(O2440="",P2440=""),"",O2440/P2440)</f>
        <v/>
      </c>
      <c r="R2440" s="16" t="str">
        <f aca="false">IF(Q2440="","",Q2440*0.0980665)</f>
        <v/>
      </c>
      <c r="S2440" s="16" t="str">
        <f aca="false">IF(Q2440="","",IFERROR(Q2440/(1/(1/INDEX(CONFIG!$I$5:$I$14,MATCH(D2440,CONFIG!$D$5:$D$14,0)))),""))</f>
        <v/>
      </c>
      <c r="T2440" s="13"/>
      <c r="U2440" s="13"/>
      <c r="V2440" s="13"/>
      <c r="W2440" s="13"/>
      <c r="X2440" s="22" t="str">
        <f aca="false">IF(Q2440="","",Q2440^2)</f>
        <v/>
      </c>
      <c r="Y2440" s="22" t="str">
        <f aca="false">IF(AND(C2440&lt;&gt;"",C2440=CERTIFICADO!$E$4,OR(CERTIFICADO!$E$5="",B2440=CERTIFICADO!$E$5)),MAX($Y$4:Y2439)+1,"")</f>
        <v/>
      </c>
    </row>
    <row r="2441" customFormat="false" ht="15" hidden="false" customHeight="false" outlineLevel="0" collapsed="false">
      <c r="A2441" s="11" t="str">
        <f aca="false">IF(C2441="","",ROW()-4)</f>
        <v/>
      </c>
      <c r="B2441" s="12"/>
      <c r="C2441" s="13"/>
      <c r="D2441" s="23" t="str">
        <f aca="false">IF(C2441="","",IFERROR(INDEX(LOTES!$D$5:$D$1004,MATCH(C2441,LOTES!$F$5:$F$1004,0)),"¿Lote?"))</f>
        <v/>
      </c>
      <c r="E2441" s="11" t="str">
        <f aca="false">IF(C2441="","",IFERROR(INDEX(LOTES!$C$5:$C$1004,MATCH(C2441,LOTES!$F$5:$F$1004,0)),""))</f>
        <v/>
      </c>
      <c r="F2441" s="24" t="str">
        <f aca="false">IF(C2441="","",IFERROR(INDEX(LOTES!$B$5:$B$1004,MATCH(C2441,LOTES!$F$5:$F$1004,0)),""))</f>
        <v/>
      </c>
      <c r="G2441" s="15" t="str">
        <f aca="false">IF(OR(B2441="",F2441=""),"",B2441-F2441)</f>
        <v/>
      </c>
      <c r="H2441" s="13"/>
      <c r="I2441" s="13"/>
      <c r="J2441" s="13"/>
      <c r="K2441" s="25"/>
      <c r="L2441" s="25"/>
      <c r="M2441" s="25"/>
      <c r="N2441" s="25"/>
      <c r="O2441" s="26"/>
      <c r="P2441" s="16" t="str">
        <f aca="false">IF(O2441="","",IFERROR(1/(1/(IF(K2441="",INDEX(CONFIG!$F$5:$F$14,MATCH(D2441,CONFIG!$D$5:$D$14,0)),K2441)*IF(M2441="",INDEX(CONFIG!$H$5:$H$14,MATCH(D2441,CONFIG!$D$5:$D$14,0)),M2441))),""))</f>
        <v/>
      </c>
      <c r="Q2441" s="16" t="str">
        <f aca="false">IF(OR(O2441="",P2441=""),"",O2441/P2441)</f>
        <v/>
      </c>
      <c r="R2441" s="16" t="str">
        <f aca="false">IF(Q2441="","",Q2441*0.0980665)</f>
        <v/>
      </c>
      <c r="S2441" s="16" t="str">
        <f aca="false">IF(Q2441="","",IFERROR(Q2441/(1/(1/INDEX(CONFIG!$I$5:$I$14,MATCH(D2441,CONFIG!$D$5:$D$14,0)))),""))</f>
        <v/>
      </c>
      <c r="T2441" s="13"/>
      <c r="U2441" s="13"/>
      <c r="V2441" s="13"/>
      <c r="W2441" s="13"/>
      <c r="X2441" s="22" t="str">
        <f aca="false">IF(Q2441="","",Q2441^2)</f>
        <v/>
      </c>
      <c r="Y2441" s="22" t="str">
        <f aca="false">IF(AND(C2441&lt;&gt;"",C2441=CERTIFICADO!$E$4,OR(CERTIFICADO!$E$5="",B2441=CERTIFICADO!$E$5)),MAX($Y$4:Y2440)+1,"")</f>
        <v/>
      </c>
    </row>
    <row r="2442" customFormat="false" ht="15" hidden="false" customHeight="false" outlineLevel="0" collapsed="false">
      <c r="A2442" s="11" t="str">
        <f aca="false">IF(C2442="","",ROW()-4)</f>
        <v/>
      </c>
      <c r="B2442" s="12"/>
      <c r="C2442" s="13"/>
      <c r="D2442" s="23" t="str">
        <f aca="false">IF(C2442="","",IFERROR(INDEX(LOTES!$D$5:$D$1004,MATCH(C2442,LOTES!$F$5:$F$1004,0)),"¿Lote?"))</f>
        <v/>
      </c>
      <c r="E2442" s="11" t="str">
        <f aca="false">IF(C2442="","",IFERROR(INDEX(LOTES!$C$5:$C$1004,MATCH(C2442,LOTES!$F$5:$F$1004,0)),""))</f>
        <v/>
      </c>
      <c r="F2442" s="24" t="str">
        <f aca="false">IF(C2442="","",IFERROR(INDEX(LOTES!$B$5:$B$1004,MATCH(C2442,LOTES!$F$5:$F$1004,0)),""))</f>
        <v/>
      </c>
      <c r="G2442" s="15" t="str">
        <f aca="false">IF(OR(B2442="",F2442=""),"",B2442-F2442)</f>
        <v/>
      </c>
      <c r="H2442" s="13"/>
      <c r="I2442" s="13"/>
      <c r="J2442" s="13"/>
      <c r="K2442" s="25"/>
      <c r="L2442" s="25"/>
      <c r="M2442" s="25"/>
      <c r="N2442" s="25"/>
      <c r="O2442" s="26"/>
      <c r="P2442" s="16" t="str">
        <f aca="false">IF(O2442="","",IFERROR(1/(1/(IF(K2442="",INDEX(CONFIG!$F$5:$F$14,MATCH(D2442,CONFIG!$D$5:$D$14,0)),K2442)*IF(M2442="",INDEX(CONFIG!$H$5:$H$14,MATCH(D2442,CONFIG!$D$5:$D$14,0)),M2442))),""))</f>
        <v/>
      </c>
      <c r="Q2442" s="16" t="str">
        <f aca="false">IF(OR(O2442="",P2442=""),"",O2442/P2442)</f>
        <v/>
      </c>
      <c r="R2442" s="16" t="str">
        <f aca="false">IF(Q2442="","",Q2442*0.0980665)</f>
        <v/>
      </c>
      <c r="S2442" s="16" t="str">
        <f aca="false">IF(Q2442="","",IFERROR(Q2442/(1/(1/INDEX(CONFIG!$I$5:$I$14,MATCH(D2442,CONFIG!$D$5:$D$14,0)))),""))</f>
        <v/>
      </c>
      <c r="T2442" s="13"/>
      <c r="U2442" s="13"/>
      <c r="V2442" s="13"/>
      <c r="W2442" s="13"/>
      <c r="X2442" s="22" t="str">
        <f aca="false">IF(Q2442="","",Q2442^2)</f>
        <v/>
      </c>
      <c r="Y2442" s="22" t="str">
        <f aca="false">IF(AND(C2442&lt;&gt;"",C2442=CERTIFICADO!$E$4,OR(CERTIFICADO!$E$5="",B2442=CERTIFICADO!$E$5)),MAX($Y$4:Y2441)+1,"")</f>
        <v/>
      </c>
    </row>
    <row r="2443" customFormat="false" ht="15" hidden="false" customHeight="false" outlineLevel="0" collapsed="false">
      <c r="A2443" s="11" t="str">
        <f aca="false">IF(C2443="","",ROW()-4)</f>
        <v/>
      </c>
      <c r="B2443" s="12"/>
      <c r="C2443" s="13"/>
      <c r="D2443" s="23" t="str">
        <f aca="false">IF(C2443="","",IFERROR(INDEX(LOTES!$D$5:$D$1004,MATCH(C2443,LOTES!$F$5:$F$1004,0)),"¿Lote?"))</f>
        <v/>
      </c>
      <c r="E2443" s="11" t="str">
        <f aca="false">IF(C2443="","",IFERROR(INDEX(LOTES!$C$5:$C$1004,MATCH(C2443,LOTES!$F$5:$F$1004,0)),""))</f>
        <v/>
      </c>
      <c r="F2443" s="24" t="str">
        <f aca="false">IF(C2443="","",IFERROR(INDEX(LOTES!$B$5:$B$1004,MATCH(C2443,LOTES!$F$5:$F$1004,0)),""))</f>
        <v/>
      </c>
      <c r="G2443" s="15" t="str">
        <f aca="false">IF(OR(B2443="",F2443=""),"",B2443-F2443)</f>
        <v/>
      </c>
      <c r="H2443" s="13"/>
      <c r="I2443" s="13"/>
      <c r="J2443" s="13"/>
      <c r="K2443" s="25"/>
      <c r="L2443" s="25"/>
      <c r="M2443" s="25"/>
      <c r="N2443" s="25"/>
      <c r="O2443" s="26"/>
      <c r="P2443" s="16" t="str">
        <f aca="false">IF(O2443="","",IFERROR(1/(1/(IF(K2443="",INDEX(CONFIG!$F$5:$F$14,MATCH(D2443,CONFIG!$D$5:$D$14,0)),K2443)*IF(M2443="",INDEX(CONFIG!$H$5:$H$14,MATCH(D2443,CONFIG!$D$5:$D$14,0)),M2443))),""))</f>
        <v/>
      </c>
      <c r="Q2443" s="16" t="str">
        <f aca="false">IF(OR(O2443="",P2443=""),"",O2443/P2443)</f>
        <v/>
      </c>
      <c r="R2443" s="16" t="str">
        <f aca="false">IF(Q2443="","",Q2443*0.0980665)</f>
        <v/>
      </c>
      <c r="S2443" s="16" t="str">
        <f aca="false">IF(Q2443="","",IFERROR(Q2443/(1/(1/INDEX(CONFIG!$I$5:$I$14,MATCH(D2443,CONFIG!$D$5:$D$14,0)))),""))</f>
        <v/>
      </c>
      <c r="T2443" s="13"/>
      <c r="U2443" s="13"/>
      <c r="V2443" s="13"/>
      <c r="W2443" s="13"/>
      <c r="X2443" s="22" t="str">
        <f aca="false">IF(Q2443="","",Q2443^2)</f>
        <v/>
      </c>
      <c r="Y2443" s="22" t="str">
        <f aca="false">IF(AND(C2443&lt;&gt;"",C2443=CERTIFICADO!$E$4,OR(CERTIFICADO!$E$5="",B2443=CERTIFICADO!$E$5)),MAX($Y$4:Y2442)+1,"")</f>
        <v/>
      </c>
    </row>
    <row r="2444" customFormat="false" ht="15" hidden="false" customHeight="false" outlineLevel="0" collapsed="false">
      <c r="A2444" s="11" t="str">
        <f aca="false">IF(C2444="","",ROW()-4)</f>
        <v/>
      </c>
      <c r="B2444" s="12"/>
      <c r="C2444" s="13"/>
      <c r="D2444" s="23" t="str">
        <f aca="false">IF(C2444="","",IFERROR(INDEX(LOTES!$D$5:$D$1004,MATCH(C2444,LOTES!$F$5:$F$1004,0)),"¿Lote?"))</f>
        <v/>
      </c>
      <c r="E2444" s="11" t="str">
        <f aca="false">IF(C2444="","",IFERROR(INDEX(LOTES!$C$5:$C$1004,MATCH(C2444,LOTES!$F$5:$F$1004,0)),""))</f>
        <v/>
      </c>
      <c r="F2444" s="24" t="str">
        <f aca="false">IF(C2444="","",IFERROR(INDEX(LOTES!$B$5:$B$1004,MATCH(C2444,LOTES!$F$5:$F$1004,0)),""))</f>
        <v/>
      </c>
      <c r="G2444" s="15" t="str">
        <f aca="false">IF(OR(B2444="",F2444=""),"",B2444-F2444)</f>
        <v/>
      </c>
      <c r="H2444" s="13"/>
      <c r="I2444" s="13"/>
      <c r="J2444" s="13"/>
      <c r="K2444" s="25"/>
      <c r="L2444" s="25"/>
      <c r="M2444" s="25"/>
      <c r="N2444" s="25"/>
      <c r="O2444" s="26"/>
      <c r="P2444" s="16" t="str">
        <f aca="false">IF(O2444="","",IFERROR(1/(1/(IF(K2444="",INDEX(CONFIG!$F$5:$F$14,MATCH(D2444,CONFIG!$D$5:$D$14,0)),K2444)*IF(M2444="",INDEX(CONFIG!$H$5:$H$14,MATCH(D2444,CONFIG!$D$5:$D$14,0)),M2444))),""))</f>
        <v/>
      </c>
      <c r="Q2444" s="16" t="str">
        <f aca="false">IF(OR(O2444="",P2444=""),"",O2444/P2444)</f>
        <v/>
      </c>
      <c r="R2444" s="16" t="str">
        <f aca="false">IF(Q2444="","",Q2444*0.0980665)</f>
        <v/>
      </c>
      <c r="S2444" s="16" t="str">
        <f aca="false">IF(Q2444="","",IFERROR(Q2444/(1/(1/INDEX(CONFIG!$I$5:$I$14,MATCH(D2444,CONFIG!$D$5:$D$14,0)))),""))</f>
        <v/>
      </c>
      <c r="T2444" s="13"/>
      <c r="U2444" s="13"/>
      <c r="V2444" s="13"/>
      <c r="W2444" s="13"/>
      <c r="X2444" s="22" t="str">
        <f aca="false">IF(Q2444="","",Q2444^2)</f>
        <v/>
      </c>
      <c r="Y2444" s="22" t="str">
        <f aca="false">IF(AND(C2444&lt;&gt;"",C2444=CERTIFICADO!$E$4,OR(CERTIFICADO!$E$5="",B2444=CERTIFICADO!$E$5)),MAX($Y$4:Y2443)+1,"")</f>
        <v/>
      </c>
    </row>
    <row r="2445" customFormat="false" ht="15" hidden="false" customHeight="false" outlineLevel="0" collapsed="false">
      <c r="A2445" s="11" t="str">
        <f aca="false">IF(C2445="","",ROW()-4)</f>
        <v/>
      </c>
      <c r="B2445" s="12"/>
      <c r="C2445" s="13"/>
      <c r="D2445" s="23" t="str">
        <f aca="false">IF(C2445="","",IFERROR(INDEX(LOTES!$D$5:$D$1004,MATCH(C2445,LOTES!$F$5:$F$1004,0)),"¿Lote?"))</f>
        <v/>
      </c>
      <c r="E2445" s="11" t="str">
        <f aca="false">IF(C2445="","",IFERROR(INDEX(LOTES!$C$5:$C$1004,MATCH(C2445,LOTES!$F$5:$F$1004,0)),""))</f>
        <v/>
      </c>
      <c r="F2445" s="24" t="str">
        <f aca="false">IF(C2445="","",IFERROR(INDEX(LOTES!$B$5:$B$1004,MATCH(C2445,LOTES!$F$5:$F$1004,0)),""))</f>
        <v/>
      </c>
      <c r="G2445" s="15" t="str">
        <f aca="false">IF(OR(B2445="",F2445=""),"",B2445-F2445)</f>
        <v/>
      </c>
      <c r="H2445" s="13"/>
      <c r="I2445" s="13"/>
      <c r="J2445" s="13"/>
      <c r="K2445" s="25"/>
      <c r="L2445" s="25"/>
      <c r="M2445" s="25"/>
      <c r="N2445" s="25"/>
      <c r="O2445" s="26"/>
      <c r="P2445" s="16" t="str">
        <f aca="false">IF(O2445="","",IFERROR(1/(1/(IF(K2445="",INDEX(CONFIG!$F$5:$F$14,MATCH(D2445,CONFIG!$D$5:$D$14,0)),K2445)*IF(M2445="",INDEX(CONFIG!$H$5:$H$14,MATCH(D2445,CONFIG!$D$5:$D$14,0)),M2445))),""))</f>
        <v/>
      </c>
      <c r="Q2445" s="16" t="str">
        <f aca="false">IF(OR(O2445="",P2445=""),"",O2445/P2445)</f>
        <v/>
      </c>
      <c r="R2445" s="16" t="str">
        <f aca="false">IF(Q2445="","",Q2445*0.0980665)</f>
        <v/>
      </c>
      <c r="S2445" s="16" t="str">
        <f aca="false">IF(Q2445="","",IFERROR(Q2445/(1/(1/INDEX(CONFIG!$I$5:$I$14,MATCH(D2445,CONFIG!$D$5:$D$14,0)))),""))</f>
        <v/>
      </c>
      <c r="T2445" s="13"/>
      <c r="U2445" s="13"/>
      <c r="V2445" s="13"/>
      <c r="W2445" s="13"/>
      <c r="X2445" s="22" t="str">
        <f aca="false">IF(Q2445="","",Q2445^2)</f>
        <v/>
      </c>
      <c r="Y2445" s="22" t="str">
        <f aca="false">IF(AND(C2445&lt;&gt;"",C2445=CERTIFICADO!$E$4,OR(CERTIFICADO!$E$5="",B2445=CERTIFICADO!$E$5)),MAX($Y$4:Y2444)+1,"")</f>
        <v/>
      </c>
    </row>
    <row r="2446" customFormat="false" ht="15" hidden="false" customHeight="false" outlineLevel="0" collapsed="false">
      <c r="A2446" s="11" t="str">
        <f aca="false">IF(C2446="","",ROW()-4)</f>
        <v/>
      </c>
      <c r="B2446" s="12"/>
      <c r="C2446" s="13"/>
      <c r="D2446" s="23" t="str">
        <f aca="false">IF(C2446="","",IFERROR(INDEX(LOTES!$D$5:$D$1004,MATCH(C2446,LOTES!$F$5:$F$1004,0)),"¿Lote?"))</f>
        <v/>
      </c>
      <c r="E2446" s="11" t="str">
        <f aca="false">IF(C2446="","",IFERROR(INDEX(LOTES!$C$5:$C$1004,MATCH(C2446,LOTES!$F$5:$F$1004,0)),""))</f>
        <v/>
      </c>
      <c r="F2446" s="24" t="str">
        <f aca="false">IF(C2446="","",IFERROR(INDEX(LOTES!$B$5:$B$1004,MATCH(C2446,LOTES!$F$5:$F$1004,0)),""))</f>
        <v/>
      </c>
      <c r="G2446" s="15" t="str">
        <f aca="false">IF(OR(B2446="",F2446=""),"",B2446-F2446)</f>
        <v/>
      </c>
      <c r="H2446" s="13"/>
      <c r="I2446" s="13"/>
      <c r="J2446" s="13"/>
      <c r="K2446" s="25"/>
      <c r="L2446" s="25"/>
      <c r="M2446" s="25"/>
      <c r="N2446" s="25"/>
      <c r="O2446" s="26"/>
      <c r="P2446" s="16" t="str">
        <f aca="false">IF(O2446="","",IFERROR(1/(1/(IF(K2446="",INDEX(CONFIG!$F$5:$F$14,MATCH(D2446,CONFIG!$D$5:$D$14,0)),K2446)*IF(M2446="",INDEX(CONFIG!$H$5:$H$14,MATCH(D2446,CONFIG!$D$5:$D$14,0)),M2446))),""))</f>
        <v/>
      </c>
      <c r="Q2446" s="16" t="str">
        <f aca="false">IF(OR(O2446="",P2446=""),"",O2446/P2446)</f>
        <v/>
      </c>
      <c r="R2446" s="16" t="str">
        <f aca="false">IF(Q2446="","",Q2446*0.0980665)</f>
        <v/>
      </c>
      <c r="S2446" s="16" t="str">
        <f aca="false">IF(Q2446="","",IFERROR(Q2446/(1/(1/INDEX(CONFIG!$I$5:$I$14,MATCH(D2446,CONFIG!$D$5:$D$14,0)))),""))</f>
        <v/>
      </c>
      <c r="T2446" s="13"/>
      <c r="U2446" s="13"/>
      <c r="V2446" s="13"/>
      <c r="W2446" s="13"/>
      <c r="X2446" s="22" t="str">
        <f aca="false">IF(Q2446="","",Q2446^2)</f>
        <v/>
      </c>
      <c r="Y2446" s="22" t="str">
        <f aca="false">IF(AND(C2446&lt;&gt;"",C2446=CERTIFICADO!$E$4,OR(CERTIFICADO!$E$5="",B2446=CERTIFICADO!$E$5)),MAX($Y$4:Y2445)+1,"")</f>
        <v/>
      </c>
    </row>
    <row r="2447" customFormat="false" ht="15" hidden="false" customHeight="false" outlineLevel="0" collapsed="false">
      <c r="A2447" s="11" t="str">
        <f aca="false">IF(C2447="","",ROW()-4)</f>
        <v/>
      </c>
      <c r="B2447" s="12"/>
      <c r="C2447" s="13"/>
      <c r="D2447" s="23" t="str">
        <f aca="false">IF(C2447="","",IFERROR(INDEX(LOTES!$D$5:$D$1004,MATCH(C2447,LOTES!$F$5:$F$1004,0)),"¿Lote?"))</f>
        <v/>
      </c>
      <c r="E2447" s="11" t="str">
        <f aca="false">IF(C2447="","",IFERROR(INDEX(LOTES!$C$5:$C$1004,MATCH(C2447,LOTES!$F$5:$F$1004,0)),""))</f>
        <v/>
      </c>
      <c r="F2447" s="24" t="str">
        <f aca="false">IF(C2447="","",IFERROR(INDEX(LOTES!$B$5:$B$1004,MATCH(C2447,LOTES!$F$5:$F$1004,0)),""))</f>
        <v/>
      </c>
      <c r="G2447" s="15" t="str">
        <f aca="false">IF(OR(B2447="",F2447=""),"",B2447-F2447)</f>
        <v/>
      </c>
      <c r="H2447" s="13"/>
      <c r="I2447" s="13"/>
      <c r="J2447" s="13"/>
      <c r="K2447" s="25"/>
      <c r="L2447" s="25"/>
      <c r="M2447" s="25"/>
      <c r="N2447" s="25"/>
      <c r="O2447" s="26"/>
      <c r="P2447" s="16" t="str">
        <f aca="false">IF(O2447="","",IFERROR(1/(1/(IF(K2447="",INDEX(CONFIG!$F$5:$F$14,MATCH(D2447,CONFIG!$D$5:$D$14,0)),K2447)*IF(M2447="",INDEX(CONFIG!$H$5:$H$14,MATCH(D2447,CONFIG!$D$5:$D$14,0)),M2447))),""))</f>
        <v/>
      </c>
      <c r="Q2447" s="16" t="str">
        <f aca="false">IF(OR(O2447="",P2447=""),"",O2447/P2447)</f>
        <v/>
      </c>
      <c r="R2447" s="16" t="str">
        <f aca="false">IF(Q2447="","",Q2447*0.0980665)</f>
        <v/>
      </c>
      <c r="S2447" s="16" t="str">
        <f aca="false">IF(Q2447="","",IFERROR(Q2447/(1/(1/INDEX(CONFIG!$I$5:$I$14,MATCH(D2447,CONFIG!$D$5:$D$14,0)))),""))</f>
        <v/>
      </c>
      <c r="T2447" s="13"/>
      <c r="U2447" s="13"/>
      <c r="V2447" s="13"/>
      <c r="W2447" s="13"/>
      <c r="X2447" s="22" t="str">
        <f aca="false">IF(Q2447="","",Q2447^2)</f>
        <v/>
      </c>
      <c r="Y2447" s="22" t="str">
        <f aca="false">IF(AND(C2447&lt;&gt;"",C2447=CERTIFICADO!$E$4,OR(CERTIFICADO!$E$5="",B2447=CERTIFICADO!$E$5)),MAX($Y$4:Y2446)+1,"")</f>
        <v/>
      </c>
    </row>
    <row r="2448" customFormat="false" ht="15" hidden="false" customHeight="false" outlineLevel="0" collapsed="false">
      <c r="A2448" s="11" t="str">
        <f aca="false">IF(C2448="","",ROW()-4)</f>
        <v/>
      </c>
      <c r="B2448" s="12"/>
      <c r="C2448" s="13"/>
      <c r="D2448" s="23" t="str">
        <f aca="false">IF(C2448="","",IFERROR(INDEX(LOTES!$D$5:$D$1004,MATCH(C2448,LOTES!$F$5:$F$1004,0)),"¿Lote?"))</f>
        <v/>
      </c>
      <c r="E2448" s="11" t="str">
        <f aca="false">IF(C2448="","",IFERROR(INDEX(LOTES!$C$5:$C$1004,MATCH(C2448,LOTES!$F$5:$F$1004,0)),""))</f>
        <v/>
      </c>
      <c r="F2448" s="24" t="str">
        <f aca="false">IF(C2448="","",IFERROR(INDEX(LOTES!$B$5:$B$1004,MATCH(C2448,LOTES!$F$5:$F$1004,0)),""))</f>
        <v/>
      </c>
      <c r="G2448" s="15" t="str">
        <f aca="false">IF(OR(B2448="",F2448=""),"",B2448-F2448)</f>
        <v/>
      </c>
      <c r="H2448" s="13"/>
      <c r="I2448" s="13"/>
      <c r="J2448" s="13"/>
      <c r="K2448" s="25"/>
      <c r="L2448" s="25"/>
      <c r="M2448" s="25"/>
      <c r="N2448" s="25"/>
      <c r="O2448" s="26"/>
      <c r="P2448" s="16" t="str">
        <f aca="false">IF(O2448="","",IFERROR(1/(1/(IF(K2448="",INDEX(CONFIG!$F$5:$F$14,MATCH(D2448,CONFIG!$D$5:$D$14,0)),K2448)*IF(M2448="",INDEX(CONFIG!$H$5:$H$14,MATCH(D2448,CONFIG!$D$5:$D$14,0)),M2448))),""))</f>
        <v/>
      </c>
      <c r="Q2448" s="16" t="str">
        <f aca="false">IF(OR(O2448="",P2448=""),"",O2448/P2448)</f>
        <v/>
      </c>
      <c r="R2448" s="16" t="str">
        <f aca="false">IF(Q2448="","",Q2448*0.0980665)</f>
        <v/>
      </c>
      <c r="S2448" s="16" t="str">
        <f aca="false">IF(Q2448="","",IFERROR(Q2448/(1/(1/INDEX(CONFIG!$I$5:$I$14,MATCH(D2448,CONFIG!$D$5:$D$14,0)))),""))</f>
        <v/>
      </c>
      <c r="T2448" s="13"/>
      <c r="U2448" s="13"/>
      <c r="V2448" s="13"/>
      <c r="W2448" s="13"/>
      <c r="X2448" s="22" t="str">
        <f aca="false">IF(Q2448="","",Q2448^2)</f>
        <v/>
      </c>
      <c r="Y2448" s="22" t="str">
        <f aca="false">IF(AND(C2448&lt;&gt;"",C2448=CERTIFICADO!$E$4,OR(CERTIFICADO!$E$5="",B2448=CERTIFICADO!$E$5)),MAX($Y$4:Y2447)+1,"")</f>
        <v/>
      </c>
    </row>
    <row r="2449" customFormat="false" ht="15" hidden="false" customHeight="false" outlineLevel="0" collapsed="false">
      <c r="A2449" s="11" t="str">
        <f aca="false">IF(C2449="","",ROW()-4)</f>
        <v/>
      </c>
      <c r="B2449" s="12"/>
      <c r="C2449" s="13"/>
      <c r="D2449" s="23" t="str">
        <f aca="false">IF(C2449="","",IFERROR(INDEX(LOTES!$D$5:$D$1004,MATCH(C2449,LOTES!$F$5:$F$1004,0)),"¿Lote?"))</f>
        <v/>
      </c>
      <c r="E2449" s="11" t="str">
        <f aca="false">IF(C2449="","",IFERROR(INDEX(LOTES!$C$5:$C$1004,MATCH(C2449,LOTES!$F$5:$F$1004,0)),""))</f>
        <v/>
      </c>
      <c r="F2449" s="24" t="str">
        <f aca="false">IF(C2449="","",IFERROR(INDEX(LOTES!$B$5:$B$1004,MATCH(C2449,LOTES!$F$5:$F$1004,0)),""))</f>
        <v/>
      </c>
      <c r="G2449" s="15" t="str">
        <f aca="false">IF(OR(B2449="",F2449=""),"",B2449-F2449)</f>
        <v/>
      </c>
      <c r="H2449" s="13"/>
      <c r="I2449" s="13"/>
      <c r="J2449" s="13"/>
      <c r="K2449" s="25"/>
      <c r="L2449" s="25"/>
      <c r="M2449" s="25"/>
      <c r="N2449" s="25"/>
      <c r="O2449" s="26"/>
      <c r="P2449" s="16" t="str">
        <f aca="false">IF(O2449="","",IFERROR(1/(1/(IF(K2449="",INDEX(CONFIG!$F$5:$F$14,MATCH(D2449,CONFIG!$D$5:$D$14,0)),K2449)*IF(M2449="",INDEX(CONFIG!$H$5:$H$14,MATCH(D2449,CONFIG!$D$5:$D$14,0)),M2449))),""))</f>
        <v/>
      </c>
      <c r="Q2449" s="16" t="str">
        <f aca="false">IF(OR(O2449="",P2449=""),"",O2449/P2449)</f>
        <v/>
      </c>
      <c r="R2449" s="16" t="str">
        <f aca="false">IF(Q2449="","",Q2449*0.0980665)</f>
        <v/>
      </c>
      <c r="S2449" s="16" t="str">
        <f aca="false">IF(Q2449="","",IFERROR(Q2449/(1/(1/INDEX(CONFIG!$I$5:$I$14,MATCH(D2449,CONFIG!$D$5:$D$14,0)))),""))</f>
        <v/>
      </c>
      <c r="T2449" s="13"/>
      <c r="U2449" s="13"/>
      <c r="V2449" s="13"/>
      <c r="W2449" s="13"/>
      <c r="X2449" s="22" t="str">
        <f aca="false">IF(Q2449="","",Q2449^2)</f>
        <v/>
      </c>
      <c r="Y2449" s="22" t="str">
        <f aca="false">IF(AND(C2449&lt;&gt;"",C2449=CERTIFICADO!$E$4,OR(CERTIFICADO!$E$5="",B2449=CERTIFICADO!$E$5)),MAX($Y$4:Y2448)+1,"")</f>
        <v/>
      </c>
    </row>
    <row r="2450" customFormat="false" ht="15" hidden="false" customHeight="false" outlineLevel="0" collapsed="false">
      <c r="A2450" s="11" t="str">
        <f aca="false">IF(C2450="","",ROW()-4)</f>
        <v/>
      </c>
      <c r="B2450" s="12"/>
      <c r="C2450" s="13"/>
      <c r="D2450" s="23" t="str">
        <f aca="false">IF(C2450="","",IFERROR(INDEX(LOTES!$D$5:$D$1004,MATCH(C2450,LOTES!$F$5:$F$1004,0)),"¿Lote?"))</f>
        <v/>
      </c>
      <c r="E2450" s="11" t="str">
        <f aca="false">IF(C2450="","",IFERROR(INDEX(LOTES!$C$5:$C$1004,MATCH(C2450,LOTES!$F$5:$F$1004,0)),""))</f>
        <v/>
      </c>
      <c r="F2450" s="24" t="str">
        <f aca="false">IF(C2450="","",IFERROR(INDEX(LOTES!$B$5:$B$1004,MATCH(C2450,LOTES!$F$5:$F$1004,0)),""))</f>
        <v/>
      </c>
      <c r="G2450" s="15" t="str">
        <f aca="false">IF(OR(B2450="",F2450=""),"",B2450-F2450)</f>
        <v/>
      </c>
      <c r="H2450" s="13"/>
      <c r="I2450" s="13"/>
      <c r="J2450" s="13"/>
      <c r="K2450" s="25"/>
      <c r="L2450" s="25"/>
      <c r="M2450" s="25"/>
      <c r="N2450" s="25"/>
      <c r="O2450" s="26"/>
      <c r="P2450" s="16" t="str">
        <f aca="false">IF(O2450="","",IFERROR(1/(1/(IF(K2450="",INDEX(CONFIG!$F$5:$F$14,MATCH(D2450,CONFIG!$D$5:$D$14,0)),K2450)*IF(M2450="",INDEX(CONFIG!$H$5:$H$14,MATCH(D2450,CONFIG!$D$5:$D$14,0)),M2450))),""))</f>
        <v/>
      </c>
      <c r="Q2450" s="16" t="str">
        <f aca="false">IF(OR(O2450="",P2450=""),"",O2450/P2450)</f>
        <v/>
      </c>
      <c r="R2450" s="16" t="str">
        <f aca="false">IF(Q2450="","",Q2450*0.0980665)</f>
        <v/>
      </c>
      <c r="S2450" s="16" t="str">
        <f aca="false">IF(Q2450="","",IFERROR(Q2450/(1/(1/INDEX(CONFIG!$I$5:$I$14,MATCH(D2450,CONFIG!$D$5:$D$14,0)))),""))</f>
        <v/>
      </c>
      <c r="T2450" s="13"/>
      <c r="U2450" s="13"/>
      <c r="V2450" s="13"/>
      <c r="W2450" s="13"/>
      <c r="X2450" s="22" t="str">
        <f aca="false">IF(Q2450="","",Q2450^2)</f>
        <v/>
      </c>
      <c r="Y2450" s="22" t="str">
        <f aca="false">IF(AND(C2450&lt;&gt;"",C2450=CERTIFICADO!$E$4,OR(CERTIFICADO!$E$5="",B2450=CERTIFICADO!$E$5)),MAX($Y$4:Y2449)+1,"")</f>
        <v/>
      </c>
    </row>
    <row r="2451" customFormat="false" ht="15" hidden="false" customHeight="false" outlineLevel="0" collapsed="false">
      <c r="A2451" s="11" t="str">
        <f aca="false">IF(C2451="","",ROW()-4)</f>
        <v/>
      </c>
      <c r="B2451" s="12"/>
      <c r="C2451" s="13"/>
      <c r="D2451" s="23" t="str">
        <f aca="false">IF(C2451="","",IFERROR(INDEX(LOTES!$D$5:$D$1004,MATCH(C2451,LOTES!$F$5:$F$1004,0)),"¿Lote?"))</f>
        <v/>
      </c>
      <c r="E2451" s="11" t="str">
        <f aca="false">IF(C2451="","",IFERROR(INDEX(LOTES!$C$5:$C$1004,MATCH(C2451,LOTES!$F$5:$F$1004,0)),""))</f>
        <v/>
      </c>
      <c r="F2451" s="24" t="str">
        <f aca="false">IF(C2451="","",IFERROR(INDEX(LOTES!$B$5:$B$1004,MATCH(C2451,LOTES!$F$5:$F$1004,0)),""))</f>
        <v/>
      </c>
      <c r="G2451" s="15" t="str">
        <f aca="false">IF(OR(B2451="",F2451=""),"",B2451-F2451)</f>
        <v/>
      </c>
      <c r="H2451" s="13"/>
      <c r="I2451" s="13"/>
      <c r="J2451" s="13"/>
      <c r="K2451" s="25"/>
      <c r="L2451" s="25"/>
      <c r="M2451" s="25"/>
      <c r="N2451" s="25"/>
      <c r="O2451" s="26"/>
      <c r="P2451" s="16" t="str">
        <f aca="false">IF(O2451="","",IFERROR(1/(1/(IF(K2451="",INDEX(CONFIG!$F$5:$F$14,MATCH(D2451,CONFIG!$D$5:$D$14,0)),K2451)*IF(M2451="",INDEX(CONFIG!$H$5:$H$14,MATCH(D2451,CONFIG!$D$5:$D$14,0)),M2451))),""))</f>
        <v/>
      </c>
      <c r="Q2451" s="16" t="str">
        <f aca="false">IF(OR(O2451="",P2451=""),"",O2451/P2451)</f>
        <v/>
      </c>
      <c r="R2451" s="16" t="str">
        <f aca="false">IF(Q2451="","",Q2451*0.0980665)</f>
        <v/>
      </c>
      <c r="S2451" s="16" t="str">
        <f aca="false">IF(Q2451="","",IFERROR(Q2451/(1/(1/INDEX(CONFIG!$I$5:$I$14,MATCH(D2451,CONFIG!$D$5:$D$14,0)))),""))</f>
        <v/>
      </c>
      <c r="T2451" s="13"/>
      <c r="U2451" s="13"/>
      <c r="V2451" s="13"/>
      <c r="W2451" s="13"/>
      <c r="X2451" s="22" t="str">
        <f aca="false">IF(Q2451="","",Q2451^2)</f>
        <v/>
      </c>
      <c r="Y2451" s="22" t="str">
        <f aca="false">IF(AND(C2451&lt;&gt;"",C2451=CERTIFICADO!$E$4,OR(CERTIFICADO!$E$5="",B2451=CERTIFICADO!$E$5)),MAX($Y$4:Y2450)+1,"")</f>
        <v/>
      </c>
    </row>
    <row r="2452" customFormat="false" ht="15" hidden="false" customHeight="false" outlineLevel="0" collapsed="false">
      <c r="A2452" s="11" t="str">
        <f aca="false">IF(C2452="","",ROW()-4)</f>
        <v/>
      </c>
      <c r="B2452" s="12"/>
      <c r="C2452" s="13"/>
      <c r="D2452" s="23" t="str">
        <f aca="false">IF(C2452="","",IFERROR(INDEX(LOTES!$D$5:$D$1004,MATCH(C2452,LOTES!$F$5:$F$1004,0)),"¿Lote?"))</f>
        <v/>
      </c>
      <c r="E2452" s="11" t="str">
        <f aca="false">IF(C2452="","",IFERROR(INDEX(LOTES!$C$5:$C$1004,MATCH(C2452,LOTES!$F$5:$F$1004,0)),""))</f>
        <v/>
      </c>
      <c r="F2452" s="24" t="str">
        <f aca="false">IF(C2452="","",IFERROR(INDEX(LOTES!$B$5:$B$1004,MATCH(C2452,LOTES!$F$5:$F$1004,0)),""))</f>
        <v/>
      </c>
      <c r="G2452" s="15" t="str">
        <f aca="false">IF(OR(B2452="",F2452=""),"",B2452-F2452)</f>
        <v/>
      </c>
      <c r="H2452" s="13"/>
      <c r="I2452" s="13"/>
      <c r="J2452" s="13"/>
      <c r="K2452" s="25"/>
      <c r="L2452" s="25"/>
      <c r="M2452" s="25"/>
      <c r="N2452" s="25"/>
      <c r="O2452" s="26"/>
      <c r="P2452" s="16" t="str">
        <f aca="false">IF(O2452="","",IFERROR(1/(1/(IF(K2452="",INDEX(CONFIG!$F$5:$F$14,MATCH(D2452,CONFIG!$D$5:$D$14,0)),K2452)*IF(M2452="",INDEX(CONFIG!$H$5:$H$14,MATCH(D2452,CONFIG!$D$5:$D$14,0)),M2452))),""))</f>
        <v/>
      </c>
      <c r="Q2452" s="16" t="str">
        <f aca="false">IF(OR(O2452="",P2452=""),"",O2452/P2452)</f>
        <v/>
      </c>
      <c r="R2452" s="16" t="str">
        <f aca="false">IF(Q2452="","",Q2452*0.0980665)</f>
        <v/>
      </c>
      <c r="S2452" s="16" t="str">
        <f aca="false">IF(Q2452="","",IFERROR(Q2452/(1/(1/INDEX(CONFIG!$I$5:$I$14,MATCH(D2452,CONFIG!$D$5:$D$14,0)))),""))</f>
        <v/>
      </c>
      <c r="T2452" s="13"/>
      <c r="U2452" s="13"/>
      <c r="V2452" s="13"/>
      <c r="W2452" s="13"/>
      <c r="X2452" s="22" t="str">
        <f aca="false">IF(Q2452="","",Q2452^2)</f>
        <v/>
      </c>
      <c r="Y2452" s="22" t="str">
        <f aca="false">IF(AND(C2452&lt;&gt;"",C2452=CERTIFICADO!$E$4,OR(CERTIFICADO!$E$5="",B2452=CERTIFICADO!$E$5)),MAX($Y$4:Y2451)+1,"")</f>
        <v/>
      </c>
    </row>
    <row r="2453" customFormat="false" ht="15" hidden="false" customHeight="false" outlineLevel="0" collapsed="false">
      <c r="A2453" s="11" t="str">
        <f aca="false">IF(C2453="","",ROW()-4)</f>
        <v/>
      </c>
      <c r="B2453" s="12"/>
      <c r="C2453" s="13"/>
      <c r="D2453" s="23" t="str">
        <f aca="false">IF(C2453="","",IFERROR(INDEX(LOTES!$D$5:$D$1004,MATCH(C2453,LOTES!$F$5:$F$1004,0)),"¿Lote?"))</f>
        <v/>
      </c>
      <c r="E2453" s="11" t="str">
        <f aca="false">IF(C2453="","",IFERROR(INDEX(LOTES!$C$5:$C$1004,MATCH(C2453,LOTES!$F$5:$F$1004,0)),""))</f>
        <v/>
      </c>
      <c r="F2453" s="24" t="str">
        <f aca="false">IF(C2453="","",IFERROR(INDEX(LOTES!$B$5:$B$1004,MATCH(C2453,LOTES!$F$5:$F$1004,0)),""))</f>
        <v/>
      </c>
      <c r="G2453" s="15" t="str">
        <f aca="false">IF(OR(B2453="",F2453=""),"",B2453-F2453)</f>
        <v/>
      </c>
      <c r="H2453" s="13"/>
      <c r="I2453" s="13"/>
      <c r="J2453" s="13"/>
      <c r="K2453" s="25"/>
      <c r="L2453" s="25"/>
      <c r="M2453" s="25"/>
      <c r="N2453" s="25"/>
      <c r="O2453" s="26"/>
      <c r="P2453" s="16" t="str">
        <f aca="false">IF(O2453="","",IFERROR(1/(1/(IF(K2453="",INDEX(CONFIG!$F$5:$F$14,MATCH(D2453,CONFIG!$D$5:$D$14,0)),K2453)*IF(M2453="",INDEX(CONFIG!$H$5:$H$14,MATCH(D2453,CONFIG!$D$5:$D$14,0)),M2453))),""))</f>
        <v/>
      </c>
      <c r="Q2453" s="16" t="str">
        <f aca="false">IF(OR(O2453="",P2453=""),"",O2453/P2453)</f>
        <v/>
      </c>
      <c r="R2453" s="16" t="str">
        <f aca="false">IF(Q2453="","",Q2453*0.0980665)</f>
        <v/>
      </c>
      <c r="S2453" s="16" t="str">
        <f aca="false">IF(Q2453="","",IFERROR(Q2453/(1/(1/INDEX(CONFIG!$I$5:$I$14,MATCH(D2453,CONFIG!$D$5:$D$14,0)))),""))</f>
        <v/>
      </c>
      <c r="T2453" s="13"/>
      <c r="U2453" s="13"/>
      <c r="V2453" s="13"/>
      <c r="W2453" s="13"/>
      <c r="X2453" s="22" t="str">
        <f aca="false">IF(Q2453="","",Q2453^2)</f>
        <v/>
      </c>
      <c r="Y2453" s="22" t="str">
        <f aca="false">IF(AND(C2453&lt;&gt;"",C2453=CERTIFICADO!$E$4,OR(CERTIFICADO!$E$5="",B2453=CERTIFICADO!$E$5)),MAX($Y$4:Y2452)+1,"")</f>
        <v/>
      </c>
    </row>
    <row r="2454" customFormat="false" ht="15" hidden="false" customHeight="false" outlineLevel="0" collapsed="false">
      <c r="A2454" s="11" t="str">
        <f aca="false">IF(C2454="","",ROW()-4)</f>
        <v/>
      </c>
      <c r="B2454" s="12"/>
      <c r="C2454" s="13"/>
      <c r="D2454" s="23" t="str">
        <f aca="false">IF(C2454="","",IFERROR(INDEX(LOTES!$D$5:$D$1004,MATCH(C2454,LOTES!$F$5:$F$1004,0)),"¿Lote?"))</f>
        <v/>
      </c>
      <c r="E2454" s="11" t="str">
        <f aca="false">IF(C2454="","",IFERROR(INDEX(LOTES!$C$5:$C$1004,MATCH(C2454,LOTES!$F$5:$F$1004,0)),""))</f>
        <v/>
      </c>
      <c r="F2454" s="24" t="str">
        <f aca="false">IF(C2454="","",IFERROR(INDEX(LOTES!$B$5:$B$1004,MATCH(C2454,LOTES!$F$5:$F$1004,0)),""))</f>
        <v/>
      </c>
      <c r="G2454" s="15" t="str">
        <f aca="false">IF(OR(B2454="",F2454=""),"",B2454-F2454)</f>
        <v/>
      </c>
      <c r="H2454" s="13"/>
      <c r="I2454" s="13"/>
      <c r="J2454" s="13"/>
      <c r="K2454" s="25"/>
      <c r="L2454" s="25"/>
      <c r="M2454" s="25"/>
      <c r="N2454" s="25"/>
      <c r="O2454" s="26"/>
      <c r="P2454" s="16" t="str">
        <f aca="false">IF(O2454="","",IFERROR(1/(1/(IF(K2454="",INDEX(CONFIG!$F$5:$F$14,MATCH(D2454,CONFIG!$D$5:$D$14,0)),K2454)*IF(M2454="",INDEX(CONFIG!$H$5:$H$14,MATCH(D2454,CONFIG!$D$5:$D$14,0)),M2454))),""))</f>
        <v/>
      </c>
      <c r="Q2454" s="16" t="str">
        <f aca="false">IF(OR(O2454="",P2454=""),"",O2454/P2454)</f>
        <v/>
      </c>
      <c r="R2454" s="16" t="str">
        <f aca="false">IF(Q2454="","",Q2454*0.0980665)</f>
        <v/>
      </c>
      <c r="S2454" s="16" t="str">
        <f aca="false">IF(Q2454="","",IFERROR(Q2454/(1/(1/INDEX(CONFIG!$I$5:$I$14,MATCH(D2454,CONFIG!$D$5:$D$14,0)))),""))</f>
        <v/>
      </c>
      <c r="T2454" s="13"/>
      <c r="U2454" s="13"/>
      <c r="V2454" s="13"/>
      <c r="W2454" s="13"/>
      <c r="X2454" s="22" t="str">
        <f aca="false">IF(Q2454="","",Q2454^2)</f>
        <v/>
      </c>
      <c r="Y2454" s="22" t="str">
        <f aca="false">IF(AND(C2454&lt;&gt;"",C2454=CERTIFICADO!$E$4,OR(CERTIFICADO!$E$5="",B2454=CERTIFICADO!$E$5)),MAX($Y$4:Y2453)+1,"")</f>
        <v/>
      </c>
    </row>
    <row r="2455" customFormat="false" ht="15" hidden="false" customHeight="false" outlineLevel="0" collapsed="false">
      <c r="A2455" s="11" t="str">
        <f aca="false">IF(C2455="","",ROW()-4)</f>
        <v/>
      </c>
      <c r="B2455" s="12"/>
      <c r="C2455" s="13"/>
      <c r="D2455" s="23" t="str">
        <f aca="false">IF(C2455="","",IFERROR(INDEX(LOTES!$D$5:$D$1004,MATCH(C2455,LOTES!$F$5:$F$1004,0)),"¿Lote?"))</f>
        <v/>
      </c>
      <c r="E2455" s="11" t="str">
        <f aca="false">IF(C2455="","",IFERROR(INDEX(LOTES!$C$5:$C$1004,MATCH(C2455,LOTES!$F$5:$F$1004,0)),""))</f>
        <v/>
      </c>
      <c r="F2455" s="24" t="str">
        <f aca="false">IF(C2455="","",IFERROR(INDEX(LOTES!$B$5:$B$1004,MATCH(C2455,LOTES!$F$5:$F$1004,0)),""))</f>
        <v/>
      </c>
      <c r="G2455" s="15" t="str">
        <f aca="false">IF(OR(B2455="",F2455=""),"",B2455-F2455)</f>
        <v/>
      </c>
      <c r="H2455" s="13"/>
      <c r="I2455" s="13"/>
      <c r="J2455" s="13"/>
      <c r="K2455" s="25"/>
      <c r="L2455" s="25"/>
      <c r="M2455" s="25"/>
      <c r="N2455" s="25"/>
      <c r="O2455" s="26"/>
      <c r="P2455" s="16" t="str">
        <f aca="false">IF(O2455="","",IFERROR(1/(1/(IF(K2455="",INDEX(CONFIG!$F$5:$F$14,MATCH(D2455,CONFIG!$D$5:$D$14,0)),K2455)*IF(M2455="",INDEX(CONFIG!$H$5:$H$14,MATCH(D2455,CONFIG!$D$5:$D$14,0)),M2455))),""))</f>
        <v/>
      </c>
      <c r="Q2455" s="16" t="str">
        <f aca="false">IF(OR(O2455="",P2455=""),"",O2455/P2455)</f>
        <v/>
      </c>
      <c r="R2455" s="16" t="str">
        <f aca="false">IF(Q2455="","",Q2455*0.0980665)</f>
        <v/>
      </c>
      <c r="S2455" s="16" t="str">
        <f aca="false">IF(Q2455="","",IFERROR(Q2455/(1/(1/INDEX(CONFIG!$I$5:$I$14,MATCH(D2455,CONFIG!$D$5:$D$14,0)))),""))</f>
        <v/>
      </c>
      <c r="T2455" s="13"/>
      <c r="U2455" s="13"/>
      <c r="V2455" s="13"/>
      <c r="W2455" s="13"/>
      <c r="X2455" s="22" t="str">
        <f aca="false">IF(Q2455="","",Q2455^2)</f>
        <v/>
      </c>
      <c r="Y2455" s="22" t="str">
        <f aca="false">IF(AND(C2455&lt;&gt;"",C2455=CERTIFICADO!$E$4,OR(CERTIFICADO!$E$5="",B2455=CERTIFICADO!$E$5)),MAX($Y$4:Y2454)+1,"")</f>
        <v/>
      </c>
    </row>
    <row r="2456" customFormat="false" ht="15" hidden="false" customHeight="false" outlineLevel="0" collapsed="false">
      <c r="A2456" s="11" t="str">
        <f aca="false">IF(C2456="","",ROW()-4)</f>
        <v/>
      </c>
      <c r="B2456" s="12"/>
      <c r="C2456" s="13"/>
      <c r="D2456" s="23" t="str">
        <f aca="false">IF(C2456="","",IFERROR(INDEX(LOTES!$D$5:$D$1004,MATCH(C2456,LOTES!$F$5:$F$1004,0)),"¿Lote?"))</f>
        <v/>
      </c>
      <c r="E2456" s="11" t="str">
        <f aca="false">IF(C2456="","",IFERROR(INDEX(LOTES!$C$5:$C$1004,MATCH(C2456,LOTES!$F$5:$F$1004,0)),""))</f>
        <v/>
      </c>
      <c r="F2456" s="24" t="str">
        <f aca="false">IF(C2456="","",IFERROR(INDEX(LOTES!$B$5:$B$1004,MATCH(C2456,LOTES!$F$5:$F$1004,0)),""))</f>
        <v/>
      </c>
      <c r="G2456" s="15" t="str">
        <f aca="false">IF(OR(B2456="",F2456=""),"",B2456-F2456)</f>
        <v/>
      </c>
      <c r="H2456" s="13"/>
      <c r="I2456" s="13"/>
      <c r="J2456" s="13"/>
      <c r="K2456" s="25"/>
      <c r="L2456" s="25"/>
      <c r="M2456" s="25"/>
      <c r="N2456" s="25"/>
      <c r="O2456" s="26"/>
      <c r="P2456" s="16" t="str">
        <f aca="false">IF(O2456="","",IFERROR(1/(1/(IF(K2456="",INDEX(CONFIG!$F$5:$F$14,MATCH(D2456,CONFIG!$D$5:$D$14,0)),K2456)*IF(M2456="",INDEX(CONFIG!$H$5:$H$14,MATCH(D2456,CONFIG!$D$5:$D$14,0)),M2456))),""))</f>
        <v/>
      </c>
      <c r="Q2456" s="16" t="str">
        <f aca="false">IF(OR(O2456="",P2456=""),"",O2456/P2456)</f>
        <v/>
      </c>
      <c r="R2456" s="16" t="str">
        <f aca="false">IF(Q2456="","",Q2456*0.0980665)</f>
        <v/>
      </c>
      <c r="S2456" s="16" t="str">
        <f aca="false">IF(Q2456="","",IFERROR(Q2456/(1/(1/INDEX(CONFIG!$I$5:$I$14,MATCH(D2456,CONFIG!$D$5:$D$14,0)))),""))</f>
        <v/>
      </c>
      <c r="T2456" s="13"/>
      <c r="U2456" s="13"/>
      <c r="V2456" s="13"/>
      <c r="W2456" s="13"/>
      <c r="X2456" s="22" t="str">
        <f aca="false">IF(Q2456="","",Q2456^2)</f>
        <v/>
      </c>
      <c r="Y2456" s="22" t="str">
        <f aca="false">IF(AND(C2456&lt;&gt;"",C2456=CERTIFICADO!$E$4,OR(CERTIFICADO!$E$5="",B2456=CERTIFICADO!$E$5)),MAX($Y$4:Y2455)+1,"")</f>
        <v/>
      </c>
    </row>
    <row r="2457" customFormat="false" ht="15" hidden="false" customHeight="false" outlineLevel="0" collapsed="false">
      <c r="A2457" s="11" t="str">
        <f aca="false">IF(C2457="","",ROW()-4)</f>
        <v/>
      </c>
      <c r="B2457" s="12"/>
      <c r="C2457" s="13"/>
      <c r="D2457" s="23" t="str">
        <f aca="false">IF(C2457="","",IFERROR(INDEX(LOTES!$D$5:$D$1004,MATCH(C2457,LOTES!$F$5:$F$1004,0)),"¿Lote?"))</f>
        <v/>
      </c>
      <c r="E2457" s="11" t="str">
        <f aca="false">IF(C2457="","",IFERROR(INDEX(LOTES!$C$5:$C$1004,MATCH(C2457,LOTES!$F$5:$F$1004,0)),""))</f>
        <v/>
      </c>
      <c r="F2457" s="24" t="str">
        <f aca="false">IF(C2457="","",IFERROR(INDEX(LOTES!$B$5:$B$1004,MATCH(C2457,LOTES!$F$5:$F$1004,0)),""))</f>
        <v/>
      </c>
      <c r="G2457" s="15" t="str">
        <f aca="false">IF(OR(B2457="",F2457=""),"",B2457-F2457)</f>
        <v/>
      </c>
      <c r="H2457" s="13"/>
      <c r="I2457" s="13"/>
      <c r="J2457" s="13"/>
      <c r="K2457" s="25"/>
      <c r="L2457" s="25"/>
      <c r="M2457" s="25"/>
      <c r="N2457" s="25"/>
      <c r="O2457" s="26"/>
      <c r="P2457" s="16" t="str">
        <f aca="false">IF(O2457="","",IFERROR(1/(1/(IF(K2457="",INDEX(CONFIG!$F$5:$F$14,MATCH(D2457,CONFIG!$D$5:$D$14,0)),K2457)*IF(M2457="",INDEX(CONFIG!$H$5:$H$14,MATCH(D2457,CONFIG!$D$5:$D$14,0)),M2457))),""))</f>
        <v/>
      </c>
      <c r="Q2457" s="16" t="str">
        <f aca="false">IF(OR(O2457="",P2457=""),"",O2457/P2457)</f>
        <v/>
      </c>
      <c r="R2457" s="16" t="str">
        <f aca="false">IF(Q2457="","",Q2457*0.0980665)</f>
        <v/>
      </c>
      <c r="S2457" s="16" t="str">
        <f aca="false">IF(Q2457="","",IFERROR(Q2457/(1/(1/INDEX(CONFIG!$I$5:$I$14,MATCH(D2457,CONFIG!$D$5:$D$14,0)))),""))</f>
        <v/>
      </c>
      <c r="T2457" s="13"/>
      <c r="U2457" s="13"/>
      <c r="V2457" s="13"/>
      <c r="W2457" s="13"/>
      <c r="X2457" s="22" t="str">
        <f aca="false">IF(Q2457="","",Q2457^2)</f>
        <v/>
      </c>
      <c r="Y2457" s="22" t="str">
        <f aca="false">IF(AND(C2457&lt;&gt;"",C2457=CERTIFICADO!$E$4,OR(CERTIFICADO!$E$5="",B2457=CERTIFICADO!$E$5)),MAX($Y$4:Y2456)+1,"")</f>
        <v/>
      </c>
    </row>
    <row r="2458" customFormat="false" ht="15" hidden="false" customHeight="false" outlineLevel="0" collapsed="false">
      <c r="A2458" s="11" t="str">
        <f aca="false">IF(C2458="","",ROW()-4)</f>
        <v/>
      </c>
      <c r="B2458" s="12"/>
      <c r="C2458" s="13"/>
      <c r="D2458" s="23" t="str">
        <f aca="false">IF(C2458="","",IFERROR(INDEX(LOTES!$D$5:$D$1004,MATCH(C2458,LOTES!$F$5:$F$1004,0)),"¿Lote?"))</f>
        <v/>
      </c>
      <c r="E2458" s="11" t="str">
        <f aca="false">IF(C2458="","",IFERROR(INDEX(LOTES!$C$5:$C$1004,MATCH(C2458,LOTES!$F$5:$F$1004,0)),""))</f>
        <v/>
      </c>
      <c r="F2458" s="24" t="str">
        <f aca="false">IF(C2458="","",IFERROR(INDEX(LOTES!$B$5:$B$1004,MATCH(C2458,LOTES!$F$5:$F$1004,0)),""))</f>
        <v/>
      </c>
      <c r="G2458" s="15" t="str">
        <f aca="false">IF(OR(B2458="",F2458=""),"",B2458-F2458)</f>
        <v/>
      </c>
      <c r="H2458" s="13"/>
      <c r="I2458" s="13"/>
      <c r="J2458" s="13"/>
      <c r="K2458" s="25"/>
      <c r="L2458" s="25"/>
      <c r="M2458" s="25"/>
      <c r="N2458" s="25"/>
      <c r="O2458" s="26"/>
      <c r="P2458" s="16" t="str">
        <f aca="false">IF(O2458="","",IFERROR(1/(1/(IF(K2458="",INDEX(CONFIG!$F$5:$F$14,MATCH(D2458,CONFIG!$D$5:$D$14,0)),K2458)*IF(M2458="",INDEX(CONFIG!$H$5:$H$14,MATCH(D2458,CONFIG!$D$5:$D$14,0)),M2458))),""))</f>
        <v/>
      </c>
      <c r="Q2458" s="16" t="str">
        <f aca="false">IF(OR(O2458="",P2458=""),"",O2458/P2458)</f>
        <v/>
      </c>
      <c r="R2458" s="16" t="str">
        <f aca="false">IF(Q2458="","",Q2458*0.0980665)</f>
        <v/>
      </c>
      <c r="S2458" s="16" t="str">
        <f aca="false">IF(Q2458="","",IFERROR(Q2458/(1/(1/INDEX(CONFIG!$I$5:$I$14,MATCH(D2458,CONFIG!$D$5:$D$14,0)))),""))</f>
        <v/>
      </c>
      <c r="T2458" s="13"/>
      <c r="U2458" s="13"/>
      <c r="V2458" s="13"/>
      <c r="W2458" s="13"/>
      <c r="X2458" s="22" t="str">
        <f aca="false">IF(Q2458="","",Q2458^2)</f>
        <v/>
      </c>
      <c r="Y2458" s="22" t="str">
        <f aca="false">IF(AND(C2458&lt;&gt;"",C2458=CERTIFICADO!$E$4,OR(CERTIFICADO!$E$5="",B2458=CERTIFICADO!$E$5)),MAX($Y$4:Y2457)+1,"")</f>
        <v/>
      </c>
    </row>
    <row r="2459" customFormat="false" ht="15" hidden="false" customHeight="false" outlineLevel="0" collapsed="false">
      <c r="A2459" s="11" t="str">
        <f aca="false">IF(C2459="","",ROW()-4)</f>
        <v/>
      </c>
      <c r="B2459" s="12"/>
      <c r="C2459" s="13"/>
      <c r="D2459" s="23" t="str">
        <f aca="false">IF(C2459="","",IFERROR(INDEX(LOTES!$D$5:$D$1004,MATCH(C2459,LOTES!$F$5:$F$1004,0)),"¿Lote?"))</f>
        <v/>
      </c>
      <c r="E2459" s="11" t="str">
        <f aca="false">IF(C2459="","",IFERROR(INDEX(LOTES!$C$5:$C$1004,MATCH(C2459,LOTES!$F$5:$F$1004,0)),""))</f>
        <v/>
      </c>
      <c r="F2459" s="24" t="str">
        <f aca="false">IF(C2459="","",IFERROR(INDEX(LOTES!$B$5:$B$1004,MATCH(C2459,LOTES!$F$5:$F$1004,0)),""))</f>
        <v/>
      </c>
      <c r="G2459" s="15" t="str">
        <f aca="false">IF(OR(B2459="",F2459=""),"",B2459-F2459)</f>
        <v/>
      </c>
      <c r="H2459" s="13"/>
      <c r="I2459" s="13"/>
      <c r="J2459" s="13"/>
      <c r="K2459" s="25"/>
      <c r="L2459" s="25"/>
      <c r="M2459" s="25"/>
      <c r="N2459" s="25"/>
      <c r="O2459" s="26"/>
      <c r="P2459" s="16" t="str">
        <f aca="false">IF(O2459="","",IFERROR(1/(1/(IF(K2459="",INDEX(CONFIG!$F$5:$F$14,MATCH(D2459,CONFIG!$D$5:$D$14,0)),K2459)*IF(M2459="",INDEX(CONFIG!$H$5:$H$14,MATCH(D2459,CONFIG!$D$5:$D$14,0)),M2459))),""))</f>
        <v/>
      </c>
      <c r="Q2459" s="16" t="str">
        <f aca="false">IF(OR(O2459="",P2459=""),"",O2459/P2459)</f>
        <v/>
      </c>
      <c r="R2459" s="16" t="str">
        <f aca="false">IF(Q2459="","",Q2459*0.0980665)</f>
        <v/>
      </c>
      <c r="S2459" s="16" t="str">
        <f aca="false">IF(Q2459="","",IFERROR(Q2459/(1/(1/INDEX(CONFIG!$I$5:$I$14,MATCH(D2459,CONFIG!$D$5:$D$14,0)))),""))</f>
        <v/>
      </c>
      <c r="T2459" s="13"/>
      <c r="U2459" s="13"/>
      <c r="V2459" s="13"/>
      <c r="W2459" s="13"/>
      <c r="X2459" s="22" t="str">
        <f aca="false">IF(Q2459="","",Q2459^2)</f>
        <v/>
      </c>
      <c r="Y2459" s="22" t="str">
        <f aca="false">IF(AND(C2459&lt;&gt;"",C2459=CERTIFICADO!$E$4,OR(CERTIFICADO!$E$5="",B2459=CERTIFICADO!$E$5)),MAX($Y$4:Y2458)+1,"")</f>
        <v/>
      </c>
    </row>
    <row r="2460" customFormat="false" ht="15" hidden="false" customHeight="false" outlineLevel="0" collapsed="false">
      <c r="A2460" s="11" t="str">
        <f aca="false">IF(C2460="","",ROW()-4)</f>
        <v/>
      </c>
      <c r="B2460" s="12"/>
      <c r="C2460" s="13"/>
      <c r="D2460" s="23" t="str">
        <f aca="false">IF(C2460="","",IFERROR(INDEX(LOTES!$D$5:$D$1004,MATCH(C2460,LOTES!$F$5:$F$1004,0)),"¿Lote?"))</f>
        <v/>
      </c>
      <c r="E2460" s="11" t="str">
        <f aca="false">IF(C2460="","",IFERROR(INDEX(LOTES!$C$5:$C$1004,MATCH(C2460,LOTES!$F$5:$F$1004,0)),""))</f>
        <v/>
      </c>
      <c r="F2460" s="24" t="str">
        <f aca="false">IF(C2460="","",IFERROR(INDEX(LOTES!$B$5:$B$1004,MATCH(C2460,LOTES!$F$5:$F$1004,0)),""))</f>
        <v/>
      </c>
      <c r="G2460" s="15" t="str">
        <f aca="false">IF(OR(B2460="",F2460=""),"",B2460-F2460)</f>
        <v/>
      </c>
      <c r="H2460" s="13"/>
      <c r="I2460" s="13"/>
      <c r="J2460" s="13"/>
      <c r="K2460" s="25"/>
      <c r="L2460" s="25"/>
      <c r="M2460" s="25"/>
      <c r="N2460" s="25"/>
      <c r="O2460" s="26"/>
      <c r="P2460" s="16" t="str">
        <f aca="false">IF(O2460="","",IFERROR(1/(1/(IF(K2460="",INDEX(CONFIG!$F$5:$F$14,MATCH(D2460,CONFIG!$D$5:$D$14,0)),K2460)*IF(M2460="",INDEX(CONFIG!$H$5:$H$14,MATCH(D2460,CONFIG!$D$5:$D$14,0)),M2460))),""))</f>
        <v/>
      </c>
      <c r="Q2460" s="16" t="str">
        <f aca="false">IF(OR(O2460="",P2460=""),"",O2460/P2460)</f>
        <v/>
      </c>
      <c r="R2460" s="16" t="str">
        <f aca="false">IF(Q2460="","",Q2460*0.0980665)</f>
        <v/>
      </c>
      <c r="S2460" s="16" t="str">
        <f aca="false">IF(Q2460="","",IFERROR(Q2460/(1/(1/INDEX(CONFIG!$I$5:$I$14,MATCH(D2460,CONFIG!$D$5:$D$14,0)))),""))</f>
        <v/>
      </c>
      <c r="T2460" s="13"/>
      <c r="U2460" s="13"/>
      <c r="V2460" s="13"/>
      <c r="W2460" s="13"/>
      <c r="X2460" s="22" t="str">
        <f aca="false">IF(Q2460="","",Q2460^2)</f>
        <v/>
      </c>
      <c r="Y2460" s="22" t="str">
        <f aca="false">IF(AND(C2460&lt;&gt;"",C2460=CERTIFICADO!$E$4,OR(CERTIFICADO!$E$5="",B2460=CERTIFICADO!$E$5)),MAX($Y$4:Y2459)+1,"")</f>
        <v/>
      </c>
    </row>
    <row r="2461" customFormat="false" ht="15" hidden="false" customHeight="false" outlineLevel="0" collapsed="false">
      <c r="A2461" s="11" t="str">
        <f aca="false">IF(C2461="","",ROW()-4)</f>
        <v/>
      </c>
      <c r="B2461" s="12"/>
      <c r="C2461" s="13"/>
      <c r="D2461" s="23" t="str">
        <f aca="false">IF(C2461="","",IFERROR(INDEX(LOTES!$D$5:$D$1004,MATCH(C2461,LOTES!$F$5:$F$1004,0)),"¿Lote?"))</f>
        <v/>
      </c>
      <c r="E2461" s="11" t="str">
        <f aca="false">IF(C2461="","",IFERROR(INDEX(LOTES!$C$5:$C$1004,MATCH(C2461,LOTES!$F$5:$F$1004,0)),""))</f>
        <v/>
      </c>
      <c r="F2461" s="24" t="str">
        <f aca="false">IF(C2461="","",IFERROR(INDEX(LOTES!$B$5:$B$1004,MATCH(C2461,LOTES!$F$5:$F$1004,0)),""))</f>
        <v/>
      </c>
      <c r="G2461" s="15" t="str">
        <f aca="false">IF(OR(B2461="",F2461=""),"",B2461-F2461)</f>
        <v/>
      </c>
      <c r="H2461" s="13"/>
      <c r="I2461" s="13"/>
      <c r="J2461" s="13"/>
      <c r="K2461" s="25"/>
      <c r="L2461" s="25"/>
      <c r="M2461" s="25"/>
      <c r="N2461" s="25"/>
      <c r="O2461" s="26"/>
      <c r="P2461" s="16" t="str">
        <f aca="false">IF(O2461="","",IFERROR(1/(1/(IF(K2461="",INDEX(CONFIG!$F$5:$F$14,MATCH(D2461,CONFIG!$D$5:$D$14,0)),K2461)*IF(M2461="",INDEX(CONFIG!$H$5:$H$14,MATCH(D2461,CONFIG!$D$5:$D$14,0)),M2461))),""))</f>
        <v/>
      </c>
      <c r="Q2461" s="16" t="str">
        <f aca="false">IF(OR(O2461="",P2461=""),"",O2461/P2461)</f>
        <v/>
      </c>
      <c r="R2461" s="16" t="str">
        <f aca="false">IF(Q2461="","",Q2461*0.0980665)</f>
        <v/>
      </c>
      <c r="S2461" s="16" t="str">
        <f aca="false">IF(Q2461="","",IFERROR(Q2461/(1/(1/INDEX(CONFIG!$I$5:$I$14,MATCH(D2461,CONFIG!$D$5:$D$14,0)))),""))</f>
        <v/>
      </c>
      <c r="T2461" s="13"/>
      <c r="U2461" s="13"/>
      <c r="V2461" s="13"/>
      <c r="W2461" s="13"/>
      <c r="X2461" s="22" t="str">
        <f aca="false">IF(Q2461="","",Q2461^2)</f>
        <v/>
      </c>
      <c r="Y2461" s="22" t="str">
        <f aca="false">IF(AND(C2461&lt;&gt;"",C2461=CERTIFICADO!$E$4,OR(CERTIFICADO!$E$5="",B2461=CERTIFICADO!$E$5)),MAX($Y$4:Y2460)+1,"")</f>
        <v/>
      </c>
    </row>
    <row r="2462" customFormat="false" ht="15" hidden="false" customHeight="false" outlineLevel="0" collapsed="false">
      <c r="A2462" s="11" t="str">
        <f aca="false">IF(C2462="","",ROW()-4)</f>
        <v/>
      </c>
      <c r="B2462" s="12"/>
      <c r="C2462" s="13"/>
      <c r="D2462" s="23" t="str">
        <f aca="false">IF(C2462="","",IFERROR(INDEX(LOTES!$D$5:$D$1004,MATCH(C2462,LOTES!$F$5:$F$1004,0)),"¿Lote?"))</f>
        <v/>
      </c>
      <c r="E2462" s="11" t="str">
        <f aca="false">IF(C2462="","",IFERROR(INDEX(LOTES!$C$5:$C$1004,MATCH(C2462,LOTES!$F$5:$F$1004,0)),""))</f>
        <v/>
      </c>
      <c r="F2462" s="24" t="str">
        <f aca="false">IF(C2462="","",IFERROR(INDEX(LOTES!$B$5:$B$1004,MATCH(C2462,LOTES!$F$5:$F$1004,0)),""))</f>
        <v/>
      </c>
      <c r="G2462" s="15" t="str">
        <f aca="false">IF(OR(B2462="",F2462=""),"",B2462-F2462)</f>
        <v/>
      </c>
      <c r="H2462" s="13"/>
      <c r="I2462" s="13"/>
      <c r="J2462" s="13"/>
      <c r="K2462" s="25"/>
      <c r="L2462" s="25"/>
      <c r="M2462" s="25"/>
      <c r="N2462" s="25"/>
      <c r="O2462" s="26"/>
      <c r="P2462" s="16" t="str">
        <f aca="false">IF(O2462="","",IFERROR(1/(1/(IF(K2462="",INDEX(CONFIG!$F$5:$F$14,MATCH(D2462,CONFIG!$D$5:$D$14,0)),K2462)*IF(M2462="",INDEX(CONFIG!$H$5:$H$14,MATCH(D2462,CONFIG!$D$5:$D$14,0)),M2462))),""))</f>
        <v/>
      </c>
      <c r="Q2462" s="16" t="str">
        <f aca="false">IF(OR(O2462="",P2462=""),"",O2462/P2462)</f>
        <v/>
      </c>
      <c r="R2462" s="16" t="str">
        <f aca="false">IF(Q2462="","",Q2462*0.0980665)</f>
        <v/>
      </c>
      <c r="S2462" s="16" t="str">
        <f aca="false">IF(Q2462="","",IFERROR(Q2462/(1/(1/INDEX(CONFIG!$I$5:$I$14,MATCH(D2462,CONFIG!$D$5:$D$14,0)))),""))</f>
        <v/>
      </c>
      <c r="T2462" s="13"/>
      <c r="U2462" s="13"/>
      <c r="V2462" s="13"/>
      <c r="W2462" s="13"/>
      <c r="X2462" s="22" t="str">
        <f aca="false">IF(Q2462="","",Q2462^2)</f>
        <v/>
      </c>
      <c r="Y2462" s="22" t="str">
        <f aca="false">IF(AND(C2462&lt;&gt;"",C2462=CERTIFICADO!$E$4,OR(CERTIFICADO!$E$5="",B2462=CERTIFICADO!$E$5)),MAX($Y$4:Y2461)+1,"")</f>
        <v/>
      </c>
    </row>
    <row r="2463" customFormat="false" ht="15" hidden="false" customHeight="false" outlineLevel="0" collapsed="false">
      <c r="A2463" s="11" t="str">
        <f aca="false">IF(C2463="","",ROW()-4)</f>
        <v/>
      </c>
      <c r="B2463" s="12"/>
      <c r="C2463" s="13"/>
      <c r="D2463" s="23" t="str">
        <f aca="false">IF(C2463="","",IFERROR(INDEX(LOTES!$D$5:$D$1004,MATCH(C2463,LOTES!$F$5:$F$1004,0)),"¿Lote?"))</f>
        <v/>
      </c>
      <c r="E2463" s="11" t="str">
        <f aca="false">IF(C2463="","",IFERROR(INDEX(LOTES!$C$5:$C$1004,MATCH(C2463,LOTES!$F$5:$F$1004,0)),""))</f>
        <v/>
      </c>
      <c r="F2463" s="24" t="str">
        <f aca="false">IF(C2463="","",IFERROR(INDEX(LOTES!$B$5:$B$1004,MATCH(C2463,LOTES!$F$5:$F$1004,0)),""))</f>
        <v/>
      </c>
      <c r="G2463" s="15" t="str">
        <f aca="false">IF(OR(B2463="",F2463=""),"",B2463-F2463)</f>
        <v/>
      </c>
      <c r="H2463" s="13"/>
      <c r="I2463" s="13"/>
      <c r="J2463" s="13"/>
      <c r="K2463" s="25"/>
      <c r="L2463" s="25"/>
      <c r="M2463" s="25"/>
      <c r="N2463" s="25"/>
      <c r="O2463" s="26"/>
      <c r="P2463" s="16" t="str">
        <f aca="false">IF(O2463="","",IFERROR(1/(1/(IF(K2463="",INDEX(CONFIG!$F$5:$F$14,MATCH(D2463,CONFIG!$D$5:$D$14,0)),K2463)*IF(M2463="",INDEX(CONFIG!$H$5:$H$14,MATCH(D2463,CONFIG!$D$5:$D$14,0)),M2463))),""))</f>
        <v/>
      </c>
      <c r="Q2463" s="16" t="str">
        <f aca="false">IF(OR(O2463="",P2463=""),"",O2463/P2463)</f>
        <v/>
      </c>
      <c r="R2463" s="16" t="str">
        <f aca="false">IF(Q2463="","",Q2463*0.0980665)</f>
        <v/>
      </c>
      <c r="S2463" s="16" t="str">
        <f aca="false">IF(Q2463="","",IFERROR(Q2463/(1/(1/INDEX(CONFIG!$I$5:$I$14,MATCH(D2463,CONFIG!$D$5:$D$14,0)))),""))</f>
        <v/>
      </c>
      <c r="T2463" s="13"/>
      <c r="U2463" s="13"/>
      <c r="V2463" s="13"/>
      <c r="W2463" s="13"/>
      <c r="X2463" s="22" t="str">
        <f aca="false">IF(Q2463="","",Q2463^2)</f>
        <v/>
      </c>
      <c r="Y2463" s="22" t="str">
        <f aca="false">IF(AND(C2463&lt;&gt;"",C2463=CERTIFICADO!$E$4,OR(CERTIFICADO!$E$5="",B2463=CERTIFICADO!$E$5)),MAX($Y$4:Y2462)+1,"")</f>
        <v/>
      </c>
    </row>
    <row r="2464" customFormat="false" ht="15" hidden="false" customHeight="false" outlineLevel="0" collapsed="false">
      <c r="A2464" s="11" t="str">
        <f aca="false">IF(C2464="","",ROW()-4)</f>
        <v/>
      </c>
      <c r="B2464" s="12"/>
      <c r="C2464" s="13"/>
      <c r="D2464" s="23" t="str">
        <f aca="false">IF(C2464="","",IFERROR(INDEX(LOTES!$D$5:$D$1004,MATCH(C2464,LOTES!$F$5:$F$1004,0)),"¿Lote?"))</f>
        <v/>
      </c>
      <c r="E2464" s="11" t="str">
        <f aca="false">IF(C2464="","",IFERROR(INDEX(LOTES!$C$5:$C$1004,MATCH(C2464,LOTES!$F$5:$F$1004,0)),""))</f>
        <v/>
      </c>
      <c r="F2464" s="24" t="str">
        <f aca="false">IF(C2464="","",IFERROR(INDEX(LOTES!$B$5:$B$1004,MATCH(C2464,LOTES!$F$5:$F$1004,0)),""))</f>
        <v/>
      </c>
      <c r="G2464" s="15" t="str">
        <f aca="false">IF(OR(B2464="",F2464=""),"",B2464-F2464)</f>
        <v/>
      </c>
      <c r="H2464" s="13"/>
      <c r="I2464" s="13"/>
      <c r="J2464" s="13"/>
      <c r="K2464" s="25"/>
      <c r="L2464" s="25"/>
      <c r="M2464" s="25"/>
      <c r="N2464" s="25"/>
      <c r="O2464" s="26"/>
      <c r="P2464" s="16" t="str">
        <f aca="false">IF(O2464="","",IFERROR(1/(1/(IF(K2464="",INDEX(CONFIG!$F$5:$F$14,MATCH(D2464,CONFIG!$D$5:$D$14,0)),K2464)*IF(M2464="",INDEX(CONFIG!$H$5:$H$14,MATCH(D2464,CONFIG!$D$5:$D$14,0)),M2464))),""))</f>
        <v/>
      </c>
      <c r="Q2464" s="16" t="str">
        <f aca="false">IF(OR(O2464="",P2464=""),"",O2464/P2464)</f>
        <v/>
      </c>
      <c r="R2464" s="16" t="str">
        <f aca="false">IF(Q2464="","",Q2464*0.0980665)</f>
        <v/>
      </c>
      <c r="S2464" s="16" t="str">
        <f aca="false">IF(Q2464="","",IFERROR(Q2464/(1/(1/INDEX(CONFIG!$I$5:$I$14,MATCH(D2464,CONFIG!$D$5:$D$14,0)))),""))</f>
        <v/>
      </c>
      <c r="T2464" s="13"/>
      <c r="U2464" s="13"/>
      <c r="V2464" s="13"/>
      <c r="W2464" s="13"/>
      <c r="X2464" s="22" t="str">
        <f aca="false">IF(Q2464="","",Q2464^2)</f>
        <v/>
      </c>
      <c r="Y2464" s="22" t="str">
        <f aca="false">IF(AND(C2464&lt;&gt;"",C2464=CERTIFICADO!$E$4,OR(CERTIFICADO!$E$5="",B2464=CERTIFICADO!$E$5)),MAX($Y$4:Y2463)+1,"")</f>
        <v/>
      </c>
    </row>
    <row r="2465" customFormat="false" ht="15" hidden="false" customHeight="false" outlineLevel="0" collapsed="false">
      <c r="A2465" s="11" t="str">
        <f aca="false">IF(C2465="","",ROW()-4)</f>
        <v/>
      </c>
      <c r="B2465" s="12"/>
      <c r="C2465" s="13"/>
      <c r="D2465" s="23" t="str">
        <f aca="false">IF(C2465="","",IFERROR(INDEX(LOTES!$D$5:$D$1004,MATCH(C2465,LOTES!$F$5:$F$1004,0)),"¿Lote?"))</f>
        <v/>
      </c>
      <c r="E2465" s="11" t="str">
        <f aca="false">IF(C2465="","",IFERROR(INDEX(LOTES!$C$5:$C$1004,MATCH(C2465,LOTES!$F$5:$F$1004,0)),""))</f>
        <v/>
      </c>
      <c r="F2465" s="24" t="str">
        <f aca="false">IF(C2465="","",IFERROR(INDEX(LOTES!$B$5:$B$1004,MATCH(C2465,LOTES!$F$5:$F$1004,0)),""))</f>
        <v/>
      </c>
      <c r="G2465" s="15" t="str">
        <f aca="false">IF(OR(B2465="",F2465=""),"",B2465-F2465)</f>
        <v/>
      </c>
      <c r="H2465" s="13"/>
      <c r="I2465" s="13"/>
      <c r="J2465" s="13"/>
      <c r="K2465" s="25"/>
      <c r="L2465" s="25"/>
      <c r="M2465" s="25"/>
      <c r="N2465" s="25"/>
      <c r="O2465" s="26"/>
      <c r="P2465" s="16" t="str">
        <f aca="false">IF(O2465="","",IFERROR(1/(1/(IF(K2465="",INDEX(CONFIG!$F$5:$F$14,MATCH(D2465,CONFIG!$D$5:$D$14,0)),K2465)*IF(M2465="",INDEX(CONFIG!$H$5:$H$14,MATCH(D2465,CONFIG!$D$5:$D$14,0)),M2465))),""))</f>
        <v/>
      </c>
      <c r="Q2465" s="16" t="str">
        <f aca="false">IF(OR(O2465="",P2465=""),"",O2465/P2465)</f>
        <v/>
      </c>
      <c r="R2465" s="16" t="str">
        <f aca="false">IF(Q2465="","",Q2465*0.0980665)</f>
        <v/>
      </c>
      <c r="S2465" s="16" t="str">
        <f aca="false">IF(Q2465="","",IFERROR(Q2465/(1/(1/INDEX(CONFIG!$I$5:$I$14,MATCH(D2465,CONFIG!$D$5:$D$14,0)))),""))</f>
        <v/>
      </c>
      <c r="T2465" s="13"/>
      <c r="U2465" s="13"/>
      <c r="V2465" s="13"/>
      <c r="W2465" s="13"/>
      <c r="X2465" s="22" t="str">
        <f aca="false">IF(Q2465="","",Q2465^2)</f>
        <v/>
      </c>
      <c r="Y2465" s="22" t="str">
        <f aca="false">IF(AND(C2465&lt;&gt;"",C2465=CERTIFICADO!$E$4,OR(CERTIFICADO!$E$5="",B2465=CERTIFICADO!$E$5)),MAX($Y$4:Y2464)+1,"")</f>
        <v/>
      </c>
    </row>
    <row r="2466" customFormat="false" ht="15" hidden="false" customHeight="false" outlineLevel="0" collapsed="false">
      <c r="A2466" s="11" t="str">
        <f aca="false">IF(C2466="","",ROW()-4)</f>
        <v/>
      </c>
      <c r="B2466" s="12"/>
      <c r="C2466" s="13"/>
      <c r="D2466" s="23" t="str">
        <f aca="false">IF(C2466="","",IFERROR(INDEX(LOTES!$D$5:$D$1004,MATCH(C2466,LOTES!$F$5:$F$1004,0)),"¿Lote?"))</f>
        <v/>
      </c>
      <c r="E2466" s="11" t="str">
        <f aca="false">IF(C2466="","",IFERROR(INDEX(LOTES!$C$5:$C$1004,MATCH(C2466,LOTES!$F$5:$F$1004,0)),""))</f>
        <v/>
      </c>
      <c r="F2466" s="24" t="str">
        <f aca="false">IF(C2466="","",IFERROR(INDEX(LOTES!$B$5:$B$1004,MATCH(C2466,LOTES!$F$5:$F$1004,0)),""))</f>
        <v/>
      </c>
      <c r="G2466" s="15" t="str">
        <f aca="false">IF(OR(B2466="",F2466=""),"",B2466-F2466)</f>
        <v/>
      </c>
      <c r="H2466" s="13"/>
      <c r="I2466" s="13"/>
      <c r="J2466" s="13"/>
      <c r="K2466" s="25"/>
      <c r="L2466" s="25"/>
      <c r="M2466" s="25"/>
      <c r="N2466" s="25"/>
      <c r="O2466" s="26"/>
      <c r="P2466" s="16" t="str">
        <f aca="false">IF(O2466="","",IFERROR(1/(1/(IF(K2466="",INDEX(CONFIG!$F$5:$F$14,MATCH(D2466,CONFIG!$D$5:$D$14,0)),K2466)*IF(M2466="",INDEX(CONFIG!$H$5:$H$14,MATCH(D2466,CONFIG!$D$5:$D$14,0)),M2466))),""))</f>
        <v/>
      </c>
      <c r="Q2466" s="16" t="str">
        <f aca="false">IF(OR(O2466="",P2466=""),"",O2466/P2466)</f>
        <v/>
      </c>
      <c r="R2466" s="16" t="str">
        <f aca="false">IF(Q2466="","",Q2466*0.0980665)</f>
        <v/>
      </c>
      <c r="S2466" s="16" t="str">
        <f aca="false">IF(Q2466="","",IFERROR(Q2466/(1/(1/INDEX(CONFIG!$I$5:$I$14,MATCH(D2466,CONFIG!$D$5:$D$14,0)))),""))</f>
        <v/>
      </c>
      <c r="T2466" s="13"/>
      <c r="U2466" s="13"/>
      <c r="V2466" s="13"/>
      <c r="W2466" s="13"/>
      <c r="X2466" s="22" t="str">
        <f aca="false">IF(Q2466="","",Q2466^2)</f>
        <v/>
      </c>
      <c r="Y2466" s="22" t="str">
        <f aca="false">IF(AND(C2466&lt;&gt;"",C2466=CERTIFICADO!$E$4,OR(CERTIFICADO!$E$5="",B2466=CERTIFICADO!$E$5)),MAX($Y$4:Y2465)+1,"")</f>
        <v/>
      </c>
    </row>
    <row r="2467" customFormat="false" ht="15" hidden="false" customHeight="false" outlineLevel="0" collapsed="false">
      <c r="A2467" s="11" t="str">
        <f aca="false">IF(C2467="","",ROW()-4)</f>
        <v/>
      </c>
      <c r="B2467" s="12"/>
      <c r="C2467" s="13"/>
      <c r="D2467" s="23" t="str">
        <f aca="false">IF(C2467="","",IFERROR(INDEX(LOTES!$D$5:$D$1004,MATCH(C2467,LOTES!$F$5:$F$1004,0)),"¿Lote?"))</f>
        <v/>
      </c>
      <c r="E2467" s="11" t="str">
        <f aca="false">IF(C2467="","",IFERROR(INDEX(LOTES!$C$5:$C$1004,MATCH(C2467,LOTES!$F$5:$F$1004,0)),""))</f>
        <v/>
      </c>
      <c r="F2467" s="24" t="str">
        <f aca="false">IF(C2467="","",IFERROR(INDEX(LOTES!$B$5:$B$1004,MATCH(C2467,LOTES!$F$5:$F$1004,0)),""))</f>
        <v/>
      </c>
      <c r="G2467" s="15" t="str">
        <f aca="false">IF(OR(B2467="",F2467=""),"",B2467-F2467)</f>
        <v/>
      </c>
      <c r="H2467" s="13"/>
      <c r="I2467" s="13"/>
      <c r="J2467" s="13"/>
      <c r="K2467" s="25"/>
      <c r="L2467" s="25"/>
      <c r="M2467" s="25"/>
      <c r="N2467" s="25"/>
      <c r="O2467" s="26"/>
      <c r="P2467" s="16" t="str">
        <f aca="false">IF(O2467="","",IFERROR(1/(1/(IF(K2467="",INDEX(CONFIG!$F$5:$F$14,MATCH(D2467,CONFIG!$D$5:$D$14,0)),K2467)*IF(M2467="",INDEX(CONFIG!$H$5:$H$14,MATCH(D2467,CONFIG!$D$5:$D$14,0)),M2467))),""))</f>
        <v/>
      </c>
      <c r="Q2467" s="16" t="str">
        <f aca="false">IF(OR(O2467="",P2467=""),"",O2467/P2467)</f>
        <v/>
      </c>
      <c r="R2467" s="16" t="str">
        <f aca="false">IF(Q2467="","",Q2467*0.0980665)</f>
        <v/>
      </c>
      <c r="S2467" s="16" t="str">
        <f aca="false">IF(Q2467="","",IFERROR(Q2467/(1/(1/INDEX(CONFIG!$I$5:$I$14,MATCH(D2467,CONFIG!$D$5:$D$14,0)))),""))</f>
        <v/>
      </c>
      <c r="T2467" s="13"/>
      <c r="U2467" s="13"/>
      <c r="V2467" s="13"/>
      <c r="W2467" s="13"/>
      <c r="X2467" s="22" t="str">
        <f aca="false">IF(Q2467="","",Q2467^2)</f>
        <v/>
      </c>
      <c r="Y2467" s="22" t="str">
        <f aca="false">IF(AND(C2467&lt;&gt;"",C2467=CERTIFICADO!$E$4,OR(CERTIFICADO!$E$5="",B2467=CERTIFICADO!$E$5)),MAX($Y$4:Y2466)+1,"")</f>
        <v/>
      </c>
    </row>
    <row r="2468" customFormat="false" ht="15" hidden="false" customHeight="false" outlineLevel="0" collapsed="false">
      <c r="A2468" s="11" t="str">
        <f aca="false">IF(C2468="","",ROW()-4)</f>
        <v/>
      </c>
      <c r="B2468" s="12"/>
      <c r="C2468" s="13"/>
      <c r="D2468" s="23" t="str">
        <f aca="false">IF(C2468="","",IFERROR(INDEX(LOTES!$D$5:$D$1004,MATCH(C2468,LOTES!$F$5:$F$1004,0)),"¿Lote?"))</f>
        <v/>
      </c>
      <c r="E2468" s="11" t="str">
        <f aca="false">IF(C2468="","",IFERROR(INDEX(LOTES!$C$5:$C$1004,MATCH(C2468,LOTES!$F$5:$F$1004,0)),""))</f>
        <v/>
      </c>
      <c r="F2468" s="24" t="str">
        <f aca="false">IF(C2468="","",IFERROR(INDEX(LOTES!$B$5:$B$1004,MATCH(C2468,LOTES!$F$5:$F$1004,0)),""))</f>
        <v/>
      </c>
      <c r="G2468" s="15" t="str">
        <f aca="false">IF(OR(B2468="",F2468=""),"",B2468-F2468)</f>
        <v/>
      </c>
      <c r="H2468" s="13"/>
      <c r="I2468" s="13"/>
      <c r="J2468" s="13"/>
      <c r="K2468" s="25"/>
      <c r="L2468" s="25"/>
      <c r="M2468" s="25"/>
      <c r="N2468" s="25"/>
      <c r="O2468" s="26"/>
      <c r="P2468" s="16" t="str">
        <f aca="false">IF(O2468="","",IFERROR(1/(1/(IF(K2468="",INDEX(CONFIG!$F$5:$F$14,MATCH(D2468,CONFIG!$D$5:$D$14,0)),K2468)*IF(M2468="",INDEX(CONFIG!$H$5:$H$14,MATCH(D2468,CONFIG!$D$5:$D$14,0)),M2468))),""))</f>
        <v/>
      </c>
      <c r="Q2468" s="16" t="str">
        <f aca="false">IF(OR(O2468="",P2468=""),"",O2468/P2468)</f>
        <v/>
      </c>
      <c r="R2468" s="16" t="str">
        <f aca="false">IF(Q2468="","",Q2468*0.0980665)</f>
        <v/>
      </c>
      <c r="S2468" s="16" t="str">
        <f aca="false">IF(Q2468="","",IFERROR(Q2468/(1/(1/INDEX(CONFIG!$I$5:$I$14,MATCH(D2468,CONFIG!$D$5:$D$14,0)))),""))</f>
        <v/>
      </c>
      <c r="T2468" s="13"/>
      <c r="U2468" s="13"/>
      <c r="V2468" s="13"/>
      <c r="W2468" s="13"/>
      <c r="X2468" s="22" t="str">
        <f aca="false">IF(Q2468="","",Q2468^2)</f>
        <v/>
      </c>
      <c r="Y2468" s="22" t="str">
        <f aca="false">IF(AND(C2468&lt;&gt;"",C2468=CERTIFICADO!$E$4,OR(CERTIFICADO!$E$5="",B2468=CERTIFICADO!$E$5)),MAX($Y$4:Y2467)+1,"")</f>
        <v/>
      </c>
    </row>
    <row r="2469" customFormat="false" ht="15" hidden="false" customHeight="false" outlineLevel="0" collapsed="false">
      <c r="A2469" s="11" t="str">
        <f aca="false">IF(C2469="","",ROW()-4)</f>
        <v/>
      </c>
      <c r="B2469" s="12"/>
      <c r="C2469" s="13"/>
      <c r="D2469" s="23" t="str">
        <f aca="false">IF(C2469="","",IFERROR(INDEX(LOTES!$D$5:$D$1004,MATCH(C2469,LOTES!$F$5:$F$1004,0)),"¿Lote?"))</f>
        <v/>
      </c>
      <c r="E2469" s="11" t="str">
        <f aca="false">IF(C2469="","",IFERROR(INDEX(LOTES!$C$5:$C$1004,MATCH(C2469,LOTES!$F$5:$F$1004,0)),""))</f>
        <v/>
      </c>
      <c r="F2469" s="24" t="str">
        <f aca="false">IF(C2469="","",IFERROR(INDEX(LOTES!$B$5:$B$1004,MATCH(C2469,LOTES!$F$5:$F$1004,0)),""))</f>
        <v/>
      </c>
      <c r="G2469" s="15" t="str">
        <f aca="false">IF(OR(B2469="",F2469=""),"",B2469-F2469)</f>
        <v/>
      </c>
      <c r="H2469" s="13"/>
      <c r="I2469" s="13"/>
      <c r="J2469" s="13"/>
      <c r="K2469" s="25"/>
      <c r="L2469" s="25"/>
      <c r="M2469" s="25"/>
      <c r="N2469" s="25"/>
      <c r="O2469" s="26"/>
      <c r="P2469" s="16" t="str">
        <f aca="false">IF(O2469="","",IFERROR(1/(1/(IF(K2469="",INDEX(CONFIG!$F$5:$F$14,MATCH(D2469,CONFIG!$D$5:$D$14,0)),K2469)*IF(M2469="",INDEX(CONFIG!$H$5:$H$14,MATCH(D2469,CONFIG!$D$5:$D$14,0)),M2469))),""))</f>
        <v/>
      </c>
      <c r="Q2469" s="16" t="str">
        <f aca="false">IF(OR(O2469="",P2469=""),"",O2469/P2469)</f>
        <v/>
      </c>
      <c r="R2469" s="16" t="str">
        <f aca="false">IF(Q2469="","",Q2469*0.0980665)</f>
        <v/>
      </c>
      <c r="S2469" s="16" t="str">
        <f aca="false">IF(Q2469="","",IFERROR(Q2469/(1/(1/INDEX(CONFIG!$I$5:$I$14,MATCH(D2469,CONFIG!$D$5:$D$14,0)))),""))</f>
        <v/>
      </c>
      <c r="T2469" s="13"/>
      <c r="U2469" s="13"/>
      <c r="V2469" s="13"/>
      <c r="W2469" s="13"/>
      <c r="X2469" s="22" t="str">
        <f aca="false">IF(Q2469="","",Q2469^2)</f>
        <v/>
      </c>
      <c r="Y2469" s="22" t="str">
        <f aca="false">IF(AND(C2469&lt;&gt;"",C2469=CERTIFICADO!$E$4,OR(CERTIFICADO!$E$5="",B2469=CERTIFICADO!$E$5)),MAX($Y$4:Y2468)+1,"")</f>
        <v/>
      </c>
    </row>
    <row r="2470" customFormat="false" ht="15" hidden="false" customHeight="false" outlineLevel="0" collapsed="false">
      <c r="A2470" s="11" t="str">
        <f aca="false">IF(C2470="","",ROW()-4)</f>
        <v/>
      </c>
      <c r="B2470" s="12"/>
      <c r="C2470" s="13"/>
      <c r="D2470" s="23" t="str">
        <f aca="false">IF(C2470="","",IFERROR(INDEX(LOTES!$D$5:$D$1004,MATCH(C2470,LOTES!$F$5:$F$1004,0)),"¿Lote?"))</f>
        <v/>
      </c>
      <c r="E2470" s="11" t="str">
        <f aca="false">IF(C2470="","",IFERROR(INDEX(LOTES!$C$5:$C$1004,MATCH(C2470,LOTES!$F$5:$F$1004,0)),""))</f>
        <v/>
      </c>
      <c r="F2470" s="24" t="str">
        <f aca="false">IF(C2470="","",IFERROR(INDEX(LOTES!$B$5:$B$1004,MATCH(C2470,LOTES!$F$5:$F$1004,0)),""))</f>
        <v/>
      </c>
      <c r="G2470" s="15" t="str">
        <f aca="false">IF(OR(B2470="",F2470=""),"",B2470-F2470)</f>
        <v/>
      </c>
      <c r="H2470" s="13"/>
      <c r="I2470" s="13"/>
      <c r="J2470" s="13"/>
      <c r="K2470" s="25"/>
      <c r="L2470" s="25"/>
      <c r="M2470" s="25"/>
      <c r="N2470" s="25"/>
      <c r="O2470" s="26"/>
      <c r="P2470" s="16" t="str">
        <f aca="false">IF(O2470="","",IFERROR(1/(1/(IF(K2470="",INDEX(CONFIG!$F$5:$F$14,MATCH(D2470,CONFIG!$D$5:$D$14,0)),K2470)*IF(M2470="",INDEX(CONFIG!$H$5:$H$14,MATCH(D2470,CONFIG!$D$5:$D$14,0)),M2470))),""))</f>
        <v/>
      </c>
      <c r="Q2470" s="16" t="str">
        <f aca="false">IF(OR(O2470="",P2470=""),"",O2470/P2470)</f>
        <v/>
      </c>
      <c r="R2470" s="16" t="str">
        <f aca="false">IF(Q2470="","",Q2470*0.0980665)</f>
        <v/>
      </c>
      <c r="S2470" s="16" t="str">
        <f aca="false">IF(Q2470="","",IFERROR(Q2470/(1/(1/INDEX(CONFIG!$I$5:$I$14,MATCH(D2470,CONFIG!$D$5:$D$14,0)))),""))</f>
        <v/>
      </c>
      <c r="T2470" s="13"/>
      <c r="U2470" s="13"/>
      <c r="V2470" s="13"/>
      <c r="W2470" s="13"/>
      <c r="X2470" s="22" t="str">
        <f aca="false">IF(Q2470="","",Q2470^2)</f>
        <v/>
      </c>
      <c r="Y2470" s="22" t="str">
        <f aca="false">IF(AND(C2470&lt;&gt;"",C2470=CERTIFICADO!$E$4,OR(CERTIFICADO!$E$5="",B2470=CERTIFICADO!$E$5)),MAX($Y$4:Y2469)+1,"")</f>
        <v/>
      </c>
    </row>
    <row r="2471" customFormat="false" ht="15" hidden="false" customHeight="false" outlineLevel="0" collapsed="false">
      <c r="A2471" s="11" t="str">
        <f aca="false">IF(C2471="","",ROW()-4)</f>
        <v/>
      </c>
      <c r="B2471" s="12"/>
      <c r="C2471" s="13"/>
      <c r="D2471" s="23" t="str">
        <f aca="false">IF(C2471="","",IFERROR(INDEX(LOTES!$D$5:$D$1004,MATCH(C2471,LOTES!$F$5:$F$1004,0)),"¿Lote?"))</f>
        <v/>
      </c>
      <c r="E2471" s="11" t="str">
        <f aca="false">IF(C2471="","",IFERROR(INDEX(LOTES!$C$5:$C$1004,MATCH(C2471,LOTES!$F$5:$F$1004,0)),""))</f>
        <v/>
      </c>
      <c r="F2471" s="24" t="str">
        <f aca="false">IF(C2471="","",IFERROR(INDEX(LOTES!$B$5:$B$1004,MATCH(C2471,LOTES!$F$5:$F$1004,0)),""))</f>
        <v/>
      </c>
      <c r="G2471" s="15" t="str">
        <f aca="false">IF(OR(B2471="",F2471=""),"",B2471-F2471)</f>
        <v/>
      </c>
      <c r="H2471" s="13"/>
      <c r="I2471" s="13"/>
      <c r="J2471" s="13"/>
      <c r="K2471" s="25"/>
      <c r="L2471" s="25"/>
      <c r="M2471" s="25"/>
      <c r="N2471" s="25"/>
      <c r="O2471" s="26"/>
      <c r="P2471" s="16" t="str">
        <f aca="false">IF(O2471="","",IFERROR(1/(1/(IF(K2471="",INDEX(CONFIG!$F$5:$F$14,MATCH(D2471,CONFIG!$D$5:$D$14,0)),K2471)*IF(M2471="",INDEX(CONFIG!$H$5:$H$14,MATCH(D2471,CONFIG!$D$5:$D$14,0)),M2471))),""))</f>
        <v/>
      </c>
      <c r="Q2471" s="16" t="str">
        <f aca="false">IF(OR(O2471="",P2471=""),"",O2471/P2471)</f>
        <v/>
      </c>
      <c r="R2471" s="16" t="str">
        <f aca="false">IF(Q2471="","",Q2471*0.0980665)</f>
        <v/>
      </c>
      <c r="S2471" s="16" t="str">
        <f aca="false">IF(Q2471="","",IFERROR(Q2471/(1/(1/INDEX(CONFIG!$I$5:$I$14,MATCH(D2471,CONFIG!$D$5:$D$14,0)))),""))</f>
        <v/>
      </c>
      <c r="T2471" s="13"/>
      <c r="U2471" s="13"/>
      <c r="V2471" s="13"/>
      <c r="W2471" s="13"/>
      <c r="X2471" s="22" t="str">
        <f aca="false">IF(Q2471="","",Q2471^2)</f>
        <v/>
      </c>
      <c r="Y2471" s="22" t="str">
        <f aca="false">IF(AND(C2471&lt;&gt;"",C2471=CERTIFICADO!$E$4,OR(CERTIFICADO!$E$5="",B2471=CERTIFICADO!$E$5)),MAX($Y$4:Y2470)+1,"")</f>
        <v/>
      </c>
    </row>
    <row r="2472" customFormat="false" ht="15" hidden="false" customHeight="false" outlineLevel="0" collapsed="false">
      <c r="A2472" s="11" t="str">
        <f aca="false">IF(C2472="","",ROW()-4)</f>
        <v/>
      </c>
      <c r="B2472" s="12"/>
      <c r="C2472" s="13"/>
      <c r="D2472" s="23" t="str">
        <f aca="false">IF(C2472="","",IFERROR(INDEX(LOTES!$D$5:$D$1004,MATCH(C2472,LOTES!$F$5:$F$1004,0)),"¿Lote?"))</f>
        <v/>
      </c>
      <c r="E2472" s="11" t="str">
        <f aca="false">IF(C2472="","",IFERROR(INDEX(LOTES!$C$5:$C$1004,MATCH(C2472,LOTES!$F$5:$F$1004,0)),""))</f>
        <v/>
      </c>
      <c r="F2472" s="24" t="str">
        <f aca="false">IF(C2472="","",IFERROR(INDEX(LOTES!$B$5:$B$1004,MATCH(C2472,LOTES!$F$5:$F$1004,0)),""))</f>
        <v/>
      </c>
      <c r="G2472" s="15" t="str">
        <f aca="false">IF(OR(B2472="",F2472=""),"",B2472-F2472)</f>
        <v/>
      </c>
      <c r="H2472" s="13"/>
      <c r="I2472" s="13"/>
      <c r="J2472" s="13"/>
      <c r="K2472" s="25"/>
      <c r="L2472" s="25"/>
      <c r="M2472" s="25"/>
      <c r="N2472" s="25"/>
      <c r="O2472" s="26"/>
      <c r="P2472" s="16" t="str">
        <f aca="false">IF(O2472="","",IFERROR(1/(1/(IF(K2472="",INDEX(CONFIG!$F$5:$F$14,MATCH(D2472,CONFIG!$D$5:$D$14,0)),K2472)*IF(M2472="",INDEX(CONFIG!$H$5:$H$14,MATCH(D2472,CONFIG!$D$5:$D$14,0)),M2472))),""))</f>
        <v/>
      </c>
      <c r="Q2472" s="16" t="str">
        <f aca="false">IF(OR(O2472="",P2472=""),"",O2472/P2472)</f>
        <v/>
      </c>
      <c r="R2472" s="16" t="str">
        <f aca="false">IF(Q2472="","",Q2472*0.0980665)</f>
        <v/>
      </c>
      <c r="S2472" s="16" t="str">
        <f aca="false">IF(Q2472="","",IFERROR(Q2472/(1/(1/INDEX(CONFIG!$I$5:$I$14,MATCH(D2472,CONFIG!$D$5:$D$14,0)))),""))</f>
        <v/>
      </c>
      <c r="T2472" s="13"/>
      <c r="U2472" s="13"/>
      <c r="V2472" s="13"/>
      <c r="W2472" s="13"/>
      <c r="X2472" s="22" t="str">
        <f aca="false">IF(Q2472="","",Q2472^2)</f>
        <v/>
      </c>
      <c r="Y2472" s="22" t="str">
        <f aca="false">IF(AND(C2472&lt;&gt;"",C2472=CERTIFICADO!$E$4,OR(CERTIFICADO!$E$5="",B2472=CERTIFICADO!$E$5)),MAX($Y$4:Y2471)+1,"")</f>
        <v/>
      </c>
    </row>
    <row r="2473" customFormat="false" ht="15" hidden="false" customHeight="false" outlineLevel="0" collapsed="false">
      <c r="A2473" s="11" t="str">
        <f aca="false">IF(C2473="","",ROW()-4)</f>
        <v/>
      </c>
      <c r="B2473" s="12"/>
      <c r="C2473" s="13"/>
      <c r="D2473" s="23" t="str">
        <f aca="false">IF(C2473="","",IFERROR(INDEX(LOTES!$D$5:$D$1004,MATCH(C2473,LOTES!$F$5:$F$1004,0)),"¿Lote?"))</f>
        <v/>
      </c>
      <c r="E2473" s="11" t="str">
        <f aca="false">IF(C2473="","",IFERROR(INDEX(LOTES!$C$5:$C$1004,MATCH(C2473,LOTES!$F$5:$F$1004,0)),""))</f>
        <v/>
      </c>
      <c r="F2473" s="24" t="str">
        <f aca="false">IF(C2473="","",IFERROR(INDEX(LOTES!$B$5:$B$1004,MATCH(C2473,LOTES!$F$5:$F$1004,0)),""))</f>
        <v/>
      </c>
      <c r="G2473" s="15" t="str">
        <f aca="false">IF(OR(B2473="",F2473=""),"",B2473-F2473)</f>
        <v/>
      </c>
      <c r="H2473" s="13"/>
      <c r="I2473" s="13"/>
      <c r="J2473" s="13"/>
      <c r="K2473" s="25"/>
      <c r="L2473" s="25"/>
      <c r="M2473" s="25"/>
      <c r="N2473" s="25"/>
      <c r="O2473" s="26"/>
      <c r="P2473" s="16" t="str">
        <f aca="false">IF(O2473="","",IFERROR(1/(1/(IF(K2473="",INDEX(CONFIG!$F$5:$F$14,MATCH(D2473,CONFIG!$D$5:$D$14,0)),K2473)*IF(M2473="",INDEX(CONFIG!$H$5:$H$14,MATCH(D2473,CONFIG!$D$5:$D$14,0)),M2473))),""))</f>
        <v/>
      </c>
      <c r="Q2473" s="16" t="str">
        <f aca="false">IF(OR(O2473="",P2473=""),"",O2473/P2473)</f>
        <v/>
      </c>
      <c r="R2473" s="16" t="str">
        <f aca="false">IF(Q2473="","",Q2473*0.0980665)</f>
        <v/>
      </c>
      <c r="S2473" s="16" t="str">
        <f aca="false">IF(Q2473="","",IFERROR(Q2473/(1/(1/INDEX(CONFIG!$I$5:$I$14,MATCH(D2473,CONFIG!$D$5:$D$14,0)))),""))</f>
        <v/>
      </c>
      <c r="T2473" s="13"/>
      <c r="U2473" s="13"/>
      <c r="V2473" s="13"/>
      <c r="W2473" s="13"/>
      <c r="X2473" s="22" t="str">
        <f aca="false">IF(Q2473="","",Q2473^2)</f>
        <v/>
      </c>
      <c r="Y2473" s="22" t="str">
        <f aca="false">IF(AND(C2473&lt;&gt;"",C2473=CERTIFICADO!$E$4,OR(CERTIFICADO!$E$5="",B2473=CERTIFICADO!$E$5)),MAX($Y$4:Y2472)+1,"")</f>
        <v/>
      </c>
    </row>
    <row r="2474" customFormat="false" ht="15" hidden="false" customHeight="false" outlineLevel="0" collapsed="false">
      <c r="A2474" s="11" t="str">
        <f aca="false">IF(C2474="","",ROW()-4)</f>
        <v/>
      </c>
      <c r="B2474" s="12"/>
      <c r="C2474" s="13"/>
      <c r="D2474" s="23" t="str">
        <f aca="false">IF(C2474="","",IFERROR(INDEX(LOTES!$D$5:$D$1004,MATCH(C2474,LOTES!$F$5:$F$1004,0)),"¿Lote?"))</f>
        <v/>
      </c>
      <c r="E2474" s="11" t="str">
        <f aca="false">IF(C2474="","",IFERROR(INDEX(LOTES!$C$5:$C$1004,MATCH(C2474,LOTES!$F$5:$F$1004,0)),""))</f>
        <v/>
      </c>
      <c r="F2474" s="24" t="str">
        <f aca="false">IF(C2474="","",IFERROR(INDEX(LOTES!$B$5:$B$1004,MATCH(C2474,LOTES!$F$5:$F$1004,0)),""))</f>
        <v/>
      </c>
      <c r="G2474" s="15" t="str">
        <f aca="false">IF(OR(B2474="",F2474=""),"",B2474-F2474)</f>
        <v/>
      </c>
      <c r="H2474" s="13"/>
      <c r="I2474" s="13"/>
      <c r="J2474" s="13"/>
      <c r="K2474" s="25"/>
      <c r="L2474" s="25"/>
      <c r="M2474" s="25"/>
      <c r="N2474" s="25"/>
      <c r="O2474" s="26"/>
      <c r="P2474" s="16" t="str">
        <f aca="false">IF(O2474="","",IFERROR(1/(1/(IF(K2474="",INDEX(CONFIG!$F$5:$F$14,MATCH(D2474,CONFIG!$D$5:$D$14,0)),K2474)*IF(M2474="",INDEX(CONFIG!$H$5:$H$14,MATCH(D2474,CONFIG!$D$5:$D$14,0)),M2474))),""))</f>
        <v/>
      </c>
      <c r="Q2474" s="16" t="str">
        <f aca="false">IF(OR(O2474="",P2474=""),"",O2474/P2474)</f>
        <v/>
      </c>
      <c r="R2474" s="16" t="str">
        <f aca="false">IF(Q2474="","",Q2474*0.0980665)</f>
        <v/>
      </c>
      <c r="S2474" s="16" t="str">
        <f aca="false">IF(Q2474="","",IFERROR(Q2474/(1/(1/INDEX(CONFIG!$I$5:$I$14,MATCH(D2474,CONFIG!$D$5:$D$14,0)))),""))</f>
        <v/>
      </c>
      <c r="T2474" s="13"/>
      <c r="U2474" s="13"/>
      <c r="V2474" s="13"/>
      <c r="W2474" s="13"/>
      <c r="X2474" s="22" t="str">
        <f aca="false">IF(Q2474="","",Q2474^2)</f>
        <v/>
      </c>
      <c r="Y2474" s="22" t="str">
        <f aca="false">IF(AND(C2474&lt;&gt;"",C2474=CERTIFICADO!$E$4,OR(CERTIFICADO!$E$5="",B2474=CERTIFICADO!$E$5)),MAX($Y$4:Y2473)+1,"")</f>
        <v/>
      </c>
    </row>
    <row r="2475" customFormat="false" ht="15" hidden="false" customHeight="false" outlineLevel="0" collapsed="false">
      <c r="A2475" s="11" t="str">
        <f aca="false">IF(C2475="","",ROW()-4)</f>
        <v/>
      </c>
      <c r="B2475" s="12"/>
      <c r="C2475" s="13"/>
      <c r="D2475" s="23" t="str">
        <f aca="false">IF(C2475="","",IFERROR(INDEX(LOTES!$D$5:$D$1004,MATCH(C2475,LOTES!$F$5:$F$1004,0)),"¿Lote?"))</f>
        <v/>
      </c>
      <c r="E2475" s="11" t="str">
        <f aca="false">IF(C2475="","",IFERROR(INDEX(LOTES!$C$5:$C$1004,MATCH(C2475,LOTES!$F$5:$F$1004,0)),""))</f>
        <v/>
      </c>
      <c r="F2475" s="24" t="str">
        <f aca="false">IF(C2475="","",IFERROR(INDEX(LOTES!$B$5:$B$1004,MATCH(C2475,LOTES!$F$5:$F$1004,0)),""))</f>
        <v/>
      </c>
      <c r="G2475" s="15" t="str">
        <f aca="false">IF(OR(B2475="",F2475=""),"",B2475-F2475)</f>
        <v/>
      </c>
      <c r="H2475" s="13"/>
      <c r="I2475" s="13"/>
      <c r="J2475" s="13"/>
      <c r="K2475" s="25"/>
      <c r="L2475" s="25"/>
      <c r="M2475" s="25"/>
      <c r="N2475" s="25"/>
      <c r="O2475" s="26"/>
      <c r="P2475" s="16" t="str">
        <f aca="false">IF(O2475="","",IFERROR(1/(1/(IF(K2475="",INDEX(CONFIG!$F$5:$F$14,MATCH(D2475,CONFIG!$D$5:$D$14,0)),K2475)*IF(M2475="",INDEX(CONFIG!$H$5:$H$14,MATCH(D2475,CONFIG!$D$5:$D$14,0)),M2475))),""))</f>
        <v/>
      </c>
      <c r="Q2475" s="16" t="str">
        <f aca="false">IF(OR(O2475="",P2475=""),"",O2475/P2475)</f>
        <v/>
      </c>
      <c r="R2475" s="16" t="str">
        <f aca="false">IF(Q2475="","",Q2475*0.0980665)</f>
        <v/>
      </c>
      <c r="S2475" s="16" t="str">
        <f aca="false">IF(Q2475="","",IFERROR(Q2475/(1/(1/INDEX(CONFIG!$I$5:$I$14,MATCH(D2475,CONFIG!$D$5:$D$14,0)))),""))</f>
        <v/>
      </c>
      <c r="T2475" s="13"/>
      <c r="U2475" s="13"/>
      <c r="V2475" s="13"/>
      <c r="W2475" s="13"/>
      <c r="X2475" s="22" t="str">
        <f aca="false">IF(Q2475="","",Q2475^2)</f>
        <v/>
      </c>
      <c r="Y2475" s="22" t="str">
        <f aca="false">IF(AND(C2475&lt;&gt;"",C2475=CERTIFICADO!$E$4,OR(CERTIFICADO!$E$5="",B2475=CERTIFICADO!$E$5)),MAX($Y$4:Y2474)+1,"")</f>
        <v/>
      </c>
    </row>
    <row r="2476" customFormat="false" ht="15" hidden="false" customHeight="false" outlineLevel="0" collapsed="false">
      <c r="A2476" s="11" t="str">
        <f aca="false">IF(C2476="","",ROW()-4)</f>
        <v/>
      </c>
      <c r="B2476" s="12"/>
      <c r="C2476" s="13"/>
      <c r="D2476" s="23" t="str">
        <f aca="false">IF(C2476="","",IFERROR(INDEX(LOTES!$D$5:$D$1004,MATCH(C2476,LOTES!$F$5:$F$1004,0)),"¿Lote?"))</f>
        <v/>
      </c>
      <c r="E2476" s="11" t="str">
        <f aca="false">IF(C2476="","",IFERROR(INDEX(LOTES!$C$5:$C$1004,MATCH(C2476,LOTES!$F$5:$F$1004,0)),""))</f>
        <v/>
      </c>
      <c r="F2476" s="24" t="str">
        <f aca="false">IF(C2476="","",IFERROR(INDEX(LOTES!$B$5:$B$1004,MATCH(C2476,LOTES!$F$5:$F$1004,0)),""))</f>
        <v/>
      </c>
      <c r="G2476" s="15" t="str">
        <f aca="false">IF(OR(B2476="",F2476=""),"",B2476-F2476)</f>
        <v/>
      </c>
      <c r="H2476" s="13"/>
      <c r="I2476" s="13"/>
      <c r="J2476" s="13"/>
      <c r="K2476" s="25"/>
      <c r="L2476" s="25"/>
      <c r="M2476" s="25"/>
      <c r="N2476" s="25"/>
      <c r="O2476" s="26"/>
      <c r="P2476" s="16" t="str">
        <f aca="false">IF(O2476="","",IFERROR(1/(1/(IF(K2476="",INDEX(CONFIG!$F$5:$F$14,MATCH(D2476,CONFIG!$D$5:$D$14,0)),K2476)*IF(M2476="",INDEX(CONFIG!$H$5:$H$14,MATCH(D2476,CONFIG!$D$5:$D$14,0)),M2476))),""))</f>
        <v/>
      </c>
      <c r="Q2476" s="16" t="str">
        <f aca="false">IF(OR(O2476="",P2476=""),"",O2476/P2476)</f>
        <v/>
      </c>
      <c r="R2476" s="16" t="str">
        <f aca="false">IF(Q2476="","",Q2476*0.0980665)</f>
        <v/>
      </c>
      <c r="S2476" s="16" t="str">
        <f aca="false">IF(Q2476="","",IFERROR(Q2476/(1/(1/INDEX(CONFIG!$I$5:$I$14,MATCH(D2476,CONFIG!$D$5:$D$14,0)))),""))</f>
        <v/>
      </c>
      <c r="T2476" s="13"/>
      <c r="U2476" s="13"/>
      <c r="V2476" s="13"/>
      <c r="W2476" s="13"/>
      <c r="X2476" s="22" t="str">
        <f aca="false">IF(Q2476="","",Q2476^2)</f>
        <v/>
      </c>
      <c r="Y2476" s="22" t="str">
        <f aca="false">IF(AND(C2476&lt;&gt;"",C2476=CERTIFICADO!$E$4,OR(CERTIFICADO!$E$5="",B2476=CERTIFICADO!$E$5)),MAX($Y$4:Y2475)+1,"")</f>
        <v/>
      </c>
    </row>
    <row r="2477" customFormat="false" ht="15" hidden="false" customHeight="false" outlineLevel="0" collapsed="false">
      <c r="A2477" s="11" t="str">
        <f aca="false">IF(C2477="","",ROW()-4)</f>
        <v/>
      </c>
      <c r="B2477" s="12"/>
      <c r="C2477" s="13"/>
      <c r="D2477" s="23" t="str">
        <f aca="false">IF(C2477="","",IFERROR(INDEX(LOTES!$D$5:$D$1004,MATCH(C2477,LOTES!$F$5:$F$1004,0)),"¿Lote?"))</f>
        <v/>
      </c>
      <c r="E2477" s="11" t="str">
        <f aca="false">IF(C2477="","",IFERROR(INDEX(LOTES!$C$5:$C$1004,MATCH(C2477,LOTES!$F$5:$F$1004,0)),""))</f>
        <v/>
      </c>
      <c r="F2477" s="24" t="str">
        <f aca="false">IF(C2477="","",IFERROR(INDEX(LOTES!$B$5:$B$1004,MATCH(C2477,LOTES!$F$5:$F$1004,0)),""))</f>
        <v/>
      </c>
      <c r="G2477" s="15" t="str">
        <f aca="false">IF(OR(B2477="",F2477=""),"",B2477-F2477)</f>
        <v/>
      </c>
      <c r="H2477" s="13"/>
      <c r="I2477" s="13"/>
      <c r="J2477" s="13"/>
      <c r="K2477" s="25"/>
      <c r="L2477" s="25"/>
      <c r="M2477" s="25"/>
      <c r="N2477" s="25"/>
      <c r="O2477" s="26"/>
      <c r="P2477" s="16" t="str">
        <f aca="false">IF(O2477="","",IFERROR(1/(1/(IF(K2477="",INDEX(CONFIG!$F$5:$F$14,MATCH(D2477,CONFIG!$D$5:$D$14,0)),K2477)*IF(M2477="",INDEX(CONFIG!$H$5:$H$14,MATCH(D2477,CONFIG!$D$5:$D$14,0)),M2477))),""))</f>
        <v/>
      </c>
      <c r="Q2477" s="16" t="str">
        <f aca="false">IF(OR(O2477="",P2477=""),"",O2477/P2477)</f>
        <v/>
      </c>
      <c r="R2477" s="16" t="str">
        <f aca="false">IF(Q2477="","",Q2477*0.0980665)</f>
        <v/>
      </c>
      <c r="S2477" s="16" t="str">
        <f aca="false">IF(Q2477="","",IFERROR(Q2477/(1/(1/INDEX(CONFIG!$I$5:$I$14,MATCH(D2477,CONFIG!$D$5:$D$14,0)))),""))</f>
        <v/>
      </c>
      <c r="T2477" s="13"/>
      <c r="U2477" s="13"/>
      <c r="V2477" s="13"/>
      <c r="W2477" s="13"/>
      <c r="X2477" s="22" t="str">
        <f aca="false">IF(Q2477="","",Q2477^2)</f>
        <v/>
      </c>
      <c r="Y2477" s="22" t="str">
        <f aca="false">IF(AND(C2477&lt;&gt;"",C2477=CERTIFICADO!$E$4,OR(CERTIFICADO!$E$5="",B2477=CERTIFICADO!$E$5)),MAX($Y$4:Y2476)+1,"")</f>
        <v/>
      </c>
    </row>
    <row r="2478" customFormat="false" ht="15" hidden="false" customHeight="false" outlineLevel="0" collapsed="false">
      <c r="A2478" s="11" t="str">
        <f aca="false">IF(C2478="","",ROW()-4)</f>
        <v/>
      </c>
      <c r="B2478" s="12"/>
      <c r="C2478" s="13"/>
      <c r="D2478" s="23" t="str">
        <f aca="false">IF(C2478="","",IFERROR(INDEX(LOTES!$D$5:$D$1004,MATCH(C2478,LOTES!$F$5:$F$1004,0)),"¿Lote?"))</f>
        <v/>
      </c>
      <c r="E2478" s="11" t="str">
        <f aca="false">IF(C2478="","",IFERROR(INDEX(LOTES!$C$5:$C$1004,MATCH(C2478,LOTES!$F$5:$F$1004,0)),""))</f>
        <v/>
      </c>
      <c r="F2478" s="24" t="str">
        <f aca="false">IF(C2478="","",IFERROR(INDEX(LOTES!$B$5:$B$1004,MATCH(C2478,LOTES!$F$5:$F$1004,0)),""))</f>
        <v/>
      </c>
      <c r="G2478" s="15" t="str">
        <f aca="false">IF(OR(B2478="",F2478=""),"",B2478-F2478)</f>
        <v/>
      </c>
      <c r="H2478" s="13"/>
      <c r="I2478" s="13"/>
      <c r="J2478" s="13"/>
      <c r="K2478" s="25"/>
      <c r="L2478" s="25"/>
      <c r="M2478" s="25"/>
      <c r="N2478" s="25"/>
      <c r="O2478" s="26"/>
      <c r="P2478" s="16" t="str">
        <f aca="false">IF(O2478="","",IFERROR(1/(1/(IF(K2478="",INDEX(CONFIG!$F$5:$F$14,MATCH(D2478,CONFIG!$D$5:$D$14,0)),K2478)*IF(M2478="",INDEX(CONFIG!$H$5:$H$14,MATCH(D2478,CONFIG!$D$5:$D$14,0)),M2478))),""))</f>
        <v/>
      </c>
      <c r="Q2478" s="16" t="str">
        <f aca="false">IF(OR(O2478="",P2478=""),"",O2478/P2478)</f>
        <v/>
      </c>
      <c r="R2478" s="16" t="str">
        <f aca="false">IF(Q2478="","",Q2478*0.0980665)</f>
        <v/>
      </c>
      <c r="S2478" s="16" t="str">
        <f aca="false">IF(Q2478="","",IFERROR(Q2478/(1/(1/INDEX(CONFIG!$I$5:$I$14,MATCH(D2478,CONFIG!$D$5:$D$14,0)))),""))</f>
        <v/>
      </c>
      <c r="T2478" s="13"/>
      <c r="U2478" s="13"/>
      <c r="V2478" s="13"/>
      <c r="W2478" s="13"/>
      <c r="X2478" s="22" t="str">
        <f aca="false">IF(Q2478="","",Q2478^2)</f>
        <v/>
      </c>
      <c r="Y2478" s="22" t="str">
        <f aca="false">IF(AND(C2478&lt;&gt;"",C2478=CERTIFICADO!$E$4,OR(CERTIFICADO!$E$5="",B2478=CERTIFICADO!$E$5)),MAX($Y$4:Y2477)+1,"")</f>
        <v/>
      </c>
    </row>
    <row r="2479" customFormat="false" ht="15" hidden="false" customHeight="false" outlineLevel="0" collapsed="false">
      <c r="A2479" s="11" t="str">
        <f aca="false">IF(C2479="","",ROW()-4)</f>
        <v/>
      </c>
      <c r="B2479" s="12"/>
      <c r="C2479" s="13"/>
      <c r="D2479" s="23" t="str">
        <f aca="false">IF(C2479="","",IFERROR(INDEX(LOTES!$D$5:$D$1004,MATCH(C2479,LOTES!$F$5:$F$1004,0)),"¿Lote?"))</f>
        <v/>
      </c>
      <c r="E2479" s="11" t="str">
        <f aca="false">IF(C2479="","",IFERROR(INDEX(LOTES!$C$5:$C$1004,MATCH(C2479,LOTES!$F$5:$F$1004,0)),""))</f>
        <v/>
      </c>
      <c r="F2479" s="24" t="str">
        <f aca="false">IF(C2479="","",IFERROR(INDEX(LOTES!$B$5:$B$1004,MATCH(C2479,LOTES!$F$5:$F$1004,0)),""))</f>
        <v/>
      </c>
      <c r="G2479" s="15" t="str">
        <f aca="false">IF(OR(B2479="",F2479=""),"",B2479-F2479)</f>
        <v/>
      </c>
      <c r="H2479" s="13"/>
      <c r="I2479" s="13"/>
      <c r="J2479" s="13"/>
      <c r="K2479" s="25"/>
      <c r="L2479" s="25"/>
      <c r="M2479" s="25"/>
      <c r="N2479" s="25"/>
      <c r="O2479" s="26"/>
      <c r="P2479" s="16" t="str">
        <f aca="false">IF(O2479="","",IFERROR(1/(1/(IF(K2479="",INDEX(CONFIG!$F$5:$F$14,MATCH(D2479,CONFIG!$D$5:$D$14,0)),K2479)*IF(M2479="",INDEX(CONFIG!$H$5:$H$14,MATCH(D2479,CONFIG!$D$5:$D$14,0)),M2479))),""))</f>
        <v/>
      </c>
      <c r="Q2479" s="16" t="str">
        <f aca="false">IF(OR(O2479="",P2479=""),"",O2479/P2479)</f>
        <v/>
      </c>
      <c r="R2479" s="16" t="str">
        <f aca="false">IF(Q2479="","",Q2479*0.0980665)</f>
        <v/>
      </c>
      <c r="S2479" s="16" t="str">
        <f aca="false">IF(Q2479="","",IFERROR(Q2479/(1/(1/INDEX(CONFIG!$I$5:$I$14,MATCH(D2479,CONFIG!$D$5:$D$14,0)))),""))</f>
        <v/>
      </c>
      <c r="T2479" s="13"/>
      <c r="U2479" s="13"/>
      <c r="V2479" s="13"/>
      <c r="W2479" s="13"/>
      <c r="X2479" s="22" t="str">
        <f aca="false">IF(Q2479="","",Q2479^2)</f>
        <v/>
      </c>
      <c r="Y2479" s="22" t="str">
        <f aca="false">IF(AND(C2479&lt;&gt;"",C2479=CERTIFICADO!$E$4,OR(CERTIFICADO!$E$5="",B2479=CERTIFICADO!$E$5)),MAX($Y$4:Y2478)+1,"")</f>
        <v/>
      </c>
    </row>
    <row r="2480" customFormat="false" ht="15" hidden="false" customHeight="false" outlineLevel="0" collapsed="false">
      <c r="A2480" s="11" t="str">
        <f aca="false">IF(C2480="","",ROW()-4)</f>
        <v/>
      </c>
      <c r="B2480" s="12"/>
      <c r="C2480" s="13"/>
      <c r="D2480" s="23" t="str">
        <f aca="false">IF(C2480="","",IFERROR(INDEX(LOTES!$D$5:$D$1004,MATCH(C2480,LOTES!$F$5:$F$1004,0)),"¿Lote?"))</f>
        <v/>
      </c>
      <c r="E2480" s="11" t="str">
        <f aca="false">IF(C2480="","",IFERROR(INDEX(LOTES!$C$5:$C$1004,MATCH(C2480,LOTES!$F$5:$F$1004,0)),""))</f>
        <v/>
      </c>
      <c r="F2480" s="24" t="str">
        <f aca="false">IF(C2480="","",IFERROR(INDEX(LOTES!$B$5:$B$1004,MATCH(C2480,LOTES!$F$5:$F$1004,0)),""))</f>
        <v/>
      </c>
      <c r="G2480" s="15" t="str">
        <f aca="false">IF(OR(B2480="",F2480=""),"",B2480-F2480)</f>
        <v/>
      </c>
      <c r="H2480" s="13"/>
      <c r="I2480" s="13"/>
      <c r="J2480" s="13"/>
      <c r="K2480" s="25"/>
      <c r="L2480" s="25"/>
      <c r="M2480" s="25"/>
      <c r="N2480" s="25"/>
      <c r="O2480" s="26"/>
      <c r="P2480" s="16" t="str">
        <f aca="false">IF(O2480="","",IFERROR(1/(1/(IF(K2480="",INDEX(CONFIG!$F$5:$F$14,MATCH(D2480,CONFIG!$D$5:$D$14,0)),K2480)*IF(M2480="",INDEX(CONFIG!$H$5:$H$14,MATCH(D2480,CONFIG!$D$5:$D$14,0)),M2480))),""))</f>
        <v/>
      </c>
      <c r="Q2480" s="16" t="str">
        <f aca="false">IF(OR(O2480="",P2480=""),"",O2480/P2480)</f>
        <v/>
      </c>
      <c r="R2480" s="16" t="str">
        <f aca="false">IF(Q2480="","",Q2480*0.0980665)</f>
        <v/>
      </c>
      <c r="S2480" s="16" t="str">
        <f aca="false">IF(Q2480="","",IFERROR(Q2480/(1/(1/INDEX(CONFIG!$I$5:$I$14,MATCH(D2480,CONFIG!$D$5:$D$14,0)))),""))</f>
        <v/>
      </c>
      <c r="T2480" s="13"/>
      <c r="U2480" s="13"/>
      <c r="V2480" s="13"/>
      <c r="W2480" s="13"/>
      <c r="X2480" s="22" t="str">
        <f aca="false">IF(Q2480="","",Q2480^2)</f>
        <v/>
      </c>
      <c r="Y2480" s="22" t="str">
        <f aca="false">IF(AND(C2480&lt;&gt;"",C2480=CERTIFICADO!$E$4,OR(CERTIFICADO!$E$5="",B2480=CERTIFICADO!$E$5)),MAX($Y$4:Y2479)+1,"")</f>
        <v/>
      </c>
    </row>
    <row r="2481" customFormat="false" ht="15" hidden="false" customHeight="false" outlineLevel="0" collapsed="false">
      <c r="A2481" s="11" t="str">
        <f aca="false">IF(C2481="","",ROW()-4)</f>
        <v/>
      </c>
      <c r="B2481" s="12"/>
      <c r="C2481" s="13"/>
      <c r="D2481" s="23" t="str">
        <f aca="false">IF(C2481="","",IFERROR(INDEX(LOTES!$D$5:$D$1004,MATCH(C2481,LOTES!$F$5:$F$1004,0)),"¿Lote?"))</f>
        <v/>
      </c>
      <c r="E2481" s="11" t="str">
        <f aca="false">IF(C2481="","",IFERROR(INDEX(LOTES!$C$5:$C$1004,MATCH(C2481,LOTES!$F$5:$F$1004,0)),""))</f>
        <v/>
      </c>
      <c r="F2481" s="24" t="str">
        <f aca="false">IF(C2481="","",IFERROR(INDEX(LOTES!$B$5:$B$1004,MATCH(C2481,LOTES!$F$5:$F$1004,0)),""))</f>
        <v/>
      </c>
      <c r="G2481" s="15" t="str">
        <f aca="false">IF(OR(B2481="",F2481=""),"",B2481-F2481)</f>
        <v/>
      </c>
      <c r="H2481" s="13"/>
      <c r="I2481" s="13"/>
      <c r="J2481" s="13"/>
      <c r="K2481" s="25"/>
      <c r="L2481" s="25"/>
      <c r="M2481" s="25"/>
      <c r="N2481" s="25"/>
      <c r="O2481" s="26"/>
      <c r="P2481" s="16" t="str">
        <f aca="false">IF(O2481="","",IFERROR(1/(1/(IF(K2481="",INDEX(CONFIG!$F$5:$F$14,MATCH(D2481,CONFIG!$D$5:$D$14,0)),K2481)*IF(M2481="",INDEX(CONFIG!$H$5:$H$14,MATCH(D2481,CONFIG!$D$5:$D$14,0)),M2481))),""))</f>
        <v/>
      </c>
      <c r="Q2481" s="16" t="str">
        <f aca="false">IF(OR(O2481="",P2481=""),"",O2481/P2481)</f>
        <v/>
      </c>
      <c r="R2481" s="16" t="str">
        <f aca="false">IF(Q2481="","",Q2481*0.0980665)</f>
        <v/>
      </c>
      <c r="S2481" s="16" t="str">
        <f aca="false">IF(Q2481="","",IFERROR(Q2481/(1/(1/INDEX(CONFIG!$I$5:$I$14,MATCH(D2481,CONFIG!$D$5:$D$14,0)))),""))</f>
        <v/>
      </c>
      <c r="T2481" s="13"/>
      <c r="U2481" s="13"/>
      <c r="V2481" s="13"/>
      <c r="W2481" s="13"/>
      <c r="X2481" s="22" t="str">
        <f aca="false">IF(Q2481="","",Q2481^2)</f>
        <v/>
      </c>
      <c r="Y2481" s="22" t="str">
        <f aca="false">IF(AND(C2481&lt;&gt;"",C2481=CERTIFICADO!$E$4,OR(CERTIFICADO!$E$5="",B2481=CERTIFICADO!$E$5)),MAX($Y$4:Y2480)+1,"")</f>
        <v/>
      </c>
    </row>
    <row r="2482" customFormat="false" ht="15" hidden="false" customHeight="false" outlineLevel="0" collapsed="false">
      <c r="A2482" s="11" t="str">
        <f aca="false">IF(C2482="","",ROW()-4)</f>
        <v/>
      </c>
      <c r="B2482" s="12"/>
      <c r="C2482" s="13"/>
      <c r="D2482" s="23" t="str">
        <f aca="false">IF(C2482="","",IFERROR(INDEX(LOTES!$D$5:$D$1004,MATCH(C2482,LOTES!$F$5:$F$1004,0)),"¿Lote?"))</f>
        <v/>
      </c>
      <c r="E2482" s="11" t="str">
        <f aca="false">IF(C2482="","",IFERROR(INDEX(LOTES!$C$5:$C$1004,MATCH(C2482,LOTES!$F$5:$F$1004,0)),""))</f>
        <v/>
      </c>
      <c r="F2482" s="24" t="str">
        <f aca="false">IF(C2482="","",IFERROR(INDEX(LOTES!$B$5:$B$1004,MATCH(C2482,LOTES!$F$5:$F$1004,0)),""))</f>
        <v/>
      </c>
      <c r="G2482" s="15" t="str">
        <f aca="false">IF(OR(B2482="",F2482=""),"",B2482-F2482)</f>
        <v/>
      </c>
      <c r="H2482" s="13"/>
      <c r="I2482" s="13"/>
      <c r="J2482" s="13"/>
      <c r="K2482" s="25"/>
      <c r="L2482" s="25"/>
      <c r="M2482" s="25"/>
      <c r="N2482" s="25"/>
      <c r="O2482" s="26"/>
      <c r="P2482" s="16" t="str">
        <f aca="false">IF(O2482="","",IFERROR(1/(1/(IF(K2482="",INDEX(CONFIG!$F$5:$F$14,MATCH(D2482,CONFIG!$D$5:$D$14,0)),K2482)*IF(M2482="",INDEX(CONFIG!$H$5:$H$14,MATCH(D2482,CONFIG!$D$5:$D$14,0)),M2482))),""))</f>
        <v/>
      </c>
      <c r="Q2482" s="16" t="str">
        <f aca="false">IF(OR(O2482="",P2482=""),"",O2482/P2482)</f>
        <v/>
      </c>
      <c r="R2482" s="16" t="str">
        <f aca="false">IF(Q2482="","",Q2482*0.0980665)</f>
        <v/>
      </c>
      <c r="S2482" s="16" t="str">
        <f aca="false">IF(Q2482="","",IFERROR(Q2482/(1/(1/INDEX(CONFIG!$I$5:$I$14,MATCH(D2482,CONFIG!$D$5:$D$14,0)))),""))</f>
        <v/>
      </c>
      <c r="T2482" s="13"/>
      <c r="U2482" s="13"/>
      <c r="V2482" s="13"/>
      <c r="W2482" s="13"/>
      <c r="X2482" s="22" t="str">
        <f aca="false">IF(Q2482="","",Q2482^2)</f>
        <v/>
      </c>
      <c r="Y2482" s="22" t="str">
        <f aca="false">IF(AND(C2482&lt;&gt;"",C2482=CERTIFICADO!$E$4,OR(CERTIFICADO!$E$5="",B2482=CERTIFICADO!$E$5)),MAX($Y$4:Y2481)+1,"")</f>
        <v/>
      </c>
    </row>
    <row r="2483" customFormat="false" ht="15" hidden="false" customHeight="false" outlineLevel="0" collapsed="false">
      <c r="A2483" s="11" t="str">
        <f aca="false">IF(C2483="","",ROW()-4)</f>
        <v/>
      </c>
      <c r="B2483" s="12"/>
      <c r="C2483" s="13"/>
      <c r="D2483" s="23" t="str">
        <f aca="false">IF(C2483="","",IFERROR(INDEX(LOTES!$D$5:$D$1004,MATCH(C2483,LOTES!$F$5:$F$1004,0)),"¿Lote?"))</f>
        <v/>
      </c>
      <c r="E2483" s="11" t="str">
        <f aca="false">IF(C2483="","",IFERROR(INDEX(LOTES!$C$5:$C$1004,MATCH(C2483,LOTES!$F$5:$F$1004,0)),""))</f>
        <v/>
      </c>
      <c r="F2483" s="24" t="str">
        <f aca="false">IF(C2483="","",IFERROR(INDEX(LOTES!$B$5:$B$1004,MATCH(C2483,LOTES!$F$5:$F$1004,0)),""))</f>
        <v/>
      </c>
      <c r="G2483" s="15" t="str">
        <f aca="false">IF(OR(B2483="",F2483=""),"",B2483-F2483)</f>
        <v/>
      </c>
      <c r="H2483" s="13"/>
      <c r="I2483" s="13"/>
      <c r="J2483" s="13"/>
      <c r="K2483" s="25"/>
      <c r="L2483" s="25"/>
      <c r="M2483" s="25"/>
      <c r="N2483" s="25"/>
      <c r="O2483" s="26"/>
      <c r="P2483" s="16" t="str">
        <f aca="false">IF(O2483="","",IFERROR(1/(1/(IF(K2483="",INDEX(CONFIG!$F$5:$F$14,MATCH(D2483,CONFIG!$D$5:$D$14,0)),K2483)*IF(M2483="",INDEX(CONFIG!$H$5:$H$14,MATCH(D2483,CONFIG!$D$5:$D$14,0)),M2483))),""))</f>
        <v/>
      </c>
      <c r="Q2483" s="16" t="str">
        <f aca="false">IF(OR(O2483="",P2483=""),"",O2483/P2483)</f>
        <v/>
      </c>
      <c r="R2483" s="16" t="str">
        <f aca="false">IF(Q2483="","",Q2483*0.0980665)</f>
        <v/>
      </c>
      <c r="S2483" s="16" t="str">
        <f aca="false">IF(Q2483="","",IFERROR(Q2483/(1/(1/INDEX(CONFIG!$I$5:$I$14,MATCH(D2483,CONFIG!$D$5:$D$14,0)))),""))</f>
        <v/>
      </c>
      <c r="T2483" s="13"/>
      <c r="U2483" s="13"/>
      <c r="V2483" s="13"/>
      <c r="W2483" s="13"/>
      <c r="X2483" s="22" t="str">
        <f aca="false">IF(Q2483="","",Q2483^2)</f>
        <v/>
      </c>
      <c r="Y2483" s="22" t="str">
        <f aca="false">IF(AND(C2483&lt;&gt;"",C2483=CERTIFICADO!$E$4,OR(CERTIFICADO!$E$5="",B2483=CERTIFICADO!$E$5)),MAX($Y$4:Y2482)+1,"")</f>
        <v/>
      </c>
    </row>
    <row r="2484" customFormat="false" ht="15" hidden="false" customHeight="false" outlineLevel="0" collapsed="false">
      <c r="A2484" s="11" t="str">
        <f aca="false">IF(C2484="","",ROW()-4)</f>
        <v/>
      </c>
      <c r="B2484" s="12"/>
      <c r="C2484" s="13"/>
      <c r="D2484" s="23" t="str">
        <f aca="false">IF(C2484="","",IFERROR(INDEX(LOTES!$D$5:$D$1004,MATCH(C2484,LOTES!$F$5:$F$1004,0)),"¿Lote?"))</f>
        <v/>
      </c>
      <c r="E2484" s="11" t="str">
        <f aca="false">IF(C2484="","",IFERROR(INDEX(LOTES!$C$5:$C$1004,MATCH(C2484,LOTES!$F$5:$F$1004,0)),""))</f>
        <v/>
      </c>
      <c r="F2484" s="24" t="str">
        <f aca="false">IF(C2484="","",IFERROR(INDEX(LOTES!$B$5:$B$1004,MATCH(C2484,LOTES!$F$5:$F$1004,0)),""))</f>
        <v/>
      </c>
      <c r="G2484" s="15" t="str">
        <f aca="false">IF(OR(B2484="",F2484=""),"",B2484-F2484)</f>
        <v/>
      </c>
      <c r="H2484" s="13"/>
      <c r="I2484" s="13"/>
      <c r="J2484" s="13"/>
      <c r="K2484" s="25"/>
      <c r="L2484" s="25"/>
      <c r="M2484" s="25"/>
      <c r="N2484" s="25"/>
      <c r="O2484" s="26"/>
      <c r="P2484" s="16" t="str">
        <f aca="false">IF(O2484="","",IFERROR(1/(1/(IF(K2484="",INDEX(CONFIG!$F$5:$F$14,MATCH(D2484,CONFIG!$D$5:$D$14,0)),K2484)*IF(M2484="",INDEX(CONFIG!$H$5:$H$14,MATCH(D2484,CONFIG!$D$5:$D$14,0)),M2484))),""))</f>
        <v/>
      </c>
      <c r="Q2484" s="16" t="str">
        <f aca="false">IF(OR(O2484="",P2484=""),"",O2484/P2484)</f>
        <v/>
      </c>
      <c r="R2484" s="16" t="str">
        <f aca="false">IF(Q2484="","",Q2484*0.0980665)</f>
        <v/>
      </c>
      <c r="S2484" s="16" t="str">
        <f aca="false">IF(Q2484="","",IFERROR(Q2484/(1/(1/INDEX(CONFIG!$I$5:$I$14,MATCH(D2484,CONFIG!$D$5:$D$14,0)))),""))</f>
        <v/>
      </c>
      <c r="T2484" s="13"/>
      <c r="U2484" s="13"/>
      <c r="V2484" s="13"/>
      <c r="W2484" s="13"/>
      <c r="X2484" s="22" t="str">
        <f aca="false">IF(Q2484="","",Q2484^2)</f>
        <v/>
      </c>
      <c r="Y2484" s="22" t="str">
        <f aca="false">IF(AND(C2484&lt;&gt;"",C2484=CERTIFICADO!$E$4,OR(CERTIFICADO!$E$5="",B2484=CERTIFICADO!$E$5)),MAX($Y$4:Y2483)+1,"")</f>
        <v/>
      </c>
    </row>
    <row r="2485" customFormat="false" ht="15" hidden="false" customHeight="false" outlineLevel="0" collapsed="false">
      <c r="A2485" s="11" t="str">
        <f aca="false">IF(C2485="","",ROW()-4)</f>
        <v/>
      </c>
      <c r="B2485" s="12"/>
      <c r="C2485" s="13"/>
      <c r="D2485" s="23" t="str">
        <f aca="false">IF(C2485="","",IFERROR(INDEX(LOTES!$D$5:$D$1004,MATCH(C2485,LOTES!$F$5:$F$1004,0)),"¿Lote?"))</f>
        <v/>
      </c>
      <c r="E2485" s="11" t="str">
        <f aca="false">IF(C2485="","",IFERROR(INDEX(LOTES!$C$5:$C$1004,MATCH(C2485,LOTES!$F$5:$F$1004,0)),""))</f>
        <v/>
      </c>
      <c r="F2485" s="24" t="str">
        <f aca="false">IF(C2485="","",IFERROR(INDEX(LOTES!$B$5:$B$1004,MATCH(C2485,LOTES!$F$5:$F$1004,0)),""))</f>
        <v/>
      </c>
      <c r="G2485" s="15" t="str">
        <f aca="false">IF(OR(B2485="",F2485=""),"",B2485-F2485)</f>
        <v/>
      </c>
      <c r="H2485" s="13"/>
      <c r="I2485" s="13"/>
      <c r="J2485" s="13"/>
      <c r="K2485" s="25"/>
      <c r="L2485" s="25"/>
      <c r="M2485" s="25"/>
      <c r="N2485" s="25"/>
      <c r="O2485" s="26"/>
      <c r="P2485" s="16" t="str">
        <f aca="false">IF(O2485="","",IFERROR(1/(1/(IF(K2485="",INDEX(CONFIG!$F$5:$F$14,MATCH(D2485,CONFIG!$D$5:$D$14,0)),K2485)*IF(M2485="",INDEX(CONFIG!$H$5:$H$14,MATCH(D2485,CONFIG!$D$5:$D$14,0)),M2485))),""))</f>
        <v/>
      </c>
      <c r="Q2485" s="16" t="str">
        <f aca="false">IF(OR(O2485="",P2485=""),"",O2485/P2485)</f>
        <v/>
      </c>
      <c r="R2485" s="16" t="str">
        <f aca="false">IF(Q2485="","",Q2485*0.0980665)</f>
        <v/>
      </c>
      <c r="S2485" s="16" t="str">
        <f aca="false">IF(Q2485="","",IFERROR(Q2485/(1/(1/INDEX(CONFIG!$I$5:$I$14,MATCH(D2485,CONFIG!$D$5:$D$14,0)))),""))</f>
        <v/>
      </c>
      <c r="T2485" s="13"/>
      <c r="U2485" s="13"/>
      <c r="V2485" s="13"/>
      <c r="W2485" s="13"/>
      <c r="X2485" s="22" t="str">
        <f aca="false">IF(Q2485="","",Q2485^2)</f>
        <v/>
      </c>
      <c r="Y2485" s="22" t="str">
        <f aca="false">IF(AND(C2485&lt;&gt;"",C2485=CERTIFICADO!$E$4,OR(CERTIFICADO!$E$5="",B2485=CERTIFICADO!$E$5)),MAX($Y$4:Y2484)+1,"")</f>
        <v/>
      </c>
    </row>
    <row r="2486" customFormat="false" ht="15" hidden="false" customHeight="false" outlineLevel="0" collapsed="false">
      <c r="A2486" s="11" t="str">
        <f aca="false">IF(C2486="","",ROW()-4)</f>
        <v/>
      </c>
      <c r="B2486" s="12"/>
      <c r="C2486" s="13"/>
      <c r="D2486" s="23" t="str">
        <f aca="false">IF(C2486="","",IFERROR(INDEX(LOTES!$D$5:$D$1004,MATCH(C2486,LOTES!$F$5:$F$1004,0)),"¿Lote?"))</f>
        <v/>
      </c>
      <c r="E2486" s="11" t="str">
        <f aca="false">IF(C2486="","",IFERROR(INDEX(LOTES!$C$5:$C$1004,MATCH(C2486,LOTES!$F$5:$F$1004,0)),""))</f>
        <v/>
      </c>
      <c r="F2486" s="24" t="str">
        <f aca="false">IF(C2486="","",IFERROR(INDEX(LOTES!$B$5:$B$1004,MATCH(C2486,LOTES!$F$5:$F$1004,0)),""))</f>
        <v/>
      </c>
      <c r="G2486" s="15" t="str">
        <f aca="false">IF(OR(B2486="",F2486=""),"",B2486-F2486)</f>
        <v/>
      </c>
      <c r="H2486" s="13"/>
      <c r="I2486" s="13"/>
      <c r="J2486" s="13"/>
      <c r="K2486" s="25"/>
      <c r="L2486" s="25"/>
      <c r="M2486" s="25"/>
      <c r="N2486" s="25"/>
      <c r="O2486" s="26"/>
      <c r="P2486" s="16" t="str">
        <f aca="false">IF(O2486="","",IFERROR(1/(1/(IF(K2486="",INDEX(CONFIG!$F$5:$F$14,MATCH(D2486,CONFIG!$D$5:$D$14,0)),K2486)*IF(M2486="",INDEX(CONFIG!$H$5:$H$14,MATCH(D2486,CONFIG!$D$5:$D$14,0)),M2486))),""))</f>
        <v/>
      </c>
      <c r="Q2486" s="16" t="str">
        <f aca="false">IF(OR(O2486="",P2486=""),"",O2486/P2486)</f>
        <v/>
      </c>
      <c r="R2486" s="16" t="str">
        <f aca="false">IF(Q2486="","",Q2486*0.0980665)</f>
        <v/>
      </c>
      <c r="S2486" s="16" t="str">
        <f aca="false">IF(Q2486="","",IFERROR(Q2486/(1/(1/INDEX(CONFIG!$I$5:$I$14,MATCH(D2486,CONFIG!$D$5:$D$14,0)))),""))</f>
        <v/>
      </c>
      <c r="T2486" s="13"/>
      <c r="U2486" s="13"/>
      <c r="V2486" s="13"/>
      <c r="W2486" s="13"/>
      <c r="X2486" s="22" t="str">
        <f aca="false">IF(Q2486="","",Q2486^2)</f>
        <v/>
      </c>
      <c r="Y2486" s="22" t="str">
        <f aca="false">IF(AND(C2486&lt;&gt;"",C2486=CERTIFICADO!$E$4,OR(CERTIFICADO!$E$5="",B2486=CERTIFICADO!$E$5)),MAX($Y$4:Y2485)+1,"")</f>
        <v/>
      </c>
    </row>
    <row r="2487" customFormat="false" ht="15" hidden="false" customHeight="false" outlineLevel="0" collapsed="false">
      <c r="A2487" s="11" t="str">
        <f aca="false">IF(C2487="","",ROW()-4)</f>
        <v/>
      </c>
      <c r="B2487" s="12"/>
      <c r="C2487" s="13"/>
      <c r="D2487" s="23" t="str">
        <f aca="false">IF(C2487="","",IFERROR(INDEX(LOTES!$D$5:$D$1004,MATCH(C2487,LOTES!$F$5:$F$1004,0)),"¿Lote?"))</f>
        <v/>
      </c>
      <c r="E2487" s="11" t="str">
        <f aca="false">IF(C2487="","",IFERROR(INDEX(LOTES!$C$5:$C$1004,MATCH(C2487,LOTES!$F$5:$F$1004,0)),""))</f>
        <v/>
      </c>
      <c r="F2487" s="24" t="str">
        <f aca="false">IF(C2487="","",IFERROR(INDEX(LOTES!$B$5:$B$1004,MATCH(C2487,LOTES!$F$5:$F$1004,0)),""))</f>
        <v/>
      </c>
      <c r="G2487" s="15" t="str">
        <f aca="false">IF(OR(B2487="",F2487=""),"",B2487-F2487)</f>
        <v/>
      </c>
      <c r="H2487" s="13"/>
      <c r="I2487" s="13"/>
      <c r="J2487" s="13"/>
      <c r="K2487" s="25"/>
      <c r="L2487" s="25"/>
      <c r="M2487" s="25"/>
      <c r="N2487" s="25"/>
      <c r="O2487" s="26"/>
      <c r="P2487" s="16" t="str">
        <f aca="false">IF(O2487="","",IFERROR(1/(1/(IF(K2487="",INDEX(CONFIG!$F$5:$F$14,MATCH(D2487,CONFIG!$D$5:$D$14,0)),K2487)*IF(M2487="",INDEX(CONFIG!$H$5:$H$14,MATCH(D2487,CONFIG!$D$5:$D$14,0)),M2487))),""))</f>
        <v/>
      </c>
      <c r="Q2487" s="16" t="str">
        <f aca="false">IF(OR(O2487="",P2487=""),"",O2487/P2487)</f>
        <v/>
      </c>
      <c r="R2487" s="16" t="str">
        <f aca="false">IF(Q2487="","",Q2487*0.0980665)</f>
        <v/>
      </c>
      <c r="S2487" s="16" t="str">
        <f aca="false">IF(Q2487="","",IFERROR(Q2487/(1/(1/INDEX(CONFIG!$I$5:$I$14,MATCH(D2487,CONFIG!$D$5:$D$14,0)))),""))</f>
        <v/>
      </c>
      <c r="T2487" s="13"/>
      <c r="U2487" s="13"/>
      <c r="V2487" s="13"/>
      <c r="W2487" s="13"/>
      <c r="X2487" s="22" t="str">
        <f aca="false">IF(Q2487="","",Q2487^2)</f>
        <v/>
      </c>
      <c r="Y2487" s="22" t="str">
        <f aca="false">IF(AND(C2487&lt;&gt;"",C2487=CERTIFICADO!$E$4,OR(CERTIFICADO!$E$5="",B2487=CERTIFICADO!$E$5)),MAX($Y$4:Y2486)+1,"")</f>
        <v/>
      </c>
    </row>
    <row r="2488" customFormat="false" ht="15" hidden="false" customHeight="false" outlineLevel="0" collapsed="false">
      <c r="A2488" s="11" t="str">
        <f aca="false">IF(C2488="","",ROW()-4)</f>
        <v/>
      </c>
      <c r="B2488" s="12"/>
      <c r="C2488" s="13"/>
      <c r="D2488" s="23" t="str">
        <f aca="false">IF(C2488="","",IFERROR(INDEX(LOTES!$D$5:$D$1004,MATCH(C2488,LOTES!$F$5:$F$1004,0)),"¿Lote?"))</f>
        <v/>
      </c>
      <c r="E2488" s="11" t="str">
        <f aca="false">IF(C2488="","",IFERROR(INDEX(LOTES!$C$5:$C$1004,MATCH(C2488,LOTES!$F$5:$F$1004,0)),""))</f>
        <v/>
      </c>
      <c r="F2488" s="24" t="str">
        <f aca="false">IF(C2488="","",IFERROR(INDEX(LOTES!$B$5:$B$1004,MATCH(C2488,LOTES!$F$5:$F$1004,0)),""))</f>
        <v/>
      </c>
      <c r="G2488" s="15" t="str">
        <f aca="false">IF(OR(B2488="",F2488=""),"",B2488-F2488)</f>
        <v/>
      </c>
      <c r="H2488" s="13"/>
      <c r="I2488" s="13"/>
      <c r="J2488" s="13"/>
      <c r="K2488" s="25"/>
      <c r="L2488" s="25"/>
      <c r="M2488" s="25"/>
      <c r="N2488" s="25"/>
      <c r="O2488" s="26"/>
      <c r="P2488" s="16" t="str">
        <f aca="false">IF(O2488="","",IFERROR(1/(1/(IF(K2488="",INDEX(CONFIG!$F$5:$F$14,MATCH(D2488,CONFIG!$D$5:$D$14,0)),K2488)*IF(M2488="",INDEX(CONFIG!$H$5:$H$14,MATCH(D2488,CONFIG!$D$5:$D$14,0)),M2488))),""))</f>
        <v/>
      </c>
      <c r="Q2488" s="16" t="str">
        <f aca="false">IF(OR(O2488="",P2488=""),"",O2488/P2488)</f>
        <v/>
      </c>
      <c r="R2488" s="16" t="str">
        <f aca="false">IF(Q2488="","",Q2488*0.0980665)</f>
        <v/>
      </c>
      <c r="S2488" s="16" t="str">
        <f aca="false">IF(Q2488="","",IFERROR(Q2488/(1/(1/INDEX(CONFIG!$I$5:$I$14,MATCH(D2488,CONFIG!$D$5:$D$14,0)))),""))</f>
        <v/>
      </c>
      <c r="T2488" s="13"/>
      <c r="U2488" s="13"/>
      <c r="V2488" s="13"/>
      <c r="W2488" s="13"/>
      <c r="X2488" s="22" t="str">
        <f aca="false">IF(Q2488="","",Q2488^2)</f>
        <v/>
      </c>
      <c r="Y2488" s="22" t="str">
        <f aca="false">IF(AND(C2488&lt;&gt;"",C2488=CERTIFICADO!$E$4,OR(CERTIFICADO!$E$5="",B2488=CERTIFICADO!$E$5)),MAX($Y$4:Y2487)+1,"")</f>
        <v/>
      </c>
    </row>
    <row r="2489" customFormat="false" ht="15" hidden="false" customHeight="false" outlineLevel="0" collapsed="false">
      <c r="A2489" s="11" t="str">
        <f aca="false">IF(C2489="","",ROW()-4)</f>
        <v/>
      </c>
      <c r="B2489" s="12"/>
      <c r="C2489" s="13"/>
      <c r="D2489" s="23" t="str">
        <f aca="false">IF(C2489="","",IFERROR(INDEX(LOTES!$D$5:$D$1004,MATCH(C2489,LOTES!$F$5:$F$1004,0)),"¿Lote?"))</f>
        <v/>
      </c>
      <c r="E2489" s="11" t="str">
        <f aca="false">IF(C2489="","",IFERROR(INDEX(LOTES!$C$5:$C$1004,MATCH(C2489,LOTES!$F$5:$F$1004,0)),""))</f>
        <v/>
      </c>
      <c r="F2489" s="24" t="str">
        <f aca="false">IF(C2489="","",IFERROR(INDEX(LOTES!$B$5:$B$1004,MATCH(C2489,LOTES!$F$5:$F$1004,0)),""))</f>
        <v/>
      </c>
      <c r="G2489" s="15" t="str">
        <f aca="false">IF(OR(B2489="",F2489=""),"",B2489-F2489)</f>
        <v/>
      </c>
      <c r="H2489" s="13"/>
      <c r="I2489" s="13"/>
      <c r="J2489" s="13"/>
      <c r="K2489" s="25"/>
      <c r="L2489" s="25"/>
      <c r="M2489" s="25"/>
      <c r="N2489" s="25"/>
      <c r="O2489" s="26"/>
      <c r="P2489" s="16" t="str">
        <f aca="false">IF(O2489="","",IFERROR(1/(1/(IF(K2489="",INDEX(CONFIG!$F$5:$F$14,MATCH(D2489,CONFIG!$D$5:$D$14,0)),K2489)*IF(M2489="",INDEX(CONFIG!$H$5:$H$14,MATCH(D2489,CONFIG!$D$5:$D$14,0)),M2489))),""))</f>
        <v/>
      </c>
      <c r="Q2489" s="16" t="str">
        <f aca="false">IF(OR(O2489="",P2489=""),"",O2489/P2489)</f>
        <v/>
      </c>
      <c r="R2489" s="16" t="str">
        <f aca="false">IF(Q2489="","",Q2489*0.0980665)</f>
        <v/>
      </c>
      <c r="S2489" s="16" t="str">
        <f aca="false">IF(Q2489="","",IFERROR(Q2489/(1/(1/INDEX(CONFIG!$I$5:$I$14,MATCH(D2489,CONFIG!$D$5:$D$14,0)))),""))</f>
        <v/>
      </c>
      <c r="T2489" s="13"/>
      <c r="U2489" s="13"/>
      <c r="V2489" s="13"/>
      <c r="W2489" s="13"/>
      <c r="X2489" s="22" t="str">
        <f aca="false">IF(Q2489="","",Q2489^2)</f>
        <v/>
      </c>
      <c r="Y2489" s="22" t="str">
        <f aca="false">IF(AND(C2489&lt;&gt;"",C2489=CERTIFICADO!$E$4,OR(CERTIFICADO!$E$5="",B2489=CERTIFICADO!$E$5)),MAX($Y$4:Y2488)+1,"")</f>
        <v/>
      </c>
    </row>
    <row r="2490" customFormat="false" ht="15" hidden="false" customHeight="false" outlineLevel="0" collapsed="false">
      <c r="A2490" s="11" t="str">
        <f aca="false">IF(C2490="","",ROW()-4)</f>
        <v/>
      </c>
      <c r="B2490" s="12"/>
      <c r="C2490" s="13"/>
      <c r="D2490" s="23" t="str">
        <f aca="false">IF(C2490="","",IFERROR(INDEX(LOTES!$D$5:$D$1004,MATCH(C2490,LOTES!$F$5:$F$1004,0)),"¿Lote?"))</f>
        <v/>
      </c>
      <c r="E2490" s="11" t="str">
        <f aca="false">IF(C2490="","",IFERROR(INDEX(LOTES!$C$5:$C$1004,MATCH(C2490,LOTES!$F$5:$F$1004,0)),""))</f>
        <v/>
      </c>
      <c r="F2490" s="24" t="str">
        <f aca="false">IF(C2490="","",IFERROR(INDEX(LOTES!$B$5:$B$1004,MATCH(C2490,LOTES!$F$5:$F$1004,0)),""))</f>
        <v/>
      </c>
      <c r="G2490" s="15" t="str">
        <f aca="false">IF(OR(B2490="",F2490=""),"",B2490-F2490)</f>
        <v/>
      </c>
      <c r="H2490" s="13"/>
      <c r="I2490" s="13"/>
      <c r="J2490" s="13"/>
      <c r="K2490" s="25"/>
      <c r="L2490" s="25"/>
      <c r="M2490" s="25"/>
      <c r="N2490" s="25"/>
      <c r="O2490" s="26"/>
      <c r="P2490" s="16" t="str">
        <f aca="false">IF(O2490="","",IFERROR(1/(1/(IF(K2490="",INDEX(CONFIG!$F$5:$F$14,MATCH(D2490,CONFIG!$D$5:$D$14,0)),K2490)*IF(M2490="",INDEX(CONFIG!$H$5:$H$14,MATCH(D2490,CONFIG!$D$5:$D$14,0)),M2490))),""))</f>
        <v/>
      </c>
      <c r="Q2490" s="16" t="str">
        <f aca="false">IF(OR(O2490="",P2490=""),"",O2490/P2490)</f>
        <v/>
      </c>
      <c r="R2490" s="16" t="str">
        <f aca="false">IF(Q2490="","",Q2490*0.0980665)</f>
        <v/>
      </c>
      <c r="S2490" s="16" t="str">
        <f aca="false">IF(Q2490="","",IFERROR(Q2490/(1/(1/INDEX(CONFIG!$I$5:$I$14,MATCH(D2490,CONFIG!$D$5:$D$14,0)))),""))</f>
        <v/>
      </c>
      <c r="T2490" s="13"/>
      <c r="U2490" s="13"/>
      <c r="V2490" s="13"/>
      <c r="W2490" s="13"/>
      <c r="X2490" s="22" t="str">
        <f aca="false">IF(Q2490="","",Q2490^2)</f>
        <v/>
      </c>
      <c r="Y2490" s="22" t="str">
        <f aca="false">IF(AND(C2490&lt;&gt;"",C2490=CERTIFICADO!$E$4,OR(CERTIFICADO!$E$5="",B2490=CERTIFICADO!$E$5)),MAX($Y$4:Y2489)+1,"")</f>
        <v/>
      </c>
    </row>
    <row r="2491" customFormat="false" ht="15" hidden="false" customHeight="false" outlineLevel="0" collapsed="false">
      <c r="A2491" s="11" t="str">
        <f aca="false">IF(C2491="","",ROW()-4)</f>
        <v/>
      </c>
      <c r="B2491" s="12"/>
      <c r="C2491" s="13"/>
      <c r="D2491" s="23" t="str">
        <f aca="false">IF(C2491="","",IFERROR(INDEX(LOTES!$D$5:$D$1004,MATCH(C2491,LOTES!$F$5:$F$1004,0)),"¿Lote?"))</f>
        <v/>
      </c>
      <c r="E2491" s="11" t="str">
        <f aca="false">IF(C2491="","",IFERROR(INDEX(LOTES!$C$5:$C$1004,MATCH(C2491,LOTES!$F$5:$F$1004,0)),""))</f>
        <v/>
      </c>
      <c r="F2491" s="24" t="str">
        <f aca="false">IF(C2491="","",IFERROR(INDEX(LOTES!$B$5:$B$1004,MATCH(C2491,LOTES!$F$5:$F$1004,0)),""))</f>
        <v/>
      </c>
      <c r="G2491" s="15" t="str">
        <f aca="false">IF(OR(B2491="",F2491=""),"",B2491-F2491)</f>
        <v/>
      </c>
      <c r="H2491" s="13"/>
      <c r="I2491" s="13"/>
      <c r="J2491" s="13"/>
      <c r="K2491" s="25"/>
      <c r="L2491" s="25"/>
      <c r="M2491" s="25"/>
      <c r="N2491" s="25"/>
      <c r="O2491" s="26"/>
      <c r="P2491" s="16" t="str">
        <f aca="false">IF(O2491="","",IFERROR(1/(1/(IF(K2491="",INDEX(CONFIG!$F$5:$F$14,MATCH(D2491,CONFIG!$D$5:$D$14,0)),K2491)*IF(M2491="",INDEX(CONFIG!$H$5:$H$14,MATCH(D2491,CONFIG!$D$5:$D$14,0)),M2491))),""))</f>
        <v/>
      </c>
      <c r="Q2491" s="16" t="str">
        <f aca="false">IF(OR(O2491="",P2491=""),"",O2491/P2491)</f>
        <v/>
      </c>
      <c r="R2491" s="16" t="str">
        <f aca="false">IF(Q2491="","",Q2491*0.0980665)</f>
        <v/>
      </c>
      <c r="S2491" s="16" t="str">
        <f aca="false">IF(Q2491="","",IFERROR(Q2491/(1/(1/INDEX(CONFIG!$I$5:$I$14,MATCH(D2491,CONFIG!$D$5:$D$14,0)))),""))</f>
        <v/>
      </c>
      <c r="T2491" s="13"/>
      <c r="U2491" s="13"/>
      <c r="V2491" s="13"/>
      <c r="W2491" s="13"/>
      <c r="X2491" s="22" t="str">
        <f aca="false">IF(Q2491="","",Q2491^2)</f>
        <v/>
      </c>
      <c r="Y2491" s="22" t="str">
        <f aca="false">IF(AND(C2491&lt;&gt;"",C2491=CERTIFICADO!$E$4,OR(CERTIFICADO!$E$5="",B2491=CERTIFICADO!$E$5)),MAX($Y$4:Y2490)+1,"")</f>
        <v/>
      </c>
    </row>
    <row r="2492" customFormat="false" ht="15" hidden="false" customHeight="false" outlineLevel="0" collapsed="false">
      <c r="A2492" s="11" t="str">
        <f aca="false">IF(C2492="","",ROW()-4)</f>
        <v/>
      </c>
      <c r="B2492" s="12"/>
      <c r="C2492" s="13"/>
      <c r="D2492" s="23" t="str">
        <f aca="false">IF(C2492="","",IFERROR(INDEX(LOTES!$D$5:$D$1004,MATCH(C2492,LOTES!$F$5:$F$1004,0)),"¿Lote?"))</f>
        <v/>
      </c>
      <c r="E2492" s="11" t="str">
        <f aca="false">IF(C2492="","",IFERROR(INDEX(LOTES!$C$5:$C$1004,MATCH(C2492,LOTES!$F$5:$F$1004,0)),""))</f>
        <v/>
      </c>
      <c r="F2492" s="24" t="str">
        <f aca="false">IF(C2492="","",IFERROR(INDEX(LOTES!$B$5:$B$1004,MATCH(C2492,LOTES!$F$5:$F$1004,0)),""))</f>
        <v/>
      </c>
      <c r="G2492" s="15" t="str">
        <f aca="false">IF(OR(B2492="",F2492=""),"",B2492-F2492)</f>
        <v/>
      </c>
      <c r="H2492" s="13"/>
      <c r="I2492" s="13"/>
      <c r="J2492" s="13"/>
      <c r="K2492" s="25"/>
      <c r="L2492" s="25"/>
      <c r="M2492" s="25"/>
      <c r="N2492" s="25"/>
      <c r="O2492" s="26"/>
      <c r="P2492" s="16" t="str">
        <f aca="false">IF(O2492="","",IFERROR(1/(1/(IF(K2492="",INDEX(CONFIG!$F$5:$F$14,MATCH(D2492,CONFIG!$D$5:$D$14,0)),K2492)*IF(M2492="",INDEX(CONFIG!$H$5:$H$14,MATCH(D2492,CONFIG!$D$5:$D$14,0)),M2492))),""))</f>
        <v/>
      </c>
      <c r="Q2492" s="16" t="str">
        <f aca="false">IF(OR(O2492="",P2492=""),"",O2492/P2492)</f>
        <v/>
      </c>
      <c r="R2492" s="16" t="str">
        <f aca="false">IF(Q2492="","",Q2492*0.0980665)</f>
        <v/>
      </c>
      <c r="S2492" s="16" t="str">
        <f aca="false">IF(Q2492="","",IFERROR(Q2492/(1/(1/INDEX(CONFIG!$I$5:$I$14,MATCH(D2492,CONFIG!$D$5:$D$14,0)))),""))</f>
        <v/>
      </c>
      <c r="T2492" s="13"/>
      <c r="U2492" s="13"/>
      <c r="V2492" s="13"/>
      <c r="W2492" s="13"/>
      <c r="X2492" s="22" t="str">
        <f aca="false">IF(Q2492="","",Q2492^2)</f>
        <v/>
      </c>
      <c r="Y2492" s="22" t="str">
        <f aca="false">IF(AND(C2492&lt;&gt;"",C2492=CERTIFICADO!$E$4,OR(CERTIFICADO!$E$5="",B2492=CERTIFICADO!$E$5)),MAX($Y$4:Y2491)+1,"")</f>
        <v/>
      </c>
    </row>
    <row r="2493" customFormat="false" ht="15" hidden="false" customHeight="false" outlineLevel="0" collapsed="false">
      <c r="A2493" s="11" t="str">
        <f aca="false">IF(C2493="","",ROW()-4)</f>
        <v/>
      </c>
      <c r="B2493" s="12"/>
      <c r="C2493" s="13"/>
      <c r="D2493" s="23" t="str">
        <f aca="false">IF(C2493="","",IFERROR(INDEX(LOTES!$D$5:$D$1004,MATCH(C2493,LOTES!$F$5:$F$1004,0)),"¿Lote?"))</f>
        <v/>
      </c>
      <c r="E2493" s="11" t="str">
        <f aca="false">IF(C2493="","",IFERROR(INDEX(LOTES!$C$5:$C$1004,MATCH(C2493,LOTES!$F$5:$F$1004,0)),""))</f>
        <v/>
      </c>
      <c r="F2493" s="24" t="str">
        <f aca="false">IF(C2493="","",IFERROR(INDEX(LOTES!$B$5:$B$1004,MATCH(C2493,LOTES!$F$5:$F$1004,0)),""))</f>
        <v/>
      </c>
      <c r="G2493" s="15" t="str">
        <f aca="false">IF(OR(B2493="",F2493=""),"",B2493-F2493)</f>
        <v/>
      </c>
      <c r="H2493" s="13"/>
      <c r="I2493" s="13"/>
      <c r="J2493" s="13"/>
      <c r="K2493" s="25"/>
      <c r="L2493" s="25"/>
      <c r="M2493" s="25"/>
      <c r="N2493" s="25"/>
      <c r="O2493" s="26"/>
      <c r="P2493" s="16" t="str">
        <f aca="false">IF(O2493="","",IFERROR(1/(1/(IF(K2493="",INDEX(CONFIG!$F$5:$F$14,MATCH(D2493,CONFIG!$D$5:$D$14,0)),K2493)*IF(M2493="",INDEX(CONFIG!$H$5:$H$14,MATCH(D2493,CONFIG!$D$5:$D$14,0)),M2493))),""))</f>
        <v/>
      </c>
      <c r="Q2493" s="16" t="str">
        <f aca="false">IF(OR(O2493="",P2493=""),"",O2493/P2493)</f>
        <v/>
      </c>
      <c r="R2493" s="16" t="str">
        <f aca="false">IF(Q2493="","",Q2493*0.0980665)</f>
        <v/>
      </c>
      <c r="S2493" s="16" t="str">
        <f aca="false">IF(Q2493="","",IFERROR(Q2493/(1/(1/INDEX(CONFIG!$I$5:$I$14,MATCH(D2493,CONFIG!$D$5:$D$14,0)))),""))</f>
        <v/>
      </c>
      <c r="T2493" s="13"/>
      <c r="U2493" s="13"/>
      <c r="V2493" s="13"/>
      <c r="W2493" s="13"/>
      <c r="X2493" s="22" t="str">
        <f aca="false">IF(Q2493="","",Q2493^2)</f>
        <v/>
      </c>
      <c r="Y2493" s="22" t="str">
        <f aca="false">IF(AND(C2493&lt;&gt;"",C2493=CERTIFICADO!$E$4,OR(CERTIFICADO!$E$5="",B2493=CERTIFICADO!$E$5)),MAX($Y$4:Y2492)+1,"")</f>
        <v/>
      </c>
    </row>
    <row r="2494" customFormat="false" ht="15" hidden="false" customHeight="false" outlineLevel="0" collapsed="false">
      <c r="A2494" s="11" t="str">
        <f aca="false">IF(C2494="","",ROW()-4)</f>
        <v/>
      </c>
      <c r="B2494" s="12"/>
      <c r="C2494" s="13"/>
      <c r="D2494" s="23" t="str">
        <f aca="false">IF(C2494="","",IFERROR(INDEX(LOTES!$D$5:$D$1004,MATCH(C2494,LOTES!$F$5:$F$1004,0)),"¿Lote?"))</f>
        <v/>
      </c>
      <c r="E2494" s="11" t="str">
        <f aca="false">IF(C2494="","",IFERROR(INDEX(LOTES!$C$5:$C$1004,MATCH(C2494,LOTES!$F$5:$F$1004,0)),""))</f>
        <v/>
      </c>
      <c r="F2494" s="24" t="str">
        <f aca="false">IF(C2494="","",IFERROR(INDEX(LOTES!$B$5:$B$1004,MATCH(C2494,LOTES!$F$5:$F$1004,0)),""))</f>
        <v/>
      </c>
      <c r="G2494" s="15" t="str">
        <f aca="false">IF(OR(B2494="",F2494=""),"",B2494-F2494)</f>
        <v/>
      </c>
      <c r="H2494" s="13"/>
      <c r="I2494" s="13"/>
      <c r="J2494" s="13"/>
      <c r="K2494" s="25"/>
      <c r="L2494" s="25"/>
      <c r="M2494" s="25"/>
      <c r="N2494" s="25"/>
      <c r="O2494" s="26"/>
      <c r="P2494" s="16" t="str">
        <f aca="false">IF(O2494="","",IFERROR(1/(1/(IF(K2494="",INDEX(CONFIG!$F$5:$F$14,MATCH(D2494,CONFIG!$D$5:$D$14,0)),K2494)*IF(M2494="",INDEX(CONFIG!$H$5:$H$14,MATCH(D2494,CONFIG!$D$5:$D$14,0)),M2494))),""))</f>
        <v/>
      </c>
      <c r="Q2494" s="16" t="str">
        <f aca="false">IF(OR(O2494="",P2494=""),"",O2494/P2494)</f>
        <v/>
      </c>
      <c r="R2494" s="16" t="str">
        <f aca="false">IF(Q2494="","",Q2494*0.0980665)</f>
        <v/>
      </c>
      <c r="S2494" s="16" t="str">
        <f aca="false">IF(Q2494="","",IFERROR(Q2494/(1/(1/INDEX(CONFIG!$I$5:$I$14,MATCH(D2494,CONFIG!$D$5:$D$14,0)))),""))</f>
        <v/>
      </c>
      <c r="T2494" s="13"/>
      <c r="U2494" s="13"/>
      <c r="V2494" s="13"/>
      <c r="W2494" s="13"/>
      <c r="X2494" s="22" t="str">
        <f aca="false">IF(Q2494="","",Q2494^2)</f>
        <v/>
      </c>
      <c r="Y2494" s="22" t="str">
        <f aca="false">IF(AND(C2494&lt;&gt;"",C2494=CERTIFICADO!$E$4,OR(CERTIFICADO!$E$5="",B2494=CERTIFICADO!$E$5)),MAX($Y$4:Y2493)+1,"")</f>
        <v/>
      </c>
    </row>
    <row r="2495" customFormat="false" ht="15" hidden="false" customHeight="false" outlineLevel="0" collapsed="false">
      <c r="A2495" s="11" t="str">
        <f aca="false">IF(C2495="","",ROW()-4)</f>
        <v/>
      </c>
      <c r="B2495" s="12"/>
      <c r="C2495" s="13"/>
      <c r="D2495" s="23" t="str">
        <f aca="false">IF(C2495="","",IFERROR(INDEX(LOTES!$D$5:$D$1004,MATCH(C2495,LOTES!$F$5:$F$1004,0)),"¿Lote?"))</f>
        <v/>
      </c>
      <c r="E2495" s="11" t="str">
        <f aca="false">IF(C2495="","",IFERROR(INDEX(LOTES!$C$5:$C$1004,MATCH(C2495,LOTES!$F$5:$F$1004,0)),""))</f>
        <v/>
      </c>
      <c r="F2495" s="24" t="str">
        <f aca="false">IF(C2495="","",IFERROR(INDEX(LOTES!$B$5:$B$1004,MATCH(C2495,LOTES!$F$5:$F$1004,0)),""))</f>
        <v/>
      </c>
      <c r="G2495" s="15" t="str">
        <f aca="false">IF(OR(B2495="",F2495=""),"",B2495-F2495)</f>
        <v/>
      </c>
      <c r="H2495" s="13"/>
      <c r="I2495" s="13"/>
      <c r="J2495" s="13"/>
      <c r="K2495" s="25"/>
      <c r="L2495" s="25"/>
      <c r="M2495" s="25"/>
      <c r="N2495" s="25"/>
      <c r="O2495" s="26"/>
      <c r="P2495" s="16" t="str">
        <f aca="false">IF(O2495="","",IFERROR(1/(1/(IF(K2495="",INDEX(CONFIG!$F$5:$F$14,MATCH(D2495,CONFIG!$D$5:$D$14,0)),K2495)*IF(M2495="",INDEX(CONFIG!$H$5:$H$14,MATCH(D2495,CONFIG!$D$5:$D$14,0)),M2495))),""))</f>
        <v/>
      </c>
      <c r="Q2495" s="16" t="str">
        <f aca="false">IF(OR(O2495="",P2495=""),"",O2495/P2495)</f>
        <v/>
      </c>
      <c r="R2495" s="16" t="str">
        <f aca="false">IF(Q2495="","",Q2495*0.0980665)</f>
        <v/>
      </c>
      <c r="S2495" s="16" t="str">
        <f aca="false">IF(Q2495="","",IFERROR(Q2495/(1/(1/INDEX(CONFIG!$I$5:$I$14,MATCH(D2495,CONFIG!$D$5:$D$14,0)))),""))</f>
        <v/>
      </c>
      <c r="T2495" s="13"/>
      <c r="U2495" s="13"/>
      <c r="V2495" s="13"/>
      <c r="W2495" s="13"/>
      <c r="X2495" s="22" t="str">
        <f aca="false">IF(Q2495="","",Q2495^2)</f>
        <v/>
      </c>
      <c r="Y2495" s="22" t="str">
        <f aca="false">IF(AND(C2495&lt;&gt;"",C2495=CERTIFICADO!$E$4,OR(CERTIFICADO!$E$5="",B2495=CERTIFICADO!$E$5)),MAX($Y$4:Y2494)+1,"")</f>
        <v/>
      </c>
    </row>
    <row r="2496" customFormat="false" ht="15" hidden="false" customHeight="false" outlineLevel="0" collapsed="false">
      <c r="A2496" s="11" t="str">
        <f aca="false">IF(C2496="","",ROW()-4)</f>
        <v/>
      </c>
      <c r="B2496" s="12"/>
      <c r="C2496" s="13"/>
      <c r="D2496" s="23" t="str">
        <f aca="false">IF(C2496="","",IFERROR(INDEX(LOTES!$D$5:$D$1004,MATCH(C2496,LOTES!$F$5:$F$1004,0)),"¿Lote?"))</f>
        <v/>
      </c>
      <c r="E2496" s="11" t="str">
        <f aca="false">IF(C2496="","",IFERROR(INDEX(LOTES!$C$5:$C$1004,MATCH(C2496,LOTES!$F$5:$F$1004,0)),""))</f>
        <v/>
      </c>
      <c r="F2496" s="24" t="str">
        <f aca="false">IF(C2496="","",IFERROR(INDEX(LOTES!$B$5:$B$1004,MATCH(C2496,LOTES!$F$5:$F$1004,0)),""))</f>
        <v/>
      </c>
      <c r="G2496" s="15" t="str">
        <f aca="false">IF(OR(B2496="",F2496=""),"",B2496-F2496)</f>
        <v/>
      </c>
      <c r="H2496" s="13"/>
      <c r="I2496" s="13"/>
      <c r="J2496" s="13"/>
      <c r="K2496" s="25"/>
      <c r="L2496" s="25"/>
      <c r="M2496" s="25"/>
      <c r="N2496" s="25"/>
      <c r="O2496" s="26"/>
      <c r="P2496" s="16" t="str">
        <f aca="false">IF(O2496="","",IFERROR(1/(1/(IF(K2496="",INDEX(CONFIG!$F$5:$F$14,MATCH(D2496,CONFIG!$D$5:$D$14,0)),K2496)*IF(M2496="",INDEX(CONFIG!$H$5:$H$14,MATCH(D2496,CONFIG!$D$5:$D$14,0)),M2496))),""))</f>
        <v/>
      </c>
      <c r="Q2496" s="16" t="str">
        <f aca="false">IF(OR(O2496="",P2496=""),"",O2496/P2496)</f>
        <v/>
      </c>
      <c r="R2496" s="16" t="str">
        <f aca="false">IF(Q2496="","",Q2496*0.0980665)</f>
        <v/>
      </c>
      <c r="S2496" s="16" t="str">
        <f aca="false">IF(Q2496="","",IFERROR(Q2496/(1/(1/INDEX(CONFIG!$I$5:$I$14,MATCH(D2496,CONFIG!$D$5:$D$14,0)))),""))</f>
        <v/>
      </c>
      <c r="T2496" s="13"/>
      <c r="U2496" s="13"/>
      <c r="V2496" s="13"/>
      <c r="W2496" s="13"/>
      <c r="X2496" s="22" t="str">
        <f aca="false">IF(Q2496="","",Q2496^2)</f>
        <v/>
      </c>
      <c r="Y2496" s="22" t="str">
        <f aca="false">IF(AND(C2496&lt;&gt;"",C2496=CERTIFICADO!$E$4,OR(CERTIFICADO!$E$5="",B2496=CERTIFICADO!$E$5)),MAX($Y$4:Y2495)+1,"")</f>
        <v/>
      </c>
    </row>
    <row r="2497" customFormat="false" ht="15" hidden="false" customHeight="false" outlineLevel="0" collapsed="false">
      <c r="A2497" s="11" t="str">
        <f aca="false">IF(C2497="","",ROW()-4)</f>
        <v/>
      </c>
      <c r="B2497" s="12"/>
      <c r="C2497" s="13"/>
      <c r="D2497" s="23" t="str">
        <f aca="false">IF(C2497="","",IFERROR(INDEX(LOTES!$D$5:$D$1004,MATCH(C2497,LOTES!$F$5:$F$1004,0)),"¿Lote?"))</f>
        <v/>
      </c>
      <c r="E2497" s="11" t="str">
        <f aca="false">IF(C2497="","",IFERROR(INDEX(LOTES!$C$5:$C$1004,MATCH(C2497,LOTES!$F$5:$F$1004,0)),""))</f>
        <v/>
      </c>
      <c r="F2497" s="24" t="str">
        <f aca="false">IF(C2497="","",IFERROR(INDEX(LOTES!$B$5:$B$1004,MATCH(C2497,LOTES!$F$5:$F$1004,0)),""))</f>
        <v/>
      </c>
      <c r="G2497" s="15" t="str">
        <f aca="false">IF(OR(B2497="",F2497=""),"",B2497-F2497)</f>
        <v/>
      </c>
      <c r="H2497" s="13"/>
      <c r="I2497" s="13"/>
      <c r="J2497" s="13"/>
      <c r="K2497" s="25"/>
      <c r="L2497" s="25"/>
      <c r="M2497" s="25"/>
      <c r="N2497" s="25"/>
      <c r="O2497" s="26"/>
      <c r="P2497" s="16" t="str">
        <f aca="false">IF(O2497="","",IFERROR(1/(1/(IF(K2497="",INDEX(CONFIG!$F$5:$F$14,MATCH(D2497,CONFIG!$D$5:$D$14,0)),K2497)*IF(M2497="",INDEX(CONFIG!$H$5:$H$14,MATCH(D2497,CONFIG!$D$5:$D$14,0)),M2497))),""))</f>
        <v/>
      </c>
      <c r="Q2497" s="16" t="str">
        <f aca="false">IF(OR(O2497="",P2497=""),"",O2497/P2497)</f>
        <v/>
      </c>
      <c r="R2497" s="16" t="str">
        <f aca="false">IF(Q2497="","",Q2497*0.0980665)</f>
        <v/>
      </c>
      <c r="S2497" s="16" t="str">
        <f aca="false">IF(Q2497="","",IFERROR(Q2497/(1/(1/INDEX(CONFIG!$I$5:$I$14,MATCH(D2497,CONFIG!$D$5:$D$14,0)))),""))</f>
        <v/>
      </c>
      <c r="T2497" s="13"/>
      <c r="U2497" s="13"/>
      <c r="V2497" s="13"/>
      <c r="W2497" s="13"/>
      <c r="X2497" s="22" t="str">
        <f aca="false">IF(Q2497="","",Q2497^2)</f>
        <v/>
      </c>
      <c r="Y2497" s="22" t="str">
        <f aca="false">IF(AND(C2497&lt;&gt;"",C2497=CERTIFICADO!$E$4,OR(CERTIFICADO!$E$5="",B2497=CERTIFICADO!$E$5)),MAX($Y$4:Y2496)+1,"")</f>
        <v/>
      </c>
    </row>
    <row r="2498" customFormat="false" ht="15" hidden="false" customHeight="false" outlineLevel="0" collapsed="false">
      <c r="A2498" s="11" t="str">
        <f aca="false">IF(C2498="","",ROW()-4)</f>
        <v/>
      </c>
      <c r="B2498" s="12"/>
      <c r="C2498" s="13"/>
      <c r="D2498" s="23" t="str">
        <f aca="false">IF(C2498="","",IFERROR(INDEX(LOTES!$D$5:$D$1004,MATCH(C2498,LOTES!$F$5:$F$1004,0)),"¿Lote?"))</f>
        <v/>
      </c>
      <c r="E2498" s="11" t="str">
        <f aca="false">IF(C2498="","",IFERROR(INDEX(LOTES!$C$5:$C$1004,MATCH(C2498,LOTES!$F$5:$F$1004,0)),""))</f>
        <v/>
      </c>
      <c r="F2498" s="24" t="str">
        <f aca="false">IF(C2498="","",IFERROR(INDEX(LOTES!$B$5:$B$1004,MATCH(C2498,LOTES!$F$5:$F$1004,0)),""))</f>
        <v/>
      </c>
      <c r="G2498" s="15" t="str">
        <f aca="false">IF(OR(B2498="",F2498=""),"",B2498-F2498)</f>
        <v/>
      </c>
      <c r="H2498" s="13"/>
      <c r="I2498" s="13"/>
      <c r="J2498" s="13"/>
      <c r="K2498" s="25"/>
      <c r="L2498" s="25"/>
      <c r="M2498" s="25"/>
      <c r="N2498" s="25"/>
      <c r="O2498" s="26"/>
      <c r="P2498" s="16" t="str">
        <f aca="false">IF(O2498="","",IFERROR(1/(1/(IF(K2498="",INDEX(CONFIG!$F$5:$F$14,MATCH(D2498,CONFIG!$D$5:$D$14,0)),K2498)*IF(M2498="",INDEX(CONFIG!$H$5:$H$14,MATCH(D2498,CONFIG!$D$5:$D$14,0)),M2498))),""))</f>
        <v/>
      </c>
      <c r="Q2498" s="16" t="str">
        <f aca="false">IF(OR(O2498="",P2498=""),"",O2498/P2498)</f>
        <v/>
      </c>
      <c r="R2498" s="16" t="str">
        <f aca="false">IF(Q2498="","",Q2498*0.0980665)</f>
        <v/>
      </c>
      <c r="S2498" s="16" t="str">
        <f aca="false">IF(Q2498="","",IFERROR(Q2498/(1/(1/INDEX(CONFIG!$I$5:$I$14,MATCH(D2498,CONFIG!$D$5:$D$14,0)))),""))</f>
        <v/>
      </c>
      <c r="T2498" s="13"/>
      <c r="U2498" s="13"/>
      <c r="V2498" s="13"/>
      <c r="W2498" s="13"/>
      <c r="X2498" s="22" t="str">
        <f aca="false">IF(Q2498="","",Q2498^2)</f>
        <v/>
      </c>
      <c r="Y2498" s="22" t="str">
        <f aca="false">IF(AND(C2498&lt;&gt;"",C2498=CERTIFICADO!$E$4,OR(CERTIFICADO!$E$5="",B2498=CERTIFICADO!$E$5)),MAX($Y$4:Y2497)+1,"")</f>
        <v/>
      </c>
    </row>
    <row r="2499" customFormat="false" ht="15" hidden="false" customHeight="false" outlineLevel="0" collapsed="false">
      <c r="A2499" s="11" t="str">
        <f aca="false">IF(C2499="","",ROW()-4)</f>
        <v/>
      </c>
      <c r="B2499" s="12"/>
      <c r="C2499" s="13"/>
      <c r="D2499" s="23" t="str">
        <f aca="false">IF(C2499="","",IFERROR(INDEX(LOTES!$D$5:$D$1004,MATCH(C2499,LOTES!$F$5:$F$1004,0)),"¿Lote?"))</f>
        <v/>
      </c>
      <c r="E2499" s="11" t="str">
        <f aca="false">IF(C2499="","",IFERROR(INDEX(LOTES!$C$5:$C$1004,MATCH(C2499,LOTES!$F$5:$F$1004,0)),""))</f>
        <v/>
      </c>
      <c r="F2499" s="24" t="str">
        <f aca="false">IF(C2499="","",IFERROR(INDEX(LOTES!$B$5:$B$1004,MATCH(C2499,LOTES!$F$5:$F$1004,0)),""))</f>
        <v/>
      </c>
      <c r="G2499" s="15" t="str">
        <f aca="false">IF(OR(B2499="",F2499=""),"",B2499-F2499)</f>
        <v/>
      </c>
      <c r="H2499" s="13"/>
      <c r="I2499" s="13"/>
      <c r="J2499" s="13"/>
      <c r="K2499" s="25"/>
      <c r="L2499" s="25"/>
      <c r="M2499" s="25"/>
      <c r="N2499" s="25"/>
      <c r="O2499" s="26"/>
      <c r="P2499" s="16" t="str">
        <f aca="false">IF(O2499="","",IFERROR(1/(1/(IF(K2499="",INDEX(CONFIG!$F$5:$F$14,MATCH(D2499,CONFIG!$D$5:$D$14,0)),K2499)*IF(M2499="",INDEX(CONFIG!$H$5:$H$14,MATCH(D2499,CONFIG!$D$5:$D$14,0)),M2499))),""))</f>
        <v/>
      </c>
      <c r="Q2499" s="16" t="str">
        <f aca="false">IF(OR(O2499="",P2499=""),"",O2499/P2499)</f>
        <v/>
      </c>
      <c r="R2499" s="16" t="str">
        <f aca="false">IF(Q2499="","",Q2499*0.0980665)</f>
        <v/>
      </c>
      <c r="S2499" s="16" t="str">
        <f aca="false">IF(Q2499="","",IFERROR(Q2499/(1/(1/INDEX(CONFIG!$I$5:$I$14,MATCH(D2499,CONFIG!$D$5:$D$14,0)))),""))</f>
        <v/>
      </c>
      <c r="T2499" s="13"/>
      <c r="U2499" s="13"/>
      <c r="V2499" s="13"/>
      <c r="W2499" s="13"/>
      <c r="X2499" s="22" t="str">
        <f aca="false">IF(Q2499="","",Q2499^2)</f>
        <v/>
      </c>
      <c r="Y2499" s="22" t="str">
        <f aca="false">IF(AND(C2499&lt;&gt;"",C2499=CERTIFICADO!$E$4,OR(CERTIFICADO!$E$5="",B2499=CERTIFICADO!$E$5)),MAX($Y$4:Y2498)+1,"")</f>
        <v/>
      </c>
    </row>
    <row r="2500" customFormat="false" ht="15" hidden="false" customHeight="false" outlineLevel="0" collapsed="false">
      <c r="A2500" s="11" t="str">
        <f aca="false">IF(C2500="","",ROW()-4)</f>
        <v/>
      </c>
      <c r="B2500" s="12"/>
      <c r="C2500" s="13"/>
      <c r="D2500" s="23" t="str">
        <f aca="false">IF(C2500="","",IFERROR(INDEX(LOTES!$D$5:$D$1004,MATCH(C2500,LOTES!$F$5:$F$1004,0)),"¿Lote?"))</f>
        <v/>
      </c>
      <c r="E2500" s="11" t="str">
        <f aca="false">IF(C2500="","",IFERROR(INDEX(LOTES!$C$5:$C$1004,MATCH(C2500,LOTES!$F$5:$F$1004,0)),""))</f>
        <v/>
      </c>
      <c r="F2500" s="24" t="str">
        <f aca="false">IF(C2500="","",IFERROR(INDEX(LOTES!$B$5:$B$1004,MATCH(C2500,LOTES!$F$5:$F$1004,0)),""))</f>
        <v/>
      </c>
      <c r="G2500" s="15" t="str">
        <f aca="false">IF(OR(B2500="",F2500=""),"",B2500-F2500)</f>
        <v/>
      </c>
      <c r="H2500" s="13"/>
      <c r="I2500" s="13"/>
      <c r="J2500" s="13"/>
      <c r="K2500" s="25"/>
      <c r="L2500" s="25"/>
      <c r="M2500" s="25"/>
      <c r="N2500" s="25"/>
      <c r="O2500" s="26"/>
      <c r="P2500" s="16" t="str">
        <f aca="false">IF(O2500="","",IFERROR(1/(1/(IF(K2500="",INDEX(CONFIG!$F$5:$F$14,MATCH(D2500,CONFIG!$D$5:$D$14,0)),K2500)*IF(M2500="",INDEX(CONFIG!$H$5:$H$14,MATCH(D2500,CONFIG!$D$5:$D$14,0)),M2500))),""))</f>
        <v/>
      </c>
      <c r="Q2500" s="16" t="str">
        <f aca="false">IF(OR(O2500="",P2500=""),"",O2500/P2500)</f>
        <v/>
      </c>
      <c r="R2500" s="16" t="str">
        <f aca="false">IF(Q2500="","",Q2500*0.0980665)</f>
        <v/>
      </c>
      <c r="S2500" s="16" t="str">
        <f aca="false">IF(Q2500="","",IFERROR(Q2500/(1/(1/INDEX(CONFIG!$I$5:$I$14,MATCH(D2500,CONFIG!$D$5:$D$14,0)))),""))</f>
        <v/>
      </c>
      <c r="T2500" s="13"/>
      <c r="U2500" s="13"/>
      <c r="V2500" s="13"/>
      <c r="W2500" s="13"/>
      <c r="X2500" s="22" t="str">
        <f aca="false">IF(Q2500="","",Q2500^2)</f>
        <v/>
      </c>
      <c r="Y2500" s="22" t="str">
        <f aca="false">IF(AND(C2500&lt;&gt;"",C2500=CERTIFICADO!$E$4,OR(CERTIFICADO!$E$5="",B2500=CERTIFICADO!$E$5)),MAX($Y$4:Y2499)+1,"")</f>
        <v/>
      </c>
    </row>
    <row r="2501" customFormat="false" ht="15" hidden="false" customHeight="false" outlineLevel="0" collapsed="false">
      <c r="A2501" s="11" t="str">
        <f aca="false">IF(C2501="","",ROW()-4)</f>
        <v/>
      </c>
      <c r="B2501" s="12"/>
      <c r="C2501" s="13"/>
      <c r="D2501" s="23" t="str">
        <f aca="false">IF(C2501="","",IFERROR(INDEX(LOTES!$D$5:$D$1004,MATCH(C2501,LOTES!$F$5:$F$1004,0)),"¿Lote?"))</f>
        <v/>
      </c>
      <c r="E2501" s="11" t="str">
        <f aca="false">IF(C2501="","",IFERROR(INDEX(LOTES!$C$5:$C$1004,MATCH(C2501,LOTES!$F$5:$F$1004,0)),""))</f>
        <v/>
      </c>
      <c r="F2501" s="24" t="str">
        <f aca="false">IF(C2501="","",IFERROR(INDEX(LOTES!$B$5:$B$1004,MATCH(C2501,LOTES!$F$5:$F$1004,0)),""))</f>
        <v/>
      </c>
      <c r="G2501" s="15" t="str">
        <f aca="false">IF(OR(B2501="",F2501=""),"",B2501-F2501)</f>
        <v/>
      </c>
      <c r="H2501" s="13"/>
      <c r="I2501" s="13"/>
      <c r="J2501" s="13"/>
      <c r="K2501" s="25"/>
      <c r="L2501" s="25"/>
      <c r="M2501" s="25"/>
      <c r="N2501" s="25"/>
      <c r="O2501" s="26"/>
      <c r="P2501" s="16" t="str">
        <f aca="false">IF(O2501="","",IFERROR(1/(1/(IF(K2501="",INDEX(CONFIG!$F$5:$F$14,MATCH(D2501,CONFIG!$D$5:$D$14,0)),K2501)*IF(M2501="",INDEX(CONFIG!$H$5:$H$14,MATCH(D2501,CONFIG!$D$5:$D$14,0)),M2501))),""))</f>
        <v/>
      </c>
      <c r="Q2501" s="16" t="str">
        <f aca="false">IF(OR(O2501="",P2501=""),"",O2501/P2501)</f>
        <v/>
      </c>
      <c r="R2501" s="16" t="str">
        <f aca="false">IF(Q2501="","",Q2501*0.0980665)</f>
        <v/>
      </c>
      <c r="S2501" s="16" t="str">
        <f aca="false">IF(Q2501="","",IFERROR(Q2501/(1/(1/INDEX(CONFIG!$I$5:$I$14,MATCH(D2501,CONFIG!$D$5:$D$14,0)))),""))</f>
        <v/>
      </c>
      <c r="T2501" s="13"/>
      <c r="U2501" s="13"/>
      <c r="V2501" s="13"/>
      <c r="W2501" s="13"/>
      <c r="X2501" s="22" t="str">
        <f aca="false">IF(Q2501="","",Q2501^2)</f>
        <v/>
      </c>
      <c r="Y2501" s="22" t="str">
        <f aca="false">IF(AND(C2501&lt;&gt;"",C2501=CERTIFICADO!$E$4,OR(CERTIFICADO!$E$5="",B2501=CERTIFICADO!$E$5)),MAX($Y$4:Y2500)+1,"")</f>
        <v/>
      </c>
    </row>
    <row r="2502" customFormat="false" ht="15" hidden="false" customHeight="false" outlineLevel="0" collapsed="false">
      <c r="A2502" s="11" t="str">
        <f aca="false">IF(C2502="","",ROW()-4)</f>
        <v/>
      </c>
      <c r="B2502" s="12"/>
      <c r="C2502" s="13"/>
      <c r="D2502" s="23" t="str">
        <f aca="false">IF(C2502="","",IFERROR(INDEX(LOTES!$D$5:$D$1004,MATCH(C2502,LOTES!$F$5:$F$1004,0)),"¿Lote?"))</f>
        <v/>
      </c>
      <c r="E2502" s="11" t="str">
        <f aca="false">IF(C2502="","",IFERROR(INDEX(LOTES!$C$5:$C$1004,MATCH(C2502,LOTES!$F$5:$F$1004,0)),""))</f>
        <v/>
      </c>
      <c r="F2502" s="24" t="str">
        <f aca="false">IF(C2502="","",IFERROR(INDEX(LOTES!$B$5:$B$1004,MATCH(C2502,LOTES!$F$5:$F$1004,0)),""))</f>
        <v/>
      </c>
      <c r="G2502" s="15" t="str">
        <f aca="false">IF(OR(B2502="",F2502=""),"",B2502-F2502)</f>
        <v/>
      </c>
      <c r="H2502" s="13"/>
      <c r="I2502" s="13"/>
      <c r="J2502" s="13"/>
      <c r="K2502" s="25"/>
      <c r="L2502" s="25"/>
      <c r="M2502" s="25"/>
      <c r="N2502" s="25"/>
      <c r="O2502" s="26"/>
      <c r="P2502" s="16" t="str">
        <f aca="false">IF(O2502="","",IFERROR(1/(1/(IF(K2502="",INDEX(CONFIG!$F$5:$F$14,MATCH(D2502,CONFIG!$D$5:$D$14,0)),K2502)*IF(M2502="",INDEX(CONFIG!$H$5:$H$14,MATCH(D2502,CONFIG!$D$5:$D$14,0)),M2502))),""))</f>
        <v/>
      </c>
      <c r="Q2502" s="16" t="str">
        <f aca="false">IF(OR(O2502="",P2502=""),"",O2502/P2502)</f>
        <v/>
      </c>
      <c r="R2502" s="16" t="str">
        <f aca="false">IF(Q2502="","",Q2502*0.0980665)</f>
        <v/>
      </c>
      <c r="S2502" s="16" t="str">
        <f aca="false">IF(Q2502="","",IFERROR(Q2502/(1/(1/INDEX(CONFIG!$I$5:$I$14,MATCH(D2502,CONFIG!$D$5:$D$14,0)))),""))</f>
        <v/>
      </c>
      <c r="T2502" s="13"/>
      <c r="U2502" s="13"/>
      <c r="V2502" s="13"/>
      <c r="W2502" s="13"/>
      <c r="X2502" s="22" t="str">
        <f aca="false">IF(Q2502="","",Q2502^2)</f>
        <v/>
      </c>
      <c r="Y2502" s="22" t="str">
        <f aca="false">IF(AND(C2502&lt;&gt;"",C2502=CERTIFICADO!$E$4,OR(CERTIFICADO!$E$5="",B2502=CERTIFICADO!$E$5)),MAX($Y$4:Y2501)+1,"")</f>
        <v/>
      </c>
    </row>
    <row r="2503" customFormat="false" ht="15" hidden="false" customHeight="false" outlineLevel="0" collapsed="false">
      <c r="A2503" s="11" t="str">
        <f aca="false">IF(C2503="","",ROW()-4)</f>
        <v/>
      </c>
      <c r="B2503" s="12"/>
      <c r="C2503" s="13"/>
      <c r="D2503" s="23" t="str">
        <f aca="false">IF(C2503="","",IFERROR(INDEX(LOTES!$D$5:$D$1004,MATCH(C2503,LOTES!$F$5:$F$1004,0)),"¿Lote?"))</f>
        <v/>
      </c>
      <c r="E2503" s="11" t="str">
        <f aca="false">IF(C2503="","",IFERROR(INDEX(LOTES!$C$5:$C$1004,MATCH(C2503,LOTES!$F$5:$F$1004,0)),""))</f>
        <v/>
      </c>
      <c r="F2503" s="24" t="str">
        <f aca="false">IF(C2503="","",IFERROR(INDEX(LOTES!$B$5:$B$1004,MATCH(C2503,LOTES!$F$5:$F$1004,0)),""))</f>
        <v/>
      </c>
      <c r="G2503" s="15" t="str">
        <f aca="false">IF(OR(B2503="",F2503=""),"",B2503-F2503)</f>
        <v/>
      </c>
      <c r="H2503" s="13"/>
      <c r="I2503" s="13"/>
      <c r="J2503" s="13"/>
      <c r="K2503" s="25"/>
      <c r="L2503" s="25"/>
      <c r="M2503" s="25"/>
      <c r="N2503" s="25"/>
      <c r="O2503" s="26"/>
      <c r="P2503" s="16" t="str">
        <f aca="false">IF(O2503="","",IFERROR(1/(1/(IF(K2503="",INDEX(CONFIG!$F$5:$F$14,MATCH(D2503,CONFIG!$D$5:$D$14,0)),K2503)*IF(M2503="",INDEX(CONFIG!$H$5:$H$14,MATCH(D2503,CONFIG!$D$5:$D$14,0)),M2503))),""))</f>
        <v/>
      </c>
      <c r="Q2503" s="16" t="str">
        <f aca="false">IF(OR(O2503="",P2503=""),"",O2503/P2503)</f>
        <v/>
      </c>
      <c r="R2503" s="16" t="str">
        <f aca="false">IF(Q2503="","",Q2503*0.0980665)</f>
        <v/>
      </c>
      <c r="S2503" s="16" t="str">
        <f aca="false">IF(Q2503="","",IFERROR(Q2503/(1/(1/INDEX(CONFIG!$I$5:$I$14,MATCH(D2503,CONFIG!$D$5:$D$14,0)))),""))</f>
        <v/>
      </c>
      <c r="T2503" s="13"/>
      <c r="U2503" s="13"/>
      <c r="V2503" s="13"/>
      <c r="W2503" s="13"/>
      <c r="X2503" s="22" t="str">
        <f aca="false">IF(Q2503="","",Q2503^2)</f>
        <v/>
      </c>
      <c r="Y2503" s="22" t="str">
        <f aca="false">IF(AND(C2503&lt;&gt;"",C2503=CERTIFICADO!$E$4,OR(CERTIFICADO!$E$5="",B2503=CERTIFICADO!$E$5)),MAX($Y$4:Y2502)+1,"")</f>
        <v/>
      </c>
    </row>
    <row r="2504" customFormat="false" ht="15" hidden="false" customHeight="false" outlineLevel="0" collapsed="false">
      <c r="A2504" s="11" t="str">
        <f aca="false">IF(C2504="","",ROW()-4)</f>
        <v/>
      </c>
      <c r="B2504" s="12"/>
      <c r="C2504" s="13"/>
      <c r="D2504" s="23" t="str">
        <f aca="false">IF(C2504="","",IFERROR(INDEX(LOTES!$D$5:$D$1004,MATCH(C2504,LOTES!$F$5:$F$1004,0)),"¿Lote?"))</f>
        <v/>
      </c>
      <c r="E2504" s="11" t="str">
        <f aca="false">IF(C2504="","",IFERROR(INDEX(LOTES!$C$5:$C$1004,MATCH(C2504,LOTES!$F$5:$F$1004,0)),""))</f>
        <v/>
      </c>
      <c r="F2504" s="24" t="str">
        <f aca="false">IF(C2504="","",IFERROR(INDEX(LOTES!$B$5:$B$1004,MATCH(C2504,LOTES!$F$5:$F$1004,0)),""))</f>
        <v/>
      </c>
      <c r="G2504" s="15" t="str">
        <f aca="false">IF(OR(B2504="",F2504=""),"",B2504-F2504)</f>
        <v/>
      </c>
      <c r="H2504" s="13"/>
      <c r="I2504" s="13"/>
      <c r="J2504" s="13"/>
      <c r="K2504" s="25"/>
      <c r="L2504" s="25"/>
      <c r="M2504" s="25"/>
      <c r="N2504" s="25"/>
      <c r="O2504" s="26"/>
      <c r="P2504" s="16" t="str">
        <f aca="false">IF(O2504="","",IFERROR(1/(1/(IF(K2504="",INDEX(CONFIG!$F$5:$F$14,MATCH(D2504,CONFIG!$D$5:$D$14,0)),K2504)*IF(M2504="",INDEX(CONFIG!$H$5:$H$14,MATCH(D2504,CONFIG!$D$5:$D$14,0)),M2504))),""))</f>
        <v/>
      </c>
      <c r="Q2504" s="16" t="str">
        <f aca="false">IF(OR(O2504="",P2504=""),"",O2504/P2504)</f>
        <v/>
      </c>
      <c r="R2504" s="16" t="str">
        <f aca="false">IF(Q2504="","",Q2504*0.0980665)</f>
        <v/>
      </c>
      <c r="S2504" s="16" t="str">
        <f aca="false">IF(Q2504="","",IFERROR(Q2504/(1/(1/INDEX(CONFIG!$I$5:$I$14,MATCH(D2504,CONFIG!$D$5:$D$14,0)))),""))</f>
        <v/>
      </c>
      <c r="T2504" s="13"/>
      <c r="U2504" s="13"/>
      <c r="V2504" s="13"/>
      <c r="W2504" s="13"/>
      <c r="X2504" s="22" t="str">
        <f aca="false">IF(Q2504="","",Q2504^2)</f>
        <v/>
      </c>
      <c r="Y2504" s="22" t="str">
        <f aca="false">IF(AND(C2504&lt;&gt;"",C2504=CERTIFICADO!$E$4,OR(CERTIFICADO!$E$5="",B2504=CERTIFICADO!$E$5)),MAX($Y$4:Y2503)+1,"")</f>
        <v/>
      </c>
    </row>
    <row r="2505" customFormat="false" ht="15" hidden="false" customHeight="false" outlineLevel="0" collapsed="false">
      <c r="A2505" s="11" t="str">
        <f aca="false">IF(C2505="","",ROW()-4)</f>
        <v/>
      </c>
      <c r="B2505" s="12"/>
      <c r="C2505" s="13"/>
      <c r="D2505" s="23" t="str">
        <f aca="false">IF(C2505="","",IFERROR(INDEX(LOTES!$D$5:$D$1004,MATCH(C2505,LOTES!$F$5:$F$1004,0)),"¿Lote?"))</f>
        <v/>
      </c>
      <c r="E2505" s="11" t="str">
        <f aca="false">IF(C2505="","",IFERROR(INDEX(LOTES!$C$5:$C$1004,MATCH(C2505,LOTES!$F$5:$F$1004,0)),""))</f>
        <v/>
      </c>
      <c r="F2505" s="24" t="str">
        <f aca="false">IF(C2505="","",IFERROR(INDEX(LOTES!$B$5:$B$1004,MATCH(C2505,LOTES!$F$5:$F$1004,0)),""))</f>
        <v/>
      </c>
      <c r="G2505" s="15" t="str">
        <f aca="false">IF(OR(B2505="",F2505=""),"",B2505-F2505)</f>
        <v/>
      </c>
      <c r="H2505" s="13"/>
      <c r="I2505" s="13"/>
      <c r="J2505" s="13"/>
      <c r="K2505" s="25"/>
      <c r="L2505" s="25"/>
      <c r="M2505" s="25"/>
      <c r="N2505" s="25"/>
      <c r="O2505" s="26"/>
      <c r="P2505" s="16" t="str">
        <f aca="false">IF(O2505="","",IFERROR(1/(1/(IF(K2505="",INDEX(CONFIG!$F$5:$F$14,MATCH(D2505,CONFIG!$D$5:$D$14,0)),K2505)*IF(M2505="",INDEX(CONFIG!$H$5:$H$14,MATCH(D2505,CONFIG!$D$5:$D$14,0)),M2505))),""))</f>
        <v/>
      </c>
      <c r="Q2505" s="16" t="str">
        <f aca="false">IF(OR(O2505="",P2505=""),"",O2505/P2505)</f>
        <v/>
      </c>
      <c r="R2505" s="16" t="str">
        <f aca="false">IF(Q2505="","",Q2505*0.0980665)</f>
        <v/>
      </c>
      <c r="S2505" s="16" t="str">
        <f aca="false">IF(Q2505="","",IFERROR(Q2505/(1/(1/INDEX(CONFIG!$I$5:$I$14,MATCH(D2505,CONFIG!$D$5:$D$14,0)))),""))</f>
        <v/>
      </c>
      <c r="T2505" s="13"/>
      <c r="U2505" s="13"/>
      <c r="V2505" s="13"/>
      <c r="W2505" s="13"/>
      <c r="X2505" s="22" t="str">
        <f aca="false">IF(Q2505="","",Q2505^2)</f>
        <v/>
      </c>
      <c r="Y2505" s="22" t="str">
        <f aca="false">IF(AND(C2505&lt;&gt;"",C2505=CERTIFICADO!$E$4,OR(CERTIFICADO!$E$5="",B2505=CERTIFICADO!$E$5)),MAX($Y$4:Y2504)+1,"")</f>
        <v/>
      </c>
    </row>
    <row r="2506" customFormat="false" ht="15" hidden="false" customHeight="false" outlineLevel="0" collapsed="false">
      <c r="A2506" s="11" t="str">
        <f aca="false">IF(C2506="","",ROW()-4)</f>
        <v/>
      </c>
      <c r="B2506" s="12"/>
      <c r="C2506" s="13"/>
      <c r="D2506" s="23" t="str">
        <f aca="false">IF(C2506="","",IFERROR(INDEX(LOTES!$D$5:$D$1004,MATCH(C2506,LOTES!$F$5:$F$1004,0)),"¿Lote?"))</f>
        <v/>
      </c>
      <c r="E2506" s="11" t="str">
        <f aca="false">IF(C2506="","",IFERROR(INDEX(LOTES!$C$5:$C$1004,MATCH(C2506,LOTES!$F$5:$F$1004,0)),""))</f>
        <v/>
      </c>
      <c r="F2506" s="24" t="str">
        <f aca="false">IF(C2506="","",IFERROR(INDEX(LOTES!$B$5:$B$1004,MATCH(C2506,LOTES!$F$5:$F$1004,0)),""))</f>
        <v/>
      </c>
      <c r="G2506" s="15" t="str">
        <f aca="false">IF(OR(B2506="",F2506=""),"",B2506-F2506)</f>
        <v/>
      </c>
      <c r="H2506" s="13"/>
      <c r="I2506" s="13"/>
      <c r="J2506" s="13"/>
      <c r="K2506" s="25"/>
      <c r="L2506" s="25"/>
      <c r="M2506" s="25"/>
      <c r="N2506" s="25"/>
      <c r="O2506" s="26"/>
      <c r="P2506" s="16" t="str">
        <f aca="false">IF(O2506="","",IFERROR(1/(1/(IF(K2506="",INDEX(CONFIG!$F$5:$F$14,MATCH(D2506,CONFIG!$D$5:$D$14,0)),K2506)*IF(M2506="",INDEX(CONFIG!$H$5:$H$14,MATCH(D2506,CONFIG!$D$5:$D$14,0)),M2506))),""))</f>
        <v/>
      </c>
      <c r="Q2506" s="16" t="str">
        <f aca="false">IF(OR(O2506="",P2506=""),"",O2506/P2506)</f>
        <v/>
      </c>
      <c r="R2506" s="16" t="str">
        <f aca="false">IF(Q2506="","",Q2506*0.0980665)</f>
        <v/>
      </c>
      <c r="S2506" s="16" t="str">
        <f aca="false">IF(Q2506="","",IFERROR(Q2506/(1/(1/INDEX(CONFIG!$I$5:$I$14,MATCH(D2506,CONFIG!$D$5:$D$14,0)))),""))</f>
        <v/>
      </c>
      <c r="T2506" s="13"/>
      <c r="U2506" s="13"/>
      <c r="V2506" s="13"/>
      <c r="W2506" s="13"/>
      <c r="X2506" s="22" t="str">
        <f aca="false">IF(Q2506="","",Q2506^2)</f>
        <v/>
      </c>
      <c r="Y2506" s="22" t="str">
        <f aca="false">IF(AND(C2506&lt;&gt;"",C2506=CERTIFICADO!$E$4,OR(CERTIFICADO!$E$5="",B2506=CERTIFICADO!$E$5)),MAX($Y$4:Y2505)+1,"")</f>
        <v/>
      </c>
    </row>
    <row r="2507" customFormat="false" ht="15" hidden="false" customHeight="false" outlineLevel="0" collapsed="false">
      <c r="A2507" s="11" t="str">
        <f aca="false">IF(C2507="","",ROW()-4)</f>
        <v/>
      </c>
      <c r="B2507" s="12"/>
      <c r="C2507" s="13"/>
      <c r="D2507" s="23" t="str">
        <f aca="false">IF(C2507="","",IFERROR(INDEX(LOTES!$D$5:$D$1004,MATCH(C2507,LOTES!$F$5:$F$1004,0)),"¿Lote?"))</f>
        <v/>
      </c>
      <c r="E2507" s="11" t="str">
        <f aca="false">IF(C2507="","",IFERROR(INDEX(LOTES!$C$5:$C$1004,MATCH(C2507,LOTES!$F$5:$F$1004,0)),""))</f>
        <v/>
      </c>
      <c r="F2507" s="24" t="str">
        <f aca="false">IF(C2507="","",IFERROR(INDEX(LOTES!$B$5:$B$1004,MATCH(C2507,LOTES!$F$5:$F$1004,0)),""))</f>
        <v/>
      </c>
      <c r="G2507" s="15" t="str">
        <f aca="false">IF(OR(B2507="",F2507=""),"",B2507-F2507)</f>
        <v/>
      </c>
      <c r="H2507" s="13"/>
      <c r="I2507" s="13"/>
      <c r="J2507" s="13"/>
      <c r="K2507" s="25"/>
      <c r="L2507" s="25"/>
      <c r="M2507" s="25"/>
      <c r="N2507" s="25"/>
      <c r="O2507" s="26"/>
      <c r="P2507" s="16" t="str">
        <f aca="false">IF(O2507="","",IFERROR(1/(1/(IF(K2507="",INDEX(CONFIG!$F$5:$F$14,MATCH(D2507,CONFIG!$D$5:$D$14,0)),K2507)*IF(M2507="",INDEX(CONFIG!$H$5:$H$14,MATCH(D2507,CONFIG!$D$5:$D$14,0)),M2507))),""))</f>
        <v/>
      </c>
      <c r="Q2507" s="16" t="str">
        <f aca="false">IF(OR(O2507="",P2507=""),"",O2507/P2507)</f>
        <v/>
      </c>
      <c r="R2507" s="16" t="str">
        <f aca="false">IF(Q2507="","",Q2507*0.0980665)</f>
        <v/>
      </c>
      <c r="S2507" s="16" t="str">
        <f aca="false">IF(Q2507="","",IFERROR(Q2507/(1/(1/INDEX(CONFIG!$I$5:$I$14,MATCH(D2507,CONFIG!$D$5:$D$14,0)))),""))</f>
        <v/>
      </c>
      <c r="T2507" s="13"/>
      <c r="U2507" s="13"/>
      <c r="V2507" s="13"/>
      <c r="W2507" s="13"/>
      <c r="X2507" s="22" t="str">
        <f aca="false">IF(Q2507="","",Q2507^2)</f>
        <v/>
      </c>
      <c r="Y2507" s="22" t="str">
        <f aca="false">IF(AND(C2507&lt;&gt;"",C2507=CERTIFICADO!$E$4,OR(CERTIFICADO!$E$5="",B2507=CERTIFICADO!$E$5)),MAX($Y$4:Y2506)+1,"")</f>
        <v/>
      </c>
    </row>
    <row r="2508" customFormat="false" ht="15" hidden="false" customHeight="false" outlineLevel="0" collapsed="false">
      <c r="A2508" s="11" t="str">
        <f aca="false">IF(C2508="","",ROW()-4)</f>
        <v/>
      </c>
      <c r="B2508" s="12"/>
      <c r="C2508" s="13"/>
      <c r="D2508" s="23" t="str">
        <f aca="false">IF(C2508="","",IFERROR(INDEX(LOTES!$D$5:$D$1004,MATCH(C2508,LOTES!$F$5:$F$1004,0)),"¿Lote?"))</f>
        <v/>
      </c>
      <c r="E2508" s="11" t="str">
        <f aca="false">IF(C2508="","",IFERROR(INDEX(LOTES!$C$5:$C$1004,MATCH(C2508,LOTES!$F$5:$F$1004,0)),""))</f>
        <v/>
      </c>
      <c r="F2508" s="24" t="str">
        <f aca="false">IF(C2508="","",IFERROR(INDEX(LOTES!$B$5:$B$1004,MATCH(C2508,LOTES!$F$5:$F$1004,0)),""))</f>
        <v/>
      </c>
      <c r="G2508" s="15" t="str">
        <f aca="false">IF(OR(B2508="",F2508=""),"",B2508-F2508)</f>
        <v/>
      </c>
      <c r="H2508" s="13"/>
      <c r="I2508" s="13"/>
      <c r="J2508" s="13"/>
      <c r="K2508" s="25"/>
      <c r="L2508" s="25"/>
      <c r="M2508" s="25"/>
      <c r="N2508" s="25"/>
      <c r="O2508" s="26"/>
      <c r="P2508" s="16" t="str">
        <f aca="false">IF(O2508="","",IFERROR(1/(1/(IF(K2508="",INDEX(CONFIG!$F$5:$F$14,MATCH(D2508,CONFIG!$D$5:$D$14,0)),K2508)*IF(M2508="",INDEX(CONFIG!$H$5:$H$14,MATCH(D2508,CONFIG!$D$5:$D$14,0)),M2508))),""))</f>
        <v/>
      </c>
      <c r="Q2508" s="16" t="str">
        <f aca="false">IF(OR(O2508="",P2508=""),"",O2508/P2508)</f>
        <v/>
      </c>
      <c r="R2508" s="16" t="str">
        <f aca="false">IF(Q2508="","",Q2508*0.0980665)</f>
        <v/>
      </c>
      <c r="S2508" s="16" t="str">
        <f aca="false">IF(Q2508="","",IFERROR(Q2508/(1/(1/INDEX(CONFIG!$I$5:$I$14,MATCH(D2508,CONFIG!$D$5:$D$14,0)))),""))</f>
        <v/>
      </c>
      <c r="T2508" s="13"/>
      <c r="U2508" s="13"/>
      <c r="V2508" s="13"/>
      <c r="W2508" s="13"/>
      <c r="X2508" s="22" t="str">
        <f aca="false">IF(Q2508="","",Q2508^2)</f>
        <v/>
      </c>
      <c r="Y2508" s="22" t="str">
        <f aca="false">IF(AND(C2508&lt;&gt;"",C2508=CERTIFICADO!$E$4,OR(CERTIFICADO!$E$5="",B2508=CERTIFICADO!$E$5)),MAX($Y$4:Y2507)+1,"")</f>
        <v/>
      </c>
    </row>
    <row r="2509" customFormat="false" ht="15" hidden="false" customHeight="false" outlineLevel="0" collapsed="false">
      <c r="A2509" s="11" t="str">
        <f aca="false">IF(C2509="","",ROW()-4)</f>
        <v/>
      </c>
      <c r="B2509" s="12"/>
      <c r="C2509" s="13"/>
      <c r="D2509" s="23" t="str">
        <f aca="false">IF(C2509="","",IFERROR(INDEX(LOTES!$D$5:$D$1004,MATCH(C2509,LOTES!$F$5:$F$1004,0)),"¿Lote?"))</f>
        <v/>
      </c>
      <c r="E2509" s="11" t="str">
        <f aca="false">IF(C2509="","",IFERROR(INDEX(LOTES!$C$5:$C$1004,MATCH(C2509,LOTES!$F$5:$F$1004,0)),""))</f>
        <v/>
      </c>
      <c r="F2509" s="24" t="str">
        <f aca="false">IF(C2509="","",IFERROR(INDEX(LOTES!$B$5:$B$1004,MATCH(C2509,LOTES!$F$5:$F$1004,0)),""))</f>
        <v/>
      </c>
      <c r="G2509" s="15" t="str">
        <f aca="false">IF(OR(B2509="",F2509=""),"",B2509-F2509)</f>
        <v/>
      </c>
      <c r="H2509" s="13"/>
      <c r="I2509" s="13"/>
      <c r="J2509" s="13"/>
      <c r="K2509" s="25"/>
      <c r="L2509" s="25"/>
      <c r="M2509" s="25"/>
      <c r="N2509" s="25"/>
      <c r="O2509" s="26"/>
      <c r="P2509" s="16" t="str">
        <f aca="false">IF(O2509="","",IFERROR(1/(1/(IF(K2509="",INDEX(CONFIG!$F$5:$F$14,MATCH(D2509,CONFIG!$D$5:$D$14,0)),K2509)*IF(M2509="",INDEX(CONFIG!$H$5:$H$14,MATCH(D2509,CONFIG!$D$5:$D$14,0)),M2509))),""))</f>
        <v/>
      </c>
      <c r="Q2509" s="16" t="str">
        <f aca="false">IF(OR(O2509="",P2509=""),"",O2509/P2509)</f>
        <v/>
      </c>
      <c r="R2509" s="16" t="str">
        <f aca="false">IF(Q2509="","",Q2509*0.0980665)</f>
        <v/>
      </c>
      <c r="S2509" s="16" t="str">
        <f aca="false">IF(Q2509="","",IFERROR(Q2509/(1/(1/INDEX(CONFIG!$I$5:$I$14,MATCH(D2509,CONFIG!$D$5:$D$14,0)))),""))</f>
        <v/>
      </c>
      <c r="T2509" s="13"/>
      <c r="U2509" s="13"/>
      <c r="V2509" s="13"/>
      <c r="W2509" s="13"/>
      <c r="X2509" s="22" t="str">
        <f aca="false">IF(Q2509="","",Q2509^2)</f>
        <v/>
      </c>
      <c r="Y2509" s="22" t="str">
        <f aca="false">IF(AND(C2509&lt;&gt;"",C2509=CERTIFICADO!$E$4,OR(CERTIFICADO!$E$5="",B2509=CERTIFICADO!$E$5)),MAX($Y$4:Y2508)+1,"")</f>
        <v/>
      </c>
    </row>
    <row r="2510" customFormat="false" ht="15" hidden="false" customHeight="false" outlineLevel="0" collapsed="false">
      <c r="A2510" s="11" t="str">
        <f aca="false">IF(C2510="","",ROW()-4)</f>
        <v/>
      </c>
      <c r="B2510" s="12"/>
      <c r="C2510" s="13"/>
      <c r="D2510" s="23" t="str">
        <f aca="false">IF(C2510="","",IFERROR(INDEX(LOTES!$D$5:$D$1004,MATCH(C2510,LOTES!$F$5:$F$1004,0)),"¿Lote?"))</f>
        <v/>
      </c>
      <c r="E2510" s="11" t="str">
        <f aca="false">IF(C2510="","",IFERROR(INDEX(LOTES!$C$5:$C$1004,MATCH(C2510,LOTES!$F$5:$F$1004,0)),""))</f>
        <v/>
      </c>
      <c r="F2510" s="24" t="str">
        <f aca="false">IF(C2510="","",IFERROR(INDEX(LOTES!$B$5:$B$1004,MATCH(C2510,LOTES!$F$5:$F$1004,0)),""))</f>
        <v/>
      </c>
      <c r="G2510" s="15" t="str">
        <f aca="false">IF(OR(B2510="",F2510=""),"",B2510-F2510)</f>
        <v/>
      </c>
      <c r="H2510" s="13"/>
      <c r="I2510" s="13"/>
      <c r="J2510" s="13"/>
      <c r="K2510" s="25"/>
      <c r="L2510" s="25"/>
      <c r="M2510" s="25"/>
      <c r="N2510" s="25"/>
      <c r="O2510" s="26"/>
      <c r="P2510" s="16" t="str">
        <f aca="false">IF(O2510="","",IFERROR(1/(1/(IF(K2510="",INDEX(CONFIG!$F$5:$F$14,MATCH(D2510,CONFIG!$D$5:$D$14,0)),K2510)*IF(M2510="",INDEX(CONFIG!$H$5:$H$14,MATCH(D2510,CONFIG!$D$5:$D$14,0)),M2510))),""))</f>
        <v/>
      </c>
      <c r="Q2510" s="16" t="str">
        <f aca="false">IF(OR(O2510="",P2510=""),"",O2510/P2510)</f>
        <v/>
      </c>
      <c r="R2510" s="16" t="str">
        <f aca="false">IF(Q2510="","",Q2510*0.0980665)</f>
        <v/>
      </c>
      <c r="S2510" s="16" t="str">
        <f aca="false">IF(Q2510="","",IFERROR(Q2510/(1/(1/INDEX(CONFIG!$I$5:$I$14,MATCH(D2510,CONFIG!$D$5:$D$14,0)))),""))</f>
        <v/>
      </c>
      <c r="T2510" s="13"/>
      <c r="U2510" s="13"/>
      <c r="V2510" s="13"/>
      <c r="W2510" s="13"/>
      <c r="X2510" s="22" t="str">
        <f aca="false">IF(Q2510="","",Q2510^2)</f>
        <v/>
      </c>
      <c r="Y2510" s="22" t="str">
        <f aca="false">IF(AND(C2510&lt;&gt;"",C2510=CERTIFICADO!$E$4,OR(CERTIFICADO!$E$5="",B2510=CERTIFICADO!$E$5)),MAX($Y$4:Y2509)+1,"")</f>
        <v/>
      </c>
    </row>
    <row r="2511" customFormat="false" ht="15" hidden="false" customHeight="false" outlineLevel="0" collapsed="false">
      <c r="A2511" s="11" t="str">
        <f aca="false">IF(C2511="","",ROW()-4)</f>
        <v/>
      </c>
      <c r="B2511" s="12"/>
      <c r="C2511" s="13"/>
      <c r="D2511" s="23" t="str">
        <f aca="false">IF(C2511="","",IFERROR(INDEX(LOTES!$D$5:$D$1004,MATCH(C2511,LOTES!$F$5:$F$1004,0)),"¿Lote?"))</f>
        <v/>
      </c>
      <c r="E2511" s="11" t="str">
        <f aca="false">IF(C2511="","",IFERROR(INDEX(LOTES!$C$5:$C$1004,MATCH(C2511,LOTES!$F$5:$F$1004,0)),""))</f>
        <v/>
      </c>
      <c r="F2511" s="24" t="str">
        <f aca="false">IF(C2511="","",IFERROR(INDEX(LOTES!$B$5:$B$1004,MATCH(C2511,LOTES!$F$5:$F$1004,0)),""))</f>
        <v/>
      </c>
      <c r="G2511" s="15" t="str">
        <f aca="false">IF(OR(B2511="",F2511=""),"",B2511-F2511)</f>
        <v/>
      </c>
      <c r="H2511" s="13"/>
      <c r="I2511" s="13"/>
      <c r="J2511" s="13"/>
      <c r="K2511" s="25"/>
      <c r="L2511" s="25"/>
      <c r="M2511" s="25"/>
      <c r="N2511" s="25"/>
      <c r="O2511" s="26"/>
      <c r="P2511" s="16" t="str">
        <f aca="false">IF(O2511="","",IFERROR(1/(1/(IF(K2511="",INDEX(CONFIG!$F$5:$F$14,MATCH(D2511,CONFIG!$D$5:$D$14,0)),K2511)*IF(M2511="",INDEX(CONFIG!$H$5:$H$14,MATCH(D2511,CONFIG!$D$5:$D$14,0)),M2511))),""))</f>
        <v/>
      </c>
      <c r="Q2511" s="16" t="str">
        <f aca="false">IF(OR(O2511="",P2511=""),"",O2511/P2511)</f>
        <v/>
      </c>
      <c r="R2511" s="16" t="str">
        <f aca="false">IF(Q2511="","",Q2511*0.0980665)</f>
        <v/>
      </c>
      <c r="S2511" s="16" t="str">
        <f aca="false">IF(Q2511="","",IFERROR(Q2511/(1/(1/INDEX(CONFIG!$I$5:$I$14,MATCH(D2511,CONFIG!$D$5:$D$14,0)))),""))</f>
        <v/>
      </c>
      <c r="T2511" s="13"/>
      <c r="U2511" s="13"/>
      <c r="V2511" s="13"/>
      <c r="W2511" s="13"/>
      <c r="X2511" s="22" t="str">
        <f aca="false">IF(Q2511="","",Q2511^2)</f>
        <v/>
      </c>
      <c r="Y2511" s="22" t="str">
        <f aca="false">IF(AND(C2511&lt;&gt;"",C2511=CERTIFICADO!$E$4,OR(CERTIFICADO!$E$5="",B2511=CERTIFICADO!$E$5)),MAX($Y$4:Y2510)+1,"")</f>
        <v/>
      </c>
    </row>
    <row r="2512" customFormat="false" ht="15" hidden="false" customHeight="false" outlineLevel="0" collapsed="false">
      <c r="A2512" s="11" t="str">
        <f aca="false">IF(C2512="","",ROW()-4)</f>
        <v/>
      </c>
      <c r="B2512" s="12"/>
      <c r="C2512" s="13"/>
      <c r="D2512" s="23" t="str">
        <f aca="false">IF(C2512="","",IFERROR(INDEX(LOTES!$D$5:$D$1004,MATCH(C2512,LOTES!$F$5:$F$1004,0)),"¿Lote?"))</f>
        <v/>
      </c>
      <c r="E2512" s="11" t="str">
        <f aca="false">IF(C2512="","",IFERROR(INDEX(LOTES!$C$5:$C$1004,MATCH(C2512,LOTES!$F$5:$F$1004,0)),""))</f>
        <v/>
      </c>
      <c r="F2512" s="24" t="str">
        <f aca="false">IF(C2512="","",IFERROR(INDEX(LOTES!$B$5:$B$1004,MATCH(C2512,LOTES!$F$5:$F$1004,0)),""))</f>
        <v/>
      </c>
      <c r="G2512" s="15" t="str">
        <f aca="false">IF(OR(B2512="",F2512=""),"",B2512-F2512)</f>
        <v/>
      </c>
      <c r="H2512" s="13"/>
      <c r="I2512" s="13"/>
      <c r="J2512" s="13"/>
      <c r="K2512" s="25"/>
      <c r="L2512" s="25"/>
      <c r="M2512" s="25"/>
      <c r="N2512" s="25"/>
      <c r="O2512" s="26"/>
      <c r="P2512" s="16" t="str">
        <f aca="false">IF(O2512="","",IFERROR(1/(1/(IF(K2512="",INDEX(CONFIG!$F$5:$F$14,MATCH(D2512,CONFIG!$D$5:$D$14,0)),K2512)*IF(M2512="",INDEX(CONFIG!$H$5:$H$14,MATCH(D2512,CONFIG!$D$5:$D$14,0)),M2512))),""))</f>
        <v/>
      </c>
      <c r="Q2512" s="16" t="str">
        <f aca="false">IF(OR(O2512="",P2512=""),"",O2512/P2512)</f>
        <v/>
      </c>
      <c r="R2512" s="16" t="str">
        <f aca="false">IF(Q2512="","",Q2512*0.0980665)</f>
        <v/>
      </c>
      <c r="S2512" s="16" t="str">
        <f aca="false">IF(Q2512="","",IFERROR(Q2512/(1/(1/INDEX(CONFIG!$I$5:$I$14,MATCH(D2512,CONFIG!$D$5:$D$14,0)))),""))</f>
        <v/>
      </c>
      <c r="T2512" s="13"/>
      <c r="U2512" s="13"/>
      <c r="V2512" s="13"/>
      <c r="W2512" s="13"/>
      <c r="X2512" s="22" t="str">
        <f aca="false">IF(Q2512="","",Q2512^2)</f>
        <v/>
      </c>
      <c r="Y2512" s="22" t="str">
        <f aca="false">IF(AND(C2512&lt;&gt;"",C2512=CERTIFICADO!$E$4,OR(CERTIFICADO!$E$5="",B2512=CERTIFICADO!$E$5)),MAX($Y$4:Y2511)+1,"")</f>
        <v/>
      </c>
    </row>
    <row r="2513" customFormat="false" ht="15" hidden="false" customHeight="false" outlineLevel="0" collapsed="false">
      <c r="A2513" s="11" t="str">
        <f aca="false">IF(C2513="","",ROW()-4)</f>
        <v/>
      </c>
      <c r="B2513" s="12"/>
      <c r="C2513" s="13"/>
      <c r="D2513" s="23" t="str">
        <f aca="false">IF(C2513="","",IFERROR(INDEX(LOTES!$D$5:$D$1004,MATCH(C2513,LOTES!$F$5:$F$1004,0)),"¿Lote?"))</f>
        <v/>
      </c>
      <c r="E2513" s="11" t="str">
        <f aca="false">IF(C2513="","",IFERROR(INDEX(LOTES!$C$5:$C$1004,MATCH(C2513,LOTES!$F$5:$F$1004,0)),""))</f>
        <v/>
      </c>
      <c r="F2513" s="24" t="str">
        <f aca="false">IF(C2513="","",IFERROR(INDEX(LOTES!$B$5:$B$1004,MATCH(C2513,LOTES!$F$5:$F$1004,0)),""))</f>
        <v/>
      </c>
      <c r="G2513" s="15" t="str">
        <f aca="false">IF(OR(B2513="",F2513=""),"",B2513-F2513)</f>
        <v/>
      </c>
      <c r="H2513" s="13"/>
      <c r="I2513" s="13"/>
      <c r="J2513" s="13"/>
      <c r="K2513" s="25"/>
      <c r="L2513" s="25"/>
      <c r="M2513" s="25"/>
      <c r="N2513" s="25"/>
      <c r="O2513" s="26"/>
      <c r="P2513" s="16" t="str">
        <f aca="false">IF(O2513="","",IFERROR(1/(1/(IF(K2513="",INDEX(CONFIG!$F$5:$F$14,MATCH(D2513,CONFIG!$D$5:$D$14,0)),K2513)*IF(M2513="",INDEX(CONFIG!$H$5:$H$14,MATCH(D2513,CONFIG!$D$5:$D$14,0)),M2513))),""))</f>
        <v/>
      </c>
      <c r="Q2513" s="16" t="str">
        <f aca="false">IF(OR(O2513="",P2513=""),"",O2513/P2513)</f>
        <v/>
      </c>
      <c r="R2513" s="16" t="str">
        <f aca="false">IF(Q2513="","",Q2513*0.0980665)</f>
        <v/>
      </c>
      <c r="S2513" s="16" t="str">
        <f aca="false">IF(Q2513="","",IFERROR(Q2513/(1/(1/INDEX(CONFIG!$I$5:$I$14,MATCH(D2513,CONFIG!$D$5:$D$14,0)))),""))</f>
        <v/>
      </c>
      <c r="T2513" s="13"/>
      <c r="U2513" s="13"/>
      <c r="V2513" s="13"/>
      <c r="W2513" s="13"/>
      <c r="X2513" s="22" t="str">
        <f aca="false">IF(Q2513="","",Q2513^2)</f>
        <v/>
      </c>
      <c r="Y2513" s="22" t="str">
        <f aca="false">IF(AND(C2513&lt;&gt;"",C2513=CERTIFICADO!$E$4,OR(CERTIFICADO!$E$5="",B2513=CERTIFICADO!$E$5)),MAX($Y$4:Y2512)+1,"")</f>
        <v/>
      </c>
    </row>
    <row r="2514" customFormat="false" ht="15" hidden="false" customHeight="false" outlineLevel="0" collapsed="false">
      <c r="A2514" s="11" t="str">
        <f aca="false">IF(C2514="","",ROW()-4)</f>
        <v/>
      </c>
      <c r="B2514" s="12"/>
      <c r="C2514" s="13"/>
      <c r="D2514" s="23" t="str">
        <f aca="false">IF(C2514="","",IFERROR(INDEX(LOTES!$D$5:$D$1004,MATCH(C2514,LOTES!$F$5:$F$1004,0)),"¿Lote?"))</f>
        <v/>
      </c>
      <c r="E2514" s="11" t="str">
        <f aca="false">IF(C2514="","",IFERROR(INDEX(LOTES!$C$5:$C$1004,MATCH(C2514,LOTES!$F$5:$F$1004,0)),""))</f>
        <v/>
      </c>
      <c r="F2514" s="24" t="str">
        <f aca="false">IF(C2514="","",IFERROR(INDEX(LOTES!$B$5:$B$1004,MATCH(C2514,LOTES!$F$5:$F$1004,0)),""))</f>
        <v/>
      </c>
      <c r="G2514" s="15" t="str">
        <f aca="false">IF(OR(B2514="",F2514=""),"",B2514-F2514)</f>
        <v/>
      </c>
      <c r="H2514" s="13"/>
      <c r="I2514" s="13"/>
      <c r="J2514" s="13"/>
      <c r="K2514" s="25"/>
      <c r="L2514" s="25"/>
      <c r="M2514" s="25"/>
      <c r="N2514" s="25"/>
      <c r="O2514" s="26"/>
      <c r="P2514" s="16" t="str">
        <f aca="false">IF(O2514="","",IFERROR(1/(1/(IF(K2514="",INDEX(CONFIG!$F$5:$F$14,MATCH(D2514,CONFIG!$D$5:$D$14,0)),K2514)*IF(M2514="",INDEX(CONFIG!$H$5:$H$14,MATCH(D2514,CONFIG!$D$5:$D$14,0)),M2514))),""))</f>
        <v/>
      </c>
      <c r="Q2514" s="16" t="str">
        <f aca="false">IF(OR(O2514="",P2514=""),"",O2514/P2514)</f>
        <v/>
      </c>
      <c r="R2514" s="16" t="str">
        <f aca="false">IF(Q2514="","",Q2514*0.0980665)</f>
        <v/>
      </c>
      <c r="S2514" s="16" t="str">
        <f aca="false">IF(Q2514="","",IFERROR(Q2514/(1/(1/INDEX(CONFIG!$I$5:$I$14,MATCH(D2514,CONFIG!$D$5:$D$14,0)))),""))</f>
        <v/>
      </c>
      <c r="T2514" s="13"/>
      <c r="U2514" s="13"/>
      <c r="V2514" s="13"/>
      <c r="W2514" s="13"/>
      <c r="X2514" s="22" t="str">
        <f aca="false">IF(Q2514="","",Q2514^2)</f>
        <v/>
      </c>
      <c r="Y2514" s="22" t="str">
        <f aca="false">IF(AND(C2514&lt;&gt;"",C2514=CERTIFICADO!$E$4,OR(CERTIFICADO!$E$5="",B2514=CERTIFICADO!$E$5)),MAX($Y$4:Y2513)+1,"")</f>
        <v/>
      </c>
    </row>
    <row r="2515" customFormat="false" ht="15" hidden="false" customHeight="false" outlineLevel="0" collapsed="false">
      <c r="A2515" s="11" t="str">
        <f aca="false">IF(C2515="","",ROW()-4)</f>
        <v/>
      </c>
      <c r="B2515" s="12"/>
      <c r="C2515" s="13"/>
      <c r="D2515" s="23" t="str">
        <f aca="false">IF(C2515="","",IFERROR(INDEX(LOTES!$D$5:$D$1004,MATCH(C2515,LOTES!$F$5:$F$1004,0)),"¿Lote?"))</f>
        <v/>
      </c>
      <c r="E2515" s="11" t="str">
        <f aca="false">IF(C2515="","",IFERROR(INDEX(LOTES!$C$5:$C$1004,MATCH(C2515,LOTES!$F$5:$F$1004,0)),""))</f>
        <v/>
      </c>
      <c r="F2515" s="24" t="str">
        <f aca="false">IF(C2515="","",IFERROR(INDEX(LOTES!$B$5:$B$1004,MATCH(C2515,LOTES!$F$5:$F$1004,0)),""))</f>
        <v/>
      </c>
      <c r="G2515" s="15" t="str">
        <f aca="false">IF(OR(B2515="",F2515=""),"",B2515-F2515)</f>
        <v/>
      </c>
      <c r="H2515" s="13"/>
      <c r="I2515" s="13"/>
      <c r="J2515" s="13"/>
      <c r="K2515" s="25"/>
      <c r="L2515" s="25"/>
      <c r="M2515" s="25"/>
      <c r="N2515" s="25"/>
      <c r="O2515" s="26"/>
      <c r="P2515" s="16" t="str">
        <f aca="false">IF(O2515="","",IFERROR(1/(1/(IF(K2515="",INDEX(CONFIG!$F$5:$F$14,MATCH(D2515,CONFIG!$D$5:$D$14,0)),K2515)*IF(M2515="",INDEX(CONFIG!$H$5:$H$14,MATCH(D2515,CONFIG!$D$5:$D$14,0)),M2515))),""))</f>
        <v/>
      </c>
      <c r="Q2515" s="16" t="str">
        <f aca="false">IF(OR(O2515="",P2515=""),"",O2515/P2515)</f>
        <v/>
      </c>
      <c r="R2515" s="16" t="str">
        <f aca="false">IF(Q2515="","",Q2515*0.0980665)</f>
        <v/>
      </c>
      <c r="S2515" s="16" t="str">
        <f aca="false">IF(Q2515="","",IFERROR(Q2515/(1/(1/INDEX(CONFIG!$I$5:$I$14,MATCH(D2515,CONFIG!$D$5:$D$14,0)))),""))</f>
        <v/>
      </c>
      <c r="T2515" s="13"/>
      <c r="U2515" s="13"/>
      <c r="V2515" s="13"/>
      <c r="W2515" s="13"/>
      <c r="X2515" s="22" t="str">
        <f aca="false">IF(Q2515="","",Q2515^2)</f>
        <v/>
      </c>
      <c r="Y2515" s="22" t="str">
        <f aca="false">IF(AND(C2515&lt;&gt;"",C2515=CERTIFICADO!$E$4,OR(CERTIFICADO!$E$5="",B2515=CERTIFICADO!$E$5)),MAX($Y$4:Y2514)+1,"")</f>
        <v/>
      </c>
    </row>
    <row r="2516" customFormat="false" ht="15" hidden="false" customHeight="false" outlineLevel="0" collapsed="false">
      <c r="A2516" s="11" t="str">
        <f aca="false">IF(C2516="","",ROW()-4)</f>
        <v/>
      </c>
      <c r="B2516" s="12"/>
      <c r="C2516" s="13"/>
      <c r="D2516" s="23" t="str">
        <f aca="false">IF(C2516="","",IFERROR(INDEX(LOTES!$D$5:$D$1004,MATCH(C2516,LOTES!$F$5:$F$1004,0)),"¿Lote?"))</f>
        <v/>
      </c>
      <c r="E2516" s="11" t="str">
        <f aca="false">IF(C2516="","",IFERROR(INDEX(LOTES!$C$5:$C$1004,MATCH(C2516,LOTES!$F$5:$F$1004,0)),""))</f>
        <v/>
      </c>
      <c r="F2516" s="24" t="str">
        <f aca="false">IF(C2516="","",IFERROR(INDEX(LOTES!$B$5:$B$1004,MATCH(C2516,LOTES!$F$5:$F$1004,0)),""))</f>
        <v/>
      </c>
      <c r="G2516" s="15" t="str">
        <f aca="false">IF(OR(B2516="",F2516=""),"",B2516-F2516)</f>
        <v/>
      </c>
      <c r="H2516" s="13"/>
      <c r="I2516" s="13"/>
      <c r="J2516" s="13"/>
      <c r="K2516" s="25"/>
      <c r="L2516" s="25"/>
      <c r="M2516" s="25"/>
      <c r="N2516" s="25"/>
      <c r="O2516" s="26"/>
      <c r="P2516" s="16" t="str">
        <f aca="false">IF(O2516="","",IFERROR(1/(1/(IF(K2516="",INDEX(CONFIG!$F$5:$F$14,MATCH(D2516,CONFIG!$D$5:$D$14,0)),K2516)*IF(M2516="",INDEX(CONFIG!$H$5:$H$14,MATCH(D2516,CONFIG!$D$5:$D$14,0)),M2516))),""))</f>
        <v/>
      </c>
      <c r="Q2516" s="16" t="str">
        <f aca="false">IF(OR(O2516="",P2516=""),"",O2516/P2516)</f>
        <v/>
      </c>
      <c r="R2516" s="16" t="str">
        <f aca="false">IF(Q2516="","",Q2516*0.0980665)</f>
        <v/>
      </c>
      <c r="S2516" s="16" t="str">
        <f aca="false">IF(Q2516="","",IFERROR(Q2516/(1/(1/INDEX(CONFIG!$I$5:$I$14,MATCH(D2516,CONFIG!$D$5:$D$14,0)))),""))</f>
        <v/>
      </c>
      <c r="T2516" s="13"/>
      <c r="U2516" s="13"/>
      <c r="V2516" s="13"/>
      <c r="W2516" s="13"/>
      <c r="X2516" s="22" t="str">
        <f aca="false">IF(Q2516="","",Q2516^2)</f>
        <v/>
      </c>
      <c r="Y2516" s="22" t="str">
        <f aca="false">IF(AND(C2516&lt;&gt;"",C2516=CERTIFICADO!$E$4,OR(CERTIFICADO!$E$5="",B2516=CERTIFICADO!$E$5)),MAX($Y$4:Y2515)+1,"")</f>
        <v/>
      </c>
    </row>
    <row r="2517" customFormat="false" ht="15" hidden="false" customHeight="false" outlineLevel="0" collapsed="false">
      <c r="A2517" s="11" t="str">
        <f aca="false">IF(C2517="","",ROW()-4)</f>
        <v/>
      </c>
      <c r="B2517" s="12"/>
      <c r="C2517" s="13"/>
      <c r="D2517" s="23" t="str">
        <f aca="false">IF(C2517="","",IFERROR(INDEX(LOTES!$D$5:$D$1004,MATCH(C2517,LOTES!$F$5:$F$1004,0)),"¿Lote?"))</f>
        <v/>
      </c>
      <c r="E2517" s="11" t="str">
        <f aca="false">IF(C2517="","",IFERROR(INDEX(LOTES!$C$5:$C$1004,MATCH(C2517,LOTES!$F$5:$F$1004,0)),""))</f>
        <v/>
      </c>
      <c r="F2517" s="24" t="str">
        <f aca="false">IF(C2517="","",IFERROR(INDEX(LOTES!$B$5:$B$1004,MATCH(C2517,LOTES!$F$5:$F$1004,0)),""))</f>
        <v/>
      </c>
      <c r="G2517" s="15" t="str">
        <f aca="false">IF(OR(B2517="",F2517=""),"",B2517-F2517)</f>
        <v/>
      </c>
      <c r="H2517" s="13"/>
      <c r="I2517" s="13"/>
      <c r="J2517" s="13"/>
      <c r="K2517" s="25"/>
      <c r="L2517" s="25"/>
      <c r="M2517" s="25"/>
      <c r="N2517" s="25"/>
      <c r="O2517" s="26"/>
      <c r="P2517" s="16" t="str">
        <f aca="false">IF(O2517="","",IFERROR(1/(1/(IF(K2517="",INDEX(CONFIG!$F$5:$F$14,MATCH(D2517,CONFIG!$D$5:$D$14,0)),K2517)*IF(M2517="",INDEX(CONFIG!$H$5:$H$14,MATCH(D2517,CONFIG!$D$5:$D$14,0)),M2517))),""))</f>
        <v/>
      </c>
      <c r="Q2517" s="16" t="str">
        <f aca="false">IF(OR(O2517="",P2517=""),"",O2517/P2517)</f>
        <v/>
      </c>
      <c r="R2517" s="16" t="str">
        <f aca="false">IF(Q2517="","",Q2517*0.0980665)</f>
        <v/>
      </c>
      <c r="S2517" s="16" t="str">
        <f aca="false">IF(Q2517="","",IFERROR(Q2517/(1/(1/INDEX(CONFIG!$I$5:$I$14,MATCH(D2517,CONFIG!$D$5:$D$14,0)))),""))</f>
        <v/>
      </c>
      <c r="T2517" s="13"/>
      <c r="U2517" s="13"/>
      <c r="V2517" s="13"/>
      <c r="W2517" s="13"/>
      <c r="X2517" s="22" t="str">
        <f aca="false">IF(Q2517="","",Q2517^2)</f>
        <v/>
      </c>
      <c r="Y2517" s="22" t="str">
        <f aca="false">IF(AND(C2517&lt;&gt;"",C2517=CERTIFICADO!$E$4,OR(CERTIFICADO!$E$5="",B2517=CERTIFICADO!$E$5)),MAX($Y$4:Y2516)+1,"")</f>
        <v/>
      </c>
    </row>
    <row r="2518" customFormat="false" ht="15" hidden="false" customHeight="false" outlineLevel="0" collapsed="false">
      <c r="A2518" s="11" t="str">
        <f aca="false">IF(C2518="","",ROW()-4)</f>
        <v/>
      </c>
      <c r="B2518" s="12"/>
      <c r="C2518" s="13"/>
      <c r="D2518" s="23" t="str">
        <f aca="false">IF(C2518="","",IFERROR(INDEX(LOTES!$D$5:$D$1004,MATCH(C2518,LOTES!$F$5:$F$1004,0)),"¿Lote?"))</f>
        <v/>
      </c>
      <c r="E2518" s="11" t="str">
        <f aca="false">IF(C2518="","",IFERROR(INDEX(LOTES!$C$5:$C$1004,MATCH(C2518,LOTES!$F$5:$F$1004,0)),""))</f>
        <v/>
      </c>
      <c r="F2518" s="24" t="str">
        <f aca="false">IF(C2518="","",IFERROR(INDEX(LOTES!$B$5:$B$1004,MATCH(C2518,LOTES!$F$5:$F$1004,0)),""))</f>
        <v/>
      </c>
      <c r="G2518" s="15" t="str">
        <f aca="false">IF(OR(B2518="",F2518=""),"",B2518-F2518)</f>
        <v/>
      </c>
      <c r="H2518" s="13"/>
      <c r="I2518" s="13"/>
      <c r="J2518" s="13"/>
      <c r="K2518" s="25"/>
      <c r="L2518" s="25"/>
      <c r="M2518" s="25"/>
      <c r="N2518" s="25"/>
      <c r="O2518" s="26"/>
      <c r="P2518" s="16" t="str">
        <f aca="false">IF(O2518="","",IFERROR(1/(1/(IF(K2518="",INDEX(CONFIG!$F$5:$F$14,MATCH(D2518,CONFIG!$D$5:$D$14,0)),K2518)*IF(M2518="",INDEX(CONFIG!$H$5:$H$14,MATCH(D2518,CONFIG!$D$5:$D$14,0)),M2518))),""))</f>
        <v/>
      </c>
      <c r="Q2518" s="16" t="str">
        <f aca="false">IF(OR(O2518="",P2518=""),"",O2518/P2518)</f>
        <v/>
      </c>
      <c r="R2518" s="16" t="str">
        <f aca="false">IF(Q2518="","",Q2518*0.0980665)</f>
        <v/>
      </c>
      <c r="S2518" s="16" t="str">
        <f aca="false">IF(Q2518="","",IFERROR(Q2518/(1/(1/INDEX(CONFIG!$I$5:$I$14,MATCH(D2518,CONFIG!$D$5:$D$14,0)))),""))</f>
        <v/>
      </c>
      <c r="T2518" s="13"/>
      <c r="U2518" s="13"/>
      <c r="V2518" s="13"/>
      <c r="W2518" s="13"/>
      <c r="X2518" s="22" t="str">
        <f aca="false">IF(Q2518="","",Q2518^2)</f>
        <v/>
      </c>
      <c r="Y2518" s="22" t="str">
        <f aca="false">IF(AND(C2518&lt;&gt;"",C2518=CERTIFICADO!$E$4,OR(CERTIFICADO!$E$5="",B2518=CERTIFICADO!$E$5)),MAX($Y$4:Y2517)+1,"")</f>
        <v/>
      </c>
    </row>
    <row r="2519" customFormat="false" ht="15" hidden="false" customHeight="false" outlineLevel="0" collapsed="false">
      <c r="A2519" s="11" t="str">
        <f aca="false">IF(C2519="","",ROW()-4)</f>
        <v/>
      </c>
      <c r="B2519" s="12"/>
      <c r="C2519" s="13"/>
      <c r="D2519" s="23" t="str">
        <f aca="false">IF(C2519="","",IFERROR(INDEX(LOTES!$D$5:$D$1004,MATCH(C2519,LOTES!$F$5:$F$1004,0)),"¿Lote?"))</f>
        <v/>
      </c>
      <c r="E2519" s="11" t="str">
        <f aca="false">IF(C2519="","",IFERROR(INDEX(LOTES!$C$5:$C$1004,MATCH(C2519,LOTES!$F$5:$F$1004,0)),""))</f>
        <v/>
      </c>
      <c r="F2519" s="24" t="str">
        <f aca="false">IF(C2519="","",IFERROR(INDEX(LOTES!$B$5:$B$1004,MATCH(C2519,LOTES!$F$5:$F$1004,0)),""))</f>
        <v/>
      </c>
      <c r="G2519" s="15" t="str">
        <f aca="false">IF(OR(B2519="",F2519=""),"",B2519-F2519)</f>
        <v/>
      </c>
      <c r="H2519" s="13"/>
      <c r="I2519" s="13"/>
      <c r="J2519" s="13"/>
      <c r="K2519" s="25"/>
      <c r="L2519" s="25"/>
      <c r="M2519" s="25"/>
      <c r="N2519" s="25"/>
      <c r="O2519" s="26"/>
      <c r="P2519" s="16" t="str">
        <f aca="false">IF(O2519="","",IFERROR(1/(1/(IF(K2519="",INDEX(CONFIG!$F$5:$F$14,MATCH(D2519,CONFIG!$D$5:$D$14,0)),K2519)*IF(M2519="",INDEX(CONFIG!$H$5:$H$14,MATCH(D2519,CONFIG!$D$5:$D$14,0)),M2519))),""))</f>
        <v/>
      </c>
      <c r="Q2519" s="16" t="str">
        <f aca="false">IF(OR(O2519="",P2519=""),"",O2519/P2519)</f>
        <v/>
      </c>
      <c r="R2519" s="16" t="str">
        <f aca="false">IF(Q2519="","",Q2519*0.0980665)</f>
        <v/>
      </c>
      <c r="S2519" s="16" t="str">
        <f aca="false">IF(Q2519="","",IFERROR(Q2519/(1/(1/INDEX(CONFIG!$I$5:$I$14,MATCH(D2519,CONFIG!$D$5:$D$14,0)))),""))</f>
        <v/>
      </c>
      <c r="T2519" s="13"/>
      <c r="U2519" s="13"/>
      <c r="V2519" s="13"/>
      <c r="W2519" s="13"/>
      <c r="X2519" s="22" t="str">
        <f aca="false">IF(Q2519="","",Q2519^2)</f>
        <v/>
      </c>
      <c r="Y2519" s="22" t="str">
        <f aca="false">IF(AND(C2519&lt;&gt;"",C2519=CERTIFICADO!$E$4,OR(CERTIFICADO!$E$5="",B2519=CERTIFICADO!$E$5)),MAX($Y$4:Y2518)+1,"")</f>
        <v/>
      </c>
    </row>
    <row r="2520" customFormat="false" ht="15" hidden="false" customHeight="false" outlineLevel="0" collapsed="false">
      <c r="A2520" s="11" t="str">
        <f aca="false">IF(C2520="","",ROW()-4)</f>
        <v/>
      </c>
      <c r="B2520" s="12"/>
      <c r="C2520" s="13"/>
      <c r="D2520" s="23" t="str">
        <f aca="false">IF(C2520="","",IFERROR(INDEX(LOTES!$D$5:$D$1004,MATCH(C2520,LOTES!$F$5:$F$1004,0)),"¿Lote?"))</f>
        <v/>
      </c>
      <c r="E2520" s="11" t="str">
        <f aca="false">IF(C2520="","",IFERROR(INDEX(LOTES!$C$5:$C$1004,MATCH(C2520,LOTES!$F$5:$F$1004,0)),""))</f>
        <v/>
      </c>
      <c r="F2520" s="24" t="str">
        <f aca="false">IF(C2520="","",IFERROR(INDEX(LOTES!$B$5:$B$1004,MATCH(C2520,LOTES!$F$5:$F$1004,0)),""))</f>
        <v/>
      </c>
      <c r="G2520" s="15" t="str">
        <f aca="false">IF(OR(B2520="",F2520=""),"",B2520-F2520)</f>
        <v/>
      </c>
      <c r="H2520" s="13"/>
      <c r="I2520" s="13"/>
      <c r="J2520" s="13"/>
      <c r="K2520" s="25"/>
      <c r="L2520" s="25"/>
      <c r="M2520" s="25"/>
      <c r="N2520" s="25"/>
      <c r="O2520" s="26"/>
      <c r="P2520" s="16" t="str">
        <f aca="false">IF(O2520="","",IFERROR(1/(1/(IF(K2520="",INDEX(CONFIG!$F$5:$F$14,MATCH(D2520,CONFIG!$D$5:$D$14,0)),K2520)*IF(M2520="",INDEX(CONFIG!$H$5:$H$14,MATCH(D2520,CONFIG!$D$5:$D$14,0)),M2520))),""))</f>
        <v/>
      </c>
      <c r="Q2520" s="16" t="str">
        <f aca="false">IF(OR(O2520="",P2520=""),"",O2520/P2520)</f>
        <v/>
      </c>
      <c r="R2520" s="16" t="str">
        <f aca="false">IF(Q2520="","",Q2520*0.0980665)</f>
        <v/>
      </c>
      <c r="S2520" s="16" t="str">
        <f aca="false">IF(Q2520="","",IFERROR(Q2520/(1/(1/INDEX(CONFIG!$I$5:$I$14,MATCH(D2520,CONFIG!$D$5:$D$14,0)))),""))</f>
        <v/>
      </c>
      <c r="T2520" s="13"/>
      <c r="U2520" s="13"/>
      <c r="V2520" s="13"/>
      <c r="W2520" s="13"/>
      <c r="X2520" s="22" t="str">
        <f aca="false">IF(Q2520="","",Q2520^2)</f>
        <v/>
      </c>
      <c r="Y2520" s="22" t="str">
        <f aca="false">IF(AND(C2520&lt;&gt;"",C2520=CERTIFICADO!$E$4,OR(CERTIFICADO!$E$5="",B2520=CERTIFICADO!$E$5)),MAX($Y$4:Y2519)+1,"")</f>
        <v/>
      </c>
    </row>
    <row r="2521" customFormat="false" ht="15" hidden="false" customHeight="false" outlineLevel="0" collapsed="false">
      <c r="A2521" s="11" t="str">
        <f aca="false">IF(C2521="","",ROW()-4)</f>
        <v/>
      </c>
      <c r="B2521" s="12"/>
      <c r="C2521" s="13"/>
      <c r="D2521" s="23" t="str">
        <f aca="false">IF(C2521="","",IFERROR(INDEX(LOTES!$D$5:$D$1004,MATCH(C2521,LOTES!$F$5:$F$1004,0)),"¿Lote?"))</f>
        <v/>
      </c>
      <c r="E2521" s="11" t="str">
        <f aca="false">IF(C2521="","",IFERROR(INDEX(LOTES!$C$5:$C$1004,MATCH(C2521,LOTES!$F$5:$F$1004,0)),""))</f>
        <v/>
      </c>
      <c r="F2521" s="24" t="str">
        <f aca="false">IF(C2521="","",IFERROR(INDEX(LOTES!$B$5:$B$1004,MATCH(C2521,LOTES!$F$5:$F$1004,0)),""))</f>
        <v/>
      </c>
      <c r="G2521" s="15" t="str">
        <f aca="false">IF(OR(B2521="",F2521=""),"",B2521-F2521)</f>
        <v/>
      </c>
      <c r="H2521" s="13"/>
      <c r="I2521" s="13"/>
      <c r="J2521" s="13"/>
      <c r="K2521" s="25"/>
      <c r="L2521" s="25"/>
      <c r="M2521" s="25"/>
      <c r="N2521" s="25"/>
      <c r="O2521" s="26"/>
      <c r="P2521" s="16" t="str">
        <f aca="false">IF(O2521="","",IFERROR(1/(1/(IF(K2521="",INDEX(CONFIG!$F$5:$F$14,MATCH(D2521,CONFIG!$D$5:$D$14,0)),K2521)*IF(M2521="",INDEX(CONFIG!$H$5:$H$14,MATCH(D2521,CONFIG!$D$5:$D$14,0)),M2521))),""))</f>
        <v/>
      </c>
      <c r="Q2521" s="16" t="str">
        <f aca="false">IF(OR(O2521="",P2521=""),"",O2521/P2521)</f>
        <v/>
      </c>
      <c r="R2521" s="16" t="str">
        <f aca="false">IF(Q2521="","",Q2521*0.0980665)</f>
        <v/>
      </c>
      <c r="S2521" s="16" t="str">
        <f aca="false">IF(Q2521="","",IFERROR(Q2521/(1/(1/INDEX(CONFIG!$I$5:$I$14,MATCH(D2521,CONFIG!$D$5:$D$14,0)))),""))</f>
        <v/>
      </c>
      <c r="T2521" s="13"/>
      <c r="U2521" s="13"/>
      <c r="V2521" s="13"/>
      <c r="W2521" s="13"/>
      <c r="X2521" s="22" t="str">
        <f aca="false">IF(Q2521="","",Q2521^2)</f>
        <v/>
      </c>
      <c r="Y2521" s="22" t="str">
        <f aca="false">IF(AND(C2521&lt;&gt;"",C2521=CERTIFICADO!$E$4,OR(CERTIFICADO!$E$5="",B2521=CERTIFICADO!$E$5)),MAX($Y$4:Y2520)+1,"")</f>
        <v/>
      </c>
    </row>
    <row r="2522" customFormat="false" ht="15" hidden="false" customHeight="false" outlineLevel="0" collapsed="false">
      <c r="A2522" s="11" t="str">
        <f aca="false">IF(C2522="","",ROW()-4)</f>
        <v/>
      </c>
      <c r="B2522" s="12"/>
      <c r="C2522" s="13"/>
      <c r="D2522" s="23" t="str">
        <f aca="false">IF(C2522="","",IFERROR(INDEX(LOTES!$D$5:$D$1004,MATCH(C2522,LOTES!$F$5:$F$1004,0)),"¿Lote?"))</f>
        <v/>
      </c>
      <c r="E2522" s="11" t="str">
        <f aca="false">IF(C2522="","",IFERROR(INDEX(LOTES!$C$5:$C$1004,MATCH(C2522,LOTES!$F$5:$F$1004,0)),""))</f>
        <v/>
      </c>
      <c r="F2522" s="24" t="str">
        <f aca="false">IF(C2522="","",IFERROR(INDEX(LOTES!$B$5:$B$1004,MATCH(C2522,LOTES!$F$5:$F$1004,0)),""))</f>
        <v/>
      </c>
      <c r="G2522" s="15" t="str">
        <f aca="false">IF(OR(B2522="",F2522=""),"",B2522-F2522)</f>
        <v/>
      </c>
      <c r="H2522" s="13"/>
      <c r="I2522" s="13"/>
      <c r="J2522" s="13"/>
      <c r="K2522" s="25"/>
      <c r="L2522" s="25"/>
      <c r="M2522" s="25"/>
      <c r="N2522" s="25"/>
      <c r="O2522" s="26"/>
      <c r="P2522" s="16" t="str">
        <f aca="false">IF(O2522="","",IFERROR(1/(1/(IF(K2522="",INDEX(CONFIG!$F$5:$F$14,MATCH(D2522,CONFIG!$D$5:$D$14,0)),K2522)*IF(M2522="",INDEX(CONFIG!$H$5:$H$14,MATCH(D2522,CONFIG!$D$5:$D$14,0)),M2522))),""))</f>
        <v/>
      </c>
      <c r="Q2522" s="16" t="str">
        <f aca="false">IF(OR(O2522="",P2522=""),"",O2522/P2522)</f>
        <v/>
      </c>
      <c r="R2522" s="16" t="str">
        <f aca="false">IF(Q2522="","",Q2522*0.0980665)</f>
        <v/>
      </c>
      <c r="S2522" s="16" t="str">
        <f aca="false">IF(Q2522="","",IFERROR(Q2522/(1/(1/INDEX(CONFIG!$I$5:$I$14,MATCH(D2522,CONFIG!$D$5:$D$14,0)))),""))</f>
        <v/>
      </c>
      <c r="T2522" s="13"/>
      <c r="U2522" s="13"/>
      <c r="V2522" s="13"/>
      <c r="W2522" s="13"/>
      <c r="X2522" s="22" t="str">
        <f aca="false">IF(Q2522="","",Q2522^2)</f>
        <v/>
      </c>
      <c r="Y2522" s="22" t="str">
        <f aca="false">IF(AND(C2522&lt;&gt;"",C2522=CERTIFICADO!$E$4,OR(CERTIFICADO!$E$5="",B2522=CERTIFICADO!$E$5)),MAX($Y$4:Y2521)+1,"")</f>
        <v/>
      </c>
    </row>
    <row r="2523" customFormat="false" ht="15" hidden="false" customHeight="false" outlineLevel="0" collapsed="false">
      <c r="A2523" s="11" t="str">
        <f aca="false">IF(C2523="","",ROW()-4)</f>
        <v/>
      </c>
      <c r="B2523" s="12"/>
      <c r="C2523" s="13"/>
      <c r="D2523" s="23" t="str">
        <f aca="false">IF(C2523="","",IFERROR(INDEX(LOTES!$D$5:$D$1004,MATCH(C2523,LOTES!$F$5:$F$1004,0)),"¿Lote?"))</f>
        <v/>
      </c>
      <c r="E2523" s="11" t="str">
        <f aca="false">IF(C2523="","",IFERROR(INDEX(LOTES!$C$5:$C$1004,MATCH(C2523,LOTES!$F$5:$F$1004,0)),""))</f>
        <v/>
      </c>
      <c r="F2523" s="24" t="str">
        <f aca="false">IF(C2523="","",IFERROR(INDEX(LOTES!$B$5:$B$1004,MATCH(C2523,LOTES!$F$5:$F$1004,0)),""))</f>
        <v/>
      </c>
      <c r="G2523" s="15" t="str">
        <f aca="false">IF(OR(B2523="",F2523=""),"",B2523-F2523)</f>
        <v/>
      </c>
      <c r="H2523" s="13"/>
      <c r="I2523" s="13"/>
      <c r="J2523" s="13"/>
      <c r="K2523" s="25"/>
      <c r="L2523" s="25"/>
      <c r="M2523" s="25"/>
      <c r="N2523" s="25"/>
      <c r="O2523" s="26"/>
      <c r="P2523" s="16" t="str">
        <f aca="false">IF(O2523="","",IFERROR(1/(1/(IF(K2523="",INDEX(CONFIG!$F$5:$F$14,MATCH(D2523,CONFIG!$D$5:$D$14,0)),K2523)*IF(M2523="",INDEX(CONFIG!$H$5:$H$14,MATCH(D2523,CONFIG!$D$5:$D$14,0)),M2523))),""))</f>
        <v/>
      </c>
      <c r="Q2523" s="16" t="str">
        <f aca="false">IF(OR(O2523="",P2523=""),"",O2523/P2523)</f>
        <v/>
      </c>
      <c r="R2523" s="16" t="str">
        <f aca="false">IF(Q2523="","",Q2523*0.0980665)</f>
        <v/>
      </c>
      <c r="S2523" s="16" t="str">
        <f aca="false">IF(Q2523="","",IFERROR(Q2523/(1/(1/INDEX(CONFIG!$I$5:$I$14,MATCH(D2523,CONFIG!$D$5:$D$14,0)))),""))</f>
        <v/>
      </c>
      <c r="T2523" s="13"/>
      <c r="U2523" s="13"/>
      <c r="V2523" s="13"/>
      <c r="W2523" s="13"/>
      <c r="X2523" s="22" t="str">
        <f aca="false">IF(Q2523="","",Q2523^2)</f>
        <v/>
      </c>
      <c r="Y2523" s="22" t="str">
        <f aca="false">IF(AND(C2523&lt;&gt;"",C2523=CERTIFICADO!$E$4,OR(CERTIFICADO!$E$5="",B2523=CERTIFICADO!$E$5)),MAX($Y$4:Y2522)+1,"")</f>
        <v/>
      </c>
    </row>
    <row r="2524" customFormat="false" ht="15" hidden="false" customHeight="false" outlineLevel="0" collapsed="false">
      <c r="A2524" s="11" t="str">
        <f aca="false">IF(C2524="","",ROW()-4)</f>
        <v/>
      </c>
      <c r="B2524" s="12"/>
      <c r="C2524" s="13"/>
      <c r="D2524" s="23" t="str">
        <f aca="false">IF(C2524="","",IFERROR(INDEX(LOTES!$D$5:$D$1004,MATCH(C2524,LOTES!$F$5:$F$1004,0)),"¿Lote?"))</f>
        <v/>
      </c>
      <c r="E2524" s="11" t="str">
        <f aca="false">IF(C2524="","",IFERROR(INDEX(LOTES!$C$5:$C$1004,MATCH(C2524,LOTES!$F$5:$F$1004,0)),""))</f>
        <v/>
      </c>
      <c r="F2524" s="24" t="str">
        <f aca="false">IF(C2524="","",IFERROR(INDEX(LOTES!$B$5:$B$1004,MATCH(C2524,LOTES!$F$5:$F$1004,0)),""))</f>
        <v/>
      </c>
      <c r="G2524" s="15" t="str">
        <f aca="false">IF(OR(B2524="",F2524=""),"",B2524-F2524)</f>
        <v/>
      </c>
      <c r="H2524" s="13"/>
      <c r="I2524" s="13"/>
      <c r="J2524" s="13"/>
      <c r="K2524" s="25"/>
      <c r="L2524" s="25"/>
      <c r="M2524" s="25"/>
      <c r="N2524" s="25"/>
      <c r="O2524" s="26"/>
      <c r="P2524" s="16" t="str">
        <f aca="false">IF(O2524="","",IFERROR(1/(1/(IF(K2524="",INDEX(CONFIG!$F$5:$F$14,MATCH(D2524,CONFIG!$D$5:$D$14,0)),K2524)*IF(M2524="",INDEX(CONFIG!$H$5:$H$14,MATCH(D2524,CONFIG!$D$5:$D$14,0)),M2524))),""))</f>
        <v/>
      </c>
      <c r="Q2524" s="16" t="str">
        <f aca="false">IF(OR(O2524="",P2524=""),"",O2524/P2524)</f>
        <v/>
      </c>
      <c r="R2524" s="16" t="str">
        <f aca="false">IF(Q2524="","",Q2524*0.0980665)</f>
        <v/>
      </c>
      <c r="S2524" s="16" t="str">
        <f aca="false">IF(Q2524="","",IFERROR(Q2524/(1/(1/INDEX(CONFIG!$I$5:$I$14,MATCH(D2524,CONFIG!$D$5:$D$14,0)))),""))</f>
        <v/>
      </c>
      <c r="T2524" s="13"/>
      <c r="U2524" s="13"/>
      <c r="V2524" s="13"/>
      <c r="W2524" s="13"/>
      <c r="X2524" s="22" t="str">
        <f aca="false">IF(Q2524="","",Q2524^2)</f>
        <v/>
      </c>
      <c r="Y2524" s="22" t="str">
        <f aca="false">IF(AND(C2524&lt;&gt;"",C2524=CERTIFICADO!$E$4,OR(CERTIFICADO!$E$5="",B2524=CERTIFICADO!$E$5)),MAX($Y$4:Y2523)+1,"")</f>
        <v/>
      </c>
    </row>
    <row r="2525" customFormat="false" ht="15" hidden="false" customHeight="false" outlineLevel="0" collapsed="false">
      <c r="A2525" s="11" t="str">
        <f aca="false">IF(C2525="","",ROW()-4)</f>
        <v/>
      </c>
      <c r="B2525" s="12"/>
      <c r="C2525" s="13"/>
      <c r="D2525" s="23" t="str">
        <f aca="false">IF(C2525="","",IFERROR(INDEX(LOTES!$D$5:$D$1004,MATCH(C2525,LOTES!$F$5:$F$1004,0)),"¿Lote?"))</f>
        <v/>
      </c>
      <c r="E2525" s="11" t="str">
        <f aca="false">IF(C2525="","",IFERROR(INDEX(LOTES!$C$5:$C$1004,MATCH(C2525,LOTES!$F$5:$F$1004,0)),""))</f>
        <v/>
      </c>
      <c r="F2525" s="24" t="str">
        <f aca="false">IF(C2525="","",IFERROR(INDEX(LOTES!$B$5:$B$1004,MATCH(C2525,LOTES!$F$5:$F$1004,0)),""))</f>
        <v/>
      </c>
      <c r="G2525" s="15" t="str">
        <f aca="false">IF(OR(B2525="",F2525=""),"",B2525-F2525)</f>
        <v/>
      </c>
      <c r="H2525" s="13"/>
      <c r="I2525" s="13"/>
      <c r="J2525" s="13"/>
      <c r="K2525" s="25"/>
      <c r="L2525" s="25"/>
      <c r="M2525" s="25"/>
      <c r="N2525" s="25"/>
      <c r="O2525" s="26"/>
      <c r="P2525" s="16" t="str">
        <f aca="false">IF(O2525="","",IFERROR(1/(1/(IF(K2525="",INDEX(CONFIG!$F$5:$F$14,MATCH(D2525,CONFIG!$D$5:$D$14,0)),K2525)*IF(M2525="",INDEX(CONFIG!$H$5:$H$14,MATCH(D2525,CONFIG!$D$5:$D$14,0)),M2525))),""))</f>
        <v/>
      </c>
      <c r="Q2525" s="16" t="str">
        <f aca="false">IF(OR(O2525="",P2525=""),"",O2525/P2525)</f>
        <v/>
      </c>
      <c r="R2525" s="16" t="str">
        <f aca="false">IF(Q2525="","",Q2525*0.0980665)</f>
        <v/>
      </c>
      <c r="S2525" s="16" t="str">
        <f aca="false">IF(Q2525="","",IFERROR(Q2525/(1/(1/INDEX(CONFIG!$I$5:$I$14,MATCH(D2525,CONFIG!$D$5:$D$14,0)))),""))</f>
        <v/>
      </c>
      <c r="T2525" s="13"/>
      <c r="U2525" s="13"/>
      <c r="V2525" s="13"/>
      <c r="W2525" s="13"/>
      <c r="X2525" s="22" t="str">
        <f aca="false">IF(Q2525="","",Q2525^2)</f>
        <v/>
      </c>
      <c r="Y2525" s="22" t="str">
        <f aca="false">IF(AND(C2525&lt;&gt;"",C2525=CERTIFICADO!$E$4,OR(CERTIFICADO!$E$5="",B2525=CERTIFICADO!$E$5)),MAX($Y$4:Y2524)+1,"")</f>
        <v/>
      </c>
    </row>
    <row r="2526" customFormat="false" ht="15" hidden="false" customHeight="false" outlineLevel="0" collapsed="false">
      <c r="A2526" s="11" t="str">
        <f aca="false">IF(C2526="","",ROW()-4)</f>
        <v/>
      </c>
      <c r="B2526" s="12"/>
      <c r="C2526" s="13"/>
      <c r="D2526" s="23" t="str">
        <f aca="false">IF(C2526="","",IFERROR(INDEX(LOTES!$D$5:$D$1004,MATCH(C2526,LOTES!$F$5:$F$1004,0)),"¿Lote?"))</f>
        <v/>
      </c>
      <c r="E2526" s="11" t="str">
        <f aca="false">IF(C2526="","",IFERROR(INDEX(LOTES!$C$5:$C$1004,MATCH(C2526,LOTES!$F$5:$F$1004,0)),""))</f>
        <v/>
      </c>
      <c r="F2526" s="24" t="str">
        <f aca="false">IF(C2526="","",IFERROR(INDEX(LOTES!$B$5:$B$1004,MATCH(C2526,LOTES!$F$5:$F$1004,0)),""))</f>
        <v/>
      </c>
      <c r="G2526" s="15" t="str">
        <f aca="false">IF(OR(B2526="",F2526=""),"",B2526-F2526)</f>
        <v/>
      </c>
      <c r="H2526" s="13"/>
      <c r="I2526" s="13"/>
      <c r="J2526" s="13"/>
      <c r="K2526" s="25"/>
      <c r="L2526" s="25"/>
      <c r="M2526" s="25"/>
      <c r="N2526" s="25"/>
      <c r="O2526" s="26"/>
      <c r="P2526" s="16" t="str">
        <f aca="false">IF(O2526="","",IFERROR(1/(1/(IF(K2526="",INDEX(CONFIG!$F$5:$F$14,MATCH(D2526,CONFIG!$D$5:$D$14,0)),K2526)*IF(M2526="",INDEX(CONFIG!$H$5:$H$14,MATCH(D2526,CONFIG!$D$5:$D$14,0)),M2526))),""))</f>
        <v/>
      </c>
      <c r="Q2526" s="16" t="str">
        <f aca="false">IF(OR(O2526="",P2526=""),"",O2526/P2526)</f>
        <v/>
      </c>
      <c r="R2526" s="16" t="str">
        <f aca="false">IF(Q2526="","",Q2526*0.0980665)</f>
        <v/>
      </c>
      <c r="S2526" s="16" t="str">
        <f aca="false">IF(Q2526="","",IFERROR(Q2526/(1/(1/INDEX(CONFIG!$I$5:$I$14,MATCH(D2526,CONFIG!$D$5:$D$14,0)))),""))</f>
        <v/>
      </c>
      <c r="T2526" s="13"/>
      <c r="U2526" s="13"/>
      <c r="V2526" s="13"/>
      <c r="W2526" s="13"/>
      <c r="X2526" s="22" t="str">
        <f aca="false">IF(Q2526="","",Q2526^2)</f>
        <v/>
      </c>
      <c r="Y2526" s="22" t="str">
        <f aca="false">IF(AND(C2526&lt;&gt;"",C2526=CERTIFICADO!$E$4,OR(CERTIFICADO!$E$5="",B2526=CERTIFICADO!$E$5)),MAX($Y$4:Y2525)+1,"")</f>
        <v/>
      </c>
    </row>
    <row r="2527" customFormat="false" ht="15" hidden="false" customHeight="false" outlineLevel="0" collapsed="false">
      <c r="A2527" s="11" t="str">
        <f aca="false">IF(C2527="","",ROW()-4)</f>
        <v/>
      </c>
      <c r="B2527" s="12"/>
      <c r="C2527" s="13"/>
      <c r="D2527" s="23" t="str">
        <f aca="false">IF(C2527="","",IFERROR(INDEX(LOTES!$D$5:$D$1004,MATCH(C2527,LOTES!$F$5:$F$1004,0)),"¿Lote?"))</f>
        <v/>
      </c>
      <c r="E2527" s="11" t="str">
        <f aca="false">IF(C2527="","",IFERROR(INDEX(LOTES!$C$5:$C$1004,MATCH(C2527,LOTES!$F$5:$F$1004,0)),""))</f>
        <v/>
      </c>
      <c r="F2527" s="24" t="str">
        <f aca="false">IF(C2527="","",IFERROR(INDEX(LOTES!$B$5:$B$1004,MATCH(C2527,LOTES!$F$5:$F$1004,0)),""))</f>
        <v/>
      </c>
      <c r="G2527" s="15" t="str">
        <f aca="false">IF(OR(B2527="",F2527=""),"",B2527-F2527)</f>
        <v/>
      </c>
      <c r="H2527" s="13"/>
      <c r="I2527" s="13"/>
      <c r="J2527" s="13"/>
      <c r="K2527" s="25"/>
      <c r="L2527" s="25"/>
      <c r="M2527" s="25"/>
      <c r="N2527" s="25"/>
      <c r="O2527" s="26"/>
      <c r="P2527" s="16" t="str">
        <f aca="false">IF(O2527="","",IFERROR(1/(1/(IF(K2527="",INDEX(CONFIG!$F$5:$F$14,MATCH(D2527,CONFIG!$D$5:$D$14,0)),K2527)*IF(M2527="",INDEX(CONFIG!$H$5:$H$14,MATCH(D2527,CONFIG!$D$5:$D$14,0)),M2527))),""))</f>
        <v/>
      </c>
      <c r="Q2527" s="16" t="str">
        <f aca="false">IF(OR(O2527="",P2527=""),"",O2527/P2527)</f>
        <v/>
      </c>
      <c r="R2527" s="16" t="str">
        <f aca="false">IF(Q2527="","",Q2527*0.0980665)</f>
        <v/>
      </c>
      <c r="S2527" s="16" t="str">
        <f aca="false">IF(Q2527="","",IFERROR(Q2527/(1/(1/INDEX(CONFIG!$I$5:$I$14,MATCH(D2527,CONFIG!$D$5:$D$14,0)))),""))</f>
        <v/>
      </c>
      <c r="T2527" s="13"/>
      <c r="U2527" s="13"/>
      <c r="V2527" s="13"/>
      <c r="W2527" s="13"/>
      <c r="X2527" s="22" t="str">
        <f aca="false">IF(Q2527="","",Q2527^2)</f>
        <v/>
      </c>
      <c r="Y2527" s="22" t="str">
        <f aca="false">IF(AND(C2527&lt;&gt;"",C2527=CERTIFICADO!$E$4,OR(CERTIFICADO!$E$5="",B2527=CERTIFICADO!$E$5)),MAX($Y$4:Y2526)+1,"")</f>
        <v/>
      </c>
    </row>
    <row r="2528" customFormat="false" ht="15" hidden="false" customHeight="false" outlineLevel="0" collapsed="false">
      <c r="A2528" s="11" t="str">
        <f aca="false">IF(C2528="","",ROW()-4)</f>
        <v/>
      </c>
      <c r="B2528" s="12"/>
      <c r="C2528" s="13"/>
      <c r="D2528" s="23" t="str">
        <f aca="false">IF(C2528="","",IFERROR(INDEX(LOTES!$D$5:$D$1004,MATCH(C2528,LOTES!$F$5:$F$1004,0)),"¿Lote?"))</f>
        <v/>
      </c>
      <c r="E2528" s="11" t="str">
        <f aca="false">IF(C2528="","",IFERROR(INDEX(LOTES!$C$5:$C$1004,MATCH(C2528,LOTES!$F$5:$F$1004,0)),""))</f>
        <v/>
      </c>
      <c r="F2528" s="24" t="str">
        <f aca="false">IF(C2528="","",IFERROR(INDEX(LOTES!$B$5:$B$1004,MATCH(C2528,LOTES!$F$5:$F$1004,0)),""))</f>
        <v/>
      </c>
      <c r="G2528" s="15" t="str">
        <f aca="false">IF(OR(B2528="",F2528=""),"",B2528-F2528)</f>
        <v/>
      </c>
      <c r="H2528" s="13"/>
      <c r="I2528" s="13"/>
      <c r="J2528" s="13"/>
      <c r="K2528" s="25"/>
      <c r="L2528" s="25"/>
      <c r="M2528" s="25"/>
      <c r="N2528" s="25"/>
      <c r="O2528" s="26"/>
      <c r="P2528" s="16" t="str">
        <f aca="false">IF(O2528="","",IFERROR(1/(1/(IF(K2528="",INDEX(CONFIG!$F$5:$F$14,MATCH(D2528,CONFIG!$D$5:$D$14,0)),K2528)*IF(M2528="",INDEX(CONFIG!$H$5:$H$14,MATCH(D2528,CONFIG!$D$5:$D$14,0)),M2528))),""))</f>
        <v/>
      </c>
      <c r="Q2528" s="16" t="str">
        <f aca="false">IF(OR(O2528="",P2528=""),"",O2528/P2528)</f>
        <v/>
      </c>
      <c r="R2528" s="16" t="str">
        <f aca="false">IF(Q2528="","",Q2528*0.0980665)</f>
        <v/>
      </c>
      <c r="S2528" s="16" t="str">
        <f aca="false">IF(Q2528="","",IFERROR(Q2528/(1/(1/INDEX(CONFIG!$I$5:$I$14,MATCH(D2528,CONFIG!$D$5:$D$14,0)))),""))</f>
        <v/>
      </c>
      <c r="T2528" s="13"/>
      <c r="U2528" s="13"/>
      <c r="V2528" s="13"/>
      <c r="W2528" s="13"/>
      <c r="X2528" s="22" t="str">
        <f aca="false">IF(Q2528="","",Q2528^2)</f>
        <v/>
      </c>
      <c r="Y2528" s="22" t="str">
        <f aca="false">IF(AND(C2528&lt;&gt;"",C2528=CERTIFICADO!$E$4,OR(CERTIFICADO!$E$5="",B2528=CERTIFICADO!$E$5)),MAX($Y$4:Y2527)+1,"")</f>
        <v/>
      </c>
    </row>
    <row r="2529" customFormat="false" ht="15" hidden="false" customHeight="false" outlineLevel="0" collapsed="false">
      <c r="A2529" s="11" t="str">
        <f aca="false">IF(C2529="","",ROW()-4)</f>
        <v/>
      </c>
      <c r="B2529" s="12"/>
      <c r="C2529" s="13"/>
      <c r="D2529" s="23" t="str">
        <f aca="false">IF(C2529="","",IFERROR(INDEX(LOTES!$D$5:$D$1004,MATCH(C2529,LOTES!$F$5:$F$1004,0)),"¿Lote?"))</f>
        <v/>
      </c>
      <c r="E2529" s="11" t="str">
        <f aca="false">IF(C2529="","",IFERROR(INDEX(LOTES!$C$5:$C$1004,MATCH(C2529,LOTES!$F$5:$F$1004,0)),""))</f>
        <v/>
      </c>
      <c r="F2529" s="24" t="str">
        <f aca="false">IF(C2529="","",IFERROR(INDEX(LOTES!$B$5:$B$1004,MATCH(C2529,LOTES!$F$5:$F$1004,0)),""))</f>
        <v/>
      </c>
      <c r="G2529" s="15" t="str">
        <f aca="false">IF(OR(B2529="",F2529=""),"",B2529-F2529)</f>
        <v/>
      </c>
      <c r="H2529" s="13"/>
      <c r="I2529" s="13"/>
      <c r="J2529" s="13"/>
      <c r="K2529" s="25"/>
      <c r="L2529" s="25"/>
      <c r="M2529" s="25"/>
      <c r="N2529" s="25"/>
      <c r="O2529" s="26"/>
      <c r="P2529" s="16" t="str">
        <f aca="false">IF(O2529="","",IFERROR(1/(1/(IF(K2529="",INDEX(CONFIG!$F$5:$F$14,MATCH(D2529,CONFIG!$D$5:$D$14,0)),K2529)*IF(M2529="",INDEX(CONFIG!$H$5:$H$14,MATCH(D2529,CONFIG!$D$5:$D$14,0)),M2529))),""))</f>
        <v/>
      </c>
      <c r="Q2529" s="16" t="str">
        <f aca="false">IF(OR(O2529="",P2529=""),"",O2529/P2529)</f>
        <v/>
      </c>
      <c r="R2529" s="16" t="str">
        <f aca="false">IF(Q2529="","",Q2529*0.0980665)</f>
        <v/>
      </c>
      <c r="S2529" s="16" t="str">
        <f aca="false">IF(Q2529="","",IFERROR(Q2529/(1/(1/INDEX(CONFIG!$I$5:$I$14,MATCH(D2529,CONFIG!$D$5:$D$14,0)))),""))</f>
        <v/>
      </c>
      <c r="T2529" s="13"/>
      <c r="U2529" s="13"/>
      <c r="V2529" s="13"/>
      <c r="W2529" s="13"/>
      <c r="X2529" s="22" t="str">
        <f aca="false">IF(Q2529="","",Q2529^2)</f>
        <v/>
      </c>
      <c r="Y2529" s="22" t="str">
        <f aca="false">IF(AND(C2529&lt;&gt;"",C2529=CERTIFICADO!$E$4,OR(CERTIFICADO!$E$5="",B2529=CERTIFICADO!$E$5)),MAX($Y$4:Y2528)+1,"")</f>
        <v/>
      </c>
    </row>
    <row r="2530" customFormat="false" ht="15" hidden="false" customHeight="false" outlineLevel="0" collapsed="false">
      <c r="A2530" s="11" t="str">
        <f aca="false">IF(C2530="","",ROW()-4)</f>
        <v/>
      </c>
      <c r="B2530" s="12"/>
      <c r="C2530" s="13"/>
      <c r="D2530" s="23" t="str">
        <f aca="false">IF(C2530="","",IFERROR(INDEX(LOTES!$D$5:$D$1004,MATCH(C2530,LOTES!$F$5:$F$1004,0)),"¿Lote?"))</f>
        <v/>
      </c>
      <c r="E2530" s="11" t="str">
        <f aca="false">IF(C2530="","",IFERROR(INDEX(LOTES!$C$5:$C$1004,MATCH(C2530,LOTES!$F$5:$F$1004,0)),""))</f>
        <v/>
      </c>
      <c r="F2530" s="24" t="str">
        <f aca="false">IF(C2530="","",IFERROR(INDEX(LOTES!$B$5:$B$1004,MATCH(C2530,LOTES!$F$5:$F$1004,0)),""))</f>
        <v/>
      </c>
      <c r="G2530" s="15" t="str">
        <f aca="false">IF(OR(B2530="",F2530=""),"",B2530-F2530)</f>
        <v/>
      </c>
      <c r="H2530" s="13"/>
      <c r="I2530" s="13"/>
      <c r="J2530" s="13"/>
      <c r="K2530" s="25"/>
      <c r="L2530" s="25"/>
      <c r="M2530" s="25"/>
      <c r="N2530" s="25"/>
      <c r="O2530" s="26"/>
      <c r="P2530" s="16" t="str">
        <f aca="false">IF(O2530="","",IFERROR(1/(1/(IF(K2530="",INDEX(CONFIG!$F$5:$F$14,MATCH(D2530,CONFIG!$D$5:$D$14,0)),K2530)*IF(M2530="",INDEX(CONFIG!$H$5:$H$14,MATCH(D2530,CONFIG!$D$5:$D$14,0)),M2530))),""))</f>
        <v/>
      </c>
      <c r="Q2530" s="16" t="str">
        <f aca="false">IF(OR(O2530="",P2530=""),"",O2530/P2530)</f>
        <v/>
      </c>
      <c r="R2530" s="16" t="str">
        <f aca="false">IF(Q2530="","",Q2530*0.0980665)</f>
        <v/>
      </c>
      <c r="S2530" s="16" t="str">
        <f aca="false">IF(Q2530="","",IFERROR(Q2530/(1/(1/INDEX(CONFIG!$I$5:$I$14,MATCH(D2530,CONFIG!$D$5:$D$14,0)))),""))</f>
        <v/>
      </c>
      <c r="T2530" s="13"/>
      <c r="U2530" s="13"/>
      <c r="V2530" s="13"/>
      <c r="W2530" s="13"/>
      <c r="X2530" s="22" t="str">
        <f aca="false">IF(Q2530="","",Q2530^2)</f>
        <v/>
      </c>
      <c r="Y2530" s="22" t="str">
        <f aca="false">IF(AND(C2530&lt;&gt;"",C2530=CERTIFICADO!$E$4,OR(CERTIFICADO!$E$5="",B2530=CERTIFICADO!$E$5)),MAX($Y$4:Y2529)+1,"")</f>
        <v/>
      </c>
    </row>
    <row r="2531" customFormat="false" ht="15" hidden="false" customHeight="false" outlineLevel="0" collapsed="false">
      <c r="A2531" s="11" t="str">
        <f aca="false">IF(C2531="","",ROW()-4)</f>
        <v/>
      </c>
      <c r="B2531" s="12"/>
      <c r="C2531" s="13"/>
      <c r="D2531" s="23" t="str">
        <f aca="false">IF(C2531="","",IFERROR(INDEX(LOTES!$D$5:$D$1004,MATCH(C2531,LOTES!$F$5:$F$1004,0)),"¿Lote?"))</f>
        <v/>
      </c>
      <c r="E2531" s="11" t="str">
        <f aca="false">IF(C2531="","",IFERROR(INDEX(LOTES!$C$5:$C$1004,MATCH(C2531,LOTES!$F$5:$F$1004,0)),""))</f>
        <v/>
      </c>
      <c r="F2531" s="24" t="str">
        <f aca="false">IF(C2531="","",IFERROR(INDEX(LOTES!$B$5:$B$1004,MATCH(C2531,LOTES!$F$5:$F$1004,0)),""))</f>
        <v/>
      </c>
      <c r="G2531" s="15" t="str">
        <f aca="false">IF(OR(B2531="",F2531=""),"",B2531-F2531)</f>
        <v/>
      </c>
      <c r="H2531" s="13"/>
      <c r="I2531" s="13"/>
      <c r="J2531" s="13"/>
      <c r="K2531" s="25"/>
      <c r="L2531" s="25"/>
      <c r="M2531" s="25"/>
      <c r="N2531" s="25"/>
      <c r="O2531" s="26"/>
      <c r="P2531" s="16" t="str">
        <f aca="false">IF(O2531="","",IFERROR(1/(1/(IF(K2531="",INDEX(CONFIG!$F$5:$F$14,MATCH(D2531,CONFIG!$D$5:$D$14,0)),K2531)*IF(M2531="",INDEX(CONFIG!$H$5:$H$14,MATCH(D2531,CONFIG!$D$5:$D$14,0)),M2531))),""))</f>
        <v/>
      </c>
      <c r="Q2531" s="16" t="str">
        <f aca="false">IF(OR(O2531="",P2531=""),"",O2531/P2531)</f>
        <v/>
      </c>
      <c r="R2531" s="16" t="str">
        <f aca="false">IF(Q2531="","",Q2531*0.0980665)</f>
        <v/>
      </c>
      <c r="S2531" s="16" t="str">
        <f aca="false">IF(Q2531="","",IFERROR(Q2531/(1/(1/INDEX(CONFIG!$I$5:$I$14,MATCH(D2531,CONFIG!$D$5:$D$14,0)))),""))</f>
        <v/>
      </c>
      <c r="T2531" s="13"/>
      <c r="U2531" s="13"/>
      <c r="V2531" s="13"/>
      <c r="W2531" s="13"/>
      <c r="X2531" s="22" t="str">
        <f aca="false">IF(Q2531="","",Q2531^2)</f>
        <v/>
      </c>
      <c r="Y2531" s="22" t="str">
        <f aca="false">IF(AND(C2531&lt;&gt;"",C2531=CERTIFICADO!$E$4,OR(CERTIFICADO!$E$5="",B2531=CERTIFICADO!$E$5)),MAX($Y$4:Y2530)+1,"")</f>
        <v/>
      </c>
    </row>
    <row r="2532" customFormat="false" ht="15" hidden="false" customHeight="false" outlineLevel="0" collapsed="false">
      <c r="A2532" s="11" t="str">
        <f aca="false">IF(C2532="","",ROW()-4)</f>
        <v/>
      </c>
      <c r="B2532" s="12"/>
      <c r="C2532" s="13"/>
      <c r="D2532" s="23" t="str">
        <f aca="false">IF(C2532="","",IFERROR(INDEX(LOTES!$D$5:$D$1004,MATCH(C2532,LOTES!$F$5:$F$1004,0)),"¿Lote?"))</f>
        <v/>
      </c>
      <c r="E2532" s="11" t="str">
        <f aca="false">IF(C2532="","",IFERROR(INDEX(LOTES!$C$5:$C$1004,MATCH(C2532,LOTES!$F$5:$F$1004,0)),""))</f>
        <v/>
      </c>
      <c r="F2532" s="24" t="str">
        <f aca="false">IF(C2532="","",IFERROR(INDEX(LOTES!$B$5:$B$1004,MATCH(C2532,LOTES!$F$5:$F$1004,0)),""))</f>
        <v/>
      </c>
      <c r="G2532" s="15" t="str">
        <f aca="false">IF(OR(B2532="",F2532=""),"",B2532-F2532)</f>
        <v/>
      </c>
      <c r="H2532" s="13"/>
      <c r="I2532" s="13"/>
      <c r="J2532" s="13"/>
      <c r="K2532" s="25"/>
      <c r="L2532" s="25"/>
      <c r="M2532" s="25"/>
      <c r="N2532" s="25"/>
      <c r="O2532" s="26"/>
      <c r="P2532" s="16" t="str">
        <f aca="false">IF(O2532="","",IFERROR(1/(1/(IF(K2532="",INDEX(CONFIG!$F$5:$F$14,MATCH(D2532,CONFIG!$D$5:$D$14,0)),K2532)*IF(M2532="",INDEX(CONFIG!$H$5:$H$14,MATCH(D2532,CONFIG!$D$5:$D$14,0)),M2532))),""))</f>
        <v/>
      </c>
      <c r="Q2532" s="16" t="str">
        <f aca="false">IF(OR(O2532="",P2532=""),"",O2532/P2532)</f>
        <v/>
      </c>
      <c r="R2532" s="16" t="str">
        <f aca="false">IF(Q2532="","",Q2532*0.0980665)</f>
        <v/>
      </c>
      <c r="S2532" s="16" t="str">
        <f aca="false">IF(Q2532="","",IFERROR(Q2532/(1/(1/INDEX(CONFIG!$I$5:$I$14,MATCH(D2532,CONFIG!$D$5:$D$14,0)))),""))</f>
        <v/>
      </c>
      <c r="T2532" s="13"/>
      <c r="U2532" s="13"/>
      <c r="V2532" s="13"/>
      <c r="W2532" s="13"/>
      <c r="X2532" s="22" t="str">
        <f aca="false">IF(Q2532="","",Q2532^2)</f>
        <v/>
      </c>
      <c r="Y2532" s="22" t="str">
        <f aca="false">IF(AND(C2532&lt;&gt;"",C2532=CERTIFICADO!$E$4,OR(CERTIFICADO!$E$5="",B2532=CERTIFICADO!$E$5)),MAX($Y$4:Y2531)+1,"")</f>
        <v/>
      </c>
    </row>
    <row r="2533" customFormat="false" ht="15" hidden="false" customHeight="false" outlineLevel="0" collapsed="false">
      <c r="A2533" s="11" t="str">
        <f aca="false">IF(C2533="","",ROW()-4)</f>
        <v/>
      </c>
      <c r="B2533" s="12"/>
      <c r="C2533" s="13"/>
      <c r="D2533" s="23" t="str">
        <f aca="false">IF(C2533="","",IFERROR(INDEX(LOTES!$D$5:$D$1004,MATCH(C2533,LOTES!$F$5:$F$1004,0)),"¿Lote?"))</f>
        <v/>
      </c>
      <c r="E2533" s="11" t="str">
        <f aca="false">IF(C2533="","",IFERROR(INDEX(LOTES!$C$5:$C$1004,MATCH(C2533,LOTES!$F$5:$F$1004,0)),""))</f>
        <v/>
      </c>
      <c r="F2533" s="24" t="str">
        <f aca="false">IF(C2533="","",IFERROR(INDEX(LOTES!$B$5:$B$1004,MATCH(C2533,LOTES!$F$5:$F$1004,0)),""))</f>
        <v/>
      </c>
      <c r="G2533" s="15" t="str">
        <f aca="false">IF(OR(B2533="",F2533=""),"",B2533-F2533)</f>
        <v/>
      </c>
      <c r="H2533" s="13"/>
      <c r="I2533" s="13"/>
      <c r="J2533" s="13"/>
      <c r="K2533" s="25"/>
      <c r="L2533" s="25"/>
      <c r="M2533" s="25"/>
      <c r="N2533" s="25"/>
      <c r="O2533" s="26"/>
      <c r="P2533" s="16" t="str">
        <f aca="false">IF(O2533="","",IFERROR(1/(1/(IF(K2533="",INDEX(CONFIG!$F$5:$F$14,MATCH(D2533,CONFIG!$D$5:$D$14,0)),K2533)*IF(M2533="",INDEX(CONFIG!$H$5:$H$14,MATCH(D2533,CONFIG!$D$5:$D$14,0)),M2533))),""))</f>
        <v/>
      </c>
      <c r="Q2533" s="16" t="str">
        <f aca="false">IF(OR(O2533="",P2533=""),"",O2533/P2533)</f>
        <v/>
      </c>
      <c r="R2533" s="16" t="str">
        <f aca="false">IF(Q2533="","",Q2533*0.0980665)</f>
        <v/>
      </c>
      <c r="S2533" s="16" t="str">
        <f aca="false">IF(Q2533="","",IFERROR(Q2533/(1/(1/INDEX(CONFIG!$I$5:$I$14,MATCH(D2533,CONFIG!$D$5:$D$14,0)))),""))</f>
        <v/>
      </c>
      <c r="T2533" s="13"/>
      <c r="U2533" s="13"/>
      <c r="V2533" s="13"/>
      <c r="W2533" s="13"/>
      <c r="X2533" s="22" t="str">
        <f aca="false">IF(Q2533="","",Q2533^2)</f>
        <v/>
      </c>
      <c r="Y2533" s="22" t="str">
        <f aca="false">IF(AND(C2533&lt;&gt;"",C2533=CERTIFICADO!$E$4,OR(CERTIFICADO!$E$5="",B2533=CERTIFICADO!$E$5)),MAX($Y$4:Y2532)+1,"")</f>
        <v/>
      </c>
    </row>
    <row r="2534" customFormat="false" ht="15" hidden="false" customHeight="false" outlineLevel="0" collapsed="false">
      <c r="A2534" s="11" t="str">
        <f aca="false">IF(C2534="","",ROW()-4)</f>
        <v/>
      </c>
      <c r="B2534" s="12"/>
      <c r="C2534" s="13"/>
      <c r="D2534" s="23" t="str">
        <f aca="false">IF(C2534="","",IFERROR(INDEX(LOTES!$D$5:$D$1004,MATCH(C2534,LOTES!$F$5:$F$1004,0)),"¿Lote?"))</f>
        <v/>
      </c>
      <c r="E2534" s="11" t="str">
        <f aca="false">IF(C2534="","",IFERROR(INDEX(LOTES!$C$5:$C$1004,MATCH(C2534,LOTES!$F$5:$F$1004,0)),""))</f>
        <v/>
      </c>
      <c r="F2534" s="24" t="str">
        <f aca="false">IF(C2534="","",IFERROR(INDEX(LOTES!$B$5:$B$1004,MATCH(C2534,LOTES!$F$5:$F$1004,0)),""))</f>
        <v/>
      </c>
      <c r="G2534" s="15" t="str">
        <f aca="false">IF(OR(B2534="",F2534=""),"",B2534-F2534)</f>
        <v/>
      </c>
      <c r="H2534" s="13"/>
      <c r="I2534" s="13"/>
      <c r="J2534" s="13"/>
      <c r="K2534" s="25"/>
      <c r="L2534" s="25"/>
      <c r="M2534" s="25"/>
      <c r="N2534" s="25"/>
      <c r="O2534" s="26"/>
      <c r="P2534" s="16" t="str">
        <f aca="false">IF(O2534="","",IFERROR(1/(1/(IF(K2534="",INDEX(CONFIG!$F$5:$F$14,MATCH(D2534,CONFIG!$D$5:$D$14,0)),K2534)*IF(M2534="",INDEX(CONFIG!$H$5:$H$14,MATCH(D2534,CONFIG!$D$5:$D$14,0)),M2534))),""))</f>
        <v/>
      </c>
      <c r="Q2534" s="16" t="str">
        <f aca="false">IF(OR(O2534="",P2534=""),"",O2534/P2534)</f>
        <v/>
      </c>
      <c r="R2534" s="16" t="str">
        <f aca="false">IF(Q2534="","",Q2534*0.0980665)</f>
        <v/>
      </c>
      <c r="S2534" s="16" t="str">
        <f aca="false">IF(Q2534="","",IFERROR(Q2534/(1/(1/INDEX(CONFIG!$I$5:$I$14,MATCH(D2534,CONFIG!$D$5:$D$14,0)))),""))</f>
        <v/>
      </c>
      <c r="T2534" s="13"/>
      <c r="U2534" s="13"/>
      <c r="V2534" s="13"/>
      <c r="W2534" s="13"/>
      <c r="X2534" s="22" t="str">
        <f aca="false">IF(Q2534="","",Q2534^2)</f>
        <v/>
      </c>
      <c r="Y2534" s="22" t="str">
        <f aca="false">IF(AND(C2534&lt;&gt;"",C2534=CERTIFICADO!$E$4,OR(CERTIFICADO!$E$5="",B2534=CERTIFICADO!$E$5)),MAX($Y$4:Y2533)+1,"")</f>
        <v/>
      </c>
    </row>
    <row r="2535" customFormat="false" ht="15" hidden="false" customHeight="false" outlineLevel="0" collapsed="false">
      <c r="A2535" s="11" t="str">
        <f aca="false">IF(C2535="","",ROW()-4)</f>
        <v/>
      </c>
      <c r="B2535" s="12"/>
      <c r="C2535" s="13"/>
      <c r="D2535" s="23" t="str">
        <f aca="false">IF(C2535="","",IFERROR(INDEX(LOTES!$D$5:$D$1004,MATCH(C2535,LOTES!$F$5:$F$1004,0)),"¿Lote?"))</f>
        <v/>
      </c>
      <c r="E2535" s="11" t="str">
        <f aca="false">IF(C2535="","",IFERROR(INDEX(LOTES!$C$5:$C$1004,MATCH(C2535,LOTES!$F$5:$F$1004,0)),""))</f>
        <v/>
      </c>
      <c r="F2535" s="24" t="str">
        <f aca="false">IF(C2535="","",IFERROR(INDEX(LOTES!$B$5:$B$1004,MATCH(C2535,LOTES!$F$5:$F$1004,0)),""))</f>
        <v/>
      </c>
      <c r="G2535" s="15" t="str">
        <f aca="false">IF(OR(B2535="",F2535=""),"",B2535-F2535)</f>
        <v/>
      </c>
      <c r="H2535" s="13"/>
      <c r="I2535" s="13"/>
      <c r="J2535" s="13"/>
      <c r="K2535" s="25"/>
      <c r="L2535" s="25"/>
      <c r="M2535" s="25"/>
      <c r="N2535" s="25"/>
      <c r="O2535" s="26"/>
      <c r="P2535" s="16" t="str">
        <f aca="false">IF(O2535="","",IFERROR(1/(1/(IF(K2535="",INDEX(CONFIG!$F$5:$F$14,MATCH(D2535,CONFIG!$D$5:$D$14,0)),K2535)*IF(M2535="",INDEX(CONFIG!$H$5:$H$14,MATCH(D2535,CONFIG!$D$5:$D$14,0)),M2535))),""))</f>
        <v/>
      </c>
      <c r="Q2535" s="16" t="str">
        <f aca="false">IF(OR(O2535="",P2535=""),"",O2535/P2535)</f>
        <v/>
      </c>
      <c r="R2535" s="16" t="str">
        <f aca="false">IF(Q2535="","",Q2535*0.0980665)</f>
        <v/>
      </c>
      <c r="S2535" s="16" t="str">
        <f aca="false">IF(Q2535="","",IFERROR(Q2535/(1/(1/INDEX(CONFIG!$I$5:$I$14,MATCH(D2535,CONFIG!$D$5:$D$14,0)))),""))</f>
        <v/>
      </c>
      <c r="T2535" s="13"/>
      <c r="U2535" s="13"/>
      <c r="V2535" s="13"/>
      <c r="W2535" s="13"/>
      <c r="X2535" s="22" t="str">
        <f aca="false">IF(Q2535="","",Q2535^2)</f>
        <v/>
      </c>
      <c r="Y2535" s="22" t="str">
        <f aca="false">IF(AND(C2535&lt;&gt;"",C2535=CERTIFICADO!$E$4,OR(CERTIFICADO!$E$5="",B2535=CERTIFICADO!$E$5)),MAX($Y$4:Y2534)+1,"")</f>
        <v/>
      </c>
    </row>
    <row r="2536" customFormat="false" ht="15" hidden="false" customHeight="false" outlineLevel="0" collapsed="false">
      <c r="A2536" s="11" t="str">
        <f aca="false">IF(C2536="","",ROW()-4)</f>
        <v/>
      </c>
      <c r="B2536" s="12"/>
      <c r="C2536" s="13"/>
      <c r="D2536" s="23" t="str">
        <f aca="false">IF(C2536="","",IFERROR(INDEX(LOTES!$D$5:$D$1004,MATCH(C2536,LOTES!$F$5:$F$1004,0)),"¿Lote?"))</f>
        <v/>
      </c>
      <c r="E2536" s="11" t="str">
        <f aca="false">IF(C2536="","",IFERROR(INDEX(LOTES!$C$5:$C$1004,MATCH(C2536,LOTES!$F$5:$F$1004,0)),""))</f>
        <v/>
      </c>
      <c r="F2536" s="24" t="str">
        <f aca="false">IF(C2536="","",IFERROR(INDEX(LOTES!$B$5:$B$1004,MATCH(C2536,LOTES!$F$5:$F$1004,0)),""))</f>
        <v/>
      </c>
      <c r="G2536" s="15" t="str">
        <f aca="false">IF(OR(B2536="",F2536=""),"",B2536-F2536)</f>
        <v/>
      </c>
      <c r="H2536" s="13"/>
      <c r="I2536" s="13"/>
      <c r="J2536" s="13"/>
      <c r="K2536" s="25"/>
      <c r="L2536" s="25"/>
      <c r="M2536" s="25"/>
      <c r="N2536" s="25"/>
      <c r="O2536" s="26"/>
      <c r="P2536" s="16" t="str">
        <f aca="false">IF(O2536="","",IFERROR(1/(1/(IF(K2536="",INDEX(CONFIG!$F$5:$F$14,MATCH(D2536,CONFIG!$D$5:$D$14,0)),K2536)*IF(M2536="",INDEX(CONFIG!$H$5:$H$14,MATCH(D2536,CONFIG!$D$5:$D$14,0)),M2536))),""))</f>
        <v/>
      </c>
      <c r="Q2536" s="16" t="str">
        <f aca="false">IF(OR(O2536="",P2536=""),"",O2536/P2536)</f>
        <v/>
      </c>
      <c r="R2536" s="16" t="str">
        <f aca="false">IF(Q2536="","",Q2536*0.0980665)</f>
        <v/>
      </c>
      <c r="S2536" s="16" t="str">
        <f aca="false">IF(Q2536="","",IFERROR(Q2536/(1/(1/INDEX(CONFIG!$I$5:$I$14,MATCH(D2536,CONFIG!$D$5:$D$14,0)))),""))</f>
        <v/>
      </c>
      <c r="T2536" s="13"/>
      <c r="U2536" s="13"/>
      <c r="V2536" s="13"/>
      <c r="W2536" s="13"/>
      <c r="X2536" s="22" t="str">
        <f aca="false">IF(Q2536="","",Q2536^2)</f>
        <v/>
      </c>
      <c r="Y2536" s="22" t="str">
        <f aca="false">IF(AND(C2536&lt;&gt;"",C2536=CERTIFICADO!$E$4,OR(CERTIFICADO!$E$5="",B2536=CERTIFICADO!$E$5)),MAX($Y$4:Y2535)+1,"")</f>
        <v/>
      </c>
    </row>
    <row r="2537" customFormat="false" ht="15" hidden="false" customHeight="false" outlineLevel="0" collapsed="false">
      <c r="A2537" s="11" t="str">
        <f aca="false">IF(C2537="","",ROW()-4)</f>
        <v/>
      </c>
      <c r="B2537" s="12"/>
      <c r="C2537" s="13"/>
      <c r="D2537" s="23" t="str">
        <f aca="false">IF(C2537="","",IFERROR(INDEX(LOTES!$D$5:$D$1004,MATCH(C2537,LOTES!$F$5:$F$1004,0)),"¿Lote?"))</f>
        <v/>
      </c>
      <c r="E2537" s="11" t="str">
        <f aca="false">IF(C2537="","",IFERROR(INDEX(LOTES!$C$5:$C$1004,MATCH(C2537,LOTES!$F$5:$F$1004,0)),""))</f>
        <v/>
      </c>
      <c r="F2537" s="24" t="str">
        <f aca="false">IF(C2537="","",IFERROR(INDEX(LOTES!$B$5:$B$1004,MATCH(C2537,LOTES!$F$5:$F$1004,0)),""))</f>
        <v/>
      </c>
      <c r="G2537" s="15" t="str">
        <f aca="false">IF(OR(B2537="",F2537=""),"",B2537-F2537)</f>
        <v/>
      </c>
      <c r="H2537" s="13"/>
      <c r="I2537" s="13"/>
      <c r="J2537" s="13"/>
      <c r="K2537" s="25"/>
      <c r="L2537" s="25"/>
      <c r="M2537" s="25"/>
      <c r="N2537" s="25"/>
      <c r="O2537" s="26"/>
      <c r="P2537" s="16" t="str">
        <f aca="false">IF(O2537="","",IFERROR(1/(1/(IF(K2537="",INDEX(CONFIG!$F$5:$F$14,MATCH(D2537,CONFIG!$D$5:$D$14,0)),K2537)*IF(M2537="",INDEX(CONFIG!$H$5:$H$14,MATCH(D2537,CONFIG!$D$5:$D$14,0)),M2537))),""))</f>
        <v/>
      </c>
      <c r="Q2537" s="16" t="str">
        <f aca="false">IF(OR(O2537="",P2537=""),"",O2537/P2537)</f>
        <v/>
      </c>
      <c r="R2537" s="16" t="str">
        <f aca="false">IF(Q2537="","",Q2537*0.0980665)</f>
        <v/>
      </c>
      <c r="S2537" s="16" t="str">
        <f aca="false">IF(Q2537="","",IFERROR(Q2537/(1/(1/INDEX(CONFIG!$I$5:$I$14,MATCH(D2537,CONFIG!$D$5:$D$14,0)))),""))</f>
        <v/>
      </c>
      <c r="T2537" s="13"/>
      <c r="U2537" s="13"/>
      <c r="V2537" s="13"/>
      <c r="W2537" s="13"/>
      <c r="X2537" s="22" t="str">
        <f aca="false">IF(Q2537="","",Q2537^2)</f>
        <v/>
      </c>
      <c r="Y2537" s="22" t="str">
        <f aca="false">IF(AND(C2537&lt;&gt;"",C2537=CERTIFICADO!$E$4,OR(CERTIFICADO!$E$5="",B2537=CERTIFICADO!$E$5)),MAX($Y$4:Y2536)+1,"")</f>
        <v/>
      </c>
    </row>
    <row r="2538" customFormat="false" ht="15" hidden="false" customHeight="false" outlineLevel="0" collapsed="false">
      <c r="A2538" s="11" t="str">
        <f aca="false">IF(C2538="","",ROW()-4)</f>
        <v/>
      </c>
      <c r="B2538" s="12"/>
      <c r="C2538" s="13"/>
      <c r="D2538" s="23" t="str">
        <f aca="false">IF(C2538="","",IFERROR(INDEX(LOTES!$D$5:$D$1004,MATCH(C2538,LOTES!$F$5:$F$1004,0)),"¿Lote?"))</f>
        <v/>
      </c>
      <c r="E2538" s="11" t="str">
        <f aca="false">IF(C2538="","",IFERROR(INDEX(LOTES!$C$5:$C$1004,MATCH(C2538,LOTES!$F$5:$F$1004,0)),""))</f>
        <v/>
      </c>
      <c r="F2538" s="24" t="str">
        <f aca="false">IF(C2538="","",IFERROR(INDEX(LOTES!$B$5:$B$1004,MATCH(C2538,LOTES!$F$5:$F$1004,0)),""))</f>
        <v/>
      </c>
      <c r="G2538" s="15" t="str">
        <f aca="false">IF(OR(B2538="",F2538=""),"",B2538-F2538)</f>
        <v/>
      </c>
      <c r="H2538" s="13"/>
      <c r="I2538" s="13"/>
      <c r="J2538" s="13"/>
      <c r="K2538" s="25"/>
      <c r="L2538" s="25"/>
      <c r="M2538" s="25"/>
      <c r="N2538" s="25"/>
      <c r="O2538" s="26"/>
      <c r="P2538" s="16" t="str">
        <f aca="false">IF(O2538="","",IFERROR(1/(1/(IF(K2538="",INDEX(CONFIG!$F$5:$F$14,MATCH(D2538,CONFIG!$D$5:$D$14,0)),K2538)*IF(M2538="",INDEX(CONFIG!$H$5:$H$14,MATCH(D2538,CONFIG!$D$5:$D$14,0)),M2538))),""))</f>
        <v/>
      </c>
      <c r="Q2538" s="16" t="str">
        <f aca="false">IF(OR(O2538="",P2538=""),"",O2538/P2538)</f>
        <v/>
      </c>
      <c r="R2538" s="16" t="str">
        <f aca="false">IF(Q2538="","",Q2538*0.0980665)</f>
        <v/>
      </c>
      <c r="S2538" s="16" t="str">
        <f aca="false">IF(Q2538="","",IFERROR(Q2538/(1/(1/INDEX(CONFIG!$I$5:$I$14,MATCH(D2538,CONFIG!$D$5:$D$14,0)))),""))</f>
        <v/>
      </c>
      <c r="T2538" s="13"/>
      <c r="U2538" s="13"/>
      <c r="V2538" s="13"/>
      <c r="W2538" s="13"/>
      <c r="X2538" s="22" t="str">
        <f aca="false">IF(Q2538="","",Q2538^2)</f>
        <v/>
      </c>
      <c r="Y2538" s="22" t="str">
        <f aca="false">IF(AND(C2538&lt;&gt;"",C2538=CERTIFICADO!$E$4,OR(CERTIFICADO!$E$5="",B2538=CERTIFICADO!$E$5)),MAX($Y$4:Y2537)+1,"")</f>
        <v/>
      </c>
    </row>
    <row r="2539" customFormat="false" ht="15" hidden="false" customHeight="false" outlineLevel="0" collapsed="false">
      <c r="A2539" s="11" t="str">
        <f aca="false">IF(C2539="","",ROW()-4)</f>
        <v/>
      </c>
      <c r="B2539" s="12"/>
      <c r="C2539" s="13"/>
      <c r="D2539" s="23" t="str">
        <f aca="false">IF(C2539="","",IFERROR(INDEX(LOTES!$D$5:$D$1004,MATCH(C2539,LOTES!$F$5:$F$1004,0)),"¿Lote?"))</f>
        <v/>
      </c>
      <c r="E2539" s="11" t="str">
        <f aca="false">IF(C2539="","",IFERROR(INDEX(LOTES!$C$5:$C$1004,MATCH(C2539,LOTES!$F$5:$F$1004,0)),""))</f>
        <v/>
      </c>
      <c r="F2539" s="24" t="str">
        <f aca="false">IF(C2539="","",IFERROR(INDEX(LOTES!$B$5:$B$1004,MATCH(C2539,LOTES!$F$5:$F$1004,0)),""))</f>
        <v/>
      </c>
      <c r="G2539" s="15" t="str">
        <f aca="false">IF(OR(B2539="",F2539=""),"",B2539-F2539)</f>
        <v/>
      </c>
      <c r="H2539" s="13"/>
      <c r="I2539" s="13"/>
      <c r="J2539" s="13"/>
      <c r="K2539" s="25"/>
      <c r="L2539" s="25"/>
      <c r="M2539" s="25"/>
      <c r="N2539" s="25"/>
      <c r="O2539" s="26"/>
      <c r="P2539" s="16" t="str">
        <f aca="false">IF(O2539="","",IFERROR(1/(1/(IF(K2539="",INDEX(CONFIG!$F$5:$F$14,MATCH(D2539,CONFIG!$D$5:$D$14,0)),K2539)*IF(M2539="",INDEX(CONFIG!$H$5:$H$14,MATCH(D2539,CONFIG!$D$5:$D$14,0)),M2539))),""))</f>
        <v/>
      </c>
      <c r="Q2539" s="16" t="str">
        <f aca="false">IF(OR(O2539="",P2539=""),"",O2539/P2539)</f>
        <v/>
      </c>
      <c r="R2539" s="16" t="str">
        <f aca="false">IF(Q2539="","",Q2539*0.0980665)</f>
        <v/>
      </c>
      <c r="S2539" s="16" t="str">
        <f aca="false">IF(Q2539="","",IFERROR(Q2539/(1/(1/INDEX(CONFIG!$I$5:$I$14,MATCH(D2539,CONFIG!$D$5:$D$14,0)))),""))</f>
        <v/>
      </c>
      <c r="T2539" s="13"/>
      <c r="U2539" s="13"/>
      <c r="V2539" s="13"/>
      <c r="W2539" s="13"/>
      <c r="X2539" s="22" t="str">
        <f aca="false">IF(Q2539="","",Q2539^2)</f>
        <v/>
      </c>
      <c r="Y2539" s="22" t="str">
        <f aca="false">IF(AND(C2539&lt;&gt;"",C2539=CERTIFICADO!$E$4,OR(CERTIFICADO!$E$5="",B2539=CERTIFICADO!$E$5)),MAX($Y$4:Y2538)+1,"")</f>
        <v/>
      </c>
    </row>
    <row r="2540" customFormat="false" ht="15" hidden="false" customHeight="false" outlineLevel="0" collapsed="false">
      <c r="A2540" s="11" t="str">
        <f aca="false">IF(C2540="","",ROW()-4)</f>
        <v/>
      </c>
      <c r="B2540" s="12"/>
      <c r="C2540" s="13"/>
      <c r="D2540" s="23" t="str">
        <f aca="false">IF(C2540="","",IFERROR(INDEX(LOTES!$D$5:$D$1004,MATCH(C2540,LOTES!$F$5:$F$1004,0)),"¿Lote?"))</f>
        <v/>
      </c>
      <c r="E2540" s="11" t="str">
        <f aca="false">IF(C2540="","",IFERROR(INDEX(LOTES!$C$5:$C$1004,MATCH(C2540,LOTES!$F$5:$F$1004,0)),""))</f>
        <v/>
      </c>
      <c r="F2540" s="24" t="str">
        <f aca="false">IF(C2540="","",IFERROR(INDEX(LOTES!$B$5:$B$1004,MATCH(C2540,LOTES!$F$5:$F$1004,0)),""))</f>
        <v/>
      </c>
      <c r="G2540" s="15" t="str">
        <f aca="false">IF(OR(B2540="",F2540=""),"",B2540-F2540)</f>
        <v/>
      </c>
      <c r="H2540" s="13"/>
      <c r="I2540" s="13"/>
      <c r="J2540" s="13"/>
      <c r="K2540" s="25"/>
      <c r="L2540" s="25"/>
      <c r="M2540" s="25"/>
      <c r="N2540" s="25"/>
      <c r="O2540" s="26"/>
      <c r="P2540" s="16" t="str">
        <f aca="false">IF(O2540="","",IFERROR(1/(1/(IF(K2540="",INDEX(CONFIG!$F$5:$F$14,MATCH(D2540,CONFIG!$D$5:$D$14,0)),K2540)*IF(M2540="",INDEX(CONFIG!$H$5:$H$14,MATCH(D2540,CONFIG!$D$5:$D$14,0)),M2540))),""))</f>
        <v/>
      </c>
      <c r="Q2540" s="16" t="str">
        <f aca="false">IF(OR(O2540="",P2540=""),"",O2540/P2540)</f>
        <v/>
      </c>
      <c r="R2540" s="16" t="str">
        <f aca="false">IF(Q2540="","",Q2540*0.0980665)</f>
        <v/>
      </c>
      <c r="S2540" s="16" t="str">
        <f aca="false">IF(Q2540="","",IFERROR(Q2540/(1/(1/INDEX(CONFIG!$I$5:$I$14,MATCH(D2540,CONFIG!$D$5:$D$14,0)))),""))</f>
        <v/>
      </c>
      <c r="T2540" s="13"/>
      <c r="U2540" s="13"/>
      <c r="V2540" s="13"/>
      <c r="W2540" s="13"/>
      <c r="X2540" s="22" t="str">
        <f aca="false">IF(Q2540="","",Q2540^2)</f>
        <v/>
      </c>
      <c r="Y2540" s="22" t="str">
        <f aca="false">IF(AND(C2540&lt;&gt;"",C2540=CERTIFICADO!$E$4,OR(CERTIFICADO!$E$5="",B2540=CERTIFICADO!$E$5)),MAX($Y$4:Y2539)+1,"")</f>
        <v/>
      </c>
    </row>
    <row r="2541" customFormat="false" ht="15" hidden="false" customHeight="false" outlineLevel="0" collapsed="false">
      <c r="A2541" s="11" t="str">
        <f aca="false">IF(C2541="","",ROW()-4)</f>
        <v/>
      </c>
      <c r="B2541" s="12"/>
      <c r="C2541" s="13"/>
      <c r="D2541" s="23" t="str">
        <f aca="false">IF(C2541="","",IFERROR(INDEX(LOTES!$D$5:$D$1004,MATCH(C2541,LOTES!$F$5:$F$1004,0)),"¿Lote?"))</f>
        <v/>
      </c>
      <c r="E2541" s="11" t="str">
        <f aca="false">IF(C2541="","",IFERROR(INDEX(LOTES!$C$5:$C$1004,MATCH(C2541,LOTES!$F$5:$F$1004,0)),""))</f>
        <v/>
      </c>
      <c r="F2541" s="24" t="str">
        <f aca="false">IF(C2541="","",IFERROR(INDEX(LOTES!$B$5:$B$1004,MATCH(C2541,LOTES!$F$5:$F$1004,0)),""))</f>
        <v/>
      </c>
      <c r="G2541" s="15" t="str">
        <f aca="false">IF(OR(B2541="",F2541=""),"",B2541-F2541)</f>
        <v/>
      </c>
      <c r="H2541" s="13"/>
      <c r="I2541" s="13"/>
      <c r="J2541" s="13"/>
      <c r="K2541" s="25"/>
      <c r="L2541" s="25"/>
      <c r="M2541" s="25"/>
      <c r="N2541" s="25"/>
      <c r="O2541" s="26"/>
      <c r="P2541" s="16" t="str">
        <f aca="false">IF(O2541="","",IFERROR(1/(1/(IF(K2541="",INDEX(CONFIG!$F$5:$F$14,MATCH(D2541,CONFIG!$D$5:$D$14,0)),K2541)*IF(M2541="",INDEX(CONFIG!$H$5:$H$14,MATCH(D2541,CONFIG!$D$5:$D$14,0)),M2541))),""))</f>
        <v/>
      </c>
      <c r="Q2541" s="16" t="str">
        <f aca="false">IF(OR(O2541="",P2541=""),"",O2541/P2541)</f>
        <v/>
      </c>
      <c r="R2541" s="16" t="str">
        <f aca="false">IF(Q2541="","",Q2541*0.0980665)</f>
        <v/>
      </c>
      <c r="S2541" s="16" t="str">
        <f aca="false">IF(Q2541="","",IFERROR(Q2541/(1/(1/INDEX(CONFIG!$I$5:$I$14,MATCH(D2541,CONFIG!$D$5:$D$14,0)))),""))</f>
        <v/>
      </c>
      <c r="T2541" s="13"/>
      <c r="U2541" s="13"/>
      <c r="V2541" s="13"/>
      <c r="W2541" s="13"/>
      <c r="X2541" s="22" t="str">
        <f aca="false">IF(Q2541="","",Q2541^2)</f>
        <v/>
      </c>
      <c r="Y2541" s="22" t="str">
        <f aca="false">IF(AND(C2541&lt;&gt;"",C2541=CERTIFICADO!$E$4,OR(CERTIFICADO!$E$5="",B2541=CERTIFICADO!$E$5)),MAX($Y$4:Y2540)+1,"")</f>
        <v/>
      </c>
    </row>
    <row r="2542" customFormat="false" ht="15" hidden="false" customHeight="false" outlineLevel="0" collapsed="false">
      <c r="A2542" s="11" t="str">
        <f aca="false">IF(C2542="","",ROW()-4)</f>
        <v/>
      </c>
      <c r="B2542" s="12"/>
      <c r="C2542" s="13"/>
      <c r="D2542" s="23" t="str">
        <f aca="false">IF(C2542="","",IFERROR(INDEX(LOTES!$D$5:$D$1004,MATCH(C2542,LOTES!$F$5:$F$1004,0)),"¿Lote?"))</f>
        <v/>
      </c>
      <c r="E2542" s="11" t="str">
        <f aca="false">IF(C2542="","",IFERROR(INDEX(LOTES!$C$5:$C$1004,MATCH(C2542,LOTES!$F$5:$F$1004,0)),""))</f>
        <v/>
      </c>
      <c r="F2542" s="24" t="str">
        <f aca="false">IF(C2542="","",IFERROR(INDEX(LOTES!$B$5:$B$1004,MATCH(C2542,LOTES!$F$5:$F$1004,0)),""))</f>
        <v/>
      </c>
      <c r="G2542" s="15" t="str">
        <f aca="false">IF(OR(B2542="",F2542=""),"",B2542-F2542)</f>
        <v/>
      </c>
      <c r="H2542" s="13"/>
      <c r="I2542" s="13"/>
      <c r="J2542" s="13"/>
      <c r="K2542" s="25"/>
      <c r="L2542" s="25"/>
      <c r="M2542" s="25"/>
      <c r="N2542" s="25"/>
      <c r="O2542" s="26"/>
      <c r="P2542" s="16" t="str">
        <f aca="false">IF(O2542="","",IFERROR(1/(1/(IF(K2542="",INDEX(CONFIG!$F$5:$F$14,MATCH(D2542,CONFIG!$D$5:$D$14,0)),K2542)*IF(M2542="",INDEX(CONFIG!$H$5:$H$14,MATCH(D2542,CONFIG!$D$5:$D$14,0)),M2542))),""))</f>
        <v/>
      </c>
      <c r="Q2542" s="16" t="str">
        <f aca="false">IF(OR(O2542="",P2542=""),"",O2542/P2542)</f>
        <v/>
      </c>
      <c r="R2542" s="16" t="str">
        <f aca="false">IF(Q2542="","",Q2542*0.0980665)</f>
        <v/>
      </c>
      <c r="S2542" s="16" t="str">
        <f aca="false">IF(Q2542="","",IFERROR(Q2542/(1/(1/INDEX(CONFIG!$I$5:$I$14,MATCH(D2542,CONFIG!$D$5:$D$14,0)))),""))</f>
        <v/>
      </c>
      <c r="T2542" s="13"/>
      <c r="U2542" s="13"/>
      <c r="V2542" s="13"/>
      <c r="W2542" s="13"/>
      <c r="X2542" s="22" t="str">
        <f aca="false">IF(Q2542="","",Q2542^2)</f>
        <v/>
      </c>
      <c r="Y2542" s="22" t="str">
        <f aca="false">IF(AND(C2542&lt;&gt;"",C2542=CERTIFICADO!$E$4,OR(CERTIFICADO!$E$5="",B2542=CERTIFICADO!$E$5)),MAX($Y$4:Y2541)+1,"")</f>
        <v/>
      </c>
    </row>
    <row r="2543" customFormat="false" ht="15" hidden="false" customHeight="false" outlineLevel="0" collapsed="false">
      <c r="A2543" s="11" t="str">
        <f aca="false">IF(C2543="","",ROW()-4)</f>
        <v/>
      </c>
      <c r="B2543" s="12"/>
      <c r="C2543" s="13"/>
      <c r="D2543" s="23" t="str">
        <f aca="false">IF(C2543="","",IFERROR(INDEX(LOTES!$D$5:$D$1004,MATCH(C2543,LOTES!$F$5:$F$1004,0)),"¿Lote?"))</f>
        <v/>
      </c>
      <c r="E2543" s="11" t="str">
        <f aca="false">IF(C2543="","",IFERROR(INDEX(LOTES!$C$5:$C$1004,MATCH(C2543,LOTES!$F$5:$F$1004,0)),""))</f>
        <v/>
      </c>
      <c r="F2543" s="24" t="str">
        <f aca="false">IF(C2543="","",IFERROR(INDEX(LOTES!$B$5:$B$1004,MATCH(C2543,LOTES!$F$5:$F$1004,0)),""))</f>
        <v/>
      </c>
      <c r="G2543" s="15" t="str">
        <f aca="false">IF(OR(B2543="",F2543=""),"",B2543-F2543)</f>
        <v/>
      </c>
      <c r="H2543" s="13"/>
      <c r="I2543" s="13"/>
      <c r="J2543" s="13"/>
      <c r="K2543" s="25"/>
      <c r="L2543" s="25"/>
      <c r="M2543" s="25"/>
      <c r="N2543" s="25"/>
      <c r="O2543" s="26"/>
      <c r="P2543" s="16" t="str">
        <f aca="false">IF(O2543="","",IFERROR(1/(1/(IF(K2543="",INDEX(CONFIG!$F$5:$F$14,MATCH(D2543,CONFIG!$D$5:$D$14,0)),K2543)*IF(M2543="",INDEX(CONFIG!$H$5:$H$14,MATCH(D2543,CONFIG!$D$5:$D$14,0)),M2543))),""))</f>
        <v/>
      </c>
      <c r="Q2543" s="16" t="str">
        <f aca="false">IF(OR(O2543="",P2543=""),"",O2543/P2543)</f>
        <v/>
      </c>
      <c r="R2543" s="16" t="str">
        <f aca="false">IF(Q2543="","",Q2543*0.0980665)</f>
        <v/>
      </c>
      <c r="S2543" s="16" t="str">
        <f aca="false">IF(Q2543="","",IFERROR(Q2543/(1/(1/INDEX(CONFIG!$I$5:$I$14,MATCH(D2543,CONFIG!$D$5:$D$14,0)))),""))</f>
        <v/>
      </c>
      <c r="T2543" s="13"/>
      <c r="U2543" s="13"/>
      <c r="V2543" s="13"/>
      <c r="W2543" s="13"/>
      <c r="X2543" s="22" t="str">
        <f aca="false">IF(Q2543="","",Q2543^2)</f>
        <v/>
      </c>
      <c r="Y2543" s="22" t="str">
        <f aca="false">IF(AND(C2543&lt;&gt;"",C2543=CERTIFICADO!$E$4,OR(CERTIFICADO!$E$5="",B2543=CERTIFICADO!$E$5)),MAX($Y$4:Y2542)+1,"")</f>
        <v/>
      </c>
    </row>
    <row r="2544" customFormat="false" ht="15" hidden="false" customHeight="false" outlineLevel="0" collapsed="false">
      <c r="A2544" s="11" t="str">
        <f aca="false">IF(C2544="","",ROW()-4)</f>
        <v/>
      </c>
      <c r="B2544" s="12"/>
      <c r="C2544" s="13"/>
      <c r="D2544" s="23" t="str">
        <f aca="false">IF(C2544="","",IFERROR(INDEX(LOTES!$D$5:$D$1004,MATCH(C2544,LOTES!$F$5:$F$1004,0)),"¿Lote?"))</f>
        <v/>
      </c>
      <c r="E2544" s="11" t="str">
        <f aca="false">IF(C2544="","",IFERROR(INDEX(LOTES!$C$5:$C$1004,MATCH(C2544,LOTES!$F$5:$F$1004,0)),""))</f>
        <v/>
      </c>
      <c r="F2544" s="24" t="str">
        <f aca="false">IF(C2544="","",IFERROR(INDEX(LOTES!$B$5:$B$1004,MATCH(C2544,LOTES!$F$5:$F$1004,0)),""))</f>
        <v/>
      </c>
      <c r="G2544" s="15" t="str">
        <f aca="false">IF(OR(B2544="",F2544=""),"",B2544-F2544)</f>
        <v/>
      </c>
      <c r="H2544" s="13"/>
      <c r="I2544" s="13"/>
      <c r="J2544" s="13"/>
      <c r="K2544" s="25"/>
      <c r="L2544" s="25"/>
      <c r="M2544" s="25"/>
      <c r="N2544" s="25"/>
      <c r="O2544" s="26"/>
      <c r="P2544" s="16" t="str">
        <f aca="false">IF(O2544="","",IFERROR(1/(1/(IF(K2544="",INDEX(CONFIG!$F$5:$F$14,MATCH(D2544,CONFIG!$D$5:$D$14,0)),K2544)*IF(M2544="",INDEX(CONFIG!$H$5:$H$14,MATCH(D2544,CONFIG!$D$5:$D$14,0)),M2544))),""))</f>
        <v/>
      </c>
      <c r="Q2544" s="16" t="str">
        <f aca="false">IF(OR(O2544="",P2544=""),"",O2544/P2544)</f>
        <v/>
      </c>
      <c r="R2544" s="16" t="str">
        <f aca="false">IF(Q2544="","",Q2544*0.0980665)</f>
        <v/>
      </c>
      <c r="S2544" s="16" t="str">
        <f aca="false">IF(Q2544="","",IFERROR(Q2544/(1/(1/INDEX(CONFIG!$I$5:$I$14,MATCH(D2544,CONFIG!$D$5:$D$14,0)))),""))</f>
        <v/>
      </c>
      <c r="T2544" s="13"/>
      <c r="U2544" s="13"/>
      <c r="V2544" s="13"/>
      <c r="W2544" s="13"/>
      <c r="X2544" s="22" t="str">
        <f aca="false">IF(Q2544="","",Q2544^2)</f>
        <v/>
      </c>
      <c r="Y2544" s="22" t="str">
        <f aca="false">IF(AND(C2544&lt;&gt;"",C2544=CERTIFICADO!$E$4,OR(CERTIFICADO!$E$5="",B2544=CERTIFICADO!$E$5)),MAX($Y$4:Y2543)+1,"")</f>
        <v/>
      </c>
    </row>
    <row r="2545" customFormat="false" ht="15" hidden="false" customHeight="false" outlineLevel="0" collapsed="false">
      <c r="A2545" s="11" t="str">
        <f aca="false">IF(C2545="","",ROW()-4)</f>
        <v/>
      </c>
      <c r="B2545" s="12"/>
      <c r="C2545" s="13"/>
      <c r="D2545" s="23" t="str">
        <f aca="false">IF(C2545="","",IFERROR(INDEX(LOTES!$D$5:$D$1004,MATCH(C2545,LOTES!$F$5:$F$1004,0)),"¿Lote?"))</f>
        <v/>
      </c>
      <c r="E2545" s="11" t="str">
        <f aca="false">IF(C2545="","",IFERROR(INDEX(LOTES!$C$5:$C$1004,MATCH(C2545,LOTES!$F$5:$F$1004,0)),""))</f>
        <v/>
      </c>
      <c r="F2545" s="24" t="str">
        <f aca="false">IF(C2545="","",IFERROR(INDEX(LOTES!$B$5:$B$1004,MATCH(C2545,LOTES!$F$5:$F$1004,0)),""))</f>
        <v/>
      </c>
      <c r="G2545" s="15" t="str">
        <f aca="false">IF(OR(B2545="",F2545=""),"",B2545-F2545)</f>
        <v/>
      </c>
      <c r="H2545" s="13"/>
      <c r="I2545" s="13"/>
      <c r="J2545" s="13"/>
      <c r="K2545" s="25"/>
      <c r="L2545" s="25"/>
      <c r="M2545" s="25"/>
      <c r="N2545" s="25"/>
      <c r="O2545" s="26"/>
      <c r="P2545" s="16" t="str">
        <f aca="false">IF(O2545="","",IFERROR(1/(1/(IF(K2545="",INDEX(CONFIG!$F$5:$F$14,MATCH(D2545,CONFIG!$D$5:$D$14,0)),K2545)*IF(M2545="",INDEX(CONFIG!$H$5:$H$14,MATCH(D2545,CONFIG!$D$5:$D$14,0)),M2545))),""))</f>
        <v/>
      </c>
      <c r="Q2545" s="16" t="str">
        <f aca="false">IF(OR(O2545="",P2545=""),"",O2545/P2545)</f>
        <v/>
      </c>
      <c r="R2545" s="16" t="str">
        <f aca="false">IF(Q2545="","",Q2545*0.0980665)</f>
        <v/>
      </c>
      <c r="S2545" s="16" t="str">
        <f aca="false">IF(Q2545="","",IFERROR(Q2545/(1/(1/INDEX(CONFIG!$I$5:$I$14,MATCH(D2545,CONFIG!$D$5:$D$14,0)))),""))</f>
        <v/>
      </c>
      <c r="T2545" s="13"/>
      <c r="U2545" s="13"/>
      <c r="V2545" s="13"/>
      <c r="W2545" s="13"/>
      <c r="X2545" s="22" t="str">
        <f aca="false">IF(Q2545="","",Q2545^2)</f>
        <v/>
      </c>
      <c r="Y2545" s="22" t="str">
        <f aca="false">IF(AND(C2545&lt;&gt;"",C2545=CERTIFICADO!$E$4,OR(CERTIFICADO!$E$5="",B2545=CERTIFICADO!$E$5)),MAX($Y$4:Y2544)+1,"")</f>
        <v/>
      </c>
    </row>
    <row r="2546" customFormat="false" ht="15" hidden="false" customHeight="false" outlineLevel="0" collapsed="false">
      <c r="A2546" s="11" t="str">
        <f aca="false">IF(C2546="","",ROW()-4)</f>
        <v/>
      </c>
      <c r="B2546" s="12"/>
      <c r="C2546" s="13"/>
      <c r="D2546" s="23" t="str">
        <f aca="false">IF(C2546="","",IFERROR(INDEX(LOTES!$D$5:$D$1004,MATCH(C2546,LOTES!$F$5:$F$1004,0)),"¿Lote?"))</f>
        <v/>
      </c>
      <c r="E2546" s="11" t="str">
        <f aca="false">IF(C2546="","",IFERROR(INDEX(LOTES!$C$5:$C$1004,MATCH(C2546,LOTES!$F$5:$F$1004,0)),""))</f>
        <v/>
      </c>
      <c r="F2546" s="24" t="str">
        <f aca="false">IF(C2546="","",IFERROR(INDEX(LOTES!$B$5:$B$1004,MATCH(C2546,LOTES!$F$5:$F$1004,0)),""))</f>
        <v/>
      </c>
      <c r="G2546" s="15" t="str">
        <f aca="false">IF(OR(B2546="",F2546=""),"",B2546-F2546)</f>
        <v/>
      </c>
      <c r="H2546" s="13"/>
      <c r="I2546" s="13"/>
      <c r="J2546" s="13"/>
      <c r="K2546" s="25"/>
      <c r="L2546" s="25"/>
      <c r="M2546" s="25"/>
      <c r="N2546" s="25"/>
      <c r="O2546" s="26"/>
      <c r="P2546" s="16" t="str">
        <f aca="false">IF(O2546="","",IFERROR(1/(1/(IF(K2546="",INDEX(CONFIG!$F$5:$F$14,MATCH(D2546,CONFIG!$D$5:$D$14,0)),K2546)*IF(M2546="",INDEX(CONFIG!$H$5:$H$14,MATCH(D2546,CONFIG!$D$5:$D$14,0)),M2546))),""))</f>
        <v/>
      </c>
      <c r="Q2546" s="16" t="str">
        <f aca="false">IF(OR(O2546="",P2546=""),"",O2546/P2546)</f>
        <v/>
      </c>
      <c r="R2546" s="16" t="str">
        <f aca="false">IF(Q2546="","",Q2546*0.0980665)</f>
        <v/>
      </c>
      <c r="S2546" s="16" t="str">
        <f aca="false">IF(Q2546="","",IFERROR(Q2546/(1/(1/INDEX(CONFIG!$I$5:$I$14,MATCH(D2546,CONFIG!$D$5:$D$14,0)))),""))</f>
        <v/>
      </c>
      <c r="T2546" s="13"/>
      <c r="U2546" s="13"/>
      <c r="V2546" s="13"/>
      <c r="W2546" s="13"/>
      <c r="X2546" s="22" t="str">
        <f aca="false">IF(Q2546="","",Q2546^2)</f>
        <v/>
      </c>
      <c r="Y2546" s="22" t="str">
        <f aca="false">IF(AND(C2546&lt;&gt;"",C2546=CERTIFICADO!$E$4,OR(CERTIFICADO!$E$5="",B2546=CERTIFICADO!$E$5)),MAX($Y$4:Y2545)+1,"")</f>
        <v/>
      </c>
    </row>
    <row r="2547" customFormat="false" ht="15" hidden="false" customHeight="false" outlineLevel="0" collapsed="false">
      <c r="A2547" s="11" t="str">
        <f aca="false">IF(C2547="","",ROW()-4)</f>
        <v/>
      </c>
      <c r="B2547" s="12"/>
      <c r="C2547" s="13"/>
      <c r="D2547" s="23" t="str">
        <f aca="false">IF(C2547="","",IFERROR(INDEX(LOTES!$D$5:$D$1004,MATCH(C2547,LOTES!$F$5:$F$1004,0)),"¿Lote?"))</f>
        <v/>
      </c>
      <c r="E2547" s="11" t="str">
        <f aca="false">IF(C2547="","",IFERROR(INDEX(LOTES!$C$5:$C$1004,MATCH(C2547,LOTES!$F$5:$F$1004,0)),""))</f>
        <v/>
      </c>
      <c r="F2547" s="24" t="str">
        <f aca="false">IF(C2547="","",IFERROR(INDEX(LOTES!$B$5:$B$1004,MATCH(C2547,LOTES!$F$5:$F$1004,0)),""))</f>
        <v/>
      </c>
      <c r="G2547" s="15" t="str">
        <f aca="false">IF(OR(B2547="",F2547=""),"",B2547-F2547)</f>
        <v/>
      </c>
      <c r="H2547" s="13"/>
      <c r="I2547" s="13"/>
      <c r="J2547" s="13"/>
      <c r="K2547" s="25"/>
      <c r="L2547" s="25"/>
      <c r="M2547" s="25"/>
      <c r="N2547" s="25"/>
      <c r="O2547" s="26"/>
      <c r="P2547" s="16" t="str">
        <f aca="false">IF(O2547="","",IFERROR(1/(1/(IF(K2547="",INDEX(CONFIG!$F$5:$F$14,MATCH(D2547,CONFIG!$D$5:$D$14,0)),K2547)*IF(M2547="",INDEX(CONFIG!$H$5:$H$14,MATCH(D2547,CONFIG!$D$5:$D$14,0)),M2547))),""))</f>
        <v/>
      </c>
      <c r="Q2547" s="16" t="str">
        <f aca="false">IF(OR(O2547="",P2547=""),"",O2547/P2547)</f>
        <v/>
      </c>
      <c r="R2547" s="16" t="str">
        <f aca="false">IF(Q2547="","",Q2547*0.0980665)</f>
        <v/>
      </c>
      <c r="S2547" s="16" t="str">
        <f aca="false">IF(Q2547="","",IFERROR(Q2547/(1/(1/INDEX(CONFIG!$I$5:$I$14,MATCH(D2547,CONFIG!$D$5:$D$14,0)))),""))</f>
        <v/>
      </c>
      <c r="T2547" s="13"/>
      <c r="U2547" s="13"/>
      <c r="V2547" s="13"/>
      <c r="W2547" s="13"/>
      <c r="X2547" s="22" t="str">
        <f aca="false">IF(Q2547="","",Q2547^2)</f>
        <v/>
      </c>
      <c r="Y2547" s="22" t="str">
        <f aca="false">IF(AND(C2547&lt;&gt;"",C2547=CERTIFICADO!$E$4,OR(CERTIFICADO!$E$5="",B2547=CERTIFICADO!$E$5)),MAX($Y$4:Y2546)+1,"")</f>
        <v/>
      </c>
    </row>
    <row r="2548" customFormat="false" ht="15" hidden="false" customHeight="false" outlineLevel="0" collapsed="false">
      <c r="A2548" s="11" t="str">
        <f aca="false">IF(C2548="","",ROW()-4)</f>
        <v/>
      </c>
      <c r="B2548" s="12"/>
      <c r="C2548" s="13"/>
      <c r="D2548" s="23" t="str">
        <f aca="false">IF(C2548="","",IFERROR(INDEX(LOTES!$D$5:$D$1004,MATCH(C2548,LOTES!$F$5:$F$1004,0)),"¿Lote?"))</f>
        <v/>
      </c>
      <c r="E2548" s="11" t="str">
        <f aca="false">IF(C2548="","",IFERROR(INDEX(LOTES!$C$5:$C$1004,MATCH(C2548,LOTES!$F$5:$F$1004,0)),""))</f>
        <v/>
      </c>
      <c r="F2548" s="24" t="str">
        <f aca="false">IF(C2548="","",IFERROR(INDEX(LOTES!$B$5:$B$1004,MATCH(C2548,LOTES!$F$5:$F$1004,0)),""))</f>
        <v/>
      </c>
      <c r="G2548" s="15" t="str">
        <f aca="false">IF(OR(B2548="",F2548=""),"",B2548-F2548)</f>
        <v/>
      </c>
      <c r="H2548" s="13"/>
      <c r="I2548" s="13"/>
      <c r="J2548" s="13"/>
      <c r="K2548" s="25"/>
      <c r="L2548" s="25"/>
      <c r="M2548" s="25"/>
      <c r="N2548" s="25"/>
      <c r="O2548" s="26"/>
      <c r="P2548" s="16" t="str">
        <f aca="false">IF(O2548="","",IFERROR(1/(1/(IF(K2548="",INDEX(CONFIG!$F$5:$F$14,MATCH(D2548,CONFIG!$D$5:$D$14,0)),K2548)*IF(M2548="",INDEX(CONFIG!$H$5:$H$14,MATCH(D2548,CONFIG!$D$5:$D$14,0)),M2548))),""))</f>
        <v/>
      </c>
      <c r="Q2548" s="16" t="str">
        <f aca="false">IF(OR(O2548="",P2548=""),"",O2548/P2548)</f>
        <v/>
      </c>
      <c r="R2548" s="16" t="str">
        <f aca="false">IF(Q2548="","",Q2548*0.0980665)</f>
        <v/>
      </c>
      <c r="S2548" s="16" t="str">
        <f aca="false">IF(Q2548="","",IFERROR(Q2548/(1/(1/INDEX(CONFIG!$I$5:$I$14,MATCH(D2548,CONFIG!$D$5:$D$14,0)))),""))</f>
        <v/>
      </c>
      <c r="T2548" s="13"/>
      <c r="U2548" s="13"/>
      <c r="V2548" s="13"/>
      <c r="W2548" s="13"/>
      <c r="X2548" s="22" t="str">
        <f aca="false">IF(Q2548="","",Q2548^2)</f>
        <v/>
      </c>
      <c r="Y2548" s="22" t="str">
        <f aca="false">IF(AND(C2548&lt;&gt;"",C2548=CERTIFICADO!$E$4,OR(CERTIFICADO!$E$5="",B2548=CERTIFICADO!$E$5)),MAX($Y$4:Y2547)+1,"")</f>
        <v/>
      </c>
    </row>
    <row r="2549" customFormat="false" ht="15" hidden="false" customHeight="false" outlineLevel="0" collapsed="false">
      <c r="A2549" s="11" t="str">
        <f aca="false">IF(C2549="","",ROW()-4)</f>
        <v/>
      </c>
      <c r="B2549" s="12"/>
      <c r="C2549" s="13"/>
      <c r="D2549" s="23" t="str">
        <f aca="false">IF(C2549="","",IFERROR(INDEX(LOTES!$D$5:$D$1004,MATCH(C2549,LOTES!$F$5:$F$1004,0)),"¿Lote?"))</f>
        <v/>
      </c>
      <c r="E2549" s="11" t="str">
        <f aca="false">IF(C2549="","",IFERROR(INDEX(LOTES!$C$5:$C$1004,MATCH(C2549,LOTES!$F$5:$F$1004,0)),""))</f>
        <v/>
      </c>
      <c r="F2549" s="24" t="str">
        <f aca="false">IF(C2549="","",IFERROR(INDEX(LOTES!$B$5:$B$1004,MATCH(C2549,LOTES!$F$5:$F$1004,0)),""))</f>
        <v/>
      </c>
      <c r="G2549" s="15" t="str">
        <f aca="false">IF(OR(B2549="",F2549=""),"",B2549-F2549)</f>
        <v/>
      </c>
      <c r="H2549" s="13"/>
      <c r="I2549" s="13"/>
      <c r="J2549" s="13"/>
      <c r="K2549" s="25"/>
      <c r="L2549" s="25"/>
      <c r="M2549" s="25"/>
      <c r="N2549" s="25"/>
      <c r="O2549" s="26"/>
      <c r="P2549" s="16" t="str">
        <f aca="false">IF(O2549="","",IFERROR(1/(1/(IF(K2549="",INDEX(CONFIG!$F$5:$F$14,MATCH(D2549,CONFIG!$D$5:$D$14,0)),K2549)*IF(M2549="",INDEX(CONFIG!$H$5:$H$14,MATCH(D2549,CONFIG!$D$5:$D$14,0)),M2549))),""))</f>
        <v/>
      </c>
      <c r="Q2549" s="16" t="str">
        <f aca="false">IF(OR(O2549="",P2549=""),"",O2549/P2549)</f>
        <v/>
      </c>
      <c r="R2549" s="16" t="str">
        <f aca="false">IF(Q2549="","",Q2549*0.0980665)</f>
        <v/>
      </c>
      <c r="S2549" s="16" t="str">
        <f aca="false">IF(Q2549="","",IFERROR(Q2549/(1/(1/INDEX(CONFIG!$I$5:$I$14,MATCH(D2549,CONFIG!$D$5:$D$14,0)))),""))</f>
        <v/>
      </c>
      <c r="T2549" s="13"/>
      <c r="U2549" s="13"/>
      <c r="V2549" s="13"/>
      <c r="W2549" s="13"/>
      <c r="X2549" s="22" t="str">
        <f aca="false">IF(Q2549="","",Q2549^2)</f>
        <v/>
      </c>
      <c r="Y2549" s="22" t="str">
        <f aca="false">IF(AND(C2549&lt;&gt;"",C2549=CERTIFICADO!$E$4,OR(CERTIFICADO!$E$5="",B2549=CERTIFICADO!$E$5)),MAX($Y$4:Y2548)+1,"")</f>
        <v/>
      </c>
    </row>
    <row r="2550" customFormat="false" ht="15" hidden="false" customHeight="false" outlineLevel="0" collapsed="false">
      <c r="A2550" s="11" t="str">
        <f aca="false">IF(C2550="","",ROW()-4)</f>
        <v/>
      </c>
      <c r="B2550" s="12"/>
      <c r="C2550" s="13"/>
      <c r="D2550" s="23" t="str">
        <f aca="false">IF(C2550="","",IFERROR(INDEX(LOTES!$D$5:$D$1004,MATCH(C2550,LOTES!$F$5:$F$1004,0)),"¿Lote?"))</f>
        <v/>
      </c>
      <c r="E2550" s="11" t="str">
        <f aca="false">IF(C2550="","",IFERROR(INDEX(LOTES!$C$5:$C$1004,MATCH(C2550,LOTES!$F$5:$F$1004,0)),""))</f>
        <v/>
      </c>
      <c r="F2550" s="24" t="str">
        <f aca="false">IF(C2550="","",IFERROR(INDEX(LOTES!$B$5:$B$1004,MATCH(C2550,LOTES!$F$5:$F$1004,0)),""))</f>
        <v/>
      </c>
      <c r="G2550" s="15" t="str">
        <f aca="false">IF(OR(B2550="",F2550=""),"",B2550-F2550)</f>
        <v/>
      </c>
      <c r="H2550" s="13"/>
      <c r="I2550" s="13"/>
      <c r="J2550" s="13"/>
      <c r="K2550" s="25"/>
      <c r="L2550" s="25"/>
      <c r="M2550" s="25"/>
      <c r="N2550" s="25"/>
      <c r="O2550" s="26"/>
      <c r="P2550" s="16" t="str">
        <f aca="false">IF(O2550="","",IFERROR(1/(1/(IF(K2550="",INDEX(CONFIG!$F$5:$F$14,MATCH(D2550,CONFIG!$D$5:$D$14,0)),K2550)*IF(M2550="",INDEX(CONFIG!$H$5:$H$14,MATCH(D2550,CONFIG!$D$5:$D$14,0)),M2550))),""))</f>
        <v/>
      </c>
      <c r="Q2550" s="16" t="str">
        <f aca="false">IF(OR(O2550="",P2550=""),"",O2550/P2550)</f>
        <v/>
      </c>
      <c r="R2550" s="16" t="str">
        <f aca="false">IF(Q2550="","",Q2550*0.0980665)</f>
        <v/>
      </c>
      <c r="S2550" s="16" t="str">
        <f aca="false">IF(Q2550="","",IFERROR(Q2550/(1/(1/INDEX(CONFIG!$I$5:$I$14,MATCH(D2550,CONFIG!$D$5:$D$14,0)))),""))</f>
        <v/>
      </c>
      <c r="T2550" s="13"/>
      <c r="U2550" s="13"/>
      <c r="V2550" s="13"/>
      <c r="W2550" s="13"/>
      <c r="X2550" s="22" t="str">
        <f aca="false">IF(Q2550="","",Q2550^2)</f>
        <v/>
      </c>
      <c r="Y2550" s="22" t="str">
        <f aca="false">IF(AND(C2550&lt;&gt;"",C2550=CERTIFICADO!$E$4,OR(CERTIFICADO!$E$5="",B2550=CERTIFICADO!$E$5)),MAX($Y$4:Y2549)+1,"")</f>
        <v/>
      </c>
    </row>
    <row r="2551" customFormat="false" ht="15" hidden="false" customHeight="false" outlineLevel="0" collapsed="false">
      <c r="A2551" s="11" t="str">
        <f aca="false">IF(C2551="","",ROW()-4)</f>
        <v/>
      </c>
      <c r="B2551" s="12"/>
      <c r="C2551" s="13"/>
      <c r="D2551" s="23" t="str">
        <f aca="false">IF(C2551="","",IFERROR(INDEX(LOTES!$D$5:$D$1004,MATCH(C2551,LOTES!$F$5:$F$1004,0)),"¿Lote?"))</f>
        <v/>
      </c>
      <c r="E2551" s="11" t="str">
        <f aca="false">IF(C2551="","",IFERROR(INDEX(LOTES!$C$5:$C$1004,MATCH(C2551,LOTES!$F$5:$F$1004,0)),""))</f>
        <v/>
      </c>
      <c r="F2551" s="24" t="str">
        <f aca="false">IF(C2551="","",IFERROR(INDEX(LOTES!$B$5:$B$1004,MATCH(C2551,LOTES!$F$5:$F$1004,0)),""))</f>
        <v/>
      </c>
      <c r="G2551" s="15" t="str">
        <f aca="false">IF(OR(B2551="",F2551=""),"",B2551-F2551)</f>
        <v/>
      </c>
      <c r="H2551" s="13"/>
      <c r="I2551" s="13"/>
      <c r="J2551" s="13"/>
      <c r="K2551" s="25"/>
      <c r="L2551" s="25"/>
      <c r="M2551" s="25"/>
      <c r="N2551" s="25"/>
      <c r="O2551" s="26"/>
      <c r="P2551" s="16" t="str">
        <f aca="false">IF(O2551="","",IFERROR(1/(1/(IF(K2551="",INDEX(CONFIG!$F$5:$F$14,MATCH(D2551,CONFIG!$D$5:$D$14,0)),K2551)*IF(M2551="",INDEX(CONFIG!$H$5:$H$14,MATCH(D2551,CONFIG!$D$5:$D$14,0)),M2551))),""))</f>
        <v/>
      </c>
      <c r="Q2551" s="16" t="str">
        <f aca="false">IF(OR(O2551="",P2551=""),"",O2551/P2551)</f>
        <v/>
      </c>
      <c r="R2551" s="16" t="str">
        <f aca="false">IF(Q2551="","",Q2551*0.0980665)</f>
        <v/>
      </c>
      <c r="S2551" s="16" t="str">
        <f aca="false">IF(Q2551="","",IFERROR(Q2551/(1/(1/INDEX(CONFIG!$I$5:$I$14,MATCH(D2551,CONFIG!$D$5:$D$14,0)))),""))</f>
        <v/>
      </c>
      <c r="T2551" s="13"/>
      <c r="U2551" s="13"/>
      <c r="V2551" s="13"/>
      <c r="W2551" s="13"/>
      <c r="X2551" s="22" t="str">
        <f aca="false">IF(Q2551="","",Q2551^2)</f>
        <v/>
      </c>
      <c r="Y2551" s="22" t="str">
        <f aca="false">IF(AND(C2551&lt;&gt;"",C2551=CERTIFICADO!$E$4,OR(CERTIFICADO!$E$5="",B2551=CERTIFICADO!$E$5)),MAX($Y$4:Y2550)+1,"")</f>
        <v/>
      </c>
    </row>
    <row r="2552" customFormat="false" ht="15" hidden="false" customHeight="false" outlineLevel="0" collapsed="false">
      <c r="A2552" s="11" t="str">
        <f aca="false">IF(C2552="","",ROW()-4)</f>
        <v/>
      </c>
      <c r="B2552" s="12"/>
      <c r="C2552" s="13"/>
      <c r="D2552" s="23" t="str">
        <f aca="false">IF(C2552="","",IFERROR(INDEX(LOTES!$D$5:$D$1004,MATCH(C2552,LOTES!$F$5:$F$1004,0)),"¿Lote?"))</f>
        <v/>
      </c>
      <c r="E2552" s="11" t="str">
        <f aca="false">IF(C2552="","",IFERROR(INDEX(LOTES!$C$5:$C$1004,MATCH(C2552,LOTES!$F$5:$F$1004,0)),""))</f>
        <v/>
      </c>
      <c r="F2552" s="24" t="str">
        <f aca="false">IF(C2552="","",IFERROR(INDEX(LOTES!$B$5:$B$1004,MATCH(C2552,LOTES!$F$5:$F$1004,0)),""))</f>
        <v/>
      </c>
      <c r="G2552" s="15" t="str">
        <f aca="false">IF(OR(B2552="",F2552=""),"",B2552-F2552)</f>
        <v/>
      </c>
      <c r="H2552" s="13"/>
      <c r="I2552" s="13"/>
      <c r="J2552" s="13"/>
      <c r="K2552" s="25"/>
      <c r="L2552" s="25"/>
      <c r="M2552" s="25"/>
      <c r="N2552" s="25"/>
      <c r="O2552" s="26"/>
      <c r="P2552" s="16" t="str">
        <f aca="false">IF(O2552="","",IFERROR(1/(1/(IF(K2552="",INDEX(CONFIG!$F$5:$F$14,MATCH(D2552,CONFIG!$D$5:$D$14,0)),K2552)*IF(M2552="",INDEX(CONFIG!$H$5:$H$14,MATCH(D2552,CONFIG!$D$5:$D$14,0)),M2552))),""))</f>
        <v/>
      </c>
      <c r="Q2552" s="16" t="str">
        <f aca="false">IF(OR(O2552="",P2552=""),"",O2552/P2552)</f>
        <v/>
      </c>
      <c r="R2552" s="16" t="str">
        <f aca="false">IF(Q2552="","",Q2552*0.0980665)</f>
        <v/>
      </c>
      <c r="S2552" s="16" t="str">
        <f aca="false">IF(Q2552="","",IFERROR(Q2552/(1/(1/INDEX(CONFIG!$I$5:$I$14,MATCH(D2552,CONFIG!$D$5:$D$14,0)))),""))</f>
        <v/>
      </c>
      <c r="T2552" s="13"/>
      <c r="U2552" s="13"/>
      <c r="V2552" s="13"/>
      <c r="W2552" s="13"/>
      <c r="X2552" s="22" t="str">
        <f aca="false">IF(Q2552="","",Q2552^2)</f>
        <v/>
      </c>
      <c r="Y2552" s="22" t="str">
        <f aca="false">IF(AND(C2552&lt;&gt;"",C2552=CERTIFICADO!$E$4,OR(CERTIFICADO!$E$5="",B2552=CERTIFICADO!$E$5)),MAX($Y$4:Y2551)+1,"")</f>
        <v/>
      </c>
    </row>
    <row r="2553" customFormat="false" ht="15" hidden="false" customHeight="false" outlineLevel="0" collapsed="false">
      <c r="A2553" s="11" t="str">
        <f aca="false">IF(C2553="","",ROW()-4)</f>
        <v/>
      </c>
      <c r="B2553" s="12"/>
      <c r="C2553" s="13"/>
      <c r="D2553" s="23" t="str">
        <f aca="false">IF(C2553="","",IFERROR(INDEX(LOTES!$D$5:$D$1004,MATCH(C2553,LOTES!$F$5:$F$1004,0)),"¿Lote?"))</f>
        <v/>
      </c>
      <c r="E2553" s="11" t="str">
        <f aca="false">IF(C2553="","",IFERROR(INDEX(LOTES!$C$5:$C$1004,MATCH(C2553,LOTES!$F$5:$F$1004,0)),""))</f>
        <v/>
      </c>
      <c r="F2553" s="24" t="str">
        <f aca="false">IF(C2553="","",IFERROR(INDEX(LOTES!$B$5:$B$1004,MATCH(C2553,LOTES!$F$5:$F$1004,0)),""))</f>
        <v/>
      </c>
      <c r="G2553" s="15" t="str">
        <f aca="false">IF(OR(B2553="",F2553=""),"",B2553-F2553)</f>
        <v/>
      </c>
      <c r="H2553" s="13"/>
      <c r="I2553" s="13"/>
      <c r="J2553" s="13"/>
      <c r="K2553" s="25"/>
      <c r="L2553" s="25"/>
      <c r="M2553" s="25"/>
      <c r="N2553" s="25"/>
      <c r="O2553" s="26"/>
      <c r="P2553" s="16" t="str">
        <f aca="false">IF(O2553="","",IFERROR(1/(1/(IF(K2553="",INDEX(CONFIG!$F$5:$F$14,MATCH(D2553,CONFIG!$D$5:$D$14,0)),K2553)*IF(M2553="",INDEX(CONFIG!$H$5:$H$14,MATCH(D2553,CONFIG!$D$5:$D$14,0)),M2553))),""))</f>
        <v/>
      </c>
      <c r="Q2553" s="16" t="str">
        <f aca="false">IF(OR(O2553="",P2553=""),"",O2553/P2553)</f>
        <v/>
      </c>
      <c r="R2553" s="16" t="str">
        <f aca="false">IF(Q2553="","",Q2553*0.0980665)</f>
        <v/>
      </c>
      <c r="S2553" s="16" t="str">
        <f aca="false">IF(Q2553="","",IFERROR(Q2553/(1/(1/INDEX(CONFIG!$I$5:$I$14,MATCH(D2553,CONFIG!$D$5:$D$14,0)))),""))</f>
        <v/>
      </c>
      <c r="T2553" s="13"/>
      <c r="U2553" s="13"/>
      <c r="V2553" s="13"/>
      <c r="W2553" s="13"/>
      <c r="X2553" s="22" t="str">
        <f aca="false">IF(Q2553="","",Q2553^2)</f>
        <v/>
      </c>
      <c r="Y2553" s="22" t="str">
        <f aca="false">IF(AND(C2553&lt;&gt;"",C2553=CERTIFICADO!$E$4,OR(CERTIFICADO!$E$5="",B2553=CERTIFICADO!$E$5)),MAX($Y$4:Y2552)+1,"")</f>
        <v/>
      </c>
    </row>
    <row r="2554" customFormat="false" ht="15" hidden="false" customHeight="false" outlineLevel="0" collapsed="false">
      <c r="A2554" s="11" t="str">
        <f aca="false">IF(C2554="","",ROW()-4)</f>
        <v/>
      </c>
      <c r="B2554" s="12"/>
      <c r="C2554" s="13"/>
      <c r="D2554" s="23" t="str">
        <f aca="false">IF(C2554="","",IFERROR(INDEX(LOTES!$D$5:$D$1004,MATCH(C2554,LOTES!$F$5:$F$1004,0)),"¿Lote?"))</f>
        <v/>
      </c>
      <c r="E2554" s="11" t="str">
        <f aca="false">IF(C2554="","",IFERROR(INDEX(LOTES!$C$5:$C$1004,MATCH(C2554,LOTES!$F$5:$F$1004,0)),""))</f>
        <v/>
      </c>
      <c r="F2554" s="24" t="str">
        <f aca="false">IF(C2554="","",IFERROR(INDEX(LOTES!$B$5:$B$1004,MATCH(C2554,LOTES!$F$5:$F$1004,0)),""))</f>
        <v/>
      </c>
      <c r="G2554" s="15" t="str">
        <f aca="false">IF(OR(B2554="",F2554=""),"",B2554-F2554)</f>
        <v/>
      </c>
      <c r="H2554" s="13"/>
      <c r="I2554" s="13"/>
      <c r="J2554" s="13"/>
      <c r="K2554" s="25"/>
      <c r="L2554" s="25"/>
      <c r="M2554" s="25"/>
      <c r="N2554" s="25"/>
      <c r="O2554" s="26"/>
      <c r="P2554" s="16" t="str">
        <f aca="false">IF(O2554="","",IFERROR(1/(1/(IF(K2554="",INDEX(CONFIG!$F$5:$F$14,MATCH(D2554,CONFIG!$D$5:$D$14,0)),K2554)*IF(M2554="",INDEX(CONFIG!$H$5:$H$14,MATCH(D2554,CONFIG!$D$5:$D$14,0)),M2554))),""))</f>
        <v/>
      </c>
      <c r="Q2554" s="16" t="str">
        <f aca="false">IF(OR(O2554="",P2554=""),"",O2554/P2554)</f>
        <v/>
      </c>
      <c r="R2554" s="16" t="str">
        <f aca="false">IF(Q2554="","",Q2554*0.0980665)</f>
        <v/>
      </c>
      <c r="S2554" s="16" t="str">
        <f aca="false">IF(Q2554="","",IFERROR(Q2554/(1/(1/INDEX(CONFIG!$I$5:$I$14,MATCH(D2554,CONFIG!$D$5:$D$14,0)))),""))</f>
        <v/>
      </c>
      <c r="T2554" s="13"/>
      <c r="U2554" s="13"/>
      <c r="V2554" s="13"/>
      <c r="W2554" s="13"/>
      <c r="X2554" s="22" t="str">
        <f aca="false">IF(Q2554="","",Q2554^2)</f>
        <v/>
      </c>
      <c r="Y2554" s="22" t="str">
        <f aca="false">IF(AND(C2554&lt;&gt;"",C2554=CERTIFICADO!$E$4,OR(CERTIFICADO!$E$5="",B2554=CERTIFICADO!$E$5)),MAX($Y$4:Y2553)+1,"")</f>
        <v/>
      </c>
    </row>
    <row r="2555" customFormat="false" ht="15" hidden="false" customHeight="false" outlineLevel="0" collapsed="false">
      <c r="A2555" s="11" t="str">
        <f aca="false">IF(C2555="","",ROW()-4)</f>
        <v/>
      </c>
      <c r="B2555" s="12"/>
      <c r="C2555" s="13"/>
      <c r="D2555" s="23" t="str">
        <f aca="false">IF(C2555="","",IFERROR(INDEX(LOTES!$D$5:$D$1004,MATCH(C2555,LOTES!$F$5:$F$1004,0)),"¿Lote?"))</f>
        <v/>
      </c>
      <c r="E2555" s="11" t="str">
        <f aca="false">IF(C2555="","",IFERROR(INDEX(LOTES!$C$5:$C$1004,MATCH(C2555,LOTES!$F$5:$F$1004,0)),""))</f>
        <v/>
      </c>
      <c r="F2555" s="24" t="str">
        <f aca="false">IF(C2555="","",IFERROR(INDEX(LOTES!$B$5:$B$1004,MATCH(C2555,LOTES!$F$5:$F$1004,0)),""))</f>
        <v/>
      </c>
      <c r="G2555" s="15" t="str">
        <f aca="false">IF(OR(B2555="",F2555=""),"",B2555-F2555)</f>
        <v/>
      </c>
      <c r="H2555" s="13"/>
      <c r="I2555" s="13"/>
      <c r="J2555" s="13"/>
      <c r="K2555" s="25"/>
      <c r="L2555" s="25"/>
      <c r="M2555" s="25"/>
      <c r="N2555" s="25"/>
      <c r="O2555" s="26"/>
      <c r="P2555" s="16" t="str">
        <f aca="false">IF(O2555="","",IFERROR(1/(1/(IF(K2555="",INDEX(CONFIG!$F$5:$F$14,MATCH(D2555,CONFIG!$D$5:$D$14,0)),K2555)*IF(M2555="",INDEX(CONFIG!$H$5:$H$14,MATCH(D2555,CONFIG!$D$5:$D$14,0)),M2555))),""))</f>
        <v/>
      </c>
      <c r="Q2555" s="16" t="str">
        <f aca="false">IF(OR(O2555="",P2555=""),"",O2555/P2555)</f>
        <v/>
      </c>
      <c r="R2555" s="16" t="str">
        <f aca="false">IF(Q2555="","",Q2555*0.0980665)</f>
        <v/>
      </c>
      <c r="S2555" s="16" t="str">
        <f aca="false">IF(Q2555="","",IFERROR(Q2555/(1/(1/INDEX(CONFIG!$I$5:$I$14,MATCH(D2555,CONFIG!$D$5:$D$14,0)))),""))</f>
        <v/>
      </c>
      <c r="T2555" s="13"/>
      <c r="U2555" s="13"/>
      <c r="V2555" s="13"/>
      <c r="W2555" s="13"/>
      <c r="X2555" s="22" t="str">
        <f aca="false">IF(Q2555="","",Q2555^2)</f>
        <v/>
      </c>
      <c r="Y2555" s="22" t="str">
        <f aca="false">IF(AND(C2555&lt;&gt;"",C2555=CERTIFICADO!$E$4,OR(CERTIFICADO!$E$5="",B2555=CERTIFICADO!$E$5)),MAX($Y$4:Y2554)+1,"")</f>
        <v/>
      </c>
    </row>
    <row r="2556" customFormat="false" ht="15" hidden="false" customHeight="false" outlineLevel="0" collapsed="false">
      <c r="A2556" s="11" t="str">
        <f aca="false">IF(C2556="","",ROW()-4)</f>
        <v/>
      </c>
      <c r="B2556" s="12"/>
      <c r="C2556" s="13"/>
      <c r="D2556" s="23" t="str">
        <f aca="false">IF(C2556="","",IFERROR(INDEX(LOTES!$D$5:$D$1004,MATCH(C2556,LOTES!$F$5:$F$1004,0)),"¿Lote?"))</f>
        <v/>
      </c>
      <c r="E2556" s="11" t="str">
        <f aca="false">IF(C2556="","",IFERROR(INDEX(LOTES!$C$5:$C$1004,MATCH(C2556,LOTES!$F$5:$F$1004,0)),""))</f>
        <v/>
      </c>
      <c r="F2556" s="24" t="str">
        <f aca="false">IF(C2556="","",IFERROR(INDEX(LOTES!$B$5:$B$1004,MATCH(C2556,LOTES!$F$5:$F$1004,0)),""))</f>
        <v/>
      </c>
      <c r="G2556" s="15" t="str">
        <f aca="false">IF(OR(B2556="",F2556=""),"",B2556-F2556)</f>
        <v/>
      </c>
      <c r="H2556" s="13"/>
      <c r="I2556" s="13"/>
      <c r="J2556" s="13"/>
      <c r="K2556" s="25"/>
      <c r="L2556" s="25"/>
      <c r="M2556" s="25"/>
      <c r="N2556" s="25"/>
      <c r="O2556" s="26"/>
      <c r="P2556" s="16" t="str">
        <f aca="false">IF(O2556="","",IFERROR(1/(1/(IF(K2556="",INDEX(CONFIG!$F$5:$F$14,MATCH(D2556,CONFIG!$D$5:$D$14,0)),K2556)*IF(M2556="",INDEX(CONFIG!$H$5:$H$14,MATCH(D2556,CONFIG!$D$5:$D$14,0)),M2556))),""))</f>
        <v/>
      </c>
      <c r="Q2556" s="16" t="str">
        <f aca="false">IF(OR(O2556="",P2556=""),"",O2556/P2556)</f>
        <v/>
      </c>
      <c r="R2556" s="16" t="str">
        <f aca="false">IF(Q2556="","",Q2556*0.0980665)</f>
        <v/>
      </c>
      <c r="S2556" s="16" t="str">
        <f aca="false">IF(Q2556="","",IFERROR(Q2556/(1/(1/INDEX(CONFIG!$I$5:$I$14,MATCH(D2556,CONFIG!$D$5:$D$14,0)))),""))</f>
        <v/>
      </c>
      <c r="T2556" s="13"/>
      <c r="U2556" s="13"/>
      <c r="V2556" s="13"/>
      <c r="W2556" s="13"/>
      <c r="X2556" s="22" t="str">
        <f aca="false">IF(Q2556="","",Q2556^2)</f>
        <v/>
      </c>
      <c r="Y2556" s="22" t="str">
        <f aca="false">IF(AND(C2556&lt;&gt;"",C2556=CERTIFICADO!$E$4,OR(CERTIFICADO!$E$5="",B2556=CERTIFICADO!$E$5)),MAX($Y$4:Y2555)+1,"")</f>
        <v/>
      </c>
    </row>
    <row r="2557" customFormat="false" ht="15" hidden="false" customHeight="false" outlineLevel="0" collapsed="false">
      <c r="A2557" s="11" t="str">
        <f aca="false">IF(C2557="","",ROW()-4)</f>
        <v/>
      </c>
      <c r="B2557" s="12"/>
      <c r="C2557" s="13"/>
      <c r="D2557" s="23" t="str">
        <f aca="false">IF(C2557="","",IFERROR(INDEX(LOTES!$D$5:$D$1004,MATCH(C2557,LOTES!$F$5:$F$1004,0)),"¿Lote?"))</f>
        <v/>
      </c>
      <c r="E2557" s="11" t="str">
        <f aca="false">IF(C2557="","",IFERROR(INDEX(LOTES!$C$5:$C$1004,MATCH(C2557,LOTES!$F$5:$F$1004,0)),""))</f>
        <v/>
      </c>
      <c r="F2557" s="24" t="str">
        <f aca="false">IF(C2557="","",IFERROR(INDEX(LOTES!$B$5:$B$1004,MATCH(C2557,LOTES!$F$5:$F$1004,0)),""))</f>
        <v/>
      </c>
      <c r="G2557" s="15" t="str">
        <f aca="false">IF(OR(B2557="",F2557=""),"",B2557-F2557)</f>
        <v/>
      </c>
      <c r="H2557" s="13"/>
      <c r="I2557" s="13"/>
      <c r="J2557" s="13"/>
      <c r="K2557" s="25"/>
      <c r="L2557" s="25"/>
      <c r="M2557" s="25"/>
      <c r="N2557" s="25"/>
      <c r="O2557" s="26"/>
      <c r="P2557" s="16" t="str">
        <f aca="false">IF(O2557="","",IFERROR(1/(1/(IF(K2557="",INDEX(CONFIG!$F$5:$F$14,MATCH(D2557,CONFIG!$D$5:$D$14,0)),K2557)*IF(M2557="",INDEX(CONFIG!$H$5:$H$14,MATCH(D2557,CONFIG!$D$5:$D$14,0)),M2557))),""))</f>
        <v/>
      </c>
      <c r="Q2557" s="16" t="str">
        <f aca="false">IF(OR(O2557="",P2557=""),"",O2557/P2557)</f>
        <v/>
      </c>
      <c r="R2557" s="16" t="str">
        <f aca="false">IF(Q2557="","",Q2557*0.0980665)</f>
        <v/>
      </c>
      <c r="S2557" s="16" t="str">
        <f aca="false">IF(Q2557="","",IFERROR(Q2557/(1/(1/INDEX(CONFIG!$I$5:$I$14,MATCH(D2557,CONFIG!$D$5:$D$14,0)))),""))</f>
        <v/>
      </c>
      <c r="T2557" s="13"/>
      <c r="U2557" s="13"/>
      <c r="V2557" s="13"/>
      <c r="W2557" s="13"/>
      <c r="X2557" s="22" t="str">
        <f aca="false">IF(Q2557="","",Q2557^2)</f>
        <v/>
      </c>
      <c r="Y2557" s="22" t="str">
        <f aca="false">IF(AND(C2557&lt;&gt;"",C2557=CERTIFICADO!$E$4,OR(CERTIFICADO!$E$5="",B2557=CERTIFICADO!$E$5)),MAX($Y$4:Y2556)+1,"")</f>
        <v/>
      </c>
    </row>
    <row r="2558" customFormat="false" ht="15" hidden="false" customHeight="false" outlineLevel="0" collapsed="false">
      <c r="A2558" s="11" t="str">
        <f aca="false">IF(C2558="","",ROW()-4)</f>
        <v/>
      </c>
      <c r="B2558" s="12"/>
      <c r="C2558" s="13"/>
      <c r="D2558" s="23" t="str">
        <f aca="false">IF(C2558="","",IFERROR(INDEX(LOTES!$D$5:$D$1004,MATCH(C2558,LOTES!$F$5:$F$1004,0)),"¿Lote?"))</f>
        <v/>
      </c>
      <c r="E2558" s="11" t="str">
        <f aca="false">IF(C2558="","",IFERROR(INDEX(LOTES!$C$5:$C$1004,MATCH(C2558,LOTES!$F$5:$F$1004,0)),""))</f>
        <v/>
      </c>
      <c r="F2558" s="24" t="str">
        <f aca="false">IF(C2558="","",IFERROR(INDEX(LOTES!$B$5:$B$1004,MATCH(C2558,LOTES!$F$5:$F$1004,0)),""))</f>
        <v/>
      </c>
      <c r="G2558" s="15" t="str">
        <f aca="false">IF(OR(B2558="",F2558=""),"",B2558-F2558)</f>
        <v/>
      </c>
      <c r="H2558" s="13"/>
      <c r="I2558" s="13"/>
      <c r="J2558" s="13"/>
      <c r="K2558" s="25"/>
      <c r="L2558" s="25"/>
      <c r="M2558" s="25"/>
      <c r="N2558" s="25"/>
      <c r="O2558" s="26"/>
      <c r="P2558" s="16" t="str">
        <f aca="false">IF(O2558="","",IFERROR(1/(1/(IF(K2558="",INDEX(CONFIG!$F$5:$F$14,MATCH(D2558,CONFIG!$D$5:$D$14,0)),K2558)*IF(M2558="",INDEX(CONFIG!$H$5:$H$14,MATCH(D2558,CONFIG!$D$5:$D$14,0)),M2558))),""))</f>
        <v/>
      </c>
      <c r="Q2558" s="16" t="str">
        <f aca="false">IF(OR(O2558="",P2558=""),"",O2558/P2558)</f>
        <v/>
      </c>
      <c r="R2558" s="16" t="str">
        <f aca="false">IF(Q2558="","",Q2558*0.0980665)</f>
        <v/>
      </c>
      <c r="S2558" s="16" t="str">
        <f aca="false">IF(Q2558="","",IFERROR(Q2558/(1/(1/INDEX(CONFIG!$I$5:$I$14,MATCH(D2558,CONFIG!$D$5:$D$14,0)))),""))</f>
        <v/>
      </c>
      <c r="T2558" s="13"/>
      <c r="U2558" s="13"/>
      <c r="V2558" s="13"/>
      <c r="W2558" s="13"/>
      <c r="X2558" s="22" t="str">
        <f aca="false">IF(Q2558="","",Q2558^2)</f>
        <v/>
      </c>
      <c r="Y2558" s="22" t="str">
        <f aca="false">IF(AND(C2558&lt;&gt;"",C2558=CERTIFICADO!$E$4,OR(CERTIFICADO!$E$5="",B2558=CERTIFICADO!$E$5)),MAX($Y$4:Y2557)+1,"")</f>
        <v/>
      </c>
    </row>
    <row r="2559" customFormat="false" ht="15" hidden="false" customHeight="false" outlineLevel="0" collapsed="false">
      <c r="A2559" s="11" t="str">
        <f aca="false">IF(C2559="","",ROW()-4)</f>
        <v/>
      </c>
      <c r="B2559" s="12"/>
      <c r="C2559" s="13"/>
      <c r="D2559" s="23" t="str">
        <f aca="false">IF(C2559="","",IFERROR(INDEX(LOTES!$D$5:$D$1004,MATCH(C2559,LOTES!$F$5:$F$1004,0)),"¿Lote?"))</f>
        <v/>
      </c>
      <c r="E2559" s="11" t="str">
        <f aca="false">IF(C2559="","",IFERROR(INDEX(LOTES!$C$5:$C$1004,MATCH(C2559,LOTES!$F$5:$F$1004,0)),""))</f>
        <v/>
      </c>
      <c r="F2559" s="24" t="str">
        <f aca="false">IF(C2559="","",IFERROR(INDEX(LOTES!$B$5:$B$1004,MATCH(C2559,LOTES!$F$5:$F$1004,0)),""))</f>
        <v/>
      </c>
      <c r="G2559" s="15" t="str">
        <f aca="false">IF(OR(B2559="",F2559=""),"",B2559-F2559)</f>
        <v/>
      </c>
      <c r="H2559" s="13"/>
      <c r="I2559" s="13"/>
      <c r="J2559" s="13"/>
      <c r="K2559" s="25"/>
      <c r="L2559" s="25"/>
      <c r="M2559" s="25"/>
      <c r="N2559" s="25"/>
      <c r="O2559" s="26"/>
      <c r="P2559" s="16" t="str">
        <f aca="false">IF(O2559="","",IFERROR(1/(1/(IF(K2559="",INDEX(CONFIG!$F$5:$F$14,MATCH(D2559,CONFIG!$D$5:$D$14,0)),K2559)*IF(M2559="",INDEX(CONFIG!$H$5:$H$14,MATCH(D2559,CONFIG!$D$5:$D$14,0)),M2559))),""))</f>
        <v/>
      </c>
      <c r="Q2559" s="16" t="str">
        <f aca="false">IF(OR(O2559="",P2559=""),"",O2559/P2559)</f>
        <v/>
      </c>
      <c r="R2559" s="16" t="str">
        <f aca="false">IF(Q2559="","",Q2559*0.0980665)</f>
        <v/>
      </c>
      <c r="S2559" s="16" t="str">
        <f aca="false">IF(Q2559="","",IFERROR(Q2559/(1/(1/INDEX(CONFIG!$I$5:$I$14,MATCH(D2559,CONFIG!$D$5:$D$14,0)))),""))</f>
        <v/>
      </c>
      <c r="T2559" s="13"/>
      <c r="U2559" s="13"/>
      <c r="V2559" s="13"/>
      <c r="W2559" s="13"/>
      <c r="X2559" s="22" t="str">
        <f aca="false">IF(Q2559="","",Q2559^2)</f>
        <v/>
      </c>
      <c r="Y2559" s="22" t="str">
        <f aca="false">IF(AND(C2559&lt;&gt;"",C2559=CERTIFICADO!$E$4,OR(CERTIFICADO!$E$5="",B2559=CERTIFICADO!$E$5)),MAX($Y$4:Y2558)+1,"")</f>
        <v/>
      </c>
    </row>
    <row r="2560" customFormat="false" ht="15" hidden="false" customHeight="false" outlineLevel="0" collapsed="false">
      <c r="A2560" s="11" t="str">
        <f aca="false">IF(C2560="","",ROW()-4)</f>
        <v/>
      </c>
      <c r="B2560" s="12"/>
      <c r="C2560" s="13"/>
      <c r="D2560" s="23" t="str">
        <f aca="false">IF(C2560="","",IFERROR(INDEX(LOTES!$D$5:$D$1004,MATCH(C2560,LOTES!$F$5:$F$1004,0)),"¿Lote?"))</f>
        <v/>
      </c>
      <c r="E2560" s="11" t="str">
        <f aca="false">IF(C2560="","",IFERROR(INDEX(LOTES!$C$5:$C$1004,MATCH(C2560,LOTES!$F$5:$F$1004,0)),""))</f>
        <v/>
      </c>
      <c r="F2560" s="24" t="str">
        <f aca="false">IF(C2560="","",IFERROR(INDEX(LOTES!$B$5:$B$1004,MATCH(C2560,LOTES!$F$5:$F$1004,0)),""))</f>
        <v/>
      </c>
      <c r="G2560" s="15" t="str">
        <f aca="false">IF(OR(B2560="",F2560=""),"",B2560-F2560)</f>
        <v/>
      </c>
      <c r="H2560" s="13"/>
      <c r="I2560" s="13"/>
      <c r="J2560" s="13"/>
      <c r="K2560" s="25"/>
      <c r="L2560" s="25"/>
      <c r="M2560" s="25"/>
      <c r="N2560" s="25"/>
      <c r="O2560" s="26"/>
      <c r="P2560" s="16" t="str">
        <f aca="false">IF(O2560="","",IFERROR(1/(1/(IF(K2560="",INDEX(CONFIG!$F$5:$F$14,MATCH(D2560,CONFIG!$D$5:$D$14,0)),K2560)*IF(M2560="",INDEX(CONFIG!$H$5:$H$14,MATCH(D2560,CONFIG!$D$5:$D$14,0)),M2560))),""))</f>
        <v/>
      </c>
      <c r="Q2560" s="16" t="str">
        <f aca="false">IF(OR(O2560="",P2560=""),"",O2560/P2560)</f>
        <v/>
      </c>
      <c r="R2560" s="16" t="str">
        <f aca="false">IF(Q2560="","",Q2560*0.0980665)</f>
        <v/>
      </c>
      <c r="S2560" s="16" t="str">
        <f aca="false">IF(Q2560="","",IFERROR(Q2560/(1/(1/INDEX(CONFIG!$I$5:$I$14,MATCH(D2560,CONFIG!$D$5:$D$14,0)))),""))</f>
        <v/>
      </c>
      <c r="T2560" s="13"/>
      <c r="U2560" s="13"/>
      <c r="V2560" s="13"/>
      <c r="W2560" s="13"/>
      <c r="X2560" s="22" t="str">
        <f aca="false">IF(Q2560="","",Q2560^2)</f>
        <v/>
      </c>
      <c r="Y2560" s="22" t="str">
        <f aca="false">IF(AND(C2560&lt;&gt;"",C2560=CERTIFICADO!$E$4,OR(CERTIFICADO!$E$5="",B2560=CERTIFICADO!$E$5)),MAX($Y$4:Y2559)+1,"")</f>
        <v/>
      </c>
    </row>
    <row r="2561" customFormat="false" ht="15" hidden="false" customHeight="false" outlineLevel="0" collapsed="false">
      <c r="A2561" s="11" t="str">
        <f aca="false">IF(C2561="","",ROW()-4)</f>
        <v/>
      </c>
      <c r="B2561" s="12"/>
      <c r="C2561" s="13"/>
      <c r="D2561" s="23" t="str">
        <f aca="false">IF(C2561="","",IFERROR(INDEX(LOTES!$D$5:$D$1004,MATCH(C2561,LOTES!$F$5:$F$1004,0)),"¿Lote?"))</f>
        <v/>
      </c>
      <c r="E2561" s="11" t="str">
        <f aca="false">IF(C2561="","",IFERROR(INDEX(LOTES!$C$5:$C$1004,MATCH(C2561,LOTES!$F$5:$F$1004,0)),""))</f>
        <v/>
      </c>
      <c r="F2561" s="24" t="str">
        <f aca="false">IF(C2561="","",IFERROR(INDEX(LOTES!$B$5:$B$1004,MATCH(C2561,LOTES!$F$5:$F$1004,0)),""))</f>
        <v/>
      </c>
      <c r="G2561" s="15" t="str">
        <f aca="false">IF(OR(B2561="",F2561=""),"",B2561-F2561)</f>
        <v/>
      </c>
      <c r="H2561" s="13"/>
      <c r="I2561" s="13"/>
      <c r="J2561" s="13"/>
      <c r="K2561" s="25"/>
      <c r="L2561" s="25"/>
      <c r="M2561" s="25"/>
      <c r="N2561" s="25"/>
      <c r="O2561" s="26"/>
      <c r="P2561" s="16" t="str">
        <f aca="false">IF(O2561="","",IFERROR(1/(1/(IF(K2561="",INDEX(CONFIG!$F$5:$F$14,MATCH(D2561,CONFIG!$D$5:$D$14,0)),K2561)*IF(M2561="",INDEX(CONFIG!$H$5:$H$14,MATCH(D2561,CONFIG!$D$5:$D$14,0)),M2561))),""))</f>
        <v/>
      </c>
      <c r="Q2561" s="16" t="str">
        <f aca="false">IF(OR(O2561="",P2561=""),"",O2561/P2561)</f>
        <v/>
      </c>
      <c r="R2561" s="16" t="str">
        <f aca="false">IF(Q2561="","",Q2561*0.0980665)</f>
        <v/>
      </c>
      <c r="S2561" s="16" t="str">
        <f aca="false">IF(Q2561="","",IFERROR(Q2561/(1/(1/INDEX(CONFIG!$I$5:$I$14,MATCH(D2561,CONFIG!$D$5:$D$14,0)))),""))</f>
        <v/>
      </c>
      <c r="T2561" s="13"/>
      <c r="U2561" s="13"/>
      <c r="V2561" s="13"/>
      <c r="W2561" s="13"/>
      <c r="X2561" s="22" t="str">
        <f aca="false">IF(Q2561="","",Q2561^2)</f>
        <v/>
      </c>
      <c r="Y2561" s="22" t="str">
        <f aca="false">IF(AND(C2561&lt;&gt;"",C2561=CERTIFICADO!$E$4,OR(CERTIFICADO!$E$5="",B2561=CERTIFICADO!$E$5)),MAX($Y$4:Y2560)+1,"")</f>
        <v/>
      </c>
    </row>
    <row r="2562" customFormat="false" ht="15" hidden="false" customHeight="false" outlineLevel="0" collapsed="false">
      <c r="A2562" s="11" t="str">
        <f aca="false">IF(C2562="","",ROW()-4)</f>
        <v/>
      </c>
      <c r="B2562" s="12"/>
      <c r="C2562" s="13"/>
      <c r="D2562" s="23" t="str">
        <f aca="false">IF(C2562="","",IFERROR(INDEX(LOTES!$D$5:$D$1004,MATCH(C2562,LOTES!$F$5:$F$1004,0)),"¿Lote?"))</f>
        <v/>
      </c>
      <c r="E2562" s="11" t="str">
        <f aca="false">IF(C2562="","",IFERROR(INDEX(LOTES!$C$5:$C$1004,MATCH(C2562,LOTES!$F$5:$F$1004,0)),""))</f>
        <v/>
      </c>
      <c r="F2562" s="24" t="str">
        <f aca="false">IF(C2562="","",IFERROR(INDEX(LOTES!$B$5:$B$1004,MATCH(C2562,LOTES!$F$5:$F$1004,0)),""))</f>
        <v/>
      </c>
      <c r="G2562" s="15" t="str">
        <f aca="false">IF(OR(B2562="",F2562=""),"",B2562-F2562)</f>
        <v/>
      </c>
      <c r="H2562" s="13"/>
      <c r="I2562" s="13"/>
      <c r="J2562" s="13"/>
      <c r="K2562" s="25"/>
      <c r="L2562" s="25"/>
      <c r="M2562" s="25"/>
      <c r="N2562" s="25"/>
      <c r="O2562" s="26"/>
      <c r="P2562" s="16" t="str">
        <f aca="false">IF(O2562="","",IFERROR(1/(1/(IF(K2562="",INDEX(CONFIG!$F$5:$F$14,MATCH(D2562,CONFIG!$D$5:$D$14,0)),K2562)*IF(M2562="",INDEX(CONFIG!$H$5:$H$14,MATCH(D2562,CONFIG!$D$5:$D$14,0)),M2562))),""))</f>
        <v/>
      </c>
      <c r="Q2562" s="16" t="str">
        <f aca="false">IF(OR(O2562="",P2562=""),"",O2562/P2562)</f>
        <v/>
      </c>
      <c r="R2562" s="16" t="str">
        <f aca="false">IF(Q2562="","",Q2562*0.0980665)</f>
        <v/>
      </c>
      <c r="S2562" s="16" t="str">
        <f aca="false">IF(Q2562="","",IFERROR(Q2562/(1/(1/INDEX(CONFIG!$I$5:$I$14,MATCH(D2562,CONFIG!$D$5:$D$14,0)))),""))</f>
        <v/>
      </c>
      <c r="T2562" s="13"/>
      <c r="U2562" s="13"/>
      <c r="V2562" s="13"/>
      <c r="W2562" s="13"/>
      <c r="X2562" s="22" t="str">
        <f aca="false">IF(Q2562="","",Q2562^2)</f>
        <v/>
      </c>
      <c r="Y2562" s="22" t="str">
        <f aca="false">IF(AND(C2562&lt;&gt;"",C2562=CERTIFICADO!$E$4,OR(CERTIFICADO!$E$5="",B2562=CERTIFICADO!$E$5)),MAX($Y$4:Y2561)+1,"")</f>
        <v/>
      </c>
    </row>
    <row r="2563" customFormat="false" ht="15" hidden="false" customHeight="false" outlineLevel="0" collapsed="false">
      <c r="A2563" s="11" t="str">
        <f aca="false">IF(C2563="","",ROW()-4)</f>
        <v/>
      </c>
      <c r="B2563" s="12"/>
      <c r="C2563" s="13"/>
      <c r="D2563" s="23" t="str">
        <f aca="false">IF(C2563="","",IFERROR(INDEX(LOTES!$D$5:$D$1004,MATCH(C2563,LOTES!$F$5:$F$1004,0)),"¿Lote?"))</f>
        <v/>
      </c>
      <c r="E2563" s="11" t="str">
        <f aca="false">IF(C2563="","",IFERROR(INDEX(LOTES!$C$5:$C$1004,MATCH(C2563,LOTES!$F$5:$F$1004,0)),""))</f>
        <v/>
      </c>
      <c r="F2563" s="24" t="str">
        <f aca="false">IF(C2563="","",IFERROR(INDEX(LOTES!$B$5:$B$1004,MATCH(C2563,LOTES!$F$5:$F$1004,0)),""))</f>
        <v/>
      </c>
      <c r="G2563" s="15" t="str">
        <f aca="false">IF(OR(B2563="",F2563=""),"",B2563-F2563)</f>
        <v/>
      </c>
      <c r="H2563" s="13"/>
      <c r="I2563" s="13"/>
      <c r="J2563" s="13"/>
      <c r="K2563" s="25"/>
      <c r="L2563" s="25"/>
      <c r="M2563" s="25"/>
      <c r="N2563" s="25"/>
      <c r="O2563" s="26"/>
      <c r="P2563" s="16" t="str">
        <f aca="false">IF(O2563="","",IFERROR(1/(1/(IF(K2563="",INDEX(CONFIG!$F$5:$F$14,MATCH(D2563,CONFIG!$D$5:$D$14,0)),K2563)*IF(M2563="",INDEX(CONFIG!$H$5:$H$14,MATCH(D2563,CONFIG!$D$5:$D$14,0)),M2563))),""))</f>
        <v/>
      </c>
      <c r="Q2563" s="16" t="str">
        <f aca="false">IF(OR(O2563="",P2563=""),"",O2563/P2563)</f>
        <v/>
      </c>
      <c r="R2563" s="16" t="str">
        <f aca="false">IF(Q2563="","",Q2563*0.0980665)</f>
        <v/>
      </c>
      <c r="S2563" s="16" t="str">
        <f aca="false">IF(Q2563="","",IFERROR(Q2563/(1/(1/INDEX(CONFIG!$I$5:$I$14,MATCH(D2563,CONFIG!$D$5:$D$14,0)))),""))</f>
        <v/>
      </c>
      <c r="T2563" s="13"/>
      <c r="U2563" s="13"/>
      <c r="V2563" s="13"/>
      <c r="W2563" s="13"/>
      <c r="X2563" s="22" t="str">
        <f aca="false">IF(Q2563="","",Q2563^2)</f>
        <v/>
      </c>
      <c r="Y2563" s="22" t="str">
        <f aca="false">IF(AND(C2563&lt;&gt;"",C2563=CERTIFICADO!$E$4,OR(CERTIFICADO!$E$5="",B2563=CERTIFICADO!$E$5)),MAX($Y$4:Y2562)+1,"")</f>
        <v/>
      </c>
    </row>
    <row r="2564" customFormat="false" ht="15" hidden="false" customHeight="false" outlineLevel="0" collapsed="false">
      <c r="A2564" s="11" t="str">
        <f aca="false">IF(C2564="","",ROW()-4)</f>
        <v/>
      </c>
      <c r="B2564" s="12"/>
      <c r="C2564" s="13"/>
      <c r="D2564" s="23" t="str">
        <f aca="false">IF(C2564="","",IFERROR(INDEX(LOTES!$D$5:$D$1004,MATCH(C2564,LOTES!$F$5:$F$1004,0)),"¿Lote?"))</f>
        <v/>
      </c>
      <c r="E2564" s="11" t="str">
        <f aca="false">IF(C2564="","",IFERROR(INDEX(LOTES!$C$5:$C$1004,MATCH(C2564,LOTES!$F$5:$F$1004,0)),""))</f>
        <v/>
      </c>
      <c r="F2564" s="24" t="str">
        <f aca="false">IF(C2564="","",IFERROR(INDEX(LOTES!$B$5:$B$1004,MATCH(C2564,LOTES!$F$5:$F$1004,0)),""))</f>
        <v/>
      </c>
      <c r="G2564" s="15" t="str">
        <f aca="false">IF(OR(B2564="",F2564=""),"",B2564-F2564)</f>
        <v/>
      </c>
      <c r="H2564" s="13"/>
      <c r="I2564" s="13"/>
      <c r="J2564" s="13"/>
      <c r="K2564" s="25"/>
      <c r="L2564" s="25"/>
      <c r="M2564" s="25"/>
      <c r="N2564" s="25"/>
      <c r="O2564" s="26"/>
      <c r="P2564" s="16" t="str">
        <f aca="false">IF(O2564="","",IFERROR(1/(1/(IF(K2564="",INDEX(CONFIG!$F$5:$F$14,MATCH(D2564,CONFIG!$D$5:$D$14,0)),K2564)*IF(M2564="",INDEX(CONFIG!$H$5:$H$14,MATCH(D2564,CONFIG!$D$5:$D$14,0)),M2564))),""))</f>
        <v/>
      </c>
      <c r="Q2564" s="16" t="str">
        <f aca="false">IF(OR(O2564="",P2564=""),"",O2564/P2564)</f>
        <v/>
      </c>
      <c r="R2564" s="16" t="str">
        <f aca="false">IF(Q2564="","",Q2564*0.0980665)</f>
        <v/>
      </c>
      <c r="S2564" s="16" t="str">
        <f aca="false">IF(Q2564="","",IFERROR(Q2564/(1/(1/INDEX(CONFIG!$I$5:$I$14,MATCH(D2564,CONFIG!$D$5:$D$14,0)))),""))</f>
        <v/>
      </c>
      <c r="T2564" s="13"/>
      <c r="U2564" s="13"/>
      <c r="V2564" s="13"/>
      <c r="W2564" s="13"/>
      <c r="X2564" s="22" t="str">
        <f aca="false">IF(Q2564="","",Q2564^2)</f>
        <v/>
      </c>
      <c r="Y2564" s="22" t="str">
        <f aca="false">IF(AND(C2564&lt;&gt;"",C2564=CERTIFICADO!$E$4,OR(CERTIFICADO!$E$5="",B2564=CERTIFICADO!$E$5)),MAX($Y$4:Y2563)+1,"")</f>
        <v/>
      </c>
    </row>
    <row r="2565" customFormat="false" ht="15" hidden="false" customHeight="false" outlineLevel="0" collapsed="false">
      <c r="A2565" s="11" t="str">
        <f aca="false">IF(C2565="","",ROW()-4)</f>
        <v/>
      </c>
      <c r="B2565" s="12"/>
      <c r="C2565" s="13"/>
      <c r="D2565" s="23" t="str">
        <f aca="false">IF(C2565="","",IFERROR(INDEX(LOTES!$D$5:$D$1004,MATCH(C2565,LOTES!$F$5:$F$1004,0)),"¿Lote?"))</f>
        <v/>
      </c>
      <c r="E2565" s="11" t="str">
        <f aca="false">IF(C2565="","",IFERROR(INDEX(LOTES!$C$5:$C$1004,MATCH(C2565,LOTES!$F$5:$F$1004,0)),""))</f>
        <v/>
      </c>
      <c r="F2565" s="24" t="str">
        <f aca="false">IF(C2565="","",IFERROR(INDEX(LOTES!$B$5:$B$1004,MATCH(C2565,LOTES!$F$5:$F$1004,0)),""))</f>
        <v/>
      </c>
      <c r="G2565" s="15" t="str">
        <f aca="false">IF(OR(B2565="",F2565=""),"",B2565-F2565)</f>
        <v/>
      </c>
      <c r="H2565" s="13"/>
      <c r="I2565" s="13"/>
      <c r="J2565" s="13"/>
      <c r="K2565" s="25"/>
      <c r="L2565" s="25"/>
      <c r="M2565" s="25"/>
      <c r="N2565" s="25"/>
      <c r="O2565" s="26"/>
      <c r="P2565" s="16" t="str">
        <f aca="false">IF(O2565="","",IFERROR(1/(1/(IF(K2565="",INDEX(CONFIG!$F$5:$F$14,MATCH(D2565,CONFIG!$D$5:$D$14,0)),K2565)*IF(M2565="",INDEX(CONFIG!$H$5:$H$14,MATCH(D2565,CONFIG!$D$5:$D$14,0)),M2565))),""))</f>
        <v/>
      </c>
      <c r="Q2565" s="16" t="str">
        <f aca="false">IF(OR(O2565="",P2565=""),"",O2565/P2565)</f>
        <v/>
      </c>
      <c r="R2565" s="16" t="str">
        <f aca="false">IF(Q2565="","",Q2565*0.0980665)</f>
        <v/>
      </c>
      <c r="S2565" s="16" t="str">
        <f aca="false">IF(Q2565="","",IFERROR(Q2565/(1/(1/INDEX(CONFIG!$I$5:$I$14,MATCH(D2565,CONFIG!$D$5:$D$14,0)))),""))</f>
        <v/>
      </c>
      <c r="T2565" s="13"/>
      <c r="U2565" s="13"/>
      <c r="V2565" s="13"/>
      <c r="W2565" s="13"/>
      <c r="X2565" s="22" t="str">
        <f aca="false">IF(Q2565="","",Q2565^2)</f>
        <v/>
      </c>
      <c r="Y2565" s="22" t="str">
        <f aca="false">IF(AND(C2565&lt;&gt;"",C2565=CERTIFICADO!$E$4,OR(CERTIFICADO!$E$5="",B2565=CERTIFICADO!$E$5)),MAX($Y$4:Y2564)+1,"")</f>
        <v/>
      </c>
    </row>
    <row r="2566" customFormat="false" ht="15" hidden="false" customHeight="false" outlineLevel="0" collapsed="false">
      <c r="A2566" s="11" t="str">
        <f aca="false">IF(C2566="","",ROW()-4)</f>
        <v/>
      </c>
      <c r="B2566" s="12"/>
      <c r="C2566" s="13"/>
      <c r="D2566" s="23" t="str">
        <f aca="false">IF(C2566="","",IFERROR(INDEX(LOTES!$D$5:$D$1004,MATCH(C2566,LOTES!$F$5:$F$1004,0)),"¿Lote?"))</f>
        <v/>
      </c>
      <c r="E2566" s="11" t="str">
        <f aca="false">IF(C2566="","",IFERROR(INDEX(LOTES!$C$5:$C$1004,MATCH(C2566,LOTES!$F$5:$F$1004,0)),""))</f>
        <v/>
      </c>
      <c r="F2566" s="24" t="str">
        <f aca="false">IF(C2566="","",IFERROR(INDEX(LOTES!$B$5:$B$1004,MATCH(C2566,LOTES!$F$5:$F$1004,0)),""))</f>
        <v/>
      </c>
      <c r="G2566" s="15" t="str">
        <f aca="false">IF(OR(B2566="",F2566=""),"",B2566-F2566)</f>
        <v/>
      </c>
      <c r="H2566" s="13"/>
      <c r="I2566" s="13"/>
      <c r="J2566" s="13"/>
      <c r="K2566" s="25"/>
      <c r="L2566" s="25"/>
      <c r="M2566" s="25"/>
      <c r="N2566" s="25"/>
      <c r="O2566" s="26"/>
      <c r="P2566" s="16" t="str">
        <f aca="false">IF(O2566="","",IFERROR(1/(1/(IF(K2566="",INDEX(CONFIG!$F$5:$F$14,MATCH(D2566,CONFIG!$D$5:$D$14,0)),K2566)*IF(M2566="",INDEX(CONFIG!$H$5:$H$14,MATCH(D2566,CONFIG!$D$5:$D$14,0)),M2566))),""))</f>
        <v/>
      </c>
      <c r="Q2566" s="16" t="str">
        <f aca="false">IF(OR(O2566="",P2566=""),"",O2566/P2566)</f>
        <v/>
      </c>
      <c r="R2566" s="16" t="str">
        <f aca="false">IF(Q2566="","",Q2566*0.0980665)</f>
        <v/>
      </c>
      <c r="S2566" s="16" t="str">
        <f aca="false">IF(Q2566="","",IFERROR(Q2566/(1/(1/INDEX(CONFIG!$I$5:$I$14,MATCH(D2566,CONFIG!$D$5:$D$14,0)))),""))</f>
        <v/>
      </c>
      <c r="T2566" s="13"/>
      <c r="U2566" s="13"/>
      <c r="V2566" s="13"/>
      <c r="W2566" s="13"/>
      <c r="X2566" s="22" t="str">
        <f aca="false">IF(Q2566="","",Q2566^2)</f>
        <v/>
      </c>
      <c r="Y2566" s="22" t="str">
        <f aca="false">IF(AND(C2566&lt;&gt;"",C2566=CERTIFICADO!$E$4,OR(CERTIFICADO!$E$5="",B2566=CERTIFICADO!$E$5)),MAX($Y$4:Y2565)+1,"")</f>
        <v/>
      </c>
    </row>
    <row r="2567" customFormat="false" ht="15" hidden="false" customHeight="false" outlineLevel="0" collapsed="false">
      <c r="A2567" s="11" t="str">
        <f aca="false">IF(C2567="","",ROW()-4)</f>
        <v/>
      </c>
      <c r="B2567" s="12"/>
      <c r="C2567" s="13"/>
      <c r="D2567" s="23" t="str">
        <f aca="false">IF(C2567="","",IFERROR(INDEX(LOTES!$D$5:$D$1004,MATCH(C2567,LOTES!$F$5:$F$1004,0)),"¿Lote?"))</f>
        <v/>
      </c>
      <c r="E2567" s="11" t="str">
        <f aca="false">IF(C2567="","",IFERROR(INDEX(LOTES!$C$5:$C$1004,MATCH(C2567,LOTES!$F$5:$F$1004,0)),""))</f>
        <v/>
      </c>
      <c r="F2567" s="24" t="str">
        <f aca="false">IF(C2567="","",IFERROR(INDEX(LOTES!$B$5:$B$1004,MATCH(C2567,LOTES!$F$5:$F$1004,0)),""))</f>
        <v/>
      </c>
      <c r="G2567" s="15" t="str">
        <f aca="false">IF(OR(B2567="",F2567=""),"",B2567-F2567)</f>
        <v/>
      </c>
      <c r="H2567" s="13"/>
      <c r="I2567" s="13"/>
      <c r="J2567" s="13"/>
      <c r="K2567" s="25"/>
      <c r="L2567" s="25"/>
      <c r="M2567" s="25"/>
      <c r="N2567" s="25"/>
      <c r="O2567" s="26"/>
      <c r="P2567" s="16" t="str">
        <f aca="false">IF(O2567="","",IFERROR(1/(1/(IF(K2567="",INDEX(CONFIG!$F$5:$F$14,MATCH(D2567,CONFIG!$D$5:$D$14,0)),K2567)*IF(M2567="",INDEX(CONFIG!$H$5:$H$14,MATCH(D2567,CONFIG!$D$5:$D$14,0)),M2567))),""))</f>
        <v/>
      </c>
      <c r="Q2567" s="16" t="str">
        <f aca="false">IF(OR(O2567="",P2567=""),"",O2567/P2567)</f>
        <v/>
      </c>
      <c r="R2567" s="16" t="str">
        <f aca="false">IF(Q2567="","",Q2567*0.0980665)</f>
        <v/>
      </c>
      <c r="S2567" s="16" t="str">
        <f aca="false">IF(Q2567="","",IFERROR(Q2567/(1/(1/INDEX(CONFIG!$I$5:$I$14,MATCH(D2567,CONFIG!$D$5:$D$14,0)))),""))</f>
        <v/>
      </c>
      <c r="T2567" s="13"/>
      <c r="U2567" s="13"/>
      <c r="V2567" s="13"/>
      <c r="W2567" s="13"/>
      <c r="X2567" s="22" t="str">
        <f aca="false">IF(Q2567="","",Q2567^2)</f>
        <v/>
      </c>
      <c r="Y2567" s="22" t="str">
        <f aca="false">IF(AND(C2567&lt;&gt;"",C2567=CERTIFICADO!$E$4,OR(CERTIFICADO!$E$5="",B2567=CERTIFICADO!$E$5)),MAX($Y$4:Y2566)+1,"")</f>
        <v/>
      </c>
    </row>
    <row r="2568" customFormat="false" ht="15" hidden="false" customHeight="false" outlineLevel="0" collapsed="false">
      <c r="A2568" s="11" t="str">
        <f aca="false">IF(C2568="","",ROW()-4)</f>
        <v/>
      </c>
      <c r="B2568" s="12"/>
      <c r="C2568" s="13"/>
      <c r="D2568" s="23" t="str">
        <f aca="false">IF(C2568="","",IFERROR(INDEX(LOTES!$D$5:$D$1004,MATCH(C2568,LOTES!$F$5:$F$1004,0)),"¿Lote?"))</f>
        <v/>
      </c>
      <c r="E2568" s="11" t="str">
        <f aca="false">IF(C2568="","",IFERROR(INDEX(LOTES!$C$5:$C$1004,MATCH(C2568,LOTES!$F$5:$F$1004,0)),""))</f>
        <v/>
      </c>
      <c r="F2568" s="24" t="str">
        <f aca="false">IF(C2568="","",IFERROR(INDEX(LOTES!$B$5:$B$1004,MATCH(C2568,LOTES!$F$5:$F$1004,0)),""))</f>
        <v/>
      </c>
      <c r="G2568" s="15" t="str">
        <f aca="false">IF(OR(B2568="",F2568=""),"",B2568-F2568)</f>
        <v/>
      </c>
      <c r="H2568" s="13"/>
      <c r="I2568" s="13"/>
      <c r="J2568" s="13"/>
      <c r="K2568" s="25"/>
      <c r="L2568" s="25"/>
      <c r="M2568" s="25"/>
      <c r="N2568" s="25"/>
      <c r="O2568" s="26"/>
      <c r="P2568" s="16" t="str">
        <f aca="false">IF(O2568="","",IFERROR(1/(1/(IF(K2568="",INDEX(CONFIG!$F$5:$F$14,MATCH(D2568,CONFIG!$D$5:$D$14,0)),K2568)*IF(M2568="",INDEX(CONFIG!$H$5:$H$14,MATCH(D2568,CONFIG!$D$5:$D$14,0)),M2568))),""))</f>
        <v/>
      </c>
      <c r="Q2568" s="16" t="str">
        <f aca="false">IF(OR(O2568="",P2568=""),"",O2568/P2568)</f>
        <v/>
      </c>
      <c r="R2568" s="16" t="str">
        <f aca="false">IF(Q2568="","",Q2568*0.0980665)</f>
        <v/>
      </c>
      <c r="S2568" s="16" t="str">
        <f aca="false">IF(Q2568="","",IFERROR(Q2568/(1/(1/INDEX(CONFIG!$I$5:$I$14,MATCH(D2568,CONFIG!$D$5:$D$14,0)))),""))</f>
        <v/>
      </c>
      <c r="T2568" s="13"/>
      <c r="U2568" s="13"/>
      <c r="V2568" s="13"/>
      <c r="W2568" s="13"/>
      <c r="X2568" s="22" t="str">
        <f aca="false">IF(Q2568="","",Q2568^2)</f>
        <v/>
      </c>
      <c r="Y2568" s="22" t="str">
        <f aca="false">IF(AND(C2568&lt;&gt;"",C2568=CERTIFICADO!$E$4,OR(CERTIFICADO!$E$5="",B2568=CERTIFICADO!$E$5)),MAX($Y$4:Y2567)+1,"")</f>
        <v/>
      </c>
    </row>
    <row r="2569" customFormat="false" ht="15" hidden="false" customHeight="false" outlineLevel="0" collapsed="false">
      <c r="A2569" s="11" t="str">
        <f aca="false">IF(C2569="","",ROW()-4)</f>
        <v/>
      </c>
      <c r="B2569" s="12"/>
      <c r="C2569" s="13"/>
      <c r="D2569" s="23" t="str">
        <f aca="false">IF(C2569="","",IFERROR(INDEX(LOTES!$D$5:$D$1004,MATCH(C2569,LOTES!$F$5:$F$1004,0)),"¿Lote?"))</f>
        <v/>
      </c>
      <c r="E2569" s="11" t="str">
        <f aca="false">IF(C2569="","",IFERROR(INDEX(LOTES!$C$5:$C$1004,MATCH(C2569,LOTES!$F$5:$F$1004,0)),""))</f>
        <v/>
      </c>
      <c r="F2569" s="24" t="str">
        <f aca="false">IF(C2569="","",IFERROR(INDEX(LOTES!$B$5:$B$1004,MATCH(C2569,LOTES!$F$5:$F$1004,0)),""))</f>
        <v/>
      </c>
      <c r="G2569" s="15" t="str">
        <f aca="false">IF(OR(B2569="",F2569=""),"",B2569-F2569)</f>
        <v/>
      </c>
      <c r="H2569" s="13"/>
      <c r="I2569" s="13"/>
      <c r="J2569" s="13"/>
      <c r="K2569" s="25"/>
      <c r="L2569" s="25"/>
      <c r="M2569" s="25"/>
      <c r="N2569" s="25"/>
      <c r="O2569" s="26"/>
      <c r="P2569" s="16" t="str">
        <f aca="false">IF(O2569="","",IFERROR(1/(1/(IF(K2569="",INDEX(CONFIG!$F$5:$F$14,MATCH(D2569,CONFIG!$D$5:$D$14,0)),K2569)*IF(M2569="",INDEX(CONFIG!$H$5:$H$14,MATCH(D2569,CONFIG!$D$5:$D$14,0)),M2569))),""))</f>
        <v/>
      </c>
      <c r="Q2569" s="16" t="str">
        <f aca="false">IF(OR(O2569="",P2569=""),"",O2569/P2569)</f>
        <v/>
      </c>
      <c r="R2569" s="16" t="str">
        <f aca="false">IF(Q2569="","",Q2569*0.0980665)</f>
        <v/>
      </c>
      <c r="S2569" s="16" t="str">
        <f aca="false">IF(Q2569="","",IFERROR(Q2569/(1/(1/INDEX(CONFIG!$I$5:$I$14,MATCH(D2569,CONFIG!$D$5:$D$14,0)))),""))</f>
        <v/>
      </c>
      <c r="T2569" s="13"/>
      <c r="U2569" s="13"/>
      <c r="V2569" s="13"/>
      <c r="W2569" s="13"/>
      <c r="X2569" s="22" t="str">
        <f aca="false">IF(Q2569="","",Q2569^2)</f>
        <v/>
      </c>
      <c r="Y2569" s="22" t="str">
        <f aca="false">IF(AND(C2569&lt;&gt;"",C2569=CERTIFICADO!$E$4,OR(CERTIFICADO!$E$5="",B2569=CERTIFICADO!$E$5)),MAX($Y$4:Y2568)+1,"")</f>
        <v/>
      </c>
    </row>
    <row r="2570" customFormat="false" ht="15" hidden="false" customHeight="false" outlineLevel="0" collapsed="false">
      <c r="A2570" s="11" t="str">
        <f aca="false">IF(C2570="","",ROW()-4)</f>
        <v/>
      </c>
      <c r="B2570" s="12"/>
      <c r="C2570" s="13"/>
      <c r="D2570" s="23" t="str">
        <f aca="false">IF(C2570="","",IFERROR(INDEX(LOTES!$D$5:$D$1004,MATCH(C2570,LOTES!$F$5:$F$1004,0)),"¿Lote?"))</f>
        <v/>
      </c>
      <c r="E2570" s="11" t="str">
        <f aca="false">IF(C2570="","",IFERROR(INDEX(LOTES!$C$5:$C$1004,MATCH(C2570,LOTES!$F$5:$F$1004,0)),""))</f>
        <v/>
      </c>
      <c r="F2570" s="24" t="str">
        <f aca="false">IF(C2570="","",IFERROR(INDEX(LOTES!$B$5:$B$1004,MATCH(C2570,LOTES!$F$5:$F$1004,0)),""))</f>
        <v/>
      </c>
      <c r="G2570" s="15" t="str">
        <f aca="false">IF(OR(B2570="",F2570=""),"",B2570-F2570)</f>
        <v/>
      </c>
      <c r="H2570" s="13"/>
      <c r="I2570" s="13"/>
      <c r="J2570" s="13"/>
      <c r="K2570" s="25"/>
      <c r="L2570" s="25"/>
      <c r="M2570" s="25"/>
      <c r="N2570" s="25"/>
      <c r="O2570" s="26"/>
      <c r="P2570" s="16" t="str">
        <f aca="false">IF(O2570="","",IFERROR(1/(1/(IF(K2570="",INDEX(CONFIG!$F$5:$F$14,MATCH(D2570,CONFIG!$D$5:$D$14,0)),K2570)*IF(M2570="",INDEX(CONFIG!$H$5:$H$14,MATCH(D2570,CONFIG!$D$5:$D$14,0)),M2570))),""))</f>
        <v/>
      </c>
      <c r="Q2570" s="16" t="str">
        <f aca="false">IF(OR(O2570="",P2570=""),"",O2570/P2570)</f>
        <v/>
      </c>
      <c r="R2570" s="16" t="str">
        <f aca="false">IF(Q2570="","",Q2570*0.0980665)</f>
        <v/>
      </c>
      <c r="S2570" s="16" t="str">
        <f aca="false">IF(Q2570="","",IFERROR(Q2570/(1/(1/INDEX(CONFIG!$I$5:$I$14,MATCH(D2570,CONFIG!$D$5:$D$14,0)))),""))</f>
        <v/>
      </c>
      <c r="T2570" s="13"/>
      <c r="U2570" s="13"/>
      <c r="V2570" s="13"/>
      <c r="W2570" s="13"/>
      <c r="X2570" s="22" t="str">
        <f aca="false">IF(Q2570="","",Q2570^2)</f>
        <v/>
      </c>
      <c r="Y2570" s="22" t="str">
        <f aca="false">IF(AND(C2570&lt;&gt;"",C2570=CERTIFICADO!$E$4,OR(CERTIFICADO!$E$5="",B2570=CERTIFICADO!$E$5)),MAX($Y$4:Y2569)+1,"")</f>
        <v/>
      </c>
    </row>
    <row r="2571" customFormat="false" ht="15" hidden="false" customHeight="false" outlineLevel="0" collapsed="false">
      <c r="A2571" s="11" t="str">
        <f aca="false">IF(C2571="","",ROW()-4)</f>
        <v/>
      </c>
      <c r="B2571" s="12"/>
      <c r="C2571" s="13"/>
      <c r="D2571" s="23" t="str">
        <f aca="false">IF(C2571="","",IFERROR(INDEX(LOTES!$D$5:$D$1004,MATCH(C2571,LOTES!$F$5:$F$1004,0)),"¿Lote?"))</f>
        <v/>
      </c>
      <c r="E2571" s="11" t="str">
        <f aca="false">IF(C2571="","",IFERROR(INDEX(LOTES!$C$5:$C$1004,MATCH(C2571,LOTES!$F$5:$F$1004,0)),""))</f>
        <v/>
      </c>
      <c r="F2571" s="24" t="str">
        <f aca="false">IF(C2571="","",IFERROR(INDEX(LOTES!$B$5:$B$1004,MATCH(C2571,LOTES!$F$5:$F$1004,0)),""))</f>
        <v/>
      </c>
      <c r="G2571" s="15" t="str">
        <f aca="false">IF(OR(B2571="",F2571=""),"",B2571-F2571)</f>
        <v/>
      </c>
      <c r="H2571" s="13"/>
      <c r="I2571" s="13"/>
      <c r="J2571" s="13"/>
      <c r="K2571" s="25"/>
      <c r="L2571" s="25"/>
      <c r="M2571" s="25"/>
      <c r="N2571" s="25"/>
      <c r="O2571" s="26"/>
      <c r="P2571" s="16" t="str">
        <f aca="false">IF(O2571="","",IFERROR(1/(1/(IF(K2571="",INDEX(CONFIG!$F$5:$F$14,MATCH(D2571,CONFIG!$D$5:$D$14,0)),K2571)*IF(M2571="",INDEX(CONFIG!$H$5:$H$14,MATCH(D2571,CONFIG!$D$5:$D$14,0)),M2571))),""))</f>
        <v/>
      </c>
      <c r="Q2571" s="16" t="str">
        <f aca="false">IF(OR(O2571="",P2571=""),"",O2571/P2571)</f>
        <v/>
      </c>
      <c r="R2571" s="16" t="str">
        <f aca="false">IF(Q2571="","",Q2571*0.0980665)</f>
        <v/>
      </c>
      <c r="S2571" s="16" t="str">
        <f aca="false">IF(Q2571="","",IFERROR(Q2571/(1/(1/INDEX(CONFIG!$I$5:$I$14,MATCH(D2571,CONFIG!$D$5:$D$14,0)))),""))</f>
        <v/>
      </c>
      <c r="T2571" s="13"/>
      <c r="U2571" s="13"/>
      <c r="V2571" s="13"/>
      <c r="W2571" s="13"/>
      <c r="X2571" s="22" t="str">
        <f aca="false">IF(Q2571="","",Q2571^2)</f>
        <v/>
      </c>
      <c r="Y2571" s="22" t="str">
        <f aca="false">IF(AND(C2571&lt;&gt;"",C2571=CERTIFICADO!$E$4,OR(CERTIFICADO!$E$5="",B2571=CERTIFICADO!$E$5)),MAX($Y$4:Y2570)+1,"")</f>
        <v/>
      </c>
    </row>
    <row r="2572" customFormat="false" ht="15" hidden="false" customHeight="false" outlineLevel="0" collapsed="false">
      <c r="A2572" s="11" t="str">
        <f aca="false">IF(C2572="","",ROW()-4)</f>
        <v/>
      </c>
      <c r="B2572" s="12"/>
      <c r="C2572" s="13"/>
      <c r="D2572" s="23" t="str">
        <f aca="false">IF(C2572="","",IFERROR(INDEX(LOTES!$D$5:$D$1004,MATCH(C2572,LOTES!$F$5:$F$1004,0)),"¿Lote?"))</f>
        <v/>
      </c>
      <c r="E2572" s="11" t="str">
        <f aca="false">IF(C2572="","",IFERROR(INDEX(LOTES!$C$5:$C$1004,MATCH(C2572,LOTES!$F$5:$F$1004,0)),""))</f>
        <v/>
      </c>
      <c r="F2572" s="24" t="str">
        <f aca="false">IF(C2572="","",IFERROR(INDEX(LOTES!$B$5:$B$1004,MATCH(C2572,LOTES!$F$5:$F$1004,0)),""))</f>
        <v/>
      </c>
      <c r="G2572" s="15" t="str">
        <f aca="false">IF(OR(B2572="",F2572=""),"",B2572-F2572)</f>
        <v/>
      </c>
      <c r="H2572" s="13"/>
      <c r="I2572" s="13"/>
      <c r="J2572" s="13"/>
      <c r="K2572" s="25"/>
      <c r="L2572" s="25"/>
      <c r="M2572" s="25"/>
      <c r="N2572" s="25"/>
      <c r="O2572" s="26"/>
      <c r="P2572" s="16" t="str">
        <f aca="false">IF(O2572="","",IFERROR(1/(1/(IF(K2572="",INDEX(CONFIG!$F$5:$F$14,MATCH(D2572,CONFIG!$D$5:$D$14,0)),K2572)*IF(M2572="",INDEX(CONFIG!$H$5:$H$14,MATCH(D2572,CONFIG!$D$5:$D$14,0)),M2572))),""))</f>
        <v/>
      </c>
      <c r="Q2572" s="16" t="str">
        <f aca="false">IF(OR(O2572="",P2572=""),"",O2572/P2572)</f>
        <v/>
      </c>
      <c r="R2572" s="16" t="str">
        <f aca="false">IF(Q2572="","",Q2572*0.0980665)</f>
        <v/>
      </c>
      <c r="S2572" s="16" t="str">
        <f aca="false">IF(Q2572="","",IFERROR(Q2572/(1/(1/INDEX(CONFIG!$I$5:$I$14,MATCH(D2572,CONFIG!$D$5:$D$14,0)))),""))</f>
        <v/>
      </c>
      <c r="T2572" s="13"/>
      <c r="U2572" s="13"/>
      <c r="V2572" s="13"/>
      <c r="W2572" s="13"/>
      <c r="X2572" s="22" t="str">
        <f aca="false">IF(Q2572="","",Q2572^2)</f>
        <v/>
      </c>
      <c r="Y2572" s="22" t="str">
        <f aca="false">IF(AND(C2572&lt;&gt;"",C2572=CERTIFICADO!$E$4,OR(CERTIFICADO!$E$5="",B2572=CERTIFICADO!$E$5)),MAX($Y$4:Y2571)+1,"")</f>
        <v/>
      </c>
    </row>
    <row r="2573" customFormat="false" ht="15" hidden="false" customHeight="false" outlineLevel="0" collapsed="false">
      <c r="A2573" s="11" t="str">
        <f aca="false">IF(C2573="","",ROW()-4)</f>
        <v/>
      </c>
      <c r="B2573" s="12"/>
      <c r="C2573" s="13"/>
      <c r="D2573" s="23" t="str">
        <f aca="false">IF(C2573="","",IFERROR(INDEX(LOTES!$D$5:$D$1004,MATCH(C2573,LOTES!$F$5:$F$1004,0)),"¿Lote?"))</f>
        <v/>
      </c>
      <c r="E2573" s="11" t="str">
        <f aca="false">IF(C2573="","",IFERROR(INDEX(LOTES!$C$5:$C$1004,MATCH(C2573,LOTES!$F$5:$F$1004,0)),""))</f>
        <v/>
      </c>
      <c r="F2573" s="24" t="str">
        <f aca="false">IF(C2573="","",IFERROR(INDEX(LOTES!$B$5:$B$1004,MATCH(C2573,LOTES!$F$5:$F$1004,0)),""))</f>
        <v/>
      </c>
      <c r="G2573" s="15" t="str">
        <f aca="false">IF(OR(B2573="",F2573=""),"",B2573-F2573)</f>
        <v/>
      </c>
      <c r="H2573" s="13"/>
      <c r="I2573" s="13"/>
      <c r="J2573" s="13"/>
      <c r="K2573" s="25"/>
      <c r="L2573" s="25"/>
      <c r="M2573" s="25"/>
      <c r="N2573" s="25"/>
      <c r="O2573" s="26"/>
      <c r="P2573" s="16" t="str">
        <f aca="false">IF(O2573="","",IFERROR(1/(1/(IF(K2573="",INDEX(CONFIG!$F$5:$F$14,MATCH(D2573,CONFIG!$D$5:$D$14,0)),K2573)*IF(M2573="",INDEX(CONFIG!$H$5:$H$14,MATCH(D2573,CONFIG!$D$5:$D$14,0)),M2573))),""))</f>
        <v/>
      </c>
      <c r="Q2573" s="16" t="str">
        <f aca="false">IF(OR(O2573="",P2573=""),"",O2573/P2573)</f>
        <v/>
      </c>
      <c r="R2573" s="16" t="str">
        <f aca="false">IF(Q2573="","",Q2573*0.0980665)</f>
        <v/>
      </c>
      <c r="S2573" s="16" t="str">
        <f aca="false">IF(Q2573="","",IFERROR(Q2573/(1/(1/INDEX(CONFIG!$I$5:$I$14,MATCH(D2573,CONFIG!$D$5:$D$14,0)))),""))</f>
        <v/>
      </c>
      <c r="T2573" s="13"/>
      <c r="U2573" s="13"/>
      <c r="V2573" s="13"/>
      <c r="W2573" s="13"/>
      <c r="X2573" s="22" t="str">
        <f aca="false">IF(Q2573="","",Q2573^2)</f>
        <v/>
      </c>
      <c r="Y2573" s="22" t="str">
        <f aca="false">IF(AND(C2573&lt;&gt;"",C2573=CERTIFICADO!$E$4,OR(CERTIFICADO!$E$5="",B2573=CERTIFICADO!$E$5)),MAX($Y$4:Y2572)+1,"")</f>
        <v/>
      </c>
    </row>
    <row r="2574" customFormat="false" ht="15" hidden="false" customHeight="false" outlineLevel="0" collapsed="false">
      <c r="A2574" s="11" t="str">
        <f aca="false">IF(C2574="","",ROW()-4)</f>
        <v/>
      </c>
      <c r="B2574" s="12"/>
      <c r="C2574" s="13"/>
      <c r="D2574" s="23" t="str">
        <f aca="false">IF(C2574="","",IFERROR(INDEX(LOTES!$D$5:$D$1004,MATCH(C2574,LOTES!$F$5:$F$1004,0)),"¿Lote?"))</f>
        <v/>
      </c>
      <c r="E2574" s="11" t="str">
        <f aca="false">IF(C2574="","",IFERROR(INDEX(LOTES!$C$5:$C$1004,MATCH(C2574,LOTES!$F$5:$F$1004,0)),""))</f>
        <v/>
      </c>
      <c r="F2574" s="24" t="str">
        <f aca="false">IF(C2574="","",IFERROR(INDEX(LOTES!$B$5:$B$1004,MATCH(C2574,LOTES!$F$5:$F$1004,0)),""))</f>
        <v/>
      </c>
      <c r="G2574" s="15" t="str">
        <f aca="false">IF(OR(B2574="",F2574=""),"",B2574-F2574)</f>
        <v/>
      </c>
      <c r="H2574" s="13"/>
      <c r="I2574" s="13"/>
      <c r="J2574" s="13"/>
      <c r="K2574" s="25"/>
      <c r="L2574" s="25"/>
      <c r="M2574" s="25"/>
      <c r="N2574" s="25"/>
      <c r="O2574" s="26"/>
      <c r="P2574" s="16" t="str">
        <f aca="false">IF(O2574="","",IFERROR(1/(1/(IF(K2574="",INDEX(CONFIG!$F$5:$F$14,MATCH(D2574,CONFIG!$D$5:$D$14,0)),K2574)*IF(M2574="",INDEX(CONFIG!$H$5:$H$14,MATCH(D2574,CONFIG!$D$5:$D$14,0)),M2574))),""))</f>
        <v/>
      </c>
      <c r="Q2574" s="16" t="str">
        <f aca="false">IF(OR(O2574="",P2574=""),"",O2574/P2574)</f>
        <v/>
      </c>
      <c r="R2574" s="16" t="str">
        <f aca="false">IF(Q2574="","",Q2574*0.0980665)</f>
        <v/>
      </c>
      <c r="S2574" s="16" t="str">
        <f aca="false">IF(Q2574="","",IFERROR(Q2574/(1/(1/INDEX(CONFIG!$I$5:$I$14,MATCH(D2574,CONFIG!$D$5:$D$14,0)))),""))</f>
        <v/>
      </c>
      <c r="T2574" s="13"/>
      <c r="U2574" s="13"/>
      <c r="V2574" s="13"/>
      <c r="W2574" s="13"/>
      <c r="X2574" s="22" t="str">
        <f aca="false">IF(Q2574="","",Q2574^2)</f>
        <v/>
      </c>
      <c r="Y2574" s="22" t="str">
        <f aca="false">IF(AND(C2574&lt;&gt;"",C2574=CERTIFICADO!$E$4,OR(CERTIFICADO!$E$5="",B2574=CERTIFICADO!$E$5)),MAX($Y$4:Y2573)+1,"")</f>
        <v/>
      </c>
    </row>
    <row r="2575" customFormat="false" ht="15" hidden="false" customHeight="false" outlineLevel="0" collapsed="false">
      <c r="A2575" s="11" t="str">
        <f aca="false">IF(C2575="","",ROW()-4)</f>
        <v/>
      </c>
      <c r="B2575" s="12"/>
      <c r="C2575" s="13"/>
      <c r="D2575" s="23" t="str">
        <f aca="false">IF(C2575="","",IFERROR(INDEX(LOTES!$D$5:$D$1004,MATCH(C2575,LOTES!$F$5:$F$1004,0)),"¿Lote?"))</f>
        <v/>
      </c>
      <c r="E2575" s="11" t="str">
        <f aca="false">IF(C2575="","",IFERROR(INDEX(LOTES!$C$5:$C$1004,MATCH(C2575,LOTES!$F$5:$F$1004,0)),""))</f>
        <v/>
      </c>
      <c r="F2575" s="24" t="str">
        <f aca="false">IF(C2575="","",IFERROR(INDEX(LOTES!$B$5:$B$1004,MATCH(C2575,LOTES!$F$5:$F$1004,0)),""))</f>
        <v/>
      </c>
      <c r="G2575" s="15" t="str">
        <f aca="false">IF(OR(B2575="",F2575=""),"",B2575-F2575)</f>
        <v/>
      </c>
      <c r="H2575" s="13"/>
      <c r="I2575" s="13"/>
      <c r="J2575" s="13"/>
      <c r="K2575" s="25"/>
      <c r="L2575" s="25"/>
      <c r="M2575" s="25"/>
      <c r="N2575" s="25"/>
      <c r="O2575" s="26"/>
      <c r="P2575" s="16" t="str">
        <f aca="false">IF(O2575="","",IFERROR(1/(1/(IF(K2575="",INDEX(CONFIG!$F$5:$F$14,MATCH(D2575,CONFIG!$D$5:$D$14,0)),K2575)*IF(M2575="",INDEX(CONFIG!$H$5:$H$14,MATCH(D2575,CONFIG!$D$5:$D$14,0)),M2575))),""))</f>
        <v/>
      </c>
      <c r="Q2575" s="16" t="str">
        <f aca="false">IF(OR(O2575="",P2575=""),"",O2575/P2575)</f>
        <v/>
      </c>
      <c r="R2575" s="16" t="str">
        <f aca="false">IF(Q2575="","",Q2575*0.0980665)</f>
        <v/>
      </c>
      <c r="S2575" s="16" t="str">
        <f aca="false">IF(Q2575="","",IFERROR(Q2575/(1/(1/INDEX(CONFIG!$I$5:$I$14,MATCH(D2575,CONFIG!$D$5:$D$14,0)))),""))</f>
        <v/>
      </c>
      <c r="T2575" s="13"/>
      <c r="U2575" s="13"/>
      <c r="V2575" s="13"/>
      <c r="W2575" s="13"/>
      <c r="X2575" s="22" t="str">
        <f aca="false">IF(Q2575="","",Q2575^2)</f>
        <v/>
      </c>
      <c r="Y2575" s="22" t="str">
        <f aca="false">IF(AND(C2575&lt;&gt;"",C2575=CERTIFICADO!$E$4,OR(CERTIFICADO!$E$5="",B2575=CERTIFICADO!$E$5)),MAX($Y$4:Y2574)+1,"")</f>
        <v/>
      </c>
    </row>
    <row r="2576" customFormat="false" ht="15" hidden="false" customHeight="false" outlineLevel="0" collapsed="false">
      <c r="A2576" s="11" t="str">
        <f aca="false">IF(C2576="","",ROW()-4)</f>
        <v/>
      </c>
      <c r="B2576" s="12"/>
      <c r="C2576" s="13"/>
      <c r="D2576" s="23" t="str">
        <f aca="false">IF(C2576="","",IFERROR(INDEX(LOTES!$D$5:$D$1004,MATCH(C2576,LOTES!$F$5:$F$1004,0)),"¿Lote?"))</f>
        <v/>
      </c>
      <c r="E2576" s="11" t="str">
        <f aca="false">IF(C2576="","",IFERROR(INDEX(LOTES!$C$5:$C$1004,MATCH(C2576,LOTES!$F$5:$F$1004,0)),""))</f>
        <v/>
      </c>
      <c r="F2576" s="24" t="str">
        <f aca="false">IF(C2576="","",IFERROR(INDEX(LOTES!$B$5:$B$1004,MATCH(C2576,LOTES!$F$5:$F$1004,0)),""))</f>
        <v/>
      </c>
      <c r="G2576" s="15" t="str">
        <f aca="false">IF(OR(B2576="",F2576=""),"",B2576-F2576)</f>
        <v/>
      </c>
      <c r="H2576" s="13"/>
      <c r="I2576" s="13"/>
      <c r="J2576" s="13"/>
      <c r="K2576" s="25"/>
      <c r="L2576" s="25"/>
      <c r="M2576" s="25"/>
      <c r="N2576" s="25"/>
      <c r="O2576" s="26"/>
      <c r="P2576" s="16" t="str">
        <f aca="false">IF(O2576="","",IFERROR(1/(1/(IF(K2576="",INDEX(CONFIG!$F$5:$F$14,MATCH(D2576,CONFIG!$D$5:$D$14,0)),K2576)*IF(M2576="",INDEX(CONFIG!$H$5:$H$14,MATCH(D2576,CONFIG!$D$5:$D$14,0)),M2576))),""))</f>
        <v/>
      </c>
      <c r="Q2576" s="16" t="str">
        <f aca="false">IF(OR(O2576="",P2576=""),"",O2576/P2576)</f>
        <v/>
      </c>
      <c r="R2576" s="16" t="str">
        <f aca="false">IF(Q2576="","",Q2576*0.0980665)</f>
        <v/>
      </c>
      <c r="S2576" s="16" t="str">
        <f aca="false">IF(Q2576="","",IFERROR(Q2576/(1/(1/INDEX(CONFIG!$I$5:$I$14,MATCH(D2576,CONFIG!$D$5:$D$14,0)))),""))</f>
        <v/>
      </c>
      <c r="T2576" s="13"/>
      <c r="U2576" s="13"/>
      <c r="V2576" s="13"/>
      <c r="W2576" s="13"/>
      <c r="X2576" s="22" t="str">
        <f aca="false">IF(Q2576="","",Q2576^2)</f>
        <v/>
      </c>
      <c r="Y2576" s="22" t="str">
        <f aca="false">IF(AND(C2576&lt;&gt;"",C2576=CERTIFICADO!$E$4,OR(CERTIFICADO!$E$5="",B2576=CERTIFICADO!$E$5)),MAX($Y$4:Y2575)+1,"")</f>
        <v/>
      </c>
    </row>
    <row r="2577" customFormat="false" ht="15" hidden="false" customHeight="false" outlineLevel="0" collapsed="false">
      <c r="A2577" s="11" t="str">
        <f aca="false">IF(C2577="","",ROW()-4)</f>
        <v/>
      </c>
      <c r="B2577" s="12"/>
      <c r="C2577" s="13"/>
      <c r="D2577" s="23" t="str">
        <f aca="false">IF(C2577="","",IFERROR(INDEX(LOTES!$D$5:$D$1004,MATCH(C2577,LOTES!$F$5:$F$1004,0)),"¿Lote?"))</f>
        <v/>
      </c>
      <c r="E2577" s="11" t="str">
        <f aca="false">IF(C2577="","",IFERROR(INDEX(LOTES!$C$5:$C$1004,MATCH(C2577,LOTES!$F$5:$F$1004,0)),""))</f>
        <v/>
      </c>
      <c r="F2577" s="24" t="str">
        <f aca="false">IF(C2577="","",IFERROR(INDEX(LOTES!$B$5:$B$1004,MATCH(C2577,LOTES!$F$5:$F$1004,0)),""))</f>
        <v/>
      </c>
      <c r="G2577" s="15" t="str">
        <f aca="false">IF(OR(B2577="",F2577=""),"",B2577-F2577)</f>
        <v/>
      </c>
      <c r="H2577" s="13"/>
      <c r="I2577" s="13"/>
      <c r="J2577" s="13"/>
      <c r="K2577" s="25"/>
      <c r="L2577" s="25"/>
      <c r="M2577" s="25"/>
      <c r="N2577" s="25"/>
      <c r="O2577" s="26"/>
      <c r="P2577" s="16" t="str">
        <f aca="false">IF(O2577="","",IFERROR(1/(1/(IF(K2577="",INDEX(CONFIG!$F$5:$F$14,MATCH(D2577,CONFIG!$D$5:$D$14,0)),K2577)*IF(M2577="",INDEX(CONFIG!$H$5:$H$14,MATCH(D2577,CONFIG!$D$5:$D$14,0)),M2577))),""))</f>
        <v/>
      </c>
      <c r="Q2577" s="16" t="str">
        <f aca="false">IF(OR(O2577="",P2577=""),"",O2577/P2577)</f>
        <v/>
      </c>
      <c r="R2577" s="16" t="str">
        <f aca="false">IF(Q2577="","",Q2577*0.0980665)</f>
        <v/>
      </c>
      <c r="S2577" s="16" t="str">
        <f aca="false">IF(Q2577="","",IFERROR(Q2577/(1/(1/INDEX(CONFIG!$I$5:$I$14,MATCH(D2577,CONFIG!$D$5:$D$14,0)))),""))</f>
        <v/>
      </c>
      <c r="T2577" s="13"/>
      <c r="U2577" s="13"/>
      <c r="V2577" s="13"/>
      <c r="W2577" s="13"/>
      <c r="X2577" s="22" t="str">
        <f aca="false">IF(Q2577="","",Q2577^2)</f>
        <v/>
      </c>
      <c r="Y2577" s="22" t="str">
        <f aca="false">IF(AND(C2577&lt;&gt;"",C2577=CERTIFICADO!$E$4,OR(CERTIFICADO!$E$5="",B2577=CERTIFICADO!$E$5)),MAX($Y$4:Y2576)+1,"")</f>
        <v/>
      </c>
    </row>
    <row r="2578" customFormat="false" ht="15" hidden="false" customHeight="false" outlineLevel="0" collapsed="false">
      <c r="A2578" s="11" t="str">
        <f aca="false">IF(C2578="","",ROW()-4)</f>
        <v/>
      </c>
      <c r="B2578" s="12"/>
      <c r="C2578" s="13"/>
      <c r="D2578" s="23" t="str">
        <f aca="false">IF(C2578="","",IFERROR(INDEX(LOTES!$D$5:$D$1004,MATCH(C2578,LOTES!$F$5:$F$1004,0)),"¿Lote?"))</f>
        <v/>
      </c>
      <c r="E2578" s="11" t="str">
        <f aca="false">IF(C2578="","",IFERROR(INDEX(LOTES!$C$5:$C$1004,MATCH(C2578,LOTES!$F$5:$F$1004,0)),""))</f>
        <v/>
      </c>
      <c r="F2578" s="24" t="str">
        <f aca="false">IF(C2578="","",IFERROR(INDEX(LOTES!$B$5:$B$1004,MATCH(C2578,LOTES!$F$5:$F$1004,0)),""))</f>
        <v/>
      </c>
      <c r="G2578" s="15" t="str">
        <f aca="false">IF(OR(B2578="",F2578=""),"",B2578-F2578)</f>
        <v/>
      </c>
      <c r="H2578" s="13"/>
      <c r="I2578" s="13"/>
      <c r="J2578" s="13"/>
      <c r="K2578" s="25"/>
      <c r="L2578" s="25"/>
      <c r="M2578" s="25"/>
      <c r="N2578" s="25"/>
      <c r="O2578" s="26"/>
      <c r="P2578" s="16" t="str">
        <f aca="false">IF(O2578="","",IFERROR(1/(1/(IF(K2578="",INDEX(CONFIG!$F$5:$F$14,MATCH(D2578,CONFIG!$D$5:$D$14,0)),K2578)*IF(M2578="",INDEX(CONFIG!$H$5:$H$14,MATCH(D2578,CONFIG!$D$5:$D$14,0)),M2578))),""))</f>
        <v/>
      </c>
      <c r="Q2578" s="16" t="str">
        <f aca="false">IF(OR(O2578="",P2578=""),"",O2578/P2578)</f>
        <v/>
      </c>
      <c r="R2578" s="16" t="str">
        <f aca="false">IF(Q2578="","",Q2578*0.0980665)</f>
        <v/>
      </c>
      <c r="S2578" s="16" t="str">
        <f aca="false">IF(Q2578="","",IFERROR(Q2578/(1/(1/INDEX(CONFIG!$I$5:$I$14,MATCH(D2578,CONFIG!$D$5:$D$14,0)))),""))</f>
        <v/>
      </c>
      <c r="T2578" s="13"/>
      <c r="U2578" s="13"/>
      <c r="V2578" s="13"/>
      <c r="W2578" s="13"/>
      <c r="X2578" s="22" t="str">
        <f aca="false">IF(Q2578="","",Q2578^2)</f>
        <v/>
      </c>
      <c r="Y2578" s="22" t="str">
        <f aca="false">IF(AND(C2578&lt;&gt;"",C2578=CERTIFICADO!$E$4,OR(CERTIFICADO!$E$5="",B2578=CERTIFICADO!$E$5)),MAX($Y$4:Y2577)+1,"")</f>
        <v/>
      </c>
    </row>
    <row r="2579" customFormat="false" ht="15" hidden="false" customHeight="false" outlineLevel="0" collapsed="false">
      <c r="A2579" s="11" t="str">
        <f aca="false">IF(C2579="","",ROW()-4)</f>
        <v/>
      </c>
      <c r="B2579" s="12"/>
      <c r="C2579" s="13"/>
      <c r="D2579" s="23" t="str">
        <f aca="false">IF(C2579="","",IFERROR(INDEX(LOTES!$D$5:$D$1004,MATCH(C2579,LOTES!$F$5:$F$1004,0)),"¿Lote?"))</f>
        <v/>
      </c>
      <c r="E2579" s="11" t="str">
        <f aca="false">IF(C2579="","",IFERROR(INDEX(LOTES!$C$5:$C$1004,MATCH(C2579,LOTES!$F$5:$F$1004,0)),""))</f>
        <v/>
      </c>
      <c r="F2579" s="24" t="str">
        <f aca="false">IF(C2579="","",IFERROR(INDEX(LOTES!$B$5:$B$1004,MATCH(C2579,LOTES!$F$5:$F$1004,0)),""))</f>
        <v/>
      </c>
      <c r="G2579" s="15" t="str">
        <f aca="false">IF(OR(B2579="",F2579=""),"",B2579-F2579)</f>
        <v/>
      </c>
      <c r="H2579" s="13"/>
      <c r="I2579" s="13"/>
      <c r="J2579" s="13"/>
      <c r="K2579" s="25"/>
      <c r="L2579" s="25"/>
      <c r="M2579" s="25"/>
      <c r="N2579" s="25"/>
      <c r="O2579" s="26"/>
      <c r="P2579" s="16" t="str">
        <f aca="false">IF(O2579="","",IFERROR(1/(1/(IF(K2579="",INDEX(CONFIG!$F$5:$F$14,MATCH(D2579,CONFIG!$D$5:$D$14,0)),K2579)*IF(M2579="",INDEX(CONFIG!$H$5:$H$14,MATCH(D2579,CONFIG!$D$5:$D$14,0)),M2579))),""))</f>
        <v/>
      </c>
      <c r="Q2579" s="16" t="str">
        <f aca="false">IF(OR(O2579="",P2579=""),"",O2579/P2579)</f>
        <v/>
      </c>
      <c r="R2579" s="16" t="str">
        <f aca="false">IF(Q2579="","",Q2579*0.0980665)</f>
        <v/>
      </c>
      <c r="S2579" s="16" t="str">
        <f aca="false">IF(Q2579="","",IFERROR(Q2579/(1/(1/INDEX(CONFIG!$I$5:$I$14,MATCH(D2579,CONFIG!$D$5:$D$14,0)))),""))</f>
        <v/>
      </c>
      <c r="T2579" s="13"/>
      <c r="U2579" s="13"/>
      <c r="V2579" s="13"/>
      <c r="W2579" s="13"/>
      <c r="X2579" s="22" t="str">
        <f aca="false">IF(Q2579="","",Q2579^2)</f>
        <v/>
      </c>
      <c r="Y2579" s="22" t="str">
        <f aca="false">IF(AND(C2579&lt;&gt;"",C2579=CERTIFICADO!$E$4,OR(CERTIFICADO!$E$5="",B2579=CERTIFICADO!$E$5)),MAX($Y$4:Y2578)+1,"")</f>
        <v/>
      </c>
    </row>
    <row r="2580" customFormat="false" ht="15" hidden="false" customHeight="false" outlineLevel="0" collapsed="false">
      <c r="A2580" s="11" t="str">
        <f aca="false">IF(C2580="","",ROW()-4)</f>
        <v/>
      </c>
      <c r="B2580" s="12"/>
      <c r="C2580" s="13"/>
      <c r="D2580" s="23" t="str">
        <f aca="false">IF(C2580="","",IFERROR(INDEX(LOTES!$D$5:$D$1004,MATCH(C2580,LOTES!$F$5:$F$1004,0)),"¿Lote?"))</f>
        <v/>
      </c>
      <c r="E2580" s="11" t="str">
        <f aca="false">IF(C2580="","",IFERROR(INDEX(LOTES!$C$5:$C$1004,MATCH(C2580,LOTES!$F$5:$F$1004,0)),""))</f>
        <v/>
      </c>
      <c r="F2580" s="24" t="str">
        <f aca="false">IF(C2580="","",IFERROR(INDEX(LOTES!$B$5:$B$1004,MATCH(C2580,LOTES!$F$5:$F$1004,0)),""))</f>
        <v/>
      </c>
      <c r="G2580" s="15" t="str">
        <f aca="false">IF(OR(B2580="",F2580=""),"",B2580-F2580)</f>
        <v/>
      </c>
      <c r="H2580" s="13"/>
      <c r="I2580" s="13"/>
      <c r="J2580" s="13"/>
      <c r="K2580" s="25"/>
      <c r="L2580" s="25"/>
      <c r="M2580" s="25"/>
      <c r="N2580" s="25"/>
      <c r="O2580" s="26"/>
      <c r="P2580" s="16" t="str">
        <f aca="false">IF(O2580="","",IFERROR(1/(1/(IF(K2580="",INDEX(CONFIG!$F$5:$F$14,MATCH(D2580,CONFIG!$D$5:$D$14,0)),K2580)*IF(M2580="",INDEX(CONFIG!$H$5:$H$14,MATCH(D2580,CONFIG!$D$5:$D$14,0)),M2580))),""))</f>
        <v/>
      </c>
      <c r="Q2580" s="16" t="str">
        <f aca="false">IF(OR(O2580="",P2580=""),"",O2580/P2580)</f>
        <v/>
      </c>
      <c r="R2580" s="16" t="str">
        <f aca="false">IF(Q2580="","",Q2580*0.0980665)</f>
        <v/>
      </c>
      <c r="S2580" s="16" t="str">
        <f aca="false">IF(Q2580="","",IFERROR(Q2580/(1/(1/INDEX(CONFIG!$I$5:$I$14,MATCH(D2580,CONFIG!$D$5:$D$14,0)))),""))</f>
        <v/>
      </c>
      <c r="T2580" s="13"/>
      <c r="U2580" s="13"/>
      <c r="V2580" s="13"/>
      <c r="W2580" s="13"/>
      <c r="X2580" s="22" t="str">
        <f aca="false">IF(Q2580="","",Q2580^2)</f>
        <v/>
      </c>
      <c r="Y2580" s="22" t="str">
        <f aca="false">IF(AND(C2580&lt;&gt;"",C2580=CERTIFICADO!$E$4,OR(CERTIFICADO!$E$5="",B2580=CERTIFICADO!$E$5)),MAX($Y$4:Y2579)+1,"")</f>
        <v/>
      </c>
    </row>
    <row r="2581" customFormat="false" ht="15" hidden="false" customHeight="false" outlineLevel="0" collapsed="false">
      <c r="A2581" s="11" t="str">
        <f aca="false">IF(C2581="","",ROW()-4)</f>
        <v/>
      </c>
      <c r="B2581" s="12"/>
      <c r="C2581" s="13"/>
      <c r="D2581" s="23" t="str">
        <f aca="false">IF(C2581="","",IFERROR(INDEX(LOTES!$D$5:$D$1004,MATCH(C2581,LOTES!$F$5:$F$1004,0)),"¿Lote?"))</f>
        <v/>
      </c>
      <c r="E2581" s="11" t="str">
        <f aca="false">IF(C2581="","",IFERROR(INDEX(LOTES!$C$5:$C$1004,MATCH(C2581,LOTES!$F$5:$F$1004,0)),""))</f>
        <v/>
      </c>
      <c r="F2581" s="24" t="str">
        <f aca="false">IF(C2581="","",IFERROR(INDEX(LOTES!$B$5:$B$1004,MATCH(C2581,LOTES!$F$5:$F$1004,0)),""))</f>
        <v/>
      </c>
      <c r="G2581" s="15" t="str">
        <f aca="false">IF(OR(B2581="",F2581=""),"",B2581-F2581)</f>
        <v/>
      </c>
      <c r="H2581" s="13"/>
      <c r="I2581" s="13"/>
      <c r="J2581" s="13"/>
      <c r="K2581" s="25"/>
      <c r="L2581" s="25"/>
      <c r="M2581" s="25"/>
      <c r="N2581" s="25"/>
      <c r="O2581" s="26"/>
      <c r="P2581" s="16" t="str">
        <f aca="false">IF(O2581="","",IFERROR(1/(1/(IF(K2581="",INDEX(CONFIG!$F$5:$F$14,MATCH(D2581,CONFIG!$D$5:$D$14,0)),K2581)*IF(M2581="",INDEX(CONFIG!$H$5:$H$14,MATCH(D2581,CONFIG!$D$5:$D$14,0)),M2581))),""))</f>
        <v/>
      </c>
      <c r="Q2581" s="16" t="str">
        <f aca="false">IF(OR(O2581="",P2581=""),"",O2581/P2581)</f>
        <v/>
      </c>
      <c r="R2581" s="16" t="str">
        <f aca="false">IF(Q2581="","",Q2581*0.0980665)</f>
        <v/>
      </c>
      <c r="S2581" s="16" t="str">
        <f aca="false">IF(Q2581="","",IFERROR(Q2581/(1/(1/INDEX(CONFIG!$I$5:$I$14,MATCH(D2581,CONFIG!$D$5:$D$14,0)))),""))</f>
        <v/>
      </c>
      <c r="T2581" s="13"/>
      <c r="U2581" s="13"/>
      <c r="V2581" s="13"/>
      <c r="W2581" s="13"/>
      <c r="X2581" s="22" t="str">
        <f aca="false">IF(Q2581="","",Q2581^2)</f>
        <v/>
      </c>
      <c r="Y2581" s="22" t="str">
        <f aca="false">IF(AND(C2581&lt;&gt;"",C2581=CERTIFICADO!$E$4,OR(CERTIFICADO!$E$5="",B2581=CERTIFICADO!$E$5)),MAX($Y$4:Y2580)+1,"")</f>
        <v/>
      </c>
    </row>
    <row r="2582" customFormat="false" ht="15" hidden="false" customHeight="false" outlineLevel="0" collapsed="false">
      <c r="A2582" s="11" t="str">
        <f aca="false">IF(C2582="","",ROW()-4)</f>
        <v/>
      </c>
      <c r="B2582" s="12"/>
      <c r="C2582" s="13"/>
      <c r="D2582" s="23" t="str">
        <f aca="false">IF(C2582="","",IFERROR(INDEX(LOTES!$D$5:$D$1004,MATCH(C2582,LOTES!$F$5:$F$1004,0)),"¿Lote?"))</f>
        <v/>
      </c>
      <c r="E2582" s="11" t="str">
        <f aca="false">IF(C2582="","",IFERROR(INDEX(LOTES!$C$5:$C$1004,MATCH(C2582,LOTES!$F$5:$F$1004,0)),""))</f>
        <v/>
      </c>
      <c r="F2582" s="24" t="str">
        <f aca="false">IF(C2582="","",IFERROR(INDEX(LOTES!$B$5:$B$1004,MATCH(C2582,LOTES!$F$5:$F$1004,0)),""))</f>
        <v/>
      </c>
      <c r="G2582" s="15" t="str">
        <f aca="false">IF(OR(B2582="",F2582=""),"",B2582-F2582)</f>
        <v/>
      </c>
      <c r="H2582" s="13"/>
      <c r="I2582" s="13"/>
      <c r="J2582" s="13"/>
      <c r="K2582" s="25"/>
      <c r="L2582" s="25"/>
      <c r="M2582" s="25"/>
      <c r="N2582" s="25"/>
      <c r="O2582" s="26"/>
      <c r="P2582" s="16" t="str">
        <f aca="false">IF(O2582="","",IFERROR(1/(1/(IF(K2582="",INDEX(CONFIG!$F$5:$F$14,MATCH(D2582,CONFIG!$D$5:$D$14,0)),K2582)*IF(M2582="",INDEX(CONFIG!$H$5:$H$14,MATCH(D2582,CONFIG!$D$5:$D$14,0)),M2582))),""))</f>
        <v/>
      </c>
      <c r="Q2582" s="16" t="str">
        <f aca="false">IF(OR(O2582="",P2582=""),"",O2582/P2582)</f>
        <v/>
      </c>
      <c r="R2582" s="16" t="str">
        <f aca="false">IF(Q2582="","",Q2582*0.0980665)</f>
        <v/>
      </c>
      <c r="S2582" s="16" t="str">
        <f aca="false">IF(Q2582="","",IFERROR(Q2582/(1/(1/INDEX(CONFIG!$I$5:$I$14,MATCH(D2582,CONFIG!$D$5:$D$14,0)))),""))</f>
        <v/>
      </c>
      <c r="T2582" s="13"/>
      <c r="U2582" s="13"/>
      <c r="V2582" s="13"/>
      <c r="W2582" s="13"/>
      <c r="X2582" s="22" t="str">
        <f aca="false">IF(Q2582="","",Q2582^2)</f>
        <v/>
      </c>
      <c r="Y2582" s="22" t="str">
        <f aca="false">IF(AND(C2582&lt;&gt;"",C2582=CERTIFICADO!$E$4,OR(CERTIFICADO!$E$5="",B2582=CERTIFICADO!$E$5)),MAX($Y$4:Y2581)+1,"")</f>
        <v/>
      </c>
    </row>
    <row r="2583" customFormat="false" ht="15" hidden="false" customHeight="false" outlineLevel="0" collapsed="false">
      <c r="A2583" s="11" t="str">
        <f aca="false">IF(C2583="","",ROW()-4)</f>
        <v/>
      </c>
      <c r="B2583" s="12"/>
      <c r="C2583" s="13"/>
      <c r="D2583" s="23" t="str">
        <f aca="false">IF(C2583="","",IFERROR(INDEX(LOTES!$D$5:$D$1004,MATCH(C2583,LOTES!$F$5:$F$1004,0)),"¿Lote?"))</f>
        <v/>
      </c>
      <c r="E2583" s="11" t="str">
        <f aca="false">IF(C2583="","",IFERROR(INDEX(LOTES!$C$5:$C$1004,MATCH(C2583,LOTES!$F$5:$F$1004,0)),""))</f>
        <v/>
      </c>
      <c r="F2583" s="24" t="str">
        <f aca="false">IF(C2583="","",IFERROR(INDEX(LOTES!$B$5:$B$1004,MATCH(C2583,LOTES!$F$5:$F$1004,0)),""))</f>
        <v/>
      </c>
      <c r="G2583" s="15" t="str">
        <f aca="false">IF(OR(B2583="",F2583=""),"",B2583-F2583)</f>
        <v/>
      </c>
      <c r="H2583" s="13"/>
      <c r="I2583" s="13"/>
      <c r="J2583" s="13"/>
      <c r="K2583" s="25"/>
      <c r="L2583" s="25"/>
      <c r="M2583" s="25"/>
      <c r="N2583" s="25"/>
      <c r="O2583" s="26"/>
      <c r="P2583" s="16" t="str">
        <f aca="false">IF(O2583="","",IFERROR(1/(1/(IF(K2583="",INDEX(CONFIG!$F$5:$F$14,MATCH(D2583,CONFIG!$D$5:$D$14,0)),K2583)*IF(M2583="",INDEX(CONFIG!$H$5:$H$14,MATCH(D2583,CONFIG!$D$5:$D$14,0)),M2583))),""))</f>
        <v/>
      </c>
      <c r="Q2583" s="16" t="str">
        <f aca="false">IF(OR(O2583="",P2583=""),"",O2583/P2583)</f>
        <v/>
      </c>
      <c r="R2583" s="16" t="str">
        <f aca="false">IF(Q2583="","",Q2583*0.0980665)</f>
        <v/>
      </c>
      <c r="S2583" s="16" t="str">
        <f aca="false">IF(Q2583="","",IFERROR(Q2583/(1/(1/INDEX(CONFIG!$I$5:$I$14,MATCH(D2583,CONFIG!$D$5:$D$14,0)))),""))</f>
        <v/>
      </c>
      <c r="T2583" s="13"/>
      <c r="U2583" s="13"/>
      <c r="V2583" s="13"/>
      <c r="W2583" s="13"/>
      <c r="X2583" s="22" t="str">
        <f aca="false">IF(Q2583="","",Q2583^2)</f>
        <v/>
      </c>
      <c r="Y2583" s="22" t="str">
        <f aca="false">IF(AND(C2583&lt;&gt;"",C2583=CERTIFICADO!$E$4,OR(CERTIFICADO!$E$5="",B2583=CERTIFICADO!$E$5)),MAX($Y$4:Y2582)+1,"")</f>
        <v/>
      </c>
    </row>
    <row r="2584" customFormat="false" ht="15" hidden="false" customHeight="false" outlineLevel="0" collapsed="false">
      <c r="A2584" s="11" t="str">
        <f aca="false">IF(C2584="","",ROW()-4)</f>
        <v/>
      </c>
      <c r="B2584" s="12"/>
      <c r="C2584" s="13"/>
      <c r="D2584" s="23" t="str">
        <f aca="false">IF(C2584="","",IFERROR(INDEX(LOTES!$D$5:$D$1004,MATCH(C2584,LOTES!$F$5:$F$1004,0)),"¿Lote?"))</f>
        <v/>
      </c>
      <c r="E2584" s="11" t="str">
        <f aca="false">IF(C2584="","",IFERROR(INDEX(LOTES!$C$5:$C$1004,MATCH(C2584,LOTES!$F$5:$F$1004,0)),""))</f>
        <v/>
      </c>
      <c r="F2584" s="24" t="str">
        <f aca="false">IF(C2584="","",IFERROR(INDEX(LOTES!$B$5:$B$1004,MATCH(C2584,LOTES!$F$5:$F$1004,0)),""))</f>
        <v/>
      </c>
      <c r="G2584" s="15" t="str">
        <f aca="false">IF(OR(B2584="",F2584=""),"",B2584-F2584)</f>
        <v/>
      </c>
      <c r="H2584" s="13"/>
      <c r="I2584" s="13"/>
      <c r="J2584" s="13"/>
      <c r="K2584" s="25"/>
      <c r="L2584" s="25"/>
      <c r="M2584" s="25"/>
      <c r="N2584" s="25"/>
      <c r="O2584" s="26"/>
      <c r="P2584" s="16" t="str">
        <f aca="false">IF(O2584="","",IFERROR(1/(1/(IF(K2584="",INDEX(CONFIG!$F$5:$F$14,MATCH(D2584,CONFIG!$D$5:$D$14,0)),K2584)*IF(M2584="",INDEX(CONFIG!$H$5:$H$14,MATCH(D2584,CONFIG!$D$5:$D$14,0)),M2584))),""))</f>
        <v/>
      </c>
      <c r="Q2584" s="16" t="str">
        <f aca="false">IF(OR(O2584="",P2584=""),"",O2584/P2584)</f>
        <v/>
      </c>
      <c r="R2584" s="16" t="str">
        <f aca="false">IF(Q2584="","",Q2584*0.0980665)</f>
        <v/>
      </c>
      <c r="S2584" s="16" t="str">
        <f aca="false">IF(Q2584="","",IFERROR(Q2584/(1/(1/INDEX(CONFIG!$I$5:$I$14,MATCH(D2584,CONFIG!$D$5:$D$14,0)))),""))</f>
        <v/>
      </c>
      <c r="T2584" s="13"/>
      <c r="U2584" s="13"/>
      <c r="V2584" s="13"/>
      <c r="W2584" s="13"/>
      <c r="X2584" s="22" t="str">
        <f aca="false">IF(Q2584="","",Q2584^2)</f>
        <v/>
      </c>
      <c r="Y2584" s="22" t="str">
        <f aca="false">IF(AND(C2584&lt;&gt;"",C2584=CERTIFICADO!$E$4,OR(CERTIFICADO!$E$5="",B2584=CERTIFICADO!$E$5)),MAX($Y$4:Y2583)+1,"")</f>
        <v/>
      </c>
    </row>
    <row r="2585" customFormat="false" ht="15" hidden="false" customHeight="false" outlineLevel="0" collapsed="false">
      <c r="A2585" s="11" t="str">
        <f aca="false">IF(C2585="","",ROW()-4)</f>
        <v/>
      </c>
      <c r="B2585" s="12"/>
      <c r="C2585" s="13"/>
      <c r="D2585" s="23" t="str">
        <f aca="false">IF(C2585="","",IFERROR(INDEX(LOTES!$D$5:$D$1004,MATCH(C2585,LOTES!$F$5:$F$1004,0)),"¿Lote?"))</f>
        <v/>
      </c>
      <c r="E2585" s="11" t="str">
        <f aca="false">IF(C2585="","",IFERROR(INDEX(LOTES!$C$5:$C$1004,MATCH(C2585,LOTES!$F$5:$F$1004,0)),""))</f>
        <v/>
      </c>
      <c r="F2585" s="24" t="str">
        <f aca="false">IF(C2585="","",IFERROR(INDEX(LOTES!$B$5:$B$1004,MATCH(C2585,LOTES!$F$5:$F$1004,0)),""))</f>
        <v/>
      </c>
      <c r="G2585" s="15" t="str">
        <f aca="false">IF(OR(B2585="",F2585=""),"",B2585-F2585)</f>
        <v/>
      </c>
      <c r="H2585" s="13"/>
      <c r="I2585" s="13"/>
      <c r="J2585" s="13"/>
      <c r="K2585" s="25"/>
      <c r="L2585" s="25"/>
      <c r="M2585" s="25"/>
      <c r="N2585" s="25"/>
      <c r="O2585" s="26"/>
      <c r="P2585" s="16" t="str">
        <f aca="false">IF(O2585="","",IFERROR(1/(1/(IF(K2585="",INDEX(CONFIG!$F$5:$F$14,MATCH(D2585,CONFIG!$D$5:$D$14,0)),K2585)*IF(M2585="",INDEX(CONFIG!$H$5:$H$14,MATCH(D2585,CONFIG!$D$5:$D$14,0)),M2585))),""))</f>
        <v/>
      </c>
      <c r="Q2585" s="16" t="str">
        <f aca="false">IF(OR(O2585="",P2585=""),"",O2585/P2585)</f>
        <v/>
      </c>
      <c r="R2585" s="16" t="str">
        <f aca="false">IF(Q2585="","",Q2585*0.0980665)</f>
        <v/>
      </c>
      <c r="S2585" s="16" t="str">
        <f aca="false">IF(Q2585="","",IFERROR(Q2585/(1/(1/INDEX(CONFIG!$I$5:$I$14,MATCH(D2585,CONFIG!$D$5:$D$14,0)))),""))</f>
        <v/>
      </c>
      <c r="T2585" s="13"/>
      <c r="U2585" s="13"/>
      <c r="V2585" s="13"/>
      <c r="W2585" s="13"/>
      <c r="X2585" s="22" t="str">
        <f aca="false">IF(Q2585="","",Q2585^2)</f>
        <v/>
      </c>
      <c r="Y2585" s="22" t="str">
        <f aca="false">IF(AND(C2585&lt;&gt;"",C2585=CERTIFICADO!$E$4,OR(CERTIFICADO!$E$5="",B2585=CERTIFICADO!$E$5)),MAX($Y$4:Y2584)+1,"")</f>
        <v/>
      </c>
    </row>
    <row r="2586" customFormat="false" ht="15" hidden="false" customHeight="false" outlineLevel="0" collapsed="false">
      <c r="A2586" s="11" t="str">
        <f aca="false">IF(C2586="","",ROW()-4)</f>
        <v/>
      </c>
      <c r="B2586" s="12"/>
      <c r="C2586" s="13"/>
      <c r="D2586" s="23" t="str">
        <f aca="false">IF(C2586="","",IFERROR(INDEX(LOTES!$D$5:$D$1004,MATCH(C2586,LOTES!$F$5:$F$1004,0)),"¿Lote?"))</f>
        <v/>
      </c>
      <c r="E2586" s="11" t="str">
        <f aca="false">IF(C2586="","",IFERROR(INDEX(LOTES!$C$5:$C$1004,MATCH(C2586,LOTES!$F$5:$F$1004,0)),""))</f>
        <v/>
      </c>
      <c r="F2586" s="24" t="str">
        <f aca="false">IF(C2586="","",IFERROR(INDEX(LOTES!$B$5:$B$1004,MATCH(C2586,LOTES!$F$5:$F$1004,0)),""))</f>
        <v/>
      </c>
      <c r="G2586" s="15" t="str">
        <f aca="false">IF(OR(B2586="",F2586=""),"",B2586-F2586)</f>
        <v/>
      </c>
      <c r="H2586" s="13"/>
      <c r="I2586" s="13"/>
      <c r="J2586" s="13"/>
      <c r="K2586" s="25"/>
      <c r="L2586" s="25"/>
      <c r="M2586" s="25"/>
      <c r="N2586" s="25"/>
      <c r="O2586" s="26"/>
      <c r="P2586" s="16" t="str">
        <f aca="false">IF(O2586="","",IFERROR(1/(1/(IF(K2586="",INDEX(CONFIG!$F$5:$F$14,MATCH(D2586,CONFIG!$D$5:$D$14,0)),K2586)*IF(M2586="",INDEX(CONFIG!$H$5:$H$14,MATCH(D2586,CONFIG!$D$5:$D$14,0)),M2586))),""))</f>
        <v/>
      </c>
      <c r="Q2586" s="16" t="str">
        <f aca="false">IF(OR(O2586="",P2586=""),"",O2586/P2586)</f>
        <v/>
      </c>
      <c r="R2586" s="16" t="str">
        <f aca="false">IF(Q2586="","",Q2586*0.0980665)</f>
        <v/>
      </c>
      <c r="S2586" s="16" t="str">
        <f aca="false">IF(Q2586="","",IFERROR(Q2586/(1/(1/INDEX(CONFIG!$I$5:$I$14,MATCH(D2586,CONFIG!$D$5:$D$14,0)))),""))</f>
        <v/>
      </c>
      <c r="T2586" s="13"/>
      <c r="U2586" s="13"/>
      <c r="V2586" s="13"/>
      <c r="W2586" s="13"/>
      <c r="X2586" s="22" t="str">
        <f aca="false">IF(Q2586="","",Q2586^2)</f>
        <v/>
      </c>
      <c r="Y2586" s="22" t="str">
        <f aca="false">IF(AND(C2586&lt;&gt;"",C2586=CERTIFICADO!$E$4,OR(CERTIFICADO!$E$5="",B2586=CERTIFICADO!$E$5)),MAX($Y$4:Y2585)+1,"")</f>
        <v/>
      </c>
    </row>
    <row r="2587" customFormat="false" ht="15" hidden="false" customHeight="false" outlineLevel="0" collapsed="false">
      <c r="A2587" s="11" t="str">
        <f aca="false">IF(C2587="","",ROW()-4)</f>
        <v/>
      </c>
      <c r="B2587" s="12"/>
      <c r="C2587" s="13"/>
      <c r="D2587" s="23" t="str">
        <f aca="false">IF(C2587="","",IFERROR(INDEX(LOTES!$D$5:$D$1004,MATCH(C2587,LOTES!$F$5:$F$1004,0)),"¿Lote?"))</f>
        <v/>
      </c>
      <c r="E2587" s="11" t="str">
        <f aca="false">IF(C2587="","",IFERROR(INDEX(LOTES!$C$5:$C$1004,MATCH(C2587,LOTES!$F$5:$F$1004,0)),""))</f>
        <v/>
      </c>
      <c r="F2587" s="24" t="str">
        <f aca="false">IF(C2587="","",IFERROR(INDEX(LOTES!$B$5:$B$1004,MATCH(C2587,LOTES!$F$5:$F$1004,0)),""))</f>
        <v/>
      </c>
      <c r="G2587" s="15" t="str">
        <f aca="false">IF(OR(B2587="",F2587=""),"",B2587-F2587)</f>
        <v/>
      </c>
      <c r="H2587" s="13"/>
      <c r="I2587" s="13"/>
      <c r="J2587" s="13"/>
      <c r="K2587" s="25"/>
      <c r="L2587" s="25"/>
      <c r="M2587" s="25"/>
      <c r="N2587" s="25"/>
      <c r="O2587" s="26"/>
      <c r="P2587" s="16" t="str">
        <f aca="false">IF(O2587="","",IFERROR(1/(1/(IF(K2587="",INDEX(CONFIG!$F$5:$F$14,MATCH(D2587,CONFIG!$D$5:$D$14,0)),K2587)*IF(M2587="",INDEX(CONFIG!$H$5:$H$14,MATCH(D2587,CONFIG!$D$5:$D$14,0)),M2587))),""))</f>
        <v/>
      </c>
      <c r="Q2587" s="16" t="str">
        <f aca="false">IF(OR(O2587="",P2587=""),"",O2587/P2587)</f>
        <v/>
      </c>
      <c r="R2587" s="16" t="str">
        <f aca="false">IF(Q2587="","",Q2587*0.0980665)</f>
        <v/>
      </c>
      <c r="S2587" s="16" t="str">
        <f aca="false">IF(Q2587="","",IFERROR(Q2587/(1/(1/INDEX(CONFIG!$I$5:$I$14,MATCH(D2587,CONFIG!$D$5:$D$14,0)))),""))</f>
        <v/>
      </c>
      <c r="T2587" s="13"/>
      <c r="U2587" s="13"/>
      <c r="V2587" s="13"/>
      <c r="W2587" s="13"/>
      <c r="X2587" s="22" t="str">
        <f aca="false">IF(Q2587="","",Q2587^2)</f>
        <v/>
      </c>
      <c r="Y2587" s="22" t="str">
        <f aca="false">IF(AND(C2587&lt;&gt;"",C2587=CERTIFICADO!$E$4,OR(CERTIFICADO!$E$5="",B2587=CERTIFICADO!$E$5)),MAX($Y$4:Y2586)+1,"")</f>
        <v/>
      </c>
    </row>
    <row r="2588" customFormat="false" ht="15" hidden="false" customHeight="false" outlineLevel="0" collapsed="false">
      <c r="A2588" s="11" t="str">
        <f aca="false">IF(C2588="","",ROW()-4)</f>
        <v/>
      </c>
      <c r="B2588" s="12"/>
      <c r="C2588" s="13"/>
      <c r="D2588" s="23" t="str">
        <f aca="false">IF(C2588="","",IFERROR(INDEX(LOTES!$D$5:$D$1004,MATCH(C2588,LOTES!$F$5:$F$1004,0)),"¿Lote?"))</f>
        <v/>
      </c>
      <c r="E2588" s="11" t="str">
        <f aca="false">IF(C2588="","",IFERROR(INDEX(LOTES!$C$5:$C$1004,MATCH(C2588,LOTES!$F$5:$F$1004,0)),""))</f>
        <v/>
      </c>
      <c r="F2588" s="24" t="str">
        <f aca="false">IF(C2588="","",IFERROR(INDEX(LOTES!$B$5:$B$1004,MATCH(C2588,LOTES!$F$5:$F$1004,0)),""))</f>
        <v/>
      </c>
      <c r="G2588" s="15" t="str">
        <f aca="false">IF(OR(B2588="",F2588=""),"",B2588-F2588)</f>
        <v/>
      </c>
      <c r="H2588" s="13"/>
      <c r="I2588" s="13"/>
      <c r="J2588" s="13"/>
      <c r="K2588" s="25"/>
      <c r="L2588" s="25"/>
      <c r="M2588" s="25"/>
      <c r="N2588" s="25"/>
      <c r="O2588" s="26"/>
      <c r="P2588" s="16" t="str">
        <f aca="false">IF(O2588="","",IFERROR(1/(1/(IF(K2588="",INDEX(CONFIG!$F$5:$F$14,MATCH(D2588,CONFIG!$D$5:$D$14,0)),K2588)*IF(M2588="",INDEX(CONFIG!$H$5:$H$14,MATCH(D2588,CONFIG!$D$5:$D$14,0)),M2588))),""))</f>
        <v/>
      </c>
      <c r="Q2588" s="16" t="str">
        <f aca="false">IF(OR(O2588="",P2588=""),"",O2588/P2588)</f>
        <v/>
      </c>
      <c r="R2588" s="16" t="str">
        <f aca="false">IF(Q2588="","",Q2588*0.0980665)</f>
        <v/>
      </c>
      <c r="S2588" s="16" t="str">
        <f aca="false">IF(Q2588="","",IFERROR(Q2588/(1/(1/INDEX(CONFIG!$I$5:$I$14,MATCH(D2588,CONFIG!$D$5:$D$14,0)))),""))</f>
        <v/>
      </c>
      <c r="T2588" s="13"/>
      <c r="U2588" s="13"/>
      <c r="V2588" s="13"/>
      <c r="W2588" s="13"/>
      <c r="X2588" s="22" t="str">
        <f aca="false">IF(Q2588="","",Q2588^2)</f>
        <v/>
      </c>
      <c r="Y2588" s="22" t="str">
        <f aca="false">IF(AND(C2588&lt;&gt;"",C2588=CERTIFICADO!$E$4,OR(CERTIFICADO!$E$5="",B2588=CERTIFICADO!$E$5)),MAX($Y$4:Y2587)+1,"")</f>
        <v/>
      </c>
    </row>
    <row r="2589" customFormat="false" ht="15" hidden="false" customHeight="false" outlineLevel="0" collapsed="false">
      <c r="A2589" s="11" t="str">
        <f aca="false">IF(C2589="","",ROW()-4)</f>
        <v/>
      </c>
      <c r="B2589" s="12"/>
      <c r="C2589" s="13"/>
      <c r="D2589" s="23" t="str">
        <f aca="false">IF(C2589="","",IFERROR(INDEX(LOTES!$D$5:$D$1004,MATCH(C2589,LOTES!$F$5:$F$1004,0)),"¿Lote?"))</f>
        <v/>
      </c>
      <c r="E2589" s="11" t="str">
        <f aca="false">IF(C2589="","",IFERROR(INDEX(LOTES!$C$5:$C$1004,MATCH(C2589,LOTES!$F$5:$F$1004,0)),""))</f>
        <v/>
      </c>
      <c r="F2589" s="24" t="str">
        <f aca="false">IF(C2589="","",IFERROR(INDEX(LOTES!$B$5:$B$1004,MATCH(C2589,LOTES!$F$5:$F$1004,0)),""))</f>
        <v/>
      </c>
      <c r="G2589" s="15" t="str">
        <f aca="false">IF(OR(B2589="",F2589=""),"",B2589-F2589)</f>
        <v/>
      </c>
      <c r="H2589" s="13"/>
      <c r="I2589" s="13"/>
      <c r="J2589" s="13"/>
      <c r="K2589" s="25"/>
      <c r="L2589" s="25"/>
      <c r="M2589" s="25"/>
      <c r="N2589" s="25"/>
      <c r="O2589" s="26"/>
      <c r="P2589" s="16" t="str">
        <f aca="false">IF(O2589="","",IFERROR(1/(1/(IF(K2589="",INDEX(CONFIG!$F$5:$F$14,MATCH(D2589,CONFIG!$D$5:$D$14,0)),K2589)*IF(M2589="",INDEX(CONFIG!$H$5:$H$14,MATCH(D2589,CONFIG!$D$5:$D$14,0)),M2589))),""))</f>
        <v/>
      </c>
      <c r="Q2589" s="16" t="str">
        <f aca="false">IF(OR(O2589="",P2589=""),"",O2589/P2589)</f>
        <v/>
      </c>
      <c r="R2589" s="16" t="str">
        <f aca="false">IF(Q2589="","",Q2589*0.0980665)</f>
        <v/>
      </c>
      <c r="S2589" s="16" t="str">
        <f aca="false">IF(Q2589="","",IFERROR(Q2589/(1/(1/INDEX(CONFIG!$I$5:$I$14,MATCH(D2589,CONFIG!$D$5:$D$14,0)))),""))</f>
        <v/>
      </c>
      <c r="T2589" s="13"/>
      <c r="U2589" s="13"/>
      <c r="V2589" s="13"/>
      <c r="W2589" s="13"/>
      <c r="X2589" s="22" t="str">
        <f aca="false">IF(Q2589="","",Q2589^2)</f>
        <v/>
      </c>
      <c r="Y2589" s="22" t="str">
        <f aca="false">IF(AND(C2589&lt;&gt;"",C2589=CERTIFICADO!$E$4,OR(CERTIFICADO!$E$5="",B2589=CERTIFICADO!$E$5)),MAX($Y$4:Y2588)+1,"")</f>
        <v/>
      </c>
    </row>
    <row r="2590" customFormat="false" ht="15" hidden="false" customHeight="false" outlineLevel="0" collapsed="false">
      <c r="A2590" s="11" t="str">
        <f aca="false">IF(C2590="","",ROW()-4)</f>
        <v/>
      </c>
      <c r="B2590" s="12"/>
      <c r="C2590" s="13"/>
      <c r="D2590" s="23" t="str">
        <f aca="false">IF(C2590="","",IFERROR(INDEX(LOTES!$D$5:$D$1004,MATCH(C2590,LOTES!$F$5:$F$1004,0)),"¿Lote?"))</f>
        <v/>
      </c>
      <c r="E2590" s="11" t="str">
        <f aca="false">IF(C2590="","",IFERROR(INDEX(LOTES!$C$5:$C$1004,MATCH(C2590,LOTES!$F$5:$F$1004,0)),""))</f>
        <v/>
      </c>
      <c r="F2590" s="24" t="str">
        <f aca="false">IF(C2590="","",IFERROR(INDEX(LOTES!$B$5:$B$1004,MATCH(C2590,LOTES!$F$5:$F$1004,0)),""))</f>
        <v/>
      </c>
      <c r="G2590" s="15" t="str">
        <f aca="false">IF(OR(B2590="",F2590=""),"",B2590-F2590)</f>
        <v/>
      </c>
      <c r="H2590" s="13"/>
      <c r="I2590" s="13"/>
      <c r="J2590" s="13"/>
      <c r="K2590" s="25"/>
      <c r="L2590" s="25"/>
      <c r="M2590" s="25"/>
      <c r="N2590" s="25"/>
      <c r="O2590" s="26"/>
      <c r="P2590" s="16" t="str">
        <f aca="false">IF(O2590="","",IFERROR(1/(1/(IF(K2590="",INDEX(CONFIG!$F$5:$F$14,MATCH(D2590,CONFIG!$D$5:$D$14,0)),K2590)*IF(M2590="",INDEX(CONFIG!$H$5:$H$14,MATCH(D2590,CONFIG!$D$5:$D$14,0)),M2590))),""))</f>
        <v/>
      </c>
      <c r="Q2590" s="16" t="str">
        <f aca="false">IF(OR(O2590="",P2590=""),"",O2590/P2590)</f>
        <v/>
      </c>
      <c r="R2590" s="16" t="str">
        <f aca="false">IF(Q2590="","",Q2590*0.0980665)</f>
        <v/>
      </c>
      <c r="S2590" s="16" t="str">
        <f aca="false">IF(Q2590="","",IFERROR(Q2590/(1/(1/INDEX(CONFIG!$I$5:$I$14,MATCH(D2590,CONFIG!$D$5:$D$14,0)))),""))</f>
        <v/>
      </c>
      <c r="T2590" s="13"/>
      <c r="U2590" s="13"/>
      <c r="V2590" s="13"/>
      <c r="W2590" s="13"/>
      <c r="X2590" s="22" t="str">
        <f aca="false">IF(Q2590="","",Q2590^2)</f>
        <v/>
      </c>
      <c r="Y2590" s="22" t="str">
        <f aca="false">IF(AND(C2590&lt;&gt;"",C2590=CERTIFICADO!$E$4,OR(CERTIFICADO!$E$5="",B2590=CERTIFICADO!$E$5)),MAX($Y$4:Y2589)+1,"")</f>
        <v/>
      </c>
    </row>
    <row r="2591" customFormat="false" ht="15" hidden="false" customHeight="false" outlineLevel="0" collapsed="false">
      <c r="A2591" s="11" t="str">
        <f aca="false">IF(C2591="","",ROW()-4)</f>
        <v/>
      </c>
      <c r="B2591" s="12"/>
      <c r="C2591" s="13"/>
      <c r="D2591" s="23" t="str">
        <f aca="false">IF(C2591="","",IFERROR(INDEX(LOTES!$D$5:$D$1004,MATCH(C2591,LOTES!$F$5:$F$1004,0)),"¿Lote?"))</f>
        <v/>
      </c>
      <c r="E2591" s="11" t="str">
        <f aca="false">IF(C2591="","",IFERROR(INDEX(LOTES!$C$5:$C$1004,MATCH(C2591,LOTES!$F$5:$F$1004,0)),""))</f>
        <v/>
      </c>
      <c r="F2591" s="24" t="str">
        <f aca="false">IF(C2591="","",IFERROR(INDEX(LOTES!$B$5:$B$1004,MATCH(C2591,LOTES!$F$5:$F$1004,0)),""))</f>
        <v/>
      </c>
      <c r="G2591" s="15" t="str">
        <f aca="false">IF(OR(B2591="",F2591=""),"",B2591-F2591)</f>
        <v/>
      </c>
      <c r="H2591" s="13"/>
      <c r="I2591" s="13"/>
      <c r="J2591" s="13"/>
      <c r="K2591" s="25"/>
      <c r="L2591" s="25"/>
      <c r="M2591" s="25"/>
      <c r="N2591" s="25"/>
      <c r="O2591" s="26"/>
      <c r="P2591" s="16" t="str">
        <f aca="false">IF(O2591="","",IFERROR(1/(1/(IF(K2591="",INDEX(CONFIG!$F$5:$F$14,MATCH(D2591,CONFIG!$D$5:$D$14,0)),K2591)*IF(M2591="",INDEX(CONFIG!$H$5:$H$14,MATCH(D2591,CONFIG!$D$5:$D$14,0)),M2591))),""))</f>
        <v/>
      </c>
      <c r="Q2591" s="16" t="str">
        <f aca="false">IF(OR(O2591="",P2591=""),"",O2591/P2591)</f>
        <v/>
      </c>
      <c r="R2591" s="16" t="str">
        <f aca="false">IF(Q2591="","",Q2591*0.0980665)</f>
        <v/>
      </c>
      <c r="S2591" s="16" t="str">
        <f aca="false">IF(Q2591="","",IFERROR(Q2591/(1/(1/INDEX(CONFIG!$I$5:$I$14,MATCH(D2591,CONFIG!$D$5:$D$14,0)))),""))</f>
        <v/>
      </c>
      <c r="T2591" s="13"/>
      <c r="U2591" s="13"/>
      <c r="V2591" s="13"/>
      <c r="W2591" s="13"/>
      <c r="X2591" s="22" t="str">
        <f aca="false">IF(Q2591="","",Q2591^2)</f>
        <v/>
      </c>
      <c r="Y2591" s="22" t="str">
        <f aca="false">IF(AND(C2591&lt;&gt;"",C2591=CERTIFICADO!$E$4,OR(CERTIFICADO!$E$5="",B2591=CERTIFICADO!$E$5)),MAX($Y$4:Y2590)+1,"")</f>
        <v/>
      </c>
    </row>
    <row r="2592" customFormat="false" ht="15" hidden="false" customHeight="false" outlineLevel="0" collapsed="false">
      <c r="A2592" s="11" t="str">
        <f aca="false">IF(C2592="","",ROW()-4)</f>
        <v/>
      </c>
      <c r="B2592" s="12"/>
      <c r="C2592" s="13"/>
      <c r="D2592" s="23" t="str">
        <f aca="false">IF(C2592="","",IFERROR(INDEX(LOTES!$D$5:$D$1004,MATCH(C2592,LOTES!$F$5:$F$1004,0)),"¿Lote?"))</f>
        <v/>
      </c>
      <c r="E2592" s="11" t="str">
        <f aca="false">IF(C2592="","",IFERROR(INDEX(LOTES!$C$5:$C$1004,MATCH(C2592,LOTES!$F$5:$F$1004,0)),""))</f>
        <v/>
      </c>
      <c r="F2592" s="24" t="str">
        <f aca="false">IF(C2592="","",IFERROR(INDEX(LOTES!$B$5:$B$1004,MATCH(C2592,LOTES!$F$5:$F$1004,0)),""))</f>
        <v/>
      </c>
      <c r="G2592" s="15" t="str">
        <f aca="false">IF(OR(B2592="",F2592=""),"",B2592-F2592)</f>
        <v/>
      </c>
      <c r="H2592" s="13"/>
      <c r="I2592" s="13"/>
      <c r="J2592" s="13"/>
      <c r="K2592" s="25"/>
      <c r="L2592" s="25"/>
      <c r="M2592" s="25"/>
      <c r="N2592" s="25"/>
      <c r="O2592" s="26"/>
      <c r="P2592" s="16" t="str">
        <f aca="false">IF(O2592="","",IFERROR(1/(1/(IF(K2592="",INDEX(CONFIG!$F$5:$F$14,MATCH(D2592,CONFIG!$D$5:$D$14,0)),K2592)*IF(M2592="",INDEX(CONFIG!$H$5:$H$14,MATCH(D2592,CONFIG!$D$5:$D$14,0)),M2592))),""))</f>
        <v/>
      </c>
      <c r="Q2592" s="16" t="str">
        <f aca="false">IF(OR(O2592="",P2592=""),"",O2592/P2592)</f>
        <v/>
      </c>
      <c r="R2592" s="16" t="str">
        <f aca="false">IF(Q2592="","",Q2592*0.0980665)</f>
        <v/>
      </c>
      <c r="S2592" s="16" t="str">
        <f aca="false">IF(Q2592="","",IFERROR(Q2592/(1/(1/INDEX(CONFIG!$I$5:$I$14,MATCH(D2592,CONFIG!$D$5:$D$14,0)))),""))</f>
        <v/>
      </c>
      <c r="T2592" s="13"/>
      <c r="U2592" s="13"/>
      <c r="V2592" s="13"/>
      <c r="W2592" s="13"/>
      <c r="X2592" s="22" t="str">
        <f aca="false">IF(Q2592="","",Q2592^2)</f>
        <v/>
      </c>
      <c r="Y2592" s="22" t="str">
        <f aca="false">IF(AND(C2592&lt;&gt;"",C2592=CERTIFICADO!$E$4,OR(CERTIFICADO!$E$5="",B2592=CERTIFICADO!$E$5)),MAX($Y$4:Y2591)+1,"")</f>
        <v/>
      </c>
    </row>
    <row r="2593" customFormat="false" ht="15" hidden="false" customHeight="false" outlineLevel="0" collapsed="false">
      <c r="A2593" s="11" t="str">
        <f aca="false">IF(C2593="","",ROW()-4)</f>
        <v/>
      </c>
      <c r="B2593" s="12"/>
      <c r="C2593" s="13"/>
      <c r="D2593" s="23" t="str">
        <f aca="false">IF(C2593="","",IFERROR(INDEX(LOTES!$D$5:$D$1004,MATCH(C2593,LOTES!$F$5:$F$1004,0)),"¿Lote?"))</f>
        <v/>
      </c>
      <c r="E2593" s="11" t="str">
        <f aca="false">IF(C2593="","",IFERROR(INDEX(LOTES!$C$5:$C$1004,MATCH(C2593,LOTES!$F$5:$F$1004,0)),""))</f>
        <v/>
      </c>
      <c r="F2593" s="24" t="str">
        <f aca="false">IF(C2593="","",IFERROR(INDEX(LOTES!$B$5:$B$1004,MATCH(C2593,LOTES!$F$5:$F$1004,0)),""))</f>
        <v/>
      </c>
      <c r="G2593" s="15" t="str">
        <f aca="false">IF(OR(B2593="",F2593=""),"",B2593-F2593)</f>
        <v/>
      </c>
      <c r="H2593" s="13"/>
      <c r="I2593" s="13"/>
      <c r="J2593" s="13"/>
      <c r="K2593" s="25"/>
      <c r="L2593" s="25"/>
      <c r="M2593" s="25"/>
      <c r="N2593" s="25"/>
      <c r="O2593" s="26"/>
      <c r="P2593" s="16" t="str">
        <f aca="false">IF(O2593="","",IFERROR(1/(1/(IF(K2593="",INDEX(CONFIG!$F$5:$F$14,MATCH(D2593,CONFIG!$D$5:$D$14,0)),K2593)*IF(M2593="",INDEX(CONFIG!$H$5:$H$14,MATCH(D2593,CONFIG!$D$5:$D$14,0)),M2593))),""))</f>
        <v/>
      </c>
      <c r="Q2593" s="16" t="str">
        <f aca="false">IF(OR(O2593="",P2593=""),"",O2593/P2593)</f>
        <v/>
      </c>
      <c r="R2593" s="16" t="str">
        <f aca="false">IF(Q2593="","",Q2593*0.0980665)</f>
        <v/>
      </c>
      <c r="S2593" s="16" t="str">
        <f aca="false">IF(Q2593="","",IFERROR(Q2593/(1/(1/INDEX(CONFIG!$I$5:$I$14,MATCH(D2593,CONFIG!$D$5:$D$14,0)))),""))</f>
        <v/>
      </c>
      <c r="T2593" s="13"/>
      <c r="U2593" s="13"/>
      <c r="V2593" s="13"/>
      <c r="W2593" s="13"/>
      <c r="X2593" s="22" t="str">
        <f aca="false">IF(Q2593="","",Q2593^2)</f>
        <v/>
      </c>
      <c r="Y2593" s="22" t="str">
        <f aca="false">IF(AND(C2593&lt;&gt;"",C2593=CERTIFICADO!$E$4,OR(CERTIFICADO!$E$5="",B2593=CERTIFICADO!$E$5)),MAX($Y$4:Y2592)+1,"")</f>
        <v/>
      </c>
    </row>
    <row r="2594" customFormat="false" ht="15" hidden="false" customHeight="false" outlineLevel="0" collapsed="false">
      <c r="A2594" s="11" t="str">
        <f aca="false">IF(C2594="","",ROW()-4)</f>
        <v/>
      </c>
      <c r="B2594" s="12"/>
      <c r="C2594" s="13"/>
      <c r="D2594" s="23" t="str">
        <f aca="false">IF(C2594="","",IFERROR(INDEX(LOTES!$D$5:$D$1004,MATCH(C2594,LOTES!$F$5:$F$1004,0)),"¿Lote?"))</f>
        <v/>
      </c>
      <c r="E2594" s="11" t="str">
        <f aca="false">IF(C2594="","",IFERROR(INDEX(LOTES!$C$5:$C$1004,MATCH(C2594,LOTES!$F$5:$F$1004,0)),""))</f>
        <v/>
      </c>
      <c r="F2594" s="24" t="str">
        <f aca="false">IF(C2594="","",IFERROR(INDEX(LOTES!$B$5:$B$1004,MATCH(C2594,LOTES!$F$5:$F$1004,0)),""))</f>
        <v/>
      </c>
      <c r="G2594" s="15" t="str">
        <f aca="false">IF(OR(B2594="",F2594=""),"",B2594-F2594)</f>
        <v/>
      </c>
      <c r="H2594" s="13"/>
      <c r="I2594" s="13"/>
      <c r="J2594" s="13"/>
      <c r="K2594" s="25"/>
      <c r="L2594" s="25"/>
      <c r="M2594" s="25"/>
      <c r="N2594" s="25"/>
      <c r="O2594" s="26"/>
      <c r="P2594" s="16" t="str">
        <f aca="false">IF(O2594="","",IFERROR(1/(1/(IF(K2594="",INDEX(CONFIG!$F$5:$F$14,MATCH(D2594,CONFIG!$D$5:$D$14,0)),K2594)*IF(M2594="",INDEX(CONFIG!$H$5:$H$14,MATCH(D2594,CONFIG!$D$5:$D$14,0)),M2594))),""))</f>
        <v/>
      </c>
      <c r="Q2594" s="16" t="str">
        <f aca="false">IF(OR(O2594="",P2594=""),"",O2594/P2594)</f>
        <v/>
      </c>
      <c r="R2594" s="16" t="str">
        <f aca="false">IF(Q2594="","",Q2594*0.0980665)</f>
        <v/>
      </c>
      <c r="S2594" s="16" t="str">
        <f aca="false">IF(Q2594="","",IFERROR(Q2594/(1/(1/INDEX(CONFIG!$I$5:$I$14,MATCH(D2594,CONFIG!$D$5:$D$14,0)))),""))</f>
        <v/>
      </c>
      <c r="T2594" s="13"/>
      <c r="U2594" s="13"/>
      <c r="V2594" s="13"/>
      <c r="W2594" s="13"/>
      <c r="X2594" s="22" t="str">
        <f aca="false">IF(Q2594="","",Q2594^2)</f>
        <v/>
      </c>
      <c r="Y2594" s="22" t="str">
        <f aca="false">IF(AND(C2594&lt;&gt;"",C2594=CERTIFICADO!$E$4,OR(CERTIFICADO!$E$5="",B2594=CERTIFICADO!$E$5)),MAX($Y$4:Y2593)+1,"")</f>
        <v/>
      </c>
    </row>
    <row r="2595" customFormat="false" ht="15" hidden="false" customHeight="false" outlineLevel="0" collapsed="false">
      <c r="A2595" s="11" t="str">
        <f aca="false">IF(C2595="","",ROW()-4)</f>
        <v/>
      </c>
      <c r="B2595" s="12"/>
      <c r="C2595" s="13"/>
      <c r="D2595" s="23" t="str">
        <f aca="false">IF(C2595="","",IFERROR(INDEX(LOTES!$D$5:$D$1004,MATCH(C2595,LOTES!$F$5:$F$1004,0)),"¿Lote?"))</f>
        <v/>
      </c>
      <c r="E2595" s="11" t="str">
        <f aca="false">IF(C2595="","",IFERROR(INDEX(LOTES!$C$5:$C$1004,MATCH(C2595,LOTES!$F$5:$F$1004,0)),""))</f>
        <v/>
      </c>
      <c r="F2595" s="24" t="str">
        <f aca="false">IF(C2595="","",IFERROR(INDEX(LOTES!$B$5:$B$1004,MATCH(C2595,LOTES!$F$5:$F$1004,0)),""))</f>
        <v/>
      </c>
      <c r="G2595" s="15" t="str">
        <f aca="false">IF(OR(B2595="",F2595=""),"",B2595-F2595)</f>
        <v/>
      </c>
      <c r="H2595" s="13"/>
      <c r="I2595" s="13"/>
      <c r="J2595" s="13"/>
      <c r="K2595" s="25"/>
      <c r="L2595" s="25"/>
      <c r="M2595" s="25"/>
      <c r="N2595" s="25"/>
      <c r="O2595" s="26"/>
      <c r="P2595" s="16" t="str">
        <f aca="false">IF(O2595="","",IFERROR(1/(1/(IF(K2595="",INDEX(CONFIG!$F$5:$F$14,MATCH(D2595,CONFIG!$D$5:$D$14,0)),K2595)*IF(M2595="",INDEX(CONFIG!$H$5:$H$14,MATCH(D2595,CONFIG!$D$5:$D$14,0)),M2595))),""))</f>
        <v/>
      </c>
      <c r="Q2595" s="16" t="str">
        <f aca="false">IF(OR(O2595="",P2595=""),"",O2595/P2595)</f>
        <v/>
      </c>
      <c r="R2595" s="16" t="str">
        <f aca="false">IF(Q2595="","",Q2595*0.0980665)</f>
        <v/>
      </c>
      <c r="S2595" s="16" t="str">
        <f aca="false">IF(Q2595="","",IFERROR(Q2595/(1/(1/INDEX(CONFIG!$I$5:$I$14,MATCH(D2595,CONFIG!$D$5:$D$14,0)))),""))</f>
        <v/>
      </c>
      <c r="T2595" s="13"/>
      <c r="U2595" s="13"/>
      <c r="V2595" s="13"/>
      <c r="W2595" s="13"/>
      <c r="X2595" s="22" t="str">
        <f aca="false">IF(Q2595="","",Q2595^2)</f>
        <v/>
      </c>
      <c r="Y2595" s="22" t="str">
        <f aca="false">IF(AND(C2595&lt;&gt;"",C2595=CERTIFICADO!$E$4,OR(CERTIFICADO!$E$5="",B2595=CERTIFICADO!$E$5)),MAX($Y$4:Y2594)+1,"")</f>
        <v/>
      </c>
    </row>
    <row r="2596" customFormat="false" ht="15" hidden="false" customHeight="false" outlineLevel="0" collapsed="false">
      <c r="A2596" s="11" t="str">
        <f aca="false">IF(C2596="","",ROW()-4)</f>
        <v/>
      </c>
      <c r="B2596" s="12"/>
      <c r="C2596" s="13"/>
      <c r="D2596" s="23" t="str">
        <f aca="false">IF(C2596="","",IFERROR(INDEX(LOTES!$D$5:$D$1004,MATCH(C2596,LOTES!$F$5:$F$1004,0)),"¿Lote?"))</f>
        <v/>
      </c>
      <c r="E2596" s="11" t="str">
        <f aca="false">IF(C2596="","",IFERROR(INDEX(LOTES!$C$5:$C$1004,MATCH(C2596,LOTES!$F$5:$F$1004,0)),""))</f>
        <v/>
      </c>
      <c r="F2596" s="24" t="str">
        <f aca="false">IF(C2596="","",IFERROR(INDEX(LOTES!$B$5:$B$1004,MATCH(C2596,LOTES!$F$5:$F$1004,0)),""))</f>
        <v/>
      </c>
      <c r="G2596" s="15" t="str">
        <f aca="false">IF(OR(B2596="",F2596=""),"",B2596-F2596)</f>
        <v/>
      </c>
      <c r="H2596" s="13"/>
      <c r="I2596" s="13"/>
      <c r="J2596" s="13"/>
      <c r="K2596" s="25"/>
      <c r="L2596" s="25"/>
      <c r="M2596" s="25"/>
      <c r="N2596" s="25"/>
      <c r="O2596" s="26"/>
      <c r="P2596" s="16" t="str">
        <f aca="false">IF(O2596="","",IFERROR(1/(1/(IF(K2596="",INDEX(CONFIG!$F$5:$F$14,MATCH(D2596,CONFIG!$D$5:$D$14,0)),K2596)*IF(M2596="",INDEX(CONFIG!$H$5:$H$14,MATCH(D2596,CONFIG!$D$5:$D$14,0)),M2596))),""))</f>
        <v/>
      </c>
      <c r="Q2596" s="16" t="str">
        <f aca="false">IF(OR(O2596="",P2596=""),"",O2596/P2596)</f>
        <v/>
      </c>
      <c r="R2596" s="16" t="str">
        <f aca="false">IF(Q2596="","",Q2596*0.0980665)</f>
        <v/>
      </c>
      <c r="S2596" s="16" t="str">
        <f aca="false">IF(Q2596="","",IFERROR(Q2596/(1/(1/INDEX(CONFIG!$I$5:$I$14,MATCH(D2596,CONFIG!$D$5:$D$14,0)))),""))</f>
        <v/>
      </c>
      <c r="T2596" s="13"/>
      <c r="U2596" s="13"/>
      <c r="V2596" s="13"/>
      <c r="W2596" s="13"/>
      <c r="X2596" s="22" t="str">
        <f aca="false">IF(Q2596="","",Q2596^2)</f>
        <v/>
      </c>
      <c r="Y2596" s="22" t="str">
        <f aca="false">IF(AND(C2596&lt;&gt;"",C2596=CERTIFICADO!$E$4,OR(CERTIFICADO!$E$5="",B2596=CERTIFICADO!$E$5)),MAX($Y$4:Y2595)+1,"")</f>
        <v/>
      </c>
    </row>
    <row r="2597" customFormat="false" ht="15" hidden="false" customHeight="false" outlineLevel="0" collapsed="false">
      <c r="A2597" s="11" t="str">
        <f aca="false">IF(C2597="","",ROW()-4)</f>
        <v/>
      </c>
      <c r="B2597" s="12"/>
      <c r="C2597" s="13"/>
      <c r="D2597" s="23" t="str">
        <f aca="false">IF(C2597="","",IFERROR(INDEX(LOTES!$D$5:$D$1004,MATCH(C2597,LOTES!$F$5:$F$1004,0)),"¿Lote?"))</f>
        <v/>
      </c>
      <c r="E2597" s="11" t="str">
        <f aca="false">IF(C2597="","",IFERROR(INDEX(LOTES!$C$5:$C$1004,MATCH(C2597,LOTES!$F$5:$F$1004,0)),""))</f>
        <v/>
      </c>
      <c r="F2597" s="24" t="str">
        <f aca="false">IF(C2597="","",IFERROR(INDEX(LOTES!$B$5:$B$1004,MATCH(C2597,LOTES!$F$5:$F$1004,0)),""))</f>
        <v/>
      </c>
      <c r="G2597" s="15" t="str">
        <f aca="false">IF(OR(B2597="",F2597=""),"",B2597-F2597)</f>
        <v/>
      </c>
      <c r="H2597" s="13"/>
      <c r="I2597" s="13"/>
      <c r="J2597" s="13"/>
      <c r="K2597" s="25"/>
      <c r="L2597" s="25"/>
      <c r="M2597" s="25"/>
      <c r="N2597" s="25"/>
      <c r="O2597" s="26"/>
      <c r="P2597" s="16" t="str">
        <f aca="false">IF(O2597="","",IFERROR(1/(1/(IF(K2597="",INDEX(CONFIG!$F$5:$F$14,MATCH(D2597,CONFIG!$D$5:$D$14,0)),K2597)*IF(M2597="",INDEX(CONFIG!$H$5:$H$14,MATCH(D2597,CONFIG!$D$5:$D$14,0)),M2597))),""))</f>
        <v/>
      </c>
      <c r="Q2597" s="16" t="str">
        <f aca="false">IF(OR(O2597="",P2597=""),"",O2597/P2597)</f>
        <v/>
      </c>
      <c r="R2597" s="16" t="str">
        <f aca="false">IF(Q2597="","",Q2597*0.0980665)</f>
        <v/>
      </c>
      <c r="S2597" s="16" t="str">
        <f aca="false">IF(Q2597="","",IFERROR(Q2597/(1/(1/INDEX(CONFIG!$I$5:$I$14,MATCH(D2597,CONFIG!$D$5:$D$14,0)))),""))</f>
        <v/>
      </c>
      <c r="T2597" s="13"/>
      <c r="U2597" s="13"/>
      <c r="V2597" s="13"/>
      <c r="W2597" s="13"/>
      <c r="X2597" s="22" t="str">
        <f aca="false">IF(Q2597="","",Q2597^2)</f>
        <v/>
      </c>
      <c r="Y2597" s="22" t="str">
        <f aca="false">IF(AND(C2597&lt;&gt;"",C2597=CERTIFICADO!$E$4,OR(CERTIFICADO!$E$5="",B2597=CERTIFICADO!$E$5)),MAX($Y$4:Y2596)+1,"")</f>
        <v/>
      </c>
    </row>
    <row r="2598" customFormat="false" ht="15" hidden="false" customHeight="false" outlineLevel="0" collapsed="false">
      <c r="A2598" s="11" t="str">
        <f aca="false">IF(C2598="","",ROW()-4)</f>
        <v/>
      </c>
      <c r="B2598" s="12"/>
      <c r="C2598" s="13"/>
      <c r="D2598" s="23" t="str">
        <f aca="false">IF(C2598="","",IFERROR(INDEX(LOTES!$D$5:$D$1004,MATCH(C2598,LOTES!$F$5:$F$1004,0)),"¿Lote?"))</f>
        <v/>
      </c>
      <c r="E2598" s="11" t="str">
        <f aca="false">IF(C2598="","",IFERROR(INDEX(LOTES!$C$5:$C$1004,MATCH(C2598,LOTES!$F$5:$F$1004,0)),""))</f>
        <v/>
      </c>
      <c r="F2598" s="24" t="str">
        <f aca="false">IF(C2598="","",IFERROR(INDEX(LOTES!$B$5:$B$1004,MATCH(C2598,LOTES!$F$5:$F$1004,0)),""))</f>
        <v/>
      </c>
      <c r="G2598" s="15" t="str">
        <f aca="false">IF(OR(B2598="",F2598=""),"",B2598-F2598)</f>
        <v/>
      </c>
      <c r="H2598" s="13"/>
      <c r="I2598" s="13"/>
      <c r="J2598" s="13"/>
      <c r="K2598" s="25"/>
      <c r="L2598" s="25"/>
      <c r="M2598" s="25"/>
      <c r="N2598" s="25"/>
      <c r="O2598" s="26"/>
      <c r="P2598" s="16" t="str">
        <f aca="false">IF(O2598="","",IFERROR(1/(1/(IF(K2598="",INDEX(CONFIG!$F$5:$F$14,MATCH(D2598,CONFIG!$D$5:$D$14,0)),K2598)*IF(M2598="",INDEX(CONFIG!$H$5:$H$14,MATCH(D2598,CONFIG!$D$5:$D$14,0)),M2598))),""))</f>
        <v/>
      </c>
      <c r="Q2598" s="16" t="str">
        <f aca="false">IF(OR(O2598="",P2598=""),"",O2598/P2598)</f>
        <v/>
      </c>
      <c r="R2598" s="16" t="str">
        <f aca="false">IF(Q2598="","",Q2598*0.0980665)</f>
        <v/>
      </c>
      <c r="S2598" s="16" t="str">
        <f aca="false">IF(Q2598="","",IFERROR(Q2598/(1/(1/INDEX(CONFIG!$I$5:$I$14,MATCH(D2598,CONFIG!$D$5:$D$14,0)))),""))</f>
        <v/>
      </c>
      <c r="T2598" s="13"/>
      <c r="U2598" s="13"/>
      <c r="V2598" s="13"/>
      <c r="W2598" s="13"/>
      <c r="X2598" s="22" t="str">
        <f aca="false">IF(Q2598="","",Q2598^2)</f>
        <v/>
      </c>
      <c r="Y2598" s="22" t="str">
        <f aca="false">IF(AND(C2598&lt;&gt;"",C2598=CERTIFICADO!$E$4,OR(CERTIFICADO!$E$5="",B2598=CERTIFICADO!$E$5)),MAX($Y$4:Y2597)+1,"")</f>
        <v/>
      </c>
    </row>
    <row r="2599" customFormat="false" ht="15" hidden="false" customHeight="false" outlineLevel="0" collapsed="false">
      <c r="A2599" s="11" t="str">
        <f aca="false">IF(C2599="","",ROW()-4)</f>
        <v/>
      </c>
      <c r="B2599" s="12"/>
      <c r="C2599" s="13"/>
      <c r="D2599" s="23" t="str">
        <f aca="false">IF(C2599="","",IFERROR(INDEX(LOTES!$D$5:$D$1004,MATCH(C2599,LOTES!$F$5:$F$1004,0)),"¿Lote?"))</f>
        <v/>
      </c>
      <c r="E2599" s="11" t="str">
        <f aca="false">IF(C2599="","",IFERROR(INDEX(LOTES!$C$5:$C$1004,MATCH(C2599,LOTES!$F$5:$F$1004,0)),""))</f>
        <v/>
      </c>
      <c r="F2599" s="24" t="str">
        <f aca="false">IF(C2599="","",IFERROR(INDEX(LOTES!$B$5:$B$1004,MATCH(C2599,LOTES!$F$5:$F$1004,0)),""))</f>
        <v/>
      </c>
      <c r="G2599" s="15" t="str">
        <f aca="false">IF(OR(B2599="",F2599=""),"",B2599-F2599)</f>
        <v/>
      </c>
      <c r="H2599" s="13"/>
      <c r="I2599" s="13"/>
      <c r="J2599" s="13"/>
      <c r="K2599" s="25"/>
      <c r="L2599" s="25"/>
      <c r="M2599" s="25"/>
      <c r="N2599" s="25"/>
      <c r="O2599" s="26"/>
      <c r="P2599" s="16" t="str">
        <f aca="false">IF(O2599="","",IFERROR(1/(1/(IF(K2599="",INDEX(CONFIG!$F$5:$F$14,MATCH(D2599,CONFIG!$D$5:$D$14,0)),K2599)*IF(M2599="",INDEX(CONFIG!$H$5:$H$14,MATCH(D2599,CONFIG!$D$5:$D$14,0)),M2599))),""))</f>
        <v/>
      </c>
      <c r="Q2599" s="16" t="str">
        <f aca="false">IF(OR(O2599="",P2599=""),"",O2599/P2599)</f>
        <v/>
      </c>
      <c r="R2599" s="16" t="str">
        <f aca="false">IF(Q2599="","",Q2599*0.0980665)</f>
        <v/>
      </c>
      <c r="S2599" s="16" t="str">
        <f aca="false">IF(Q2599="","",IFERROR(Q2599/(1/(1/INDEX(CONFIG!$I$5:$I$14,MATCH(D2599,CONFIG!$D$5:$D$14,0)))),""))</f>
        <v/>
      </c>
      <c r="T2599" s="13"/>
      <c r="U2599" s="13"/>
      <c r="V2599" s="13"/>
      <c r="W2599" s="13"/>
      <c r="X2599" s="22" t="str">
        <f aca="false">IF(Q2599="","",Q2599^2)</f>
        <v/>
      </c>
      <c r="Y2599" s="22" t="str">
        <f aca="false">IF(AND(C2599&lt;&gt;"",C2599=CERTIFICADO!$E$4,OR(CERTIFICADO!$E$5="",B2599=CERTIFICADO!$E$5)),MAX($Y$4:Y2598)+1,"")</f>
        <v/>
      </c>
    </row>
    <row r="2600" customFormat="false" ht="15" hidden="false" customHeight="false" outlineLevel="0" collapsed="false">
      <c r="A2600" s="11" t="str">
        <f aca="false">IF(C2600="","",ROW()-4)</f>
        <v/>
      </c>
      <c r="B2600" s="12"/>
      <c r="C2600" s="13"/>
      <c r="D2600" s="23" t="str">
        <f aca="false">IF(C2600="","",IFERROR(INDEX(LOTES!$D$5:$D$1004,MATCH(C2600,LOTES!$F$5:$F$1004,0)),"¿Lote?"))</f>
        <v/>
      </c>
      <c r="E2600" s="11" t="str">
        <f aca="false">IF(C2600="","",IFERROR(INDEX(LOTES!$C$5:$C$1004,MATCH(C2600,LOTES!$F$5:$F$1004,0)),""))</f>
        <v/>
      </c>
      <c r="F2600" s="24" t="str">
        <f aca="false">IF(C2600="","",IFERROR(INDEX(LOTES!$B$5:$B$1004,MATCH(C2600,LOTES!$F$5:$F$1004,0)),""))</f>
        <v/>
      </c>
      <c r="G2600" s="15" t="str">
        <f aca="false">IF(OR(B2600="",F2600=""),"",B2600-F2600)</f>
        <v/>
      </c>
      <c r="H2600" s="13"/>
      <c r="I2600" s="13"/>
      <c r="J2600" s="13"/>
      <c r="K2600" s="25"/>
      <c r="L2600" s="25"/>
      <c r="M2600" s="25"/>
      <c r="N2600" s="25"/>
      <c r="O2600" s="26"/>
      <c r="P2600" s="16" t="str">
        <f aca="false">IF(O2600="","",IFERROR(1/(1/(IF(K2600="",INDEX(CONFIG!$F$5:$F$14,MATCH(D2600,CONFIG!$D$5:$D$14,0)),K2600)*IF(M2600="",INDEX(CONFIG!$H$5:$H$14,MATCH(D2600,CONFIG!$D$5:$D$14,0)),M2600))),""))</f>
        <v/>
      </c>
      <c r="Q2600" s="16" t="str">
        <f aca="false">IF(OR(O2600="",P2600=""),"",O2600/P2600)</f>
        <v/>
      </c>
      <c r="R2600" s="16" t="str">
        <f aca="false">IF(Q2600="","",Q2600*0.0980665)</f>
        <v/>
      </c>
      <c r="S2600" s="16" t="str">
        <f aca="false">IF(Q2600="","",IFERROR(Q2600/(1/(1/INDEX(CONFIG!$I$5:$I$14,MATCH(D2600,CONFIG!$D$5:$D$14,0)))),""))</f>
        <v/>
      </c>
      <c r="T2600" s="13"/>
      <c r="U2600" s="13"/>
      <c r="V2600" s="13"/>
      <c r="W2600" s="13"/>
      <c r="X2600" s="22" t="str">
        <f aca="false">IF(Q2600="","",Q2600^2)</f>
        <v/>
      </c>
      <c r="Y2600" s="22" t="str">
        <f aca="false">IF(AND(C2600&lt;&gt;"",C2600=CERTIFICADO!$E$4,OR(CERTIFICADO!$E$5="",B2600=CERTIFICADO!$E$5)),MAX($Y$4:Y2599)+1,"")</f>
        <v/>
      </c>
    </row>
    <row r="2601" customFormat="false" ht="15" hidden="false" customHeight="false" outlineLevel="0" collapsed="false">
      <c r="A2601" s="11" t="str">
        <f aca="false">IF(C2601="","",ROW()-4)</f>
        <v/>
      </c>
      <c r="B2601" s="12"/>
      <c r="C2601" s="13"/>
      <c r="D2601" s="23" t="str">
        <f aca="false">IF(C2601="","",IFERROR(INDEX(LOTES!$D$5:$D$1004,MATCH(C2601,LOTES!$F$5:$F$1004,0)),"¿Lote?"))</f>
        <v/>
      </c>
      <c r="E2601" s="11" t="str">
        <f aca="false">IF(C2601="","",IFERROR(INDEX(LOTES!$C$5:$C$1004,MATCH(C2601,LOTES!$F$5:$F$1004,0)),""))</f>
        <v/>
      </c>
      <c r="F2601" s="24" t="str">
        <f aca="false">IF(C2601="","",IFERROR(INDEX(LOTES!$B$5:$B$1004,MATCH(C2601,LOTES!$F$5:$F$1004,0)),""))</f>
        <v/>
      </c>
      <c r="G2601" s="15" t="str">
        <f aca="false">IF(OR(B2601="",F2601=""),"",B2601-F2601)</f>
        <v/>
      </c>
      <c r="H2601" s="13"/>
      <c r="I2601" s="13"/>
      <c r="J2601" s="13"/>
      <c r="K2601" s="25"/>
      <c r="L2601" s="25"/>
      <c r="M2601" s="25"/>
      <c r="N2601" s="25"/>
      <c r="O2601" s="26"/>
      <c r="P2601" s="16" t="str">
        <f aca="false">IF(O2601="","",IFERROR(1/(1/(IF(K2601="",INDEX(CONFIG!$F$5:$F$14,MATCH(D2601,CONFIG!$D$5:$D$14,0)),K2601)*IF(M2601="",INDEX(CONFIG!$H$5:$H$14,MATCH(D2601,CONFIG!$D$5:$D$14,0)),M2601))),""))</f>
        <v/>
      </c>
      <c r="Q2601" s="16" t="str">
        <f aca="false">IF(OR(O2601="",P2601=""),"",O2601/P2601)</f>
        <v/>
      </c>
      <c r="R2601" s="16" t="str">
        <f aca="false">IF(Q2601="","",Q2601*0.0980665)</f>
        <v/>
      </c>
      <c r="S2601" s="16" t="str">
        <f aca="false">IF(Q2601="","",IFERROR(Q2601/(1/(1/INDEX(CONFIG!$I$5:$I$14,MATCH(D2601,CONFIG!$D$5:$D$14,0)))),""))</f>
        <v/>
      </c>
      <c r="T2601" s="13"/>
      <c r="U2601" s="13"/>
      <c r="V2601" s="13"/>
      <c r="W2601" s="13"/>
      <c r="X2601" s="22" t="str">
        <f aca="false">IF(Q2601="","",Q2601^2)</f>
        <v/>
      </c>
      <c r="Y2601" s="22" t="str">
        <f aca="false">IF(AND(C2601&lt;&gt;"",C2601=CERTIFICADO!$E$4,OR(CERTIFICADO!$E$5="",B2601=CERTIFICADO!$E$5)),MAX($Y$4:Y2600)+1,"")</f>
        <v/>
      </c>
    </row>
    <row r="2602" customFormat="false" ht="15" hidden="false" customHeight="false" outlineLevel="0" collapsed="false">
      <c r="A2602" s="11" t="str">
        <f aca="false">IF(C2602="","",ROW()-4)</f>
        <v/>
      </c>
      <c r="B2602" s="12"/>
      <c r="C2602" s="13"/>
      <c r="D2602" s="23" t="str">
        <f aca="false">IF(C2602="","",IFERROR(INDEX(LOTES!$D$5:$D$1004,MATCH(C2602,LOTES!$F$5:$F$1004,0)),"¿Lote?"))</f>
        <v/>
      </c>
      <c r="E2602" s="11" t="str">
        <f aca="false">IF(C2602="","",IFERROR(INDEX(LOTES!$C$5:$C$1004,MATCH(C2602,LOTES!$F$5:$F$1004,0)),""))</f>
        <v/>
      </c>
      <c r="F2602" s="24" t="str">
        <f aca="false">IF(C2602="","",IFERROR(INDEX(LOTES!$B$5:$B$1004,MATCH(C2602,LOTES!$F$5:$F$1004,0)),""))</f>
        <v/>
      </c>
      <c r="G2602" s="15" t="str">
        <f aca="false">IF(OR(B2602="",F2602=""),"",B2602-F2602)</f>
        <v/>
      </c>
      <c r="H2602" s="13"/>
      <c r="I2602" s="13"/>
      <c r="J2602" s="13"/>
      <c r="K2602" s="25"/>
      <c r="L2602" s="25"/>
      <c r="M2602" s="25"/>
      <c r="N2602" s="25"/>
      <c r="O2602" s="26"/>
      <c r="P2602" s="16" t="str">
        <f aca="false">IF(O2602="","",IFERROR(1/(1/(IF(K2602="",INDEX(CONFIG!$F$5:$F$14,MATCH(D2602,CONFIG!$D$5:$D$14,0)),K2602)*IF(M2602="",INDEX(CONFIG!$H$5:$H$14,MATCH(D2602,CONFIG!$D$5:$D$14,0)),M2602))),""))</f>
        <v/>
      </c>
      <c r="Q2602" s="16" t="str">
        <f aca="false">IF(OR(O2602="",P2602=""),"",O2602/P2602)</f>
        <v/>
      </c>
      <c r="R2602" s="16" t="str">
        <f aca="false">IF(Q2602="","",Q2602*0.0980665)</f>
        <v/>
      </c>
      <c r="S2602" s="16" t="str">
        <f aca="false">IF(Q2602="","",IFERROR(Q2602/(1/(1/INDEX(CONFIG!$I$5:$I$14,MATCH(D2602,CONFIG!$D$5:$D$14,0)))),""))</f>
        <v/>
      </c>
      <c r="T2602" s="13"/>
      <c r="U2602" s="13"/>
      <c r="V2602" s="13"/>
      <c r="W2602" s="13"/>
      <c r="X2602" s="22" t="str">
        <f aca="false">IF(Q2602="","",Q2602^2)</f>
        <v/>
      </c>
      <c r="Y2602" s="22" t="str">
        <f aca="false">IF(AND(C2602&lt;&gt;"",C2602=CERTIFICADO!$E$4,OR(CERTIFICADO!$E$5="",B2602=CERTIFICADO!$E$5)),MAX($Y$4:Y2601)+1,"")</f>
        <v/>
      </c>
    </row>
    <row r="2603" customFormat="false" ht="15" hidden="false" customHeight="false" outlineLevel="0" collapsed="false">
      <c r="A2603" s="11" t="str">
        <f aca="false">IF(C2603="","",ROW()-4)</f>
        <v/>
      </c>
      <c r="B2603" s="12"/>
      <c r="C2603" s="13"/>
      <c r="D2603" s="23" t="str">
        <f aca="false">IF(C2603="","",IFERROR(INDEX(LOTES!$D$5:$D$1004,MATCH(C2603,LOTES!$F$5:$F$1004,0)),"¿Lote?"))</f>
        <v/>
      </c>
      <c r="E2603" s="11" t="str">
        <f aca="false">IF(C2603="","",IFERROR(INDEX(LOTES!$C$5:$C$1004,MATCH(C2603,LOTES!$F$5:$F$1004,0)),""))</f>
        <v/>
      </c>
      <c r="F2603" s="24" t="str">
        <f aca="false">IF(C2603="","",IFERROR(INDEX(LOTES!$B$5:$B$1004,MATCH(C2603,LOTES!$F$5:$F$1004,0)),""))</f>
        <v/>
      </c>
      <c r="G2603" s="15" t="str">
        <f aca="false">IF(OR(B2603="",F2603=""),"",B2603-F2603)</f>
        <v/>
      </c>
      <c r="H2603" s="13"/>
      <c r="I2603" s="13"/>
      <c r="J2603" s="13"/>
      <c r="K2603" s="25"/>
      <c r="L2603" s="25"/>
      <c r="M2603" s="25"/>
      <c r="N2603" s="25"/>
      <c r="O2603" s="26"/>
      <c r="P2603" s="16" t="str">
        <f aca="false">IF(O2603="","",IFERROR(1/(1/(IF(K2603="",INDEX(CONFIG!$F$5:$F$14,MATCH(D2603,CONFIG!$D$5:$D$14,0)),K2603)*IF(M2603="",INDEX(CONFIG!$H$5:$H$14,MATCH(D2603,CONFIG!$D$5:$D$14,0)),M2603))),""))</f>
        <v/>
      </c>
      <c r="Q2603" s="16" t="str">
        <f aca="false">IF(OR(O2603="",P2603=""),"",O2603/P2603)</f>
        <v/>
      </c>
      <c r="R2603" s="16" t="str">
        <f aca="false">IF(Q2603="","",Q2603*0.0980665)</f>
        <v/>
      </c>
      <c r="S2603" s="16" t="str">
        <f aca="false">IF(Q2603="","",IFERROR(Q2603/(1/(1/INDEX(CONFIG!$I$5:$I$14,MATCH(D2603,CONFIG!$D$5:$D$14,0)))),""))</f>
        <v/>
      </c>
      <c r="T2603" s="13"/>
      <c r="U2603" s="13"/>
      <c r="V2603" s="13"/>
      <c r="W2603" s="13"/>
      <c r="X2603" s="22" t="str">
        <f aca="false">IF(Q2603="","",Q2603^2)</f>
        <v/>
      </c>
      <c r="Y2603" s="22" t="str">
        <f aca="false">IF(AND(C2603&lt;&gt;"",C2603=CERTIFICADO!$E$4,OR(CERTIFICADO!$E$5="",B2603=CERTIFICADO!$E$5)),MAX($Y$4:Y2602)+1,"")</f>
        <v/>
      </c>
    </row>
    <row r="2604" customFormat="false" ht="15" hidden="false" customHeight="false" outlineLevel="0" collapsed="false">
      <c r="A2604" s="11" t="str">
        <f aca="false">IF(C2604="","",ROW()-4)</f>
        <v/>
      </c>
      <c r="B2604" s="12"/>
      <c r="C2604" s="13"/>
      <c r="D2604" s="23" t="str">
        <f aca="false">IF(C2604="","",IFERROR(INDEX(LOTES!$D$5:$D$1004,MATCH(C2604,LOTES!$F$5:$F$1004,0)),"¿Lote?"))</f>
        <v/>
      </c>
      <c r="E2604" s="11" t="str">
        <f aca="false">IF(C2604="","",IFERROR(INDEX(LOTES!$C$5:$C$1004,MATCH(C2604,LOTES!$F$5:$F$1004,0)),""))</f>
        <v/>
      </c>
      <c r="F2604" s="24" t="str">
        <f aca="false">IF(C2604="","",IFERROR(INDEX(LOTES!$B$5:$B$1004,MATCH(C2604,LOTES!$F$5:$F$1004,0)),""))</f>
        <v/>
      </c>
      <c r="G2604" s="15" t="str">
        <f aca="false">IF(OR(B2604="",F2604=""),"",B2604-F2604)</f>
        <v/>
      </c>
      <c r="H2604" s="13"/>
      <c r="I2604" s="13"/>
      <c r="J2604" s="13"/>
      <c r="K2604" s="25"/>
      <c r="L2604" s="25"/>
      <c r="M2604" s="25"/>
      <c r="N2604" s="25"/>
      <c r="O2604" s="26"/>
      <c r="P2604" s="16" t="str">
        <f aca="false">IF(O2604="","",IFERROR(1/(1/(IF(K2604="",INDEX(CONFIG!$F$5:$F$14,MATCH(D2604,CONFIG!$D$5:$D$14,0)),K2604)*IF(M2604="",INDEX(CONFIG!$H$5:$H$14,MATCH(D2604,CONFIG!$D$5:$D$14,0)),M2604))),""))</f>
        <v/>
      </c>
      <c r="Q2604" s="16" t="str">
        <f aca="false">IF(OR(O2604="",P2604=""),"",O2604/P2604)</f>
        <v/>
      </c>
      <c r="R2604" s="16" t="str">
        <f aca="false">IF(Q2604="","",Q2604*0.0980665)</f>
        <v/>
      </c>
      <c r="S2604" s="16" t="str">
        <f aca="false">IF(Q2604="","",IFERROR(Q2604/(1/(1/INDEX(CONFIG!$I$5:$I$14,MATCH(D2604,CONFIG!$D$5:$D$14,0)))),""))</f>
        <v/>
      </c>
      <c r="T2604" s="13"/>
      <c r="U2604" s="13"/>
      <c r="V2604" s="13"/>
      <c r="W2604" s="13"/>
      <c r="X2604" s="22" t="str">
        <f aca="false">IF(Q2604="","",Q2604^2)</f>
        <v/>
      </c>
      <c r="Y2604" s="22" t="str">
        <f aca="false">IF(AND(C2604&lt;&gt;"",C2604=CERTIFICADO!$E$4,OR(CERTIFICADO!$E$5="",B2604=CERTIFICADO!$E$5)),MAX($Y$4:Y2603)+1,"")</f>
        <v/>
      </c>
    </row>
    <row r="2605" customFormat="false" ht="15" hidden="false" customHeight="false" outlineLevel="0" collapsed="false">
      <c r="A2605" s="11" t="str">
        <f aca="false">IF(C2605="","",ROW()-4)</f>
        <v/>
      </c>
      <c r="B2605" s="12"/>
      <c r="C2605" s="13"/>
      <c r="D2605" s="23" t="str">
        <f aca="false">IF(C2605="","",IFERROR(INDEX(LOTES!$D$5:$D$1004,MATCH(C2605,LOTES!$F$5:$F$1004,0)),"¿Lote?"))</f>
        <v/>
      </c>
      <c r="E2605" s="11" t="str">
        <f aca="false">IF(C2605="","",IFERROR(INDEX(LOTES!$C$5:$C$1004,MATCH(C2605,LOTES!$F$5:$F$1004,0)),""))</f>
        <v/>
      </c>
      <c r="F2605" s="24" t="str">
        <f aca="false">IF(C2605="","",IFERROR(INDEX(LOTES!$B$5:$B$1004,MATCH(C2605,LOTES!$F$5:$F$1004,0)),""))</f>
        <v/>
      </c>
      <c r="G2605" s="15" t="str">
        <f aca="false">IF(OR(B2605="",F2605=""),"",B2605-F2605)</f>
        <v/>
      </c>
      <c r="H2605" s="13"/>
      <c r="I2605" s="13"/>
      <c r="J2605" s="13"/>
      <c r="K2605" s="25"/>
      <c r="L2605" s="25"/>
      <c r="M2605" s="25"/>
      <c r="N2605" s="25"/>
      <c r="O2605" s="26"/>
      <c r="P2605" s="16" t="str">
        <f aca="false">IF(O2605="","",IFERROR(1/(1/(IF(K2605="",INDEX(CONFIG!$F$5:$F$14,MATCH(D2605,CONFIG!$D$5:$D$14,0)),K2605)*IF(M2605="",INDEX(CONFIG!$H$5:$H$14,MATCH(D2605,CONFIG!$D$5:$D$14,0)),M2605))),""))</f>
        <v/>
      </c>
      <c r="Q2605" s="16" t="str">
        <f aca="false">IF(OR(O2605="",P2605=""),"",O2605/P2605)</f>
        <v/>
      </c>
      <c r="R2605" s="16" t="str">
        <f aca="false">IF(Q2605="","",Q2605*0.0980665)</f>
        <v/>
      </c>
      <c r="S2605" s="16" t="str">
        <f aca="false">IF(Q2605="","",IFERROR(Q2605/(1/(1/INDEX(CONFIG!$I$5:$I$14,MATCH(D2605,CONFIG!$D$5:$D$14,0)))),""))</f>
        <v/>
      </c>
      <c r="T2605" s="13"/>
      <c r="U2605" s="13"/>
      <c r="V2605" s="13"/>
      <c r="W2605" s="13"/>
      <c r="X2605" s="22" t="str">
        <f aca="false">IF(Q2605="","",Q2605^2)</f>
        <v/>
      </c>
      <c r="Y2605" s="22" t="str">
        <f aca="false">IF(AND(C2605&lt;&gt;"",C2605=CERTIFICADO!$E$4,OR(CERTIFICADO!$E$5="",B2605=CERTIFICADO!$E$5)),MAX($Y$4:Y2604)+1,"")</f>
        <v/>
      </c>
    </row>
    <row r="2606" customFormat="false" ht="15" hidden="false" customHeight="false" outlineLevel="0" collapsed="false">
      <c r="A2606" s="11" t="str">
        <f aca="false">IF(C2606="","",ROW()-4)</f>
        <v/>
      </c>
      <c r="B2606" s="12"/>
      <c r="C2606" s="13"/>
      <c r="D2606" s="23" t="str">
        <f aca="false">IF(C2606="","",IFERROR(INDEX(LOTES!$D$5:$D$1004,MATCH(C2606,LOTES!$F$5:$F$1004,0)),"¿Lote?"))</f>
        <v/>
      </c>
      <c r="E2606" s="11" t="str">
        <f aca="false">IF(C2606="","",IFERROR(INDEX(LOTES!$C$5:$C$1004,MATCH(C2606,LOTES!$F$5:$F$1004,0)),""))</f>
        <v/>
      </c>
      <c r="F2606" s="24" t="str">
        <f aca="false">IF(C2606="","",IFERROR(INDEX(LOTES!$B$5:$B$1004,MATCH(C2606,LOTES!$F$5:$F$1004,0)),""))</f>
        <v/>
      </c>
      <c r="G2606" s="15" t="str">
        <f aca="false">IF(OR(B2606="",F2606=""),"",B2606-F2606)</f>
        <v/>
      </c>
      <c r="H2606" s="13"/>
      <c r="I2606" s="13"/>
      <c r="J2606" s="13"/>
      <c r="K2606" s="25"/>
      <c r="L2606" s="25"/>
      <c r="M2606" s="25"/>
      <c r="N2606" s="25"/>
      <c r="O2606" s="26"/>
      <c r="P2606" s="16" t="str">
        <f aca="false">IF(O2606="","",IFERROR(1/(1/(IF(K2606="",INDEX(CONFIG!$F$5:$F$14,MATCH(D2606,CONFIG!$D$5:$D$14,0)),K2606)*IF(M2606="",INDEX(CONFIG!$H$5:$H$14,MATCH(D2606,CONFIG!$D$5:$D$14,0)),M2606))),""))</f>
        <v/>
      </c>
      <c r="Q2606" s="16" t="str">
        <f aca="false">IF(OR(O2606="",P2606=""),"",O2606/P2606)</f>
        <v/>
      </c>
      <c r="R2606" s="16" t="str">
        <f aca="false">IF(Q2606="","",Q2606*0.0980665)</f>
        <v/>
      </c>
      <c r="S2606" s="16" t="str">
        <f aca="false">IF(Q2606="","",IFERROR(Q2606/(1/(1/INDEX(CONFIG!$I$5:$I$14,MATCH(D2606,CONFIG!$D$5:$D$14,0)))),""))</f>
        <v/>
      </c>
      <c r="T2606" s="13"/>
      <c r="U2606" s="13"/>
      <c r="V2606" s="13"/>
      <c r="W2606" s="13"/>
      <c r="X2606" s="22" t="str">
        <f aca="false">IF(Q2606="","",Q2606^2)</f>
        <v/>
      </c>
      <c r="Y2606" s="22" t="str">
        <f aca="false">IF(AND(C2606&lt;&gt;"",C2606=CERTIFICADO!$E$4,OR(CERTIFICADO!$E$5="",B2606=CERTIFICADO!$E$5)),MAX($Y$4:Y2605)+1,"")</f>
        <v/>
      </c>
    </row>
    <row r="2607" customFormat="false" ht="15" hidden="false" customHeight="false" outlineLevel="0" collapsed="false">
      <c r="A2607" s="11" t="str">
        <f aca="false">IF(C2607="","",ROW()-4)</f>
        <v/>
      </c>
      <c r="B2607" s="12"/>
      <c r="C2607" s="13"/>
      <c r="D2607" s="23" t="str">
        <f aca="false">IF(C2607="","",IFERROR(INDEX(LOTES!$D$5:$D$1004,MATCH(C2607,LOTES!$F$5:$F$1004,0)),"¿Lote?"))</f>
        <v/>
      </c>
      <c r="E2607" s="11" t="str">
        <f aca="false">IF(C2607="","",IFERROR(INDEX(LOTES!$C$5:$C$1004,MATCH(C2607,LOTES!$F$5:$F$1004,0)),""))</f>
        <v/>
      </c>
      <c r="F2607" s="24" t="str">
        <f aca="false">IF(C2607="","",IFERROR(INDEX(LOTES!$B$5:$B$1004,MATCH(C2607,LOTES!$F$5:$F$1004,0)),""))</f>
        <v/>
      </c>
      <c r="G2607" s="15" t="str">
        <f aca="false">IF(OR(B2607="",F2607=""),"",B2607-F2607)</f>
        <v/>
      </c>
      <c r="H2607" s="13"/>
      <c r="I2607" s="13"/>
      <c r="J2607" s="13"/>
      <c r="K2607" s="25"/>
      <c r="L2607" s="25"/>
      <c r="M2607" s="25"/>
      <c r="N2607" s="25"/>
      <c r="O2607" s="26"/>
      <c r="P2607" s="16" t="str">
        <f aca="false">IF(O2607="","",IFERROR(1/(1/(IF(K2607="",INDEX(CONFIG!$F$5:$F$14,MATCH(D2607,CONFIG!$D$5:$D$14,0)),K2607)*IF(M2607="",INDEX(CONFIG!$H$5:$H$14,MATCH(D2607,CONFIG!$D$5:$D$14,0)),M2607))),""))</f>
        <v/>
      </c>
      <c r="Q2607" s="16" t="str">
        <f aca="false">IF(OR(O2607="",P2607=""),"",O2607/P2607)</f>
        <v/>
      </c>
      <c r="R2607" s="16" t="str">
        <f aca="false">IF(Q2607="","",Q2607*0.0980665)</f>
        <v/>
      </c>
      <c r="S2607" s="16" t="str">
        <f aca="false">IF(Q2607="","",IFERROR(Q2607/(1/(1/INDEX(CONFIG!$I$5:$I$14,MATCH(D2607,CONFIG!$D$5:$D$14,0)))),""))</f>
        <v/>
      </c>
      <c r="T2607" s="13"/>
      <c r="U2607" s="13"/>
      <c r="V2607" s="13"/>
      <c r="W2607" s="13"/>
      <c r="X2607" s="22" t="str">
        <f aca="false">IF(Q2607="","",Q2607^2)</f>
        <v/>
      </c>
      <c r="Y2607" s="22" t="str">
        <f aca="false">IF(AND(C2607&lt;&gt;"",C2607=CERTIFICADO!$E$4,OR(CERTIFICADO!$E$5="",B2607=CERTIFICADO!$E$5)),MAX($Y$4:Y2606)+1,"")</f>
        <v/>
      </c>
    </row>
    <row r="2608" customFormat="false" ht="15" hidden="false" customHeight="false" outlineLevel="0" collapsed="false">
      <c r="A2608" s="11" t="str">
        <f aca="false">IF(C2608="","",ROW()-4)</f>
        <v/>
      </c>
      <c r="B2608" s="12"/>
      <c r="C2608" s="13"/>
      <c r="D2608" s="23" t="str">
        <f aca="false">IF(C2608="","",IFERROR(INDEX(LOTES!$D$5:$D$1004,MATCH(C2608,LOTES!$F$5:$F$1004,0)),"¿Lote?"))</f>
        <v/>
      </c>
      <c r="E2608" s="11" t="str">
        <f aca="false">IF(C2608="","",IFERROR(INDEX(LOTES!$C$5:$C$1004,MATCH(C2608,LOTES!$F$5:$F$1004,0)),""))</f>
        <v/>
      </c>
      <c r="F2608" s="24" t="str">
        <f aca="false">IF(C2608="","",IFERROR(INDEX(LOTES!$B$5:$B$1004,MATCH(C2608,LOTES!$F$5:$F$1004,0)),""))</f>
        <v/>
      </c>
      <c r="G2608" s="15" t="str">
        <f aca="false">IF(OR(B2608="",F2608=""),"",B2608-F2608)</f>
        <v/>
      </c>
      <c r="H2608" s="13"/>
      <c r="I2608" s="13"/>
      <c r="J2608" s="13"/>
      <c r="K2608" s="25"/>
      <c r="L2608" s="25"/>
      <c r="M2608" s="25"/>
      <c r="N2608" s="25"/>
      <c r="O2608" s="26"/>
      <c r="P2608" s="16" t="str">
        <f aca="false">IF(O2608="","",IFERROR(1/(1/(IF(K2608="",INDEX(CONFIG!$F$5:$F$14,MATCH(D2608,CONFIG!$D$5:$D$14,0)),K2608)*IF(M2608="",INDEX(CONFIG!$H$5:$H$14,MATCH(D2608,CONFIG!$D$5:$D$14,0)),M2608))),""))</f>
        <v/>
      </c>
      <c r="Q2608" s="16" t="str">
        <f aca="false">IF(OR(O2608="",P2608=""),"",O2608/P2608)</f>
        <v/>
      </c>
      <c r="R2608" s="16" t="str">
        <f aca="false">IF(Q2608="","",Q2608*0.0980665)</f>
        <v/>
      </c>
      <c r="S2608" s="16" t="str">
        <f aca="false">IF(Q2608="","",IFERROR(Q2608/(1/(1/INDEX(CONFIG!$I$5:$I$14,MATCH(D2608,CONFIG!$D$5:$D$14,0)))),""))</f>
        <v/>
      </c>
      <c r="T2608" s="13"/>
      <c r="U2608" s="13"/>
      <c r="V2608" s="13"/>
      <c r="W2608" s="13"/>
      <c r="X2608" s="22" t="str">
        <f aca="false">IF(Q2608="","",Q2608^2)</f>
        <v/>
      </c>
      <c r="Y2608" s="22" t="str">
        <f aca="false">IF(AND(C2608&lt;&gt;"",C2608=CERTIFICADO!$E$4,OR(CERTIFICADO!$E$5="",B2608=CERTIFICADO!$E$5)),MAX($Y$4:Y2607)+1,"")</f>
        <v/>
      </c>
    </row>
    <row r="2609" customFormat="false" ht="15" hidden="false" customHeight="false" outlineLevel="0" collapsed="false">
      <c r="A2609" s="11" t="str">
        <f aca="false">IF(C2609="","",ROW()-4)</f>
        <v/>
      </c>
      <c r="B2609" s="12"/>
      <c r="C2609" s="13"/>
      <c r="D2609" s="23" t="str">
        <f aca="false">IF(C2609="","",IFERROR(INDEX(LOTES!$D$5:$D$1004,MATCH(C2609,LOTES!$F$5:$F$1004,0)),"¿Lote?"))</f>
        <v/>
      </c>
      <c r="E2609" s="11" t="str">
        <f aca="false">IF(C2609="","",IFERROR(INDEX(LOTES!$C$5:$C$1004,MATCH(C2609,LOTES!$F$5:$F$1004,0)),""))</f>
        <v/>
      </c>
      <c r="F2609" s="24" t="str">
        <f aca="false">IF(C2609="","",IFERROR(INDEX(LOTES!$B$5:$B$1004,MATCH(C2609,LOTES!$F$5:$F$1004,0)),""))</f>
        <v/>
      </c>
      <c r="G2609" s="15" t="str">
        <f aca="false">IF(OR(B2609="",F2609=""),"",B2609-F2609)</f>
        <v/>
      </c>
      <c r="H2609" s="13"/>
      <c r="I2609" s="13"/>
      <c r="J2609" s="13"/>
      <c r="K2609" s="25"/>
      <c r="L2609" s="25"/>
      <c r="M2609" s="25"/>
      <c r="N2609" s="25"/>
      <c r="O2609" s="26"/>
      <c r="P2609" s="16" t="str">
        <f aca="false">IF(O2609="","",IFERROR(1/(1/(IF(K2609="",INDEX(CONFIG!$F$5:$F$14,MATCH(D2609,CONFIG!$D$5:$D$14,0)),K2609)*IF(M2609="",INDEX(CONFIG!$H$5:$H$14,MATCH(D2609,CONFIG!$D$5:$D$14,0)),M2609))),""))</f>
        <v/>
      </c>
      <c r="Q2609" s="16" t="str">
        <f aca="false">IF(OR(O2609="",P2609=""),"",O2609/P2609)</f>
        <v/>
      </c>
      <c r="R2609" s="16" t="str">
        <f aca="false">IF(Q2609="","",Q2609*0.0980665)</f>
        <v/>
      </c>
      <c r="S2609" s="16" t="str">
        <f aca="false">IF(Q2609="","",IFERROR(Q2609/(1/(1/INDEX(CONFIG!$I$5:$I$14,MATCH(D2609,CONFIG!$D$5:$D$14,0)))),""))</f>
        <v/>
      </c>
      <c r="T2609" s="13"/>
      <c r="U2609" s="13"/>
      <c r="V2609" s="13"/>
      <c r="W2609" s="13"/>
      <c r="X2609" s="22" t="str">
        <f aca="false">IF(Q2609="","",Q2609^2)</f>
        <v/>
      </c>
      <c r="Y2609" s="22" t="str">
        <f aca="false">IF(AND(C2609&lt;&gt;"",C2609=CERTIFICADO!$E$4,OR(CERTIFICADO!$E$5="",B2609=CERTIFICADO!$E$5)),MAX($Y$4:Y2608)+1,"")</f>
        <v/>
      </c>
    </row>
    <row r="2610" customFormat="false" ht="15" hidden="false" customHeight="false" outlineLevel="0" collapsed="false">
      <c r="A2610" s="11" t="str">
        <f aca="false">IF(C2610="","",ROW()-4)</f>
        <v/>
      </c>
      <c r="B2610" s="12"/>
      <c r="C2610" s="13"/>
      <c r="D2610" s="23" t="str">
        <f aca="false">IF(C2610="","",IFERROR(INDEX(LOTES!$D$5:$D$1004,MATCH(C2610,LOTES!$F$5:$F$1004,0)),"¿Lote?"))</f>
        <v/>
      </c>
      <c r="E2610" s="11" t="str">
        <f aca="false">IF(C2610="","",IFERROR(INDEX(LOTES!$C$5:$C$1004,MATCH(C2610,LOTES!$F$5:$F$1004,0)),""))</f>
        <v/>
      </c>
      <c r="F2610" s="24" t="str">
        <f aca="false">IF(C2610="","",IFERROR(INDEX(LOTES!$B$5:$B$1004,MATCH(C2610,LOTES!$F$5:$F$1004,0)),""))</f>
        <v/>
      </c>
      <c r="G2610" s="15" t="str">
        <f aca="false">IF(OR(B2610="",F2610=""),"",B2610-F2610)</f>
        <v/>
      </c>
      <c r="H2610" s="13"/>
      <c r="I2610" s="13"/>
      <c r="J2610" s="13"/>
      <c r="K2610" s="25"/>
      <c r="L2610" s="25"/>
      <c r="M2610" s="25"/>
      <c r="N2610" s="25"/>
      <c r="O2610" s="26"/>
      <c r="P2610" s="16" t="str">
        <f aca="false">IF(O2610="","",IFERROR(1/(1/(IF(K2610="",INDEX(CONFIG!$F$5:$F$14,MATCH(D2610,CONFIG!$D$5:$D$14,0)),K2610)*IF(M2610="",INDEX(CONFIG!$H$5:$H$14,MATCH(D2610,CONFIG!$D$5:$D$14,0)),M2610))),""))</f>
        <v/>
      </c>
      <c r="Q2610" s="16" t="str">
        <f aca="false">IF(OR(O2610="",P2610=""),"",O2610/P2610)</f>
        <v/>
      </c>
      <c r="R2610" s="16" t="str">
        <f aca="false">IF(Q2610="","",Q2610*0.0980665)</f>
        <v/>
      </c>
      <c r="S2610" s="16" t="str">
        <f aca="false">IF(Q2610="","",IFERROR(Q2610/(1/(1/INDEX(CONFIG!$I$5:$I$14,MATCH(D2610,CONFIG!$D$5:$D$14,0)))),""))</f>
        <v/>
      </c>
      <c r="T2610" s="13"/>
      <c r="U2610" s="13"/>
      <c r="V2610" s="13"/>
      <c r="W2610" s="13"/>
      <c r="X2610" s="22" t="str">
        <f aca="false">IF(Q2610="","",Q2610^2)</f>
        <v/>
      </c>
      <c r="Y2610" s="22" t="str">
        <f aca="false">IF(AND(C2610&lt;&gt;"",C2610=CERTIFICADO!$E$4,OR(CERTIFICADO!$E$5="",B2610=CERTIFICADO!$E$5)),MAX($Y$4:Y2609)+1,"")</f>
        <v/>
      </c>
    </row>
    <row r="2611" customFormat="false" ht="15" hidden="false" customHeight="false" outlineLevel="0" collapsed="false">
      <c r="A2611" s="11" t="str">
        <f aca="false">IF(C2611="","",ROW()-4)</f>
        <v/>
      </c>
      <c r="B2611" s="12"/>
      <c r="C2611" s="13"/>
      <c r="D2611" s="23" t="str">
        <f aca="false">IF(C2611="","",IFERROR(INDEX(LOTES!$D$5:$D$1004,MATCH(C2611,LOTES!$F$5:$F$1004,0)),"¿Lote?"))</f>
        <v/>
      </c>
      <c r="E2611" s="11" t="str">
        <f aca="false">IF(C2611="","",IFERROR(INDEX(LOTES!$C$5:$C$1004,MATCH(C2611,LOTES!$F$5:$F$1004,0)),""))</f>
        <v/>
      </c>
      <c r="F2611" s="24" t="str">
        <f aca="false">IF(C2611="","",IFERROR(INDEX(LOTES!$B$5:$B$1004,MATCH(C2611,LOTES!$F$5:$F$1004,0)),""))</f>
        <v/>
      </c>
      <c r="G2611" s="15" t="str">
        <f aca="false">IF(OR(B2611="",F2611=""),"",B2611-F2611)</f>
        <v/>
      </c>
      <c r="H2611" s="13"/>
      <c r="I2611" s="13"/>
      <c r="J2611" s="13"/>
      <c r="K2611" s="25"/>
      <c r="L2611" s="25"/>
      <c r="M2611" s="25"/>
      <c r="N2611" s="25"/>
      <c r="O2611" s="26"/>
      <c r="P2611" s="16" t="str">
        <f aca="false">IF(O2611="","",IFERROR(1/(1/(IF(K2611="",INDEX(CONFIG!$F$5:$F$14,MATCH(D2611,CONFIG!$D$5:$D$14,0)),K2611)*IF(M2611="",INDEX(CONFIG!$H$5:$H$14,MATCH(D2611,CONFIG!$D$5:$D$14,0)),M2611))),""))</f>
        <v/>
      </c>
      <c r="Q2611" s="16" t="str">
        <f aca="false">IF(OR(O2611="",P2611=""),"",O2611/P2611)</f>
        <v/>
      </c>
      <c r="R2611" s="16" t="str">
        <f aca="false">IF(Q2611="","",Q2611*0.0980665)</f>
        <v/>
      </c>
      <c r="S2611" s="16" t="str">
        <f aca="false">IF(Q2611="","",IFERROR(Q2611/(1/(1/INDEX(CONFIG!$I$5:$I$14,MATCH(D2611,CONFIG!$D$5:$D$14,0)))),""))</f>
        <v/>
      </c>
      <c r="T2611" s="13"/>
      <c r="U2611" s="13"/>
      <c r="V2611" s="13"/>
      <c r="W2611" s="13"/>
      <c r="X2611" s="22" t="str">
        <f aca="false">IF(Q2611="","",Q2611^2)</f>
        <v/>
      </c>
      <c r="Y2611" s="22" t="str">
        <f aca="false">IF(AND(C2611&lt;&gt;"",C2611=CERTIFICADO!$E$4,OR(CERTIFICADO!$E$5="",B2611=CERTIFICADO!$E$5)),MAX($Y$4:Y2610)+1,"")</f>
        <v/>
      </c>
    </row>
    <row r="2612" customFormat="false" ht="15" hidden="false" customHeight="false" outlineLevel="0" collapsed="false">
      <c r="A2612" s="11" t="str">
        <f aca="false">IF(C2612="","",ROW()-4)</f>
        <v/>
      </c>
      <c r="B2612" s="12"/>
      <c r="C2612" s="13"/>
      <c r="D2612" s="23" t="str">
        <f aca="false">IF(C2612="","",IFERROR(INDEX(LOTES!$D$5:$D$1004,MATCH(C2612,LOTES!$F$5:$F$1004,0)),"¿Lote?"))</f>
        <v/>
      </c>
      <c r="E2612" s="11" t="str">
        <f aca="false">IF(C2612="","",IFERROR(INDEX(LOTES!$C$5:$C$1004,MATCH(C2612,LOTES!$F$5:$F$1004,0)),""))</f>
        <v/>
      </c>
      <c r="F2612" s="24" t="str">
        <f aca="false">IF(C2612="","",IFERROR(INDEX(LOTES!$B$5:$B$1004,MATCH(C2612,LOTES!$F$5:$F$1004,0)),""))</f>
        <v/>
      </c>
      <c r="G2612" s="15" t="str">
        <f aca="false">IF(OR(B2612="",F2612=""),"",B2612-F2612)</f>
        <v/>
      </c>
      <c r="H2612" s="13"/>
      <c r="I2612" s="13"/>
      <c r="J2612" s="13"/>
      <c r="K2612" s="25"/>
      <c r="L2612" s="25"/>
      <c r="M2612" s="25"/>
      <c r="N2612" s="25"/>
      <c r="O2612" s="26"/>
      <c r="P2612" s="16" t="str">
        <f aca="false">IF(O2612="","",IFERROR(1/(1/(IF(K2612="",INDEX(CONFIG!$F$5:$F$14,MATCH(D2612,CONFIG!$D$5:$D$14,0)),K2612)*IF(M2612="",INDEX(CONFIG!$H$5:$H$14,MATCH(D2612,CONFIG!$D$5:$D$14,0)),M2612))),""))</f>
        <v/>
      </c>
      <c r="Q2612" s="16" t="str">
        <f aca="false">IF(OR(O2612="",P2612=""),"",O2612/P2612)</f>
        <v/>
      </c>
      <c r="R2612" s="16" t="str">
        <f aca="false">IF(Q2612="","",Q2612*0.0980665)</f>
        <v/>
      </c>
      <c r="S2612" s="16" t="str">
        <f aca="false">IF(Q2612="","",IFERROR(Q2612/(1/(1/INDEX(CONFIG!$I$5:$I$14,MATCH(D2612,CONFIG!$D$5:$D$14,0)))),""))</f>
        <v/>
      </c>
      <c r="T2612" s="13"/>
      <c r="U2612" s="13"/>
      <c r="V2612" s="13"/>
      <c r="W2612" s="13"/>
      <c r="X2612" s="22" t="str">
        <f aca="false">IF(Q2612="","",Q2612^2)</f>
        <v/>
      </c>
      <c r="Y2612" s="22" t="str">
        <f aca="false">IF(AND(C2612&lt;&gt;"",C2612=CERTIFICADO!$E$4,OR(CERTIFICADO!$E$5="",B2612=CERTIFICADO!$E$5)),MAX($Y$4:Y2611)+1,"")</f>
        <v/>
      </c>
    </row>
    <row r="2613" customFormat="false" ht="15" hidden="false" customHeight="false" outlineLevel="0" collapsed="false">
      <c r="A2613" s="11" t="str">
        <f aca="false">IF(C2613="","",ROW()-4)</f>
        <v/>
      </c>
      <c r="B2613" s="12"/>
      <c r="C2613" s="13"/>
      <c r="D2613" s="23" t="str">
        <f aca="false">IF(C2613="","",IFERROR(INDEX(LOTES!$D$5:$D$1004,MATCH(C2613,LOTES!$F$5:$F$1004,0)),"¿Lote?"))</f>
        <v/>
      </c>
      <c r="E2613" s="11" t="str">
        <f aca="false">IF(C2613="","",IFERROR(INDEX(LOTES!$C$5:$C$1004,MATCH(C2613,LOTES!$F$5:$F$1004,0)),""))</f>
        <v/>
      </c>
      <c r="F2613" s="24" t="str">
        <f aca="false">IF(C2613="","",IFERROR(INDEX(LOTES!$B$5:$B$1004,MATCH(C2613,LOTES!$F$5:$F$1004,0)),""))</f>
        <v/>
      </c>
      <c r="G2613" s="15" t="str">
        <f aca="false">IF(OR(B2613="",F2613=""),"",B2613-F2613)</f>
        <v/>
      </c>
      <c r="H2613" s="13"/>
      <c r="I2613" s="13"/>
      <c r="J2613" s="13"/>
      <c r="K2613" s="25"/>
      <c r="L2613" s="25"/>
      <c r="M2613" s="25"/>
      <c r="N2613" s="25"/>
      <c r="O2613" s="26"/>
      <c r="P2613" s="16" t="str">
        <f aca="false">IF(O2613="","",IFERROR(1/(1/(IF(K2613="",INDEX(CONFIG!$F$5:$F$14,MATCH(D2613,CONFIG!$D$5:$D$14,0)),K2613)*IF(M2613="",INDEX(CONFIG!$H$5:$H$14,MATCH(D2613,CONFIG!$D$5:$D$14,0)),M2613))),""))</f>
        <v/>
      </c>
      <c r="Q2613" s="16" t="str">
        <f aca="false">IF(OR(O2613="",P2613=""),"",O2613/P2613)</f>
        <v/>
      </c>
      <c r="R2613" s="16" t="str">
        <f aca="false">IF(Q2613="","",Q2613*0.0980665)</f>
        <v/>
      </c>
      <c r="S2613" s="16" t="str">
        <f aca="false">IF(Q2613="","",IFERROR(Q2613/(1/(1/INDEX(CONFIG!$I$5:$I$14,MATCH(D2613,CONFIG!$D$5:$D$14,0)))),""))</f>
        <v/>
      </c>
      <c r="T2613" s="13"/>
      <c r="U2613" s="13"/>
      <c r="V2613" s="13"/>
      <c r="W2613" s="13"/>
      <c r="X2613" s="22" t="str">
        <f aca="false">IF(Q2613="","",Q2613^2)</f>
        <v/>
      </c>
      <c r="Y2613" s="22" t="str">
        <f aca="false">IF(AND(C2613&lt;&gt;"",C2613=CERTIFICADO!$E$4,OR(CERTIFICADO!$E$5="",B2613=CERTIFICADO!$E$5)),MAX($Y$4:Y2612)+1,"")</f>
        <v/>
      </c>
    </row>
    <row r="2614" customFormat="false" ht="15" hidden="false" customHeight="false" outlineLevel="0" collapsed="false">
      <c r="A2614" s="11" t="str">
        <f aca="false">IF(C2614="","",ROW()-4)</f>
        <v/>
      </c>
      <c r="B2614" s="12"/>
      <c r="C2614" s="13"/>
      <c r="D2614" s="23" t="str">
        <f aca="false">IF(C2614="","",IFERROR(INDEX(LOTES!$D$5:$D$1004,MATCH(C2614,LOTES!$F$5:$F$1004,0)),"¿Lote?"))</f>
        <v/>
      </c>
      <c r="E2614" s="11" t="str">
        <f aca="false">IF(C2614="","",IFERROR(INDEX(LOTES!$C$5:$C$1004,MATCH(C2614,LOTES!$F$5:$F$1004,0)),""))</f>
        <v/>
      </c>
      <c r="F2614" s="24" t="str">
        <f aca="false">IF(C2614="","",IFERROR(INDEX(LOTES!$B$5:$B$1004,MATCH(C2614,LOTES!$F$5:$F$1004,0)),""))</f>
        <v/>
      </c>
      <c r="G2614" s="15" t="str">
        <f aca="false">IF(OR(B2614="",F2614=""),"",B2614-F2614)</f>
        <v/>
      </c>
      <c r="H2614" s="13"/>
      <c r="I2614" s="13"/>
      <c r="J2614" s="13"/>
      <c r="K2614" s="25"/>
      <c r="L2614" s="25"/>
      <c r="M2614" s="25"/>
      <c r="N2614" s="25"/>
      <c r="O2614" s="26"/>
      <c r="P2614" s="16" t="str">
        <f aca="false">IF(O2614="","",IFERROR(1/(1/(IF(K2614="",INDEX(CONFIG!$F$5:$F$14,MATCH(D2614,CONFIG!$D$5:$D$14,0)),K2614)*IF(M2614="",INDEX(CONFIG!$H$5:$H$14,MATCH(D2614,CONFIG!$D$5:$D$14,0)),M2614))),""))</f>
        <v/>
      </c>
      <c r="Q2614" s="16" t="str">
        <f aca="false">IF(OR(O2614="",P2614=""),"",O2614/P2614)</f>
        <v/>
      </c>
      <c r="R2614" s="16" t="str">
        <f aca="false">IF(Q2614="","",Q2614*0.0980665)</f>
        <v/>
      </c>
      <c r="S2614" s="16" t="str">
        <f aca="false">IF(Q2614="","",IFERROR(Q2614/(1/(1/INDEX(CONFIG!$I$5:$I$14,MATCH(D2614,CONFIG!$D$5:$D$14,0)))),""))</f>
        <v/>
      </c>
      <c r="T2614" s="13"/>
      <c r="U2614" s="13"/>
      <c r="V2614" s="13"/>
      <c r="W2614" s="13"/>
      <c r="X2614" s="22" t="str">
        <f aca="false">IF(Q2614="","",Q2614^2)</f>
        <v/>
      </c>
      <c r="Y2614" s="22" t="str">
        <f aca="false">IF(AND(C2614&lt;&gt;"",C2614=CERTIFICADO!$E$4,OR(CERTIFICADO!$E$5="",B2614=CERTIFICADO!$E$5)),MAX($Y$4:Y2613)+1,"")</f>
        <v/>
      </c>
    </row>
    <row r="2615" customFormat="false" ht="15" hidden="false" customHeight="false" outlineLevel="0" collapsed="false">
      <c r="A2615" s="11" t="str">
        <f aca="false">IF(C2615="","",ROW()-4)</f>
        <v/>
      </c>
      <c r="B2615" s="12"/>
      <c r="C2615" s="13"/>
      <c r="D2615" s="23" t="str">
        <f aca="false">IF(C2615="","",IFERROR(INDEX(LOTES!$D$5:$D$1004,MATCH(C2615,LOTES!$F$5:$F$1004,0)),"¿Lote?"))</f>
        <v/>
      </c>
      <c r="E2615" s="11" t="str">
        <f aca="false">IF(C2615="","",IFERROR(INDEX(LOTES!$C$5:$C$1004,MATCH(C2615,LOTES!$F$5:$F$1004,0)),""))</f>
        <v/>
      </c>
      <c r="F2615" s="24" t="str">
        <f aca="false">IF(C2615="","",IFERROR(INDEX(LOTES!$B$5:$B$1004,MATCH(C2615,LOTES!$F$5:$F$1004,0)),""))</f>
        <v/>
      </c>
      <c r="G2615" s="15" t="str">
        <f aca="false">IF(OR(B2615="",F2615=""),"",B2615-F2615)</f>
        <v/>
      </c>
      <c r="H2615" s="13"/>
      <c r="I2615" s="13"/>
      <c r="J2615" s="13"/>
      <c r="K2615" s="25"/>
      <c r="L2615" s="25"/>
      <c r="M2615" s="25"/>
      <c r="N2615" s="25"/>
      <c r="O2615" s="26"/>
      <c r="P2615" s="16" t="str">
        <f aca="false">IF(O2615="","",IFERROR(1/(1/(IF(K2615="",INDEX(CONFIG!$F$5:$F$14,MATCH(D2615,CONFIG!$D$5:$D$14,0)),K2615)*IF(M2615="",INDEX(CONFIG!$H$5:$H$14,MATCH(D2615,CONFIG!$D$5:$D$14,0)),M2615))),""))</f>
        <v/>
      </c>
      <c r="Q2615" s="16" t="str">
        <f aca="false">IF(OR(O2615="",P2615=""),"",O2615/P2615)</f>
        <v/>
      </c>
      <c r="R2615" s="16" t="str">
        <f aca="false">IF(Q2615="","",Q2615*0.0980665)</f>
        <v/>
      </c>
      <c r="S2615" s="16" t="str">
        <f aca="false">IF(Q2615="","",IFERROR(Q2615/(1/(1/INDEX(CONFIG!$I$5:$I$14,MATCH(D2615,CONFIG!$D$5:$D$14,0)))),""))</f>
        <v/>
      </c>
      <c r="T2615" s="13"/>
      <c r="U2615" s="13"/>
      <c r="V2615" s="13"/>
      <c r="W2615" s="13"/>
      <c r="X2615" s="22" t="str">
        <f aca="false">IF(Q2615="","",Q2615^2)</f>
        <v/>
      </c>
      <c r="Y2615" s="22" t="str">
        <f aca="false">IF(AND(C2615&lt;&gt;"",C2615=CERTIFICADO!$E$4,OR(CERTIFICADO!$E$5="",B2615=CERTIFICADO!$E$5)),MAX($Y$4:Y2614)+1,"")</f>
        <v/>
      </c>
    </row>
    <row r="2616" customFormat="false" ht="15" hidden="false" customHeight="false" outlineLevel="0" collapsed="false">
      <c r="A2616" s="11" t="str">
        <f aca="false">IF(C2616="","",ROW()-4)</f>
        <v/>
      </c>
      <c r="B2616" s="12"/>
      <c r="C2616" s="13"/>
      <c r="D2616" s="23" t="str">
        <f aca="false">IF(C2616="","",IFERROR(INDEX(LOTES!$D$5:$D$1004,MATCH(C2616,LOTES!$F$5:$F$1004,0)),"¿Lote?"))</f>
        <v/>
      </c>
      <c r="E2616" s="11" t="str">
        <f aca="false">IF(C2616="","",IFERROR(INDEX(LOTES!$C$5:$C$1004,MATCH(C2616,LOTES!$F$5:$F$1004,0)),""))</f>
        <v/>
      </c>
      <c r="F2616" s="24" t="str">
        <f aca="false">IF(C2616="","",IFERROR(INDEX(LOTES!$B$5:$B$1004,MATCH(C2616,LOTES!$F$5:$F$1004,0)),""))</f>
        <v/>
      </c>
      <c r="G2616" s="15" t="str">
        <f aca="false">IF(OR(B2616="",F2616=""),"",B2616-F2616)</f>
        <v/>
      </c>
      <c r="H2616" s="13"/>
      <c r="I2616" s="13"/>
      <c r="J2616" s="13"/>
      <c r="K2616" s="25"/>
      <c r="L2616" s="25"/>
      <c r="M2616" s="25"/>
      <c r="N2616" s="25"/>
      <c r="O2616" s="26"/>
      <c r="P2616" s="16" t="str">
        <f aca="false">IF(O2616="","",IFERROR(1/(1/(IF(K2616="",INDEX(CONFIG!$F$5:$F$14,MATCH(D2616,CONFIG!$D$5:$D$14,0)),K2616)*IF(M2616="",INDEX(CONFIG!$H$5:$H$14,MATCH(D2616,CONFIG!$D$5:$D$14,0)),M2616))),""))</f>
        <v/>
      </c>
      <c r="Q2616" s="16" t="str">
        <f aca="false">IF(OR(O2616="",P2616=""),"",O2616/P2616)</f>
        <v/>
      </c>
      <c r="R2616" s="16" t="str">
        <f aca="false">IF(Q2616="","",Q2616*0.0980665)</f>
        <v/>
      </c>
      <c r="S2616" s="16" t="str">
        <f aca="false">IF(Q2616="","",IFERROR(Q2616/(1/(1/INDEX(CONFIG!$I$5:$I$14,MATCH(D2616,CONFIG!$D$5:$D$14,0)))),""))</f>
        <v/>
      </c>
      <c r="T2616" s="13"/>
      <c r="U2616" s="13"/>
      <c r="V2616" s="13"/>
      <c r="W2616" s="13"/>
      <c r="X2616" s="22" t="str">
        <f aca="false">IF(Q2616="","",Q2616^2)</f>
        <v/>
      </c>
      <c r="Y2616" s="22" t="str">
        <f aca="false">IF(AND(C2616&lt;&gt;"",C2616=CERTIFICADO!$E$4,OR(CERTIFICADO!$E$5="",B2616=CERTIFICADO!$E$5)),MAX($Y$4:Y2615)+1,"")</f>
        <v/>
      </c>
    </row>
    <row r="2617" customFormat="false" ht="15" hidden="false" customHeight="false" outlineLevel="0" collapsed="false">
      <c r="A2617" s="11" t="str">
        <f aca="false">IF(C2617="","",ROW()-4)</f>
        <v/>
      </c>
      <c r="B2617" s="12"/>
      <c r="C2617" s="13"/>
      <c r="D2617" s="23" t="str">
        <f aca="false">IF(C2617="","",IFERROR(INDEX(LOTES!$D$5:$D$1004,MATCH(C2617,LOTES!$F$5:$F$1004,0)),"¿Lote?"))</f>
        <v/>
      </c>
      <c r="E2617" s="11" t="str">
        <f aca="false">IF(C2617="","",IFERROR(INDEX(LOTES!$C$5:$C$1004,MATCH(C2617,LOTES!$F$5:$F$1004,0)),""))</f>
        <v/>
      </c>
      <c r="F2617" s="24" t="str">
        <f aca="false">IF(C2617="","",IFERROR(INDEX(LOTES!$B$5:$B$1004,MATCH(C2617,LOTES!$F$5:$F$1004,0)),""))</f>
        <v/>
      </c>
      <c r="G2617" s="15" t="str">
        <f aca="false">IF(OR(B2617="",F2617=""),"",B2617-F2617)</f>
        <v/>
      </c>
      <c r="H2617" s="13"/>
      <c r="I2617" s="13"/>
      <c r="J2617" s="13"/>
      <c r="K2617" s="25"/>
      <c r="L2617" s="25"/>
      <c r="M2617" s="25"/>
      <c r="N2617" s="25"/>
      <c r="O2617" s="26"/>
      <c r="P2617" s="16" t="str">
        <f aca="false">IF(O2617="","",IFERROR(1/(1/(IF(K2617="",INDEX(CONFIG!$F$5:$F$14,MATCH(D2617,CONFIG!$D$5:$D$14,0)),K2617)*IF(M2617="",INDEX(CONFIG!$H$5:$H$14,MATCH(D2617,CONFIG!$D$5:$D$14,0)),M2617))),""))</f>
        <v/>
      </c>
      <c r="Q2617" s="16" t="str">
        <f aca="false">IF(OR(O2617="",P2617=""),"",O2617/P2617)</f>
        <v/>
      </c>
      <c r="R2617" s="16" t="str">
        <f aca="false">IF(Q2617="","",Q2617*0.0980665)</f>
        <v/>
      </c>
      <c r="S2617" s="16" t="str">
        <f aca="false">IF(Q2617="","",IFERROR(Q2617/(1/(1/INDEX(CONFIG!$I$5:$I$14,MATCH(D2617,CONFIG!$D$5:$D$14,0)))),""))</f>
        <v/>
      </c>
      <c r="T2617" s="13"/>
      <c r="U2617" s="13"/>
      <c r="V2617" s="13"/>
      <c r="W2617" s="13"/>
      <c r="X2617" s="22" t="str">
        <f aca="false">IF(Q2617="","",Q2617^2)</f>
        <v/>
      </c>
      <c r="Y2617" s="22" t="str">
        <f aca="false">IF(AND(C2617&lt;&gt;"",C2617=CERTIFICADO!$E$4,OR(CERTIFICADO!$E$5="",B2617=CERTIFICADO!$E$5)),MAX($Y$4:Y2616)+1,"")</f>
        <v/>
      </c>
    </row>
    <row r="2618" customFormat="false" ht="15" hidden="false" customHeight="false" outlineLevel="0" collapsed="false">
      <c r="A2618" s="11" t="str">
        <f aca="false">IF(C2618="","",ROW()-4)</f>
        <v/>
      </c>
      <c r="B2618" s="12"/>
      <c r="C2618" s="13"/>
      <c r="D2618" s="23" t="str">
        <f aca="false">IF(C2618="","",IFERROR(INDEX(LOTES!$D$5:$D$1004,MATCH(C2618,LOTES!$F$5:$F$1004,0)),"¿Lote?"))</f>
        <v/>
      </c>
      <c r="E2618" s="11" t="str">
        <f aca="false">IF(C2618="","",IFERROR(INDEX(LOTES!$C$5:$C$1004,MATCH(C2618,LOTES!$F$5:$F$1004,0)),""))</f>
        <v/>
      </c>
      <c r="F2618" s="24" t="str">
        <f aca="false">IF(C2618="","",IFERROR(INDEX(LOTES!$B$5:$B$1004,MATCH(C2618,LOTES!$F$5:$F$1004,0)),""))</f>
        <v/>
      </c>
      <c r="G2618" s="15" t="str">
        <f aca="false">IF(OR(B2618="",F2618=""),"",B2618-F2618)</f>
        <v/>
      </c>
      <c r="H2618" s="13"/>
      <c r="I2618" s="13"/>
      <c r="J2618" s="13"/>
      <c r="K2618" s="25"/>
      <c r="L2618" s="25"/>
      <c r="M2618" s="25"/>
      <c r="N2618" s="25"/>
      <c r="O2618" s="26"/>
      <c r="P2618" s="16" t="str">
        <f aca="false">IF(O2618="","",IFERROR(1/(1/(IF(K2618="",INDEX(CONFIG!$F$5:$F$14,MATCH(D2618,CONFIG!$D$5:$D$14,0)),K2618)*IF(M2618="",INDEX(CONFIG!$H$5:$H$14,MATCH(D2618,CONFIG!$D$5:$D$14,0)),M2618))),""))</f>
        <v/>
      </c>
      <c r="Q2618" s="16" t="str">
        <f aca="false">IF(OR(O2618="",P2618=""),"",O2618/P2618)</f>
        <v/>
      </c>
      <c r="R2618" s="16" t="str">
        <f aca="false">IF(Q2618="","",Q2618*0.0980665)</f>
        <v/>
      </c>
      <c r="S2618" s="16" t="str">
        <f aca="false">IF(Q2618="","",IFERROR(Q2618/(1/(1/INDEX(CONFIG!$I$5:$I$14,MATCH(D2618,CONFIG!$D$5:$D$14,0)))),""))</f>
        <v/>
      </c>
      <c r="T2618" s="13"/>
      <c r="U2618" s="13"/>
      <c r="V2618" s="13"/>
      <c r="W2618" s="13"/>
      <c r="X2618" s="22" t="str">
        <f aca="false">IF(Q2618="","",Q2618^2)</f>
        <v/>
      </c>
      <c r="Y2618" s="22" t="str">
        <f aca="false">IF(AND(C2618&lt;&gt;"",C2618=CERTIFICADO!$E$4,OR(CERTIFICADO!$E$5="",B2618=CERTIFICADO!$E$5)),MAX($Y$4:Y2617)+1,"")</f>
        <v/>
      </c>
    </row>
    <row r="2619" customFormat="false" ht="15" hidden="false" customHeight="false" outlineLevel="0" collapsed="false">
      <c r="A2619" s="11" t="str">
        <f aca="false">IF(C2619="","",ROW()-4)</f>
        <v/>
      </c>
      <c r="B2619" s="12"/>
      <c r="C2619" s="13"/>
      <c r="D2619" s="23" t="str">
        <f aca="false">IF(C2619="","",IFERROR(INDEX(LOTES!$D$5:$D$1004,MATCH(C2619,LOTES!$F$5:$F$1004,0)),"¿Lote?"))</f>
        <v/>
      </c>
      <c r="E2619" s="11" t="str">
        <f aca="false">IF(C2619="","",IFERROR(INDEX(LOTES!$C$5:$C$1004,MATCH(C2619,LOTES!$F$5:$F$1004,0)),""))</f>
        <v/>
      </c>
      <c r="F2619" s="24" t="str">
        <f aca="false">IF(C2619="","",IFERROR(INDEX(LOTES!$B$5:$B$1004,MATCH(C2619,LOTES!$F$5:$F$1004,0)),""))</f>
        <v/>
      </c>
      <c r="G2619" s="15" t="str">
        <f aca="false">IF(OR(B2619="",F2619=""),"",B2619-F2619)</f>
        <v/>
      </c>
      <c r="H2619" s="13"/>
      <c r="I2619" s="13"/>
      <c r="J2619" s="13"/>
      <c r="K2619" s="25"/>
      <c r="L2619" s="25"/>
      <c r="M2619" s="25"/>
      <c r="N2619" s="25"/>
      <c r="O2619" s="26"/>
      <c r="P2619" s="16" t="str">
        <f aca="false">IF(O2619="","",IFERROR(1/(1/(IF(K2619="",INDEX(CONFIG!$F$5:$F$14,MATCH(D2619,CONFIG!$D$5:$D$14,0)),K2619)*IF(M2619="",INDEX(CONFIG!$H$5:$H$14,MATCH(D2619,CONFIG!$D$5:$D$14,0)),M2619))),""))</f>
        <v/>
      </c>
      <c r="Q2619" s="16" t="str">
        <f aca="false">IF(OR(O2619="",P2619=""),"",O2619/P2619)</f>
        <v/>
      </c>
      <c r="R2619" s="16" t="str">
        <f aca="false">IF(Q2619="","",Q2619*0.0980665)</f>
        <v/>
      </c>
      <c r="S2619" s="16" t="str">
        <f aca="false">IF(Q2619="","",IFERROR(Q2619/(1/(1/INDEX(CONFIG!$I$5:$I$14,MATCH(D2619,CONFIG!$D$5:$D$14,0)))),""))</f>
        <v/>
      </c>
      <c r="T2619" s="13"/>
      <c r="U2619" s="13"/>
      <c r="V2619" s="13"/>
      <c r="W2619" s="13"/>
      <c r="X2619" s="22" t="str">
        <f aca="false">IF(Q2619="","",Q2619^2)</f>
        <v/>
      </c>
      <c r="Y2619" s="22" t="str">
        <f aca="false">IF(AND(C2619&lt;&gt;"",C2619=CERTIFICADO!$E$4,OR(CERTIFICADO!$E$5="",B2619=CERTIFICADO!$E$5)),MAX($Y$4:Y2618)+1,"")</f>
        <v/>
      </c>
    </row>
    <row r="2620" customFormat="false" ht="15" hidden="false" customHeight="false" outlineLevel="0" collapsed="false">
      <c r="A2620" s="11" t="str">
        <f aca="false">IF(C2620="","",ROW()-4)</f>
        <v/>
      </c>
      <c r="B2620" s="12"/>
      <c r="C2620" s="13"/>
      <c r="D2620" s="23" t="str">
        <f aca="false">IF(C2620="","",IFERROR(INDEX(LOTES!$D$5:$D$1004,MATCH(C2620,LOTES!$F$5:$F$1004,0)),"¿Lote?"))</f>
        <v/>
      </c>
      <c r="E2620" s="11" t="str">
        <f aca="false">IF(C2620="","",IFERROR(INDEX(LOTES!$C$5:$C$1004,MATCH(C2620,LOTES!$F$5:$F$1004,0)),""))</f>
        <v/>
      </c>
      <c r="F2620" s="24" t="str">
        <f aca="false">IF(C2620="","",IFERROR(INDEX(LOTES!$B$5:$B$1004,MATCH(C2620,LOTES!$F$5:$F$1004,0)),""))</f>
        <v/>
      </c>
      <c r="G2620" s="15" t="str">
        <f aca="false">IF(OR(B2620="",F2620=""),"",B2620-F2620)</f>
        <v/>
      </c>
      <c r="H2620" s="13"/>
      <c r="I2620" s="13"/>
      <c r="J2620" s="13"/>
      <c r="K2620" s="25"/>
      <c r="L2620" s="25"/>
      <c r="M2620" s="25"/>
      <c r="N2620" s="25"/>
      <c r="O2620" s="26"/>
      <c r="P2620" s="16" t="str">
        <f aca="false">IF(O2620="","",IFERROR(1/(1/(IF(K2620="",INDEX(CONFIG!$F$5:$F$14,MATCH(D2620,CONFIG!$D$5:$D$14,0)),K2620)*IF(M2620="",INDEX(CONFIG!$H$5:$H$14,MATCH(D2620,CONFIG!$D$5:$D$14,0)),M2620))),""))</f>
        <v/>
      </c>
      <c r="Q2620" s="16" t="str">
        <f aca="false">IF(OR(O2620="",P2620=""),"",O2620/P2620)</f>
        <v/>
      </c>
      <c r="R2620" s="16" t="str">
        <f aca="false">IF(Q2620="","",Q2620*0.0980665)</f>
        <v/>
      </c>
      <c r="S2620" s="16" t="str">
        <f aca="false">IF(Q2620="","",IFERROR(Q2620/(1/(1/INDEX(CONFIG!$I$5:$I$14,MATCH(D2620,CONFIG!$D$5:$D$14,0)))),""))</f>
        <v/>
      </c>
      <c r="T2620" s="13"/>
      <c r="U2620" s="13"/>
      <c r="V2620" s="13"/>
      <c r="W2620" s="13"/>
      <c r="X2620" s="22" t="str">
        <f aca="false">IF(Q2620="","",Q2620^2)</f>
        <v/>
      </c>
      <c r="Y2620" s="22" t="str">
        <f aca="false">IF(AND(C2620&lt;&gt;"",C2620=CERTIFICADO!$E$4,OR(CERTIFICADO!$E$5="",B2620=CERTIFICADO!$E$5)),MAX($Y$4:Y2619)+1,"")</f>
        <v/>
      </c>
    </row>
    <row r="2621" customFormat="false" ht="15" hidden="false" customHeight="false" outlineLevel="0" collapsed="false">
      <c r="A2621" s="11" t="str">
        <f aca="false">IF(C2621="","",ROW()-4)</f>
        <v/>
      </c>
      <c r="B2621" s="12"/>
      <c r="C2621" s="13"/>
      <c r="D2621" s="23" t="str">
        <f aca="false">IF(C2621="","",IFERROR(INDEX(LOTES!$D$5:$D$1004,MATCH(C2621,LOTES!$F$5:$F$1004,0)),"¿Lote?"))</f>
        <v/>
      </c>
      <c r="E2621" s="11" t="str">
        <f aca="false">IF(C2621="","",IFERROR(INDEX(LOTES!$C$5:$C$1004,MATCH(C2621,LOTES!$F$5:$F$1004,0)),""))</f>
        <v/>
      </c>
      <c r="F2621" s="24" t="str">
        <f aca="false">IF(C2621="","",IFERROR(INDEX(LOTES!$B$5:$B$1004,MATCH(C2621,LOTES!$F$5:$F$1004,0)),""))</f>
        <v/>
      </c>
      <c r="G2621" s="15" t="str">
        <f aca="false">IF(OR(B2621="",F2621=""),"",B2621-F2621)</f>
        <v/>
      </c>
      <c r="H2621" s="13"/>
      <c r="I2621" s="13"/>
      <c r="J2621" s="13"/>
      <c r="K2621" s="25"/>
      <c r="L2621" s="25"/>
      <c r="M2621" s="25"/>
      <c r="N2621" s="25"/>
      <c r="O2621" s="26"/>
      <c r="P2621" s="16" t="str">
        <f aca="false">IF(O2621="","",IFERROR(1/(1/(IF(K2621="",INDEX(CONFIG!$F$5:$F$14,MATCH(D2621,CONFIG!$D$5:$D$14,0)),K2621)*IF(M2621="",INDEX(CONFIG!$H$5:$H$14,MATCH(D2621,CONFIG!$D$5:$D$14,0)),M2621))),""))</f>
        <v/>
      </c>
      <c r="Q2621" s="16" t="str">
        <f aca="false">IF(OR(O2621="",P2621=""),"",O2621/P2621)</f>
        <v/>
      </c>
      <c r="R2621" s="16" t="str">
        <f aca="false">IF(Q2621="","",Q2621*0.0980665)</f>
        <v/>
      </c>
      <c r="S2621" s="16" t="str">
        <f aca="false">IF(Q2621="","",IFERROR(Q2621/(1/(1/INDEX(CONFIG!$I$5:$I$14,MATCH(D2621,CONFIG!$D$5:$D$14,0)))),""))</f>
        <v/>
      </c>
      <c r="T2621" s="13"/>
      <c r="U2621" s="13"/>
      <c r="V2621" s="13"/>
      <c r="W2621" s="13"/>
      <c r="X2621" s="22" t="str">
        <f aca="false">IF(Q2621="","",Q2621^2)</f>
        <v/>
      </c>
      <c r="Y2621" s="22" t="str">
        <f aca="false">IF(AND(C2621&lt;&gt;"",C2621=CERTIFICADO!$E$4,OR(CERTIFICADO!$E$5="",B2621=CERTIFICADO!$E$5)),MAX($Y$4:Y2620)+1,"")</f>
        <v/>
      </c>
    </row>
    <row r="2622" customFormat="false" ht="15" hidden="false" customHeight="false" outlineLevel="0" collapsed="false">
      <c r="A2622" s="11" t="str">
        <f aca="false">IF(C2622="","",ROW()-4)</f>
        <v/>
      </c>
      <c r="B2622" s="12"/>
      <c r="C2622" s="13"/>
      <c r="D2622" s="23" t="str">
        <f aca="false">IF(C2622="","",IFERROR(INDEX(LOTES!$D$5:$D$1004,MATCH(C2622,LOTES!$F$5:$F$1004,0)),"¿Lote?"))</f>
        <v/>
      </c>
      <c r="E2622" s="11" t="str">
        <f aca="false">IF(C2622="","",IFERROR(INDEX(LOTES!$C$5:$C$1004,MATCH(C2622,LOTES!$F$5:$F$1004,0)),""))</f>
        <v/>
      </c>
      <c r="F2622" s="24" t="str">
        <f aca="false">IF(C2622="","",IFERROR(INDEX(LOTES!$B$5:$B$1004,MATCH(C2622,LOTES!$F$5:$F$1004,0)),""))</f>
        <v/>
      </c>
      <c r="G2622" s="15" t="str">
        <f aca="false">IF(OR(B2622="",F2622=""),"",B2622-F2622)</f>
        <v/>
      </c>
      <c r="H2622" s="13"/>
      <c r="I2622" s="13"/>
      <c r="J2622" s="13"/>
      <c r="K2622" s="25"/>
      <c r="L2622" s="25"/>
      <c r="M2622" s="25"/>
      <c r="N2622" s="25"/>
      <c r="O2622" s="26"/>
      <c r="P2622" s="16" t="str">
        <f aca="false">IF(O2622="","",IFERROR(1/(1/(IF(K2622="",INDEX(CONFIG!$F$5:$F$14,MATCH(D2622,CONFIG!$D$5:$D$14,0)),K2622)*IF(M2622="",INDEX(CONFIG!$H$5:$H$14,MATCH(D2622,CONFIG!$D$5:$D$14,0)),M2622))),""))</f>
        <v/>
      </c>
      <c r="Q2622" s="16" t="str">
        <f aca="false">IF(OR(O2622="",P2622=""),"",O2622/P2622)</f>
        <v/>
      </c>
      <c r="R2622" s="16" t="str">
        <f aca="false">IF(Q2622="","",Q2622*0.0980665)</f>
        <v/>
      </c>
      <c r="S2622" s="16" t="str">
        <f aca="false">IF(Q2622="","",IFERROR(Q2622/(1/(1/INDEX(CONFIG!$I$5:$I$14,MATCH(D2622,CONFIG!$D$5:$D$14,0)))),""))</f>
        <v/>
      </c>
      <c r="T2622" s="13"/>
      <c r="U2622" s="13"/>
      <c r="V2622" s="13"/>
      <c r="W2622" s="13"/>
      <c r="X2622" s="22" t="str">
        <f aca="false">IF(Q2622="","",Q2622^2)</f>
        <v/>
      </c>
      <c r="Y2622" s="22" t="str">
        <f aca="false">IF(AND(C2622&lt;&gt;"",C2622=CERTIFICADO!$E$4,OR(CERTIFICADO!$E$5="",B2622=CERTIFICADO!$E$5)),MAX($Y$4:Y2621)+1,"")</f>
        <v/>
      </c>
    </row>
    <row r="2623" customFormat="false" ht="15" hidden="false" customHeight="false" outlineLevel="0" collapsed="false">
      <c r="A2623" s="11" t="str">
        <f aca="false">IF(C2623="","",ROW()-4)</f>
        <v/>
      </c>
      <c r="B2623" s="12"/>
      <c r="C2623" s="13"/>
      <c r="D2623" s="23" t="str">
        <f aca="false">IF(C2623="","",IFERROR(INDEX(LOTES!$D$5:$D$1004,MATCH(C2623,LOTES!$F$5:$F$1004,0)),"¿Lote?"))</f>
        <v/>
      </c>
      <c r="E2623" s="11" t="str">
        <f aca="false">IF(C2623="","",IFERROR(INDEX(LOTES!$C$5:$C$1004,MATCH(C2623,LOTES!$F$5:$F$1004,0)),""))</f>
        <v/>
      </c>
      <c r="F2623" s="24" t="str">
        <f aca="false">IF(C2623="","",IFERROR(INDEX(LOTES!$B$5:$B$1004,MATCH(C2623,LOTES!$F$5:$F$1004,0)),""))</f>
        <v/>
      </c>
      <c r="G2623" s="15" t="str">
        <f aca="false">IF(OR(B2623="",F2623=""),"",B2623-F2623)</f>
        <v/>
      </c>
      <c r="H2623" s="13"/>
      <c r="I2623" s="13"/>
      <c r="J2623" s="13"/>
      <c r="K2623" s="25"/>
      <c r="L2623" s="25"/>
      <c r="M2623" s="25"/>
      <c r="N2623" s="25"/>
      <c r="O2623" s="26"/>
      <c r="P2623" s="16" t="str">
        <f aca="false">IF(O2623="","",IFERROR(1/(1/(IF(K2623="",INDEX(CONFIG!$F$5:$F$14,MATCH(D2623,CONFIG!$D$5:$D$14,0)),K2623)*IF(M2623="",INDEX(CONFIG!$H$5:$H$14,MATCH(D2623,CONFIG!$D$5:$D$14,0)),M2623))),""))</f>
        <v/>
      </c>
      <c r="Q2623" s="16" t="str">
        <f aca="false">IF(OR(O2623="",P2623=""),"",O2623/P2623)</f>
        <v/>
      </c>
      <c r="R2623" s="16" t="str">
        <f aca="false">IF(Q2623="","",Q2623*0.0980665)</f>
        <v/>
      </c>
      <c r="S2623" s="16" t="str">
        <f aca="false">IF(Q2623="","",IFERROR(Q2623/(1/(1/INDEX(CONFIG!$I$5:$I$14,MATCH(D2623,CONFIG!$D$5:$D$14,0)))),""))</f>
        <v/>
      </c>
      <c r="T2623" s="13"/>
      <c r="U2623" s="13"/>
      <c r="V2623" s="13"/>
      <c r="W2623" s="13"/>
      <c r="X2623" s="22" t="str">
        <f aca="false">IF(Q2623="","",Q2623^2)</f>
        <v/>
      </c>
      <c r="Y2623" s="22" t="str">
        <f aca="false">IF(AND(C2623&lt;&gt;"",C2623=CERTIFICADO!$E$4,OR(CERTIFICADO!$E$5="",B2623=CERTIFICADO!$E$5)),MAX($Y$4:Y2622)+1,"")</f>
        <v/>
      </c>
    </row>
    <row r="2624" customFormat="false" ht="15" hidden="false" customHeight="false" outlineLevel="0" collapsed="false">
      <c r="A2624" s="11" t="str">
        <f aca="false">IF(C2624="","",ROW()-4)</f>
        <v/>
      </c>
      <c r="B2624" s="12"/>
      <c r="C2624" s="13"/>
      <c r="D2624" s="23" t="str">
        <f aca="false">IF(C2624="","",IFERROR(INDEX(LOTES!$D$5:$D$1004,MATCH(C2624,LOTES!$F$5:$F$1004,0)),"¿Lote?"))</f>
        <v/>
      </c>
      <c r="E2624" s="11" t="str">
        <f aca="false">IF(C2624="","",IFERROR(INDEX(LOTES!$C$5:$C$1004,MATCH(C2624,LOTES!$F$5:$F$1004,0)),""))</f>
        <v/>
      </c>
      <c r="F2624" s="24" t="str">
        <f aca="false">IF(C2624="","",IFERROR(INDEX(LOTES!$B$5:$B$1004,MATCH(C2624,LOTES!$F$5:$F$1004,0)),""))</f>
        <v/>
      </c>
      <c r="G2624" s="15" t="str">
        <f aca="false">IF(OR(B2624="",F2624=""),"",B2624-F2624)</f>
        <v/>
      </c>
      <c r="H2624" s="13"/>
      <c r="I2624" s="13"/>
      <c r="J2624" s="13"/>
      <c r="K2624" s="25"/>
      <c r="L2624" s="25"/>
      <c r="M2624" s="25"/>
      <c r="N2624" s="25"/>
      <c r="O2624" s="26"/>
      <c r="P2624" s="16" t="str">
        <f aca="false">IF(O2624="","",IFERROR(1/(1/(IF(K2624="",INDEX(CONFIG!$F$5:$F$14,MATCH(D2624,CONFIG!$D$5:$D$14,0)),K2624)*IF(M2624="",INDEX(CONFIG!$H$5:$H$14,MATCH(D2624,CONFIG!$D$5:$D$14,0)),M2624))),""))</f>
        <v/>
      </c>
      <c r="Q2624" s="16" t="str">
        <f aca="false">IF(OR(O2624="",P2624=""),"",O2624/P2624)</f>
        <v/>
      </c>
      <c r="R2624" s="16" t="str">
        <f aca="false">IF(Q2624="","",Q2624*0.0980665)</f>
        <v/>
      </c>
      <c r="S2624" s="16" t="str">
        <f aca="false">IF(Q2624="","",IFERROR(Q2624/(1/(1/INDEX(CONFIG!$I$5:$I$14,MATCH(D2624,CONFIG!$D$5:$D$14,0)))),""))</f>
        <v/>
      </c>
      <c r="T2624" s="13"/>
      <c r="U2624" s="13"/>
      <c r="V2624" s="13"/>
      <c r="W2624" s="13"/>
      <c r="X2624" s="22" t="str">
        <f aca="false">IF(Q2624="","",Q2624^2)</f>
        <v/>
      </c>
      <c r="Y2624" s="22" t="str">
        <f aca="false">IF(AND(C2624&lt;&gt;"",C2624=CERTIFICADO!$E$4,OR(CERTIFICADO!$E$5="",B2624=CERTIFICADO!$E$5)),MAX($Y$4:Y2623)+1,"")</f>
        <v/>
      </c>
    </row>
    <row r="2625" customFormat="false" ht="15" hidden="false" customHeight="false" outlineLevel="0" collapsed="false">
      <c r="A2625" s="11" t="str">
        <f aca="false">IF(C2625="","",ROW()-4)</f>
        <v/>
      </c>
      <c r="B2625" s="12"/>
      <c r="C2625" s="13"/>
      <c r="D2625" s="23" t="str">
        <f aca="false">IF(C2625="","",IFERROR(INDEX(LOTES!$D$5:$D$1004,MATCH(C2625,LOTES!$F$5:$F$1004,0)),"¿Lote?"))</f>
        <v/>
      </c>
      <c r="E2625" s="11" t="str">
        <f aca="false">IF(C2625="","",IFERROR(INDEX(LOTES!$C$5:$C$1004,MATCH(C2625,LOTES!$F$5:$F$1004,0)),""))</f>
        <v/>
      </c>
      <c r="F2625" s="24" t="str">
        <f aca="false">IF(C2625="","",IFERROR(INDEX(LOTES!$B$5:$B$1004,MATCH(C2625,LOTES!$F$5:$F$1004,0)),""))</f>
        <v/>
      </c>
      <c r="G2625" s="15" t="str">
        <f aca="false">IF(OR(B2625="",F2625=""),"",B2625-F2625)</f>
        <v/>
      </c>
      <c r="H2625" s="13"/>
      <c r="I2625" s="13"/>
      <c r="J2625" s="13"/>
      <c r="K2625" s="25"/>
      <c r="L2625" s="25"/>
      <c r="M2625" s="25"/>
      <c r="N2625" s="25"/>
      <c r="O2625" s="26"/>
      <c r="P2625" s="16" t="str">
        <f aca="false">IF(O2625="","",IFERROR(1/(1/(IF(K2625="",INDEX(CONFIG!$F$5:$F$14,MATCH(D2625,CONFIG!$D$5:$D$14,0)),K2625)*IF(M2625="",INDEX(CONFIG!$H$5:$H$14,MATCH(D2625,CONFIG!$D$5:$D$14,0)),M2625))),""))</f>
        <v/>
      </c>
      <c r="Q2625" s="16" t="str">
        <f aca="false">IF(OR(O2625="",P2625=""),"",O2625/P2625)</f>
        <v/>
      </c>
      <c r="R2625" s="16" t="str">
        <f aca="false">IF(Q2625="","",Q2625*0.0980665)</f>
        <v/>
      </c>
      <c r="S2625" s="16" t="str">
        <f aca="false">IF(Q2625="","",IFERROR(Q2625/(1/(1/INDEX(CONFIG!$I$5:$I$14,MATCH(D2625,CONFIG!$D$5:$D$14,0)))),""))</f>
        <v/>
      </c>
      <c r="T2625" s="13"/>
      <c r="U2625" s="13"/>
      <c r="V2625" s="13"/>
      <c r="W2625" s="13"/>
      <c r="X2625" s="22" t="str">
        <f aca="false">IF(Q2625="","",Q2625^2)</f>
        <v/>
      </c>
      <c r="Y2625" s="22" t="str">
        <f aca="false">IF(AND(C2625&lt;&gt;"",C2625=CERTIFICADO!$E$4,OR(CERTIFICADO!$E$5="",B2625=CERTIFICADO!$E$5)),MAX($Y$4:Y2624)+1,"")</f>
        <v/>
      </c>
    </row>
    <row r="2626" customFormat="false" ht="15" hidden="false" customHeight="false" outlineLevel="0" collapsed="false">
      <c r="A2626" s="11" t="str">
        <f aca="false">IF(C2626="","",ROW()-4)</f>
        <v/>
      </c>
      <c r="B2626" s="12"/>
      <c r="C2626" s="13"/>
      <c r="D2626" s="23" t="str">
        <f aca="false">IF(C2626="","",IFERROR(INDEX(LOTES!$D$5:$D$1004,MATCH(C2626,LOTES!$F$5:$F$1004,0)),"¿Lote?"))</f>
        <v/>
      </c>
      <c r="E2626" s="11" t="str">
        <f aca="false">IF(C2626="","",IFERROR(INDEX(LOTES!$C$5:$C$1004,MATCH(C2626,LOTES!$F$5:$F$1004,0)),""))</f>
        <v/>
      </c>
      <c r="F2626" s="24" t="str">
        <f aca="false">IF(C2626="","",IFERROR(INDEX(LOTES!$B$5:$B$1004,MATCH(C2626,LOTES!$F$5:$F$1004,0)),""))</f>
        <v/>
      </c>
      <c r="G2626" s="15" t="str">
        <f aca="false">IF(OR(B2626="",F2626=""),"",B2626-F2626)</f>
        <v/>
      </c>
      <c r="H2626" s="13"/>
      <c r="I2626" s="13"/>
      <c r="J2626" s="13"/>
      <c r="K2626" s="25"/>
      <c r="L2626" s="25"/>
      <c r="M2626" s="25"/>
      <c r="N2626" s="25"/>
      <c r="O2626" s="26"/>
      <c r="P2626" s="16" t="str">
        <f aca="false">IF(O2626="","",IFERROR(1/(1/(IF(K2626="",INDEX(CONFIG!$F$5:$F$14,MATCH(D2626,CONFIG!$D$5:$D$14,0)),K2626)*IF(M2626="",INDEX(CONFIG!$H$5:$H$14,MATCH(D2626,CONFIG!$D$5:$D$14,0)),M2626))),""))</f>
        <v/>
      </c>
      <c r="Q2626" s="16" t="str">
        <f aca="false">IF(OR(O2626="",P2626=""),"",O2626/P2626)</f>
        <v/>
      </c>
      <c r="R2626" s="16" t="str">
        <f aca="false">IF(Q2626="","",Q2626*0.0980665)</f>
        <v/>
      </c>
      <c r="S2626" s="16" t="str">
        <f aca="false">IF(Q2626="","",IFERROR(Q2626/(1/(1/INDEX(CONFIG!$I$5:$I$14,MATCH(D2626,CONFIG!$D$5:$D$14,0)))),""))</f>
        <v/>
      </c>
      <c r="T2626" s="13"/>
      <c r="U2626" s="13"/>
      <c r="V2626" s="13"/>
      <c r="W2626" s="13"/>
      <c r="X2626" s="22" t="str">
        <f aca="false">IF(Q2626="","",Q2626^2)</f>
        <v/>
      </c>
      <c r="Y2626" s="22" t="str">
        <f aca="false">IF(AND(C2626&lt;&gt;"",C2626=CERTIFICADO!$E$4,OR(CERTIFICADO!$E$5="",B2626=CERTIFICADO!$E$5)),MAX($Y$4:Y2625)+1,"")</f>
        <v/>
      </c>
    </row>
    <row r="2627" customFormat="false" ht="15" hidden="false" customHeight="false" outlineLevel="0" collapsed="false">
      <c r="A2627" s="11" t="str">
        <f aca="false">IF(C2627="","",ROW()-4)</f>
        <v/>
      </c>
      <c r="B2627" s="12"/>
      <c r="C2627" s="13"/>
      <c r="D2627" s="23" t="str">
        <f aca="false">IF(C2627="","",IFERROR(INDEX(LOTES!$D$5:$D$1004,MATCH(C2627,LOTES!$F$5:$F$1004,0)),"¿Lote?"))</f>
        <v/>
      </c>
      <c r="E2627" s="11" t="str">
        <f aca="false">IF(C2627="","",IFERROR(INDEX(LOTES!$C$5:$C$1004,MATCH(C2627,LOTES!$F$5:$F$1004,0)),""))</f>
        <v/>
      </c>
      <c r="F2627" s="24" t="str">
        <f aca="false">IF(C2627="","",IFERROR(INDEX(LOTES!$B$5:$B$1004,MATCH(C2627,LOTES!$F$5:$F$1004,0)),""))</f>
        <v/>
      </c>
      <c r="G2627" s="15" t="str">
        <f aca="false">IF(OR(B2627="",F2627=""),"",B2627-F2627)</f>
        <v/>
      </c>
      <c r="H2627" s="13"/>
      <c r="I2627" s="13"/>
      <c r="J2627" s="13"/>
      <c r="K2627" s="25"/>
      <c r="L2627" s="25"/>
      <c r="M2627" s="25"/>
      <c r="N2627" s="25"/>
      <c r="O2627" s="26"/>
      <c r="P2627" s="16" t="str">
        <f aca="false">IF(O2627="","",IFERROR(1/(1/(IF(K2627="",INDEX(CONFIG!$F$5:$F$14,MATCH(D2627,CONFIG!$D$5:$D$14,0)),K2627)*IF(M2627="",INDEX(CONFIG!$H$5:$H$14,MATCH(D2627,CONFIG!$D$5:$D$14,0)),M2627))),""))</f>
        <v/>
      </c>
      <c r="Q2627" s="16" t="str">
        <f aca="false">IF(OR(O2627="",P2627=""),"",O2627/P2627)</f>
        <v/>
      </c>
      <c r="R2627" s="16" t="str">
        <f aca="false">IF(Q2627="","",Q2627*0.0980665)</f>
        <v/>
      </c>
      <c r="S2627" s="16" t="str">
        <f aca="false">IF(Q2627="","",IFERROR(Q2627/(1/(1/INDEX(CONFIG!$I$5:$I$14,MATCH(D2627,CONFIG!$D$5:$D$14,0)))),""))</f>
        <v/>
      </c>
      <c r="T2627" s="13"/>
      <c r="U2627" s="13"/>
      <c r="V2627" s="13"/>
      <c r="W2627" s="13"/>
      <c r="X2627" s="22" t="str">
        <f aca="false">IF(Q2627="","",Q2627^2)</f>
        <v/>
      </c>
      <c r="Y2627" s="22" t="str">
        <f aca="false">IF(AND(C2627&lt;&gt;"",C2627=CERTIFICADO!$E$4,OR(CERTIFICADO!$E$5="",B2627=CERTIFICADO!$E$5)),MAX($Y$4:Y2626)+1,"")</f>
        <v/>
      </c>
    </row>
    <row r="2628" customFormat="false" ht="15" hidden="false" customHeight="false" outlineLevel="0" collapsed="false">
      <c r="A2628" s="11" t="str">
        <f aca="false">IF(C2628="","",ROW()-4)</f>
        <v/>
      </c>
      <c r="B2628" s="12"/>
      <c r="C2628" s="13"/>
      <c r="D2628" s="23" t="str">
        <f aca="false">IF(C2628="","",IFERROR(INDEX(LOTES!$D$5:$D$1004,MATCH(C2628,LOTES!$F$5:$F$1004,0)),"¿Lote?"))</f>
        <v/>
      </c>
      <c r="E2628" s="11" t="str">
        <f aca="false">IF(C2628="","",IFERROR(INDEX(LOTES!$C$5:$C$1004,MATCH(C2628,LOTES!$F$5:$F$1004,0)),""))</f>
        <v/>
      </c>
      <c r="F2628" s="24" t="str">
        <f aca="false">IF(C2628="","",IFERROR(INDEX(LOTES!$B$5:$B$1004,MATCH(C2628,LOTES!$F$5:$F$1004,0)),""))</f>
        <v/>
      </c>
      <c r="G2628" s="15" t="str">
        <f aca="false">IF(OR(B2628="",F2628=""),"",B2628-F2628)</f>
        <v/>
      </c>
      <c r="H2628" s="13"/>
      <c r="I2628" s="13"/>
      <c r="J2628" s="13"/>
      <c r="K2628" s="25"/>
      <c r="L2628" s="25"/>
      <c r="M2628" s="25"/>
      <c r="N2628" s="25"/>
      <c r="O2628" s="26"/>
      <c r="P2628" s="16" t="str">
        <f aca="false">IF(O2628="","",IFERROR(1/(1/(IF(K2628="",INDEX(CONFIG!$F$5:$F$14,MATCH(D2628,CONFIG!$D$5:$D$14,0)),K2628)*IF(M2628="",INDEX(CONFIG!$H$5:$H$14,MATCH(D2628,CONFIG!$D$5:$D$14,0)),M2628))),""))</f>
        <v/>
      </c>
      <c r="Q2628" s="16" t="str">
        <f aca="false">IF(OR(O2628="",P2628=""),"",O2628/P2628)</f>
        <v/>
      </c>
      <c r="R2628" s="16" t="str">
        <f aca="false">IF(Q2628="","",Q2628*0.0980665)</f>
        <v/>
      </c>
      <c r="S2628" s="16" t="str">
        <f aca="false">IF(Q2628="","",IFERROR(Q2628/(1/(1/INDEX(CONFIG!$I$5:$I$14,MATCH(D2628,CONFIG!$D$5:$D$14,0)))),""))</f>
        <v/>
      </c>
      <c r="T2628" s="13"/>
      <c r="U2628" s="13"/>
      <c r="V2628" s="13"/>
      <c r="W2628" s="13"/>
      <c r="X2628" s="22" t="str">
        <f aca="false">IF(Q2628="","",Q2628^2)</f>
        <v/>
      </c>
      <c r="Y2628" s="22" t="str">
        <f aca="false">IF(AND(C2628&lt;&gt;"",C2628=CERTIFICADO!$E$4,OR(CERTIFICADO!$E$5="",B2628=CERTIFICADO!$E$5)),MAX($Y$4:Y2627)+1,"")</f>
        <v/>
      </c>
    </row>
    <row r="2629" customFormat="false" ht="15" hidden="false" customHeight="false" outlineLevel="0" collapsed="false">
      <c r="A2629" s="11" t="str">
        <f aca="false">IF(C2629="","",ROW()-4)</f>
        <v/>
      </c>
      <c r="B2629" s="12"/>
      <c r="C2629" s="13"/>
      <c r="D2629" s="23" t="str">
        <f aca="false">IF(C2629="","",IFERROR(INDEX(LOTES!$D$5:$D$1004,MATCH(C2629,LOTES!$F$5:$F$1004,0)),"¿Lote?"))</f>
        <v/>
      </c>
      <c r="E2629" s="11" t="str">
        <f aca="false">IF(C2629="","",IFERROR(INDEX(LOTES!$C$5:$C$1004,MATCH(C2629,LOTES!$F$5:$F$1004,0)),""))</f>
        <v/>
      </c>
      <c r="F2629" s="24" t="str">
        <f aca="false">IF(C2629="","",IFERROR(INDEX(LOTES!$B$5:$B$1004,MATCH(C2629,LOTES!$F$5:$F$1004,0)),""))</f>
        <v/>
      </c>
      <c r="G2629" s="15" t="str">
        <f aca="false">IF(OR(B2629="",F2629=""),"",B2629-F2629)</f>
        <v/>
      </c>
      <c r="H2629" s="13"/>
      <c r="I2629" s="13"/>
      <c r="J2629" s="13"/>
      <c r="K2629" s="25"/>
      <c r="L2629" s="25"/>
      <c r="M2629" s="25"/>
      <c r="N2629" s="25"/>
      <c r="O2629" s="26"/>
      <c r="P2629" s="16" t="str">
        <f aca="false">IF(O2629="","",IFERROR(1/(1/(IF(K2629="",INDEX(CONFIG!$F$5:$F$14,MATCH(D2629,CONFIG!$D$5:$D$14,0)),K2629)*IF(M2629="",INDEX(CONFIG!$H$5:$H$14,MATCH(D2629,CONFIG!$D$5:$D$14,0)),M2629))),""))</f>
        <v/>
      </c>
      <c r="Q2629" s="16" t="str">
        <f aca="false">IF(OR(O2629="",P2629=""),"",O2629/P2629)</f>
        <v/>
      </c>
      <c r="R2629" s="16" t="str">
        <f aca="false">IF(Q2629="","",Q2629*0.0980665)</f>
        <v/>
      </c>
      <c r="S2629" s="16" t="str">
        <f aca="false">IF(Q2629="","",IFERROR(Q2629/(1/(1/INDEX(CONFIG!$I$5:$I$14,MATCH(D2629,CONFIG!$D$5:$D$14,0)))),""))</f>
        <v/>
      </c>
      <c r="T2629" s="13"/>
      <c r="U2629" s="13"/>
      <c r="V2629" s="13"/>
      <c r="W2629" s="13"/>
      <c r="X2629" s="22" t="str">
        <f aca="false">IF(Q2629="","",Q2629^2)</f>
        <v/>
      </c>
      <c r="Y2629" s="22" t="str">
        <f aca="false">IF(AND(C2629&lt;&gt;"",C2629=CERTIFICADO!$E$4,OR(CERTIFICADO!$E$5="",B2629=CERTIFICADO!$E$5)),MAX($Y$4:Y2628)+1,"")</f>
        <v/>
      </c>
    </row>
    <row r="2630" customFormat="false" ht="15" hidden="false" customHeight="false" outlineLevel="0" collapsed="false">
      <c r="A2630" s="11" t="str">
        <f aca="false">IF(C2630="","",ROW()-4)</f>
        <v/>
      </c>
      <c r="B2630" s="12"/>
      <c r="C2630" s="13"/>
      <c r="D2630" s="23" t="str">
        <f aca="false">IF(C2630="","",IFERROR(INDEX(LOTES!$D$5:$D$1004,MATCH(C2630,LOTES!$F$5:$F$1004,0)),"¿Lote?"))</f>
        <v/>
      </c>
      <c r="E2630" s="11" t="str">
        <f aca="false">IF(C2630="","",IFERROR(INDEX(LOTES!$C$5:$C$1004,MATCH(C2630,LOTES!$F$5:$F$1004,0)),""))</f>
        <v/>
      </c>
      <c r="F2630" s="24" t="str">
        <f aca="false">IF(C2630="","",IFERROR(INDEX(LOTES!$B$5:$B$1004,MATCH(C2630,LOTES!$F$5:$F$1004,0)),""))</f>
        <v/>
      </c>
      <c r="G2630" s="15" t="str">
        <f aca="false">IF(OR(B2630="",F2630=""),"",B2630-F2630)</f>
        <v/>
      </c>
      <c r="H2630" s="13"/>
      <c r="I2630" s="13"/>
      <c r="J2630" s="13"/>
      <c r="K2630" s="25"/>
      <c r="L2630" s="25"/>
      <c r="M2630" s="25"/>
      <c r="N2630" s="25"/>
      <c r="O2630" s="26"/>
      <c r="P2630" s="16" t="str">
        <f aca="false">IF(O2630="","",IFERROR(1/(1/(IF(K2630="",INDEX(CONFIG!$F$5:$F$14,MATCH(D2630,CONFIG!$D$5:$D$14,0)),K2630)*IF(M2630="",INDEX(CONFIG!$H$5:$H$14,MATCH(D2630,CONFIG!$D$5:$D$14,0)),M2630))),""))</f>
        <v/>
      </c>
      <c r="Q2630" s="16" t="str">
        <f aca="false">IF(OR(O2630="",P2630=""),"",O2630/P2630)</f>
        <v/>
      </c>
      <c r="R2630" s="16" t="str">
        <f aca="false">IF(Q2630="","",Q2630*0.0980665)</f>
        <v/>
      </c>
      <c r="S2630" s="16" t="str">
        <f aca="false">IF(Q2630="","",IFERROR(Q2630/(1/(1/INDEX(CONFIG!$I$5:$I$14,MATCH(D2630,CONFIG!$D$5:$D$14,0)))),""))</f>
        <v/>
      </c>
      <c r="T2630" s="13"/>
      <c r="U2630" s="13"/>
      <c r="V2630" s="13"/>
      <c r="W2630" s="13"/>
      <c r="X2630" s="22" t="str">
        <f aca="false">IF(Q2630="","",Q2630^2)</f>
        <v/>
      </c>
      <c r="Y2630" s="22" t="str">
        <f aca="false">IF(AND(C2630&lt;&gt;"",C2630=CERTIFICADO!$E$4,OR(CERTIFICADO!$E$5="",B2630=CERTIFICADO!$E$5)),MAX($Y$4:Y2629)+1,"")</f>
        <v/>
      </c>
    </row>
    <row r="2631" customFormat="false" ht="15" hidden="false" customHeight="false" outlineLevel="0" collapsed="false">
      <c r="A2631" s="11" t="str">
        <f aca="false">IF(C2631="","",ROW()-4)</f>
        <v/>
      </c>
      <c r="B2631" s="12"/>
      <c r="C2631" s="13"/>
      <c r="D2631" s="23" t="str">
        <f aca="false">IF(C2631="","",IFERROR(INDEX(LOTES!$D$5:$D$1004,MATCH(C2631,LOTES!$F$5:$F$1004,0)),"¿Lote?"))</f>
        <v/>
      </c>
      <c r="E2631" s="11" t="str">
        <f aca="false">IF(C2631="","",IFERROR(INDEX(LOTES!$C$5:$C$1004,MATCH(C2631,LOTES!$F$5:$F$1004,0)),""))</f>
        <v/>
      </c>
      <c r="F2631" s="24" t="str">
        <f aca="false">IF(C2631="","",IFERROR(INDEX(LOTES!$B$5:$B$1004,MATCH(C2631,LOTES!$F$5:$F$1004,0)),""))</f>
        <v/>
      </c>
      <c r="G2631" s="15" t="str">
        <f aca="false">IF(OR(B2631="",F2631=""),"",B2631-F2631)</f>
        <v/>
      </c>
      <c r="H2631" s="13"/>
      <c r="I2631" s="13"/>
      <c r="J2631" s="13"/>
      <c r="K2631" s="25"/>
      <c r="L2631" s="25"/>
      <c r="M2631" s="25"/>
      <c r="N2631" s="25"/>
      <c r="O2631" s="26"/>
      <c r="P2631" s="16" t="str">
        <f aca="false">IF(O2631="","",IFERROR(1/(1/(IF(K2631="",INDEX(CONFIG!$F$5:$F$14,MATCH(D2631,CONFIG!$D$5:$D$14,0)),K2631)*IF(M2631="",INDEX(CONFIG!$H$5:$H$14,MATCH(D2631,CONFIG!$D$5:$D$14,0)),M2631))),""))</f>
        <v/>
      </c>
      <c r="Q2631" s="16" t="str">
        <f aca="false">IF(OR(O2631="",P2631=""),"",O2631/P2631)</f>
        <v/>
      </c>
      <c r="R2631" s="16" t="str">
        <f aca="false">IF(Q2631="","",Q2631*0.0980665)</f>
        <v/>
      </c>
      <c r="S2631" s="16" t="str">
        <f aca="false">IF(Q2631="","",IFERROR(Q2631/(1/(1/INDEX(CONFIG!$I$5:$I$14,MATCH(D2631,CONFIG!$D$5:$D$14,0)))),""))</f>
        <v/>
      </c>
      <c r="T2631" s="13"/>
      <c r="U2631" s="13"/>
      <c r="V2631" s="13"/>
      <c r="W2631" s="13"/>
      <c r="X2631" s="22" t="str">
        <f aca="false">IF(Q2631="","",Q2631^2)</f>
        <v/>
      </c>
      <c r="Y2631" s="22" t="str">
        <f aca="false">IF(AND(C2631&lt;&gt;"",C2631=CERTIFICADO!$E$4,OR(CERTIFICADO!$E$5="",B2631=CERTIFICADO!$E$5)),MAX($Y$4:Y2630)+1,"")</f>
        <v/>
      </c>
    </row>
    <row r="2632" customFormat="false" ht="15" hidden="false" customHeight="false" outlineLevel="0" collapsed="false">
      <c r="A2632" s="11" t="str">
        <f aca="false">IF(C2632="","",ROW()-4)</f>
        <v/>
      </c>
      <c r="B2632" s="12"/>
      <c r="C2632" s="13"/>
      <c r="D2632" s="23" t="str">
        <f aca="false">IF(C2632="","",IFERROR(INDEX(LOTES!$D$5:$D$1004,MATCH(C2632,LOTES!$F$5:$F$1004,0)),"¿Lote?"))</f>
        <v/>
      </c>
      <c r="E2632" s="11" t="str">
        <f aca="false">IF(C2632="","",IFERROR(INDEX(LOTES!$C$5:$C$1004,MATCH(C2632,LOTES!$F$5:$F$1004,0)),""))</f>
        <v/>
      </c>
      <c r="F2632" s="24" t="str">
        <f aca="false">IF(C2632="","",IFERROR(INDEX(LOTES!$B$5:$B$1004,MATCH(C2632,LOTES!$F$5:$F$1004,0)),""))</f>
        <v/>
      </c>
      <c r="G2632" s="15" t="str">
        <f aca="false">IF(OR(B2632="",F2632=""),"",B2632-F2632)</f>
        <v/>
      </c>
      <c r="H2632" s="13"/>
      <c r="I2632" s="13"/>
      <c r="J2632" s="13"/>
      <c r="K2632" s="25"/>
      <c r="L2632" s="25"/>
      <c r="M2632" s="25"/>
      <c r="N2632" s="25"/>
      <c r="O2632" s="26"/>
      <c r="P2632" s="16" t="str">
        <f aca="false">IF(O2632="","",IFERROR(1/(1/(IF(K2632="",INDEX(CONFIG!$F$5:$F$14,MATCH(D2632,CONFIG!$D$5:$D$14,0)),K2632)*IF(M2632="",INDEX(CONFIG!$H$5:$H$14,MATCH(D2632,CONFIG!$D$5:$D$14,0)),M2632))),""))</f>
        <v/>
      </c>
      <c r="Q2632" s="16" t="str">
        <f aca="false">IF(OR(O2632="",P2632=""),"",O2632/P2632)</f>
        <v/>
      </c>
      <c r="R2632" s="16" t="str">
        <f aca="false">IF(Q2632="","",Q2632*0.0980665)</f>
        <v/>
      </c>
      <c r="S2632" s="16" t="str">
        <f aca="false">IF(Q2632="","",IFERROR(Q2632/(1/(1/INDEX(CONFIG!$I$5:$I$14,MATCH(D2632,CONFIG!$D$5:$D$14,0)))),""))</f>
        <v/>
      </c>
      <c r="T2632" s="13"/>
      <c r="U2632" s="13"/>
      <c r="V2632" s="13"/>
      <c r="W2632" s="13"/>
      <c r="X2632" s="22" t="str">
        <f aca="false">IF(Q2632="","",Q2632^2)</f>
        <v/>
      </c>
      <c r="Y2632" s="22" t="str">
        <f aca="false">IF(AND(C2632&lt;&gt;"",C2632=CERTIFICADO!$E$4,OR(CERTIFICADO!$E$5="",B2632=CERTIFICADO!$E$5)),MAX($Y$4:Y2631)+1,"")</f>
        <v/>
      </c>
    </row>
    <row r="2633" customFormat="false" ht="15" hidden="false" customHeight="false" outlineLevel="0" collapsed="false">
      <c r="A2633" s="11" t="str">
        <f aca="false">IF(C2633="","",ROW()-4)</f>
        <v/>
      </c>
      <c r="B2633" s="12"/>
      <c r="C2633" s="13"/>
      <c r="D2633" s="23" t="str">
        <f aca="false">IF(C2633="","",IFERROR(INDEX(LOTES!$D$5:$D$1004,MATCH(C2633,LOTES!$F$5:$F$1004,0)),"¿Lote?"))</f>
        <v/>
      </c>
      <c r="E2633" s="11" t="str">
        <f aca="false">IF(C2633="","",IFERROR(INDEX(LOTES!$C$5:$C$1004,MATCH(C2633,LOTES!$F$5:$F$1004,0)),""))</f>
        <v/>
      </c>
      <c r="F2633" s="24" t="str">
        <f aca="false">IF(C2633="","",IFERROR(INDEX(LOTES!$B$5:$B$1004,MATCH(C2633,LOTES!$F$5:$F$1004,0)),""))</f>
        <v/>
      </c>
      <c r="G2633" s="15" t="str">
        <f aca="false">IF(OR(B2633="",F2633=""),"",B2633-F2633)</f>
        <v/>
      </c>
      <c r="H2633" s="13"/>
      <c r="I2633" s="13"/>
      <c r="J2633" s="13"/>
      <c r="K2633" s="25"/>
      <c r="L2633" s="25"/>
      <c r="M2633" s="25"/>
      <c r="N2633" s="25"/>
      <c r="O2633" s="26"/>
      <c r="P2633" s="16" t="str">
        <f aca="false">IF(O2633="","",IFERROR(1/(1/(IF(K2633="",INDEX(CONFIG!$F$5:$F$14,MATCH(D2633,CONFIG!$D$5:$D$14,0)),K2633)*IF(M2633="",INDEX(CONFIG!$H$5:$H$14,MATCH(D2633,CONFIG!$D$5:$D$14,0)),M2633))),""))</f>
        <v/>
      </c>
      <c r="Q2633" s="16" t="str">
        <f aca="false">IF(OR(O2633="",P2633=""),"",O2633/P2633)</f>
        <v/>
      </c>
      <c r="R2633" s="16" t="str">
        <f aca="false">IF(Q2633="","",Q2633*0.0980665)</f>
        <v/>
      </c>
      <c r="S2633" s="16" t="str">
        <f aca="false">IF(Q2633="","",IFERROR(Q2633/(1/(1/INDEX(CONFIG!$I$5:$I$14,MATCH(D2633,CONFIG!$D$5:$D$14,0)))),""))</f>
        <v/>
      </c>
      <c r="T2633" s="13"/>
      <c r="U2633" s="13"/>
      <c r="V2633" s="13"/>
      <c r="W2633" s="13"/>
      <c r="X2633" s="22" t="str">
        <f aca="false">IF(Q2633="","",Q2633^2)</f>
        <v/>
      </c>
      <c r="Y2633" s="22" t="str">
        <f aca="false">IF(AND(C2633&lt;&gt;"",C2633=CERTIFICADO!$E$4,OR(CERTIFICADO!$E$5="",B2633=CERTIFICADO!$E$5)),MAX($Y$4:Y2632)+1,"")</f>
        <v/>
      </c>
    </row>
    <row r="2634" customFormat="false" ht="15" hidden="false" customHeight="false" outlineLevel="0" collapsed="false">
      <c r="A2634" s="11" t="str">
        <f aca="false">IF(C2634="","",ROW()-4)</f>
        <v/>
      </c>
      <c r="B2634" s="12"/>
      <c r="C2634" s="13"/>
      <c r="D2634" s="23" t="str">
        <f aca="false">IF(C2634="","",IFERROR(INDEX(LOTES!$D$5:$D$1004,MATCH(C2634,LOTES!$F$5:$F$1004,0)),"¿Lote?"))</f>
        <v/>
      </c>
      <c r="E2634" s="11" t="str">
        <f aca="false">IF(C2634="","",IFERROR(INDEX(LOTES!$C$5:$C$1004,MATCH(C2634,LOTES!$F$5:$F$1004,0)),""))</f>
        <v/>
      </c>
      <c r="F2634" s="24" t="str">
        <f aca="false">IF(C2634="","",IFERROR(INDEX(LOTES!$B$5:$B$1004,MATCH(C2634,LOTES!$F$5:$F$1004,0)),""))</f>
        <v/>
      </c>
      <c r="G2634" s="15" t="str">
        <f aca="false">IF(OR(B2634="",F2634=""),"",B2634-F2634)</f>
        <v/>
      </c>
      <c r="H2634" s="13"/>
      <c r="I2634" s="13"/>
      <c r="J2634" s="13"/>
      <c r="K2634" s="25"/>
      <c r="L2634" s="25"/>
      <c r="M2634" s="25"/>
      <c r="N2634" s="25"/>
      <c r="O2634" s="26"/>
      <c r="P2634" s="16" t="str">
        <f aca="false">IF(O2634="","",IFERROR(1/(1/(IF(K2634="",INDEX(CONFIG!$F$5:$F$14,MATCH(D2634,CONFIG!$D$5:$D$14,0)),K2634)*IF(M2634="",INDEX(CONFIG!$H$5:$H$14,MATCH(D2634,CONFIG!$D$5:$D$14,0)),M2634))),""))</f>
        <v/>
      </c>
      <c r="Q2634" s="16" t="str">
        <f aca="false">IF(OR(O2634="",P2634=""),"",O2634/P2634)</f>
        <v/>
      </c>
      <c r="R2634" s="16" t="str">
        <f aca="false">IF(Q2634="","",Q2634*0.0980665)</f>
        <v/>
      </c>
      <c r="S2634" s="16" t="str">
        <f aca="false">IF(Q2634="","",IFERROR(Q2634/(1/(1/INDEX(CONFIG!$I$5:$I$14,MATCH(D2634,CONFIG!$D$5:$D$14,0)))),""))</f>
        <v/>
      </c>
      <c r="T2634" s="13"/>
      <c r="U2634" s="13"/>
      <c r="V2634" s="13"/>
      <c r="W2634" s="13"/>
      <c r="X2634" s="22" t="str">
        <f aca="false">IF(Q2634="","",Q2634^2)</f>
        <v/>
      </c>
      <c r="Y2634" s="22" t="str">
        <f aca="false">IF(AND(C2634&lt;&gt;"",C2634=CERTIFICADO!$E$4,OR(CERTIFICADO!$E$5="",B2634=CERTIFICADO!$E$5)),MAX($Y$4:Y2633)+1,"")</f>
        <v/>
      </c>
    </row>
    <row r="2635" customFormat="false" ht="15" hidden="false" customHeight="false" outlineLevel="0" collapsed="false">
      <c r="A2635" s="11" t="str">
        <f aca="false">IF(C2635="","",ROW()-4)</f>
        <v/>
      </c>
      <c r="B2635" s="12"/>
      <c r="C2635" s="13"/>
      <c r="D2635" s="23" t="str">
        <f aca="false">IF(C2635="","",IFERROR(INDEX(LOTES!$D$5:$D$1004,MATCH(C2635,LOTES!$F$5:$F$1004,0)),"¿Lote?"))</f>
        <v/>
      </c>
      <c r="E2635" s="11" t="str">
        <f aca="false">IF(C2635="","",IFERROR(INDEX(LOTES!$C$5:$C$1004,MATCH(C2635,LOTES!$F$5:$F$1004,0)),""))</f>
        <v/>
      </c>
      <c r="F2635" s="24" t="str">
        <f aca="false">IF(C2635="","",IFERROR(INDEX(LOTES!$B$5:$B$1004,MATCH(C2635,LOTES!$F$5:$F$1004,0)),""))</f>
        <v/>
      </c>
      <c r="G2635" s="15" t="str">
        <f aca="false">IF(OR(B2635="",F2635=""),"",B2635-F2635)</f>
        <v/>
      </c>
      <c r="H2635" s="13"/>
      <c r="I2635" s="13"/>
      <c r="J2635" s="13"/>
      <c r="K2635" s="25"/>
      <c r="L2635" s="25"/>
      <c r="M2635" s="25"/>
      <c r="N2635" s="25"/>
      <c r="O2635" s="26"/>
      <c r="P2635" s="16" t="str">
        <f aca="false">IF(O2635="","",IFERROR(1/(1/(IF(K2635="",INDEX(CONFIG!$F$5:$F$14,MATCH(D2635,CONFIG!$D$5:$D$14,0)),K2635)*IF(M2635="",INDEX(CONFIG!$H$5:$H$14,MATCH(D2635,CONFIG!$D$5:$D$14,0)),M2635))),""))</f>
        <v/>
      </c>
      <c r="Q2635" s="16" t="str">
        <f aca="false">IF(OR(O2635="",P2635=""),"",O2635/P2635)</f>
        <v/>
      </c>
      <c r="R2635" s="16" t="str">
        <f aca="false">IF(Q2635="","",Q2635*0.0980665)</f>
        <v/>
      </c>
      <c r="S2635" s="16" t="str">
        <f aca="false">IF(Q2635="","",IFERROR(Q2635/(1/(1/INDEX(CONFIG!$I$5:$I$14,MATCH(D2635,CONFIG!$D$5:$D$14,0)))),""))</f>
        <v/>
      </c>
      <c r="T2635" s="13"/>
      <c r="U2635" s="13"/>
      <c r="V2635" s="13"/>
      <c r="W2635" s="13"/>
      <c r="X2635" s="22" t="str">
        <f aca="false">IF(Q2635="","",Q2635^2)</f>
        <v/>
      </c>
      <c r="Y2635" s="22" t="str">
        <f aca="false">IF(AND(C2635&lt;&gt;"",C2635=CERTIFICADO!$E$4,OR(CERTIFICADO!$E$5="",B2635=CERTIFICADO!$E$5)),MAX($Y$4:Y2634)+1,"")</f>
        <v/>
      </c>
    </row>
    <row r="2636" customFormat="false" ht="15" hidden="false" customHeight="false" outlineLevel="0" collapsed="false">
      <c r="A2636" s="11" t="str">
        <f aca="false">IF(C2636="","",ROW()-4)</f>
        <v/>
      </c>
      <c r="B2636" s="12"/>
      <c r="C2636" s="13"/>
      <c r="D2636" s="23" t="str">
        <f aca="false">IF(C2636="","",IFERROR(INDEX(LOTES!$D$5:$D$1004,MATCH(C2636,LOTES!$F$5:$F$1004,0)),"¿Lote?"))</f>
        <v/>
      </c>
      <c r="E2636" s="11" t="str">
        <f aca="false">IF(C2636="","",IFERROR(INDEX(LOTES!$C$5:$C$1004,MATCH(C2636,LOTES!$F$5:$F$1004,0)),""))</f>
        <v/>
      </c>
      <c r="F2636" s="24" t="str">
        <f aca="false">IF(C2636="","",IFERROR(INDEX(LOTES!$B$5:$B$1004,MATCH(C2636,LOTES!$F$5:$F$1004,0)),""))</f>
        <v/>
      </c>
      <c r="G2636" s="15" t="str">
        <f aca="false">IF(OR(B2636="",F2636=""),"",B2636-F2636)</f>
        <v/>
      </c>
      <c r="H2636" s="13"/>
      <c r="I2636" s="13"/>
      <c r="J2636" s="13"/>
      <c r="K2636" s="25"/>
      <c r="L2636" s="25"/>
      <c r="M2636" s="25"/>
      <c r="N2636" s="25"/>
      <c r="O2636" s="26"/>
      <c r="P2636" s="16" t="str">
        <f aca="false">IF(O2636="","",IFERROR(1/(1/(IF(K2636="",INDEX(CONFIG!$F$5:$F$14,MATCH(D2636,CONFIG!$D$5:$D$14,0)),K2636)*IF(M2636="",INDEX(CONFIG!$H$5:$H$14,MATCH(D2636,CONFIG!$D$5:$D$14,0)),M2636))),""))</f>
        <v/>
      </c>
      <c r="Q2636" s="16" t="str">
        <f aca="false">IF(OR(O2636="",P2636=""),"",O2636/P2636)</f>
        <v/>
      </c>
      <c r="R2636" s="16" t="str">
        <f aca="false">IF(Q2636="","",Q2636*0.0980665)</f>
        <v/>
      </c>
      <c r="S2636" s="16" t="str">
        <f aca="false">IF(Q2636="","",IFERROR(Q2636/(1/(1/INDEX(CONFIG!$I$5:$I$14,MATCH(D2636,CONFIG!$D$5:$D$14,0)))),""))</f>
        <v/>
      </c>
      <c r="T2636" s="13"/>
      <c r="U2636" s="13"/>
      <c r="V2636" s="13"/>
      <c r="W2636" s="13"/>
      <c r="X2636" s="22" t="str">
        <f aca="false">IF(Q2636="","",Q2636^2)</f>
        <v/>
      </c>
      <c r="Y2636" s="22" t="str">
        <f aca="false">IF(AND(C2636&lt;&gt;"",C2636=CERTIFICADO!$E$4,OR(CERTIFICADO!$E$5="",B2636=CERTIFICADO!$E$5)),MAX($Y$4:Y2635)+1,"")</f>
        <v/>
      </c>
    </row>
    <row r="2637" customFormat="false" ht="15" hidden="false" customHeight="false" outlineLevel="0" collapsed="false">
      <c r="A2637" s="11" t="str">
        <f aca="false">IF(C2637="","",ROW()-4)</f>
        <v/>
      </c>
      <c r="B2637" s="12"/>
      <c r="C2637" s="13"/>
      <c r="D2637" s="23" t="str">
        <f aca="false">IF(C2637="","",IFERROR(INDEX(LOTES!$D$5:$D$1004,MATCH(C2637,LOTES!$F$5:$F$1004,0)),"¿Lote?"))</f>
        <v/>
      </c>
      <c r="E2637" s="11" t="str">
        <f aca="false">IF(C2637="","",IFERROR(INDEX(LOTES!$C$5:$C$1004,MATCH(C2637,LOTES!$F$5:$F$1004,0)),""))</f>
        <v/>
      </c>
      <c r="F2637" s="24" t="str">
        <f aca="false">IF(C2637="","",IFERROR(INDEX(LOTES!$B$5:$B$1004,MATCH(C2637,LOTES!$F$5:$F$1004,0)),""))</f>
        <v/>
      </c>
      <c r="G2637" s="15" t="str">
        <f aca="false">IF(OR(B2637="",F2637=""),"",B2637-F2637)</f>
        <v/>
      </c>
      <c r="H2637" s="13"/>
      <c r="I2637" s="13"/>
      <c r="J2637" s="13"/>
      <c r="K2637" s="25"/>
      <c r="L2637" s="25"/>
      <c r="M2637" s="25"/>
      <c r="N2637" s="25"/>
      <c r="O2637" s="26"/>
      <c r="P2637" s="16" t="str">
        <f aca="false">IF(O2637="","",IFERROR(1/(1/(IF(K2637="",INDEX(CONFIG!$F$5:$F$14,MATCH(D2637,CONFIG!$D$5:$D$14,0)),K2637)*IF(M2637="",INDEX(CONFIG!$H$5:$H$14,MATCH(D2637,CONFIG!$D$5:$D$14,0)),M2637))),""))</f>
        <v/>
      </c>
      <c r="Q2637" s="16" t="str">
        <f aca="false">IF(OR(O2637="",P2637=""),"",O2637/P2637)</f>
        <v/>
      </c>
      <c r="R2637" s="16" t="str">
        <f aca="false">IF(Q2637="","",Q2637*0.0980665)</f>
        <v/>
      </c>
      <c r="S2637" s="16" t="str">
        <f aca="false">IF(Q2637="","",IFERROR(Q2637/(1/(1/INDEX(CONFIG!$I$5:$I$14,MATCH(D2637,CONFIG!$D$5:$D$14,0)))),""))</f>
        <v/>
      </c>
      <c r="T2637" s="13"/>
      <c r="U2637" s="13"/>
      <c r="V2637" s="13"/>
      <c r="W2637" s="13"/>
      <c r="X2637" s="22" t="str">
        <f aca="false">IF(Q2637="","",Q2637^2)</f>
        <v/>
      </c>
      <c r="Y2637" s="22" t="str">
        <f aca="false">IF(AND(C2637&lt;&gt;"",C2637=CERTIFICADO!$E$4,OR(CERTIFICADO!$E$5="",B2637=CERTIFICADO!$E$5)),MAX($Y$4:Y2636)+1,"")</f>
        <v/>
      </c>
    </row>
    <row r="2638" customFormat="false" ht="15" hidden="false" customHeight="false" outlineLevel="0" collapsed="false">
      <c r="A2638" s="11" t="str">
        <f aca="false">IF(C2638="","",ROW()-4)</f>
        <v/>
      </c>
      <c r="B2638" s="12"/>
      <c r="C2638" s="13"/>
      <c r="D2638" s="23" t="str">
        <f aca="false">IF(C2638="","",IFERROR(INDEX(LOTES!$D$5:$D$1004,MATCH(C2638,LOTES!$F$5:$F$1004,0)),"¿Lote?"))</f>
        <v/>
      </c>
      <c r="E2638" s="11" t="str">
        <f aca="false">IF(C2638="","",IFERROR(INDEX(LOTES!$C$5:$C$1004,MATCH(C2638,LOTES!$F$5:$F$1004,0)),""))</f>
        <v/>
      </c>
      <c r="F2638" s="24" t="str">
        <f aca="false">IF(C2638="","",IFERROR(INDEX(LOTES!$B$5:$B$1004,MATCH(C2638,LOTES!$F$5:$F$1004,0)),""))</f>
        <v/>
      </c>
      <c r="G2638" s="15" t="str">
        <f aca="false">IF(OR(B2638="",F2638=""),"",B2638-F2638)</f>
        <v/>
      </c>
      <c r="H2638" s="13"/>
      <c r="I2638" s="13"/>
      <c r="J2638" s="13"/>
      <c r="K2638" s="25"/>
      <c r="L2638" s="25"/>
      <c r="M2638" s="25"/>
      <c r="N2638" s="25"/>
      <c r="O2638" s="26"/>
      <c r="P2638" s="16" t="str">
        <f aca="false">IF(O2638="","",IFERROR(1/(1/(IF(K2638="",INDEX(CONFIG!$F$5:$F$14,MATCH(D2638,CONFIG!$D$5:$D$14,0)),K2638)*IF(M2638="",INDEX(CONFIG!$H$5:$H$14,MATCH(D2638,CONFIG!$D$5:$D$14,0)),M2638))),""))</f>
        <v/>
      </c>
      <c r="Q2638" s="16" t="str">
        <f aca="false">IF(OR(O2638="",P2638=""),"",O2638/P2638)</f>
        <v/>
      </c>
      <c r="R2638" s="16" t="str">
        <f aca="false">IF(Q2638="","",Q2638*0.0980665)</f>
        <v/>
      </c>
      <c r="S2638" s="16" t="str">
        <f aca="false">IF(Q2638="","",IFERROR(Q2638/(1/(1/INDEX(CONFIG!$I$5:$I$14,MATCH(D2638,CONFIG!$D$5:$D$14,0)))),""))</f>
        <v/>
      </c>
      <c r="T2638" s="13"/>
      <c r="U2638" s="13"/>
      <c r="V2638" s="13"/>
      <c r="W2638" s="13"/>
      <c r="X2638" s="22" t="str">
        <f aca="false">IF(Q2638="","",Q2638^2)</f>
        <v/>
      </c>
      <c r="Y2638" s="22" t="str">
        <f aca="false">IF(AND(C2638&lt;&gt;"",C2638=CERTIFICADO!$E$4,OR(CERTIFICADO!$E$5="",B2638=CERTIFICADO!$E$5)),MAX($Y$4:Y2637)+1,"")</f>
        <v/>
      </c>
    </row>
    <row r="2639" customFormat="false" ht="15" hidden="false" customHeight="false" outlineLevel="0" collapsed="false">
      <c r="A2639" s="11" t="str">
        <f aca="false">IF(C2639="","",ROW()-4)</f>
        <v/>
      </c>
      <c r="B2639" s="12"/>
      <c r="C2639" s="13"/>
      <c r="D2639" s="23" t="str">
        <f aca="false">IF(C2639="","",IFERROR(INDEX(LOTES!$D$5:$D$1004,MATCH(C2639,LOTES!$F$5:$F$1004,0)),"¿Lote?"))</f>
        <v/>
      </c>
      <c r="E2639" s="11" t="str">
        <f aca="false">IF(C2639="","",IFERROR(INDEX(LOTES!$C$5:$C$1004,MATCH(C2639,LOTES!$F$5:$F$1004,0)),""))</f>
        <v/>
      </c>
      <c r="F2639" s="24" t="str">
        <f aca="false">IF(C2639="","",IFERROR(INDEX(LOTES!$B$5:$B$1004,MATCH(C2639,LOTES!$F$5:$F$1004,0)),""))</f>
        <v/>
      </c>
      <c r="G2639" s="15" t="str">
        <f aca="false">IF(OR(B2639="",F2639=""),"",B2639-F2639)</f>
        <v/>
      </c>
      <c r="H2639" s="13"/>
      <c r="I2639" s="13"/>
      <c r="J2639" s="13"/>
      <c r="K2639" s="25"/>
      <c r="L2639" s="25"/>
      <c r="M2639" s="25"/>
      <c r="N2639" s="25"/>
      <c r="O2639" s="26"/>
      <c r="P2639" s="16" t="str">
        <f aca="false">IF(O2639="","",IFERROR(1/(1/(IF(K2639="",INDEX(CONFIG!$F$5:$F$14,MATCH(D2639,CONFIG!$D$5:$D$14,0)),K2639)*IF(M2639="",INDEX(CONFIG!$H$5:$H$14,MATCH(D2639,CONFIG!$D$5:$D$14,0)),M2639))),""))</f>
        <v/>
      </c>
      <c r="Q2639" s="16" t="str">
        <f aca="false">IF(OR(O2639="",P2639=""),"",O2639/P2639)</f>
        <v/>
      </c>
      <c r="R2639" s="16" t="str">
        <f aca="false">IF(Q2639="","",Q2639*0.0980665)</f>
        <v/>
      </c>
      <c r="S2639" s="16" t="str">
        <f aca="false">IF(Q2639="","",IFERROR(Q2639/(1/(1/INDEX(CONFIG!$I$5:$I$14,MATCH(D2639,CONFIG!$D$5:$D$14,0)))),""))</f>
        <v/>
      </c>
      <c r="T2639" s="13"/>
      <c r="U2639" s="13"/>
      <c r="V2639" s="13"/>
      <c r="W2639" s="13"/>
      <c r="X2639" s="22" t="str">
        <f aca="false">IF(Q2639="","",Q2639^2)</f>
        <v/>
      </c>
      <c r="Y2639" s="22" t="str">
        <f aca="false">IF(AND(C2639&lt;&gt;"",C2639=CERTIFICADO!$E$4,OR(CERTIFICADO!$E$5="",B2639=CERTIFICADO!$E$5)),MAX($Y$4:Y2638)+1,"")</f>
        <v/>
      </c>
    </row>
    <row r="2640" customFormat="false" ht="15" hidden="false" customHeight="false" outlineLevel="0" collapsed="false">
      <c r="A2640" s="11" t="str">
        <f aca="false">IF(C2640="","",ROW()-4)</f>
        <v/>
      </c>
      <c r="B2640" s="12"/>
      <c r="C2640" s="13"/>
      <c r="D2640" s="23" t="str">
        <f aca="false">IF(C2640="","",IFERROR(INDEX(LOTES!$D$5:$D$1004,MATCH(C2640,LOTES!$F$5:$F$1004,0)),"¿Lote?"))</f>
        <v/>
      </c>
      <c r="E2640" s="11" t="str">
        <f aca="false">IF(C2640="","",IFERROR(INDEX(LOTES!$C$5:$C$1004,MATCH(C2640,LOTES!$F$5:$F$1004,0)),""))</f>
        <v/>
      </c>
      <c r="F2640" s="24" t="str">
        <f aca="false">IF(C2640="","",IFERROR(INDEX(LOTES!$B$5:$B$1004,MATCH(C2640,LOTES!$F$5:$F$1004,0)),""))</f>
        <v/>
      </c>
      <c r="G2640" s="15" t="str">
        <f aca="false">IF(OR(B2640="",F2640=""),"",B2640-F2640)</f>
        <v/>
      </c>
      <c r="H2640" s="13"/>
      <c r="I2640" s="13"/>
      <c r="J2640" s="13"/>
      <c r="K2640" s="25"/>
      <c r="L2640" s="25"/>
      <c r="M2640" s="25"/>
      <c r="N2640" s="25"/>
      <c r="O2640" s="26"/>
      <c r="P2640" s="16" t="str">
        <f aca="false">IF(O2640="","",IFERROR(1/(1/(IF(K2640="",INDEX(CONFIG!$F$5:$F$14,MATCH(D2640,CONFIG!$D$5:$D$14,0)),K2640)*IF(M2640="",INDEX(CONFIG!$H$5:$H$14,MATCH(D2640,CONFIG!$D$5:$D$14,0)),M2640))),""))</f>
        <v/>
      </c>
      <c r="Q2640" s="16" t="str">
        <f aca="false">IF(OR(O2640="",P2640=""),"",O2640/P2640)</f>
        <v/>
      </c>
      <c r="R2640" s="16" t="str">
        <f aca="false">IF(Q2640="","",Q2640*0.0980665)</f>
        <v/>
      </c>
      <c r="S2640" s="16" t="str">
        <f aca="false">IF(Q2640="","",IFERROR(Q2640/(1/(1/INDEX(CONFIG!$I$5:$I$14,MATCH(D2640,CONFIG!$D$5:$D$14,0)))),""))</f>
        <v/>
      </c>
      <c r="T2640" s="13"/>
      <c r="U2640" s="13"/>
      <c r="V2640" s="13"/>
      <c r="W2640" s="13"/>
      <c r="X2640" s="22" t="str">
        <f aca="false">IF(Q2640="","",Q2640^2)</f>
        <v/>
      </c>
      <c r="Y2640" s="22" t="str">
        <f aca="false">IF(AND(C2640&lt;&gt;"",C2640=CERTIFICADO!$E$4,OR(CERTIFICADO!$E$5="",B2640=CERTIFICADO!$E$5)),MAX($Y$4:Y2639)+1,"")</f>
        <v/>
      </c>
    </row>
    <row r="2641" customFormat="false" ht="15" hidden="false" customHeight="false" outlineLevel="0" collapsed="false">
      <c r="A2641" s="11" t="str">
        <f aca="false">IF(C2641="","",ROW()-4)</f>
        <v/>
      </c>
      <c r="B2641" s="12"/>
      <c r="C2641" s="13"/>
      <c r="D2641" s="23" t="str">
        <f aca="false">IF(C2641="","",IFERROR(INDEX(LOTES!$D$5:$D$1004,MATCH(C2641,LOTES!$F$5:$F$1004,0)),"¿Lote?"))</f>
        <v/>
      </c>
      <c r="E2641" s="11" t="str">
        <f aca="false">IF(C2641="","",IFERROR(INDEX(LOTES!$C$5:$C$1004,MATCH(C2641,LOTES!$F$5:$F$1004,0)),""))</f>
        <v/>
      </c>
      <c r="F2641" s="24" t="str">
        <f aca="false">IF(C2641="","",IFERROR(INDEX(LOTES!$B$5:$B$1004,MATCH(C2641,LOTES!$F$5:$F$1004,0)),""))</f>
        <v/>
      </c>
      <c r="G2641" s="15" t="str">
        <f aca="false">IF(OR(B2641="",F2641=""),"",B2641-F2641)</f>
        <v/>
      </c>
      <c r="H2641" s="13"/>
      <c r="I2641" s="13"/>
      <c r="J2641" s="13"/>
      <c r="K2641" s="25"/>
      <c r="L2641" s="25"/>
      <c r="M2641" s="25"/>
      <c r="N2641" s="25"/>
      <c r="O2641" s="26"/>
      <c r="P2641" s="16" t="str">
        <f aca="false">IF(O2641="","",IFERROR(1/(1/(IF(K2641="",INDEX(CONFIG!$F$5:$F$14,MATCH(D2641,CONFIG!$D$5:$D$14,0)),K2641)*IF(M2641="",INDEX(CONFIG!$H$5:$H$14,MATCH(D2641,CONFIG!$D$5:$D$14,0)),M2641))),""))</f>
        <v/>
      </c>
      <c r="Q2641" s="16" t="str">
        <f aca="false">IF(OR(O2641="",P2641=""),"",O2641/P2641)</f>
        <v/>
      </c>
      <c r="R2641" s="16" t="str">
        <f aca="false">IF(Q2641="","",Q2641*0.0980665)</f>
        <v/>
      </c>
      <c r="S2641" s="16" t="str">
        <f aca="false">IF(Q2641="","",IFERROR(Q2641/(1/(1/INDEX(CONFIG!$I$5:$I$14,MATCH(D2641,CONFIG!$D$5:$D$14,0)))),""))</f>
        <v/>
      </c>
      <c r="T2641" s="13"/>
      <c r="U2641" s="13"/>
      <c r="V2641" s="13"/>
      <c r="W2641" s="13"/>
      <c r="X2641" s="22" t="str">
        <f aca="false">IF(Q2641="","",Q2641^2)</f>
        <v/>
      </c>
      <c r="Y2641" s="22" t="str">
        <f aca="false">IF(AND(C2641&lt;&gt;"",C2641=CERTIFICADO!$E$4,OR(CERTIFICADO!$E$5="",B2641=CERTIFICADO!$E$5)),MAX($Y$4:Y2640)+1,"")</f>
        <v/>
      </c>
    </row>
    <row r="2642" customFormat="false" ht="15" hidden="false" customHeight="false" outlineLevel="0" collapsed="false">
      <c r="A2642" s="11" t="str">
        <f aca="false">IF(C2642="","",ROW()-4)</f>
        <v/>
      </c>
      <c r="B2642" s="12"/>
      <c r="C2642" s="13"/>
      <c r="D2642" s="23" t="str">
        <f aca="false">IF(C2642="","",IFERROR(INDEX(LOTES!$D$5:$D$1004,MATCH(C2642,LOTES!$F$5:$F$1004,0)),"¿Lote?"))</f>
        <v/>
      </c>
      <c r="E2642" s="11" t="str">
        <f aca="false">IF(C2642="","",IFERROR(INDEX(LOTES!$C$5:$C$1004,MATCH(C2642,LOTES!$F$5:$F$1004,0)),""))</f>
        <v/>
      </c>
      <c r="F2642" s="24" t="str">
        <f aca="false">IF(C2642="","",IFERROR(INDEX(LOTES!$B$5:$B$1004,MATCH(C2642,LOTES!$F$5:$F$1004,0)),""))</f>
        <v/>
      </c>
      <c r="G2642" s="15" t="str">
        <f aca="false">IF(OR(B2642="",F2642=""),"",B2642-F2642)</f>
        <v/>
      </c>
      <c r="H2642" s="13"/>
      <c r="I2642" s="13"/>
      <c r="J2642" s="13"/>
      <c r="K2642" s="25"/>
      <c r="L2642" s="25"/>
      <c r="M2642" s="25"/>
      <c r="N2642" s="25"/>
      <c r="O2642" s="26"/>
      <c r="P2642" s="16" t="str">
        <f aca="false">IF(O2642="","",IFERROR(1/(1/(IF(K2642="",INDEX(CONFIG!$F$5:$F$14,MATCH(D2642,CONFIG!$D$5:$D$14,0)),K2642)*IF(M2642="",INDEX(CONFIG!$H$5:$H$14,MATCH(D2642,CONFIG!$D$5:$D$14,0)),M2642))),""))</f>
        <v/>
      </c>
      <c r="Q2642" s="16" t="str">
        <f aca="false">IF(OR(O2642="",P2642=""),"",O2642/P2642)</f>
        <v/>
      </c>
      <c r="R2642" s="16" t="str">
        <f aca="false">IF(Q2642="","",Q2642*0.0980665)</f>
        <v/>
      </c>
      <c r="S2642" s="16" t="str">
        <f aca="false">IF(Q2642="","",IFERROR(Q2642/(1/(1/INDEX(CONFIG!$I$5:$I$14,MATCH(D2642,CONFIG!$D$5:$D$14,0)))),""))</f>
        <v/>
      </c>
      <c r="T2642" s="13"/>
      <c r="U2642" s="13"/>
      <c r="V2642" s="13"/>
      <c r="W2642" s="13"/>
      <c r="X2642" s="22" t="str">
        <f aca="false">IF(Q2642="","",Q2642^2)</f>
        <v/>
      </c>
      <c r="Y2642" s="22" t="str">
        <f aca="false">IF(AND(C2642&lt;&gt;"",C2642=CERTIFICADO!$E$4,OR(CERTIFICADO!$E$5="",B2642=CERTIFICADO!$E$5)),MAX($Y$4:Y2641)+1,"")</f>
        <v/>
      </c>
    </row>
    <row r="2643" customFormat="false" ht="15" hidden="false" customHeight="false" outlineLevel="0" collapsed="false">
      <c r="A2643" s="11" t="str">
        <f aca="false">IF(C2643="","",ROW()-4)</f>
        <v/>
      </c>
      <c r="B2643" s="12"/>
      <c r="C2643" s="13"/>
      <c r="D2643" s="23" t="str">
        <f aca="false">IF(C2643="","",IFERROR(INDEX(LOTES!$D$5:$D$1004,MATCH(C2643,LOTES!$F$5:$F$1004,0)),"¿Lote?"))</f>
        <v/>
      </c>
      <c r="E2643" s="11" t="str">
        <f aca="false">IF(C2643="","",IFERROR(INDEX(LOTES!$C$5:$C$1004,MATCH(C2643,LOTES!$F$5:$F$1004,0)),""))</f>
        <v/>
      </c>
      <c r="F2643" s="24" t="str">
        <f aca="false">IF(C2643="","",IFERROR(INDEX(LOTES!$B$5:$B$1004,MATCH(C2643,LOTES!$F$5:$F$1004,0)),""))</f>
        <v/>
      </c>
      <c r="G2643" s="15" t="str">
        <f aca="false">IF(OR(B2643="",F2643=""),"",B2643-F2643)</f>
        <v/>
      </c>
      <c r="H2643" s="13"/>
      <c r="I2643" s="13"/>
      <c r="J2643" s="13"/>
      <c r="K2643" s="25"/>
      <c r="L2643" s="25"/>
      <c r="M2643" s="25"/>
      <c r="N2643" s="25"/>
      <c r="O2643" s="26"/>
      <c r="P2643" s="16" t="str">
        <f aca="false">IF(O2643="","",IFERROR(1/(1/(IF(K2643="",INDEX(CONFIG!$F$5:$F$14,MATCH(D2643,CONFIG!$D$5:$D$14,0)),K2643)*IF(M2643="",INDEX(CONFIG!$H$5:$H$14,MATCH(D2643,CONFIG!$D$5:$D$14,0)),M2643))),""))</f>
        <v/>
      </c>
      <c r="Q2643" s="16" t="str">
        <f aca="false">IF(OR(O2643="",P2643=""),"",O2643/P2643)</f>
        <v/>
      </c>
      <c r="R2643" s="16" t="str">
        <f aca="false">IF(Q2643="","",Q2643*0.0980665)</f>
        <v/>
      </c>
      <c r="S2643" s="16" t="str">
        <f aca="false">IF(Q2643="","",IFERROR(Q2643/(1/(1/INDEX(CONFIG!$I$5:$I$14,MATCH(D2643,CONFIG!$D$5:$D$14,0)))),""))</f>
        <v/>
      </c>
      <c r="T2643" s="13"/>
      <c r="U2643" s="13"/>
      <c r="V2643" s="13"/>
      <c r="W2643" s="13"/>
      <c r="X2643" s="22" t="str">
        <f aca="false">IF(Q2643="","",Q2643^2)</f>
        <v/>
      </c>
      <c r="Y2643" s="22" t="str">
        <f aca="false">IF(AND(C2643&lt;&gt;"",C2643=CERTIFICADO!$E$4,OR(CERTIFICADO!$E$5="",B2643=CERTIFICADO!$E$5)),MAX($Y$4:Y2642)+1,"")</f>
        <v/>
      </c>
    </row>
    <row r="2644" customFormat="false" ht="15" hidden="false" customHeight="false" outlineLevel="0" collapsed="false">
      <c r="A2644" s="11" t="str">
        <f aca="false">IF(C2644="","",ROW()-4)</f>
        <v/>
      </c>
      <c r="B2644" s="12"/>
      <c r="C2644" s="13"/>
      <c r="D2644" s="23" t="str">
        <f aca="false">IF(C2644="","",IFERROR(INDEX(LOTES!$D$5:$D$1004,MATCH(C2644,LOTES!$F$5:$F$1004,0)),"¿Lote?"))</f>
        <v/>
      </c>
      <c r="E2644" s="11" t="str">
        <f aca="false">IF(C2644="","",IFERROR(INDEX(LOTES!$C$5:$C$1004,MATCH(C2644,LOTES!$F$5:$F$1004,0)),""))</f>
        <v/>
      </c>
      <c r="F2644" s="24" t="str">
        <f aca="false">IF(C2644="","",IFERROR(INDEX(LOTES!$B$5:$B$1004,MATCH(C2644,LOTES!$F$5:$F$1004,0)),""))</f>
        <v/>
      </c>
      <c r="G2644" s="15" t="str">
        <f aca="false">IF(OR(B2644="",F2644=""),"",B2644-F2644)</f>
        <v/>
      </c>
      <c r="H2644" s="13"/>
      <c r="I2644" s="13"/>
      <c r="J2644" s="13"/>
      <c r="K2644" s="25"/>
      <c r="L2644" s="25"/>
      <c r="M2644" s="25"/>
      <c r="N2644" s="25"/>
      <c r="O2644" s="26"/>
      <c r="P2644" s="16" t="str">
        <f aca="false">IF(O2644="","",IFERROR(1/(1/(IF(K2644="",INDEX(CONFIG!$F$5:$F$14,MATCH(D2644,CONFIG!$D$5:$D$14,0)),K2644)*IF(M2644="",INDEX(CONFIG!$H$5:$H$14,MATCH(D2644,CONFIG!$D$5:$D$14,0)),M2644))),""))</f>
        <v/>
      </c>
      <c r="Q2644" s="16" t="str">
        <f aca="false">IF(OR(O2644="",P2644=""),"",O2644/P2644)</f>
        <v/>
      </c>
      <c r="R2644" s="16" t="str">
        <f aca="false">IF(Q2644="","",Q2644*0.0980665)</f>
        <v/>
      </c>
      <c r="S2644" s="16" t="str">
        <f aca="false">IF(Q2644="","",IFERROR(Q2644/(1/(1/INDEX(CONFIG!$I$5:$I$14,MATCH(D2644,CONFIG!$D$5:$D$14,0)))),""))</f>
        <v/>
      </c>
      <c r="T2644" s="13"/>
      <c r="U2644" s="13"/>
      <c r="V2644" s="13"/>
      <c r="W2644" s="13"/>
      <c r="X2644" s="22" t="str">
        <f aca="false">IF(Q2644="","",Q2644^2)</f>
        <v/>
      </c>
      <c r="Y2644" s="22" t="str">
        <f aca="false">IF(AND(C2644&lt;&gt;"",C2644=CERTIFICADO!$E$4,OR(CERTIFICADO!$E$5="",B2644=CERTIFICADO!$E$5)),MAX($Y$4:Y2643)+1,"")</f>
        <v/>
      </c>
    </row>
    <row r="2645" customFormat="false" ht="15" hidden="false" customHeight="false" outlineLevel="0" collapsed="false">
      <c r="A2645" s="11" t="str">
        <f aca="false">IF(C2645="","",ROW()-4)</f>
        <v/>
      </c>
      <c r="B2645" s="12"/>
      <c r="C2645" s="13"/>
      <c r="D2645" s="23" t="str">
        <f aca="false">IF(C2645="","",IFERROR(INDEX(LOTES!$D$5:$D$1004,MATCH(C2645,LOTES!$F$5:$F$1004,0)),"¿Lote?"))</f>
        <v/>
      </c>
      <c r="E2645" s="11" t="str">
        <f aca="false">IF(C2645="","",IFERROR(INDEX(LOTES!$C$5:$C$1004,MATCH(C2645,LOTES!$F$5:$F$1004,0)),""))</f>
        <v/>
      </c>
      <c r="F2645" s="24" t="str">
        <f aca="false">IF(C2645="","",IFERROR(INDEX(LOTES!$B$5:$B$1004,MATCH(C2645,LOTES!$F$5:$F$1004,0)),""))</f>
        <v/>
      </c>
      <c r="G2645" s="15" t="str">
        <f aca="false">IF(OR(B2645="",F2645=""),"",B2645-F2645)</f>
        <v/>
      </c>
      <c r="H2645" s="13"/>
      <c r="I2645" s="13"/>
      <c r="J2645" s="13"/>
      <c r="K2645" s="25"/>
      <c r="L2645" s="25"/>
      <c r="M2645" s="25"/>
      <c r="N2645" s="25"/>
      <c r="O2645" s="26"/>
      <c r="P2645" s="16" t="str">
        <f aca="false">IF(O2645="","",IFERROR(1/(1/(IF(K2645="",INDEX(CONFIG!$F$5:$F$14,MATCH(D2645,CONFIG!$D$5:$D$14,0)),K2645)*IF(M2645="",INDEX(CONFIG!$H$5:$H$14,MATCH(D2645,CONFIG!$D$5:$D$14,0)),M2645))),""))</f>
        <v/>
      </c>
      <c r="Q2645" s="16" t="str">
        <f aca="false">IF(OR(O2645="",P2645=""),"",O2645/P2645)</f>
        <v/>
      </c>
      <c r="R2645" s="16" t="str">
        <f aca="false">IF(Q2645="","",Q2645*0.0980665)</f>
        <v/>
      </c>
      <c r="S2645" s="16" t="str">
        <f aca="false">IF(Q2645="","",IFERROR(Q2645/(1/(1/INDEX(CONFIG!$I$5:$I$14,MATCH(D2645,CONFIG!$D$5:$D$14,0)))),""))</f>
        <v/>
      </c>
      <c r="T2645" s="13"/>
      <c r="U2645" s="13"/>
      <c r="V2645" s="13"/>
      <c r="W2645" s="13"/>
      <c r="X2645" s="22" t="str">
        <f aca="false">IF(Q2645="","",Q2645^2)</f>
        <v/>
      </c>
      <c r="Y2645" s="22" t="str">
        <f aca="false">IF(AND(C2645&lt;&gt;"",C2645=CERTIFICADO!$E$4,OR(CERTIFICADO!$E$5="",B2645=CERTIFICADO!$E$5)),MAX($Y$4:Y2644)+1,"")</f>
        <v/>
      </c>
    </row>
    <row r="2646" customFormat="false" ht="15" hidden="false" customHeight="false" outlineLevel="0" collapsed="false">
      <c r="A2646" s="11" t="str">
        <f aca="false">IF(C2646="","",ROW()-4)</f>
        <v/>
      </c>
      <c r="B2646" s="12"/>
      <c r="C2646" s="13"/>
      <c r="D2646" s="23" t="str">
        <f aca="false">IF(C2646="","",IFERROR(INDEX(LOTES!$D$5:$D$1004,MATCH(C2646,LOTES!$F$5:$F$1004,0)),"¿Lote?"))</f>
        <v/>
      </c>
      <c r="E2646" s="11" t="str">
        <f aca="false">IF(C2646="","",IFERROR(INDEX(LOTES!$C$5:$C$1004,MATCH(C2646,LOTES!$F$5:$F$1004,0)),""))</f>
        <v/>
      </c>
      <c r="F2646" s="24" t="str">
        <f aca="false">IF(C2646="","",IFERROR(INDEX(LOTES!$B$5:$B$1004,MATCH(C2646,LOTES!$F$5:$F$1004,0)),""))</f>
        <v/>
      </c>
      <c r="G2646" s="15" t="str">
        <f aca="false">IF(OR(B2646="",F2646=""),"",B2646-F2646)</f>
        <v/>
      </c>
      <c r="H2646" s="13"/>
      <c r="I2646" s="13"/>
      <c r="J2646" s="13"/>
      <c r="K2646" s="25"/>
      <c r="L2646" s="25"/>
      <c r="M2646" s="25"/>
      <c r="N2646" s="25"/>
      <c r="O2646" s="26"/>
      <c r="P2646" s="16" t="str">
        <f aca="false">IF(O2646="","",IFERROR(1/(1/(IF(K2646="",INDEX(CONFIG!$F$5:$F$14,MATCH(D2646,CONFIG!$D$5:$D$14,0)),K2646)*IF(M2646="",INDEX(CONFIG!$H$5:$H$14,MATCH(D2646,CONFIG!$D$5:$D$14,0)),M2646))),""))</f>
        <v/>
      </c>
      <c r="Q2646" s="16" t="str">
        <f aca="false">IF(OR(O2646="",P2646=""),"",O2646/P2646)</f>
        <v/>
      </c>
      <c r="R2646" s="16" t="str">
        <f aca="false">IF(Q2646="","",Q2646*0.0980665)</f>
        <v/>
      </c>
      <c r="S2646" s="16" t="str">
        <f aca="false">IF(Q2646="","",IFERROR(Q2646/(1/(1/INDEX(CONFIG!$I$5:$I$14,MATCH(D2646,CONFIG!$D$5:$D$14,0)))),""))</f>
        <v/>
      </c>
      <c r="T2646" s="13"/>
      <c r="U2646" s="13"/>
      <c r="V2646" s="13"/>
      <c r="W2646" s="13"/>
      <c r="X2646" s="22" t="str">
        <f aca="false">IF(Q2646="","",Q2646^2)</f>
        <v/>
      </c>
      <c r="Y2646" s="22" t="str">
        <f aca="false">IF(AND(C2646&lt;&gt;"",C2646=CERTIFICADO!$E$4,OR(CERTIFICADO!$E$5="",B2646=CERTIFICADO!$E$5)),MAX($Y$4:Y2645)+1,"")</f>
        <v/>
      </c>
    </row>
    <row r="2647" customFormat="false" ht="15" hidden="false" customHeight="false" outlineLevel="0" collapsed="false">
      <c r="A2647" s="11" t="str">
        <f aca="false">IF(C2647="","",ROW()-4)</f>
        <v/>
      </c>
      <c r="B2647" s="12"/>
      <c r="C2647" s="13"/>
      <c r="D2647" s="23" t="str">
        <f aca="false">IF(C2647="","",IFERROR(INDEX(LOTES!$D$5:$D$1004,MATCH(C2647,LOTES!$F$5:$F$1004,0)),"¿Lote?"))</f>
        <v/>
      </c>
      <c r="E2647" s="11" t="str">
        <f aca="false">IF(C2647="","",IFERROR(INDEX(LOTES!$C$5:$C$1004,MATCH(C2647,LOTES!$F$5:$F$1004,0)),""))</f>
        <v/>
      </c>
      <c r="F2647" s="24" t="str">
        <f aca="false">IF(C2647="","",IFERROR(INDEX(LOTES!$B$5:$B$1004,MATCH(C2647,LOTES!$F$5:$F$1004,0)),""))</f>
        <v/>
      </c>
      <c r="G2647" s="15" t="str">
        <f aca="false">IF(OR(B2647="",F2647=""),"",B2647-F2647)</f>
        <v/>
      </c>
      <c r="H2647" s="13"/>
      <c r="I2647" s="13"/>
      <c r="J2647" s="13"/>
      <c r="K2647" s="25"/>
      <c r="L2647" s="25"/>
      <c r="M2647" s="25"/>
      <c r="N2647" s="25"/>
      <c r="O2647" s="26"/>
      <c r="P2647" s="16" t="str">
        <f aca="false">IF(O2647="","",IFERROR(1/(1/(IF(K2647="",INDEX(CONFIG!$F$5:$F$14,MATCH(D2647,CONFIG!$D$5:$D$14,0)),K2647)*IF(M2647="",INDEX(CONFIG!$H$5:$H$14,MATCH(D2647,CONFIG!$D$5:$D$14,0)),M2647))),""))</f>
        <v/>
      </c>
      <c r="Q2647" s="16" t="str">
        <f aca="false">IF(OR(O2647="",P2647=""),"",O2647/P2647)</f>
        <v/>
      </c>
      <c r="R2647" s="16" t="str">
        <f aca="false">IF(Q2647="","",Q2647*0.0980665)</f>
        <v/>
      </c>
      <c r="S2647" s="16" t="str">
        <f aca="false">IF(Q2647="","",IFERROR(Q2647/(1/(1/INDEX(CONFIG!$I$5:$I$14,MATCH(D2647,CONFIG!$D$5:$D$14,0)))),""))</f>
        <v/>
      </c>
      <c r="T2647" s="13"/>
      <c r="U2647" s="13"/>
      <c r="V2647" s="13"/>
      <c r="W2647" s="13"/>
      <c r="X2647" s="22" t="str">
        <f aca="false">IF(Q2647="","",Q2647^2)</f>
        <v/>
      </c>
      <c r="Y2647" s="22" t="str">
        <f aca="false">IF(AND(C2647&lt;&gt;"",C2647=CERTIFICADO!$E$4,OR(CERTIFICADO!$E$5="",B2647=CERTIFICADO!$E$5)),MAX($Y$4:Y2646)+1,"")</f>
        <v/>
      </c>
    </row>
    <row r="2648" customFormat="false" ht="15" hidden="false" customHeight="false" outlineLevel="0" collapsed="false">
      <c r="A2648" s="11" t="str">
        <f aca="false">IF(C2648="","",ROW()-4)</f>
        <v/>
      </c>
      <c r="B2648" s="12"/>
      <c r="C2648" s="13"/>
      <c r="D2648" s="23" t="str">
        <f aca="false">IF(C2648="","",IFERROR(INDEX(LOTES!$D$5:$D$1004,MATCH(C2648,LOTES!$F$5:$F$1004,0)),"¿Lote?"))</f>
        <v/>
      </c>
      <c r="E2648" s="11" t="str">
        <f aca="false">IF(C2648="","",IFERROR(INDEX(LOTES!$C$5:$C$1004,MATCH(C2648,LOTES!$F$5:$F$1004,0)),""))</f>
        <v/>
      </c>
      <c r="F2648" s="24" t="str">
        <f aca="false">IF(C2648="","",IFERROR(INDEX(LOTES!$B$5:$B$1004,MATCH(C2648,LOTES!$F$5:$F$1004,0)),""))</f>
        <v/>
      </c>
      <c r="G2648" s="15" t="str">
        <f aca="false">IF(OR(B2648="",F2648=""),"",B2648-F2648)</f>
        <v/>
      </c>
      <c r="H2648" s="13"/>
      <c r="I2648" s="13"/>
      <c r="J2648" s="13"/>
      <c r="K2648" s="25"/>
      <c r="L2648" s="25"/>
      <c r="M2648" s="25"/>
      <c r="N2648" s="25"/>
      <c r="O2648" s="26"/>
      <c r="P2648" s="16" t="str">
        <f aca="false">IF(O2648="","",IFERROR(1/(1/(IF(K2648="",INDEX(CONFIG!$F$5:$F$14,MATCH(D2648,CONFIG!$D$5:$D$14,0)),K2648)*IF(M2648="",INDEX(CONFIG!$H$5:$H$14,MATCH(D2648,CONFIG!$D$5:$D$14,0)),M2648))),""))</f>
        <v/>
      </c>
      <c r="Q2648" s="16" t="str">
        <f aca="false">IF(OR(O2648="",P2648=""),"",O2648/P2648)</f>
        <v/>
      </c>
      <c r="R2648" s="16" t="str">
        <f aca="false">IF(Q2648="","",Q2648*0.0980665)</f>
        <v/>
      </c>
      <c r="S2648" s="16" t="str">
        <f aca="false">IF(Q2648="","",IFERROR(Q2648/(1/(1/INDEX(CONFIG!$I$5:$I$14,MATCH(D2648,CONFIG!$D$5:$D$14,0)))),""))</f>
        <v/>
      </c>
      <c r="T2648" s="13"/>
      <c r="U2648" s="13"/>
      <c r="V2648" s="13"/>
      <c r="W2648" s="13"/>
      <c r="X2648" s="22" t="str">
        <f aca="false">IF(Q2648="","",Q2648^2)</f>
        <v/>
      </c>
      <c r="Y2648" s="22" t="str">
        <f aca="false">IF(AND(C2648&lt;&gt;"",C2648=CERTIFICADO!$E$4,OR(CERTIFICADO!$E$5="",B2648=CERTIFICADO!$E$5)),MAX($Y$4:Y2647)+1,"")</f>
        <v/>
      </c>
    </row>
    <row r="2649" customFormat="false" ht="15" hidden="false" customHeight="false" outlineLevel="0" collapsed="false">
      <c r="A2649" s="11" t="str">
        <f aca="false">IF(C2649="","",ROW()-4)</f>
        <v/>
      </c>
      <c r="B2649" s="12"/>
      <c r="C2649" s="13"/>
      <c r="D2649" s="23" t="str">
        <f aca="false">IF(C2649="","",IFERROR(INDEX(LOTES!$D$5:$D$1004,MATCH(C2649,LOTES!$F$5:$F$1004,0)),"¿Lote?"))</f>
        <v/>
      </c>
      <c r="E2649" s="11" t="str">
        <f aca="false">IF(C2649="","",IFERROR(INDEX(LOTES!$C$5:$C$1004,MATCH(C2649,LOTES!$F$5:$F$1004,0)),""))</f>
        <v/>
      </c>
      <c r="F2649" s="24" t="str">
        <f aca="false">IF(C2649="","",IFERROR(INDEX(LOTES!$B$5:$B$1004,MATCH(C2649,LOTES!$F$5:$F$1004,0)),""))</f>
        <v/>
      </c>
      <c r="G2649" s="15" t="str">
        <f aca="false">IF(OR(B2649="",F2649=""),"",B2649-F2649)</f>
        <v/>
      </c>
      <c r="H2649" s="13"/>
      <c r="I2649" s="13"/>
      <c r="J2649" s="13"/>
      <c r="K2649" s="25"/>
      <c r="L2649" s="25"/>
      <c r="M2649" s="25"/>
      <c r="N2649" s="25"/>
      <c r="O2649" s="26"/>
      <c r="P2649" s="16" t="str">
        <f aca="false">IF(O2649="","",IFERROR(1/(1/(IF(K2649="",INDEX(CONFIG!$F$5:$F$14,MATCH(D2649,CONFIG!$D$5:$D$14,0)),K2649)*IF(M2649="",INDEX(CONFIG!$H$5:$H$14,MATCH(D2649,CONFIG!$D$5:$D$14,0)),M2649))),""))</f>
        <v/>
      </c>
      <c r="Q2649" s="16" t="str">
        <f aca="false">IF(OR(O2649="",P2649=""),"",O2649/P2649)</f>
        <v/>
      </c>
      <c r="R2649" s="16" t="str">
        <f aca="false">IF(Q2649="","",Q2649*0.0980665)</f>
        <v/>
      </c>
      <c r="S2649" s="16" t="str">
        <f aca="false">IF(Q2649="","",IFERROR(Q2649/(1/(1/INDEX(CONFIG!$I$5:$I$14,MATCH(D2649,CONFIG!$D$5:$D$14,0)))),""))</f>
        <v/>
      </c>
      <c r="T2649" s="13"/>
      <c r="U2649" s="13"/>
      <c r="V2649" s="13"/>
      <c r="W2649" s="13"/>
      <c r="X2649" s="22" t="str">
        <f aca="false">IF(Q2649="","",Q2649^2)</f>
        <v/>
      </c>
      <c r="Y2649" s="22" t="str">
        <f aca="false">IF(AND(C2649&lt;&gt;"",C2649=CERTIFICADO!$E$4,OR(CERTIFICADO!$E$5="",B2649=CERTIFICADO!$E$5)),MAX($Y$4:Y2648)+1,"")</f>
        <v/>
      </c>
    </row>
    <row r="2650" customFormat="false" ht="15" hidden="false" customHeight="false" outlineLevel="0" collapsed="false">
      <c r="A2650" s="11" t="str">
        <f aca="false">IF(C2650="","",ROW()-4)</f>
        <v/>
      </c>
      <c r="B2650" s="12"/>
      <c r="C2650" s="13"/>
      <c r="D2650" s="23" t="str">
        <f aca="false">IF(C2650="","",IFERROR(INDEX(LOTES!$D$5:$D$1004,MATCH(C2650,LOTES!$F$5:$F$1004,0)),"¿Lote?"))</f>
        <v/>
      </c>
      <c r="E2650" s="11" t="str">
        <f aca="false">IF(C2650="","",IFERROR(INDEX(LOTES!$C$5:$C$1004,MATCH(C2650,LOTES!$F$5:$F$1004,0)),""))</f>
        <v/>
      </c>
      <c r="F2650" s="24" t="str">
        <f aca="false">IF(C2650="","",IFERROR(INDEX(LOTES!$B$5:$B$1004,MATCH(C2650,LOTES!$F$5:$F$1004,0)),""))</f>
        <v/>
      </c>
      <c r="G2650" s="15" t="str">
        <f aca="false">IF(OR(B2650="",F2650=""),"",B2650-F2650)</f>
        <v/>
      </c>
      <c r="H2650" s="13"/>
      <c r="I2650" s="13"/>
      <c r="J2650" s="13"/>
      <c r="K2650" s="25"/>
      <c r="L2650" s="25"/>
      <c r="M2650" s="25"/>
      <c r="N2650" s="25"/>
      <c r="O2650" s="26"/>
      <c r="P2650" s="16" t="str">
        <f aca="false">IF(O2650="","",IFERROR(1/(1/(IF(K2650="",INDEX(CONFIG!$F$5:$F$14,MATCH(D2650,CONFIG!$D$5:$D$14,0)),K2650)*IF(M2650="",INDEX(CONFIG!$H$5:$H$14,MATCH(D2650,CONFIG!$D$5:$D$14,0)),M2650))),""))</f>
        <v/>
      </c>
      <c r="Q2650" s="16" t="str">
        <f aca="false">IF(OR(O2650="",P2650=""),"",O2650/P2650)</f>
        <v/>
      </c>
      <c r="R2650" s="16" t="str">
        <f aca="false">IF(Q2650="","",Q2650*0.0980665)</f>
        <v/>
      </c>
      <c r="S2650" s="16" t="str">
        <f aca="false">IF(Q2650="","",IFERROR(Q2650/(1/(1/INDEX(CONFIG!$I$5:$I$14,MATCH(D2650,CONFIG!$D$5:$D$14,0)))),""))</f>
        <v/>
      </c>
      <c r="T2650" s="13"/>
      <c r="U2650" s="13"/>
      <c r="V2650" s="13"/>
      <c r="W2650" s="13"/>
      <c r="X2650" s="22" t="str">
        <f aca="false">IF(Q2650="","",Q2650^2)</f>
        <v/>
      </c>
      <c r="Y2650" s="22" t="str">
        <f aca="false">IF(AND(C2650&lt;&gt;"",C2650=CERTIFICADO!$E$4,OR(CERTIFICADO!$E$5="",B2650=CERTIFICADO!$E$5)),MAX($Y$4:Y2649)+1,"")</f>
        <v/>
      </c>
    </row>
    <row r="2651" customFormat="false" ht="15" hidden="false" customHeight="false" outlineLevel="0" collapsed="false">
      <c r="A2651" s="11" t="str">
        <f aca="false">IF(C2651="","",ROW()-4)</f>
        <v/>
      </c>
      <c r="B2651" s="12"/>
      <c r="C2651" s="13"/>
      <c r="D2651" s="23" t="str">
        <f aca="false">IF(C2651="","",IFERROR(INDEX(LOTES!$D$5:$D$1004,MATCH(C2651,LOTES!$F$5:$F$1004,0)),"¿Lote?"))</f>
        <v/>
      </c>
      <c r="E2651" s="11" t="str">
        <f aca="false">IF(C2651="","",IFERROR(INDEX(LOTES!$C$5:$C$1004,MATCH(C2651,LOTES!$F$5:$F$1004,0)),""))</f>
        <v/>
      </c>
      <c r="F2651" s="24" t="str">
        <f aca="false">IF(C2651="","",IFERROR(INDEX(LOTES!$B$5:$B$1004,MATCH(C2651,LOTES!$F$5:$F$1004,0)),""))</f>
        <v/>
      </c>
      <c r="G2651" s="15" t="str">
        <f aca="false">IF(OR(B2651="",F2651=""),"",B2651-F2651)</f>
        <v/>
      </c>
      <c r="H2651" s="13"/>
      <c r="I2651" s="13"/>
      <c r="J2651" s="13"/>
      <c r="K2651" s="25"/>
      <c r="L2651" s="25"/>
      <c r="M2651" s="25"/>
      <c r="N2651" s="25"/>
      <c r="O2651" s="26"/>
      <c r="P2651" s="16" t="str">
        <f aca="false">IF(O2651="","",IFERROR(1/(1/(IF(K2651="",INDEX(CONFIG!$F$5:$F$14,MATCH(D2651,CONFIG!$D$5:$D$14,0)),K2651)*IF(M2651="",INDEX(CONFIG!$H$5:$H$14,MATCH(D2651,CONFIG!$D$5:$D$14,0)),M2651))),""))</f>
        <v/>
      </c>
      <c r="Q2651" s="16" t="str">
        <f aca="false">IF(OR(O2651="",P2651=""),"",O2651/P2651)</f>
        <v/>
      </c>
      <c r="R2651" s="16" t="str">
        <f aca="false">IF(Q2651="","",Q2651*0.0980665)</f>
        <v/>
      </c>
      <c r="S2651" s="16" t="str">
        <f aca="false">IF(Q2651="","",IFERROR(Q2651/(1/(1/INDEX(CONFIG!$I$5:$I$14,MATCH(D2651,CONFIG!$D$5:$D$14,0)))),""))</f>
        <v/>
      </c>
      <c r="T2651" s="13"/>
      <c r="U2651" s="13"/>
      <c r="V2651" s="13"/>
      <c r="W2651" s="13"/>
      <c r="X2651" s="22" t="str">
        <f aca="false">IF(Q2651="","",Q2651^2)</f>
        <v/>
      </c>
      <c r="Y2651" s="22" t="str">
        <f aca="false">IF(AND(C2651&lt;&gt;"",C2651=CERTIFICADO!$E$4,OR(CERTIFICADO!$E$5="",B2651=CERTIFICADO!$E$5)),MAX($Y$4:Y2650)+1,"")</f>
        <v/>
      </c>
    </row>
    <row r="2652" customFormat="false" ht="15" hidden="false" customHeight="false" outlineLevel="0" collapsed="false">
      <c r="A2652" s="11" t="str">
        <f aca="false">IF(C2652="","",ROW()-4)</f>
        <v/>
      </c>
      <c r="B2652" s="12"/>
      <c r="C2652" s="13"/>
      <c r="D2652" s="23" t="str">
        <f aca="false">IF(C2652="","",IFERROR(INDEX(LOTES!$D$5:$D$1004,MATCH(C2652,LOTES!$F$5:$F$1004,0)),"¿Lote?"))</f>
        <v/>
      </c>
      <c r="E2652" s="11" t="str">
        <f aca="false">IF(C2652="","",IFERROR(INDEX(LOTES!$C$5:$C$1004,MATCH(C2652,LOTES!$F$5:$F$1004,0)),""))</f>
        <v/>
      </c>
      <c r="F2652" s="24" t="str">
        <f aca="false">IF(C2652="","",IFERROR(INDEX(LOTES!$B$5:$B$1004,MATCH(C2652,LOTES!$F$5:$F$1004,0)),""))</f>
        <v/>
      </c>
      <c r="G2652" s="15" t="str">
        <f aca="false">IF(OR(B2652="",F2652=""),"",B2652-F2652)</f>
        <v/>
      </c>
      <c r="H2652" s="13"/>
      <c r="I2652" s="13"/>
      <c r="J2652" s="13"/>
      <c r="K2652" s="25"/>
      <c r="L2652" s="25"/>
      <c r="M2652" s="25"/>
      <c r="N2652" s="25"/>
      <c r="O2652" s="26"/>
      <c r="P2652" s="16" t="str">
        <f aca="false">IF(O2652="","",IFERROR(1/(1/(IF(K2652="",INDEX(CONFIG!$F$5:$F$14,MATCH(D2652,CONFIG!$D$5:$D$14,0)),K2652)*IF(M2652="",INDEX(CONFIG!$H$5:$H$14,MATCH(D2652,CONFIG!$D$5:$D$14,0)),M2652))),""))</f>
        <v/>
      </c>
      <c r="Q2652" s="16" t="str">
        <f aca="false">IF(OR(O2652="",P2652=""),"",O2652/P2652)</f>
        <v/>
      </c>
      <c r="R2652" s="16" t="str">
        <f aca="false">IF(Q2652="","",Q2652*0.0980665)</f>
        <v/>
      </c>
      <c r="S2652" s="16" t="str">
        <f aca="false">IF(Q2652="","",IFERROR(Q2652/(1/(1/INDEX(CONFIG!$I$5:$I$14,MATCH(D2652,CONFIG!$D$5:$D$14,0)))),""))</f>
        <v/>
      </c>
      <c r="T2652" s="13"/>
      <c r="U2652" s="13"/>
      <c r="V2652" s="13"/>
      <c r="W2652" s="13"/>
      <c r="X2652" s="22" t="str">
        <f aca="false">IF(Q2652="","",Q2652^2)</f>
        <v/>
      </c>
      <c r="Y2652" s="22" t="str">
        <f aca="false">IF(AND(C2652&lt;&gt;"",C2652=CERTIFICADO!$E$4,OR(CERTIFICADO!$E$5="",B2652=CERTIFICADO!$E$5)),MAX($Y$4:Y2651)+1,"")</f>
        <v/>
      </c>
    </row>
    <row r="2653" customFormat="false" ht="15" hidden="false" customHeight="false" outlineLevel="0" collapsed="false">
      <c r="A2653" s="11" t="str">
        <f aca="false">IF(C2653="","",ROW()-4)</f>
        <v/>
      </c>
      <c r="B2653" s="12"/>
      <c r="C2653" s="13"/>
      <c r="D2653" s="23" t="str">
        <f aca="false">IF(C2653="","",IFERROR(INDEX(LOTES!$D$5:$D$1004,MATCH(C2653,LOTES!$F$5:$F$1004,0)),"¿Lote?"))</f>
        <v/>
      </c>
      <c r="E2653" s="11" t="str">
        <f aca="false">IF(C2653="","",IFERROR(INDEX(LOTES!$C$5:$C$1004,MATCH(C2653,LOTES!$F$5:$F$1004,0)),""))</f>
        <v/>
      </c>
      <c r="F2653" s="24" t="str">
        <f aca="false">IF(C2653="","",IFERROR(INDEX(LOTES!$B$5:$B$1004,MATCH(C2653,LOTES!$F$5:$F$1004,0)),""))</f>
        <v/>
      </c>
      <c r="G2653" s="15" t="str">
        <f aca="false">IF(OR(B2653="",F2653=""),"",B2653-F2653)</f>
        <v/>
      </c>
      <c r="H2653" s="13"/>
      <c r="I2653" s="13"/>
      <c r="J2653" s="13"/>
      <c r="K2653" s="25"/>
      <c r="L2653" s="25"/>
      <c r="M2653" s="25"/>
      <c r="N2653" s="25"/>
      <c r="O2653" s="26"/>
      <c r="P2653" s="16" t="str">
        <f aca="false">IF(O2653="","",IFERROR(1/(1/(IF(K2653="",INDEX(CONFIG!$F$5:$F$14,MATCH(D2653,CONFIG!$D$5:$D$14,0)),K2653)*IF(M2653="",INDEX(CONFIG!$H$5:$H$14,MATCH(D2653,CONFIG!$D$5:$D$14,0)),M2653))),""))</f>
        <v/>
      </c>
      <c r="Q2653" s="16" t="str">
        <f aca="false">IF(OR(O2653="",P2653=""),"",O2653/P2653)</f>
        <v/>
      </c>
      <c r="R2653" s="16" t="str">
        <f aca="false">IF(Q2653="","",Q2653*0.0980665)</f>
        <v/>
      </c>
      <c r="S2653" s="16" t="str">
        <f aca="false">IF(Q2653="","",IFERROR(Q2653/(1/(1/INDEX(CONFIG!$I$5:$I$14,MATCH(D2653,CONFIG!$D$5:$D$14,0)))),""))</f>
        <v/>
      </c>
      <c r="T2653" s="13"/>
      <c r="U2653" s="13"/>
      <c r="V2653" s="13"/>
      <c r="W2653" s="13"/>
      <c r="X2653" s="22" t="str">
        <f aca="false">IF(Q2653="","",Q2653^2)</f>
        <v/>
      </c>
      <c r="Y2653" s="22" t="str">
        <f aca="false">IF(AND(C2653&lt;&gt;"",C2653=CERTIFICADO!$E$4,OR(CERTIFICADO!$E$5="",B2653=CERTIFICADO!$E$5)),MAX($Y$4:Y2652)+1,"")</f>
        <v/>
      </c>
    </row>
    <row r="2654" customFormat="false" ht="15" hidden="false" customHeight="false" outlineLevel="0" collapsed="false">
      <c r="A2654" s="11" t="str">
        <f aca="false">IF(C2654="","",ROW()-4)</f>
        <v/>
      </c>
      <c r="B2654" s="12"/>
      <c r="C2654" s="13"/>
      <c r="D2654" s="23" t="str">
        <f aca="false">IF(C2654="","",IFERROR(INDEX(LOTES!$D$5:$D$1004,MATCH(C2654,LOTES!$F$5:$F$1004,0)),"¿Lote?"))</f>
        <v/>
      </c>
      <c r="E2654" s="11" t="str">
        <f aca="false">IF(C2654="","",IFERROR(INDEX(LOTES!$C$5:$C$1004,MATCH(C2654,LOTES!$F$5:$F$1004,0)),""))</f>
        <v/>
      </c>
      <c r="F2654" s="24" t="str">
        <f aca="false">IF(C2654="","",IFERROR(INDEX(LOTES!$B$5:$B$1004,MATCH(C2654,LOTES!$F$5:$F$1004,0)),""))</f>
        <v/>
      </c>
      <c r="G2654" s="15" t="str">
        <f aca="false">IF(OR(B2654="",F2654=""),"",B2654-F2654)</f>
        <v/>
      </c>
      <c r="H2654" s="13"/>
      <c r="I2654" s="13"/>
      <c r="J2654" s="13"/>
      <c r="K2654" s="25"/>
      <c r="L2654" s="25"/>
      <c r="M2654" s="25"/>
      <c r="N2654" s="25"/>
      <c r="O2654" s="26"/>
      <c r="P2654" s="16" t="str">
        <f aca="false">IF(O2654="","",IFERROR(1/(1/(IF(K2654="",INDEX(CONFIG!$F$5:$F$14,MATCH(D2654,CONFIG!$D$5:$D$14,0)),K2654)*IF(M2654="",INDEX(CONFIG!$H$5:$H$14,MATCH(D2654,CONFIG!$D$5:$D$14,0)),M2654))),""))</f>
        <v/>
      </c>
      <c r="Q2654" s="16" t="str">
        <f aca="false">IF(OR(O2654="",P2654=""),"",O2654/P2654)</f>
        <v/>
      </c>
      <c r="R2654" s="16" t="str">
        <f aca="false">IF(Q2654="","",Q2654*0.0980665)</f>
        <v/>
      </c>
      <c r="S2654" s="16" t="str">
        <f aca="false">IF(Q2654="","",IFERROR(Q2654/(1/(1/INDEX(CONFIG!$I$5:$I$14,MATCH(D2654,CONFIG!$D$5:$D$14,0)))),""))</f>
        <v/>
      </c>
      <c r="T2654" s="13"/>
      <c r="U2654" s="13"/>
      <c r="V2654" s="13"/>
      <c r="W2654" s="13"/>
      <c r="X2654" s="22" t="str">
        <f aca="false">IF(Q2654="","",Q2654^2)</f>
        <v/>
      </c>
      <c r="Y2654" s="22" t="str">
        <f aca="false">IF(AND(C2654&lt;&gt;"",C2654=CERTIFICADO!$E$4,OR(CERTIFICADO!$E$5="",B2654=CERTIFICADO!$E$5)),MAX($Y$4:Y2653)+1,"")</f>
        <v/>
      </c>
    </row>
    <row r="2655" customFormat="false" ht="15" hidden="false" customHeight="false" outlineLevel="0" collapsed="false">
      <c r="A2655" s="11" t="str">
        <f aca="false">IF(C2655="","",ROW()-4)</f>
        <v/>
      </c>
      <c r="B2655" s="12"/>
      <c r="C2655" s="13"/>
      <c r="D2655" s="23" t="str">
        <f aca="false">IF(C2655="","",IFERROR(INDEX(LOTES!$D$5:$D$1004,MATCH(C2655,LOTES!$F$5:$F$1004,0)),"¿Lote?"))</f>
        <v/>
      </c>
      <c r="E2655" s="11" t="str">
        <f aca="false">IF(C2655="","",IFERROR(INDEX(LOTES!$C$5:$C$1004,MATCH(C2655,LOTES!$F$5:$F$1004,0)),""))</f>
        <v/>
      </c>
      <c r="F2655" s="24" t="str">
        <f aca="false">IF(C2655="","",IFERROR(INDEX(LOTES!$B$5:$B$1004,MATCH(C2655,LOTES!$F$5:$F$1004,0)),""))</f>
        <v/>
      </c>
      <c r="G2655" s="15" t="str">
        <f aca="false">IF(OR(B2655="",F2655=""),"",B2655-F2655)</f>
        <v/>
      </c>
      <c r="H2655" s="13"/>
      <c r="I2655" s="13"/>
      <c r="J2655" s="13"/>
      <c r="K2655" s="25"/>
      <c r="L2655" s="25"/>
      <c r="M2655" s="25"/>
      <c r="N2655" s="25"/>
      <c r="O2655" s="26"/>
      <c r="P2655" s="16" t="str">
        <f aca="false">IF(O2655="","",IFERROR(1/(1/(IF(K2655="",INDEX(CONFIG!$F$5:$F$14,MATCH(D2655,CONFIG!$D$5:$D$14,0)),K2655)*IF(M2655="",INDEX(CONFIG!$H$5:$H$14,MATCH(D2655,CONFIG!$D$5:$D$14,0)),M2655))),""))</f>
        <v/>
      </c>
      <c r="Q2655" s="16" t="str">
        <f aca="false">IF(OR(O2655="",P2655=""),"",O2655/P2655)</f>
        <v/>
      </c>
      <c r="R2655" s="16" t="str">
        <f aca="false">IF(Q2655="","",Q2655*0.0980665)</f>
        <v/>
      </c>
      <c r="S2655" s="16" t="str">
        <f aca="false">IF(Q2655="","",IFERROR(Q2655/(1/(1/INDEX(CONFIG!$I$5:$I$14,MATCH(D2655,CONFIG!$D$5:$D$14,0)))),""))</f>
        <v/>
      </c>
      <c r="T2655" s="13"/>
      <c r="U2655" s="13"/>
      <c r="V2655" s="13"/>
      <c r="W2655" s="13"/>
      <c r="X2655" s="22" t="str">
        <f aca="false">IF(Q2655="","",Q2655^2)</f>
        <v/>
      </c>
      <c r="Y2655" s="22" t="str">
        <f aca="false">IF(AND(C2655&lt;&gt;"",C2655=CERTIFICADO!$E$4,OR(CERTIFICADO!$E$5="",B2655=CERTIFICADO!$E$5)),MAX($Y$4:Y2654)+1,"")</f>
        <v/>
      </c>
    </row>
    <row r="2656" customFormat="false" ht="15" hidden="false" customHeight="false" outlineLevel="0" collapsed="false">
      <c r="A2656" s="11" t="str">
        <f aca="false">IF(C2656="","",ROW()-4)</f>
        <v/>
      </c>
      <c r="B2656" s="12"/>
      <c r="C2656" s="13"/>
      <c r="D2656" s="23" t="str">
        <f aca="false">IF(C2656="","",IFERROR(INDEX(LOTES!$D$5:$D$1004,MATCH(C2656,LOTES!$F$5:$F$1004,0)),"¿Lote?"))</f>
        <v/>
      </c>
      <c r="E2656" s="11" t="str">
        <f aca="false">IF(C2656="","",IFERROR(INDEX(LOTES!$C$5:$C$1004,MATCH(C2656,LOTES!$F$5:$F$1004,0)),""))</f>
        <v/>
      </c>
      <c r="F2656" s="24" t="str">
        <f aca="false">IF(C2656="","",IFERROR(INDEX(LOTES!$B$5:$B$1004,MATCH(C2656,LOTES!$F$5:$F$1004,0)),""))</f>
        <v/>
      </c>
      <c r="G2656" s="15" t="str">
        <f aca="false">IF(OR(B2656="",F2656=""),"",B2656-F2656)</f>
        <v/>
      </c>
      <c r="H2656" s="13"/>
      <c r="I2656" s="13"/>
      <c r="J2656" s="13"/>
      <c r="K2656" s="25"/>
      <c r="L2656" s="25"/>
      <c r="M2656" s="25"/>
      <c r="N2656" s="25"/>
      <c r="O2656" s="26"/>
      <c r="P2656" s="16" t="str">
        <f aca="false">IF(O2656="","",IFERROR(1/(1/(IF(K2656="",INDEX(CONFIG!$F$5:$F$14,MATCH(D2656,CONFIG!$D$5:$D$14,0)),K2656)*IF(M2656="",INDEX(CONFIG!$H$5:$H$14,MATCH(D2656,CONFIG!$D$5:$D$14,0)),M2656))),""))</f>
        <v/>
      </c>
      <c r="Q2656" s="16" t="str">
        <f aca="false">IF(OR(O2656="",P2656=""),"",O2656/P2656)</f>
        <v/>
      </c>
      <c r="R2656" s="16" t="str">
        <f aca="false">IF(Q2656="","",Q2656*0.0980665)</f>
        <v/>
      </c>
      <c r="S2656" s="16" t="str">
        <f aca="false">IF(Q2656="","",IFERROR(Q2656/(1/(1/INDEX(CONFIG!$I$5:$I$14,MATCH(D2656,CONFIG!$D$5:$D$14,0)))),""))</f>
        <v/>
      </c>
      <c r="T2656" s="13"/>
      <c r="U2656" s="13"/>
      <c r="V2656" s="13"/>
      <c r="W2656" s="13"/>
      <c r="X2656" s="22" t="str">
        <f aca="false">IF(Q2656="","",Q2656^2)</f>
        <v/>
      </c>
      <c r="Y2656" s="22" t="str">
        <f aca="false">IF(AND(C2656&lt;&gt;"",C2656=CERTIFICADO!$E$4,OR(CERTIFICADO!$E$5="",B2656=CERTIFICADO!$E$5)),MAX($Y$4:Y2655)+1,"")</f>
        <v/>
      </c>
    </row>
    <row r="2657" customFormat="false" ht="15" hidden="false" customHeight="false" outlineLevel="0" collapsed="false">
      <c r="A2657" s="11" t="str">
        <f aca="false">IF(C2657="","",ROW()-4)</f>
        <v/>
      </c>
      <c r="B2657" s="12"/>
      <c r="C2657" s="13"/>
      <c r="D2657" s="23" t="str">
        <f aca="false">IF(C2657="","",IFERROR(INDEX(LOTES!$D$5:$D$1004,MATCH(C2657,LOTES!$F$5:$F$1004,0)),"¿Lote?"))</f>
        <v/>
      </c>
      <c r="E2657" s="11" t="str">
        <f aca="false">IF(C2657="","",IFERROR(INDEX(LOTES!$C$5:$C$1004,MATCH(C2657,LOTES!$F$5:$F$1004,0)),""))</f>
        <v/>
      </c>
      <c r="F2657" s="24" t="str">
        <f aca="false">IF(C2657="","",IFERROR(INDEX(LOTES!$B$5:$B$1004,MATCH(C2657,LOTES!$F$5:$F$1004,0)),""))</f>
        <v/>
      </c>
      <c r="G2657" s="15" t="str">
        <f aca="false">IF(OR(B2657="",F2657=""),"",B2657-F2657)</f>
        <v/>
      </c>
      <c r="H2657" s="13"/>
      <c r="I2657" s="13"/>
      <c r="J2657" s="13"/>
      <c r="K2657" s="25"/>
      <c r="L2657" s="25"/>
      <c r="M2657" s="25"/>
      <c r="N2657" s="25"/>
      <c r="O2657" s="26"/>
      <c r="P2657" s="16" t="str">
        <f aca="false">IF(O2657="","",IFERROR(1/(1/(IF(K2657="",INDEX(CONFIG!$F$5:$F$14,MATCH(D2657,CONFIG!$D$5:$D$14,0)),K2657)*IF(M2657="",INDEX(CONFIG!$H$5:$H$14,MATCH(D2657,CONFIG!$D$5:$D$14,0)),M2657))),""))</f>
        <v/>
      </c>
      <c r="Q2657" s="16" t="str">
        <f aca="false">IF(OR(O2657="",P2657=""),"",O2657/P2657)</f>
        <v/>
      </c>
      <c r="R2657" s="16" t="str">
        <f aca="false">IF(Q2657="","",Q2657*0.0980665)</f>
        <v/>
      </c>
      <c r="S2657" s="16" t="str">
        <f aca="false">IF(Q2657="","",IFERROR(Q2657/(1/(1/INDEX(CONFIG!$I$5:$I$14,MATCH(D2657,CONFIG!$D$5:$D$14,0)))),""))</f>
        <v/>
      </c>
      <c r="T2657" s="13"/>
      <c r="U2657" s="13"/>
      <c r="V2657" s="13"/>
      <c r="W2657" s="13"/>
      <c r="X2657" s="22" t="str">
        <f aca="false">IF(Q2657="","",Q2657^2)</f>
        <v/>
      </c>
      <c r="Y2657" s="22" t="str">
        <f aca="false">IF(AND(C2657&lt;&gt;"",C2657=CERTIFICADO!$E$4,OR(CERTIFICADO!$E$5="",B2657=CERTIFICADO!$E$5)),MAX($Y$4:Y2656)+1,"")</f>
        <v/>
      </c>
    </row>
    <row r="2658" customFormat="false" ht="15" hidden="false" customHeight="false" outlineLevel="0" collapsed="false">
      <c r="A2658" s="11" t="str">
        <f aca="false">IF(C2658="","",ROW()-4)</f>
        <v/>
      </c>
      <c r="B2658" s="12"/>
      <c r="C2658" s="13"/>
      <c r="D2658" s="23" t="str">
        <f aca="false">IF(C2658="","",IFERROR(INDEX(LOTES!$D$5:$D$1004,MATCH(C2658,LOTES!$F$5:$F$1004,0)),"¿Lote?"))</f>
        <v/>
      </c>
      <c r="E2658" s="11" t="str">
        <f aca="false">IF(C2658="","",IFERROR(INDEX(LOTES!$C$5:$C$1004,MATCH(C2658,LOTES!$F$5:$F$1004,0)),""))</f>
        <v/>
      </c>
      <c r="F2658" s="24" t="str">
        <f aca="false">IF(C2658="","",IFERROR(INDEX(LOTES!$B$5:$B$1004,MATCH(C2658,LOTES!$F$5:$F$1004,0)),""))</f>
        <v/>
      </c>
      <c r="G2658" s="15" t="str">
        <f aca="false">IF(OR(B2658="",F2658=""),"",B2658-F2658)</f>
        <v/>
      </c>
      <c r="H2658" s="13"/>
      <c r="I2658" s="13"/>
      <c r="J2658" s="13"/>
      <c r="K2658" s="25"/>
      <c r="L2658" s="25"/>
      <c r="M2658" s="25"/>
      <c r="N2658" s="25"/>
      <c r="O2658" s="26"/>
      <c r="P2658" s="16" t="str">
        <f aca="false">IF(O2658="","",IFERROR(1/(1/(IF(K2658="",INDEX(CONFIG!$F$5:$F$14,MATCH(D2658,CONFIG!$D$5:$D$14,0)),K2658)*IF(M2658="",INDEX(CONFIG!$H$5:$H$14,MATCH(D2658,CONFIG!$D$5:$D$14,0)),M2658))),""))</f>
        <v/>
      </c>
      <c r="Q2658" s="16" t="str">
        <f aca="false">IF(OR(O2658="",P2658=""),"",O2658/P2658)</f>
        <v/>
      </c>
      <c r="R2658" s="16" t="str">
        <f aca="false">IF(Q2658="","",Q2658*0.0980665)</f>
        <v/>
      </c>
      <c r="S2658" s="16" t="str">
        <f aca="false">IF(Q2658="","",IFERROR(Q2658/(1/(1/INDEX(CONFIG!$I$5:$I$14,MATCH(D2658,CONFIG!$D$5:$D$14,0)))),""))</f>
        <v/>
      </c>
      <c r="T2658" s="13"/>
      <c r="U2658" s="13"/>
      <c r="V2658" s="13"/>
      <c r="W2658" s="13"/>
      <c r="X2658" s="22" t="str">
        <f aca="false">IF(Q2658="","",Q2658^2)</f>
        <v/>
      </c>
      <c r="Y2658" s="22" t="str">
        <f aca="false">IF(AND(C2658&lt;&gt;"",C2658=CERTIFICADO!$E$4,OR(CERTIFICADO!$E$5="",B2658=CERTIFICADO!$E$5)),MAX($Y$4:Y2657)+1,"")</f>
        <v/>
      </c>
    </row>
    <row r="2659" customFormat="false" ht="15" hidden="false" customHeight="false" outlineLevel="0" collapsed="false">
      <c r="A2659" s="11" t="str">
        <f aca="false">IF(C2659="","",ROW()-4)</f>
        <v/>
      </c>
      <c r="B2659" s="12"/>
      <c r="C2659" s="13"/>
      <c r="D2659" s="23" t="str">
        <f aca="false">IF(C2659="","",IFERROR(INDEX(LOTES!$D$5:$D$1004,MATCH(C2659,LOTES!$F$5:$F$1004,0)),"¿Lote?"))</f>
        <v/>
      </c>
      <c r="E2659" s="11" t="str">
        <f aca="false">IF(C2659="","",IFERROR(INDEX(LOTES!$C$5:$C$1004,MATCH(C2659,LOTES!$F$5:$F$1004,0)),""))</f>
        <v/>
      </c>
      <c r="F2659" s="24" t="str">
        <f aca="false">IF(C2659="","",IFERROR(INDEX(LOTES!$B$5:$B$1004,MATCH(C2659,LOTES!$F$5:$F$1004,0)),""))</f>
        <v/>
      </c>
      <c r="G2659" s="15" t="str">
        <f aca="false">IF(OR(B2659="",F2659=""),"",B2659-F2659)</f>
        <v/>
      </c>
      <c r="H2659" s="13"/>
      <c r="I2659" s="13"/>
      <c r="J2659" s="13"/>
      <c r="K2659" s="25"/>
      <c r="L2659" s="25"/>
      <c r="M2659" s="25"/>
      <c r="N2659" s="25"/>
      <c r="O2659" s="26"/>
      <c r="P2659" s="16" t="str">
        <f aca="false">IF(O2659="","",IFERROR(1/(1/(IF(K2659="",INDEX(CONFIG!$F$5:$F$14,MATCH(D2659,CONFIG!$D$5:$D$14,0)),K2659)*IF(M2659="",INDEX(CONFIG!$H$5:$H$14,MATCH(D2659,CONFIG!$D$5:$D$14,0)),M2659))),""))</f>
        <v/>
      </c>
      <c r="Q2659" s="16" t="str">
        <f aca="false">IF(OR(O2659="",P2659=""),"",O2659/P2659)</f>
        <v/>
      </c>
      <c r="R2659" s="16" t="str">
        <f aca="false">IF(Q2659="","",Q2659*0.0980665)</f>
        <v/>
      </c>
      <c r="S2659" s="16" t="str">
        <f aca="false">IF(Q2659="","",IFERROR(Q2659/(1/(1/INDEX(CONFIG!$I$5:$I$14,MATCH(D2659,CONFIG!$D$5:$D$14,0)))),""))</f>
        <v/>
      </c>
      <c r="T2659" s="13"/>
      <c r="U2659" s="13"/>
      <c r="V2659" s="13"/>
      <c r="W2659" s="13"/>
      <c r="X2659" s="22" t="str">
        <f aca="false">IF(Q2659="","",Q2659^2)</f>
        <v/>
      </c>
      <c r="Y2659" s="22" t="str">
        <f aca="false">IF(AND(C2659&lt;&gt;"",C2659=CERTIFICADO!$E$4,OR(CERTIFICADO!$E$5="",B2659=CERTIFICADO!$E$5)),MAX($Y$4:Y2658)+1,"")</f>
        <v/>
      </c>
    </row>
    <row r="2660" customFormat="false" ht="15" hidden="false" customHeight="false" outlineLevel="0" collapsed="false">
      <c r="A2660" s="11" t="str">
        <f aca="false">IF(C2660="","",ROW()-4)</f>
        <v/>
      </c>
      <c r="B2660" s="12"/>
      <c r="C2660" s="13"/>
      <c r="D2660" s="23" t="str">
        <f aca="false">IF(C2660="","",IFERROR(INDEX(LOTES!$D$5:$D$1004,MATCH(C2660,LOTES!$F$5:$F$1004,0)),"¿Lote?"))</f>
        <v/>
      </c>
      <c r="E2660" s="11" t="str">
        <f aca="false">IF(C2660="","",IFERROR(INDEX(LOTES!$C$5:$C$1004,MATCH(C2660,LOTES!$F$5:$F$1004,0)),""))</f>
        <v/>
      </c>
      <c r="F2660" s="24" t="str">
        <f aca="false">IF(C2660="","",IFERROR(INDEX(LOTES!$B$5:$B$1004,MATCH(C2660,LOTES!$F$5:$F$1004,0)),""))</f>
        <v/>
      </c>
      <c r="G2660" s="15" t="str">
        <f aca="false">IF(OR(B2660="",F2660=""),"",B2660-F2660)</f>
        <v/>
      </c>
      <c r="H2660" s="13"/>
      <c r="I2660" s="13"/>
      <c r="J2660" s="13"/>
      <c r="K2660" s="25"/>
      <c r="L2660" s="25"/>
      <c r="M2660" s="25"/>
      <c r="N2660" s="25"/>
      <c r="O2660" s="26"/>
      <c r="P2660" s="16" t="str">
        <f aca="false">IF(O2660="","",IFERROR(1/(1/(IF(K2660="",INDEX(CONFIG!$F$5:$F$14,MATCH(D2660,CONFIG!$D$5:$D$14,0)),K2660)*IF(M2660="",INDEX(CONFIG!$H$5:$H$14,MATCH(D2660,CONFIG!$D$5:$D$14,0)),M2660))),""))</f>
        <v/>
      </c>
      <c r="Q2660" s="16" t="str">
        <f aca="false">IF(OR(O2660="",P2660=""),"",O2660/P2660)</f>
        <v/>
      </c>
      <c r="R2660" s="16" t="str">
        <f aca="false">IF(Q2660="","",Q2660*0.0980665)</f>
        <v/>
      </c>
      <c r="S2660" s="16" t="str">
        <f aca="false">IF(Q2660="","",IFERROR(Q2660/(1/(1/INDEX(CONFIG!$I$5:$I$14,MATCH(D2660,CONFIG!$D$5:$D$14,0)))),""))</f>
        <v/>
      </c>
      <c r="T2660" s="13"/>
      <c r="U2660" s="13"/>
      <c r="V2660" s="13"/>
      <c r="W2660" s="13"/>
      <c r="X2660" s="22" t="str">
        <f aca="false">IF(Q2660="","",Q2660^2)</f>
        <v/>
      </c>
      <c r="Y2660" s="22" t="str">
        <f aca="false">IF(AND(C2660&lt;&gt;"",C2660=CERTIFICADO!$E$4,OR(CERTIFICADO!$E$5="",B2660=CERTIFICADO!$E$5)),MAX($Y$4:Y2659)+1,"")</f>
        <v/>
      </c>
    </row>
    <row r="2661" customFormat="false" ht="15" hidden="false" customHeight="false" outlineLevel="0" collapsed="false">
      <c r="A2661" s="11" t="str">
        <f aca="false">IF(C2661="","",ROW()-4)</f>
        <v/>
      </c>
      <c r="B2661" s="12"/>
      <c r="C2661" s="13"/>
      <c r="D2661" s="23" t="str">
        <f aca="false">IF(C2661="","",IFERROR(INDEX(LOTES!$D$5:$D$1004,MATCH(C2661,LOTES!$F$5:$F$1004,0)),"¿Lote?"))</f>
        <v/>
      </c>
      <c r="E2661" s="11" t="str">
        <f aca="false">IF(C2661="","",IFERROR(INDEX(LOTES!$C$5:$C$1004,MATCH(C2661,LOTES!$F$5:$F$1004,0)),""))</f>
        <v/>
      </c>
      <c r="F2661" s="24" t="str">
        <f aca="false">IF(C2661="","",IFERROR(INDEX(LOTES!$B$5:$B$1004,MATCH(C2661,LOTES!$F$5:$F$1004,0)),""))</f>
        <v/>
      </c>
      <c r="G2661" s="15" t="str">
        <f aca="false">IF(OR(B2661="",F2661=""),"",B2661-F2661)</f>
        <v/>
      </c>
      <c r="H2661" s="13"/>
      <c r="I2661" s="13"/>
      <c r="J2661" s="13"/>
      <c r="K2661" s="25"/>
      <c r="L2661" s="25"/>
      <c r="M2661" s="25"/>
      <c r="N2661" s="25"/>
      <c r="O2661" s="26"/>
      <c r="P2661" s="16" t="str">
        <f aca="false">IF(O2661="","",IFERROR(1/(1/(IF(K2661="",INDEX(CONFIG!$F$5:$F$14,MATCH(D2661,CONFIG!$D$5:$D$14,0)),K2661)*IF(M2661="",INDEX(CONFIG!$H$5:$H$14,MATCH(D2661,CONFIG!$D$5:$D$14,0)),M2661))),""))</f>
        <v/>
      </c>
      <c r="Q2661" s="16" t="str">
        <f aca="false">IF(OR(O2661="",P2661=""),"",O2661/P2661)</f>
        <v/>
      </c>
      <c r="R2661" s="16" t="str">
        <f aca="false">IF(Q2661="","",Q2661*0.0980665)</f>
        <v/>
      </c>
      <c r="S2661" s="16" t="str">
        <f aca="false">IF(Q2661="","",IFERROR(Q2661/(1/(1/INDEX(CONFIG!$I$5:$I$14,MATCH(D2661,CONFIG!$D$5:$D$14,0)))),""))</f>
        <v/>
      </c>
      <c r="T2661" s="13"/>
      <c r="U2661" s="13"/>
      <c r="V2661" s="13"/>
      <c r="W2661" s="13"/>
      <c r="X2661" s="22" t="str">
        <f aca="false">IF(Q2661="","",Q2661^2)</f>
        <v/>
      </c>
      <c r="Y2661" s="22" t="str">
        <f aca="false">IF(AND(C2661&lt;&gt;"",C2661=CERTIFICADO!$E$4,OR(CERTIFICADO!$E$5="",B2661=CERTIFICADO!$E$5)),MAX($Y$4:Y2660)+1,"")</f>
        <v/>
      </c>
    </row>
    <row r="2662" customFormat="false" ht="15" hidden="false" customHeight="false" outlineLevel="0" collapsed="false">
      <c r="A2662" s="11" t="str">
        <f aca="false">IF(C2662="","",ROW()-4)</f>
        <v/>
      </c>
      <c r="B2662" s="12"/>
      <c r="C2662" s="13"/>
      <c r="D2662" s="23" t="str">
        <f aca="false">IF(C2662="","",IFERROR(INDEX(LOTES!$D$5:$D$1004,MATCH(C2662,LOTES!$F$5:$F$1004,0)),"¿Lote?"))</f>
        <v/>
      </c>
      <c r="E2662" s="11" t="str">
        <f aca="false">IF(C2662="","",IFERROR(INDEX(LOTES!$C$5:$C$1004,MATCH(C2662,LOTES!$F$5:$F$1004,0)),""))</f>
        <v/>
      </c>
      <c r="F2662" s="24" t="str">
        <f aca="false">IF(C2662="","",IFERROR(INDEX(LOTES!$B$5:$B$1004,MATCH(C2662,LOTES!$F$5:$F$1004,0)),""))</f>
        <v/>
      </c>
      <c r="G2662" s="15" t="str">
        <f aca="false">IF(OR(B2662="",F2662=""),"",B2662-F2662)</f>
        <v/>
      </c>
      <c r="H2662" s="13"/>
      <c r="I2662" s="13"/>
      <c r="J2662" s="13"/>
      <c r="K2662" s="25"/>
      <c r="L2662" s="25"/>
      <c r="M2662" s="25"/>
      <c r="N2662" s="25"/>
      <c r="O2662" s="26"/>
      <c r="P2662" s="16" t="str">
        <f aca="false">IF(O2662="","",IFERROR(1/(1/(IF(K2662="",INDEX(CONFIG!$F$5:$F$14,MATCH(D2662,CONFIG!$D$5:$D$14,0)),K2662)*IF(M2662="",INDEX(CONFIG!$H$5:$H$14,MATCH(D2662,CONFIG!$D$5:$D$14,0)),M2662))),""))</f>
        <v/>
      </c>
      <c r="Q2662" s="16" t="str">
        <f aca="false">IF(OR(O2662="",P2662=""),"",O2662/P2662)</f>
        <v/>
      </c>
      <c r="R2662" s="16" t="str">
        <f aca="false">IF(Q2662="","",Q2662*0.0980665)</f>
        <v/>
      </c>
      <c r="S2662" s="16" t="str">
        <f aca="false">IF(Q2662="","",IFERROR(Q2662/(1/(1/INDEX(CONFIG!$I$5:$I$14,MATCH(D2662,CONFIG!$D$5:$D$14,0)))),""))</f>
        <v/>
      </c>
      <c r="T2662" s="13"/>
      <c r="U2662" s="13"/>
      <c r="V2662" s="13"/>
      <c r="W2662" s="13"/>
      <c r="X2662" s="22" t="str">
        <f aca="false">IF(Q2662="","",Q2662^2)</f>
        <v/>
      </c>
      <c r="Y2662" s="22" t="str">
        <f aca="false">IF(AND(C2662&lt;&gt;"",C2662=CERTIFICADO!$E$4,OR(CERTIFICADO!$E$5="",B2662=CERTIFICADO!$E$5)),MAX($Y$4:Y2661)+1,"")</f>
        <v/>
      </c>
    </row>
    <row r="2663" customFormat="false" ht="15" hidden="false" customHeight="false" outlineLevel="0" collapsed="false">
      <c r="A2663" s="11" t="str">
        <f aca="false">IF(C2663="","",ROW()-4)</f>
        <v/>
      </c>
      <c r="B2663" s="12"/>
      <c r="C2663" s="13"/>
      <c r="D2663" s="23" t="str">
        <f aca="false">IF(C2663="","",IFERROR(INDEX(LOTES!$D$5:$D$1004,MATCH(C2663,LOTES!$F$5:$F$1004,0)),"¿Lote?"))</f>
        <v/>
      </c>
      <c r="E2663" s="11" t="str">
        <f aca="false">IF(C2663="","",IFERROR(INDEX(LOTES!$C$5:$C$1004,MATCH(C2663,LOTES!$F$5:$F$1004,0)),""))</f>
        <v/>
      </c>
      <c r="F2663" s="24" t="str">
        <f aca="false">IF(C2663="","",IFERROR(INDEX(LOTES!$B$5:$B$1004,MATCH(C2663,LOTES!$F$5:$F$1004,0)),""))</f>
        <v/>
      </c>
      <c r="G2663" s="15" t="str">
        <f aca="false">IF(OR(B2663="",F2663=""),"",B2663-F2663)</f>
        <v/>
      </c>
      <c r="H2663" s="13"/>
      <c r="I2663" s="13"/>
      <c r="J2663" s="13"/>
      <c r="K2663" s="25"/>
      <c r="L2663" s="25"/>
      <c r="M2663" s="25"/>
      <c r="N2663" s="25"/>
      <c r="O2663" s="26"/>
      <c r="P2663" s="16" t="str">
        <f aca="false">IF(O2663="","",IFERROR(1/(1/(IF(K2663="",INDEX(CONFIG!$F$5:$F$14,MATCH(D2663,CONFIG!$D$5:$D$14,0)),K2663)*IF(M2663="",INDEX(CONFIG!$H$5:$H$14,MATCH(D2663,CONFIG!$D$5:$D$14,0)),M2663))),""))</f>
        <v/>
      </c>
      <c r="Q2663" s="16" t="str">
        <f aca="false">IF(OR(O2663="",P2663=""),"",O2663/P2663)</f>
        <v/>
      </c>
      <c r="R2663" s="16" t="str">
        <f aca="false">IF(Q2663="","",Q2663*0.0980665)</f>
        <v/>
      </c>
      <c r="S2663" s="16" t="str">
        <f aca="false">IF(Q2663="","",IFERROR(Q2663/(1/(1/INDEX(CONFIG!$I$5:$I$14,MATCH(D2663,CONFIG!$D$5:$D$14,0)))),""))</f>
        <v/>
      </c>
      <c r="T2663" s="13"/>
      <c r="U2663" s="13"/>
      <c r="V2663" s="13"/>
      <c r="W2663" s="13"/>
      <c r="X2663" s="22" t="str">
        <f aca="false">IF(Q2663="","",Q2663^2)</f>
        <v/>
      </c>
      <c r="Y2663" s="22" t="str">
        <f aca="false">IF(AND(C2663&lt;&gt;"",C2663=CERTIFICADO!$E$4,OR(CERTIFICADO!$E$5="",B2663=CERTIFICADO!$E$5)),MAX($Y$4:Y2662)+1,"")</f>
        <v/>
      </c>
    </row>
    <row r="2664" customFormat="false" ht="15" hidden="false" customHeight="false" outlineLevel="0" collapsed="false">
      <c r="A2664" s="11" t="str">
        <f aca="false">IF(C2664="","",ROW()-4)</f>
        <v/>
      </c>
      <c r="B2664" s="12"/>
      <c r="C2664" s="13"/>
      <c r="D2664" s="23" t="str">
        <f aca="false">IF(C2664="","",IFERROR(INDEX(LOTES!$D$5:$D$1004,MATCH(C2664,LOTES!$F$5:$F$1004,0)),"¿Lote?"))</f>
        <v/>
      </c>
      <c r="E2664" s="11" t="str">
        <f aca="false">IF(C2664="","",IFERROR(INDEX(LOTES!$C$5:$C$1004,MATCH(C2664,LOTES!$F$5:$F$1004,0)),""))</f>
        <v/>
      </c>
      <c r="F2664" s="24" t="str">
        <f aca="false">IF(C2664="","",IFERROR(INDEX(LOTES!$B$5:$B$1004,MATCH(C2664,LOTES!$F$5:$F$1004,0)),""))</f>
        <v/>
      </c>
      <c r="G2664" s="15" t="str">
        <f aca="false">IF(OR(B2664="",F2664=""),"",B2664-F2664)</f>
        <v/>
      </c>
      <c r="H2664" s="13"/>
      <c r="I2664" s="13"/>
      <c r="J2664" s="13"/>
      <c r="K2664" s="25"/>
      <c r="L2664" s="25"/>
      <c r="M2664" s="25"/>
      <c r="N2664" s="25"/>
      <c r="O2664" s="26"/>
      <c r="P2664" s="16" t="str">
        <f aca="false">IF(O2664="","",IFERROR(1/(1/(IF(K2664="",INDEX(CONFIG!$F$5:$F$14,MATCH(D2664,CONFIG!$D$5:$D$14,0)),K2664)*IF(M2664="",INDEX(CONFIG!$H$5:$H$14,MATCH(D2664,CONFIG!$D$5:$D$14,0)),M2664))),""))</f>
        <v/>
      </c>
      <c r="Q2664" s="16" t="str">
        <f aca="false">IF(OR(O2664="",P2664=""),"",O2664/P2664)</f>
        <v/>
      </c>
      <c r="R2664" s="16" t="str">
        <f aca="false">IF(Q2664="","",Q2664*0.0980665)</f>
        <v/>
      </c>
      <c r="S2664" s="16" t="str">
        <f aca="false">IF(Q2664="","",IFERROR(Q2664/(1/(1/INDEX(CONFIG!$I$5:$I$14,MATCH(D2664,CONFIG!$D$5:$D$14,0)))),""))</f>
        <v/>
      </c>
      <c r="T2664" s="13"/>
      <c r="U2664" s="13"/>
      <c r="V2664" s="13"/>
      <c r="W2664" s="13"/>
      <c r="X2664" s="22" t="str">
        <f aca="false">IF(Q2664="","",Q2664^2)</f>
        <v/>
      </c>
      <c r="Y2664" s="22" t="str">
        <f aca="false">IF(AND(C2664&lt;&gt;"",C2664=CERTIFICADO!$E$4,OR(CERTIFICADO!$E$5="",B2664=CERTIFICADO!$E$5)),MAX($Y$4:Y2663)+1,"")</f>
        <v/>
      </c>
    </row>
    <row r="2665" customFormat="false" ht="15" hidden="false" customHeight="false" outlineLevel="0" collapsed="false">
      <c r="A2665" s="11" t="str">
        <f aca="false">IF(C2665="","",ROW()-4)</f>
        <v/>
      </c>
      <c r="B2665" s="12"/>
      <c r="C2665" s="13"/>
      <c r="D2665" s="23" t="str">
        <f aca="false">IF(C2665="","",IFERROR(INDEX(LOTES!$D$5:$D$1004,MATCH(C2665,LOTES!$F$5:$F$1004,0)),"¿Lote?"))</f>
        <v/>
      </c>
      <c r="E2665" s="11" t="str">
        <f aca="false">IF(C2665="","",IFERROR(INDEX(LOTES!$C$5:$C$1004,MATCH(C2665,LOTES!$F$5:$F$1004,0)),""))</f>
        <v/>
      </c>
      <c r="F2665" s="24" t="str">
        <f aca="false">IF(C2665="","",IFERROR(INDEX(LOTES!$B$5:$B$1004,MATCH(C2665,LOTES!$F$5:$F$1004,0)),""))</f>
        <v/>
      </c>
      <c r="G2665" s="15" t="str">
        <f aca="false">IF(OR(B2665="",F2665=""),"",B2665-F2665)</f>
        <v/>
      </c>
      <c r="H2665" s="13"/>
      <c r="I2665" s="13"/>
      <c r="J2665" s="13"/>
      <c r="K2665" s="25"/>
      <c r="L2665" s="25"/>
      <c r="M2665" s="25"/>
      <c r="N2665" s="25"/>
      <c r="O2665" s="26"/>
      <c r="P2665" s="16" t="str">
        <f aca="false">IF(O2665="","",IFERROR(1/(1/(IF(K2665="",INDEX(CONFIG!$F$5:$F$14,MATCH(D2665,CONFIG!$D$5:$D$14,0)),K2665)*IF(M2665="",INDEX(CONFIG!$H$5:$H$14,MATCH(D2665,CONFIG!$D$5:$D$14,0)),M2665))),""))</f>
        <v/>
      </c>
      <c r="Q2665" s="16" t="str">
        <f aca="false">IF(OR(O2665="",P2665=""),"",O2665/P2665)</f>
        <v/>
      </c>
      <c r="R2665" s="16" t="str">
        <f aca="false">IF(Q2665="","",Q2665*0.0980665)</f>
        <v/>
      </c>
      <c r="S2665" s="16" t="str">
        <f aca="false">IF(Q2665="","",IFERROR(Q2665/(1/(1/INDEX(CONFIG!$I$5:$I$14,MATCH(D2665,CONFIG!$D$5:$D$14,0)))),""))</f>
        <v/>
      </c>
      <c r="T2665" s="13"/>
      <c r="U2665" s="13"/>
      <c r="V2665" s="13"/>
      <c r="W2665" s="13"/>
      <c r="X2665" s="22" t="str">
        <f aca="false">IF(Q2665="","",Q2665^2)</f>
        <v/>
      </c>
      <c r="Y2665" s="22" t="str">
        <f aca="false">IF(AND(C2665&lt;&gt;"",C2665=CERTIFICADO!$E$4,OR(CERTIFICADO!$E$5="",B2665=CERTIFICADO!$E$5)),MAX($Y$4:Y2664)+1,"")</f>
        <v/>
      </c>
    </row>
    <row r="2666" customFormat="false" ht="15" hidden="false" customHeight="false" outlineLevel="0" collapsed="false">
      <c r="A2666" s="11" t="str">
        <f aca="false">IF(C2666="","",ROW()-4)</f>
        <v/>
      </c>
      <c r="B2666" s="12"/>
      <c r="C2666" s="13"/>
      <c r="D2666" s="23" t="str">
        <f aca="false">IF(C2666="","",IFERROR(INDEX(LOTES!$D$5:$D$1004,MATCH(C2666,LOTES!$F$5:$F$1004,0)),"¿Lote?"))</f>
        <v/>
      </c>
      <c r="E2666" s="11" t="str">
        <f aca="false">IF(C2666="","",IFERROR(INDEX(LOTES!$C$5:$C$1004,MATCH(C2666,LOTES!$F$5:$F$1004,0)),""))</f>
        <v/>
      </c>
      <c r="F2666" s="24" t="str">
        <f aca="false">IF(C2666="","",IFERROR(INDEX(LOTES!$B$5:$B$1004,MATCH(C2666,LOTES!$F$5:$F$1004,0)),""))</f>
        <v/>
      </c>
      <c r="G2666" s="15" t="str">
        <f aca="false">IF(OR(B2666="",F2666=""),"",B2666-F2666)</f>
        <v/>
      </c>
      <c r="H2666" s="13"/>
      <c r="I2666" s="13"/>
      <c r="J2666" s="13"/>
      <c r="K2666" s="25"/>
      <c r="L2666" s="25"/>
      <c r="M2666" s="25"/>
      <c r="N2666" s="25"/>
      <c r="O2666" s="26"/>
      <c r="P2666" s="16" t="str">
        <f aca="false">IF(O2666="","",IFERROR(1/(1/(IF(K2666="",INDEX(CONFIG!$F$5:$F$14,MATCH(D2666,CONFIG!$D$5:$D$14,0)),K2666)*IF(M2666="",INDEX(CONFIG!$H$5:$H$14,MATCH(D2666,CONFIG!$D$5:$D$14,0)),M2666))),""))</f>
        <v/>
      </c>
      <c r="Q2666" s="16" t="str">
        <f aca="false">IF(OR(O2666="",P2666=""),"",O2666/P2666)</f>
        <v/>
      </c>
      <c r="R2666" s="16" t="str">
        <f aca="false">IF(Q2666="","",Q2666*0.0980665)</f>
        <v/>
      </c>
      <c r="S2666" s="16" t="str">
        <f aca="false">IF(Q2666="","",IFERROR(Q2666/(1/(1/INDEX(CONFIG!$I$5:$I$14,MATCH(D2666,CONFIG!$D$5:$D$14,0)))),""))</f>
        <v/>
      </c>
      <c r="T2666" s="13"/>
      <c r="U2666" s="13"/>
      <c r="V2666" s="13"/>
      <c r="W2666" s="13"/>
      <c r="X2666" s="22" t="str">
        <f aca="false">IF(Q2666="","",Q2666^2)</f>
        <v/>
      </c>
      <c r="Y2666" s="22" t="str">
        <f aca="false">IF(AND(C2666&lt;&gt;"",C2666=CERTIFICADO!$E$4,OR(CERTIFICADO!$E$5="",B2666=CERTIFICADO!$E$5)),MAX($Y$4:Y2665)+1,"")</f>
        <v/>
      </c>
    </row>
    <row r="2667" customFormat="false" ht="15" hidden="false" customHeight="false" outlineLevel="0" collapsed="false">
      <c r="A2667" s="11" t="str">
        <f aca="false">IF(C2667="","",ROW()-4)</f>
        <v/>
      </c>
      <c r="B2667" s="12"/>
      <c r="C2667" s="13"/>
      <c r="D2667" s="23" t="str">
        <f aca="false">IF(C2667="","",IFERROR(INDEX(LOTES!$D$5:$D$1004,MATCH(C2667,LOTES!$F$5:$F$1004,0)),"¿Lote?"))</f>
        <v/>
      </c>
      <c r="E2667" s="11" t="str">
        <f aca="false">IF(C2667="","",IFERROR(INDEX(LOTES!$C$5:$C$1004,MATCH(C2667,LOTES!$F$5:$F$1004,0)),""))</f>
        <v/>
      </c>
      <c r="F2667" s="24" t="str">
        <f aca="false">IF(C2667="","",IFERROR(INDEX(LOTES!$B$5:$B$1004,MATCH(C2667,LOTES!$F$5:$F$1004,0)),""))</f>
        <v/>
      </c>
      <c r="G2667" s="15" t="str">
        <f aca="false">IF(OR(B2667="",F2667=""),"",B2667-F2667)</f>
        <v/>
      </c>
      <c r="H2667" s="13"/>
      <c r="I2667" s="13"/>
      <c r="J2667" s="13"/>
      <c r="K2667" s="25"/>
      <c r="L2667" s="25"/>
      <c r="M2667" s="25"/>
      <c r="N2667" s="25"/>
      <c r="O2667" s="26"/>
      <c r="P2667" s="16" t="str">
        <f aca="false">IF(O2667="","",IFERROR(1/(1/(IF(K2667="",INDEX(CONFIG!$F$5:$F$14,MATCH(D2667,CONFIG!$D$5:$D$14,0)),K2667)*IF(M2667="",INDEX(CONFIG!$H$5:$H$14,MATCH(D2667,CONFIG!$D$5:$D$14,0)),M2667))),""))</f>
        <v/>
      </c>
      <c r="Q2667" s="16" t="str">
        <f aca="false">IF(OR(O2667="",P2667=""),"",O2667/P2667)</f>
        <v/>
      </c>
      <c r="R2667" s="16" t="str">
        <f aca="false">IF(Q2667="","",Q2667*0.0980665)</f>
        <v/>
      </c>
      <c r="S2667" s="16" t="str">
        <f aca="false">IF(Q2667="","",IFERROR(Q2667/(1/(1/INDEX(CONFIG!$I$5:$I$14,MATCH(D2667,CONFIG!$D$5:$D$14,0)))),""))</f>
        <v/>
      </c>
      <c r="T2667" s="13"/>
      <c r="U2667" s="13"/>
      <c r="V2667" s="13"/>
      <c r="W2667" s="13"/>
      <c r="X2667" s="22" t="str">
        <f aca="false">IF(Q2667="","",Q2667^2)</f>
        <v/>
      </c>
      <c r="Y2667" s="22" t="str">
        <f aca="false">IF(AND(C2667&lt;&gt;"",C2667=CERTIFICADO!$E$4,OR(CERTIFICADO!$E$5="",B2667=CERTIFICADO!$E$5)),MAX($Y$4:Y2666)+1,"")</f>
        <v/>
      </c>
    </row>
    <row r="2668" customFormat="false" ht="15" hidden="false" customHeight="false" outlineLevel="0" collapsed="false">
      <c r="A2668" s="11" t="str">
        <f aca="false">IF(C2668="","",ROW()-4)</f>
        <v/>
      </c>
      <c r="B2668" s="12"/>
      <c r="C2668" s="13"/>
      <c r="D2668" s="23" t="str">
        <f aca="false">IF(C2668="","",IFERROR(INDEX(LOTES!$D$5:$D$1004,MATCH(C2668,LOTES!$F$5:$F$1004,0)),"¿Lote?"))</f>
        <v/>
      </c>
      <c r="E2668" s="11" t="str">
        <f aca="false">IF(C2668="","",IFERROR(INDEX(LOTES!$C$5:$C$1004,MATCH(C2668,LOTES!$F$5:$F$1004,0)),""))</f>
        <v/>
      </c>
      <c r="F2668" s="24" t="str">
        <f aca="false">IF(C2668="","",IFERROR(INDEX(LOTES!$B$5:$B$1004,MATCH(C2668,LOTES!$F$5:$F$1004,0)),""))</f>
        <v/>
      </c>
      <c r="G2668" s="15" t="str">
        <f aca="false">IF(OR(B2668="",F2668=""),"",B2668-F2668)</f>
        <v/>
      </c>
      <c r="H2668" s="13"/>
      <c r="I2668" s="13"/>
      <c r="J2668" s="13"/>
      <c r="K2668" s="25"/>
      <c r="L2668" s="25"/>
      <c r="M2668" s="25"/>
      <c r="N2668" s="25"/>
      <c r="O2668" s="26"/>
      <c r="P2668" s="16" t="str">
        <f aca="false">IF(O2668="","",IFERROR(1/(1/(IF(K2668="",INDEX(CONFIG!$F$5:$F$14,MATCH(D2668,CONFIG!$D$5:$D$14,0)),K2668)*IF(M2668="",INDEX(CONFIG!$H$5:$H$14,MATCH(D2668,CONFIG!$D$5:$D$14,0)),M2668))),""))</f>
        <v/>
      </c>
      <c r="Q2668" s="16" t="str">
        <f aca="false">IF(OR(O2668="",P2668=""),"",O2668/P2668)</f>
        <v/>
      </c>
      <c r="R2668" s="16" t="str">
        <f aca="false">IF(Q2668="","",Q2668*0.0980665)</f>
        <v/>
      </c>
      <c r="S2668" s="16" t="str">
        <f aca="false">IF(Q2668="","",IFERROR(Q2668/(1/(1/INDEX(CONFIG!$I$5:$I$14,MATCH(D2668,CONFIG!$D$5:$D$14,0)))),""))</f>
        <v/>
      </c>
      <c r="T2668" s="13"/>
      <c r="U2668" s="13"/>
      <c r="V2668" s="13"/>
      <c r="W2668" s="13"/>
      <c r="X2668" s="22" t="str">
        <f aca="false">IF(Q2668="","",Q2668^2)</f>
        <v/>
      </c>
      <c r="Y2668" s="22" t="str">
        <f aca="false">IF(AND(C2668&lt;&gt;"",C2668=CERTIFICADO!$E$4,OR(CERTIFICADO!$E$5="",B2668=CERTIFICADO!$E$5)),MAX($Y$4:Y2667)+1,"")</f>
        <v/>
      </c>
    </row>
    <row r="2669" customFormat="false" ht="15" hidden="false" customHeight="false" outlineLevel="0" collapsed="false">
      <c r="A2669" s="11" t="str">
        <f aca="false">IF(C2669="","",ROW()-4)</f>
        <v/>
      </c>
      <c r="B2669" s="12"/>
      <c r="C2669" s="13"/>
      <c r="D2669" s="23" t="str">
        <f aca="false">IF(C2669="","",IFERROR(INDEX(LOTES!$D$5:$D$1004,MATCH(C2669,LOTES!$F$5:$F$1004,0)),"¿Lote?"))</f>
        <v/>
      </c>
      <c r="E2669" s="11" t="str">
        <f aca="false">IF(C2669="","",IFERROR(INDEX(LOTES!$C$5:$C$1004,MATCH(C2669,LOTES!$F$5:$F$1004,0)),""))</f>
        <v/>
      </c>
      <c r="F2669" s="24" t="str">
        <f aca="false">IF(C2669="","",IFERROR(INDEX(LOTES!$B$5:$B$1004,MATCH(C2669,LOTES!$F$5:$F$1004,0)),""))</f>
        <v/>
      </c>
      <c r="G2669" s="15" t="str">
        <f aca="false">IF(OR(B2669="",F2669=""),"",B2669-F2669)</f>
        <v/>
      </c>
      <c r="H2669" s="13"/>
      <c r="I2669" s="13"/>
      <c r="J2669" s="13"/>
      <c r="K2669" s="25"/>
      <c r="L2669" s="25"/>
      <c r="M2669" s="25"/>
      <c r="N2669" s="25"/>
      <c r="O2669" s="26"/>
      <c r="P2669" s="16" t="str">
        <f aca="false">IF(O2669="","",IFERROR(1/(1/(IF(K2669="",INDEX(CONFIG!$F$5:$F$14,MATCH(D2669,CONFIG!$D$5:$D$14,0)),K2669)*IF(M2669="",INDEX(CONFIG!$H$5:$H$14,MATCH(D2669,CONFIG!$D$5:$D$14,0)),M2669))),""))</f>
        <v/>
      </c>
      <c r="Q2669" s="16" t="str">
        <f aca="false">IF(OR(O2669="",P2669=""),"",O2669/P2669)</f>
        <v/>
      </c>
      <c r="R2669" s="16" t="str">
        <f aca="false">IF(Q2669="","",Q2669*0.0980665)</f>
        <v/>
      </c>
      <c r="S2669" s="16" t="str">
        <f aca="false">IF(Q2669="","",IFERROR(Q2669/(1/(1/INDEX(CONFIG!$I$5:$I$14,MATCH(D2669,CONFIG!$D$5:$D$14,0)))),""))</f>
        <v/>
      </c>
      <c r="T2669" s="13"/>
      <c r="U2669" s="13"/>
      <c r="V2669" s="13"/>
      <c r="W2669" s="13"/>
      <c r="X2669" s="22" t="str">
        <f aca="false">IF(Q2669="","",Q2669^2)</f>
        <v/>
      </c>
      <c r="Y2669" s="22" t="str">
        <f aca="false">IF(AND(C2669&lt;&gt;"",C2669=CERTIFICADO!$E$4,OR(CERTIFICADO!$E$5="",B2669=CERTIFICADO!$E$5)),MAX($Y$4:Y2668)+1,"")</f>
        <v/>
      </c>
    </row>
    <row r="2670" customFormat="false" ht="15" hidden="false" customHeight="false" outlineLevel="0" collapsed="false">
      <c r="A2670" s="11" t="str">
        <f aca="false">IF(C2670="","",ROW()-4)</f>
        <v/>
      </c>
      <c r="B2670" s="12"/>
      <c r="C2670" s="13"/>
      <c r="D2670" s="23" t="str">
        <f aca="false">IF(C2670="","",IFERROR(INDEX(LOTES!$D$5:$D$1004,MATCH(C2670,LOTES!$F$5:$F$1004,0)),"¿Lote?"))</f>
        <v/>
      </c>
      <c r="E2670" s="11" t="str">
        <f aca="false">IF(C2670="","",IFERROR(INDEX(LOTES!$C$5:$C$1004,MATCH(C2670,LOTES!$F$5:$F$1004,0)),""))</f>
        <v/>
      </c>
      <c r="F2670" s="24" t="str">
        <f aca="false">IF(C2670="","",IFERROR(INDEX(LOTES!$B$5:$B$1004,MATCH(C2670,LOTES!$F$5:$F$1004,0)),""))</f>
        <v/>
      </c>
      <c r="G2670" s="15" t="str">
        <f aca="false">IF(OR(B2670="",F2670=""),"",B2670-F2670)</f>
        <v/>
      </c>
      <c r="H2670" s="13"/>
      <c r="I2670" s="13"/>
      <c r="J2670" s="13"/>
      <c r="K2670" s="25"/>
      <c r="L2670" s="25"/>
      <c r="M2670" s="25"/>
      <c r="N2670" s="25"/>
      <c r="O2670" s="26"/>
      <c r="P2670" s="16" t="str">
        <f aca="false">IF(O2670="","",IFERROR(1/(1/(IF(K2670="",INDEX(CONFIG!$F$5:$F$14,MATCH(D2670,CONFIG!$D$5:$D$14,0)),K2670)*IF(M2670="",INDEX(CONFIG!$H$5:$H$14,MATCH(D2670,CONFIG!$D$5:$D$14,0)),M2670))),""))</f>
        <v/>
      </c>
      <c r="Q2670" s="16" t="str">
        <f aca="false">IF(OR(O2670="",P2670=""),"",O2670/P2670)</f>
        <v/>
      </c>
      <c r="R2670" s="16" t="str">
        <f aca="false">IF(Q2670="","",Q2670*0.0980665)</f>
        <v/>
      </c>
      <c r="S2670" s="16" t="str">
        <f aca="false">IF(Q2670="","",IFERROR(Q2670/(1/(1/INDEX(CONFIG!$I$5:$I$14,MATCH(D2670,CONFIG!$D$5:$D$14,0)))),""))</f>
        <v/>
      </c>
      <c r="T2670" s="13"/>
      <c r="U2670" s="13"/>
      <c r="V2670" s="13"/>
      <c r="W2670" s="13"/>
      <c r="X2670" s="22" t="str">
        <f aca="false">IF(Q2670="","",Q2670^2)</f>
        <v/>
      </c>
      <c r="Y2670" s="22" t="str">
        <f aca="false">IF(AND(C2670&lt;&gt;"",C2670=CERTIFICADO!$E$4,OR(CERTIFICADO!$E$5="",B2670=CERTIFICADO!$E$5)),MAX($Y$4:Y2669)+1,"")</f>
        <v/>
      </c>
    </row>
    <row r="2671" customFormat="false" ht="15" hidden="false" customHeight="false" outlineLevel="0" collapsed="false">
      <c r="A2671" s="11" t="str">
        <f aca="false">IF(C2671="","",ROW()-4)</f>
        <v/>
      </c>
      <c r="B2671" s="12"/>
      <c r="C2671" s="13"/>
      <c r="D2671" s="23" t="str">
        <f aca="false">IF(C2671="","",IFERROR(INDEX(LOTES!$D$5:$D$1004,MATCH(C2671,LOTES!$F$5:$F$1004,0)),"¿Lote?"))</f>
        <v/>
      </c>
      <c r="E2671" s="11" t="str">
        <f aca="false">IF(C2671="","",IFERROR(INDEX(LOTES!$C$5:$C$1004,MATCH(C2671,LOTES!$F$5:$F$1004,0)),""))</f>
        <v/>
      </c>
      <c r="F2671" s="24" t="str">
        <f aca="false">IF(C2671="","",IFERROR(INDEX(LOTES!$B$5:$B$1004,MATCH(C2671,LOTES!$F$5:$F$1004,0)),""))</f>
        <v/>
      </c>
      <c r="G2671" s="15" t="str">
        <f aca="false">IF(OR(B2671="",F2671=""),"",B2671-F2671)</f>
        <v/>
      </c>
      <c r="H2671" s="13"/>
      <c r="I2671" s="13"/>
      <c r="J2671" s="13"/>
      <c r="K2671" s="25"/>
      <c r="L2671" s="25"/>
      <c r="M2671" s="25"/>
      <c r="N2671" s="25"/>
      <c r="O2671" s="26"/>
      <c r="P2671" s="16" t="str">
        <f aca="false">IF(O2671="","",IFERROR(1/(1/(IF(K2671="",INDEX(CONFIG!$F$5:$F$14,MATCH(D2671,CONFIG!$D$5:$D$14,0)),K2671)*IF(M2671="",INDEX(CONFIG!$H$5:$H$14,MATCH(D2671,CONFIG!$D$5:$D$14,0)),M2671))),""))</f>
        <v/>
      </c>
      <c r="Q2671" s="16" t="str">
        <f aca="false">IF(OR(O2671="",P2671=""),"",O2671/P2671)</f>
        <v/>
      </c>
      <c r="R2671" s="16" t="str">
        <f aca="false">IF(Q2671="","",Q2671*0.0980665)</f>
        <v/>
      </c>
      <c r="S2671" s="16" t="str">
        <f aca="false">IF(Q2671="","",IFERROR(Q2671/(1/(1/INDEX(CONFIG!$I$5:$I$14,MATCH(D2671,CONFIG!$D$5:$D$14,0)))),""))</f>
        <v/>
      </c>
      <c r="T2671" s="13"/>
      <c r="U2671" s="13"/>
      <c r="V2671" s="13"/>
      <c r="W2671" s="13"/>
      <c r="X2671" s="22" t="str">
        <f aca="false">IF(Q2671="","",Q2671^2)</f>
        <v/>
      </c>
      <c r="Y2671" s="22" t="str">
        <f aca="false">IF(AND(C2671&lt;&gt;"",C2671=CERTIFICADO!$E$4,OR(CERTIFICADO!$E$5="",B2671=CERTIFICADO!$E$5)),MAX($Y$4:Y2670)+1,"")</f>
        <v/>
      </c>
    </row>
    <row r="2672" customFormat="false" ht="15" hidden="false" customHeight="false" outlineLevel="0" collapsed="false">
      <c r="A2672" s="11" t="str">
        <f aca="false">IF(C2672="","",ROW()-4)</f>
        <v/>
      </c>
      <c r="B2672" s="12"/>
      <c r="C2672" s="13"/>
      <c r="D2672" s="23" t="str">
        <f aca="false">IF(C2672="","",IFERROR(INDEX(LOTES!$D$5:$D$1004,MATCH(C2672,LOTES!$F$5:$F$1004,0)),"¿Lote?"))</f>
        <v/>
      </c>
      <c r="E2672" s="11" t="str">
        <f aca="false">IF(C2672="","",IFERROR(INDEX(LOTES!$C$5:$C$1004,MATCH(C2672,LOTES!$F$5:$F$1004,0)),""))</f>
        <v/>
      </c>
      <c r="F2672" s="24" t="str">
        <f aca="false">IF(C2672="","",IFERROR(INDEX(LOTES!$B$5:$B$1004,MATCH(C2672,LOTES!$F$5:$F$1004,0)),""))</f>
        <v/>
      </c>
      <c r="G2672" s="15" t="str">
        <f aca="false">IF(OR(B2672="",F2672=""),"",B2672-F2672)</f>
        <v/>
      </c>
      <c r="H2672" s="13"/>
      <c r="I2672" s="13"/>
      <c r="J2672" s="13"/>
      <c r="K2672" s="25"/>
      <c r="L2672" s="25"/>
      <c r="M2672" s="25"/>
      <c r="N2672" s="25"/>
      <c r="O2672" s="26"/>
      <c r="P2672" s="16" t="str">
        <f aca="false">IF(O2672="","",IFERROR(1/(1/(IF(K2672="",INDEX(CONFIG!$F$5:$F$14,MATCH(D2672,CONFIG!$D$5:$D$14,0)),K2672)*IF(M2672="",INDEX(CONFIG!$H$5:$H$14,MATCH(D2672,CONFIG!$D$5:$D$14,0)),M2672))),""))</f>
        <v/>
      </c>
      <c r="Q2672" s="16" t="str">
        <f aca="false">IF(OR(O2672="",P2672=""),"",O2672/P2672)</f>
        <v/>
      </c>
      <c r="R2672" s="16" t="str">
        <f aca="false">IF(Q2672="","",Q2672*0.0980665)</f>
        <v/>
      </c>
      <c r="S2672" s="16" t="str">
        <f aca="false">IF(Q2672="","",IFERROR(Q2672/(1/(1/INDEX(CONFIG!$I$5:$I$14,MATCH(D2672,CONFIG!$D$5:$D$14,0)))),""))</f>
        <v/>
      </c>
      <c r="T2672" s="13"/>
      <c r="U2672" s="13"/>
      <c r="V2672" s="13"/>
      <c r="W2672" s="13"/>
      <c r="X2672" s="22" t="str">
        <f aca="false">IF(Q2672="","",Q2672^2)</f>
        <v/>
      </c>
      <c r="Y2672" s="22" t="str">
        <f aca="false">IF(AND(C2672&lt;&gt;"",C2672=CERTIFICADO!$E$4,OR(CERTIFICADO!$E$5="",B2672=CERTIFICADO!$E$5)),MAX($Y$4:Y2671)+1,"")</f>
        <v/>
      </c>
    </row>
    <row r="2673" customFormat="false" ht="15" hidden="false" customHeight="false" outlineLevel="0" collapsed="false">
      <c r="A2673" s="11" t="str">
        <f aca="false">IF(C2673="","",ROW()-4)</f>
        <v/>
      </c>
      <c r="B2673" s="12"/>
      <c r="C2673" s="13"/>
      <c r="D2673" s="23" t="str">
        <f aca="false">IF(C2673="","",IFERROR(INDEX(LOTES!$D$5:$D$1004,MATCH(C2673,LOTES!$F$5:$F$1004,0)),"¿Lote?"))</f>
        <v/>
      </c>
      <c r="E2673" s="11" t="str">
        <f aca="false">IF(C2673="","",IFERROR(INDEX(LOTES!$C$5:$C$1004,MATCH(C2673,LOTES!$F$5:$F$1004,0)),""))</f>
        <v/>
      </c>
      <c r="F2673" s="24" t="str">
        <f aca="false">IF(C2673="","",IFERROR(INDEX(LOTES!$B$5:$B$1004,MATCH(C2673,LOTES!$F$5:$F$1004,0)),""))</f>
        <v/>
      </c>
      <c r="G2673" s="15" t="str">
        <f aca="false">IF(OR(B2673="",F2673=""),"",B2673-F2673)</f>
        <v/>
      </c>
      <c r="H2673" s="13"/>
      <c r="I2673" s="13"/>
      <c r="J2673" s="13"/>
      <c r="K2673" s="25"/>
      <c r="L2673" s="25"/>
      <c r="M2673" s="25"/>
      <c r="N2673" s="25"/>
      <c r="O2673" s="26"/>
      <c r="P2673" s="16" t="str">
        <f aca="false">IF(O2673="","",IFERROR(1/(1/(IF(K2673="",INDEX(CONFIG!$F$5:$F$14,MATCH(D2673,CONFIG!$D$5:$D$14,0)),K2673)*IF(M2673="",INDEX(CONFIG!$H$5:$H$14,MATCH(D2673,CONFIG!$D$5:$D$14,0)),M2673))),""))</f>
        <v/>
      </c>
      <c r="Q2673" s="16" t="str">
        <f aca="false">IF(OR(O2673="",P2673=""),"",O2673/P2673)</f>
        <v/>
      </c>
      <c r="R2673" s="16" t="str">
        <f aca="false">IF(Q2673="","",Q2673*0.0980665)</f>
        <v/>
      </c>
      <c r="S2673" s="16" t="str">
        <f aca="false">IF(Q2673="","",IFERROR(Q2673/(1/(1/INDEX(CONFIG!$I$5:$I$14,MATCH(D2673,CONFIG!$D$5:$D$14,0)))),""))</f>
        <v/>
      </c>
      <c r="T2673" s="13"/>
      <c r="U2673" s="13"/>
      <c r="V2673" s="13"/>
      <c r="W2673" s="13"/>
      <c r="X2673" s="22" t="str">
        <f aca="false">IF(Q2673="","",Q2673^2)</f>
        <v/>
      </c>
      <c r="Y2673" s="22" t="str">
        <f aca="false">IF(AND(C2673&lt;&gt;"",C2673=CERTIFICADO!$E$4,OR(CERTIFICADO!$E$5="",B2673=CERTIFICADO!$E$5)),MAX($Y$4:Y2672)+1,"")</f>
        <v/>
      </c>
    </row>
    <row r="2674" customFormat="false" ht="15" hidden="false" customHeight="false" outlineLevel="0" collapsed="false">
      <c r="A2674" s="11" t="str">
        <f aca="false">IF(C2674="","",ROW()-4)</f>
        <v/>
      </c>
      <c r="B2674" s="12"/>
      <c r="C2674" s="13"/>
      <c r="D2674" s="23" t="str">
        <f aca="false">IF(C2674="","",IFERROR(INDEX(LOTES!$D$5:$D$1004,MATCH(C2674,LOTES!$F$5:$F$1004,0)),"¿Lote?"))</f>
        <v/>
      </c>
      <c r="E2674" s="11" t="str">
        <f aca="false">IF(C2674="","",IFERROR(INDEX(LOTES!$C$5:$C$1004,MATCH(C2674,LOTES!$F$5:$F$1004,0)),""))</f>
        <v/>
      </c>
      <c r="F2674" s="24" t="str">
        <f aca="false">IF(C2674="","",IFERROR(INDEX(LOTES!$B$5:$B$1004,MATCH(C2674,LOTES!$F$5:$F$1004,0)),""))</f>
        <v/>
      </c>
      <c r="G2674" s="15" t="str">
        <f aca="false">IF(OR(B2674="",F2674=""),"",B2674-F2674)</f>
        <v/>
      </c>
      <c r="H2674" s="13"/>
      <c r="I2674" s="13"/>
      <c r="J2674" s="13"/>
      <c r="K2674" s="25"/>
      <c r="L2674" s="25"/>
      <c r="M2674" s="25"/>
      <c r="N2674" s="25"/>
      <c r="O2674" s="26"/>
      <c r="P2674" s="16" t="str">
        <f aca="false">IF(O2674="","",IFERROR(1/(1/(IF(K2674="",INDEX(CONFIG!$F$5:$F$14,MATCH(D2674,CONFIG!$D$5:$D$14,0)),K2674)*IF(M2674="",INDEX(CONFIG!$H$5:$H$14,MATCH(D2674,CONFIG!$D$5:$D$14,0)),M2674))),""))</f>
        <v/>
      </c>
      <c r="Q2674" s="16" t="str">
        <f aca="false">IF(OR(O2674="",P2674=""),"",O2674/P2674)</f>
        <v/>
      </c>
      <c r="R2674" s="16" t="str">
        <f aca="false">IF(Q2674="","",Q2674*0.0980665)</f>
        <v/>
      </c>
      <c r="S2674" s="16" t="str">
        <f aca="false">IF(Q2674="","",IFERROR(Q2674/(1/(1/INDEX(CONFIG!$I$5:$I$14,MATCH(D2674,CONFIG!$D$5:$D$14,0)))),""))</f>
        <v/>
      </c>
      <c r="T2674" s="13"/>
      <c r="U2674" s="13"/>
      <c r="V2674" s="13"/>
      <c r="W2674" s="13"/>
      <c r="X2674" s="22" t="str">
        <f aca="false">IF(Q2674="","",Q2674^2)</f>
        <v/>
      </c>
      <c r="Y2674" s="22" t="str">
        <f aca="false">IF(AND(C2674&lt;&gt;"",C2674=CERTIFICADO!$E$4,OR(CERTIFICADO!$E$5="",B2674=CERTIFICADO!$E$5)),MAX($Y$4:Y2673)+1,"")</f>
        <v/>
      </c>
    </row>
    <row r="2675" customFormat="false" ht="15" hidden="false" customHeight="false" outlineLevel="0" collapsed="false">
      <c r="A2675" s="11" t="str">
        <f aca="false">IF(C2675="","",ROW()-4)</f>
        <v/>
      </c>
      <c r="B2675" s="12"/>
      <c r="C2675" s="13"/>
      <c r="D2675" s="23" t="str">
        <f aca="false">IF(C2675="","",IFERROR(INDEX(LOTES!$D$5:$D$1004,MATCH(C2675,LOTES!$F$5:$F$1004,0)),"¿Lote?"))</f>
        <v/>
      </c>
      <c r="E2675" s="11" t="str">
        <f aca="false">IF(C2675="","",IFERROR(INDEX(LOTES!$C$5:$C$1004,MATCH(C2675,LOTES!$F$5:$F$1004,0)),""))</f>
        <v/>
      </c>
      <c r="F2675" s="24" t="str">
        <f aca="false">IF(C2675="","",IFERROR(INDEX(LOTES!$B$5:$B$1004,MATCH(C2675,LOTES!$F$5:$F$1004,0)),""))</f>
        <v/>
      </c>
      <c r="G2675" s="15" t="str">
        <f aca="false">IF(OR(B2675="",F2675=""),"",B2675-F2675)</f>
        <v/>
      </c>
      <c r="H2675" s="13"/>
      <c r="I2675" s="13"/>
      <c r="J2675" s="13"/>
      <c r="K2675" s="25"/>
      <c r="L2675" s="25"/>
      <c r="M2675" s="25"/>
      <c r="N2675" s="25"/>
      <c r="O2675" s="26"/>
      <c r="P2675" s="16" t="str">
        <f aca="false">IF(O2675="","",IFERROR(1/(1/(IF(K2675="",INDEX(CONFIG!$F$5:$F$14,MATCH(D2675,CONFIG!$D$5:$D$14,0)),K2675)*IF(M2675="",INDEX(CONFIG!$H$5:$H$14,MATCH(D2675,CONFIG!$D$5:$D$14,0)),M2675))),""))</f>
        <v/>
      </c>
      <c r="Q2675" s="16" t="str">
        <f aca="false">IF(OR(O2675="",P2675=""),"",O2675/P2675)</f>
        <v/>
      </c>
      <c r="R2675" s="16" t="str">
        <f aca="false">IF(Q2675="","",Q2675*0.0980665)</f>
        <v/>
      </c>
      <c r="S2675" s="16" t="str">
        <f aca="false">IF(Q2675="","",IFERROR(Q2675/(1/(1/INDEX(CONFIG!$I$5:$I$14,MATCH(D2675,CONFIG!$D$5:$D$14,0)))),""))</f>
        <v/>
      </c>
      <c r="T2675" s="13"/>
      <c r="U2675" s="13"/>
      <c r="V2675" s="13"/>
      <c r="W2675" s="13"/>
      <c r="X2675" s="22" t="str">
        <f aca="false">IF(Q2675="","",Q2675^2)</f>
        <v/>
      </c>
      <c r="Y2675" s="22" t="str">
        <f aca="false">IF(AND(C2675&lt;&gt;"",C2675=CERTIFICADO!$E$4,OR(CERTIFICADO!$E$5="",B2675=CERTIFICADO!$E$5)),MAX($Y$4:Y2674)+1,"")</f>
        <v/>
      </c>
    </row>
    <row r="2676" customFormat="false" ht="15" hidden="false" customHeight="false" outlineLevel="0" collapsed="false">
      <c r="A2676" s="11" t="str">
        <f aca="false">IF(C2676="","",ROW()-4)</f>
        <v/>
      </c>
      <c r="B2676" s="12"/>
      <c r="C2676" s="13"/>
      <c r="D2676" s="23" t="str">
        <f aca="false">IF(C2676="","",IFERROR(INDEX(LOTES!$D$5:$D$1004,MATCH(C2676,LOTES!$F$5:$F$1004,0)),"¿Lote?"))</f>
        <v/>
      </c>
      <c r="E2676" s="11" t="str">
        <f aca="false">IF(C2676="","",IFERROR(INDEX(LOTES!$C$5:$C$1004,MATCH(C2676,LOTES!$F$5:$F$1004,0)),""))</f>
        <v/>
      </c>
      <c r="F2676" s="24" t="str">
        <f aca="false">IF(C2676="","",IFERROR(INDEX(LOTES!$B$5:$B$1004,MATCH(C2676,LOTES!$F$5:$F$1004,0)),""))</f>
        <v/>
      </c>
      <c r="G2676" s="15" t="str">
        <f aca="false">IF(OR(B2676="",F2676=""),"",B2676-F2676)</f>
        <v/>
      </c>
      <c r="H2676" s="13"/>
      <c r="I2676" s="13"/>
      <c r="J2676" s="13"/>
      <c r="K2676" s="25"/>
      <c r="L2676" s="25"/>
      <c r="M2676" s="25"/>
      <c r="N2676" s="25"/>
      <c r="O2676" s="26"/>
      <c r="P2676" s="16" t="str">
        <f aca="false">IF(O2676="","",IFERROR(1/(1/(IF(K2676="",INDEX(CONFIG!$F$5:$F$14,MATCH(D2676,CONFIG!$D$5:$D$14,0)),K2676)*IF(M2676="",INDEX(CONFIG!$H$5:$H$14,MATCH(D2676,CONFIG!$D$5:$D$14,0)),M2676))),""))</f>
        <v/>
      </c>
      <c r="Q2676" s="16" t="str">
        <f aca="false">IF(OR(O2676="",P2676=""),"",O2676/P2676)</f>
        <v/>
      </c>
      <c r="R2676" s="16" t="str">
        <f aca="false">IF(Q2676="","",Q2676*0.0980665)</f>
        <v/>
      </c>
      <c r="S2676" s="16" t="str">
        <f aca="false">IF(Q2676="","",IFERROR(Q2676/(1/(1/INDEX(CONFIG!$I$5:$I$14,MATCH(D2676,CONFIG!$D$5:$D$14,0)))),""))</f>
        <v/>
      </c>
      <c r="T2676" s="13"/>
      <c r="U2676" s="13"/>
      <c r="V2676" s="13"/>
      <c r="W2676" s="13"/>
      <c r="X2676" s="22" t="str">
        <f aca="false">IF(Q2676="","",Q2676^2)</f>
        <v/>
      </c>
      <c r="Y2676" s="22" t="str">
        <f aca="false">IF(AND(C2676&lt;&gt;"",C2676=CERTIFICADO!$E$4,OR(CERTIFICADO!$E$5="",B2676=CERTIFICADO!$E$5)),MAX($Y$4:Y2675)+1,"")</f>
        <v/>
      </c>
    </row>
    <row r="2677" customFormat="false" ht="15" hidden="false" customHeight="false" outlineLevel="0" collapsed="false">
      <c r="A2677" s="11" t="str">
        <f aca="false">IF(C2677="","",ROW()-4)</f>
        <v/>
      </c>
      <c r="B2677" s="12"/>
      <c r="C2677" s="13"/>
      <c r="D2677" s="23" t="str">
        <f aca="false">IF(C2677="","",IFERROR(INDEX(LOTES!$D$5:$D$1004,MATCH(C2677,LOTES!$F$5:$F$1004,0)),"¿Lote?"))</f>
        <v/>
      </c>
      <c r="E2677" s="11" t="str">
        <f aca="false">IF(C2677="","",IFERROR(INDEX(LOTES!$C$5:$C$1004,MATCH(C2677,LOTES!$F$5:$F$1004,0)),""))</f>
        <v/>
      </c>
      <c r="F2677" s="24" t="str">
        <f aca="false">IF(C2677="","",IFERROR(INDEX(LOTES!$B$5:$B$1004,MATCH(C2677,LOTES!$F$5:$F$1004,0)),""))</f>
        <v/>
      </c>
      <c r="G2677" s="15" t="str">
        <f aca="false">IF(OR(B2677="",F2677=""),"",B2677-F2677)</f>
        <v/>
      </c>
      <c r="H2677" s="13"/>
      <c r="I2677" s="13"/>
      <c r="J2677" s="13"/>
      <c r="K2677" s="25"/>
      <c r="L2677" s="25"/>
      <c r="M2677" s="25"/>
      <c r="N2677" s="25"/>
      <c r="O2677" s="26"/>
      <c r="P2677" s="16" t="str">
        <f aca="false">IF(O2677="","",IFERROR(1/(1/(IF(K2677="",INDEX(CONFIG!$F$5:$F$14,MATCH(D2677,CONFIG!$D$5:$D$14,0)),K2677)*IF(M2677="",INDEX(CONFIG!$H$5:$H$14,MATCH(D2677,CONFIG!$D$5:$D$14,0)),M2677))),""))</f>
        <v/>
      </c>
      <c r="Q2677" s="16" t="str">
        <f aca="false">IF(OR(O2677="",P2677=""),"",O2677/P2677)</f>
        <v/>
      </c>
      <c r="R2677" s="16" t="str">
        <f aca="false">IF(Q2677="","",Q2677*0.0980665)</f>
        <v/>
      </c>
      <c r="S2677" s="16" t="str">
        <f aca="false">IF(Q2677="","",IFERROR(Q2677/(1/(1/INDEX(CONFIG!$I$5:$I$14,MATCH(D2677,CONFIG!$D$5:$D$14,0)))),""))</f>
        <v/>
      </c>
      <c r="T2677" s="13"/>
      <c r="U2677" s="13"/>
      <c r="V2677" s="13"/>
      <c r="W2677" s="13"/>
      <c r="X2677" s="22" t="str">
        <f aca="false">IF(Q2677="","",Q2677^2)</f>
        <v/>
      </c>
      <c r="Y2677" s="22" t="str">
        <f aca="false">IF(AND(C2677&lt;&gt;"",C2677=CERTIFICADO!$E$4,OR(CERTIFICADO!$E$5="",B2677=CERTIFICADO!$E$5)),MAX($Y$4:Y2676)+1,"")</f>
        <v/>
      </c>
    </row>
    <row r="2678" customFormat="false" ht="15" hidden="false" customHeight="false" outlineLevel="0" collapsed="false">
      <c r="A2678" s="11" t="str">
        <f aca="false">IF(C2678="","",ROW()-4)</f>
        <v/>
      </c>
      <c r="B2678" s="12"/>
      <c r="C2678" s="13"/>
      <c r="D2678" s="23" t="str">
        <f aca="false">IF(C2678="","",IFERROR(INDEX(LOTES!$D$5:$D$1004,MATCH(C2678,LOTES!$F$5:$F$1004,0)),"¿Lote?"))</f>
        <v/>
      </c>
      <c r="E2678" s="11" t="str">
        <f aca="false">IF(C2678="","",IFERROR(INDEX(LOTES!$C$5:$C$1004,MATCH(C2678,LOTES!$F$5:$F$1004,0)),""))</f>
        <v/>
      </c>
      <c r="F2678" s="24" t="str">
        <f aca="false">IF(C2678="","",IFERROR(INDEX(LOTES!$B$5:$B$1004,MATCH(C2678,LOTES!$F$5:$F$1004,0)),""))</f>
        <v/>
      </c>
      <c r="G2678" s="15" t="str">
        <f aca="false">IF(OR(B2678="",F2678=""),"",B2678-F2678)</f>
        <v/>
      </c>
      <c r="H2678" s="13"/>
      <c r="I2678" s="13"/>
      <c r="J2678" s="13"/>
      <c r="K2678" s="25"/>
      <c r="L2678" s="25"/>
      <c r="M2678" s="25"/>
      <c r="N2678" s="25"/>
      <c r="O2678" s="26"/>
      <c r="P2678" s="16" t="str">
        <f aca="false">IF(O2678="","",IFERROR(1/(1/(IF(K2678="",INDEX(CONFIG!$F$5:$F$14,MATCH(D2678,CONFIG!$D$5:$D$14,0)),K2678)*IF(M2678="",INDEX(CONFIG!$H$5:$H$14,MATCH(D2678,CONFIG!$D$5:$D$14,0)),M2678))),""))</f>
        <v/>
      </c>
      <c r="Q2678" s="16" t="str">
        <f aca="false">IF(OR(O2678="",P2678=""),"",O2678/P2678)</f>
        <v/>
      </c>
      <c r="R2678" s="16" t="str">
        <f aca="false">IF(Q2678="","",Q2678*0.0980665)</f>
        <v/>
      </c>
      <c r="S2678" s="16" t="str">
        <f aca="false">IF(Q2678="","",IFERROR(Q2678/(1/(1/INDEX(CONFIG!$I$5:$I$14,MATCH(D2678,CONFIG!$D$5:$D$14,0)))),""))</f>
        <v/>
      </c>
      <c r="T2678" s="13"/>
      <c r="U2678" s="13"/>
      <c r="V2678" s="13"/>
      <c r="W2678" s="13"/>
      <c r="X2678" s="22" t="str">
        <f aca="false">IF(Q2678="","",Q2678^2)</f>
        <v/>
      </c>
      <c r="Y2678" s="22" t="str">
        <f aca="false">IF(AND(C2678&lt;&gt;"",C2678=CERTIFICADO!$E$4,OR(CERTIFICADO!$E$5="",B2678=CERTIFICADO!$E$5)),MAX($Y$4:Y2677)+1,"")</f>
        <v/>
      </c>
    </row>
    <row r="2679" customFormat="false" ht="15" hidden="false" customHeight="false" outlineLevel="0" collapsed="false">
      <c r="A2679" s="11" t="str">
        <f aca="false">IF(C2679="","",ROW()-4)</f>
        <v/>
      </c>
      <c r="B2679" s="12"/>
      <c r="C2679" s="13"/>
      <c r="D2679" s="23" t="str">
        <f aca="false">IF(C2679="","",IFERROR(INDEX(LOTES!$D$5:$D$1004,MATCH(C2679,LOTES!$F$5:$F$1004,0)),"¿Lote?"))</f>
        <v/>
      </c>
      <c r="E2679" s="11" t="str">
        <f aca="false">IF(C2679="","",IFERROR(INDEX(LOTES!$C$5:$C$1004,MATCH(C2679,LOTES!$F$5:$F$1004,0)),""))</f>
        <v/>
      </c>
      <c r="F2679" s="24" t="str">
        <f aca="false">IF(C2679="","",IFERROR(INDEX(LOTES!$B$5:$B$1004,MATCH(C2679,LOTES!$F$5:$F$1004,0)),""))</f>
        <v/>
      </c>
      <c r="G2679" s="15" t="str">
        <f aca="false">IF(OR(B2679="",F2679=""),"",B2679-F2679)</f>
        <v/>
      </c>
      <c r="H2679" s="13"/>
      <c r="I2679" s="13"/>
      <c r="J2679" s="13"/>
      <c r="K2679" s="25"/>
      <c r="L2679" s="25"/>
      <c r="M2679" s="25"/>
      <c r="N2679" s="25"/>
      <c r="O2679" s="26"/>
      <c r="P2679" s="16" t="str">
        <f aca="false">IF(O2679="","",IFERROR(1/(1/(IF(K2679="",INDEX(CONFIG!$F$5:$F$14,MATCH(D2679,CONFIG!$D$5:$D$14,0)),K2679)*IF(M2679="",INDEX(CONFIG!$H$5:$H$14,MATCH(D2679,CONFIG!$D$5:$D$14,0)),M2679))),""))</f>
        <v/>
      </c>
      <c r="Q2679" s="16" t="str">
        <f aca="false">IF(OR(O2679="",P2679=""),"",O2679/P2679)</f>
        <v/>
      </c>
      <c r="R2679" s="16" t="str">
        <f aca="false">IF(Q2679="","",Q2679*0.0980665)</f>
        <v/>
      </c>
      <c r="S2679" s="16" t="str">
        <f aca="false">IF(Q2679="","",IFERROR(Q2679/(1/(1/INDEX(CONFIG!$I$5:$I$14,MATCH(D2679,CONFIG!$D$5:$D$14,0)))),""))</f>
        <v/>
      </c>
      <c r="T2679" s="13"/>
      <c r="U2679" s="13"/>
      <c r="V2679" s="13"/>
      <c r="W2679" s="13"/>
      <c r="X2679" s="22" t="str">
        <f aca="false">IF(Q2679="","",Q2679^2)</f>
        <v/>
      </c>
      <c r="Y2679" s="22" t="str">
        <f aca="false">IF(AND(C2679&lt;&gt;"",C2679=CERTIFICADO!$E$4,OR(CERTIFICADO!$E$5="",B2679=CERTIFICADO!$E$5)),MAX($Y$4:Y2678)+1,"")</f>
        <v/>
      </c>
    </row>
    <row r="2680" customFormat="false" ht="15" hidden="false" customHeight="false" outlineLevel="0" collapsed="false">
      <c r="A2680" s="11" t="str">
        <f aca="false">IF(C2680="","",ROW()-4)</f>
        <v/>
      </c>
      <c r="B2680" s="12"/>
      <c r="C2680" s="13"/>
      <c r="D2680" s="23" t="str">
        <f aca="false">IF(C2680="","",IFERROR(INDEX(LOTES!$D$5:$D$1004,MATCH(C2680,LOTES!$F$5:$F$1004,0)),"¿Lote?"))</f>
        <v/>
      </c>
      <c r="E2680" s="11" t="str">
        <f aca="false">IF(C2680="","",IFERROR(INDEX(LOTES!$C$5:$C$1004,MATCH(C2680,LOTES!$F$5:$F$1004,0)),""))</f>
        <v/>
      </c>
      <c r="F2680" s="24" t="str">
        <f aca="false">IF(C2680="","",IFERROR(INDEX(LOTES!$B$5:$B$1004,MATCH(C2680,LOTES!$F$5:$F$1004,0)),""))</f>
        <v/>
      </c>
      <c r="G2680" s="15" t="str">
        <f aca="false">IF(OR(B2680="",F2680=""),"",B2680-F2680)</f>
        <v/>
      </c>
      <c r="H2680" s="13"/>
      <c r="I2680" s="13"/>
      <c r="J2680" s="13"/>
      <c r="K2680" s="25"/>
      <c r="L2680" s="25"/>
      <c r="M2680" s="25"/>
      <c r="N2680" s="25"/>
      <c r="O2680" s="26"/>
      <c r="P2680" s="16" t="str">
        <f aca="false">IF(O2680="","",IFERROR(1/(1/(IF(K2680="",INDEX(CONFIG!$F$5:$F$14,MATCH(D2680,CONFIG!$D$5:$D$14,0)),K2680)*IF(M2680="",INDEX(CONFIG!$H$5:$H$14,MATCH(D2680,CONFIG!$D$5:$D$14,0)),M2680))),""))</f>
        <v/>
      </c>
      <c r="Q2680" s="16" t="str">
        <f aca="false">IF(OR(O2680="",P2680=""),"",O2680/P2680)</f>
        <v/>
      </c>
      <c r="R2680" s="16" t="str">
        <f aca="false">IF(Q2680="","",Q2680*0.0980665)</f>
        <v/>
      </c>
      <c r="S2680" s="16" t="str">
        <f aca="false">IF(Q2680="","",IFERROR(Q2680/(1/(1/INDEX(CONFIG!$I$5:$I$14,MATCH(D2680,CONFIG!$D$5:$D$14,0)))),""))</f>
        <v/>
      </c>
      <c r="T2680" s="13"/>
      <c r="U2680" s="13"/>
      <c r="V2680" s="13"/>
      <c r="W2680" s="13"/>
      <c r="X2680" s="22" t="str">
        <f aca="false">IF(Q2680="","",Q2680^2)</f>
        <v/>
      </c>
      <c r="Y2680" s="22" t="str">
        <f aca="false">IF(AND(C2680&lt;&gt;"",C2680=CERTIFICADO!$E$4,OR(CERTIFICADO!$E$5="",B2680=CERTIFICADO!$E$5)),MAX($Y$4:Y2679)+1,"")</f>
        <v/>
      </c>
    </row>
    <row r="2681" customFormat="false" ht="15" hidden="false" customHeight="false" outlineLevel="0" collapsed="false">
      <c r="A2681" s="11" t="str">
        <f aca="false">IF(C2681="","",ROW()-4)</f>
        <v/>
      </c>
      <c r="B2681" s="12"/>
      <c r="C2681" s="13"/>
      <c r="D2681" s="23" t="str">
        <f aca="false">IF(C2681="","",IFERROR(INDEX(LOTES!$D$5:$D$1004,MATCH(C2681,LOTES!$F$5:$F$1004,0)),"¿Lote?"))</f>
        <v/>
      </c>
      <c r="E2681" s="11" t="str">
        <f aca="false">IF(C2681="","",IFERROR(INDEX(LOTES!$C$5:$C$1004,MATCH(C2681,LOTES!$F$5:$F$1004,0)),""))</f>
        <v/>
      </c>
      <c r="F2681" s="24" t="str">
        <f aca="false">IF(C2681="","",IFERROR(INDEX(LOTES!$B$5:$B$1004,MATCH(C2681,LOTES!$F$5:$F$1004,0)),""))</f>
        <v/>
      </c>
      <c r="G2681" s="15" t="str">
        <f aca="false">IF(OR(B2681="",F2681=""),"",B2681-F2681)</f>
        <v/>
      </c>
      <c r="H2681" s="13"/>
      <c r="I2681" s="13"/>
      <c r="J2681" s="13"/>
      <c r="K2681" s="25"/>
      <c r="L2681" s="25"/>
      <c r="M2681" s="25"/>
      <c r="N2681" s="25"/>
      <c r="O2681" s="26"/>
      <c r="P2681" s="16" t="str">
        <f aca="false">IF(O2681="","",IFERROR(1/(1/(IF(K2681="",INDEX(CONFIG!$F$5:$F$14,MATCH(D2681,CONFIG!$D$5:$D$14,0)),K2681)*IF(M2681="",INDEX(CONFIG!$H$5:$H$14,MATCH(D2681,CONFIG!$D$5:$D$14,0)),M2681))),""))</f>
        <v/>
      </c>
      <c r="Q2681" s="16" t="str">
        <f aca="false">IF(OR(O2681="",P2681=""),"",O2681/P2681)</f>
        <v/>
      </c>
      <c r="R2681" s="16" t="str">
        <f aca="false">IF(Q2681="","",Q2681*0.0980665)</f>
        <v/>
      </c>
      <c r="S2681" s="16" t="str">
        <f aca="false">IF(Q2681="","",IFERROR(Q2681/(1/(1/INDEX(CONFIG!$I$5:$I$14,MATCH(D2681,CONFIG!$D$5:$D$14,0)))),""))</f>
        <v/>
      </c>
      <c r="T2681" s="13"/>
      <c r="U2681" s="13"/>
      <c r="V2681" s="13"/>
      <c r="W2681" s="13"/>
      <c r="X2681" s="22" t="str">
        <f aca="false">IF(Q2681="","",Q2681^2)</f>
        <v/>
      </c>
      <c r="Y2681" s="22" t="str">
        <f aca="false">IF(AND(C2681&lt;&gt;"",C2681=CERTIFICADO!$E$4,OR(CERTIFICADO!$E$5="",B2681=CERTIFICADO!$E$5)),MAX($Y$4:Y2680)+1,"")</f>
        <v/>
      </c>
    </row>
    <row r="2682" customFormat="false" ht="15" hidden="false" customHeight="false" outlineLevel="0" collapsed="false">
      <c r="A2682" s="11" t="str">
        <f aca="false">IF(C2682="","",ROW()-4)</f>
        <v/>
      </c>
      <c r="B2682" s="12"/>
      <c r="C2682" s="13"/>
      <c r="D2682" s="23" t="str">
        <f aca="false">IF(C2682="","",IFERROR(INDEX(LOTES!$D$5:$D$1004,MATCH(C2682,LOTES!$F$5:$F$1004,0)),"¿Lote?"))</f>
        <v/>
      </c>
      <c r="E2682" s="11" t="str">
        <f aca="false">IF(C2682="","",IFERROR(INDEX(LOTES!$C$5:$C$1004,MATCH(C2682,LOTES!$F$5:$F$1004,0)),""))</f>
        <v/>
      </c>
      <c r="F2682" s="24" t="str">
        <f aca="false">IF(C2682="","",IFERROR(INDEX(LOTES!$B$5:$B$1004,MATCH(C2682,LOTES!$F$5:$F$1004,0)),""))</f>
        <v/>
      </c>
      <c r="G2682" s="15" t="str">
        <f aca="false">IF(OR(B2682="",F2682=""),"",B2682-F2682)</f>
        <v/>
      </c>
      <c r="H2682" s="13"/>
      <c r="I2682" s="13"/>
      <c r="J2682" s="13"/>
      <c r="K2682" s="25"/>
      <c r="L2682" s="25"/>
      <c r="M2682" s="25"/>
      <c r="N2682" s="25"/>
      <c r="O2682" s="26"/>
      <c r="P2682" s="16" t="str">
        <f aca="false">IF(O2682="","",IFERROR(1/(1/(IF(K2682="",INDEX(CONFIG!$F$5:$F$14,MATCH(D2682,CONFIG!$D$5:$D$14,0)),K2682)*IF(M2682="",INDEX(CONFIG!$H$5:$H$14,MATCH(D2682,CONFIG!$D$5:$D$14,0)),M2682))),""))</f>
        <v/>
      </c>
      <c r="Q2682" s="16" t="str">
        <f aca="false">IF(OR(O2682="",P2682=""),"",O2682/P2682)</f>
        <v/>
      </c>
      <c r="R2682" s="16" t="str">
        <f aca="false">IF(Q2682="","",Q2682*0.0980665)</f>
        <v/>
      </c>
      <c r="S2682" s="16" t="str">
        <f aca="false">IF(Q2682="","",IFERROR(Q2682/(1/(1/INDEX(CONFIG!$I$5:$I$14,MATCH(D2682,CONFIG!$D$5:$D$14,0)))),""))</f>
        <v/>
      </c>
      <c r="T2682" s="13"/>
      <c r="U2682" s="13"/>
      <c r="V2682" s="13"/>
      <c r="W2682" s="13"/>
      <c r="X2682" s="22" t="str">
        <f aca="false">IF(Q2682="","",Q2682^2)</f>
        <v/>
      </c>
      <c r="Y2682" s="22" t="str">
        <f aca="false">IF(AND(C2682&lt;&gt;"",C2682=CERTIFICADO!$E$4,OR(CERTIFICADO!$E$5="",B2682=CERTIFICADO!$E$5)),MAX($Y$4:Y2681)+1,"")</f>
        <v/>
      </c>
    </row>
    <row r="2683" customFormat="false" ht="15" hidden="false" customHeight="false" outlineLevel="0" collapsed="false">
      <c r="A2683" s="11" t="str">
        <f aca="false">IF(C2683="","",ROW()-4)</f>
        <v/>
      </c>
      <c r="B2683" s="12"/>
      <c r="C2683" s="13"/>
      <c r="D2683" s="23" t="str">
        <f aca="false">IF(C2683="","",IFERROR(INDEX(LOTES!$D$5:$D$1004,MATCH(C2683,LOTES!$F$5:$F$1004,0)),"¿Lote?"))</f>
        <v/>
      </c>
      <c r="E2683" s="11" t="str">
        <f aca="false">IF(C2683="","",IFERROR(INDEX(LOTES!$C$5:$C$1004,MATCH(C2683,LOTES!$F$5:$F$1004,0)),""))</f>
        <v/>
      </c>
      <c r="F2683" s="24" t="str">
        <f aca="false">IF(C2683="","",IFERROR(INDEX(LOTES!$B$5:$B$1004,MATCH(C2683,LOTES!$F$5:$F$1004,0)),""))</f>
        <v/>
      </c>
      <c r="G2683" s="15" t="str">
        <f aca="false">IF(OR(B2683="",F2683=""),"",B2683-F2683)</f>
        <v/>
      </c>
      <c r="H2683" s="13"/>
      <c r="I2683" s="13"/>
      <c r="J2683" s="13"/>
      <c r="K2683" s="25"/>
      <c r="L2683" s="25"/>
      <c r="M2683" s="25"/>
      <c r="N2683" s="25"/>
      <c r="O2683" s="26"/>
      <c r="P2683" s="16" t="str">
        <f aca="false">IF(O2683="","",IFERROR(1/(1/(IF(K2683="",INDEX(CONFIG!$F$5:$F$14,MATCH(D2683,CONFIG!$D$5:$D$14,0)),K2683)*IF(M2683="",INDEX(CONFIG!$H$5:$H$14,MATCH(D2683,CONFIG!$D$5:$D$14,0)),M2683))),""))</f>
        <v/>
      </c>
      <c r="Q2683" s="16" t="str">
        <f aca="false">IF(OR(O2683="",P2683=""),"",O2683/P2683)</f>
        <v/>
      </c>
      <c r="R2683" s="16" t="str">
        <f aca="false">IF(Q2683="","",Q2683*0.0980665)</f>
        <v/>
      </c>
      <c r="S2683" s="16" t="str">
        <f aca="false">IF(Q2683="","",IFERROR(Q2683/(1/(1/INDEX(CONFIG!$I$5:$I$14,MATCH(D2683,CONFIG!$D$5:$D$14,0)))),""))</f>
        <v/>
      </c>
      <c r="T2683" s="13"/>
      <c r="U2683" s="13"/>
      <c r="V2683" s="13"/>
      <c r="W2683" s="13"/>
      <c r="X2683" s="22" t="str">
        <f aca="false">IF(Q2683="","",Q2683^2)</f>
        <v/>
      </c>
      <c r="Y2683" s="22" t="str">
        <f aca="false">IF(AND(C2683&lt;&gt;"",C2683=CERTIFICADO!$E$4,OR(CERTIFICADO!$E$5="",B2683=CERTIFICADO!$E$5)),MAX($Y$4:Y2682)+1,"")</f>
        <v/>
      </c>
    </row>
    <row r="2684" customFormat="false" ht="15" hidden="false" customHeight="false" outlineLevel="0" collapsed="false">
      <c r="A2684" s="11" t="str">
        <f aca="false">IF(C2684="","",ROW()-4)</f>
        <v/>
      </c>
      <c r="B2684" s="12"/>
      <c r="C2684" s="13"/>
      <c r="D2684" s="23" t="str">
        <f aca="false">IF(C2684="","",IFERROR(INDEX(LOTES!$D$5:$D$1004,MATCH(C2684,LOTES!$F$5:$F$1004,0)),"¿Lote?"))</f>
        <v/>
      </c>
      <c r="E2684" s="11" t="str">
        <f aca="false">IF(C2684="","",IFERROR(INDEX(LOTES!$C$5:$C$1004,MATCH(C2684,LOTES!$F$5:$F$1004,0)),""))</f>
        <v/>
      </c>
      <c r="F2684" s="24" t="str">
        <f aca="false">IF(C2684="","",IFERROR(INDEX(LOTES!$B$5:$B$1004,MATCH(C2684,LOTES!$F$5:$F$1004,0)),""))</f>
        <v/>
      </c>
      <c r="G2684" s="15" t="str">
        <f aca="false">IF(OR(B2684="",F2684=""),"",B2684-F2684)</f>
        <v/>
      </c>
      <c r="H2684" s="13"/>
      <c r="I2684" s="13"/>
      <c r="J2684" s="13"/>
      <c r="K2684" s="25"/>
      <c r="L2684" s="25"/>
      <c r="M2684" s="25"/>
      <c r="N2684" s="25"/>
      <c r="O2684" s="26"/>
      <c r="P2684" s="16" t="str">
        <f aca="false">IF(O2684="","",IFERROR(1/(1/(IF(K2684="",INDEX(CONFIG!$F$5:$F$14,MATCH(D2684,CONFIG!$D$5:$D$14,0)),K2684)*IF(M2684="",INDEX(CONFIG!$H$5:$H$14,MATCH(D2684,CONFIG!$D$5:$D$14,0)),M2684))),""))</f>
        <v/>
      </c>
      <c r="Q2684" s="16" t="str">
        <f aca="false">IF(OR(O2684="",P2684=""),"",O2684/P2684)</f>
        <v/>
      </c>
      <c r="R2684" s="16" t="str">
        <f aca="false">IF(Q2684="","",Q2684*0.0980665)</f>
        <v/>
      </c>
      <c r="S2684" s="16" t="str">
        <f aca="false">IF(Q2684="","",IFERROR(Q2684/(1/(1/INDEX(CONFIG!$I$5:$I$14,MATCH(D2684,CONFIG!$D$5:$D$14,0)))),""))</f>
        <v/>
      </c>
      <c r="T2684" s="13"/>
      <c r="U2684" s="13"/>
      <c r="V2684" s="13"/>
      <c r="W2684" s="13"/>
      <c r="X2684" s="22" t="str">
        <f aca="false">IF(Q2684="","",Q2684^2)</f>
        <v/>
      </c>
      <c r="Y2684" s="22" t="str">
        <f aca="false">IF(AND(C2684&lt;&gt;"",C2684=CERTIFICADO!$E$4,OR(CERTIFICADO!$E$5="",B2684=CERTIFICADO!$E$5)),MAX($Y$4:Y2683)+1,"")</f>
        <v/>
      </c>
    </row>
    <row r="2685" customFormat="false" ht="15" hidden="false" customHeight="false" outlineLevel="0" collapsed="false">
      <c r="A2685" s="11" t="str">
        <f aca="false">IF(C2685="","",ROW()-4)</f>
        <v/>
      </c>
      <c r="B2685" s="12"/>
      <c r="C2685" s="13"/>
      <c r="D2685" s="23" t="str">
        <f aca="false">IF(C2685="","",IFERROR(INDEX(LOTES!$D$5:$D$1004,MATCH(C2685,LOTES!$F$5:$F$1004,0)),"¿Lote?"))</f>
        <v/>
      </c>
      <c r="E2685" s="11" t="str">
        <f aca="false">IF(C2685="","",IFERROR(INDEX(LOTES!$C$5:$C$1004,MATCH(C2685,LOTES!$F$5:$F$1004,0)),""))</f>
        <v/>
      </c>
      <c r="F2685" s="24" t="str">
        <f aca="false">IF(C2685="","",IFERROR(INDEX(LOTES!$B$5:$B$1004,MATCH(C2685,LOTES!$F$5:$F$1004,0)),""))</f>
        <v/>
      </c>
      <c r="G2685" s="15" t="str">
        <f aca="false">IF(OR(B2685="",F2685=""),"",B2685-F2685)</f>
        <v/>
      </c>
      <c r="H2685" s="13"/>
      <c r="I2685" s="13"/>
      <c r="J2685" s="13"/>
      <c r="K2685" s="25"/>
      <c r="L2685" s="25"/>
      <c r="M2685" s="25"/>
      <c r="N2685" s="25"/>
      <c r="O2685" s="26"/>
      <c r="P2685" s="16" t="str">
        <f aca="false">IF(O2685="","",IFERROR(1/(1/(IF(K2685="",INDEX(CONFIG!$F$5:$F$14,MATCH(D2685,CONFIG!$D$5:$D$14,0)),K2685)*IF(M2685="",INDEX(CONFIG!$H$5:$H$14,MATCH(D2685,CONFIG!$D$5:$D$14,0)),M2685))),""))</f>
        <v/>
      </c>
      <c r="Q2685" s="16" t="str">
        <f aca="false">IF(OR(O2685="",P2685=""),"",O2685/P2685)</f>
        <v/>
      </c>
      <c r="R2685" s="16" t="str">
        <f aca="false">IF(Q2685="","",Q2685*0.0980665)</f>
        <v/>
      </c>
      <c r="S2685" s="16" t="str">
        <f aca="false">IF(Q2685="","",IFERROR(Q2685/(1/(1/INDEX(CONFIG!$I$5:$I$14,MATCH(D2685,CONFIG!$D$5:$D$14,0)))),""))</f>
        <v/>
      </c>
      <c r="T2685" s="13"/>
      <c r="U2685" s="13"/>
      <c r="V2685" s="13"/>
      <c r="W2685" s="13"/>
      <c r="X2685" s="22" t="str">
        <f aca="false">IF(Q2685="","",Q2685^2)</f>
        <v/>
      </c>
      <c r="Y2685" s="22" t="str">
        <f aca="false">IF(AND(C2685&lt;&gt;"",C2685=CERTIFICADO!$E$4,OR(CERTIFICADO!$E$5="",B2685=CERTIFICADO!$E$5)),MAX($Y$4:Y2684)+1,"")</f>
        <v/>
      </c>
    </row>
    <row r="2686" customFormat="false" ht="15" hidden="false" customHeight="false" outlineLevel="0" collapsed="false">
      <c r="A2686" s="11" t="str">
        <f aca="false">IF(C2686="","",ROW()-4)</f>
        <v/>
      </c>
      <c r="B2686" s="12"/>
      <c r="C2686" s="13"/>
      <c r="D2686" s="23" t="str">
        <f aca="false">IF(C2686="","",IFERROR(INDEX(LOTES!$D$5:$D$1004,MATCH(C2686,LOTES!$F$5:$F$1004,0)),"¿Lote?"))</f>
        <v/>
      </c>
      <c r="E2686" s="11" t="str">
        <f aca="false">IF(C2686="","",IFERROR(INDEX(LOTES!$C$5:$C$1004,MATCH(C2686,LOTES!$F$5:$F$1004,0)),""))</f>
        <v/>
      </c>
      <c r="F2686" s="24" t="str">
        <f aca="false">IF(C2686="","",IFERROR(INDEX(LOTES!$B$5:$B$1004,MATCH(C2686,LOTES!$F$5:$F$1004,0)),""))</f>
        <v/>
      </c>
      <c r="G2686" s="15" t="str">
        <f aca="false">IF(OR(B2686="",F2686=""),"",B2686-F2686)</f>
        <v/>
      </c>
      <c r="H2686" s="13"/>
      <c r="I2686" s="13"/>
      <c r="J2686" s="13"/>
      <c r="K2686" s="25"/>
      <c r="L2686" s="25"/>
      <c r="M2686" s="25"/>
      <c r="N2686" s="25"/>
      <c r="O2686" s="26"/>
      <c r="P2686" s="16" t="str">
        <f aca="false">IF(O2686="","",IFERROR(1/(1/(IF(K2686="",INDEX(CONFIG!$F$5:$F$14,MATCH(D2686,CONFIG!$D$5:$D$14,0)),K2686)*IF(M2686="",INDEX(CONFIG!$H$5:$H$14,MATCH(D2686,CONFIG!$D$5:$D$14,0)),M2686))),""))</f>
        <v/>
      </c>
      <c r="Q2686" s="16" t="str">
        <f aca="false">IF(OR(O2686="",P2686=""),"",O2686/P2686)</f>
        <v/>
      </c>
      <c r="R2686" s="16" t="str">
        <f aca="false">IF(Q2686="","",Q2686*0.0980665)</f>
        <v/>
      </c>
      <c r="S2686" s="16" t="str">
        <f aca="false">IF(Q2686="","",IFERROR(Q2686/(1/(1/INDEX(CONFIG!$I$5:$I$14,MATCH(D2686,CONFIG!$D$5:$D$14,0)))),""))</f>
        <v/>
      </c>
      <c r="T2686" s="13"/>
      <c r="U2686" s="13"/>
      <c r="V2686" s="13"/>
      <c r="W2686" s="13"/>
      <c r="X2686" s="22" t="str">
        <f aca="false">IF(Q2686="","",Q2686^2)</f>
        <v/>
      </c>
      <c r="Y2686" s="22" t="str">
        <f aca="false">IF(AND(C2686&lt;&gt;"",C2686=CERTIFICADO!$E$4,OR(CERTIFICADO!$E$5="",B2686=CERTIFICADO!$E$5)),MAX($Y$4:Y2685)+1,"")</f>
        <v/>
      </c>
    </row>
    <row r="2687" customFormat="false" ht="15" hidden="false" customHeight="false" outlineLevel="0" collapsed="false">
      <c r="A2687" s="11" t="str">
        <f aca="false">IF(C2687="","",ROW()-4)</f>
        <v/>
      </c>
      <c r="B2687" s="12"/>
      <c r="C2687" s="13"/>
      <c r="D2687" s="23" t="str">
        <f aca="false">IF(C2687="","",IFERROR(INDEX(LOTES!$D$5:$D$1004,MATCH(C2687,LOTES!$F$5:$F$1004,0)),"¿Lote?"))</f>
        <v/>
      </c>
      <c r="E2687" s="11" t="str">
        <f aca="false">IF(C2687="","",IFERROR(INDEX(LOTES!$C$5:$C$1004,MATCH(C2687,LOTES!$F$5:$F$1004,0)),""))</f>
        <v/>
      </c>
      <c r="F2687" s="24" t="str">
        <f aca="false">IF(C2687="","",IFERROR(INDEX(LOTES!$B$5:$B$1004,MATCH(C2687,LOTES!$F$5:$F$1004,0)),""))</f>
        <v/>
      </c>
      <c r="G2687" s="15" t="str">
        <f aca="false">IF(OR(B2687="",F2687=""),"",B2687-F2687)</f>
        <v/>
      </c>
      <c r="H2687" s="13"/>
      <c r="I2687" s="13"/>
      <c r="J2687" s="13"/>
      <c r="K2687" s="25"/>
      <c r="L2687" s="25"/>
      <c r="M2687" s="25"/>
      <c r="N2687" s="25"/>
      <c r="O2687" s="26"/>
      <c r="P2687" s="16" t="str">
        <f aca="false">IF(O2687="","",IFERROR(1/(1/(IF(K2687="",INDEX(CONFIG!$F$5:$F$14,MATCH(D2687,CONFIG!$D$5:$D$14,0)),K2687)*IF(M2687="",INDEX(CONFIG!$H$5:$H$14,MATCH(D2687,CONFIG!$D$5:$D$14,0)),M2687))),""))</f>
        <v/>
      </c>
      <c r="Q2687" s="16" t="str">
        <f aca="false">IF(OR(O2687="",P2687=""),"",O2687/P2687)</f>
        <v/>
      </c>
      <c r="R2687" s="16" t="str">
        <f aca="false">IF(Q2687="","",Q2687*0.0980665)</f>
        <v/>
      </c>
      <c r="S2687" s="16" t="str">
        <f aca="false">IF(Q2687="","",IFERROR(Q2687/(1/(1/INDEX(CONFIG!$I$5:$I$14,MATCH(D2687,CONFIG!$D$5:$D$14,0)))),""))</f>
        <v/>
      </c>
      <c r="T2687" s="13"/>
      <c r="U2687" s="13"/>
      <c r="V2687" s="13"/>
      <c r="W2687" s="13"/>
      <c r="X2687" s="22" t="str">
        <f aca="false">IF(Q2687="","",Q2687^2)</f>
        <v/>
      </c>
      <c r="Y2687" s="22" t="str">
        <f aca="false">IF(AND(C2687&lt;&gt;"",C2687=CERTIFICADO!$E$4,OR(CERTIFICADO!$E$5="",B2687=CERTIFICADO!$E$5)),MAX($Y$4:Y2686)+1,"")</f>
        <v/>
      </c>
    </row>
    <row r="2688" customFormat="false" ht="15" hidden="false" customHeight="false" outlineLevel="0" collapsed="false">
      <c r="A2688" s="11" t="str">
        <f aca="false">IF(C2688="","",ROW()-4)</f>
        <v/>
      </c>
      <c r="B2688" s="12"/>
      <c r="C2688" s="13"/>
      <c r="D2688" s="23" t="str">
        <f aca="false">IF(C2688="","",IFERROR(INDEX(LOTES!$D$5:$D$1004,MATCH(C2688,LOTES!$F$5:$F$1004,0)),"¿Lote?"))</f>
        <v/>
      </c>
      <c r="E2688" s="11" t="str">
        <f aca="false">IF(C2688="","",IFERROR(INDEX(LOTES!$C$5:$C$1004,MATCH(C2688,LOTES!$F$5:$F$1004,0)),""))</f>
        <v/>
      </c>
      <c r="F2688" s="24" t="str">
        <f aca="false">IF(C2688="","",IFERROR(INDEX(LOTES!$B$5:$B$1004,MATCH(C2688,LOTES!$F$5:$F$1004,0)),""))</f>
        <v/>
      </c>
      <c r="G2688" s="15" t="str">
        <f aca="false">IF(OR(B2688="",F2688=""),"",B2688-F2688)</f>
        <v/>
      </c>
      <c r="H2688" s="13"/>
      <c r="I2688" s="13"/>
      <c r="J2688" s="13"/>
      <c r="K2688" s="25"/>
      <c r="L2688" s="25"/>
      <c r="M2688" s="25"/>
      <c r="N2688" s="25"/>
      <c r="O2688" s="26"/>
      <c r="P2688" s="16" t="str">
        <f aca="false">IF(O2688="","",IFERROR(1/(1/(IF(K2688="",INDEX(CONFIG!$F$5:$F$14,MATCH(D2688,CONFIG!$D$5:$D$14,0)),K2688)*IF(M2688="",INDEX(CONFIG!$H$5:$H$14,MATCH(D2688,CONFIG!$D$5:$D$14,0)),M2688))),""))</f>
        <v/>
      </c>
      <c r="Q2688" s="16" t="str">
        <f aca="false">IF(OR(O2688="",P2688=""),"",O2688/P2688)</f>
        <v/>
      </c>
      <c r="R2688" s="16" t="str">
        <f aca="false">IF(Q2688="","",Q2688*0.0980665)</f>
        <v/>
      </c>
      <c r="S2688" s="16" t="str">
        <f aca="false">IF(Q2688="","",IFERROR(Q2688/(1/(1/INDEX(CONFIG!$I$5:$I$14,MATCH(D2688,CONFIG!$D$5:$D$14,0)))),""))</f>
        <v/>
      </c>
      <c r="T2688" s="13"/>
      <c r="U2688" s="13"/>
      <c r="V2688" s="13"/>
      <c r="W2688" s="13"/>
      <c r="X2688" s="22" t="str">
        <f aca="false">IF(Q2688="","",Q2688^2)</f>
        <v/>
      </c>
      <c r="Y2688" s="22" t="str">
        <f aca="false">IF(AND(C2688&lt;&gt;"",C2688=CERTIFICADO!$E$4,OR(CERTIFICADO!$E$5="",B2688=CERTIFICADO!$E$5)),MAX($Y$4:Y2687)+1,"")</f>
        <v/>
      </c>
    </row>
    <row r="2689" customFormat="false" ht="15" hidden="false" customHeight="false" outlineLevel="0" collapsed="false">
      <c r="A2689" s="11" t="str">
        <f aca="false">IF(C2689="","",ROW()-4)</f>
        <v/>
      </c>
      <c r="B2689" s="12"/>
      <c r="C2689" s="13"/>
      <c r="D2689" s="23" t="str">
        <f aca="false">IF(C2689="","",IFERROR(INDEX(LOTES!$D$5:$D$1004,MATCH(C2689,LOTES!$F$5:$F$1004,0)),"¿Lote?"))</f>
        <v/>
      </c>
      <c r="E2689" s="11" t="str">
        <f aca="false">IF(C2689="","",IFERROR(INDEX(LOTES!$C$5:$C$1004,MATCH(C2689,LOTES!$F$5:$F$1004,0)),""))</f>
        <v/>
      </c>
      <c r="F2689" s="24" t="str">
        <f aca="false">IF(C2689="","",IFERROR(INDEX(LOTES!$B$5:$B$1004,MATCH(C2689,LOTES!$F$5:$F$1004,0)),""))</f>
        <v/>
      </c>
      <c r="G2689" s="15" t="str">
        <f aca="false">IF(OR(B2689="",F2689=""),"",B2689-F2689)</f>
        <v/>
      </c>
      <c r="H2689" s="13"/>
      <c r="I2689" s="13"/>
      <c r="J2689" s="13"/>
      <c r="K2689" s="25"/>
      <c r="L2689" s="25"/>
      <c r="M2689" s="25"/>
      <c r="N2689" s="25"/>
      <c r="O2689" s="26"/>
      <c r="P2689" s="16" t="str">
        <f aca="false">IF(O2689="","",IFERROR(1/(1/(IF(K2689="",INDEX(CONFIG!$F$5:$F$14,MATCH(D2689,CONFIG!$D$5:$D$14,0)),K2689)*IF(M2689="",INDEX(CONFIG!$H$5:$H$14,MATCH(D2689,CONFIG!$D$5:$D$14,0)),M2689))),""))</f>
        <v/>
      </c>
      <c r="Q2689" s="16" t="str">
        <f aca="false">IF(OR(O2689="",P2689=""),"",O2689/P2689)</f>
        <v/>
      </c>
      <c r="R2689" s="16" t="str">
        <f aca="false">IF(Q2689="","",Q2689*0.0980665)</f>
        <v/>
      </c>
      <c r="S2689" s="16" t="str">
        <f aca="false">IF(Q2689="","",IFERROR(Q2689/(1/(1/INDEX(CONFIG!$I$5:$I$14,MATCH(D2689,CONFIG!$D$5:$D$14,0)))),""))</f>
        <v/>
      </c>
      <c r="T2689" s="13"/>
      <c r="U2689" s="13"/>
      <c r="V2689" s="13"/>
      <c r="W2689" s="13"/>
      <c r="X2689" s="22" t="str">
        <f aca="false">IF(Q2689="","",Q2689^2)</f>
        <v/>
      </c>
      <c r="Y2689" s="22" t="str">
        <f aca="false">IF(AND(C2689&lt;&gt;"",C2689=CERTIFICADO!$E$4,OR(CERTIFICADO!$E$5="",B2689=CERTIFICADO!$E$5)),MAX($Y$4:Y2688)+1,"")</f>
        <v/>
      </c>
    </row>
    <row r="2690" customFormat="false" ht="15" hidden="false" customHeight="false" outlineLevel="0" collapsed="false">
      <c r="A2690" s="11" t="str">
        <f aca="false">IF(C2690="","",ROW()-4)</f>
        <v/>
      </c>
      <c r="B2690" s="12"/>
      <c r="C2690" s="13"/>
      <c r="D2690" s="23" t="str">
        <f aca="false">IF(C2690="","",IFERROR(INDEX(LOTES!$D$5:$D$1004,MATCH(C2690,LOTES!$F$5:$F$1004,0)),"¿Lote?"))</f>
        <v/>
      </c>
      <c r="E2690" s="11" t="str">
        <f aca="false">IF(C2690="","",IFERROR(INDEX(LOTES!$C$5:$C$1004,MATCH(C2690,LOTES!$F$5:$F$1004,0)),""))</f>
        <v/>
      </c>
      <c r="F2690" s="24" t="str">
        <f aca="false">IF(C2690="","",IFERROR(INDEX(LOTES!$B$5:$B$1004,MATCH(C2690,LOTES!$F$5:$F$1004,0)),""))</f>
        <v/>
      </c>
      <c r="G2690" s="15" t="str">
        <f aca="false">IF(OR(B2690="",F2690=""),"",B2690-F2690)</f>
        <v/>
      </c>
      <c r="H2690" s="13"/>
      <c r="I2690" s="13"/>
      <c r="J2690" s="13"/>
      <c r="K2690" s="25"/>
      <c r="L2690" s="25"/>
      <c r="M2690" s="25"/>
      <c r="N2690" s="25"/>
      <c r="O2690" s="26"/>
      <c r="P2690" s="16" t="str">
        <f aca="false">IF(O2690="","",IFERROR(1/(1/(IF(K2690="",INDEX(CONFIG!$F$5:$F$14,MATCH(D2690,CONFIG!$D$5:$D$14,0)),K2690)*IF(M2690="",INDEX(CONFIG!$H$5:$H$14,MATCH(D2690,CONFIG!$D$5:$D$14,0)),M2690))),""))</f>
        <v/>
      </c>
      <c r="Q2690" s="16" t="str">
        <f aca="false">IF(OR(O2690="",P2690=""),"",O2690/P2690)</f>
        <v/>
      </c>
      <c r="R2690" s="16" t="str">
        <f aca="false">IF(Q2690="","",Q2690*0.0980665)</f>
        <v/>
      </c>
      <c r="S2690" s="16" t="str">
        <f aca="false">IF(Q2690="","",IFERROR(Q2690/(1/(1/INDEX(CONFIG!$I$5:$I$14,MATCH(D2690,CONFIG!$D$5:$D$14,0)))),""))</f>
        <v/>
      </c>
      <c r="T2690" s="13"/>
      <c r="U2690" s="13"/>
      <c r="V2690" s="13"/>
      <c r="W2690" s="13"/>
      <c r="X2690" s="22" t="str">
        <f aca="false">IF(Q2690="","",Q2690^2)</f>
        <v/>
      </c>
      <c r="Y2690" s="22" t="str">
        <f aca="false">IF(AND(C2690&lt;&gt;"",C2690=CERTIFICADO!$E$4,OR(CERTIFICADO!$E$5="",B2690=CERTIFICADO!$E$5)),MAX($Y$4:Y2689)+1,"")</f>
        <v/>
      </c>
    </row>
    <row r="2691" customFormat="false" ht="15" hidden="false" customHeight="false" outlineLevel="0" collapsed="false">
      <c r="A2691" s="11" t="str">
        <f aca="false">IF(C2691="","",ROW()-4)</f>
        <v/>
      </c>
      <c r="B2691" s="12"/>
      <c r="C2691" s="13"/>
      <c r="D2691" s="23" t="str">
        <f aca="false">IF(C2691="","",IFERROR(INDEX(LOTES!$D$5:$D$1004,MATCH(C2691,LOTES!$F$5:$F$1004,0)),"¿Lote?"))</f>
        <v/>
      </c>
      <c r="E2691" s="11" t="str">
        <f aca="false">IF(C2691="","",IFERROR(INDEX(LOTES!$C$5:$C$1004,MATCH(C2691,LOTES!$F$5:$F$1004,0)),""))</f>
        <v/>
      </c>
      <c r="F2691" s="24" t="str">
        <f aca="false">IF(C2691="","",IFERROR(INDEX(LOTES!$B$5:$B$1004,MATCH(C2691,LOTES!$F$5:$F$1004,0)),""))</f>
        <v/>
      </c>
      <c r="G2691" s="15" t="str">
        <f aca="false">IF(OR(B2691="",F2691=""),"",B2691-F2691)</f>
        <v/>
      </c>
      <c r="H2691" s="13"/>
      <c r="I2691" s="13"/>
      <c r="J2691" s="13"/>
      <c r="K2691" s="25"/>
      <c r="L2691" s="25"/>
      <c r="M2691" s="25"/>
      <c r="N2691" s="25"/>
      <c r="O2691" s="26"/>
      <c r="P2691" s="16" t="str">
        <f aca="false">IF(O2691="","",IFERROR(1/(1/(IF(K2691="",INDEX(CONFIG!$F$5:$F$14,MATCH(D2691,CONFIG!$D$5:$D$14,0)),K2691)*IF(M2691="",INDEX(CONFIG!$H$5:$H$14,MATCH(D2691,CONFIG!$D$5:$D$14,0)),M2691))),""))</f>
        <v/>
      </c>
      <c r="Q2691" s="16" t="str">
        <f aca="false">IF(OR(O2691="",P2691=""),"",O2691/P2691)</f>
        <v/>
      </c>
      <c r="R2691" s="16" t="str">
        <f aca="false">IF(Q2691="","",Q2691*0.0980665)</f>
        <v/>
      </c>
      <c r="S2691" s="16" t="str">
        <f aca="false">IF(Q2691="","",IFERROR(Q2691/(1/(1/INDEX(CONFIG!$I$5:$I$14,MATCH(D2691,CONFIG!$D$5:$D$14,0)))),""))</f>
        <v/>
      </c>
      <c r="T2691" s="13"/>
      <c r="U2691" s="13"/>
      <c r="V2691" s="13"/>
      <c r="W2691" s="13"/>
      <c r="X2691" s="22" t="str">
        <f aca="false">IF(Q2691="","",Q2691^2)</f>
        <v/>
      </c>
      <c r="Y2691" s="22" t="str">
        <f aca="false">IF(AND(C2691&lt;&gt;"",C2691=CERTIFICADO!$E$4,OR(CERTIFICADO!$E$5="",B2691=CERTIFICADO!$E$5)),MAX($Y$4:Y2690)+1,"")</f>
        <v/>
      </c>
    </row>
    <row r="2692" customFormat="false" ht="15" hidden="false" customHeight="false" outlineLevel="0" collapsed="false">
      <c r="A2692" s="11" t="str">
        <f aca="false">IF(C2692="","",ROW()-4)</f>
        <v/>
      </c>
      <c r="B2692" s="12"/>
      <c r="C2692" s="13"/>
      <c r="D2692" s="23" t="str">
        <f aca="false">IF(C2692="","",IFERROR(INDEX(LOTES!$D$5:$D$1004,MATCH(C2692,LOTES!$F$5:$F$1004,0)),"¿Lote?"))</f>
        <v/>
      </c>
      <c r="E2692" s="11" t="str">
        <f aca="false">IF(C2692="","",IFERROR(INDEX(LOTES!$C$5:$C$1004,MATCH(C2692,LOTES!$F$5:$F$1004,0)),""))</f>
        <v/>
      </c>
      <c r="F2692" s="24" t="str">
        <f aca="false">IF(C2692="","",IFERROR(INDEX(LOTES!$B$5:$B$1004,MATCH(C2692,LOTES!$F$5:$F$1004,0)),""))</f>
        <v/>
      </c>
      <c r="G2692" s="15" t="str">
        <f aca="false">IF(OR(B2692="",F2692=""),"",B2692-F2692)</f>
        <v/>
      </c>
      <c r="H2692" s="13"/>
      <c r="I2692" s="13"/>
      <c r="J2692" s="13"/>
      <c r="K2692" s="25"/>
      <c r="L2692" s="25"/>
      <c r="M2692" s="25"/>
      <c r="N2692" s="25"/>
      <c r="O2692" s="26"/>
      <c r="P2692" s="16" t="str">
        <f aca="false">IF(O2692="","",IFERROR(1/(1/(IF(K2692="",INDEX(CONFIG!$F$5:$F$14,MATCH(D2692,CONFIG!$D$5:$D$14,0)),K2692)*IF(M2692="",INDEX(CONFIG!$H$5:$H$14,MATCH(D2692,CONFIG!$D$5:$D$14,0)),M2692))),""))</f>
        <v/>
      </c>
      <c r="Q2692" s="16" t="str">
        <f aca="false">IF(OR(O2692="",P2692=""),"",O2692/P2692)</f>
        <v/>
      </c>
      <c r="R2692" s="16" t="str">
        <f aca="false">IF(Q2692="","",Q2692*0.0980665)</f>
        <v/>
      </c>
      <c r="S2692" s="16" t="str">
        <f aca="false">IF(Q2692="","",IFERROR(Q2692/(1/(1/INDEX(CONFIG!$I$5:$I$14,MATCH(D2692,CONFIG!$D$5:$D$14,0)))),""))</f>
        <v/>
      </c>
      <c r="T2692" s="13"/>
      <c r="U2692" s="13"/>
      <c r="V2692" s="13"/>
      <c r="W2692" s="13"/>
      <c r="X2692" s="22" t="str">
        <f aca="false">IF(Q2692="","",Q2692^2)</f>
        <v/>
      </c>
      <c r="Y2692" s="22" t="str">
        <f aca="false">IF(AND(C2692&lt;&gt;"",C2692=CERTIFICADO!$E$4,OR(CERTIFICADO!$E$5="",B2692=CERTIFICADO!$E$5)),MAX($Y$4:Y2691)+1,"")</f>
        <v/>
      </c>
    </row>
    <row r="2693" customFormat="false" ht="15" hidden="false" customHeight="false" outlineLevel="0" collapsed="false">
      <c r="A2693" s="11" t="str">
        <f aca="false">IF(C2693="","",ROW()-4)</f>
        <v/>
      </c>
      <c r="B2693" s="12"/>
      <c r="C2693" s="13"/>
      <c r="D2693" s="23" t="str">
        <f aca="false">IF(C2693="","",IFERROR(INDEX(LOTES!$D$5:$D$1004,MATCH(C2693,LOTES!$F$5:$F$1004,0)),"¿Lote?"))</f>
        <v/>
      </c>
      <c r="E2693" s="11" t="str">
        <f aca="false">IF(C2693="","",IFERROR(INDEX(LOTES!$C$5:$C$1004,MATCH(C2693,LOTES!$F$5:$F$1004,0)),""))</f>
        <v/>
      </c>
      <c r="F2693" s="24" t="str">
        <f aca="false">IF(C2693="","",IFERROR(INDEX(LOTES!$B$5:$B$1004,MATCH(C2693,LOTES!$F$5:$F$1004,0)),""))</f>
        <v/>
      </c>
      <c r="G2693" s="15" t="str">
        <f aca="false">IF(OR(B2693="",F2693=""),"",B2693-F2693)</f>
        <v/>
      </c>
      <c r="H2693" s="13"/>
      <c r="I2693" s="13"/>
      <c r="J2693" s="13"/>
      <c r="K2693" s="25"/>
      <c r="L2693" s="25"/>
      <c r="M2693" s="25"/>
      <c r="N2693" s="25"/>
      <c r="O2693" s="26"/>
      <c r="P2693" s="16" t="str">
        <f aca="false">IF(O2693="","",IFERROR(1/(1/(IF(K2693="",INDEX(CONFIG!$F$5:$F$14,MATCH(D2693,CONFIG!$D$5:$D$14,0)),K2693)*IF(M2693="",INDEX(CONFIG!$H$5:$H$14,MATCH(D2693,CONFIG!$D$5:$D$14,0)),M2693))),""))</f>
        <v/>
      </c>
      <c r="Q2693" s="16" t="str">
        <f aca="false">IF(OR(O2693="",P2693=""),"",O2693/P2693)</f>
        <v/>
      </c>
      <c r="R2693" s="16" t="str">
        <f aca="false">IF(Q2693="","",Q2693*0.0980665)</f>
        <v/>
      </c>
      <c r="S2693" s="16" t="str">
        <f aca="false">IF(Q2693="","",IFERROR(Q2693/(1/(1/INDEX(CONFIG!$I$5:$I$14,MATCH(D2693,CONFIG!$D$5:$D$14,0)))),""))</f>
        <v/>
      </c>
      <c r="T2693" s="13"/>
      <c r="U2693" s="13"/>
      <c r="V2693" s="13"/>
      <c r="W2693" s="13"/>
      <c r="X2693" s="22" t="str">
        <f aca="false">IF(Q2693="","",Q2693^2)</f>
        <v/>
      </c>
      <c r="Y2693" s="22" t="str">
        <f aca="false">IF(AND(C2693&lt;&gt;"",C2693=CERTIFICADO!$E$4,OR(CERTIFICADO!$E$5="",B2693=CERTIFICADO!$E$5)),MAX($Y$4:Y2692)+1,"")</f>
        <v/>
      </c>
    </row>
    <row r="2694" customFormat="false" ht="15" hidden="false" customHeight="false" outlineLevel="0" collapsed="false">
      <c r="A2694" s="11" t="str">
        <f aca="false">IF(C2694="","",ROW()-4)</f>
        <v/>
      </c>
      <c r="B2694" s="12"/>
      <c r="C2694" s="13"/>
      <c r="D2694" s="23" t="str">
        <f aca="false">IF(C2694="","",IFERROR(INDEX(LOTES!$D$5:$D$1004,MATCH(C2694,LOTES!$F$5:$F$1004,0)),"¿Lote?"))</f>
        <v/>
      </c>
      <c r="E2694" s="11" t="str">
        <f aca="false">IF(C2694="","",IFERROR(INDEX(LOTES!$C$5:$C$1004,MATCH(C2694,LOTES!$F$5:$F$1004,0)),""))</f>
        <v/>
      </c>
      <c r="F2694" s="24" t="str">
        <f aca="false">IF(C2694="","",IFERROR(INDEX(LOTES!$B$5:$B$1004,MATCH(C2694,LOTES!$F$5:$F$1004,0)),""))</f>
        <v/>
      </c>
      <c r="G2694" s="15" t="str">
        <f aca="false">IF(OR(B2694="",F2694=""),"",B2694-F2694)</f>
        <v/>
      </c>
      <c r="H2694" s="13"/>
      <c r="I2694" s="13"/>
      <c r="J2694" s="13"/>
      <c r="K2694" s="25"/>
      <c r="L2694" s="25"/>
      <c r="M2694" s="25"/>
      <c r="N2694" s="25"/>
      <c r="O2694" s="26"/>
      <c r="P2694" s="16" t="str">
        <f aca="false">IF(O2694="","",IFERROR(1/(1/(IF(K2694="",INDEX(CONFIG!$F$5:$F$14,MATCH(D2694,CONFIG!$D$5:$D$14,0)),K2694)*IF(M2694="",INDEX(CONFIG!$H$5:$H$14,MATCH(D2694,CONFIG!$D$5:$D$14,0)),M2694))),""))</f>
        <v/>
      </c>
      <c r="Q2694" s="16" t="str">
        <f aca="false">IF(OR(O2694="",P2694=""),"",O2694/P2694)</f>
        <v/>
      </c>
      <c r="R2694" s="16" t="str">
        <f aca="false">IF(Q2694="","",Q2694*0.0980665)</f>
        <v/>
      </c>
      <c r="S2694" s="16" t="str">
        <f aca="false">IF(Q2694="","",IFERROR(Q2694/(1/(1/INDEX(CONFIG!$I$5:$I$14,MATCH(D2694,CONFIG!$D$5:$D$14,0)))),""))</f>
        <v/>
      </c>
      <c r="T2694" s="13"/>
      <c r="U2694" s="13"/>
      <c r="V2694" s="13"/>
      <c r="W2694" s="13"/>
      <c r="X2694" s="22" t="str">
        <f aca="false">IF(Q2694="","",Q2694^2)</f>
        <v/>
      </c>
      <c r="Y2694" s="22" t="str">
        <f aca="false">IF(AND(C2694&lt;&gt;"",C2694=CERTIFICADO!$E$4,OR(CERTIFICADO!$E$5="",B2694=CERTIFICADO!$E$5)),MAX($Y$4:Y2693)+1,"")</f>
        <v/>
      </c>
    </row>
    <row r="2695" customFormat="false" ht="15" hidden="false" customHeight="false" outlineLevel="0" collapsed="false">
      <c r="A2695" s="11" t="str">
        <f aca="false">IF(C2695="","",ROW()-4)</f>
        <v/>
      </c>
      <c r="B2695" s="12"/>
      <c r="C2695" s="13"/>
      <c r="D2695" s="23" t="str">
        <f aca="false">IF(C2695="","",IFERROR(INDEX(LOTES!$D$5:$D$1004,MATCH(C2695,LOTES!$F$5:$F$1004,0)),"¿Lote?"))</f>
        <v/>
      </c>
      <c r="E2695" s="11" t="str">
        <f aca="false">IF(C2695="","",IFERROR(INDEX(LOTES!$C$5:$C$1004,MATCH(C2695,LOTES!$F$5:$F$1004,0)),""))</f>
        <v/>
      </c>
      <c r="F2695" s="24" t="str">
        <f aca="false">IF(C2695="","",IFERROR(INDEX(LOTES!$B$5:$B$1004,MATCH(C2695,LOTES!$F$5:$F$1004,0)),""))</f>
        <v/>
      </c>
      <c r="G2695" s="15" t="str">
        <f aca="false">IF(OR(B2695="",F2695=""),"",B2695-F2695)</f>
        <v/>
      </c>
      <c r="H2695" s="13"/>
      <c r="I2695" s="13"/>
      <c r="J2695" s="13"/>
      <c r="K2695" s="25"/>
      <c r="L2695" s="25"/>
      <c r="M2695" s="25"/>
      <c r="N2695" s="25"/>
      <c r="O2695" s="26"/>
      <c r="P2695" s="16" t="str">
        <f aca="false">IF(O2695="","",IFERROR(1/(1/(IF(K2695="",INDEX(CONFIG!$F$5:$F$14,MATCH(D2695,CONFIG!$D$5:$D$14,0)),K2695)*IF(M2695="",INDEX(CONFIG!$H$5:$H$14,MATCH(D2695,CONFIG!$D$5:$D$14,0)),M2695))),""))</f>
        <v/>
      </c>
      <c r="Q2695" s="16" t="str">
        <f aca="false">IF(OR(O2695="",P2695=""),"",O2695/P2695)</f>
        <v/>
      </c>
      <c r="R2695" s="16" t="str">
        <f aca="false">IF(Q2695="","",Q2695*0.0980665)</f>
        <v/>
      </c>
      <c r="S2695" s="16" t="str">
        <f aca="false">IF(Q2695="","",IFERROR(Q2695/(1/(1/INDEX(CONFIG!$I$5:$I$14,MATCH(D2695,CONFIG!$D$5:$D$14,0)))),""))</f>
        <v/>
      </c>
      <c r="T2695" s="13"/>
      <c r="U2695" s="13"/>
      <c r="V2695" s="13"/>
      <c r="W2695" s="13"/>
      <c r="X2695" s="22" t="str">
        <f aca="false">IF(Q2695="","",Q2695^2)</f>
        <v/>
      </c>
      <c r="Y2695" s="22" t="str">
        <f aca="false">IF(AND(C2695&lt;&gt;"",C2695=CERTIFICADO!$E$4,OR(CERTIFICADO!$E$5="",B2695=CERTIFICADO!$E$5)),MAX($Y$4:Y2694)+1,"")</f>
        <v/>
      </c>
    </row>
    <row r="2696" customFormat="false" ht="15" hidden="false" customHeight="false" outlineLevel="0" collapsed="false">
      <c r="A2696" s="11" t="str">
        <f aca="false">IF(C2696="","",ROW()-4)</f>
        <v/>
      </c>
      <c r="B2696" s="12"/>
      <c r="C2696" s="13"/>
      <c r="D2696" s="23" t="str">
        <f aca="false">IF(C2696="","",IFERROR(INDEX(LOTES!$D$5:$D$1004,MATCH(C2696,LOTES!$F$5:$F$1004,0)),"¿Lote?"))</f>
        <v/>
      </c>
      <c r="E2696" s="11" t="str">
        <f aca="false">IF(C2696="","",IFERROR(INDEX(LOTES!$C$5:$C$1004,MATCH(C2696,LOTES!$F$5:$F$1004,0)),""))</f>
        <v/>
      </c>
      <c r="F2696" s="24" t="str">
        <f aca="false">IF(C2696="","",IFERROR(INDEX(LOTES!$B$5:$B$1004,MATCH(C2696,LOTES!$F$5:$F$1004,0)),""))</f>
        <v/>
      </c>
      <c r="G2696" s="15" t="str">
        <f aca="false">IF(OR(B2696="",F2696=""),"",B2696-F2696)</f>
        <v/>
      </c>
      <c r="H2696" s="13"/>
      <c r="I2696" s="13"/>
      <c r="J2696" s="13"/>
      <c r="K2696" s="25"/>
      <c r="L2696" s="25"/>
      <c r="M2696" s="25"/>
      <c r="N2696" s="25"/>
      <c r="O2696" s="26"/>
      <c r="P2696" s="16" t="str">
        <f aca="false">IF(O2696="","",IFERROR(1/(1/(IF(K2696="",INDEX(CONFIG!$F$5:$F$14,MATCH(D2696,CONFIG!$D$5:$D$14,0)),K2696)*IF(M2696="",INDEX(CONFIG!$H$5:$H$14,MATCH(D2696,CONFIG!$D$5:$D$14,0)),M2696))),""))</f>
        <v/>
      </c>
      <c r="Q2696" s="16" t="str">
        <f aca="false">IF(OR(O2696="",P2696=""),"",O2696/P2696)</f>
        <v/>
      </c>
      <c r="R2696" s="16" t="str">
        <f aca="false">IF(Q2696="","",Q2696*0.0980665)</f>
        <v/>
      </c>
      <c r="S2696" s="16" t="str">
        <f aca="false">IF(Q2696="","",IFERROR(Q2696/(1/(1/INDEX(CONFIG!$I$5:$I$14,MATCH(D2696,CONFIG!$D$5:$D$14,0)))),""))</f>
        <v/>
      </c>
      <c r="T2696" s="13"/>
      <c r="U2696" s="13"/>
      <c r="V2696" s="13"/>
      <c r="W2696" s="13"/>
      <c r="X2696" s="22" t="str">
        <f aca="false">IF(Q2696="","",Q2696^2)</f>
        <v/>
      </c>
      <c r="Y2696" s="22" t="str">
        <f aca="false">IF(AND(C2696&lt;&gt;"",C2696=CERTIFICADO!$E$4,OR(CERTIFICADO!$E$5="",B2696=CERTIFICADO!$E$5)),MAX($Y$4:Y2695)+1,"")</f>
        <v/>
      </c>
    </row>
    <row r="2697" customFormat="false" ht="15" hidden="false" customHeight="false" outlineLevel="0" collapsed="false">
      <c r="A2697" s="11" t="str">
        <f aca="false">IF(C2697="","",ROW()-4)</f>
        <v/>
      </c>
      <c r="B2697" s="12"/>
      <c r="C2697" s="13"/>
      <c r="D2697" s="23" t="str">
        <f aca="false">IF(C2697="","",IFERROR(INDEX(LOTES!$D$5:$D$1004,MATCH(C2697,LOTES!$F$5:$F$1004,0)),"¿Lote?"))</f>
        <v/>
      </c>
      <c r="E2697" s="11" t="str">
        <f aca="false">IF(C2697="","",IFERROR(INDEX(LOTES!$C$5:$C$1004,MATCH(C2697,LOTES!$F$5:$F$1004,0)),""))</f>
        <v/>
      </c>
      <c r="F2697" s="24" t="str">
        <f aca="false">IF(C2697="","",IFERROR(INDEX(LOTES!$B$5:$B$1004,MATCH(C2697,LOTES!$F$5:$F$1004,0)),""))</f>
        <v/>
      </c>
      <c r="G2697" s="15" t="str">
        <f aca="false">IF(OR(B2697="",F2697=""),"",B2697-F2697)</f>
        <v/>
      </c>
      <c r="H2697" s="13"/>
      <c r="I2697" s="13"/>
      <c r="J2697" s="13"/>
      <c r="K2697" s="25"/>
      <c r="L2697" s="25"/>
      <c r="M2697" s="25"/>
      <c r="N2697" s="25"/>
      <c r="O2697" s="26"/>
      <c r="P2697" s="16" t="str">
        <f aca="false">IF(O2697="","",IFERROR(1/(1/(IF(K2697="",INDEX(CONFIG!$F$5:$F$14,MATCH(D2697,CONFIG!$D$5:$D$14,0)),K2697)*IF(M2697="",INDEX(CONFIG!$H$5:$H$14,MATCH(D2697,CONFIG!$D$5:$D$14,0)),M2697))),""))</f>
        <v/>
      </c>
      <c r="Q2697" s="16" t="str">
        <f aca="false">IF(OR(O2697="",P2697=""),"",O2697/P2697)</f>
        <v/>
      </c>
      <c r="R2697" s="16" t="str">
        <f aca="false">IF(Q2697="","",Q2697*0.0980665)</f>
        <v/>
      </c>
      <c r="S2697" s="16" t="str">
        <f aca="false">IF(Q2697="","",IFERROR(Q2697/(1/(1/INDEX(CONFIG!$I$5:$I$14,MATCH(D2697,CONFIG!$D$5:$D$14,0)))),""))</f>
        <v/>
      </c>
      <c r="T2697" s="13"/>
      <c r="U2697" s="13"/>
      <c r="V2697" s="13"/>
      <c r="W2697" s="13"/>
      <c r="X2697" s="22" t="str">
        <f aca="false">IF(Q2697="","",Q2697^2)</f>
        <v/>
      </c>
      <c r="Y2697" s="22" t="str">
        <f aca="false">IF(AND(C2697&lt;&gt;"",C2697=CERTIFICADO!$E$4,OR(CERTIFICADO!$E$5="",B2697=CERTIFICADO!$E$5)),MAX($Y$4:Y2696)+1,"")</f>
        <v/>
      </c>
    </row>
    <row r="2698" customFormat="false" ht="15" hidden="false" customHeight="false" outlineLevel="0" collapsed="false">
      <c r="A2698" s="11" t="str">
        <f aca="false">IF(C2698="","",ROW()-4)</f>
        <v/>
      </c>
      <c r="B2698" s="12"/>
      <c r="C2698" s="13"/>
      <c r="D2698" s="23" t="str">
        <f aca="false">IF(C2698="","",IFERROR(INDEX(LOTES!$D$5:$D$1004,MATCH(C2698,LOTES!$F$5:$F$1004,0)),"¿Lote?"))</f>
        <v/>
      </c>
      <c r="E2698" s="11" t="str">
        <f aca="false">IF(C2698="","",IFERROR(INDEX(LOTES!$C$5:$C$1004,MATCH(C2698,LOTES!$F$5:$F$1004,0)),""))</f>
        <v/>
      </c>
      <c r="F2698" s="24" t="str">
        <f aca="false">IF(C2698="","",IFERROR(INDEX(LOTES!$B$5:$B$1004,MATCH(C2698,LOTES!$F$5:$F$1004,0)),""))</f>
        <v/>
      </c>
      <c r="G2698" s="15" t="str">
        <f aca="false">IF(OR(B2698="",F2698=""),"",B2698-F2698)</f>
        <v/>
      </c>
      <c r="H2698" s="13"/>
      <c r="I2698" s="13"/>
      <c r="J2698" s="13"/>
      <c r="K2698" s="25"/>
      <c r="L2698" s="25"/>
      <c r="M2698" s="25"/>
      <c r="N2698" s="25"/>
      <c r="O2698" s="26"/>
      <c r="P2698" s="16" t="str">
        <f aca="false">IF(O2698="","",IFERROR(1/(1/(IF(K2698="",INDEX(CONFIG!$F$5:$F$14,MATCH(D2698,CONFIG!$D$5:$D$14,0)),K2698)*IF(M2698="",INDEX(CONFIG!$H$5:$H$14,MATCH(D2698,CONFIG!$D$5:$D$14,0)),M2698))),""))</f>
        <v/>
      </c>
      <c r="Q2698" s="16" t="str">
        <f aca="false">IF(OR(O2698="",P2698=""),"",O2698/P2698)</f>
        <v/>
      </c>
      <c r="R2698" s="16" t="str">
        <f aca="false">IF(Q2698="","",Q2698*0.0980665)</f>
        <v/>
      </c>
      <c r="S2698" s="16" t="str">
        <f aca="false">IF(Q2698="","",IFERROR(Q2698/(1/(1/INDEX(CONFIG!$I$5:$I$14,MATCH(D2698,CONFIG!$D$5:$D$14,0)))),""))</f>
        <v/>
      </c>
      <c r="T2698" s="13"/>
      <c r="U2698" s="13"/>
      <c r="V2698" s="13"/>
      <c r="W2698" s="13"/>
      <c r="X2698" s="22" t="str">
        <f aca="false">IF(Q2698="","",Q2698^2)</f>
        <v/>
      </c>
      <c r="Y2698" s="22" t="str">
        <f aca="false">IF(AND(C2698&lt;&gt;"",C2698=CERTIFICADO!$E$4,OR(CERTIFICADO!$E$5="",B2698=CERTIFICADO!$E$5)),MAX($Y$4:Y2697)+1,"")</f>
        <v/>
      </c>
    </row>
    <row r="2699" customFormat="false" ht="15" hidden="false" customHeight="false" outlineLevel="0" collapsed="false">
      <c r="A2699" s="11" t="str">
        <f aca="false">IF(C2699="","",ROW()-4)</f>
        <v/>
      </c>
      <c r="B2699" s="12"/>
      <c r="C2699" s="13"/>
      <c r="D2699" s="23" t="str">
        <f aca="false">IF(C2699="","",IFERROR(INDEX(LOTES!$D$5:$D$1004,MATCH(C2699,LOTES!$F$5:$F$1004,0)),"¿Lote?"))</f>
        <v/>
      </c>
      <c r="E2699" s="11" t="str">
        <f aca="false">IF(C2699="","",IFERROR(INDEX(LOTES!$C$5:$C$1004,MATCH(C2699,LOTES!$F$5:$F$1004,0)),""))</f>
        <v/>
      </c>
      <c r="F2699" s="24" t="str">
        <f aca="false">IF(C2699="","",IFERROR(INDEX(LOTES!$B$5:$B$1004,MATCH(C2699,LOTES!$F$5:$F$1004,0)),""))</f>
        <v/>
      </c>
      <c r="G2699" s="15" t="str">
        <f aca="false">IF(OR(B2699="",F2699=""),"",B2699-F2699)</f>
        <v/>
      </c>
      <c r="H2699" s="13"/>
      <c r="I2699" s="13"/>
      <c r="J2699" s="13"/>
      <c r="K2699" s="25"/>
      <c r="L2699" s="25"/>
      <c r="M2699" s="25"/>
      <c r="N2699" s="25"/>
      <c r="O2699" s="26"/>
      <c r="P2699" s="16" t="str">
        <f aca="false">IF(O2699="","",IFERROR(1/(1/(IF(K2699="",INDEX(CONFIG!$F$5:$F$14,MATCH(D2699,CONFIG!$D$5:$D$14,0)),K2699)*IF(M2699="",INDEX(CONFIG!$H$5:$H$14,MATCH(D2699,CONFIG!$D$5:$D$14,0)),M2699))),""))</f>
        <v/>
      </c>
      <c r="Q2699" s="16" t="str">
        <f aca="false">IF(OR(O2699="",P2699=""),"",O2699/P2699)</f>
        <v/>
      </c>
      <c r="R2699" s="16" t="str">
        <f aca="false">IF(Q2699="","",Q2699*0.0980665)</f>
        <v/>
      </c>
      <c r="S2699" s="16" t="str">
        <f aca="false">IF(Q2699="","",IFERROR(Q2699/(1/(1/INDEX(CONFIG!$I$5:$I$14,MATCH(D2699,CONFIG!$D$5:$D$14,0)))),""))</f>
        <v/>
      </c>
      <c r="T2699" s="13"/>
      <c r="U2699" s="13"/>
      <c r="V2699" s="13"/>
      <c r="W2699" s="13"/>
      <c r="X2699" s="22" t="str">
        <f aca="false">IF(Q2699="","",Q2699^2)</f>
        <v/>
      </c>
      <c r="Y2699" s="22" t="str">
        <f aca="false">IF(AND(C2699&lt;&gt;"",C2699=CERTIFICADO!$E$4,OR(CERTIFICADO!$E$5="",B2699=CERTIFICADO!$E$5)),MAX($Y$4:Y2698)+1,"")</f>
        <v/>
      </c>
    </row>
    <row r="2700" customFormat="false" ht="15" hidden="false" customHeight="false" outlineLevel="0" collapsed="false">
      <c r="A2700" s="11" t="str">
        <f aca="false">IF(C2700="","",ROW()-4)</f>
        <v/>
      </c>
      <c r="B2700" s="12"/>
      <c r="C2700" s="13"/>
      <c r="D2700" s="23" t="str">
        <f aca="false">IF(C2700="","",IFERROR(INDEX(LOTES!$D$5:$D$1004,MATCH(C2700,LOTES!$F$5:$F$1004,0)),"¿Lote?"))</f>
        <v/>
      </c>
      <c r="E2700" s="11" t="str">
        <f aca="false">IF(C2700="","",IFERROR(INDEX(LOTES!$C$5:$C$1004,MATCH(C2700,LOTES!$F$5:$F$1004,0)),""))</f>
        <v/>
      </c>
      <c r="F2700" s="24" t="str">
        <f aca="false">IF(C2700="","",IFERROR(INDEX(LOTES!$B$5:$B$1004,MATCH(C2700,LOTES!$F$5:$F$1004,0)),""))</f>
        <v/>
      </c>
      <c r="G2700" s="15" t="str">
        <f aca="false">IF(OR(B2700="",F2700=""),"",B2700-F2700)</f>
        <v/>
      </c>
      <c r="H2700" s="13"/>
      <c r="I2700" s="13"/>
      <c r="J2700" s="13"/>
      <c r="K2700" s="25"/>
      <c r="L2700" s="25"/>
      <c r="M2700" s="25"/>
      <c r="N2700" s="25"/>
      <c r="O2700" s="26"/>
      <c r="P2700" s="16" t="str">
        <f aca="false">IF(O2700="","",IFERROR(1/(1/(IF(K2700="",INDEX(CONFIG!$F$5:$F$14,MATCH(D2700,CONFIG!$D$5:$D$14,0)),K2700)*IF(M2700="",INDEX(CONFIG!$H$5:$H$14,MATCH(D2700,CONFIG!$D$5:$D$14,0)),M2700))),""))</f>
        <v/>
      </c>
      <c r="Q2700" s="16" t="str">
        <f aca="false">IF(OR(O2700="",P2700=""),"",O2700/P2700)</f>
        <v/>
      </c>
      <c r="R2700" s="16" t="str">
        <f aca="false">IF(Q2700="","",Q2700*0.0980665)</f>
        <v/>
      </c>
      <c r="S2700" s="16" t="str">
        <f aca="false">IF(Q2700="","",IFERROR(Q2700/(1/(1/INDEX(CONFIG!$I$5:$I$14,MATCH(D2700,CONFIG!$D$5:$D$14,0)))),""))</f>
        <v/>
      </c>
      <c r="T2700" s="13"/>
      <c r="U2700" s="13"/>
      <c r="V2700" s="13"/>
      <c r="W2700" s="13"/>
      <c r="X2700" s="22" t="str">
        <f aca="false">IF(Q2700="","",Q2700^2)</f>
        <v/>
      </c>
      <c r="Y2700" s="22" t="str">
        <f aca="false">IF(AND(C2700&lt;&gt;"",C2700=CERTIFICADO!$E$4,OR(CERTIFICADO!$E$5="",B2700=CERTIFICADO!$E$5)),MAX($Y$4:Y2699)+1,"")</f>
        <v/>
      </c>
    </row>
    <row r="2701" customFormat="false" ht="15" hidden="false" customHeight="false" outlineLevel="0" collapsed="false">
      <c r="A2701" s="11" t="str">
        <f aca="false">IF(C2701="","",ROW()-4)</f>
        <v/>
      </c>
      <c r="B2701" s="12"/>
      <c r="C2701" s="13"/>
      <c r="D2701" s="23" t="str">
        <f aca="false">IF(C2701="","",IFERROR(INDEX(LOTES!$D$5:$D$1004,MATCH(C2701,LOTES!$F$5:$F$1004,0)),"¿Lote?"))</f>
        <v/>
      </c>
      <c r="E2701" s="11" t="str">
        <f aca="false">IF(C2701="","",IFERROR(INDEX(LOTES!$C$5:$C$1004,MATCH(C2701,LOTES!$F$5:$F$1004,0)),""))</f>
        <v/>
      </c>
      <c r="F2701" s="24" t="str">
        <f aca="false">IF(C2701="","",IFERROR(INDEX(LOTES!$B$5:$B$1004,MATCH(C2701,LOTES!$F$5:$F$1004,0)),""))</f>
        <v/>
      </c>
      <c r="G2701" s="15" t="str">
        <f aca="false">IF(OR(B2701="",F2701=""),"",B2701-F2701)</f>
        <v/>
      </c>
      <c r="H2701" s="13"/>
      <c r="I2701" s="13"/>
      <c r="J2701" s="13"/>
      <c r="K2701" s="25"/>
      <c r="L2701" s="25"/>
      <c r="M2701" s="25"/>
      <c r="N2701" s="25"/>
      <c r="O2701" s="26"/>
      <c r="P2701" s="16" t="str">
        <f aca="false">IF(O2701="","",IFERROR(1/(1/(IF(K2701="",INDEX(CONFIG!$F$5:$F$14,MATCH(D2701,CONFIG!$D$5:$D$14,0)),K2701)*IF(M2701="",INDEX(CONFIG!$H$5:$H$14,MATCH(D2701,CONFIG!$D$5:$D$14,0)),M2701))),""))</f>
        <v/>
      </c>
      <c r="Q2701" s="16" t="str">
        <f aca="false">IF(OR(O2701="",P2701=""),"",O2701/P2701)</f>
        <v/>
      </c>
      <c r="R2701" s="16" t="str">
        <f aca="false">IF(Q2701="","",Q2701*0.0980665)</f>
        <v/>
      </c>
      <c r="S2701" s="16" t="str">
        <f aca="false">IF(Q2701="","",IFERROR(Q2701/(1/(1/INDEX(CONFIG!$I$5:$I$14,MATCH(D2701,CONFIG!$D$5:$D$14,0)))),""))</f>
        <v/>
      </c>
      <c r="T2701" s="13"/>
      <c r="U2701" s="13"/>
      <c r="V2701" s="13"/>
      <c r="W2701" s="13"/>
      <c r="X2701" s="22" t="str">
        <f aca="false">IF(Q2701="","",Q2701^2)</f>
        <v/>
      </c>
      <c r="Y2701" s="22" t="str">
        <f aca="false">IF(AND(C2701&lt;&gt;"",C2701=CERTIFICADO!$E$4,OR(CERTIFICADO!$E$5="",B2701=CERTIFICADO!$E$5)),MAX($Y$4:Y2700)+1,"")</f>
        <v/>
      </c>
    </row>
    <row r="2702" customFormat="false" ht="15" hidden="false" customHeight="false" outlineLevel="0" collapsed="false">
      <c r="A2702" s="11" t="str">
        <f aca="false">IF(C2702="","",ROW()-4)</f>
        <v/>
      </c>
      <c r="B2702" s="12"/>
      <c r="C2702" s="13"/>
      <c r="D2702" s="23" t="str">
        <f aca="false">IF(C2702="","",IFERROR(INDEX(LOTES!$D$5:$D$1004,MATCH(C2702,LOTES!$F$5:$F$1004,0)),"¿Lote?"))</f>
        <v/>
      </c>
      <c r="E2702" s="11" t="str">
        <f aca="false">IF(C2702="","",IFERROR(INDEX(LOTES!$C$5:$C$1004,MATCH(C2702,LOTES!$F$5:$F$1004,0)),""))</f>
        <v/>
      </c>
      <c r="F2702" s="24" t="str">
        <f aca="false">IF(C2702="","",IFERROR(INDEX(LOTES!$B$5:$B$1004,MATCH(C2702,LOTES!$F$5:$F$1004,0)),""))</f>
        <v/>
      </c>
      <c r="G2702" s="15" t="str">
        <f aca="false">IF(OR(B2702="",F2702=""),"",B2702-F2702)</f>
        <v/>
      </c>
      <c r="H2702" s="13"/>
      <c r="I2702" s="13"/>
      <c r="J2702" s="13"/>
      <c r="K2702" s="25"/>
      <c r="L2702" s="25"/>
      <c r="M2702" s="25"/>
      <c r="N2702" s="25"/>
      <c r="O2702" s="26"/>
      <c r="P2702" s="16" t="str">
        <f aca="false">IF(O2702="","",IFERROR(1/(1/(IF(K2702="",INDEX(CONFIG!$F$5:$F$14,MATCH(D2702,CONFIG!$D$5:$D$14,0)),K2702)*IF(M2702="",INDEX(CONFIG!$H$5:$H$14,MATCH(D2702,CONFIG!$D$5:$D$14,0)),M2702))),""))</f>
        <v/>
      </c>
      <c r="Q2702" s="16" t="str">
        <f aca="false">IF(OR(O2702="",P2702=""),"",O2702/P2702)</f>
        <v/>
      </c>
      <c r="R2702" s="16" t="str">
        <f aca="false">IF(Q2702="","",Q2702*0.0980665)</f>
        <v/>
      </c>
      <c r="S2702" s="16" t="str">
        <f aca="false">IF(Q2702="","",IFERROR(Q2702/(1/(1/INDEX(CONFIG!$I$5:$I$14,MATCH(D2702,CONFIG!$D$5:$D$14,0)))),""))</f>
        <v/>
      </c>
      <c r="T2702" s="13"/>
      <c r="U2702" s="13"/>
      <c r="V2702" s="13"/>
      <c r="W2702" s="13"/>
      <c r="X2702" s="22" t="str">
        <f aca="false">IF(Q2702="","",Q2702^2)</f>
        <v/>
      </c>
      <c r="Y2702" s="22" t="str">
        <f aca="false">IF(AND(C2702&lt;&gt;"",C2702=CERTIFICADO!$E$4,OR(CERTIFICADO!$E$5="",B2702=CERTIFICADO!$E$5)),MAX($Y$4:Y2701)+1,"")</f>
        <v/>
      </c>
    </row>
    <row r="2703" customFormat="false" ht="15" hidden="false" customHeight="false" outlineLevel="0" collapsed="false">
      <c r="A2703" s="11" t="str">
        <f aca="false">IF(C2703="","",ROW()-4)</f>
        <v/>
      </c>
      <c r="B2703" s="12"/>
      <c r="C2703" s="13"/>
      <c r="D2703" s="23" t="str">
        <f aca="false">IF(C2703="","",IFERROR(INDEX(LOTES!$D$5:$D$1004,MATCH(C2703,LOTES!$F$5:$F$1004,0)),"¿Lote?"))</f>
        <v/>
      </c>
      <c r="E2703" s="11" t="str">
        <f aca="false">IF(C2703="","",IFERROR(INDEX(LOTES!$C$5:$C$1004,MATCH(C2703,LOTES!$F$5:$F$1004,0)),""))</f>
        <v/>
      </c>
      <c r="F2703" s="24" t="str">
        <f aca="false">IF(C2703="","",IFERROR(INDEX(LOTES!$B$5:$B$1004,MATCH(C2703,LOTES!$F$5:$F$1004,0)),""))</f>
        <v/>
      </c>
      <c r="G2703" s="15" t="str">
        <f aca="false">IF(OR(B2703="",F2703=""),"",B2703-F2703)</f>
        <v/>
      </c>
      <c r="H2703" s="13"/>
      <c r="I2703" s="13"/>
      <c r="J2703" s="13"/>
      <c r="K2703" s="25"/>
      <c r="L2703" s="25"/>
      <c r="M2703" s="25"/>
      <c r="N2703" s="25"/>
      <c r="O2703" s="26"/>
      <c r="P2703" s="16" t="str">
        <f aca="false">IF(O2703="","",IFERROR(1/(1/(IF(K2703="",INDEX(CONFIG!$F$5:$F$14,MATCH(D2703,CONFIG!$D$5:$D$14,0)),K2703)*IF(M2703="",INDEX(CONFIG!$H$5:$H$14,MATCH(D2703,CONFIG!$D$5:$D$14,0)),M2703))),""))</f>
        <v/>
      </c>
      <c r="Q2703" s="16" t="str">
        <f aca="false">IF(OR(O2703="",P2703=""),"",O2703/P2703)</f>
        <v/>
      </c>
      <c r="R2703" s="16" t="str">
        <f aca="false">IF(Q2703="","",Q2703*0.0980665)</f>
        <v/>
      </c>
      <c r="S2703" s="16" t="str">
        <f aca="false">IF(Q2703="","",IFERROR(Q2703/(1/(1/INDEX(CONFIG!$I$5:$I$14,MATCH(D2703,CONFIG!$D$5:$D$14,0)))),""))</f>
        <v/>
      </c>
      <c r="T2703" s="13"/>
      <c r="U2703" s="13"/>
      <c r="V2703" s="13"/>
      <c r="W2703" s="13"/>
      <c r="X2703" s="22" t="str">
        <f aca="false">IF(Q2703="","",Q2703^2)</f>
        <v/>
      </c>
      <c r="Y2703" s="22" t="str">
        <f aca="false">IF(AND(C2703&lt;&gt;"",C2703=CERTIFICADO!$E$4,OR(CERTIFICADO!$E$5="",B2703=CERTIFICADO!$E$5)),MAX($Y$4:Y2702)+1,"")</f>
        <v/>
      </c>
    </row>
    <row r="2704" customFormat="false" ht="15" hidden="false" customHeight="false" outlineLevel="0" collapsed="false">
      <c r="A2704" s="11" t="str">
        <f aca="false">IF(C2704="","",ROW()-4)</f>
        <v/>
      </c>
      <c r="B2704" s="12"/>
      <c r="C2704" s="13"/>
      <c r="D2704" s="23" t="str">
        <f aca="false">IF(C2704="","",IFERROR(INDEX(LOTES!$D$5:$D$1004,MATCH(C2704,LOTES!$F$5:$F$1004,0)),"¿Lote?"))</f>
        <v/>
      </c>
      <c r="E2704" s="11" t="str">
        <f aca="false">IF(C2704="","",IFERROR(INDEX(LOTES!$C$5:$C$1004,MATCH(C2704,LOTES!$F$5:$F$1004,0)),""))</f>
        <v/>
      </c>
      <c r="F2704" s="24" t="str">
        <f aca="false">IF(C2704="","",IFERROR(INDEX(LOTES!$B$5:$B$1004,MATCH(C2704,LOTES!$F$5:$F$1004,0)),""))</f>
        <v/>
      </c>
      <c r="G2704" s="15" t="str">
        <f aca="false">IF(OR(B2704="",F2704=""),"",B2704-F2704)</f>
        <v/>
      </c>
      <c r="H2704" s="13"/>
      <c r="I2704" s="13"/>
      <c r="J2704" s="13"/>
      <c r="K2704" s="25"/>
      <c r="L2704" s="25"/>
      <c r="M2704" s="25"/>
      <c r="N2704" s="25"/>
      <c r="O2704" s="26"/>
      <c r="P2704" s="16" t="str">
        <f aca="false">IF(O2704="","",IFERROR(1/(1/(IF(K2704="",INDEX(CONFIG!$F$5:$F$14,MATCH(D2704,CONFIG!$D$5:$D$14,0)),K2704)*IF(M2704="",INDEX(CONFIG!$H$5:$H$14,MATCH(D2704,CONFIG!$D$5:$D$14,0)),M2704))),""))</f>
        <v/>
      </c>
      <c r="Q2704" s="16" t="str">
        <f aca="false">IF(OR(O2704="",P2704=""),"",O2704/P2704)</f>
        <v/>
      </c>
      <c r="R2704" s="16" t="str">
        <f aca="false">IF(Q2704="","",Q2704*0.0980665)</f>
        <v/>
      </c>
      <c r="S2704" s="16" t="str">
        <f aca="false">IF(Q2704="","",IFERROR(Q2704/(1/(1/INDEX(CONFIG!$I$5:$I$14,MATCH(D2704,CONFIG!$D$5:$D$14,0)))),""))</f>
        <v/>
      </c>
      <c r="T2704" s="13"/>
      <c r="U2704" s="13"/>
      <c r="V2704" s="13"/>
      <c r="W2704" s="13"/>
      <c r="X2704" s="22" t="str">
        <f aca="false">IF(Q2704="","",Q2704^2)</f>
        <v/>
      </c>
      <c r="Y2704" s="22" t="str">
        <f aca="false">IF(AND(C2704&lt;&gt;"",C2704=CERTIFICADO!$E$4,OR(CERTIFICADO!$E$5="",B2704=CERTIFICADO!$E$5)),MAX($Y$4:Y2703)+1,"")</f>
        <v/>
      </c>
    </row>
    <row r="2705" customFormat="false" ht="15" hidden="false" customHeight="false" outlineLevel="0" collapsed="false">
      <c r="A2705" s="11" t="str">
        <f aca="false">IF(C2705="","",ROW()-4)</f>
        <v/>
      </c>
      <c r="B2705" s="12"/>
      <c r="C2705" s="13"/>
      <c r="D2705" s="23" t="str">
        <f aca="false">IF(C2705="","",IFERROR(INDEX(LOTES!$D$5:$D$1004,MATCH(C2705,LOTES!$F$5:$F$1004,0)),"¿Lote?"))</f>
        <v/>
      </c>
      <c r="E2705" s="11" t="str">
        <f aca="false">IF(C2705="","",IFERROR(INDEX(LOTES!$C$5:$C$1004,MATCH(C2705,LOTES!$F$5:$F$1004,0)),""))</f>
        <v/>
      </c>
      <c r="F2705" s="24" t="str">
        <f aca="false">IF(C2705="","",IFERROR(INDEX(LOTES!$B$5:$B$1004,MATCH(C2705,LOTES!$F$5:$F$1004,0)),""))</f>
        <v/>
      </c>
      <c r="G2705" s="15" t="str">
        <f aca="false">IF(OR(B2705="",F2705=""),"",B2705-F2705)</f>
        <v/>
      </c>
      <c r="H2705" s="13"/>
      <c r="I2705" s="13"/>
      <c r="J2705" s="13"/>
      <c r="K2705" s="25"/>
      <c r="L2705" s="25"/>
      <c r="M2705" s="25"/>
      <c r="N2705" s="25"/>
      <c r="O2705" s="26"/>
      <c r="P2705" s="16" t="str">
        <f aca="false">IF(O2705="","",IFERROR(1/(1/(IF(K2705="",INDEX(CONFIG!$F$5:$F$14,MATCH(D2705,CONFIG!$D$5:$D$14,0)),K2705)*IF(M2705="",INDEX(CONFIG!$H$5:$H$14,MATCH(D2705,CONFIG!$D$5:$D$14,0)),M2705))),""))</f>
        <v/>
      </c>
      <c r="Q2705" s="16" t="str">
        <f aca="false">IF(OR(O2705="",P2705=""),"",O2705/P2705)</f>
        <v/>
      </c>
      <c r="R2705" s="16" t="str">
        <f aca="false">IF(Q2705="","",Q2705*0.0980665)</f>
        <v/>
      </c>
      <c r="S2705" s="16" t="str">
        <f aca="false">IF(Q2705="","",IFERROR(Q2705/(1/(1/INDEX(CONFIG!$I$5:$I$14,MATCH(D2705,CONFIG!$D$5:$D$14,0)))),""))</f>
        <v/>
      </c>
      <c r="T2705" s="13"/>
      <c r="U2705" s="13"/>
      <c r="V2705" s="13"/>
      <c r="W2705" s="13"/>
      <c r="X2705" s="22" t="str">
        <f aca="false">IF(Q2705="","",Q2705^2)</f>
        <v/>
      </c>
      <c r="Y2705" s="22" t="str">
        <f aca="false">IF(AND(C2705&lt;&gt;"",C2705=CERTIFICADO!$E$4,OR(CERTIFICADO!$E$5="",B2705=CERTIFICADO!$E$5)),MAX($Y$4:Y2704)+1,"")</f>
        <v/>
      </c>
    </row>
    <row r="2706" customFormat="false" ht="15" hidden="false" customHeight="false" outlineLevel="0" collapsed="false">
      <c r="A2706" s="11" t="str">
        <f aca="false">IF(C2706="","",ROW()-4)</f>
        <v/>
      </c>
      <c r="B2706" s="12"/>
      <c r="C2706" s="13"/>
      <c r="D2706" s="23" t="str">
        <f aca="false">IF(C2706="","",IFERROR(INDEX(LOTES!$D$5:$D$1004,MATCH(C2706,LOTES!$F$5:$F$1004,0)),"¿Lote?"))</f>
        <v/>
      </c>
      <c r="E2706" s="11" t="str">
        <f aca="false">IF(C2706="","",IFERROR(INDEX(LOTES!$C$5:$C$1004,MATCH(C2706,LOTES!$F$5:$F$1004,0)),""))</f>
        <v/>
      </c>
      <c r="F2706" s="24" t="str">
        <f aca="false">IF(C2706="","",IFERROR(INDEX(LOTES!$B$5:$B$1004,MATCH(C2706,LOTES!$F$5:$F$1004,0)),""))</f>
        <v/>
      </c>
      <c r="G2706" s="15" t="str">
        <f aca="false">IF(OR(B2706="",F2706=""),"",B2706-F2706)</f>
        <v/>
      </c>
      <c r="H2706" s="13"/>
      <c r="I2706" s="13"/>
      <c r="J2706" s="13"/>
      <c r="K2706" s="25"/>
      <c r="L2706" s="25"/>
      <c r="M2706" s="25"/>
      <c r="N2706" s="25"/>
      <c r="O2706" s="26"/>
      <c r="P2706" s="16" t="str">
        <f aca="false">IF(O2706="","",IFERROR(1/(1/(IF(K2706="",INDEX(CONFIG!$F$5:$F$14,MATCH(D2706,CONFIG!$D$5:$D$14,0)),K2706)*IF(M2706="",INDEX(CONFIG!$H$5:$H$14,MATCH(D2706,CONFIG!$D$5:$D$14,0)),M2706))),""))</f>
        <v/>
      </c>
      <c r="Q2706" s="16" t="str">
        <f aca="false">IF(OR(O2706="",P2706=""),"",O2706/P2706)</f>
        <v/>
      </c>
      <c r="R2706" s="16" t="str">
        <f aca="false">IF(Q2706="","",Q2706*0.0980665)</f>
        <v/>
      </c>
      <c r="S2706" s="16" t="str">
        <f aca="false">IF(Q2706="","",IFERROR(Q2706/(1/(1/INDEX(CONFIG!$I$5:$I$14,MATCH(D2706,CONFIG!$D$5:$D$14,0)))),""))</f>
        <v/>
      </c>
      <c r="T2706" s="13"/>
      <c r="U2706" s="13"/>
      <c r="V2706" s="13"/>
      <c r="W2706" s="13"/>
      <c r="X2706" s="22" t="str">
        <f aca="false">IF(Q2706="","",Q2706^2)</f>
        <v/>
      </c>
      <c r="Y2706" s="22" t="str">
        <f aca="false">IF(AND(C2706&lt;&gt;"",C2706=CERTIFICADO!$E$4,OR(CERTIFICADO!$E$5="",B2706=CERTIFICADO!$E$5)),MAX($Y$4:Y2705)+1,"")</f>
        <v/>
      </c>
    </row>
    <row r="2707" customFormat="false" ht="15" hidden="false" customHeight="false" outlineLevel="0" collapsed="false">
      <c r="A2707" s="11" t="str">
        <f aca="false">IF(C2707="","",ROW()-4)</f>
        <v/>
      </c>
      <c r="B2707" s="12"/>
      <c r="C2707" s="13"/>
      <c r="D2707" s="23" t="str">
        <f aca="false">IF(C2707="","",IFERROR(INDEX(LOTES!$D$5:$D$1004,MATCH(C2707,LOTES!$F$5:$F$1004,0)),"¿Lote?"))</f>
        <v/>
      </c>
      <c r="E2707" s="11" t="str">
        <f aca="false">IF(C2707="","",IFERROR(INDEX(LOTES!$C$5:$C$1004,MATCH(C2707,LOTES!$F$5:$F$1004,0)),""))</f>
        <v/>
      </c>
      <c r="F2707" s="24" t="str">
        <f aca="false">IF(C2707="","",IFERROR(INDEX(LOTES!$B$5:$B$1004,MATCH(C2707,LOTES!$F$5:$F$1004,0)),""))</f>
        <v/>
      </c>
      <c r="G2707" s="15" t="str">
        <f aca="false">IF(OR(B2707="",F2707=""),"",B2707-F2707)</f>
        <v/>
      </c>
      <c r="H2707" s="13"/>
      <c r="I2707" s="13"/>
      <c r="J2707" s="13"/>
      <c r="K2707" s="25"/>
      <c r="L2707" s="25"/>
      <c r="M2707" s="25"/>
      <c r="N2707" s="25"/>
      <c r="O2707" s="26"/>
      <c r="P2707" s="16" t="str">
        <f aca="false">IF(O2707="","",IFERROR(1/(1/(IF(K2707="",INDEX(CONFIG!$F$5:$F$14,MATCH(D2707,CONFIG!$D$5:$D$14,0)),K2707)*IF(M2707="",INDEX(CONFIG!$H$5:$H$14,MATCH(D2707,CONFIG!$D$5:$D$14,0)),M2707))),""))</f>
        <v/>
      </c>
      <c r="Q2707" s="16" t="str">
        <f aca="false">IF(OR(O2707="",P2707=""),"",O2707/P2707)</f>
        <v/>
      </c>
      <c r="R2707" s="16" t="str">
        <f aca="false">IF(Q2707="","",Q2707*0.0980665)</f>
        <v/>
      </c>
      <c r="S2707" s="16" t="str">
        <f aca="false">IF(Q2707="","",IFERROR(Q2707/(1/(1/INDEX(CONFIG!$I$5:$I$14,MATCH(D2707,CONFIG!$D$5:$D$14,0)))),""))</f>
        <v/>
      </c>
      <c r="T2707" s="13"/>
      <c r="U2707" s="13"/>
      <c r="V2707" s="13"/>
      <c r="W2707" s="13"/>
      <c r="X2707" s="22" t="str">
        <f aca="false">IF(Q2707="","",Q2707^2)</f>
        <v/>
      </c>
      <c r="Y2707" s="22" t="str">
        <f aca="false">IF(AND(C2707&lt;&gt;"",C2707=CERTIFICADO!$E$4,OR(CERTIFICADO!$E$5="",B2707=CERTIFICADO!$E$5)),MAX($Y$4:Y2706)+1,"")</f>
        <v/>
      </c>
    </row>
    <row r="2708" customFormat="false" ht="15" hidden="false" customHeight="false" outlineLevel="0" collapsed="false">
      <c r="A2708" s="11" t="str">
        <f aca="false">IF(C2708="","",ROW()-4)</f>
        <v/>
      </c>
      <c r="B2708" s="12"/>
      <c r="C2708" s="13"/>
      <c r="D2708" s="23" t="str">
        <f aca="false">IF(C2708="","",IFERROR(INDEX(LOTES!$D$5:$D$1004,MATCH(C2708,LOTES!$F$5:$F$1004,0)),"¿Lote?"))</f>
        <v/>
      </c>
      <c r="E2708" s="11" t="str">
        <f aca="false">IF(C2708="","",IFERROR(INDEX(LOTES!$C$5:$C$1004,MATCH(C2708,LOTES!$F$5:$F$1004,0)),""))</f>
        <v/>
      </c>
      <c r="F2708" s="24" t="str">
        <f aca="false">IF(C2708="","",IFERROR(INDEX(LOTES!$B$5:$B$1004,MATCH(C2708,LOTES!$F$5:$F$1004,0)),""))</f>
        <v/>
      </c>
      <c r="G2708" s="15" t="str">
        <f aca="false">IF(OR(B2708="",F2708=""),"",B2708-F2708)</f>
        <v/>
      </c>
      <c r="H2708" s="13"/>
      <c r="I2708" s="13"/>
      <c r="J2708" s="13"/>
      <c r="K2708" s="25"/>
      <c r="L2708" s="25"/>
      <c r="M2708" s="25"/>
      <c r="N2708" s="25"/>
      <c r="O2708" s="26"/>
      <c r="P2708" s="16" t="str">
        <f aca="false">IF(O2708="","",IFERROR(1/(1/(IF(K2708="",INDEX(CONFIG!$F$5:$F$14,MATCH(D2708,CONFIG!$D$5:$D$14,0)),K2708)*IF(M2708="",INDEX(CONFIG!$H$5:$H$14,MATCH(D2708,CONFIG!$D$5:$D$14,0)),M2708))),""))</f>
        <v/>
      </c>
      <c r="Q2708" s="16" t="str">
        <f aca="false">IF(OR(O2708="",P2708=""),"",O2708/P2708)</f>
        <v/>
      </c>
      <c r="R2708" s="16" t="str">
        <f aca="false">IF(Q2708="","",Q2708*0.0980665)</f>
        <v/>
      </c>
      <c r="S2708" s="16" t="str">
        <f aca="false">IF(Q2708="","",IFERROR(Q2708/(1/(1/INDEX(CONFIG!$I$5:$I$14,MATCH(D2708,CONFIG!$D$5:$D$14,0)))),""))</f>
        <v/>
      </c>
      <c r="T2708" s="13"/>
      <c r="U2708" s="13"/>
      <c r="V2708" s="13"/>
      <c r="W2708" s="13"/>
      <c r="X2708" s="22" t="str">
        <f aca="false">IF(Q2708="","",Q2708^2)</f>
        <v/>
      </c>
      <c r="Y2708" s="22" t="str">
        <f aca="false">IF(AND(C2708&lt;&gt;"",C2708=CERTIFICADO!$E$4,OR(CERTIFICADO!$E$5="",B2708=CERTIFICADO!$E$5)),MAX($Y$4:Y2707)+1,"")</f>
        <v/>
      </c>
    </row>
    <row r="2709" customFormat="false" ht="15" hidden="false" customHeight="false" outlineLevel="0" collapsed="false">
      <c r="A2709" s="11" t="str">
        <f aca="false">IF(C2709="","",ROW()-4)</f>
        <v/>
      </c>
      <c r="B2709" s="12"/>
      <c r="C2709" s="13"/>
      <c r="D2709" s="23" t="str">
        <f aca="false">IF(C2709="","",IFERROR(INDEX(LOTES!$D$5:$D$1004,MATCH(C2709,LOTES!$F$5:$F$1004,0)),"¿Lote?"))</f>
        <v/>
      </c>
      <c r="E2709" s="11" t="str">
        <f aca="false">IF(C2709="","",IFERROR(INDEX(LOTES!$C$5:$C$1004,MATCH(C2709,LOTES!$F$5:$F$1004,0)),""))</f>
        <v/>
      </c>
      <c r="F2709" s="24" t="str">
        <f aca="false">IF(C2709="","",IFERROR(INDEX(LOTES!$B$5:$B$1004,MATCH(C2709,LOTES!$F$5:$F$1004,0)),""))</f>
        <v/>
      </c>
      <c r="G2709" s="15" t="str">
        <f aca="false">IF(OR(B2709="",F2709=""),"",B2709-F2709)</f>
        <v/>
      </c>
      <c r="H2709" s="13"/>
      <c r="I2709" s="13"/>
      <c r="J2709" s="13"/>
      <c r="K2709" s="25"/>
      <c r="L2709" s="25"/>
      <c r="M2709" s="25"/>
      <c r="N2709" s="25"/>
      <c r="O2709" s="26"/>
      <c r="P2709" s="16" t="str">
        <f aca="false">IF(O2709="","",IFERROR(1/(1/(IF(K2709="",INDEX(CONFIG!$F$5:$F$14,MATCH(D2709,CONFIG!$D$5:$D$14,0)),K2709)*IF(M2709="",INDEX(CONFIG!$H$5:$H$14,MATCH(D2709,CONFIG!$D$5:$D$14,0)),M2709))),""))</f>
        <v/>
      </c>
      <c r="Q2709" s="16" t="str">
        <f aca="false">IF(OR(O2709="",P2709=""),"",O2709/P2709)</f>
        <v/>
      </c>
      <c r="R2709" s="16" t="str">
        <f aca="false">IF(Q2709="","",Q2709*0.0980665)</f>
        <v/>
      </c>
      <c r="S2709" s="16" t="str">
        <f aca="false">IF(Q2709="","",IFERROR(Q2709/(1/(1/INDEX(CONFIG!$I$5:$I$14,MATCH(D2709,CONFIG!$D$5:$D$14,0)))),""))</f>
        <v/>
      </c>
      <c r="T2709" s="13"/>
      <c r="U2709" s="13"/>
      <c r="V2709" s="13"/>
      <c r="W2709" s="13"/>
      <c r="X2709" s="22" t="str">
        <f aca="false">IF(Q2709="","",Q2709^2)</f>
        <v/>
      </c>
      <c r="Y2709" s="22" t="str">
        <f aca="false">IF(AND(C2709&lt;&gt;"",C2709=CERTIFICADO!$E$4,OR(CERTIFICADO!$E$5="",B2709=CERTIFICADO!$E$5)),MAX($Y$4:Y2708)+1,"")</f>
        <v/>
      </c>
    </row>
    <row r="2710" customFormat="false" ht="15" hidden="false" customHeight="false" outlineLevel="0" collapsed="false">
      <c r="A2710" s="11" t="str">
        <f aca="false">IF(C2710="","",ROW()-4)</f>
        <v/>
      </c>
      <c r="B2710" s="12"/>
      <c r="C2710" s="13"/>
      <c r="D2710" s="23" t="str">
        <f aca="false">IF(C2710="","",IFERROR(INDEX(LOTES!$D$5:$D$1004,MATCH(C2710,LOTES!$F$5:$F$1004,0)),"¿Lote?"))</f>
        <v/>
      </c>
      <c r="E2710" s="11" t="str">
        <f aca="false">IF(C2710="","",IFERROR(INDEX(LOTES!$C$5:$C$1004,MATCH(C2710,LOTES!$F$5:$F$1004,0)),""))</f>
        <v/>
      </c>
      <c r="F2710" s="24" t="str">
        <f aca="false">IF(C2710="","",IFERROR(INDEX(LOTES!$B$5:$B$1004,MATCH(C2710,LOTES!$F$5:$F$1004,0)),""))</f>
        <v/>
      </c>
      <c r="G2710" s="15" t="str">
        <f aca="false">IF(OR(B2710="",F2710=""),"",B2710-F2710)</f>
        <v/>
      </c>
      <c r="H2710" s="13"/>
      <c r="I2710" s="13"/>
      <c r="J2710" s="13"/>
      <c r="K2710" s="25"/>
      <c r="L2710" s="25"/>
      <c r="M2710" s="25"/>
      <c r="N2710" s="25"/>
      <c r="O2710" s="26"/>
      <c r="P2710" s="16" t="str">
        <f aca="false">IF(O2710="","",IFERROR(1/(1/(IF(K2710="",INDEX(CONFIG!$F$5:$F$14,MATCH(D2710,CONFIG!$D$5:$D$14,0)),K2710)*IF(M2710="",INDEX(CONFIG!$H$5:$H$14,MATCH(D2710,CONFIG!$D$5:$D$14,0)),M2710))),""))</f>
        <v/>
      </c>
      <c r="Q2710" s="16" t="str">
        <f aca="false">IF(OR(O2710="",P2710=""),"",O2710/P2710)</f>
        <v/>
      </c>
      <c r="R2710" s="16" t="str">
        <f aca="false">IF(Q2710="","",Q2710*0.0980665)</f>
        <v/>
      </c>
      <c r="S2710" s="16" t="str">
        <f aca="false">IF(Q2710="","",IFERROR(Q2710/(1/(1/INDEX(CONFIG!$I$5:$I$14,MATCH(D2710,CONFIG!$D$5:$D$14,0)))),""))</f>
        <v/>
      </c>
      <c r="T2710" s="13"/>
      <c r="U2710" s="13"/>
      <c r="V2710" s="13"/>
      <c r="W2710" s="13"/>
      <c r="X2710" s="22" t="str">
        <f aca="false">IF(Q2710="","",Q2710^2)</f>
        <v/>
      </c>
      <c r="Y2710" s="22" t="str">
        <f aca="false">IF(AND(C2710&lt;&gt;"",C2710=CERTIFICADO!$E$4,OR(CERTIFICADO!$E$5="",B2710=CERTIFICADO!$E$5)),MAX($Y$4:Y2709)+1,"")</f>
        <v/>
      </c>
    </row>
    <row r="2711" customFormat="false" ht="15" hidden="false" customHeight="false" outlineLevel="0" collapsed="false">
      <c r="A2711" s="11" t="str">
        <f aca="false">IF(C2711="","",ROW()-4)</f>
        <v/>
      </c>
      <c r="B2711" s="12"/>
      <c r="C2711" s="13"/>
      <c r="D2711" s="23" t="str">
        <f aca="false">IF(C2711="","",IFERROR(INDEX(LOTES!$D$5:$D$1004,MATCH(C2711,LOTES!$F$5:$F$1004,0)),"¿Lote?"))</f>
        <v/>
      </c>
      <c r="E2711" s="11" t="str">
        <f aca="false">IF(C2711="","",IFERROR(INDEX(LOTES!$C$5:$C$1004,MATCH(C2711,LOTES!$F$5:$F$1004,0)),""))</f>
        <v/>
      </c>
      <c r="F2711" s="24" t="str">
        <f aca="false">IF(C2711="","",IFERROR(INDEX(LOTES!$B$5:$B$1004,MATCH(C2711,LOTES!$F$5:$F$1004,0)),""))</f>
        <v/>
      </c>
      <c r="G2711" s="15" t="str">
        <f aca="false">IF(OR(B2711="",F2711=""),"",B2711-F2711)</f>
        <v/>
      </c>
      <c r="H2711" s="13"/>
      <c r="I2711" s="13"/>
      <c r="J2711" s="13"/>
      <c r="K2711" s="25"/>
      <c r="L2711" s="25"/>
      <c r="M2711" s="25"/>
      <c r="N2711" s="25"/>
      <c r="O2711" s="26"/>
      <c r="P2711" s="16" t="str">
        <f aca="false">IF(O2711="","",IFERROR(1/(1/(IF(K2711="",INDEX(CONFIG!$F$5:$F$14,MATCH(D2711,CONFIG!$D$5:$D$14,0)),K2711)*IF(M2711="",INDEX(CONFIG!$H$5:$H$14,MATCH(D2711,CONFIG!$D$5:$D$14,0)),M2711))),""))</f>
        <v/>
      </c>
      <c r="Q2711" s="16" t="str">
        <f aca="false">IF(OR(O2711="",P2711=""),"",O2711/P2711)</f>
        <v/>
      </c>
      <c r="R2711" s="16" t="str">
        <f aca="false">IF(Q2711="","",Q2711*0.0980665)</f>
        <v/>
      </c>
      <c r="S2711" s="16" t="str">
        <f aca="false">IF(Q2711="","",IFERROR(Q2711/(1/(1/INDEX(CONFIG!$I$5:$I$14,MATCH(D2711,CONFIG!$D$5:$D$14,0)))),""))</f>
        <v/>
      </c>
      <c r="T2711" s="13"/>
      <c r="U2711" s="13"/>
      <c r="V2711" s="13"/>
      <c r="W2711" s="13"/>
      <c r="X2711" s="22" t="str">
        <f aca="false">IF(Q2711="","",Q2711^2)</f>
        <v/>
      </c>
      <c r="Y2711" s="22" t="str">
        <f aca="false">IF(AND(C2711&lt;&gt;"",C2711=CERTIFICADO!$E$4,OR(CERTIFICADO!$E$5="",B2711=CERTIFICADO!$E$5)),MAX($Y$4:Y2710)+1,"")</f>
        <v/>
      </c>
    </row>
    <row r="2712" customFormat="false" ht="15" hidden="false" customHeight="false" outlineLevel="0" collapsed="false">
      <c r="A2712" s="11" t="str">
        <f aca="false">IF(C2712="","",ROW()-4)</f>
        <v/>
      </c>
      <c r="B2712" s="12"/>
      <c r="C2712" s="13"/>
      <c r="D2712" s="23" t="str">
        <f aca="false">IF(C2712="","",IFERROR(INDEX(LOTES!$D$5:$D$1004,MATCH(C2712,LOTES!$F$5:$F$1004,0)),"¿Lote?"))</f>
        <v/>
      </c>
      <c r="E2712" s="11" t="str">
        <f aca="false">IF(C2712="","",IFERROR(INDEX(LOTES!$C$5:$C$1004,MATCH(C2712,LOTES!$F$5:$F$1004,0)),""))</f>
        <v/>
      </c>
      <c r="F2712" s="24" t="str">
        <f aca="false">IF(C2712="","",IFERROR(INDEX(LOTES!$B$5:$B$1004,MATCH(C2712,LOTES!$F$5:$F$1004,0)),""))</f>
        <v/>
      </c>
      <c r="G2712" s="15" t="str">
        <f aca="false">IF(OR(B2712="",F2712=""),"",B2712-F2712)</f>
        <v/>
      </c>
      <c r="H2712" s="13"/>
      <c r="I2712" s="13"/>
      <c r="J2712" s="13"/>
      <c r="K2712" s="25"/>
      <c r="L2712" s="25"/>
      <c r="M2712" s="25"/>
      <c r="N2712" s="25"/>
      <c r="O2712" s="26"/>
      <c r="P2712" s="16" t="str">
        <f aca="false">IF(O2712="","",IFERROR(1/(1/(IF(K2712="",INDEX(CONFIG!$F$5:$F$14,MATCH(D2712,CONFIG!$D$5:$D$14,0)),K2712)*IF(M2712="",INDEX(CONFIG!$H$5:$H$14,MATCH(D2712,CONFIG!$D$5:$D$14,0)),M2712))),""))</f>
        <v/>
      </c>
      <c r="Q2712" s="16" t="str">
        <f aca="false">IF(OR(O2712="",P2712=""),"",O2712/P2712)</f>
        <v/>
      </c>
      <c r="R2712" s="16" t="str">
        <f aca="false">IF(Q2712="","",Q2712*0.0980665)</f>
        <v/>
      </c>
      <c r="S2712" s="16" t="str">
        <f aca="false">IF(Q2712="","",IFERROR(Q2712/(1/(1/INDEX(CONFIG!$I$5:$I$14,MATCH(D2712,CONFIG!$D$5:$D$14,0)))),""))</f>
        <v/>
      </c>
      <c r="T2712" s="13"/>
      <c r="U2712" s="13"/>
      <c r="V2712" s="13"/>
      <c r="W2712" s="13"/>
      <c r="X2712" s="22" t="str">
        <f aca="false">IF(Q2712="","",Q2712^2)</f>
        <v/>
      </c>
      <c r="Y2712" s="22" t="str">
        <f aca="false">IF(AND(C2712&lt;&gt;"",C2712=CERTIFICADO!$E$4,OR(CERTIFICADO!$E$5="",B2712=CERTIFICADO!$E$5)),MAX($Y$4:Y2711)+1,"")</f>
        <v/>
      </c>
    </row>
    <row r="2713" customFormat="false" ht="15" hidden="false" customHeight="false" outlineLevel="0" collapsed="false">
      <c r="A2713" s="11" t="str">
        <f aca="false">IF(C2713="","",ROW()-4)</f>
        <v/>
      </c>
      <c r="B2713" s="12"/>
      <c r="C2713" s="13"/>
      <c r="D2713" s="23" t="str">
        <f aca="false">IF(C2713="","",IFERROR(INDEX(LOTES!$D$5:$D$1004,MATCH(C2713,LOTES!$F$5:$F$1004,0)),"¿Lote?"))</f>
        <v/>
      </c>
      <c r="E2713" s="11" t="str">
        <f aca="false">IF(C2713="","",IFERROR(INDEX(LOTES!$C$5:$C$1004,MATCH(C2713,LOTES!$F$5:$F$1004,0)),""))</f>
        <v/>
      </c>
      <c r="F2713" s="24" t="str">
        <f aca="false">IF(C2713="","",IFERROR(INDEX(LOTES!$B$5:$B$1004,MATCH(C2713,LOTES!$F$5:$F$1004,0)),""))</f>
        <v/>
      </c>
      <c r="G2713" s="15" t="str">
        <f aca="false">IF(OR(B2713="",F2713=""),"",B2713-F2713)</f>
        <v/>
      </c>
      <c r="H2713" s="13"/>
      <c r="I2713" s="13"/>
      <c r="J2713" s="13"/>
      <c r="K2713" s="25"/>
      <c r="L2713" s="25"/>
      <c r="M2713" s="25"/>
      <c r="N2713" s="25"/>
      <c r="O2713" s="26"/>
      <c r="P2713" s="16" t="str">
        <f aca="false">IF(O2713="","",IFERROR(1/(1/(IF(K2713="",INDEX(CONFIG!$F$5:$F$14,MATCH(D2713,CONFIG!$D$5:$D$14,0)),K2713)*IF(M2713="",INDEX(CONFIG!$H$5:$H$14,MATCH(D2713,CONFIG!$D$5:$D$14,0)),M2713))),""))</f>
        <v/>
      </c>
      <c r="Q2713" s="16" t="str">
        <f aca="false">IF(OR(O2713="",P2713=""),"",O2713/P2713)</f>
        <v/>
      </c>
      <c r="R2713" s="16" t="str">
        <f aca="false">IF(Q2713="","",Q2713*0.0980665)</f>
        <v/>
      </c>
      <c r="S2713" s="16" t="str">
        <f aca="false">IF(Q2713="","",IFERROR(Q2713/(1/(1/INDEX(CONFIG!$I$5:$I$14,MATCH(D2713,CONFIG!$D$5:$D$14,0)))),""))</f>
        <v/>
      </c>
      <c r="T2713" s="13"/>
      <c r="U2713" s="13"/>
      <c r="V2713" s="13"/>
      <c r="W2713" s="13"/>
      <c r="X2713" s="22" t="str">
        <f aca="false">IF(Q2713="","",Q2713^2)</f>
        <v/>
      </c>
      <c r="Y2713" s="22" t="str">
        <f aca="false">IF(AND(C2713&lt;&gt;"",C2713=CERTIFICADO!$E$4,OR(CERTIFICADO!$E$5="",B2713=CERTIFICADO!$E$5)),MAX($Y$4:Y2712)+1,"")</f>
        <v/>
      </c>
    </row>
    <row r="2714" customFormat="false" ht="15" hidden="false" customHeight="false" outlineLevel="0" collapsed="false">
      <c r="A2714" s="11" t="str">
        <f aca="false">IF(C2714="","",ROW()-4)</f>
        <v/>
      </c>
      <c r="B2714" s="12"/>
      <c r="C2714" s="13"/>
      <c r="D2714" s="23" t="str">
        <f aca="false">IF(C2714="","",IFERROR(INDEX(LOTES!$D$5:$D$1004,MATCH(C2714,LOTES!$F$5:$F$1004,0)),"¿Lote?"))</f>
        <v/>
      </c>
      <c r="E2714" s="11" t="str">
        <f aca="false">IF(C2714="","",IFERROR(INDEX(LOTES!$C$5:$C$1004,MATCH(C2714,LOTES!$F$5:$F$1004,0)),""))</f>
        <v/>
      </c>
      <c r="F2714" s="24" t="str">
        <f aca="false">IF(C2714="","",IFERROR(INDEX(LOTES!$B$5:$B$1004,MATCH(C2714,LOTES!$F$5:$F$1004,0)),""))</f>
        <v/>
      </c>
      <c r="G2714" s="15" t="str">
        <f aca="false">IF(OR(B2714="",F2714=""),"",B2714-F2714)</f>
        <v/>
      </c>
      <c r="H2714" s="13"/>
      <c r="I2714" s="13"/>
      <c r="J2714" s="13"/>
      <c r="K2714" s="25"/>
      <c r="L2714" s="25"/>
      <c r="M2714" s="25"/>
      <c r="N2714" s="25"/>
      <c r="O2714" s="26"/>
      <c r="P2714" s="16" t="str">
        <f aca="false">IF(O2714="","",IFERROR(1/(1/(IF(K2714="",INDEX(CONFIG!$F$5:$F$14,MATCH(D2714,CONFIG!$D$5:$D$14,0)),K2714)*IF(M2714="",INDEX(CONFIG!$H$5:$H$14,MATCH(D2714,CONFIG!$D$5:$D$14,0)),M2714))),""))</f>
        <v/>
      </c>
      <c r="Q2714" s="16" t="str">
        <f aca="false">IF(OR(O2714="",P2714=""),"",O2714/P2714)</f>
        <v/>
      </c>
      <c r="R2714" s="16" t="str">
        <f aca="false">IF(Q2714="","",Q2714*0.0980665)</f>
        <v/>
      </c>
      <c r="S2714" s="16" t="str">
        <f aca="false">IF(Q2714="","",IFERROR(Q2714/(1/(1/INDEX(CONFIG!$I$5:$I$14,MATCH(D2714,CONFIG!$D$5:$D$14,0)))),""))</f>
        <v/>
      </c>
      <c r="T2714" s="13"/>
      <c r="U2714" s="13"/>
      <c r="V2714" s="13"/>
      <c r="W2714" s="13"/>
      <c r="X2714" s="22" t="str">
        <f aca="false">IF(Q2714="","",Q2714^2)</f>
        <v/>
      </c>
      <c r="Y2714" s="22" t="str">
        <f aca="false">IF(AND(C2714&lt;&gt;"",C2714=CERTIFICADO!$E$4,OR(CERTIFICADO!$E$5="",B2714=CERTIFICADO!$E$5)),MAX($Y$4:Y2713)+1,"")</f>
        <v/>
      </c>
    </row>
    <row r="2715" customFormat="false" ht="15" hidden="false" customHeight="false" outlineLevel="0" collapsed="false">
      <c r="A2715" s="11" t="str">
        <f aca="false">IF(C2715="","",ROW()-4)</f>
        <v/>
      </c>
      <c r="B2715" s="12"/>
      <c r="C2715" s="13"/>
      <c r="D2715" s="23" t="str">
        <f aca="false">IF(C2715="","",IFERROR(INDEX(LOTES!$D$5:$D$1004,MATCH(C2715,LOTES!$F$5:$F$1004,0)),"¿Lote?"))</f>
        <v/>
      </c>
      <c r="E2715" s="11" t="str">
        <f aca="false">IF(C2715="","",IFERROR(INDEX(LOTES!$C$5:$C$1004,MATCH(C2715,LOTES!$F$5:$F$1004,0)),""))</f>
        <v/>
      </c>
      <c r="F2715" s="24" t="str">
        <f aca="false">IF(C2715="","",IFERROR(INDEX(LOTES!$B$5:$B$1004,MATCH(C2715,LOTES!$F$5:$F$1004,0)),""))</f>
        <v/>
      </c>
      <c r="G2715" s="15" t="str">
        <f aca="false">IF(OR(B2715="",F2715=""),"",B2715-F2715)</f>
        <v/>
      </c>
      <c r="H2715" s="13"/>
      <c r="I2715" s="13"/>
      <c r="J2715" s="13"/>
      <c r="K2715" s="25"/>
      <c r="L2715" s="25"/>
      <c r="M2715" s="25"/>
      <c r="N2715" s="25"/>
      <c r="O2715" s="26"/>
      <c r="P2715" s="16" t="str">
        <f aca="false">IF(O2715="","",IFERROR(1/(1/(IF(K2715="",INDEX(CONFIG!$F$5:$F$14,MATCH(D2715,CONFIG!$D$5:$D$14,0)),K2715)*IF(M2715="",INDEX(CONFIG!$H$5:$H$14,MATCH(D2715,CONFIG!$D$5:$D$14,0)),M2715))),""))</f>
        <v/>
      </c>
      <c r="Q2715" s="16" t="str">
        <f aca="false">IF(OR(O2715="",P2715=""),"",O2715/P2715)</f>
        <v/>
      </c>
      <c r="R2715" s="16" t="str">
        <f aca="false">IF(Q2715="","",Q2715*0.0980665)</f>
        <v/>
      </c>
      <c r="S2715" s="16" t="str">
        <f aca="false">IF(Q2715="","",IFERROR(Q2715/(1/(1/INDEX(CONFIG!$I$5:$I$14,MATCH(D2715,CONFIG!$D$5:$D$14,0)))),""))</f>
        <v/>
      </c>
      <c r="T2715" s="13"/>
      <c r="U2715" s="13"/>
      <c r="V2715" s="13"/>
      <c r="W2715" s="13"/>
      <c r="X2715" s="22" t="str">
        <f aca="false">IF(Q2715="","",Q2715^2)</f>
        <v/>
      </c>
      <c r="Y2715" s="22" t="str">
        <f aca="false">IF(AND(C2715&lt;&gt;"",C2715=CERTIFICADO!$E$4,OR(CERTIFICADO!$E$5="",B2715=CERTIFICADO!$E$5)),MAX($Y$4:Y2714)+1,"")</f>
        <v/>
      </c>
    </row>
    <row r="2716" customFormat="false" ht="15" hidden="false" customHeight="false" outlineLevel="0" collapsed="false">
      <c r="A2716" s="11" t="str">
        <f aca="false">IF(C2716="","",ROW()-4)</f>
        <v/>
      </c>
      <c r="B2716" s="12"/>
      <c r="C2716" s="13"/>
      <c r="D2716" s="23" t="str">
        <f aca="false">IF(C2716="","",IFERROR(INDEX(LOTES!$D$5:$D$1004,MATCH(C2716,LOTES!$F$5:$F$1004,0)),"¿Lote?"))</f>
        <v/>
      </c>
      <c r="E2716" s="11" t="str">
        <f aca="false">IF(C2716="","",IFERROR(INDEX(LOTES!$C$5:$C$1004,MATCH(C2716,LOTES!$F$5:$F$1004,0)),""))</f>
        <v/>
      </c>
      <c r="F2716" s="24" t="str">
        <f aca="false">IF(C2716="","",IFERROR(INDEX(LOTES!$B$5:$B$1004,MATCH(C2716,LOTES!$F$5:$F$1004,0)),""))</f>
        <v/>
      </c>
      <c r="G2716" s="15" t="str">
        <f aca="false">IF(OR(B2716="",F2716=""),"",B2716-F2716)</f>
        <v/>
      </c>
      <c r="H2716" s="13"/>
      <c r="I2716" s="13"/>
      <c r="J2716" s="13"/>
      <c r="K2716" s="25"/>
      <c r="L2716" s="25"/>
      <c r="M2716" s="25"/>
      <c r="N2716" s="25"/>
      <c r="O2716" s="26"/>
      <c r="P2716" s="16" t="str">
        <f aca="false">IF(O2716="","",IFERROR(1/(1/(IF(K2716="",INDEX(CONFIG!$F$5:$F$14,MATCH(D2716,CONFIG!$D$5:$D$14,0)),K2716)*IF(M2716="",INDEX(CONFIG!$H$5:$H$14,MATCH(D2716,CONFIG!$D$5:$D$14,0)),M2716))),""))</f>
        <v/>
      </c>
      <c r="Q2716" s="16" t="str">
        <f aca="false">IF(OR(O2716="",P2716=""),"",O2716/P2716)</f>
        <v/>
      </c>
      <c r="R2716" s="16" t="str">
        <f aca="false">IF(Q2716="","",Q2716*0.0980665)</f>
        <v/>
      </c>
      <c r="S2716" s="16" t="str">
        <f aca="false">IF(Q2716="","",IFERROR(Q2716/(1/(1/INDEX(CONFIG!$I$5:$I$14,MATCH(D2716,CONFIG!$D$5:$D$14,0)))),""))</f>
        <v/>
      </c>
      <c r="T2716" s="13"/>
      <c r="U2716" s="13"/>
      <c r="V2716" s="13"/>
      <c r="W2716" s="13"/>
      <c r="X2716" s="22" t="str">
        <f aca="false">IF(Q2716="","",Q2716^2)</f>
        <v/>
      </c>
      <c r="Y2716" s="22" t="str">
        <f aca="false">IF(AND(C2716&lt;&gt;"",C2716=CERTIFICADO!$E$4,OR(CERTIFICADO!$E$5="",B2716=CERTIFICADO!$E$5)),MAX($Y$4:Y2715)+1,"")</f>
        <v/>
      </c>
    </row>
    <row r="2717" customFormat="false" ht="15" hidden="false" customHeight="false" outlineLevel="0" collapsed="false">
      <c r="A2717" s="11" t="str">
        <f aca="false">IF(C2717="","",ROW()-4)</f>
        <v/>
      </c>
      <c r="B2717" s="12"/>
      <c r="C2717" s="13"/>
      <c r="D2717" s="23" t="str">
        <f aca="false">IF(C2717="","",IFERROR(INDEX(LOTES!$D$5:$D$1004,MATCH(C2717,LOTES!$F$5:$F$1004,0)),"¿Lote?"))</f>
        <v/>
      </c>
      <c r="E2717" s="11" t="str">
        <f aca="false">IF(C2717="","",IFERROR(INDEX(LOTES!$C$5:$C$1004,MATCH(C2717,LOTES!$F$5:$F$1004,0)),""))</f>
        <v/>
      </c>
      <c r="F2717" s="24" t="str">
        <f aca="false">IF(C2717="","",IFERROR(INDEX(LOTES!$B$5:$B$1004,MATCH(C2717,LOTES!$F$5:$F$1004,0)),""))</f>
        <v/>
      </c>
      <c r="G2717" s="15" t="str">
        <f aca="false">IF(OR(B2717="",F2717=""),"",B2717-F2717)</f>
        <v/>
      </c>
      <c r="H2717" s="13"/>
      <c r="I2717" s="13"/>
      <c r="J2717" s="13"/>
      <c r="K2717" s="25"/>
      <c r="L2717" s="25"/>
      <c r="M2717" s="25"/>
      <c r="N2717" s="25"/>
      <c r="O2717" s="26"/>
      <c r="P2717" s="16" t="str">
        <f aca="false">IF(O2717="","",IFERROR(1/(1/(IF(K2717="",INDEX(CONFIG!$F$5:$F$14,MATCH(D2717,CONFIG!$D$5:$D$14,0)),K2717)*IF(M2717="",INDEX(CONFIG!$H$5:$H$14,MATCH(D2717,CONFIG!$D$5:$D$14,0)),M2717))),""))</f>
        <v/>
      </c>
      <c r="Q2717" s="16" t="str">
        <f aca="false">IF(OR(O2717="",P2717=""),"",O2717/P2717)</f>
        <v/>
      </c>
      <c r="R2717" s="16" t="str">
        <f aca="false">IF(Q2717="","",Q2717*0.0980665)</f>
        <v/>
      </c>
      <c r="S2717" s="16" t="str">
        <f aca="false">IF(Q2717="","",IFERROR(Q2717/(1/(1/INDEX(CONFIG!$I$5:$I$14,MATCH(D2717,CONFIG!$D$5:$D$14,0)))),""))</f>
        <v/>
      </c>
      <c r="T2717" s="13"/>
      <c r="U2717" s="13"/>
      <c r="V2717" s="13"/>
      <c r="W2717" s="13"/>
      <c r="X2717" s="22" t="str">
        <f aca="false">IF(Q2717="","",Q2717^2)</f>
        <v/>
      </c>
      <c r="Y2717" s="22" t="str">
        <f aca="false">IF(AND(C2717&lt;&gt;"",C2717=CERTIFICADO!$E$4,OR(CERTIFICADO!$E$5="",B2717=CERTIFICADO!$E$5)),MAX($Y$4:Y2716)+1,"")</f>
        <v/>
      </c>
    </row>
    <row r="2718" customFormat="false" ht="15" hidden="false" customHeight="false" outlineLevel="0" collapsed="false">
      <c r="A2718" s="11" t="str">
        <f aca="false">IF(C2718="","",ROW()-4)</f>
        <v/>
      </c>
      <c r="B2718" s="12"/>
      <c r="C2718" s="13"/>
      <c r="D2718" s="23" t="str">
        <f aca="false">IF(C2718="","",IFERROR(INDEX(LOTES!$D$5:$D$1004,MATCH(C2718,LOTES!$F$5:$F$1004,0)),"¿Lote?"))</f>
        <v/>
      </c>
      <c r="E2718" s="11" t="str">
        <f aca="false">IF(C2718="","",IFERROR(INDEX(LOTES!$C$5:$C$1004,MATCH(C2718,LOTES!$F$5:$F$1004,0)),""))</f>
        <v/>
      </c>
      <c r="F2718" s="24" t="str">
        <f aca="false">IF(C2718="","",IFERROR(INDEX(LOTES!$B$5:$B$1004,MATCH(C2718,LOTES!$F$5:$F$1004,0)),""))</f>
        <v/>
      </c>
      <c r="G2718" s="15" t="str">
        <f aca="false">IF(OR(B2718="",F2718=""),"",B2718-F2718)</f>
        <v/>
      </c>
      <c r="H2718" s="13"/>
      <c r="I2718" s="13"/>
      <c r="J2718" s="13"/>
      <c r="K2718" s="25"/>
      <c r="L2718" s="25"/>
      <c r="M2718" s="25"/>
      <c r="N2718" s="25"/>
      <c r="O2718" s="26"/>
      <c r="P2718" s="16" t="str">
        <f aca="false">IF(O2718="","",IFERROR(1/(1/(IF(K2718="",INDEX(CONFIG!$F$5:$F$14,MATCH(D2718,CONFIG!$D$5:$D$14,0)),K2718)*IF(M2718="",INDEX(CONFIG!$H$5:$H$14,MATCH(D2718,CONFIG!$D$5:$D$14,0)),M2718))),""))</f>
        <v/>
      </c>
      <c r="Q2718" s="16" t="str">
        <f aca="false">IF(OR(O2718="",P2718=""),"",O2718/P2718)</f>
        <v/>
      </c>
      <c r="R2718" s="16" t="str">
        <f aca="false">IF(Q2718="","",Q2718*0.0980665)</f>
        <v/>
      </c>
      <c r="S2718" s="16" t="str">
        <f aca="false">IF(Q2718="","",IFERROR(Q2718/(1/(1/INDEX(CONFIG!$I$5:$I$14,MATCH(D2718,CONFIG!$D$5:$D$14,0)))),""))</f>
        <v/>
      </c>
      <c r="T2718" s="13"/>
      <c r="U2718" s="13"/>
      <c r="V2718" s="13"/>
      <c r="W2718" s="13"/>
      <c r="X2718" s="22" t="str">
        <f aca="false">IF(Q2718="","",Q2718^2)</f>
        <v/>
      </c>
      <c r="Y2718" s="22" t="str">
        <f aca="false">IF(AND(C2718&lt;&gt;"",C2718=CERTIFICADO!$E$4,OR(CERTIFICADO!$E$5="",B2718=CERTIFICADO!$E$5)),MAX($Y$4:Y2717)+1,"")</f>
        <v/>
      </c>
    </row>
    <row r="2719" customFormat="false" ht="15" hidden="false" customHeight="false" outlineLevel="0" collapsed="false">
      <c r="A2719" s="11" t="str">
        <f aca="false">IF(C2719="","",ROW()-4)</f>
        <v/>
      </c>
      <c r="B2719" s="12"/>
      <c r="C2719" s="13"/>
      <c r="D2719" s="23" t="str">
        <f aca="false">IF(C2719="","",IFERROR(INDEX(LOTES!$D$5:$D$1004,MATCH(C2719,LOTES!$F$5:$F$1004,0)),"¿Lote?"))</f>
        <v/>
      </c>
      <c r="E2719" s="11" t="str">
        <f aca="false">IF(C2719="","",IFERROR(INDEX(LOTES!$C$5:$C$1004,MATCH(C2719,LOTES!$F$5:$F$1004,0)),""))</f>
        <v/>
      </c>
      <c r="F2719" s="24" t="str">
        <f aca="false">IF(C2719="","",IFERROR(INDEX(LOTES!$B$5:$B$1004,MATCH(C2719,LOTES!$F$5:$F$1004,0)),""))</f>
        <v/>
      </c>
      <c r="G2719" s="15" t="str">
        <f aca="false">IF(OR(B2719="",F2719=""),"",B2719-F2719)</f>
        <v/>
      </c>
      <c r="H2719" s="13"/>
      <c r="I2719" s="13"/>
      <c r="J2719" s="13"/>
      <c r="K2719" s="25"/>
      <c r="L2719" s="25"/>
      <c r="M2719" s="25"/>
      <c r="N2719" s="25"/>
      <c r="O2719" s="26"/>
      <c r="P2719" s="16" t="str">
        <f aca="false">IF(O2719="","",IFERROR(1/(1/(IF(K2719="",INDEX(CONFIG!$F$5:$F$14,MATCH(D2719,CONFIG!$D$5:$D$14,0)),K2719)*IF(M2719="",INDEX(CONFIG!$H$5:$H$14,MATCH(D2719,CONFIG!$D$5:$D$14,0)),M2719))),""))</f>
        <v/>
      </c>
      <c r="Q2719" s="16" t="str">
        <f aca="false">IF(OR(O2719="",P2719=""),"",O2719/P2719)</f>
        <v/>
      </c>
      <c r="R2719" s="16" t="str">
        <f aca="false">IF(Q2719="","",Q2719*0.0980665)</f>
        <v/>
      </c>
      <c r="S2719" s="16" t="str">
        <f aca="false">IF(Q2719="","",IFERROR(Q2719/(1/(1/INDEX(CONFIG!$I$5:$I$14,MATCH(D2719,CONFIG!$D$5:$D$14,0)))),""))</f>
        <v/>
      </c>
      <c r="T2719" s="13"/>
      <c r="U2719" s="13"/>
      <c r="V2719" s="13"/>
      <c r="W2719" s="13"/>
      <c r="X2719" s="22" t="str">
        <f aca="false">IF(Q2719="","",Q2719^2)</f>
        <v/>
      </c>
      <c r="Y2719" s="22" t="str">
        <f aca="false">IF(AND(C2719&lt;&gt;"",C2719=CERTIFICADO!$E$4,OR(CERTIFICADO!$E$5="",B2719=CERTIFICADO!$E$5)),MAX($Y$4:Y2718)+1,"")</f>
        <v/>
      </c>
    </row>
    <row r="2720" customFormat="false" ht="15" hidden="false" customHeight="false" outlineLevel="0" collapsed="false">
      <c r="A2720" s="11" t="str">
        <f aca="false">IF(C2720="","",ROW()-4)</f>
        <v/>
      </c>
      <c r="B2720" s="12"/>
      <c r="C2720" s="13"/>
      <c r="D2720" s="23" t="str">
        <f aca="false">IF(C2720="","",IFERROR(INDEX(LOTES!$D$5:$D$1004,MATCH(C2720,LOTES!$F$5:$F$1004,0)),"¿Lote?"))</f>
        <v/>
      </c>
      <c r="E2720" s="11" t="str">
        <f aca="false">IF(C2720="","",IFERROR(INDEX(LOTES!$C$5:$C$1004,MATCH(C2720,LOTES!$F$5:$F$1004,0)),""))</f>
        <v/>
      </c>
      <c r="F2720" s="24" t="str">
        <f aca="false">IF(C2720="","",IFERROR(INDEX(LOTES!$B$5:$B$1004,MATCH(C2720,LOTES!$F$5:$F$1004,0)),""))</f>
        <v/>
      </c>
      <c r="G2720" s="15" t="str">
        <f aca="false">IF(OR(B2720="",F2720=""),"",B2720-F2720)</f>
        <v/>
      </c>
      <c r="H2720" s="13"/>
      <c r="I2720" s="13"/>
      <c r="J2720" s="13"/>
      <c r="K2720" s="25"/>
      <c r="L2720" s="25"/>
      <c r="M2720" s="25"/>
      <c r="N2720" s="25"/>
      <c r="O2720" s="26"/>
      <c r="P2720" s="16" t="str">
        <f aca="false">IF(O2720="","",IFERROR(1/(1/(IF(K2720="",INDEX(CONFIG!$F$5:$F$14,MATCH(D2720,CONFIG!$D$5:$D$14,0)),K2720)*IF(M2720="",INDEX(CONFIG!$H$5:$H$14,MATCH(D2720,CONFIG!$D$5:$D$14,0)),M2720))),""))</f>
        <v/>
      </c>
      <c r="Q2720" s="16" t="str">
        <f aca="false">IF(OR(O2720="",P2720=""),"",O2720/P2720)</f>
        <v/>
      </c>
      <c r="R2720" s="16" t="str">
        <f aca="false">IF(Q2720="","",Q2720*0.0980665)</f>
        <v/>
      </c>
      <c r="S2720" s="16" t="str">
        <f aca="false">IF(Q2720="","",IFERROR(Q2720/(1/(1/INDEX(CONFIG!$I$5:$I$14,MATCH(D2720,CONFIG!$D$5:$D$14,0)))),""))</f>
        <v/>
      </c>
      <c r="T2720" s="13"/>
      <c r="U2720" s="13"/>
      <c r="V2720" s="13"/>
      <c r="W2720" s="13"/>
      <c r="X2720" s="22" t="str">
        <f aca="false">IF(Q2720="","",Q2720^2)</f>
        <v/>
      </c>
      <c r="Y2720" s="22" t="str">
        <f aca="false">IF(AND(C2720&lt;&gt;"",C2720=CERTIFICADO!$E$4,OR(CERTIFICADO!$E$5="",B2720=CERTIFICADO!$E$5)),MAX($Y$4:Y2719)+1,"")</f>
        <v/>
      </c>
    </row>
    <row r="2721" customFormat="false" ht="15" hidden="false" customHeight="false" outlineLevel="0" collapsed="false">
      <c r="A2721" s="11" t="str">
        <f aca="false">IF(C2721="","",ROW()-4)</f>
        <v/>
      </c>
      <c r="B2721" s="12"/>
      <c r="C2721" s="13"/>
      <c r="D2721" s="23" t="str">
        <f aca="false">IF(C2721="","",IFERROR(INDEX(LOTES!$D$5:$D$1004,MATCH(C2721,LOTES!$F$5:$F$1004,0)),"¿Lote?"))</f>
        <v/>
      </c>
      <c r="E2721" s="11" t="str">
        <f aca="false">IF(C2721="","",IFERROR(INDEX(LOTES!$C$5:$C$1004,MATCH(C2721,LOTES!$F$5:$F$1004,0)),""))</f>
        <v/>
      </c>
      <c r="F2721" s="24" t="str">
        <f aca="false">IF(C2721="","",IFERROR(INDEX(LOTES!$B$5:$B$1004,MATCH(C2721,LOTES!$F$5:$F$1004,0)),""))</f>
        <v/>
      </c>
      <c r="G2721" s="15" t="str">
        <f aca="false">IF(OR(B2721="",F2721=""),"",B2721-F2721)</f>
        <v/>
      </c>
      <c r="H2721" s="13"/>
      <c r="I2721" s="13"/>
      <c r="J2721" s="13"/>
      <c r="K2721" s="25"/>
      <c r="L2721" s="25"/>
      <c r="M2721" s="25"/>
      <c r="N2721" s="25"/>
      <c r="O2721" s="26"/>
      <c r="P2721" s="16" t="str">
        <f aca="false">IF(O2721="","",IFERROR(1/(1/(IF(K2721="",INDEX(CONFIG!$F$5:$F$14,MATCH(D2721,CONFIG!$D$5:$D$14,0)),K2721)*IF(M2721="",INDEX(CONFIG!$H$5:$H$14,MATCH(D2721,CONFIG!$D$5:$D$14,0)),M2721))),""))</f>
        <v/>
      </c>
      <c r="Q2721" s="16" t="str">
        <f aca="false">IF(OR(O2721="",P2721=""),"",O2721/P2721)</f>
        <v/>
      </c>
      <c r="R2721" s="16" t="str">
        <f aca="false">IF(Q2721="","",Q2721*0.0980665)</f>
        <v/>
      </c>
      <c r="S2721" s="16" t="str">
        <f aca="false">IF(Q2721="","",IFERROR(Q2721/(1/(1/INDEX(CONFIG!$I$5:$I$14,MATCH(D2721,CONFIG!$D$5:$D$14,0)))),""))</f>
        <v/>
      </c>
      <c r="T2721" s="13"/>
      <c r="U2721" s="13"/>
      <c r="V2721" s="13"/>
      <c r="W2721" s="13"/>
      <c r="X2721" s="22" t="str">
        <f aca="false">IF(Q2721="","",Q2721^2)</f>
        <v/>
      </c>
      <c r="Y2721" s="22" t="str">
        <f aca="false">IF(AND(C2721&lt;&gt;"",C2721=CERTIFICADO!$E$4,OR(CERTIFICADO!$E$5="",B2721=CERTIFICADO!$E$5)),MAX($Y$4:Y2720)+1,"")</f>
        <v/>
      </c>
    </row>
    <row r="2722" customFormat="false" ht="15" hidden="false" customHeight="false" outlineLevel="0" collapsed="false">
      <c r="A2722" s="11" t="str">
        <f aca="false">IF(C2722="","",ROW()-4)</f>
        <v/>
      </c>
      <c r="B2722" s="12"/>
      <c r="C2722" s="13"/>
      <c r="D2722" s="23" t="str">
        <f aca="false">IF(C2722="","",IFERROR(INDEX(LOTES!$D$5:$D$1004,MATCH(C2722,LOTES!$F$5:$F$1004,0)),"¿Lote?"))</f>
        <v/>
      </c>
      <c r="E2722" s="11" t="str">
        <f aca="false">IF(C2722="","",IFERROR(INDEX(LOTES!$C$5:$C$1004,MATCH(C2722,LOTES!$F$5:$F$1004,0)),""))</f>
        <v/>
      </c>
      <c r="F2722" s="24" t="str">
        <f aca="false">IF(C2722="","",IFERROR(INDEX(LOTES!$B$5:$B$1004,MATCH(C2722,LOTES!$F$5:$F$1004,0)),""))</f>
        <v/>
      </c>
      <c r="G2722" s="15" t="str">
        <f aca="false">IF(OR(B2722="",F2722=""),"",B2722-F2722)</f>
        <v/>
      </c>
      <c r="H2722" s="13"/>
      <c r="I2722" s="13"/>
      <c r="J2722" s="13"/>
      <c r="K2722" s="25"/>
      <c r="L2722" s="25"/>
      <c r="M2722" s="25"/>
      <c r="N2722" s="25"/>
      <c r="O2722" s="26"/>
      <c r="P2722" s="16" t="str">
        <f aca="false">IF(O2722="","",IFERROR(1/(1/(IF(K2722="",INDEX(CONFIG!$F$5:$F$14,MATCH(D2722,CONFIG!$D$5:$D$14,0)),K2722)*IF(M2722="",INDEX(CONFIG!$H$5:$H$14,MATCH(D2722,CONFIG!$D$5:$D$14,0)),M2722))),""))</f>
        <v/>
      </c>
      <c r="Q2722" s="16" t="str">
        <f aca="false">IF(OR(O2722="",P2722=""),"",O2722/P2722)</f>
        <v/>
      </c>
      <c r="R2722" s="16" t="str">
        <f aca="false">IF(Q2722="","",Q2722*0.0980665)</f>
        <v/>
      </c>
      <c r="S2722" s="16" t="str">
        <f aca="false">IF(Q2722="","",IFERROR(Q2722/(1/(1/INDEX(CONFIG!$I$5:$I$14,MATCH(D2722,CONFIG!$D$5:$D$14,0)))),""))</f>
        <v/>
      </c>
      <c r="T2722" s="13"/>
      <c r="U2722" s="13"/>
      <c r="V2722" s="13"/>
      <c r="W2722" s="13"/>
      <c r="X2722" s="22" t="str">
        <f aca="false">IF(Q2722="","",Q2722^2)</f>
        <v/>
      </c>
      <c r="Y2722" s="22" t="str">
        <f aca="false">IF(AND(C2722&lt;&gt;"",C2722=CERTIFICADO!$E$4,OR(CERTIFICADO!$E$5="",B2722=CERTIFICADO!$E$5)),MAX($Y$4:Y2721)+1,"")</f>
        <v/>
      </c>
    </row>
    <row r="2723" customFormat="false" ht="15" hidden="false" customHeight="false" outlineLevel="0" collapsed="false">
      <c r="A2723" s="11" t="str">
        <f aca="false">IF(C2723="","",ROW()-4)</f>
        <v/>
      </c>
      <c r="B2723" s="12"/>
      <c r="C2723" s="13"/>
      <c r="D2723" s="23" t="str">
        <f aca="false">IF(C2723="","",IFERROR(INDEX(LOTES!$D$5:$D$1004,MATCH(C2723,LOTES!$F$5:$F$1004,0)),"¿Lote?"))</f>
        <v/>
      </c>
      <c r="E2723" s="11" t="str">
        <f aca="false">IF(C2723="","",IFERROR(INDEX(LOTES!$C$5:$C$1004,MATCH(C2723,LOTES!$F$5:$F$1004,0)),""))</f>
        <v/>
      </c>
      <c r="F2723" s="24" t="str">
        <f aca="false">IF(C2723="","",IFERROR(INDEX(LOTES!$B$5:$B$1004,MATCH(C2723,LOTES!$F$5:$F$1004,0)),""))</f>
        <v/>
      </c>
      <c r="G2723" s="15" t="str">
        <f aca="false">IF(OR(B2723="",F2723=""),"",B2723-F2723)</f>
        <v/>
      </c>
      <c r="H2723" s="13"/>
      <c r="I2723" s="13"/>
      <c r="J2723" s="13"/>
      <c r="K2723" s="25"/>
      <c r="L2723" s="25"/>
      <c r="M2723" s="25"/>
      <c r="N2723" s="25"/>
      <c r="O2723" s="26"/>
      <c r="P2723" s="16" t="str">
        <f aca="false">IF(O2723="","",IFERROR(1/(1/(IF(K2723="",INDEX(CONFIG!$F$5:$F$14,MATCH(D2723,CONFIG!$D$5:$D$14,0)),K2723)*IF(M2723="",INDEX(CONFIG!$H$5:$H$14,MATCH(D2723,CONFIG!$D$5:$D$14,0)),M2723))),""))</f>
        <v/>
      </c>
      <c r="Q2723" s="16" t="str">
        <f aca="false">IF(OR(O2723="",P2723=""),"",O2723/P2723)</f>
        <v/>
      </c>
      <c r="R2723" s="16" t="str">
        <f aca="false">IF(Q2723="","",Q2723*0.0980665)</f>
        <v/>
      </c>
      <c r="S2723" s="16" t="str">
        <f aca="false">IF(Q2723="","",IFERROR(Q2723/(1/(1/INDEX(CONFIG!$I$5:$I$14,MATCH(D2723,CONFIG!$D$5:$D$14,0)))),""))</f>
        <v/>
      </c>
      <c r="T2723" s="13"/>
      <c r="U2723" s="13"/>
      <c r="V2723" s="13"/>
      <c r="W2723" s="13"/>
      <c r="X2723" s="22" t="str">
        <f aca="false">IF(Q2723="","",Q2723^2)</f>
        <v/>
      </c>
      <c r="Y2723" s="22" t="str">
        <f aca="false">IF(AND(C2723&lt;&gt;"",C2723=CERTIFICADO!$E$4,OR(CERTIFICADO!$E$5="",B2723=CERTIFICADO!$E$5)),MAX($Y$4:Y2722)+1,"")</f>
        <v/>
      </c>
    </row>
    <row r="2724" customFormat="false" ht="15" hidden="false" customHeight="false" outlineLevel="0" collapsed="false">
      <c r="A2724" s="11" t="str">
        <f aca="false">IF(C2724="","",ROW()-4)</f>
        <v/>
      </c>
      <c r="B2724" s="12"/>
      <c r="C2724" s="13"/>
      <c r="D2724" s="23" t="str">
        <f aca="false">IF(C2724="","",IFERROR(INDEX(LOTES!$D$5:$D$1004,MATCH(C2724,LOTES!$F$5:$F$1004,0)),"¿Lote?"))</f>
        <v/>
      </c>
      <c r="E2724" s="11" t="str">
        <f aca="false">IF(C2724="","",IFERROR(INDEX(LOTES!$C$5:$C$1004,MATCH(C2724,LOTES!$F$5:$F$1004,0)),""))</f>
        <v/>
      </c>
      <c r="F2724" s="24" t="str">
        <f aca="false">IF(C2724="","",IFERROR(INDEX(LOTES!$B$5:$B$1004,MATCH(C2724,LOTES!$F$5:$F$1004,0)),""))</f>
        <v/>
      </c>
      <c r="G2724" s="15" t="str">
        <f aca="false">IF(OR(B2724="",F2724=""),"",B2724-F2724)</f>
        <v/>
      </c>
      <c r="H2724" s="13"/>
      <c r="I2724" s="13"/>
      <c r="J2724" s="13"/>
      <c r="K2724" s="25"/>
      <c r="L2724" s="25"/>
      <c r="M2724" s="25"/>
      <c r="N2724" s="25"/>
      <c r="O2724" s="26"/>
      <c r="P2724" s="16" t="str">
        <f aca="false">IF(O2724="","",IFERROR(1/(1/(IF(K2724="",INDEX(CONFIG!$F$5:$F$14,MATCH(D2724,CONFIG!$D$5:$D$14,0)),K2724)*IF(M2724="",INDEX(CONFIG!$H$5:$H$14,MATCH(D2724,CONFIG!$D$5:$D$14,0)),M2724))),""))</f>
        <v/>
      </c>
      <c r="Q2724" s="16" t="str">
        <f aca="false">IF(OR(O2724="",P2724=""),"",O2724/P2724)</f>
        <v/>
      </c>
      <c r="R2724" s="16" t="str">
        <f aca="false">IF(Q2724="","",Q2724*0.0980665)</f>
        <v/>
      </c>
      <c r="S2724" s="16" t="str">
        <f aca="false">IF(Q2724="","",IFERROR(Q2724/(1/(1/INDEX(CONFIG!$I$5:$I$14,MATCH(D2724,CONFIG!$D$5:$D$14,0)))),""))</f>
        <v/>
      </c>
      <c r="T2724" s="13"/>
      <c r="U2724" s="13"/>
      <c r="V2724" s="13"/>
      <c r="W2724" s="13"/>
      <c r="X2724" s="22" t="str">
        <f aca="false">IF(Q2724="","",Q2724^2)</f>
        <v/>
      </c>
      <c r="Y2724" s="22" t="str">
        <f aca="false">IF(AND(C2724&lt;&gt;"",C2724=CERTIFICADO!$E$4,OR(CERTIFICADO!$E$5="",B2724=CERTIFICADO!$E$5)),MAX($Y$4:Y2723)+1,"")</f>
        <v/>
      </c>
    </row>
    <row r="2725" customFormat="false" ht="15" hidden="false" customHeight="false" outlineLevel="0" collapsed="false">
      <c r="A2725" s="11" t="str">
        <f aca="false">IF(C2725="","",ROW()-4)</f>
        <v/>
      </c>
      <c r="B2725" s="12"/>
      <c r="C2725" s="13"/>
      <c r="D2725" s="23" t="str">
        <f aca="false">IF(C2725="","",IFERROR(INDEX(LOTES!$D$5:$D$1004,MATCH(C2725,LOTES!$F$5:$F$1004,0)),"¿Lote?"))</f>
        <v/>
      </c>
      <c r="E2725" s="11" t="str">
        <f aca="false">IF(C2725="","",IFERROR(INDEX(LOTES!$C$5:$C$1004,MATCH(C2725,LOTES!$F$5:$F$1004,0)),""))</f>
        <v/>
      </c>
      <c r="F2725" s="24" t="str">
        <f aca="false">IF(C2725="","",IFERROR(INDEX(LOTES!$B$5:$B$1004,MATCH(C2725,LOTES!$F$5:$F$1004,0)),""))</f>
        <v/>
      </c>
      <c r="G2725" s="15" t="str">
        <f aca="false">IF(OR(B2725="",F2725=""),"",B2725-F2725)</f>
        <v/>
      </c>
      <c r="H2725" s="13"/>
      <c r="I2725" s="13"/>
      <c r="J2725" s="13"/>
      <c r="K2725" s="25"/>
      <c r="L2725" s="25"/>
      <c r="M2725" s="25"/>
      <c r="N2725" s="25"/>
      <c r="O2725" s="26"/>
      <c r="P2725" s="16" t="str">
        <f aca="false">IF(O2725="","",IFERROR(1/(1/(IF(K2725="",INDEX(CONFIG!$F$5:$F$14,MATCH(D2725,CONFIG!$D$5:$D$14,0)),K2725)*IF(M2725="",INDEX(CONFIG!$H$5:$H$14,MATCH(D2725,CONFIG!$D$5:$D$14,0)),M2725))),""))</f>
        <v/>
      </c>
      <c r="Q2725" s="16" t="str">
        <f aca="false">IF(OR(O2725="",P2725=""),"",O2725/P2725)</f>
        <v/>
      </c>
      <c r="R2725" s="16" t="str">
        <f aca="false">IF(Q2725="","",Q2725*0.0980665)</f>
        <v/>
      </c>
      <c r="S2725" s="16" t="str">
        <f aca="false">IF(Q2725="","",IFERROR(Q2725/(1/(1/INDEX(CONFIG!$I$5:$I$14,MATCH(D2725,CONFIG!$D$5:$D$14,0)))),""))</f>
        <v/>
      </c>
      <c r="T2725" s="13"/>
      <c r="U2725" s="13"/>
      <c r="V2725" s="13"/>
      <c r="W2725" s="13"/>
      <c r="X2725" s="22" t="str">
        <f aca="false">IF(Q2725="","",Q2725^2)</f>
        <v/>
      </c>
      <c r="Y2725" s="22" t="str">
        <f aca="false">IF(AND(C2725&lt;&gt;"",C2725=CERTIFICADO!$E$4,OR(CERTIFICADO!$E$5="",B2725=CERTIFICADO!$E$5)),MAX($Y$4:Y2724)+1,"")</f>
        <v/>
      </c>
    </row>
    <row r="2726" customFormat="false" ht="15" hidden="false" customHeight="false" outlineLevel="0" collapsed="false">
      <c r="A2726" s="11" t="str">
        <f aca="false">IF(C2726="","",ROW()-4)</f>
        <v/>
      </c>
      <c r="B2726" s="12"/>
      <c r="C2726" s="13"/>
      <c r="D2726" s="23" t="str">
        <f aca="false">IF(C2726="","",IFERROR(INDEX(LOTES!$D$5:$D$1004,MATCH(C2726,LOTES!$F$5:$F$1004,0)),"¿Lote?"))</f>
        <v/>
      </c>
      <c r="E2726" s="11" t="str">
        <f aca="false">IF(C2726="","",IFERROR(INDEX(LOTES!$C$5:$C$1004,MATCH(C2726,LOTES!$F$5:$F$1004,0)),""))</f>
        <v/>
      </c>
      <c r="F2726" s="24" t="str">
        <f aca="false">IF(C2726="","",IFERROR(INDEX(LOTES!$B$5:$B$1004,MATCH(C2726,LOTES!$F$5:$F$1004,0)),""))</f>
        <v/>
      </c>
      <c r="G2726" s="15" t="str">
        <f aca="false">IF(OR(B2726="",F2726=""),"",B2726-F2726)</f>
        <v/>
      </c>
      <c r="H2726" s="13"/>
      <c r="I2726" s="13"/>
      <c r="J2726" s="13"/>
      <c r="K2726" s="25"/>
      <c r="L2726" s="25"/>
      <c r="M2726" s="25"/>
      <c r="N2726" s="25"/>
      <c r="O2726" s="26"/>
      <c r="P2726" s="16" t="str">
        <f aca="false">IF(O2726="","",IFERROR(1/(1/(IF(K2726="",INDEX(CONFIG!$F$5:$F$14,MATCH(D2726,CONFIG!$D$5:$D$14,0)),K2726)*IF(M2726="",INDEX(CONFIG!$H$5:$H$14,MATCH(D2726,CONFIG!$D$5:$D$14,0)),M2726))),""))</f>
        <v/>
      </c>
      <c r="Q2726" s="16" t="str">
        <f aca="false">IF(OR(O2726="",P2726=""),"",O2726/P2726)</f>
        <v/>
      </c>
      <c r="R2726" s="16" t="str">
        <f aca="false">IF(Q2726="","",Q2726*0.0980665)</f>
        <v/>
      </c>
      <c r="S2726" s="16" t="str">
        <f aca="false">IF(Q2726="","",IFERROR(Q2726/(1/(1/INDEX(CONFIG!$I$5:$I$14,MATCH(D2726,CONFIG!$D$5:$D$14,0)))),""))</f>
        <v/>
      </c>
      <c r="T2726" s="13"/>
      <c r="U2726" s="13"/>
      <c r="V2726" s="13"/>
      <c r="W2726" s="13"/>
      <c r="X2726" s="22" t="str">
        <f aca="false">IF(Q2726="","",Q2726^2)</f>
        <v/>
      </c>
      <c r="Y2726" s="22" t="str">
        <f aca="false">IF(AND(C2726&lt;&gt;"",C2726=CERTIFICADO!$E$4,OR(CERTIFICADO!$E$5="",B2726=CERTIFICADO!$E$5)),MAX($Y$4:Y2725)+1,"")</f>
        <v/>
      </c>
    </row>
    <row r="2727" customFormat="false" ht="15" hidden="false" customHeight="false" outlineLevel="0" collapsed="false">
      <c r="A2727" s="11" t="str">
        <f aca="false">IF(C2727="","",ROW()-4)</f>
        <v/>
      </c>
      <c r="B2727" s="12"/>
      <c r="C2727" s="13"/>
      <c r="D2727" s="23" t="str">
        <f aca="false">IF(C2727="","",IFERROR(INDEX(LOTES!$D$5:$D$1004,MATCH(C2727,LOTES!$F$5:$F$1004,0)),"¿Lote?"))</f>
        <v/>
      </c>
      <c r="E2727" s="11" t="str">
        <f aca="false">IF(C2727="","",IFERROR(INDEX(LOTES!$C$5:$C$1004,MATCH(C2727,LOTES!$F$5:$F$1004,0)),""))</f>
        <v/>
      </c>
      <c r="F2727" s="24" t="str">
        <f aca="false">IF(C2727="","",IFERROR(INDEX(LOTES!$B$5:$B$1004,MATCH(C2727,LOTES!$F$5:$F$1004,0)),""))</f>
        <v/>
      </c>
      <c r="G2727" s="15" t="str">
        <f aca="false">IF(OR(B2727="",F2727=""),"",B2727-F2727)</f>
        <v/>
      </c>
      <c r="H2727" s="13"/>
      <c r="I2727" s="13"/>
      <c r="J2727" s="13"/>
      <c r="K2727" s="25"/>
      <c r="L2727" s="25"/>
      <c r="M2727" s="25"/>
      <c r="N2727" s="25"/>
      <c r="O2727" s="26"/>
      <c r="P2727" s="16" t="str">
        <f aca="false">IF(O2727="","",IFERROR(1/(1/(IF(K2727="",INDEX(CONFIG!$F$5:$F$14,MATCH(D2727,CONFIG!$D$5:$D$14,0)),K2727)*IF(M2727="",INDEX(CONFIG!$H$5:$H$14,MATCH(D2727,CONFIG!$D$5:$D$14,0)),M2727))),""))</f>
        <v/>
      </c>
      <c r="Q2727" s="16" t="str">
        <f aca="false">IF(OR(O2727="",P2727=""),"",O2727/P2727)</f>
        <v/>
      </c>
      <c r="R2727" s="16" t="str">
        <f aca="false">IF(Q2727="","",Q2727*0.0980665)</f>
        <v/>
      </c>
      <c r="S2727" s="16" t="str">
        <f aca="false">IF(Q2727="","",IFERROR(Q2727/(1/(1/INDEX(CONFIG!$I$5:$I$14,MATCH(D2727,CONFIG!$D$5:$D$14,0)))),""))</f>
        <v/>
      </c>
      <c r="T2727" s="13"/>
      <c r="U2727" s="13"/>
      <c r="V2727" s="13"/>
      <c r="W2727" s="13"/>
      <c r="X2727" s="22" t="str">
        <f aca="false">IF(Q2727="","",Q2727^2)</f>
        <v/>
      </c>
      <c r="Y2727" s="22" t="str">
        <f aca="false">IF(AND(C2727&lt;&gt;"",C2727=CERTIFICADO!$E$4,OR(CERTIFICADO!$E$5="",B2727=CERTIFICADO!$E$5)),MAX($Y$4:Y2726)+1,"")</f>
        <v/>
      </c>
    </row>
    <row r="2728" customFormat="false" ht="15" hidden="false" customHeight="false" outlineLevel="0" collapsed="false">
      <c r="A2728" s="11" t="str">
        <f aca="false">IF(C2728="","",ROW()-4)</f>
        <v/>
      </c>
      <c r="B2728" s="12"/>
      <c r="C2728" s="13"/>
      <c r="D2728" s="23" t="str">
        <f aca="false">IF(C2728="","",IFERROR(INDEX(LOTES!$D$5:$D$1004,MATCH(C2728,LOTES!$F$5:$F$1004,0)),"¿Lote?"))</f>
        <v/>
      </c>
      <c r="E2728" s="11" t="str">
        <f aca="false">IF(C2728="","",IFERROR(INDEX(LOTES!$C$5:$C$1004,MATCH(C2728,LOTES!$F$5:$F$1004,0)),""))</f>
        <v/>
      </c>
      <c r="F2728" s="24" t="str">
        <f aca="false">IF(C2728="","",IFERROR(INDEX(LOTES!$B$5:$B$1004,MATCH(C2728,LOTES!$F$5:$F$1004,0)),""))</f>
        <v/>
      </c>
      <c r="G2728" s="15" t="str">
        <f aca="false">IF(OR(B2728="",F2728=""),"",B2728-F2728)</f>
        <v/>
      </c>
      <c r="H2728" s="13"/>
      <c r="I2728" s="13"/>
      <c r="J2728" s="13"/>
      <c r="K2728" s="25"/>
      <c r="L2728" s="25"/>
      <c r="M2728" s="25"/>
      <c r="N2728" s="25"/>
      <c r="O2728" s="26"/>
      <c r="P2728" s="16" t="str">
        <f aca="false">IF(O2728="","",IFERROR(1/(1/(IF(K2728="",INDEX(CONFIG!$F$5:$F$14,MATCH(D2728,CONFIG!$D$5:$D$14,0)),K2728)*IF(M2728="",INDEX(CONFIG!$H$5:$H$14,MATCH(D2728,CONFIG!$D$5:$D$14,0)),M2728))),""))</f>
        <v/>
      </c>
      <c r="Q2728" s="16" t="str">
        <f aca="false">IF(OR(O2728="",P2728=""),"",O2728/P2728)</f>
        <v/>
      </c>
      <c r="R2728" s="16" t="str">
        <f aca="false">IF(Q2728="","",Q2728*0.0980665)</f>
        <v/>
      </c>
      <c r="S2728" s="16" t="str">
        <f aca="false">IF(Q2728="","",IFERROR(Q2728/(1/(1/INDEX(CONFIG!$I$5:$I$14,MATCH(D2728,CONFIG!$D$5:$D$14,0)))),""))</f>
        <v/>
      </c>
      <c r="T2728" s="13"/>
      <c r="U2728" s="13"/>
      <c r="V2728" s="13"/>
      <c r="W2728" s="13"/>
      <c r="X2728" s="22" t="str">
        <f aca="false">IF(Q2728="","",Q2728^2)</f>
        <v/>
      </c>
      <c r="Y2728" s="22" t="str">
        <f aca="false">IF(AND(C2728&lt;&gt;"",C2728=CERTIFICADO!$E$4,OR(CERTIFICADO!$E$5="",B2728=CERTIFICADO!$E$5)),MAX($Y$4:Y2727)+1,"")</f>
        <v/>
      </c>
    </row>
    <row r="2729" customFormat="false" ht="15" hidden="false" customHeight="false" outlineLevel="0" collapsed="false">
      <c r="A2729" s="11" t="str">
        <f aca="false">IF(C2729="","",ROW()-4)</f>
        <v/>
      </c>
      <c r="B2729" s="12"/>
      <c r="C2729" s="13"/>
      <c r="D2729" s="23" t="str">
        <f aca="false">IF(C2729="","",IFERROR(INDEX(LOTES!$D$5:$D$1004,MATCH(C2729,LOTES!$F$5:$F$1004,0)),"¿Lote?"))</f>
        <v/>
      </c>
      <c r="E2729" s="11" t="str">
        <f aca="false">IF(C2729="","",IFERROR(INDEX(LOTES!$C$5:$C$1004,MATCH(C2729,LOTES!$F$5:$F$1004,0)),""))</f>
        <v/>
      </c>
      <c r="F2729" s="24" t="str">
        <f aca="false">IF(C2729="","",IFERROR(INDEX(LOTES!$B$5:$B$1004,MATCH(C2729,LOTES!$F$5:$F$1004,0)),""))</f>
        <v/>
      </c>
      <c r="G2729" s="15" t="str">
        <f aca="false">IF(OR(B2729="",F2729=""),"",B2729-F2729)</f>
        <v/>
      </c>
      <c r="H2729" s="13"/>
      <c r="I2729" s="13"/>
      <c r="J2729" s="13"/>
      <c r="K2729" s="25"/>
      <c r="L2729" s="25"/>
      <c r="M2729" s="25"/>
      <c r="N2729" s="25"/>
      <c r="O2729" s="26"/>
      <c r="P2729" s="16" t="str">
        <f aca="false">IF(O2729="","",IFERROR(1/(1/(IF(K2729="",INDEX(CONFIG!$F$5:$F$14,MATCH(D2729,CONFIG!$D$5:$D$14,0)),K2729)*IF(M2729="",INDEX(CONFIG!$H$5:$H$14,MATCH(D2729,CONFIG!$D$5:$D$14,0)),M2729))),""))</f>
        <v/>
      </c>
      <c r="Q2729" s="16" t="str">
        <f aca="false">IF(OR(O2729="",P2729=""),"",O2729/P2729)</f>
        <v/>
      </c>
      <c r="R2729" s="16" t="str">
        <f aca="false">IF(Q2729="","",Q2729*0.0980665)</f>
        <v/>
      </c>
      <c r="S2729" s="16" t="str">
        <f aca="false">IF(Q2729="","",IFERROR(Q2729/(1/(1/INDEX(CONFIG!$I$5:$I$14,MATCH(D2729,CONFIG!$D$5:$D$14,0)))),""))</f>
        <v/>
      </c>
      <c r="T2729" s="13"/>
      <c r="U2729" s="13"/>
      <c r="V2729" s="13"/>
      <c r="W2729" s="13"/>
      <c r="X2729" s="22" t="str">
        <f aca="false">IF(Q2729="","",Q2729^2)</f>
        <v/>
      </c>
      <c r="Y2729" s="22" t="str">
        <f aca="false">IF(AND(C2729&lt;&gt;"",C2729=CERTIFICADO!$E$4,OR(CERTIFICADO!$E$5="",B2729=CERTIFICADO!$E$5)),MAX($Y$4:Y2728)+1,"")</f>
        <v/>
      </c>
    </row>
    <row r="2730" customFormat="false" ht="15" hidden="false" customHeight="false" outlineLevel="0" collapsed="false">
      <c r="A2730" s="11" t="str">
        <f aca="false">IF(C2730="","",ROW()-4)</f>
        <v/>
      </c>
      <c r="B2730" s="12"/>
      <c r="C2730" s="13"/>
      <c r="D2730" s="23" t="str">
        <f aca="false">IF(C2730="","",IFERROR(INDEX(LOTES!$D$5:$D$1004,MATCH(C2730,LOTES!$F$5:$F$1004,0)),"¿Lote?"))</f>
        <v/>
      </c>
      <c r="E2730" s="11" t="str">
        <f aca="false">IF(C2730="","",IFERROR(INDEX(LOTES!$C$5:$C$1004,MATCH(C2730,LOTES!$F$5:$F$1004,0)),""))</f>
        <v/>
      </c>
      <c r="F2730" s="24" t="str">
        <f aca="false">IF(C2730="","",IFERROR(INDEX(LOTES!$B$5:$B$1004,MATCH(C2730,LOTES!$F$5:$F$1004,0)),""))</f>
        <v/>
      </c>
      <c r="G2730" s="15" t="str">
        <f aca="false">IF(OR(B2730="",F2730=""),"",B2730-F2730)</f>
        <v/>
      </c>
      <c r="H2730" s="13"/>
      <c r="I2730" s="13"/>
      <c r="J2730" s="13"/>
      <c r="K2730" s="25"/>
      <c r="L2730" s="25"/>
      <c r="M2730" s="25"/>
      <c r="N2730" s="25"/>
      <c r="O2730" s="26"/>
      <c r="P2730" s="16" t="str">
        <f aca="false">IF(O2730="","",IFERROR(1/(1/(IF(K2730="",INDEX(CONFIG!$F$5:$F$14,MATCH(D2730,CONFIG!$D$5:$D$14,0)),K2730)*IF(M2730="",INDEX(CONFIG!$H$5:$H$14,MATCH(D2730,CONFIG!$D$5:$D$14,0)),M2730))),""))</f>
        <v/>
      </c>
      <c r="Q2730" s="16" t="str">
        <f aca="false">IF(OR(O2730="",P2730=""),"",O2730/P2730)</f>
        <v/>
      </c>
      <c r="R2730" s="16" t="str">
        <f aca="false">IF(Q2730="","",Q2730*0.0980665)</f>
        <v/>
      </c>
      <c r="S2730" s="16" t="str">
        <f aca="false">IF(Q2730="","",IFERROR(Q2730/(1/(1/INDEX(CONFIG!$I$5:$I$14,MATCH(D2730,CONFIG!$D$5:$D$14,0)))),""))</f>
        <v/>
      </c>
      <c r="T2730" s="13"/>
      <c r="U2730" s="13"/>
      <c r="V2730" s="13"/>
      <c r="W2730" s="13"/>
      <c r="X2730" s="22" t="str">
        <f aca="false">IF(Q2730="","",Q2730^2)</f>
        <v/>
      </c>
      <c r="Y2730" s="22" t="str">
        <f aca="false">IF(AND(C2730&lt;&gt;"",C2730=CERTIFICADO!$E$4,OR(CERTIFICADO!$E$5="",B2730=CERTIFICADO!$E$5)),MAX($Y$4:Y2729)+1,"")</f>
        <v/>
      </c>
    </row>
    <row r="2731" customFormat="false" ht="15" hidden="false" customHeight="false" outlineLevel="0" collapsed="false">
      <c r="A2731" s="11" t="str">
        <f aca="false">IF(C2731="","",ROW()-4)</f>
        <v/>
      </c>
      <c r="B2731" s="12"/>
      <c r="C2731" s="13"/>
      <c r="D2731" s="23" t="str">
        <f aca="false">IF(C2731="","",IFERROR(INDEX(LOTES!$D$5:$D$1004,MATCH(C2731,LOTES!$F$5:$F$1004,0)),"¿Lote?"))</f>
        <v/>
      </c>
      <c r="E2731" s="11" t="str">
        <f aca="false">IF(C2731="","",IFERROR(INDEX(LOTES!$C$5:$C$1004,MATCH(C2731,LOTES!$F$5:$F$1004,0)),""))</f>
        <v/>
      </c>
      <c r="F2731" s="24" t="str">
        <f aca="false">IF(C2731="","",IFERROR(INDEX(LOTES!$B$5:$B$1004,MATCH(C2731,LOTES!$F$5:$F$1004,0)),""))</f>
        <v/>
      </c>
      <c r="G2731" s="15" t="str">
        <f aca="false">IF(OR(B2731="",F2731=""),"",B2731-F2731)</f>
        <v/>
      </c>
      <c r="H2731" s="13"/>
      <c r="I2731" s="13"/>
      <c r="J2731" s="13"/>
      <c r="K2731" s="25"/>
      <c r="L2731" s="25"/>
      <c r="M2731" s="25"/>
      <c r="N2731" s="25"/>
      <c r="O2731" s="26"/>
      <c r="P2731" s="16" t="str">
        <f aca="false">IF(O2731="","",IFERROR(1/(1/(IF(K2731="",INDEX(CONFIG!$F$5:$F$14,MATCH(D2731,CONFIG!$D$5:$D$14,0)),K2731)*IF(M2731="",INDEX(CONFIG!$H$5:$H$14,MATCH(D2731,CONFIG!$D$5:$D$14,0)),M2731))),""))</f>
        <v/>
      </c>
      <c r="Q2731" s="16" t="str">
        <f aca="false">IF(OR(O2731="",P2731=""),"",O2731/P2731)</f>
        <v/>
      </c>
      <c r="R2731" s="16" t="str">
        <f aca="false">IF(Q2731="","",Q2731*0.0980665)</f>
        <v/>
      </c>
      <c r="S2731" s="16" t="str">
        <f aca="false">IF(Q2731="","",IFERROR(Q2731/(1/(1/INDEX(CONFIG!$I$5:$I$14,MATCH(D2731,CONFIG!$D$5:$D$14,0)))),""))</f>
        <v/>
      </c>
      <c r="T2731" s="13"/>
      <c r="U2731" s="13"/>
      <c r="V2731" s="13"/>
      <c r="W2731" s="13"/>
      <c r="X2731" s="22" t="str">
        <f aca="false">IF(Q2731="","",Q2731^2)</f>
        <v/>
      </c>
      <c r="Y2731" s="22" t="str">
        <f aca="false">IF(AND(C2731&lt;&gt;"",C2731=CERTIFICADO!$E$4,OR(CERTIFICADO!$E$5="",B2731=CERTIFICADO!$E$5)),MAX($Y$4:Y2730)+1,"")</f>
        <v/>
      </c>
    </row>
    <row r="2732" customFormat="false" ht="15" hidden="false" customHeight="false" outlineLevel="0" collapsed="false">
      <c r="A2732" s="11" t="str">
        <f aca="false">IF(C2732="","",ROW()-4)</f>
        <v/>
      </c>
      <c r="B2732" s="12"/>
      <c r="C2732" s="13"/>
      <c r="D2732" s="23" t="str">
        <f aca="false">IF(C2732="","",IFERROR(INDEX(LOTES!$D$5:$D$1004,MATCH(C2732,LOTES!$F$5:$F$1004,0)),"¿Lote?"))</f>
        <v/>
      </c>
      <c r="E2732" s="11" t="str">
        <f aca="false">IF(C2732="","",IFERROR(INDEX(LOTES!$C$5:$C$1004,MATCH(C2732,LOTES!$F$5:$F$1004,0)),""))</f>
        <v/>
      </c>
      <c r="F2732" s="24" t="str">
        <f aca="false">IF(C2732="","",IFERROR(INDEX(LOTES!$B$5:$B$1004,MATCH(C2732,LOTES!$F$5:$F$1004,0)),""))</f>
        <v/>
      </c>
      <c r="G2732" s="15" t="str">
        <f aca="false">IF(OR(B2732="",F2732=""),"",B2732-F2732)</f>
        <v/>
      </c>
      <c r="H2732" s="13"/>
      <c r="I2732" s="13"/>
      <c r="J2732" s="13"/>
      <c r="K2732" s="25"/>
      <c r="L2732" s="25"/>
      <c r="M2732" s="25"/>
      <c r="N2732" s="25"/>
      <c r="O2732" s="26"/>
      <c r="P2732" s="16" t="str">
        <f aca="false">IF(O2732="","",IFERROR(1/(1/(IF(K2732="",INDEX(CONFIG!$F$5:$F$14,MATCH(D2732,CONFIG!$D$5:$D$14,0)),K2732)*IF(M2732="",INDEX(CONFIG!$H$5:$H$14,MATCH(D2732,CONFIG!$D$5:$D$14,0)),M2732))),""))</f>
        <v/>
      </c>
      <c r="Q2732" s="16" t="str">
        <f aca="false">IF(OR(O2732="",P2732=""),"",O2732/P2732)</f>
        <v/>
      </c>
      <c r="R2732" s="16" t="str">
        <f aca="false">IF(Q2732="","",Q2732*0.0980665)</f>
        <v/>
      </c>
      <c r="S2732" s="16" t="str">
        <f aca="false">IF(Q2732="","",IFERROR(Q2732/(1/(1/INDEX(CONFIG!$I$5:$I$14,MATCH(D2732,CONFIG!$D$5:$D$14,0)))),""))</f>
        <v/>
      </c>
      <c r="T2732" s="13"/>
      <c r="U2732" s="13"/>
      <c r="V2732" s="13"/>
      <c r="W2732" s="13"/>
      <c r="X2732" s="22" t="str">
        <f aca="false">IF(Q2732="","",Q2732^2)</f>
        <v/>
      </c>
      <c r="Y2732" s="22" t="str">
        <f aca="false">IF(AND(C2732&lt;&gt;"",C2732=CERTIFICADO!$E$4,OR(CERTIFICADO!$E$5="",B2732=CERTIFICADO!$E$5)),MAX($Y$4:Y2731)+1,"")</f>
        <v/>
      </c>
    </row>
    <row r="2733" customFormat="false" ht="15" hidden="false" customHeight="false" outlineLevel="0" collapsed="false">
      <c r="A2733" s="11" t="str">
        <f aca="false">IF(C2733="","",ROW()-4)</f>
        <v/>
      </c>
      <c r="B2733" s="12"/>
      <c r="C2733" s="13"/>
      <c r="D2733" s="23" t="str">
        <f aca="false">IF(C2733="","",IFERROR(INDEX(LOTES!$D$5:$D$1004,MATCH(C2733,LOTES!$F$5:$F$1004,0)),"¿Lote?"))</f>
        <v/>
      </c>
      <c r="E2733" s="11" t="str">
        <f aca="false">IF(C2733="","",IFERROR(INDEX(LOTES!$C$5:$C$1004,MATCH(C2733,LOTES!$F$5:$F$1004,0)),""))</f>
        <v/>
      </c>
      <c r="F2733" s="24" t="str">
        <f aca="false">IF(C2733="","",IFERROR(INDEX(LOTES!$B$5:$B$1004,MATCH(C2733,LOTES!$F$5:$F$1004,0)),""))</f>
        <v/>
      </c>
      <c r="G2733" s="15" t="str">
        <f aca="false">IF(OR(B2733="",F2733=""),"",B2733-F2733)</f>
        <v/>
      </c>
      <c r="H2733" s="13"/>
      <c r="I2733" s="13"/>
      <c r="J2733" s="13"/>
      <c r="K2733" s="25"/>
      <c r="L2733" s="25"/>
      <c r="M2733" s="25"/>
      <c r="N2733" s="25"/>
      <c r="O2733" s="26"/>
      <c r="P2733" s="16" t="str">
        <f aca="false">IF(O2733="","",IFERROR(1/(1/(IF(K2733="",INDEX(CONFIG!$F$5:$F$14,MATCH(D2733,CONFIG!$D$5:$D$14,0)),K2733)*IF(M2733="",INDEX(CONFIG!$H$5:$H$14,MATCH(D2733,CONFIG!$D$5:$D$14,0)),M2733))),""))</f>
        <v/>
      </c>
      <c r="Q2733" s="16" t="str">
        <f aca="false">IF(OR(O2733="",P2733=""),"",O2733/P2733)</f>
        <v/>
      </c>
      <c r="R2733" s="16" t="str">
        <f aca="false">IF(Q2733="","",Q2733*0.0980665)</f>
        <v/>
      </c>
      <c r="S2733" s="16" t="str">
        <f aca="false">IF(Q2733="","",IFERROR(Q2733/(1/(1/INDEX(CONFIG!$I$5:$I$14,MATCH(D2733,CONFIG!$D$5:$D$14,0)))),""))</f>
        <v/>
      </c>
      <c r="T2733" s="13"/>
      <c r="U2733" s="13"/>
      <c r="V2733" s="13"/>
      <c r="W2733" s="13"/>
      <c r="X2733" s="22" t="str">
        <f aca="false">IF(Q2733="","",Q2733^2)</f>
        <v/>
      </c>
      <c r="Y2733" s="22" t="str">
        <f aca="false">IF(AND(C2733&lt;&gt;"",C2733=CERTIFICADO!$E$4,OR(CERTIFICADO!$E$5="",B2733=CERTIFICADO!$E$5)),MAX($Y$4:Y2732)+1,"")</f>
        <v/>
      </c>
    </row>
    <row r="2734" customFormat="false" ht="15" hidden="false" customHeight="false" outlineLevel="0" collapsed="false">
      <c r="A2734" s="11" t="str">
        <f aca="false">IF(C2734="","",ROW()-4)</f>
        <v/>
      </c>
      <c r="B2734" s="12"/>
      <c r="C2734" s="13"/>
      <c r="D2734" s="23" t="str">
        <f aca="false">IF(C2734="","",IFERROR(INDEX(LOTES!$D$5:$D$1004,MATCH(C2734,LOTES!$F$5:$F$1004,0)),"¿Lote?"))</f>
        <v/>
      </c>
      <c r="E2734" s="11" t="str">
        <f aca="false">IF(C2734="","",IFERROR(INDEX(LOTES!$C$5:$C$1004,MATCH(C2734,LOTES!$F$5:$F$1004,0)),""))</f>
        <v/>
      </c>
      <c r="F2734" s="24" t="str">
        <f aca="false">IF(C2734="","",IFERROR(INDEX(LOTES!$B$5:$B$1004,MATCH(C2734,LOTES!$F$5:$F$1004,0)),""))</f>
        <v/>
      </c>
      <c r="G2734" s="15" t="str">
        <f aca="false">IF(OR(B2734="",F2734=""),"",B2734-F2734)</f>
        <v/>
      </c>
      <c r="H2734" s="13"/>
      <c r="I2734" s="13"/>
      <c r="J2734" s="13"/>
      <c r="K2734" s="25"/>
      <c r="L2734" s="25"/>
      <c r="M2734" s="25"/>
      <c r="N2734" s="25"/>
      <c r="O2734" s="26"/>
      <c r="P2734" s="16" t="str">
        <f aca="false">IF(O2734="","",IFERROR(1/(1/(IF(K2734="",INDEX(CONFIG!$F$5:$F$14,MATCH(D2734,CONFIG!$D$5:$D$14,0)),K2734)*IF(M2734="",INDEX(CONFIG!$H$5:$H$14,MATCH(D2734,CONFIG!$D$5:$D$14,0)),M2734))),""))</f>
        <v/>
      </c>
      <c r="Q2734" s="16" t="str">
        <f aca="false">IF(OR(O2734="",P2734=""),"",O2734/P2734)</f>
        <v/>
      </c>
      <c r="R2734" s="16" t="str">
        <f aca="false">IF(Q2734="","",Q2734*0.0980665)</f>
        <v/>
      </c>
      <c r="S2734" s="16" t="str">
        <f aca="false">IF(Q2734="","",IFERROR(Q2734/(1/(1/INDEX(CONFIG!$I$5:$I$14,MATCH(D2734,CONFIG!$D$5:$D$14,0)))),""))</f>
        <v/>
      </c>
      <c r="T2734" s="13"/>
      <c r="U2734" s="13"/>
      <c r="V2734" s="13"/>
      <c r="W2734" s="13"/>
      <c r="X2734" s="22" t="str">
        <f aca="false">IF(Q2734="","",Q2734^2)</f>
        <v/>
      </c>
      <c r="Y2734" s="22" t="str">
        <f aca="false">IF(AND(C2734&lt;&gt;"",C2734=CERTIFICADO!$E$4,OR(CERTIFICADO!$E$5="",B2734=CERTIFICADO!$E$5)),MAX($Y$4:Y2733)+1,"")</f>
        <v/>
      </c>
    </row>
    <row r="2735" customFormat="false" ht="15" hidden="false" customHeight="false" outlineLevel="0" collapsed="false">
      <c r="A2735" s="11" t="str">
        <f aca="false">IF(C2735="","",ROW()-4)</f>
        <v/>
      </c>
      <c r="B2735" s="12"/>
      <c r="C2735" s="13"/>
      <c r="D2735" s="23" t="str">
        <f aca="false">IF(C2735="","",IFERROR(INDEX(LOTES!$D$5:$D$1004,MATCH(C2735,LOTES!$F$5:$F$1004,0)),"¿Lote?"))</f>
        <v/>
      </c>
      <c r="E2735" s="11" t="str">
        <f aca="false">IF(C2735="","",IFERROR(INDEX(LOTES!$C$5:$C$1004,MATCH(C2735,LOTES!$F$5:$F$1004,0)),""))</f>
        <v/>
      </c>
      <c r="F2735" s="24" t="str">
        <f aca="false">IF(C2735="","",IFERROR(INDEX(LOTES!$B$5:$B$1004,MATCH(C2735,LOTES!$F$5:$F$1004,0)),""))</f>
        <v/>
      </c>
      <c r="G2735" s="15" t="str">
        <f aca="false">IF(OR(B2735="",F2735=""),"",B2735-F2735)</f>
        <v/>
      </c>
      <c r="H2735" s="13"/>
      <c r="I2735" s="13"/>
      <c r="J2735" s="13"/>
      <c r="K2735" s="25"/>
      <c r="L2735" s="25"/>
      <c r="M2735" s="25"/>
      <c r="N2735" s="25"/>
      <c r="O2735" s="26"/>
      <c r="P2735" s="16" t="str">
        <f aca="false">IF(O2735="","",IFERROR(1/(1/(IF(K2735="",INDEX(CONFIG!$F$5:$F$14,MATCH(D2735,CONFIG!$D$5:$D$14,0)),K2735)*IF(M2735="",INDEX(CONFIG!$H$5:$H$14,MATCH(D2735,CONFIG!$D$5:$D$14,0)),M2735))),""))</f>
        <v/>
      </c>
      <c r="Q2735" s="16" t="str">
        <f aca="false">IF(OR(O2735="",P2735=""),"",O2735/P2735)</f>
        <v/>
      </c>
      <c r="R2735" s="16" t="str">
        <f aca="false">IF(Q2735="","",Q2735*0.0980665)</f>
        <v/>
      </c>
      <c r="S2735" s="16" t="str">
        <f aca="false">IF(Q2735="","",IFERROR(Q2735/(1/(1/INDEX(CONFIG!$I$5:$I$14,MATCH(D2735,CONFIG!$D$5:$D$14,0)))),""))</f>
        <v/>
      </c>
      <c r="T2735" s="13"/>
      <c r="U2735" s="13"/>
      <c r="V2735" s="13"/>
      <c r="W2735" s="13"/>
      <c r="X2735" s="22" t="str">
        <f aca="false">IF(Q2735="","",Q2735^2)</f>
        <v/>
      </c>
      <c r="Y2735" s="22" t="str">
        <f aca="false">IF(AND(C2735&lt;&gt;"",C2735=CERTIFICADO!$E$4,OR(CERTIFICADO!$E$5="",B2735=CERTIFICADO!$E$5)),MAX($Y$4:Y2734)+1,"")</f>
        <v/>
      </c>
    </row>
    <row r="2736" customFormat="false" ht="15" hidden="false" customHeight="false" outlineLevel="0" collapsed="false">
      <c r="A2736" s="11" t="str">
        <f aca="false">IF(C2736="","",ROW()-4)</f>
        <v/>
      </c>
      <c r="B2736" s="12"/>
      <c r="C2736" s="13"/>
      <c r="D2736" s="23" t="str">
        <f aca="false">IF(C2736="","",IFERROR(INDEX(LOTES!$D$5:$D$1004,MATCH(C2736,LOTES!$F$5:$F$1004,0)),"¿Lote?"))</f>
        <v/>
      </c>
      <c r="E2736" s="11" t="str">
        <f aca="false">IF(C2736="","",IFERROR(INDEX(LOTES!$C$5:$C$1004,MATCH(C2736,LOTES!$F$5:$F$1004,0)),""))</f>
        <v/>
      </c>
      <c r="F2736" s="24" t="str">
        <f aca="false">IF(C2736="","",IFERROR(INDEX(LOTES!$B$5:$B$1004,MATCH(C2736,LOTES!$F$5:$F$1004,0)),""))</f>
        <v/>
      </c>
      <c r="G2736" s="15" t="str">
        <f aca="false">IF(OR(B2736="",F2736=""),"",B2736-F2736)</f>
        <v/>
      </c>
      <c r="H2736" s="13"/>
      <c r="I2736" s="13"/>
      <c r="J2736" s="13"/>
      <c r="K2736" s="25"/>
      <c r="L2736" s="25"/>
      <c r="M2736" s="25"/>
      <c r="N2736" s="25"/>
      <c r="O2736" s="26"/>
      <c r="P2736" s="16" t="str">
        <f aca="false">IF(O2736="","",IFERROR(1/(1/(IF(K2736="",INDEX(CONFIG!$F$5:$F$14,MATCH(D2736,CONFIG!$D$5:$D$14,0)),K2736)*IF(M2736="",INDEX(CONFIG!$H$5:$H$14,MATCH(D2736,CONFIG!$D$5:$D$14,0)),M2736))),""))</f>
        <v/>
      </c>
      <c r="Q2736" s="16" t="str">
        <f aca="false">IF(OR(O2736="",P2736=""),"",O2736/P2736)</f>
        <v/>
      </c>
      <c r="R2736" s="16" t="str">
        <f aca="false">IF(Q2736="","",Q2736*0.0980665)</f>
        <v/>
      </c>
      <c r="S2736" s="16" t="str">
        <f aca="false">IF(Q2736="","",IFERROR(Q2736/(1/(1/INDEX(CONFIG!$I$5:$I$14,MATCH(D2736,CONFIG!$D$5:$D$14,0)))),""))</f>
        <v/>
      </c>
      <c r="T2736" s="13"/>
      <c r="U2736" s="13"/>
      <c r="V2736" s="13"/>
      <c r="W2736" s="13"/>
      <c r="X2736" s="22" t="str">
        <f aca="false">IF(Q2736="","",Q2736^2)</f>
        <v/>
      </c>
      <c r="Y2736" s="22" t="str">
        <f aca="false">IF(AND(C2736&lt;&gt;"",C2736=CERTIFICADO!$E$4,OR(CERTIFICADO!$E$5="",B2736=CERTIFICADO!$E$5)),MAX($Y$4:Y2735)+1,"")</f>
        <v/>
      </c>
    </row>
    <row r="2737" customFormat="false" ht="15" hidden="false" customHeight="false" outlineLevel="0" collapsed="false">
      <c r="A2737" s="11" t="str">
        <f aca="false">IF(C2737="","",ROW()-4)</f>
        <v/>
      </c>
      <c r="B2737" s="12"/>
      <c r="C2737" s="13"/>
      <c r="D2737" s="23" t="str">
        <f aca="false">IF(C2737="","",IFERROR(INDEX(LOTES!$D$5:$D$1004,MATCH(C2737,LOTES!$F$5:$F$1004,0)),"¿Lote?"))</f>
        <v/>
      </c>
      <c r="E2737" s="11" t="str">
        <f aca="false">IF(C2737="","",IFERROR(INDEX(LOTES!$C$5:$C$1004,MATCH(C2737,LOTES!$F$5:$F$1004,0)),""))</f>
        <v/>
      </c>
      <c r="F2737" s="24" t="str">
        <f aca="false">IF(C2737="","",IFERROR(INDEX(LOTES!$B$5:$B$1004,MATCH(C2737,LOTES!$F$5:$F$1004,0)),""))</f>
        <v/>
      </c>
      <c r="G2737" s="15" t="str">
        <f aca="false">IF(OR(B2737="",F2737=""),"",B2737-F2737)</f>
        <v/>
      </c>
      <c r="H2737" s="13"/>
      <c r="I2737" s="13"/>
      <c r="J2737" s="13"/>
      <c r="K2737" s="25"/>
      <c r="L2737" s="25"/>
      <c r="M2737" s="25"/>
      <c r="N2737" s="25"/>
      <c r="O2737" s="26"/>
      <c r="P2737" s="16" t="str">
        <f aca="false">IF(O2737="","",IFERROR(1/(1/(IF(K2737="",INDEX(CONFIG!$F$5:$F$14,MATCH(D2737,CONFIG!$D$5:$D$14,0)),K2737)*IF(M2737="",INDEX(CONFIG!$H$5:$H$14,MATCH(D2737,CONFIG!$D$5:$D$14,0)),M2737))),""))</f>
        <v/>
      </c>
      <c r="Q2737" s="16" t="str">
        <f aca="false">IF(OR(O2737="",P2737=""),"",O2737/P2737)</f>
        <v/>
      </c>
      <c r="R2737" s="16" t="str">
        <f aca="false">IF(Q2737="","",Q2737*0.0980665)</f>
        <v/>
      </c>
      <c r="S2737" s="16" t="str">
        <f aca="false">IF(Q2737="","",IFERROR(Q2737/(1/(1/INDEX(CONFIG!$I$5:$I$14,MATCH(D2737,CONFIG!$D$5:$D$14,0)))),""))</f>
        <v/>
      </c>
      <c r="T2737" s="13"/>
      <c r="U2737" s="13"/>
      <c r="V2737" s="13"/>
      <c r="W2737" s="13"/>
      <c r="X2737" s="22" t="str">
        <f aca="false">IF(Q2737="","",Q2737^2)</f>
        <v/>
      </c>
      <c r="Y2737" s="22" t="str">
        <f aca="false">IF(AND(C2737&lt;&gt;"",C2737=CERTIFICADO!$E$4,OR(CERTIFICADO!$E$5="",B2737=CERTIFICADO!$E$5)),MAX($Y$4:Y2736)+1,"")</f>
        <v/>
      </c>
    </row>
    <row r="2738" customFormat="false" ht="15" hidden="false" customHeight="false" outlineLevel="0" collapsed="false">
      <c r="A2738" s="11" t="str">
        <f aca="false">IF(C2738="","",ROW()-4)</f>
        <v/>
      </c>
      <c r="B2738" s="12"/>
      <c r="C2738" s="13"/>
      <c r="D2738" s="23" t="str">
        <f aca="false">IF(C2738="","",IFERROR(INDEX(LOTES!$D$5:$D$1004,MATCH(C2738,LOTES!$F$5:$F$1004,0)),"¿Lote?"))</f>
        <v/>
      </c>
      <c r="E2738" s="11" t="str">
        <f aca="false">IF(C2738="","",IFERROR(INDEX(LOTES!$C$5:$C$1004,MATCH(C2738,LOTES!$F$5:$F$1004,0)),""))</f>
        <v/>
      </c>
      <c r="F2738" s="24" t="str">
        <f aca="false">IF(C2738="","",IFERROR(INDEX(LOTES!$B$5:$B$1004,MATCH(C2738,LOTES!$F$5:$F$1004,0)),""))</f>
        <v/>
      </c>
      <c r="G2738" s="15" t="str">
        <f aca="false">IF(OR(B2738="",F2738=""),"",B2738-F2738)</f>
        <v/>
      </c>
      <c r="H2738" s="13"/>
      <c r="I2738" s="13"/>
      <c r="J2738" s="13"/>
      <c r="K2738" s="25"/>
      <c r="L2738" s="25"/>
      <c r="M2738" s="25"/>
      <c r="N2738" s="25"/>
      <c r="O2738" s="26"/>
      <c r="P2738" s="16" t="str">
        <f aca="false">IF(O2738="","",IFERROR(1/(1/(IF(K2738="",INDEX(CONFIG!$F$5:$F$14,MATCH(D2738,CONFIG!$D$5:$D$14,0)),K2738)*IF(M2738="",INDEX(CONFIG!$H$5:$H$14,MATCH(D2738,CONFIG!$D$5:$D$14,0)),M2738))),""))</f>
        <v/>
      </c>
      <c r="Q2738" s="16" t="str">
        <f aca="false">IF(OR(O2738="",P2738=""),"",O2738/P2738)</f>
        <v/>
      </c>
      <c r="R2738" s="16" t="str">
        <f aca="false">IF(Q2738="","",Q2738*0.0980665)</f>
        <v/>
      </c>
      <c r="S2738" s="16" t="str">
        <f aca="false">IF(Q2738="","",IFERROR(Q2738/(1/(1/INDEX(CONFIG!$I$5:$I$14,MATCH(D2738,CONFIG!$D$5:$D$14,0)))),""))</f>
        <v/>
      </c>
      <c r="T2738" s="13"/>
      <c r="U2738" s="13"/>
      <c r="V2738" s="13"/>
      <c r="W2738" s="13"/>
      <c r="X2738" s="22" t="str">
        <f aca="false">IF(Q2738="","",Q2738^2)</f>
        <v/>
      </c>
      <c r="Y2738" s="22" t="str">
        <f aca="false">IF(AND(C2738&lt;&gt;"",C2738=CERTIFICADO!$E$4,OR(CERTIFICADO!$E$5="",B2738=CERTIFICADO!$E$5)),MAX($Y$4:Y2737)+1,"")</f>
        <v/>
      </c>
    </row>
    <row r="2739" customFormat="false" ht="15" hidden="false" customHeight="false" outlineLevel="0" collapsed="false">
      <c r="A2739" s="11" t="str">
        <f aca="false">IF(C2739="","",ROW()-4)</f>
        <v/>
      </c>
      <c r="B2739" s="12"/>
      <c r="C2739" s="13"/>
      <c r="D2739" s="23" t="str">
        <f aca="false">IF(C2739="","",IFERROR(INDEX(LOTES!$D$5:$D$1004,MATCH(C2739,LOTES!$F$5:$F$1004,0)),"¿Lote?"))</f>
        <v/>
      </c>
      <c r="E2739" s="11" t="str">
        <f aca="false">IF(C2739="","",IFERROR(INDEX(LOTES!$C$5:$C$1004,MATCH(C2739,LOTES!$F$5:$F$1004,0)),""))</f>
        <v/>
      </c>
      <c r="F2739" s="24" t="str">
        <f aca="false">IF(C2739="","",IFERROR(INDEX(LOTES!$B$5:$B$1004,MATCH(C2739,LOTES!$F$5:$F$1004,0)),""))</f>
        <v/>
      </c>
      <c r="G2739" s="15" t="str">
        <f aca="false">IF(OR(B2739="",F2739=""),"",B2739-F2739)</f>
        <v/>
      </c>
      <c r="H2739" s="13"/>
      <c r="I2739" s="13"/>
      <c r="J2739" s="13"/>
      <c r="K2739" s="25"/>
      <c r="L2739" s="25"/>
      <c r="M2739" s="25"/>
      <c r="N2739" s="25"/>
      <c r="O2739" s="26"/>
      <c r="P2739" s="16" t="str">
        <f aca="false">IF(O2739="","",IFERROR(1/(1/(IF(K2739="",INDEX(CONFIG!$F$5:$F$14,MATCH(D2739,CONFIG!$D$5:$D$14,0)),K2739)*IF(M2739="",INDEX(CONFIG!$H$5:$H$14,MATCH(D2739,CONFIG!$D$5:$D$14,0)),M2739))),""))</f>
        <v/>
      </c>
      <c r="Q2739" s="16" t="str">
        <f aca="false">IF(OR(O2739="",P2739=""),"",O2739/P2739)</f>
        <v/>
      </c>
      <c r="R2739" s="16" t="str">
        <f aca="false">IF(Q2739="","",Q2739*0.0980665)</f>
        <v/>
      </c>
      <c r="S2739" s="16" t="str">
        <f aca="false">IF(Q2739="","",IFERROR(Q2739/(1/(1/INDEX(CONFIG!$I$5:$I$14,MATCH(D2739,CONFIG!$D$5:$D$14,0)))),""))</f>
        <v/>
      </c>
      <c r="T2739" s="13"/>
      <c r="U2739" s="13"/>
      <c r="V2739" s="13"/>
      <c r="W2739" s="13"/>
      <c r="X2739" s="22" t="str">
        <f aca="false">IF(Q2739="","",Q2739^2)</f>
        <v/>
      </c>
      <c r="Y2739" s="22" t="str">
        <f aca="false">IF(AND(C2739&lt;&gt;"",C2739=CERTIFICADO!$E$4,OR(CERTIFICADO!$E$5="",B2739=CERTIFICADO!$E$5)),MAX($Y$4:Y2738)+1,"")</f>
        <v/>
      </c>
    </row>
    <row r="2740" customFormat="false" ht="15" hidden="false" customHeight="false" outlineLevel="0" collapsed="false">
      <c r="A2740" s="11" t="str">
        <f aca="false">IF(C2740="","",ROW()-4)</f>
        <v/>
      </c>
      <c r="B2740" s="12"/>
      <c r="C2740" s="13"/>
      <c r="D2740" s="23" t="str">
        <f aca="false">IF(C2740="","",IFERROR(INDEX(LOTES!$D$5:$D$1004,MATCH(C2740,LOTES!$F$5:$F$1004,0)),"¿Lote?"))</f>
        <v/>
      </c>
      <c r="E2740" s="11" t="str">
        <f aca="false">IF(C2740="","",IFERROR(INDEX(LOTES!$C$5:$C$1004,MATCH(C2740,LOTES!$F$5:$F$1004,0)),""))</f>
        <v/>
      </c>
      <c r="F2740" s="24" t="str">
        <f aca="false">IF(C2740="","",IFERROR(INDEX(LOTES!$B$5:$B$1004,MATCH(C2740,LOTES!$F$5:$F$1004,0)),""))</f>
        <v/>
      </c>
      <c r="G2740" s="15" t="str">
        <f aca="false">IF(OR(B2740="",F2740=""),"",B2740-F2740)</f>
        <v/>
      </c>
      <c r="H2740" s="13"/>
      <c r="I2740" s="13"/>
      <c r="J2740" s="13"/>
      <c r="K2740" s="25"/>
      <c r="L2740" s="25"/>
      <c r="M2740" s="25"/>
      <c r="N2740" s="25"/>
      <c r="O2740" s="26"/>
      <c r="P2740" s="16" t="str">
        <f aca="false">IF(O2740="","",IFERROR(1/(1/(IF(K2740="",INDEX(CONFIG!$F$5:$F$14,MATCH(D2740,CONFIG!$D$5:$D$14,0)),K2740)*IF(M2740="",INDEX(CONFIG!$H$5:$H$14,MATCH(D2740,CONFIG!$D$5:$D$14,0)),M2740))),""))</f>
        <v/>
      </c>
      <c r="Q2740" s="16" t="str">
        <f aca="false">IF(OR(O2740="",P2740=""),"",O2740/P2740)</f>
        <v/>
      </c>
      <c r="R2740" s="16" t="str">
        <f aca="false">IF(Q2740="","",Q2740*0.0980665)</f>
        <v/>
      </c>
      <c r="S2740" s="16" t="str">
        <f aca="false">IF(Q2740="","",IFERROR(Q2740/(1/(1/INDEX(CONFIG!$I$5:$I$14,MATCH(D2740,CONFIG!$D$5:$D$14,0)))),""))</f>
        <v/>
      </c>
      <c r="T2740" s="13"/>
      <c r="U2740" s="13"/>
      <c r="V2740" s="13"/>
      <c r="W2740" s="13"/>
      <c r="X2740" s="22" t="str">
        <f aca="false">IF(Q2740="","",Q2740^2)</f>
        <v/>
      </c>
      <c r="Y2740" s="22" t="str">
        <f aca="false">IF(AND(C2740&lt;&gt;"",C2740=CERTIFICADO!$E$4,OR(CERTIFICADO!$E$5="",B2740=CERTIFICADO!$E$5)),MAX($Y$4:Y2739)+1,"")</f>
        <v/>
      </c>
    </row>
    <row r="2741" customFormat="false" ht="15" hidden="false" customHeight="false" outlineLevel="0" collapsed="false">
      <c r="A2741" s="11" t="str">
        <f aca="false">IF(C2741="","",ROW()-4)</f>
        <v/>
      </c>
      <c r="B2741" s="12"/>
      <c r="C2741" s="13"/>
      <c r="D2741" s="23" t="str">
        <f aca="false">IF(C2741="","",IFERROR(INDEX(LOTES!$D$5:$D$1004,MATCH(C2741,LOTES!$F$5:$F$1004,0)),"¿Lote?"))</f>
        <v/>
      </c>
      <c r="E2741" s="11" t="str">
        <f aca="false">IF(C2741="","",IFERROR(INDEX(LOTES!$C$5:$C$1004,MATCH(C2741,LOTES!$F$5:$F$1004,0)),""))</f>
        <v/>
      </c>
      <c r="F2741" s="24" t="str">
        <f aca="false">IF(C2741="","",IFERROR(INDEX(LOTES!$B$5:$B$1004,MATCH(C2741,LOTES!$F$5:$F$1004,0)),""))</f>
        <v/>
      </c>
      <c r="G2741" s="15" t="str">
        <f aca="false">IF(OR(B2741="",F2741=""),"",B2741-F2741)</f>
        <v/>
      </c>
      <c r="H2741" s="13"/>
      <c r="I2741" s="13"/>
      <c r="J2741" s="13"/>
      <c r="K2741" s="25"/>
      <c r="L2741" s="25"/>
      <c r="M2741" s="25"/>
      <c r="N2741" s="25"/>
      <c r="O2741" s="26"/>
      <c r="P2741" s="16" t="str">
        <f aca="false">IF(O2741="","",IFERROR(1/(1/(IF(K2741="",INDEX(CONFIG!$F$5:$F$14,MATCH(D2741,CONFIG!$D$5:$D$14,0)),K2741)*IF(M2741="",INDEX(CONFIG!$H$5:$H$14,MATCH(D2741,CONFIG!$D$5:$D$14,0)),M2741))),""))</f>
        <v/>
      </c>
      <c r="Q2741" s="16" t="str">
        <f aca="false">IF(OR(O2741="",P2741=""),"",O2741/P2741)</f>
        <v/>
      </c>
      <c r="R2741" s="16" t="str">
        <f aca="false">IF(Q2741="","",Q2741*0.0980665)</f>
        <v/>
      </c>
      <c r="S2741" s="16" t="str">
        <f aca="false">IF(Q2741="","",IFERROR(Q2741/(1/(1/INDEX(CONFIG!$I$5:$I$14,MATCH(D2741,CONFIG!$D$5:$D$14,0)))),""))</f>
        <v/>
      </c>
      <c r="T2741" s="13"/>
      <c r="U2741" s="13"/>
      <c r="V2741" s="13"/>
      <c r="W2741" s="13"/>
      <c r="X2741" s="22" t="str">
        <f aca="false">IF(Q2741="","",Q2741^2)</f>
        <v/>
      </c>
      <c r="Y2741" s="22" t="str">
        <f aca="false">IF(AND(C2741&lt;&gt;"",C2741=CERTIFICADO!$E$4,OR(CERTIFICADO!$E$5="",B2741=CERTIFICADO!$E$5)),MAX($Y$4:Y2740)+1,"")</f>
        <v/>
      </c>
    </row>
    <row r="2742" customFormat="false" ht="15" hidden="false" customHeight="false" outlineLevel="0" collapsed="false">
      <c r="A2742" s="11" t="str">
        <f aca="false">IF(C2742="","",ROW()-4)</f>
        <v/>
      </c>
      <c r="B2742" s="12"/>
      <c r="C2742" s="13"/>
      <c r="D2742" s="23" t="str">
        <f aca="false">IF(C2742="","",IFERROR(INDEX(LOTES!$D$5:$D$1004,MATCH(C2742,LOTES!$F$5:$F$1004,0)),"¿Lote?"))</f>
        <v/>
      </c>
      <c r="E2742" s="11" t="str">
        <f aca="false">IF(C2742="","",IFERROR(INDEX(LOTES!$C$5:$C$1004,MATCH(C2742,LOTES!$F$5:$F$1004,0)),""))</f>
        <v/>
      </c>
      <c r="F2742" s="24" t="str">
        <f aca="false">IF(C2742="","",IFERROR(INDEX(LOTES!$B$5:$B$1004,MATCH(C2742,LOTES!$F$5:$F$1004,0)),""))</f>
        <v/>
      </c>
      <c r="G2742" s="15" t="str">
        <f aca="false">IF(OR(B2742="",F2742=""),"",B2742-F2742)</f>
        <v/>
      </c>
      <c r="H2742" s="13"/>
      <c r="I2742" s="13"/>
      <c r="J2742" s="13"/>
      <c r="K2742" s="25"/>
      <c r="L2742" s="25"/>
      <c r="M2742" s="25"/>
      <c r="N2742" s="25"/>
      <c r="O2742" s="26"/>
      <c r="P2742" s="16" t="str">
        <f aca="false">IF(O2742="","",IFERROR(1/(1/(IF(K2742="",INDEX(CONFIG!$F$5:$F$14,MATCH(D2742,CONFIG!$D$5:$D$14,0)),K2742)*IF(M2742="",INDEX(CONFIG!$H$5:$H$14,MATCH(D2742,CONFIG!$D$5:$D$14,0)),M2742))),""))</f>
        <v/>
      </c>
      <c r="Q2742" s="16" t="str">
        <f aca="false">IF(OR(O2742="",P2742=""),"",O2742/P2742)</f>
        <v/>
      </c>
      <c r="R2742" s="16" t="str">
        <f aca="false">IF(Q2742="","",Q2742*0.0980665)</f>
        <v/>
      </c>
      <c r="S2742" s="16" t="str">
        <f aca="false">IF(Q2742="","",IFERROR(Q2742/(1/(1/INDEX(CONFIG!$I$5:$I$14,MATCH(D2742,CONFIG!$D$5:$D$14,0)))),""))</f>
        <v/>
      </c>
      <c r="T2742" s="13"/>
      <c r="U2742" s="13"/>
      <c r="V2742" s="13"/>
      <c r="W2742" s="13"/>
      <c r="X2742" s="22" t="str">
        <f aca="false">IF(Q2742="","",Q2742^2)</f>
        <v/>
      </c>
      <c r="Y2742" s="22" t="str">
        <f aca="false">IF(AND(C2742&lt;&gt;"",C2742=CERTIFICADO!$E$4,OR(CERTIFICADO!$E$5="",B2742=CERTIFICADO!$E$5)),MAX($Y$4:Y2741)+1,"")</f>
        <v/>
      </c>
    </row>
    <row r="2743" customFormat="false" ht="15" hidden="false" customHeight="false" outlineLevel="0" collapsed="false">
      <c r="A2743" s="11" t="str">
        <f aca="false">IF(C2743="","",ROW()-4)</f>
        <v/>
      </c>
      <c r="B2743" s="12"/>
      <c r="C2743" s="13"/>
      <c r="D2743" s="23" t="str">
        <f aca="false">IF(C2743="","",IFERROR(INDEX(LOTES!$D$5:$D$1004,MATCH(C2743,LOTES!$F$5:$F$1004,0)),"¿Lote?"))</f>
        <v/>
      </c>
      <c r="E2743" s="11" t="str">
        <f aca="false">IF(C2743="","",IFERROR(INDEX(LOTES!$C$5:$C$1004,MATCH(C2743,LOTES!$F$5:$F$1004,0)),""))</f>
        <v/>
      </c>
      <c r="F2743" s="24" t="str">
        <f aca="false">IF(C2743="","",IFERROR(INDEX(LOTES!$B$5:$B$1004,MATCH(C2743,LOTES!$F$5:$F$1004,0)),""))</f>
        <v/>
      </c>
      <c r="G2743" s="15" t="str">
        <f aca="false">IF(OR(B2743="",F2743=""),"",B2743-F2743)</f>
        <v/>
      </c>
      <c r="H2743" s="13"/>
      <c r="I2743" s="13"/>
      <c r="J2743" s="13"/>
      <c r="K2743" s="25"/>
      <c r="L2743" s="25"/>
      <c r="M2743" s="25"/>
      <c r="N2743" s="25"/>
      <c r="O2743" s="26"/>
      <c r="P2743" s="16" t="str">
        <f aca="false">IF(O2743="","",IFERROR(1/(1/(IF(K2743="",INDEX(CONFIG!$F$5:$F$14,MATCH(D2743,CONFIG!$D$5:$D$14,0)),K2743)*IF(M2743="",INDEX(CONFIG!$H$5:$H$14,MATCH(D2743,CONFIG!$D$5:$D$14,0)),M2743))),""))</f>
        <v/>
      </c>
      <c r="Q2743" s="16" t="str">
        <f aca="false">IF(OR(O2743="",P2743=""),"",O2743/P2743)</f>
        <v/>
      </c>
      <c r="R2743" s="16" t="str">
        <f aca="false">IF(Q2743="","",Q2743*0.0980665)</f>
        <v/>
      </c>
      <c r="S2743" s="16" t="str">
        <f aca="false">IF(Q2743="","",IFERROR(Q2743/(1/(1/INDEX(CONFIG!$I$5:$I$14,MATCH(D2743,CONFIG!$D$5:$D$14,0)))),""))</f>
        <v/>
      </c>
      <c r="T2743" s="13"/>
      <c r="U2743" s="13"/>
      <c r="V2743" s="13"/>
      <c r="W2743" s="13"/>
      <c r="X2743" s="22" t="str">
        <f aca="false">IF(Q2743="","",Q2743^2)</f>
        <v/>
      </c>
      <c r="Y2743" s="22" t="str">
        <f aca="false">IF(AND(C2743&lt;&gt;"",C2743=CERTIFICADO!$E$4,OR(CERTIFICADO!$E$5="",B2743=CERTIFICADO!$E$5)),MAX($Y$4:Y2742)+1,"")</f>
        <v/>
      </c>
    </row>
    <row r="2744" customFormat="false" ht="15" hidden="false" customHeight="false" outlineLevel="0" collapsed="false">
      <c r="A2744" s="11" t="str">
        <f aca="false">IF(C2744="","",ROW()-4)</f>
        <v/>
      </c>
      <c r="B2744" s="12"/>
      <c r="C2744" s="13"/>
      <c r="D2744" s="23" t="str">
        <f aca="false">IF(C2744="","",IFERROR(INDEX(LOTES!$D$5:$D$1004,MATCH(C2744,LOTES!$F$5:$F$1004,0)),"¿Lote?"))</f>
        <v/>
      </c>
      <c r="E2744" s="11" t="str">
        <f aca="false">IF(C2744="","",IFERROR(INDEX(LOTES!$C$5:$C$1004,MATCH(C2744,LOTES!$F$5:$F$1004,0)),""))</f>
        <v/>
      </c>
      <c r="F2744" s="24" t="str">
        <f aca="false">IF(C2744="","",IFERROR(INDEX(LOTES!$B$5:$B$1004,MATCH(C2744,LOTES!$F$5:$F$1004,0)),""))</f>
        <v/>
      </c>
      <c r="G2744" s="15" t="str">
        <f aca="false">IF(OR(B2744="",F2744=""),"",B2744-F2744)</f>
        <v/>
      </c>
      <c r="H2744" s="13"/>
      <c r="I2744" s="13"/>
      <c r="J2744" s="13"/>
      <c r="K2744" s="25"/>
      <c r="L2744" s="25"/>
      <c r="M2744" s="25"/>
      <c r="N2744" s="25"/>
      <c r="O2744" s="26"/>
      <c r="P2744" s="16" t="str">
        <f aca="false">IF(O2744="","",IFERROR(1/(1/(IF(K2744="",INDEX(CONFIG!$F$5:$F$14,MATCH(D2744,CONFIG!$D$5:$D$14,0)),K2744)*IF(M2744="",INDEX(CONFIG!$H$5:$H$14,MATCH(D2744,CONFIG!$D$5:$D$14,0)),M2744))),""))</f>
        <v/>
      </c>
      <c r="Q2744" s="16" t="str">
        <f aca="false">IF(OR(O2744="",P2744=""),"",O2744/P2744)</f>
        <v/>
      </c>
      <c r="R2744" s="16" t="str">
        <f aca="false">IF(Q2744="","",Q2744*0.0980665)</f>
        <v/>
      </c>
      <c r="S2744" s="16" t="str">
        <f aca="false">IF(Q2744="","",IFERROR(Q2744/(1/(1/INDEX(CONFIG!$I$5:$I$14,MATCH(D2744,CONFIG!$D$5:$D$14,0)))),""))</f>
        <v/>
      </c>
      <c r="T2744" s="13"/>
      <c r="U2744" s="13"/>
      <c r="V2744" s="13"/>
      <c r="W2744" s="13"/>
      <c r="X2744" s="22" t="str">
        <f aca="false">IF(Q2744="","",Q2744^2)</f>
        <v/>
      </c>
      <c r="Y2744" s="22" t="str">
        <f aca="false">IF(AND(C2744&lt;&gt;"",C2744=CERTIFICADO!$E$4,OR(CERTIFICADO!$E$5="",B2744=CERTIFICADO!$E$5)),MAX($Y$4:Y2743)+1,"")</f>
        <v/>
      </c>
    </row>
    <row r="2745" customFormat="false" ht="15" hidden="false" customHeight="false" outlineLevel="0" collapsed="false">
      <c r="A2745" s="11" t="str">
        <f aca="false">IF(C2745="","",ROW()-4)</f>
        <v/>
      </c>
      <c r="B2745" s="12"/>
      <c r="C2745" s="13"/>
      <c r="D2745" s="23" t="str">
        <f aca="false">IF(C2745="","",IFERROR(INDEX(LOTES!$D$5:$D$1004,MATCH(C2745,LOTES!$F$5:$F$1004,0)),"¿Lote?"))</f>
        <v/>
      </c>
      <c r="E2745" s="11" t="str">
        <f aca="false">IF(C2745="","",IFERROR(INDEX(LOTES!$C$5:$C$1004,MATCH(C2745,LOTES!$F$5:$F$1004,0)),""))</f>
        <v/>
      </c>
      <c r="F2745" s="24" t="str">
        <f aca="false">IF(C2745="","",IFERROR(INDEX(LOTES!$B$5:$B$1004,MATCH(C2745,LOTES!$F$5:$F$1004,0)),""))</f>
        <v/>
      </c>
      <c r="G2745" s="15" t="str">
        <f aca="false">IF(OR(B2745="",F2745=""),"",B2745-F2745)</f>
        <v/>
      </c>
      <c r="H2745" s="13"/>
      <c r="I2745" s="13"/>
      <c r="J2745" s="13"/>
      <c r="K2745" s="25"/>
      <c r="L2745" s="25"/>
      <c r="M2745" s="25"/>
      <c r="N2745" s="25"/>
      <c r="O2745" s="26"/>
      <c r="P2745" s="16" t="str">
        <f aca="false">IF(O2745="","",IFERROR(1/(1/(IF(K2745="",INDEX(CONFIG!$F$5:$F$14,MATCH(D2745,CONFIG!$D$5:$D$14,0)),K2745)*IF(M2745="",INDEX(CONFIG!$H$5:$H$14,MATCH(D2745,CONFIG!$D$5:$D$14,0)),M2745))),""))</f>
        <v/>
      </c>
      <c r="Q2745" s="16" t="str">
        <f aca="false">IF(OR(O2745="",P2745=""),"",O2745/P2745)</f>
        <v/>
      </c>
      <c r="R2745" s="16" t="str">
        <f aca="false">IF(Q2745="","",Q2745*0.0980665)</f>
        <v/>
      </c>
      <c r="S2745" s="16" t="str">
        <f aca="false">IF(Q2745="","",IFERROR(Q2745/(1/(1/INDEX(CONFIG!$I$5:$I$14,MATCH(D2745,CONFIG!$D$5:$D$14,0)))),""))</f>
        <v/>
      </c>
      <c r="T2745" s="13"/>
      <c r="U2745" s="13"/>
      <c r="V2745" s="13"/>
      <c r="W2745" s="13"/>
      <c r="X2745" s="22" t="str">
        <f aca="false">IF(Q2745="","",Q2745^2)</f>
        <v/>
      </c>
      <c r="Y2745" s="22" t="str">
        <f aca="false">IF(AND(C2745&lt;&gt;"",C2745=CERTIFICADO!$E$4,OR(CERTIFICADO!$E$5="",B2745=CERTIFICADO!$E$5)),MAX($Y$4:Y2744)+1,"")</f>
        <v/>
      </c>
    </row>
    <row r="2746" customFormat="false" ht="15" hidden="false" customHeight="false" outlineLevel="0" collapsed="false">
      <c r="A2746" s="11" t="str">
        <f aca="false">IF(C2746="","",ROW()-4)</f>
        <v/>
      </c>
      <c r="B2746" s="12"/>
      <c r="C2746" s="13"/>
      <c r="D2746" s="23" t="str">
        <f aca="false">IF(C2746="","",IFERROR(INDEX(LOTES!$D$5:$D$1004,MATCH(C2746,LOTES!$F$5:$F$1004,0)),"¿Lote?"))</f>
        <v/>
      </c>
      <c r="E2746" s="11" t="str">
        <f aca="false">IF(C2746="","",IFERROR(INDEX(LOTES!$C$5:$C$1004,MATCH(C2746,LOTES!$F$5:$F$1004,0)),""))</f>
        <v/>
      </c>
      <c r="F2746" s="24" t="str">
        <f aca="false">IF(C2746="","",IFERROR(INDEX(LOTES!$B$5:$B$1004,MATCH(C2746,LOTES!$F$5:$F$1004,0)),""))</f>
        <v/>
      </c>
      <c r="G2746" s="15" t="str">
        <f aca="false">IF(OR(B2746="",F2746=""),"",B2746-F2746)</f>
        <v/>
      </c>
      <c r="H2746" s="13"/>
      <c r="I2746" s="13"/>
      <c r="J2746" s="13"/>
      <c r="K2746" s="25"/>
      <c r="L2746" s="25"/>
      <c r="M2746" s="25"/>
      <c r="N2746" s="25"/>
      <c r="O2746" s="26"/>
      <c r="P2746" s="16" t="str">
        <f aca="false">IF(O2746="","",IFERROR(1/(1/(IF(K2746="",INDEX(CONFIG!$F$5:$F$14,MATCH(D2746,CONFIG!$D$5:$D$14,0)),K2746)*IF(M2746="",INDEX(CONFIG!$H$5:$H$14,MATCH(D2746,CONFIG!$D$5:$D$14,0)),M2746))),""))</f>
        <v/>
      </c>
      <c r="Q2746" s="16" t="str">
        <f aca="false">IF(OR(O2746="",P2746=""),"",O2746/P2746)</f>
        <v/>
      </c>
      <c r="R2746" s="16" t="str">
        <f aca="false">IF(Q2746="","",Q2746*0.0980665)</f>
        <v/>
      </c>
      <c r="S2746" s="16" t="str">
        <f aca="false">IF(Q2746="","",IFERROR(Q2746/(1/(1/INDEX(CONFIG!$I$5:$I$14,MATCH(D2746,CONFIG!$D$5:$D$14,0)))),""))</f>
        <v/>
      </c>
      <c r="T2746" s="13"/>
      <c r="U2746" s="13"/>
      <c r="V2746" s="13"/>
      <c r="W2746" s="13"/>
      <c r="X2746" s="22" t="str">
        <f aca="false">IF(Q2746="","",Q2746^2)</f>
        <v/>
      </c>
      <c r="Y2746" s="22" t="str">
        <f aca="false">IF(AND(C2746&lt;&gt;"",C2746=CERTIFICADO!$E$4,OR(CERTIFICADO!$E$5="",B2746=CERTIFICADO!$E$5)),MAX($Y$4:Y2745)+1,"")</f>
        <v/>
      </c>
    </row>
    <row r="2747" customFormat="false" ht="15" hidden="false" customHeight="false" outlineLevel="0" collapsed="false">
      <c r="A2747" s="11" t="str">
        <f aca="false">IF(C2747="","",ROW()-4)</f>
        <v/>
      </c>
      <c r="B2747" s="12"/>
      <c r="C2747" s="13"/>
      <c r="D2747" s="23" t="str">
        <f aca="false">IF(C2747="","",IFERROR(INDEX(LOTES!$D$5:$D$1004,MATCH(C2747,LOTES!$F$5:$F$1004,0)),"¿Lote?"))</f>
        <v/>
      </c>
      <c r="E2747" s="11" t="str">
        <f aca="false">IF(C2747="","",IFERROR(INDEX(LOTES!$C$5:$C$1004,MATCH(C2747,LOTES!$F$5:$F$1004,0)),""))</f>
        <v/>
      </c>
      <c r="F2747" s="24" t="str">
        <f aca="false">IF(C2747="","",IFERROR(INDEX(LOTES!$B$5:$B$1004,MATCH(C2747,LOTES!$F$5:$F$1004,0)),""))</f>
        <v/>
      </c>
      <c r="G2747" s="15" t="str">
        <f aca="false">IF(OR(B2747="",F2747=""),"",B2747-F2747)</f>
        <v/>
      </c>
      <c r="H2747" s="13"/>
      <c r="I2747" s="13"/>
      <c r="J2747" s="13"/>
      <c r="K2747" s="25"/>
      <c r="L2747" s="25"/>
      <c r="M2747" s="25"/>
      <c r="N2747" s="25"/>
      <c r="O2747" s="26"/>
      <c r="P2747" s="16" t="str">
        <f aca="false">IF(O2747="","",IFERROR(1/(1/(IF(K2747="",INDEX(CONFIG!$F$5:$F$14,MATCH(D2747,CONFIG!$D$5:$D$14,0)),K2747)*IF(M2747="",INDEX(CONFIG!$H$5:$H$14,MATCH(D2747,CONFIG!$D$5:$D$14,0)),M2747))),""))</f>
        <v/>
      </c>
      <c r="Q2747" s="16" t="str">
        <f aca="false">IF(OR(O2747="",P2747=""),"",O2747/P2747)</f>
        <v/>
      </c>
      <c r="R2747" s="16" t="str">
        <f aca="false">IF(Q2747="","",Q2747*0.0980665)</f>
        <v/>
      </c>
      <c r="S2747" s="16" t="str">
        <f aca="false">IF(Q2747="","",IFERROR(Q2747/(1/(1/INDEX(CONFIG!$I$5:$I$14,MATCH(D2747,CONFIG!$D$5:$D$14,0)))),""))</f>
        <v/>
      </c>
      <c r="T2747" s="13"/>
      <c r="U2747" s="13"/>
      <c r="V2747" s="13"/>
      <c r="W2747" s="13"/>
      <c r="X2747" s="22" t="str">
        <f aca="false">IF(Q2747="","",Q2747^2)</f>
        <v/>
      </c>
      <c r="Y2747" s="22" t="str">
        <f aca="false">IF(AND(C2747&lt;&gt;"",C2747=CERTIFICADO!$E$4,OR(CERTIFICADO!$E$5="",B2747=CERTIFICADO!$E$5)),MAX($Y$4:Y2746)+1,"")</f>
        <v/>
      </c>
    </row>
    <row r="2748" customFormat="false" ht="15" hidden="false" customHeight="false" outlineLevel="0" collapsed="false">
      <c r="A2748" s="11" t="str">
        <f aca="false">IF(C2748="","",ROW()-4)</f>
        <v/>
      </c>
      <c r="B2748" s="12"/>
      <c r="C2748" s="13"/>
      <c r="D2748" s="23" t="str">
        <f aca="false">IF(C2748="","",IFERROR(INDEX(LOTES!$D$5:$D$1004,MATCH(C2748,LOTES!$F$5:$F$1004,0)),"¿Lote?"))</f>
        <v/>
      </c>
      <c r="E2748" s="11" t="str">
        <f aca="false">IF(C2748="","",IFERROR(INDEX(LOTES!$C$5:$C$1004,MATCH(C2748,LOTES!$F$5:$F$1004,0)),""))</f>
        <v/>
      </c>
      <c r="F2748" s="24" t="str">
        <f aca="false">IF(C2748="","",IFERROR(INDEX(LOTES!$B$5:$B$1004,MATCH(C2748,LOTES!$F$5:$F$1004,0)),""))</f>
        <v/>
      </c>
      <c r="G2748" s="15" t="str">
        <f aca="false">IF(OR(B2748="",F2748=""),"",B2748-F2748)</f>
        <v/>
      </c>
      <c r="H2748" s="13"/>
      <c r="I2748" s="13"/>
      <c r="J2748" s="13"/>
      <c r="K2748" s="25"/>
      <c r="L2748" s="25"/>
      <c r="M2748" s="25"/>
      <c r="N2748" s="25"/>
      <c r="O2748" s="26"/>
      <c r="P2748" s="16" t="str">
        <f aca="false">IF(O2748="","",IFERROR(1/(1/(IF(K2748="",INDEX(CONFIG!$F$5:$F$14,MATCH(D2748,CONFIG!$D$5:$D$14,0)),K2748)*IF(M2748="",INDEX(CONFIG!$H$5:$H$14,MATCH(D2748,CONFIG!$D$5:$D$14,0)),M2748))),""))</f>
        <v/>
      </c>
      <c r="Q2748" s="16" t="str">
        <f aca="false">IF(OR(O2748="",P2748=""),"",O2748/P2748)</f>
        <v/>
      </c>
      <c r="R2748" s="16" t="str">
        <f aca="false">IF(Q2748="","",Q2748*0.0980665)</f>
        <v/>
      </c>
      <c r="S2748" s="16" t="str">
        <f aca="false">IF(Q2748="","",IFERROR(Q2748/(1/(1/INDEX(CONFIG!$I$5:$I$14,MATCH(D2748,CONFIG!$D$5:$D$14,0)))),""))</f>
        <v/>
      </c>
      <c r="T2748" s="13"/>
      <c r="U2748" s="13"/>
      <c r="V2748" s="13"/>
      <c r="W2748" s="13"/>
      <c r="X2748" s="22" t="str">
        <f aca="false">IF(Q2748="","",Q2748^2)</f>
        <v/>
      </c>
      <c r="Y2748" s="22" t="str">
        <f aca="false">IF(AND(C2748&lt;&gt;"",C2748=CERTIFICADO!$E$4,OR(CERTIFICADO!$E$5="",B2748=CERTIFICADO!$E$5)),MAX($Y$4:Y2747)+1,"")</f>
        <v/>
      </c>
    </row>
    <row r="2749" customFormat="false" ht="15" hidden="false" customHeight="false" outlineLevel="0" collapsed="false">
      <c r="A2749" s="11" t="str">
        <f aca="false">IF(C2749="","",ROW()-4)</f>
        <v/>
      </c>
      <c r="B2749" s="12"/>
      <c r="C2749" s="13"/>
      <c r="D2749" s="23" t="str">
        <f aca="false">IF(C2749="","",IFERROR(INDEX(LOTES!$D$5:$D$1004,MATCH(C2749,LOTES!$F$5:$F$1004,0)),"¿Lote?"))</f>
        <v/>
      </c>
      <c r="E2749" s="11" t="str">
        <f aca="false">IF(C2749="","",IFERROR(INDEX(LOTES!$C$5:$C$1004,MATCH(C2749,LOTES!$F$5:$F$1004,0)),""))</f>
        <v/>
      </c>
      <c r="F2749" s="24" t="str">
        <f aca="false">IF(C2749="","",IFERROR(INDEX(LOTES!$B$5:$B$1004,MATCH(C2749,LOTES!$F$5:$F$1004,0)),""))</f>
        <v/>
      </c>
      <c r="G2749" s="15" t="str">
        <f aca="false">IF(OR(B2749="",F2749=""),"",B2749-F2749)</f>
        <v/>
      </c>
      <c r="H2749" s="13"/>
      <c r="I2749" s="13"/>
      <c r="J2749" s="13"/>
      <c r="K2749" s="25"/>
      <c r="L2749" s="25"/>
      <c r="M2749" s="25"/>
      <c r="N2749" s="25"/>
      <c r="O2749" s="26"/>
      <c r="P2749" s="16" t="str">
        <f aca="false">IF(O2749="","",IFERROR(1/(1/(IF(K2749="",INDEX(CONFIG!$F$5:$F$14,MATCH(D2749,CONFIG!$D$5:$D$14,0)),K2749)*IF(M2749="",INDEX(CONFIG!$H$5:$H$14,MATCH(D2749,CONFIG!$D$5:$D$14,0)),M2749))),""))</f>
        <v/>
      </c>
      <c r="Q2749" s="16" t="str">
        <f aca="false">IF(OR(O2749="",P2749=""),"",O2749/P2749)</f>
        <v/>
      </c>
      <c r="R2749" s="16" t="str">
        <f aca="false">IF(Q2749="","",Q2749*0.0980665)</f>
        <v/>
      </c>
      <c r="S2749" s="16" t="str">
        <f aca="false">IF(Q2749="","",IFERROR(Q2749/(1/(1/INDEX(CONFIG!$I$5:$I$14,MATCH(D2749,CONFIG!$D$5:$D$14,0)))),""))</f>
        <v/>
      </c>
      <c r="T2749" s="13"/>
      <c r="U2749" s="13"/>
      <c r="V2749" s="13"/>
      <c r="W2749" s="13"/>
      <c r="X2749" s="22" t="str">
        <f aca="false">IF(Q2749="","",Q2749^2)</f>
        <v/>
      </c>
      <c r="Y2749" s="22" t="str">
        <f aca="false">IF(AND(C2749&lt;&gt;"",C2749=CERTIFICADO!$E$4,OR(CERTIFICADO!$E$5="",B2749=CERTIFICADO!$E$5)),MAX($Y$4:Y2748)+1,"")</f>
        <v/>
      </c>
    </row>
    <row r="2750" customFormat="false" ht="15" hidden="false" customHeight="false" outlineLevel="0" collapsed="false">
      <c r="A2750" s="11" t="str">
        <f aca="false">IF(C2750="","",ROW()-4)</f>
        <v/>
      </c>
      <c r="B2750" s="12"/>
      <c r="C2750" s="13"/>
      <c r="D2750" s="23" t="str">
        <f aca="false">IF(C2750="","",IFERROR(INDEX(LOTES!$D$5:$D$1004,MATCH(C2750,LOTES!$F$5:$F$1004,0)),"¿Lote?"))</f>
        <v/>
      </c>
      <c r="E2750" s="11" t="str">
        <f aca="false">IF(C2750="","",IFERROR(INDEX(LOTES!$C$5:$C$1004,MATCH(C2750,LOTES!$F$5:$F$1004,0)),""))</f>
        <v/>
      </c>
      <c r="F2750" s="24" t="str">
        <f aca="false">IF(C2750="","",IFERROR(INDEX(LOTES!$B$5:$B$1004,MATCH(C2750,LOTES!$F$5:$F$1004,0)),""))</f>
        <v/>
      </c>
      <c r="G2750" s="15" t="str">
        <f aca="false">IF(OR(B2750="",F2750=""),"",B2750-F2750)</f>
        <v/>
      </c>
      <c r="H2750" s="13"/>
      <c r="I2750" s="13"/>
      <c r="J2750" s="13"/>
      <c r="K2750" s="25"/>
      <c r="L2750" s="25"/>
      <c r="M2750" s="25"/>
      <c r="N2750" s="25"/>
      <c r="O2750" s="26"/>
      <c r="P2750" s="16" t="str">
        <f aca="false">IF(O2750="","",IFERROR(1/(1/(IF(K2750="",INDEX(CONFIG!$F$5:$F$14,MATCH(D2750,CONFIG!$D$5:$D$14,0)),K2750)*IF(M2750="",INDEX(CONFIG!$H$5:$H$14,MATCH(D2750,CONFIG!$D$5:$D$14,0)),M2750))),""))</f>
        <v/>
      </c>
      <c r="Q2750" s="16" t="str">
        <f aca="false">IF(OR(O2750="",P2750=""),"",O2750/P2750)</f>
        <v/>
      </c>
      <c r="R2750" s="16" t="str">
        <f aca="false">IF(Q2750="","",Q2750*0.0980665)</f>
        <v/>
      </c>
      <c r="S2750" s="16" t="str">
        <f aca="false">IF(Q2750="","",IFERROR(Q2750/(1/(1/INDEX(CONFIG!$I$5:$I$14,MATCH(D2750,CONFIG!$D$5:$D$14,0)))),""))</f>
        <v/>
      </c>
      <c r="T2750" s="13"/>
      <c r="U2750" s="13"/>
      <c r="V2750" s="13"/>
      <c r="W2750" s="13"/>
      <c r="X2750" s="22" t="str">
        <f aca="false">IF(Q2750="","",Q2750^2)</f>
        <v/>
      </c>
      <c r="Y2750" s="22" t="str">
        <f aca="false">IF(AND(C2750&lt;&gt;"",C2750=CERTIFICADO!$E$4,OR(CERTIFICADO!$E$5="",B2750=CERTIFICADO!$E$5)),MAX($Y$4:Y2749)+1,"")</f>
        <v/>
      </c>
    </row>
    <row r="2751" customFormat="false" ht="15" hidden="false" customHeight="false" outlineLevel="0" collapsed="false">
      <c r="A2751" s="11" t="str">
        <f aca="false">IF(C2751="","",ROW()-4)</f>
        <v/>
      </c>
      <c r="B2751" s="12"/>
      <c r="C2751" s="13"/>
      <c r="D2751" s="23" t="str">
        <f aca="false">IF(C2751="","",IFERROR(INDEX(LOTES!$D$5:$D$1004,MATCH(C2751,LOTES!$F$5:$F$1004,0)),"¿Lote?"))</f>
        <v/>
      </c>
      <c r="E2751" s="11" t="str">
        <f aca="false">IF(C2751="","",IFERROR(INDEX(LOTES!$C$5:$C$1004,MATCH(C2751,LOTES!$F$5:$F$1004,0)),""))</f>
        <v/>
      </c>
      <c r="F2751" s="24" t="str">
        <f aca="false">IF(C2751="","",IFERROR(INDEX(LOTES!$B$5:$B$1004,MATCH(C2751,LOTES!$F$5:$F$1004,0)),""))</f>
        <v/>
      </c>
      <c r="G2751" s="15" t="str">
        <f aca="false">IF(OR(B2751="",F2751=""),"",B2751-F2751)</f>
        <v/>
      </c>
      <c r="H2751" s="13"/>
      <c r="I2751" s="13"/>
      <c r="J2751" s="13"/>
      <c r="K2751" s="25"/>
      <c r="L2751" s="25"/>
      <c r="M2751" s="25"/>
      <c r="N2751" s="25"/>
      <c r="O2751" s="26"/>
      <c r="P2751" s="16" t="str">
        <f aca="false">IF(O2751="","",IFERROR(1/(1/(IF(K2751="",INDEX(CONFIG!$F$5:$F$14,MATCH(D2751,CONFIG!$D$5:$D$14,0)),K2751)*IF(M2751="",INDEX(CONFIG!$H$5:$H$14,MATCH(D2751,CONFIG!$D$5:$D$14,0)),M2751))),""))</f>
        <v/>
      </c>
      <c r="Q2751" s="16" t="str">
        <f aca="false">IF(OR(O2751="",P2751=""),"",O2751/P2751)</f>
        <v/>
      </c>
      <c r="R2751" s="16" t="str">
        <f aca="false">IF(Q2751="","",Q2751*0.0980665)</f>
        <v/>
      </c>
      <c r="S2751" s="16" t="str">
        <f aca="false">IF(Q2751="","",IFERROR(Q2751/(1/(1/INDEX(CONFIG!$I$5:$I$14,MATCH(D2751,CONFIG!$D$5:$D$14,0)))),""))</f>
        <v/>
      </c>
      <c r="T2751" s="13"/>
      <c r="U2751" s="13"/>
      <c r="V2751" s="13"/>
      <c r="W2751" s="13"/>
      <c r="X2751" s="22" t="str">
        <f aca="false">IF(Q2751="","",Q2751^2)</f>
        <v/>
      </c>
      <c r="Y2751" s="22" t="str">
        <f aca="false">IF(AND(C2751&lt;&gt;"",C2751=CERTIFICADO!$E$4,OR(CERTIFICADO!$E$5="",B2751=CERTIFICADO!$E$5)),MAX($Y$4:Y2750)+1,"")</f>
        <v/>
      </c>
    </row>
    <row r="2752" customFormat="false" ht="15" hidden="false" customHeight="false" outlineLevel="0" collapsed="false">
      <c r="A2752" s="11" t="str">
        <f aca="false">IF(C2752="","",ROW()-4)</f>
        <v/>
      </c>
      <c r="B2752" s="12"/>
      <c r="C2752" s="13"/>
      <c r="D2752" s="23" t="str">
        <f aca="false">IF(C2752="","",IFERROR(INDEX(LOTES!$D$5:$D$1004,MATCH(C2752,LOTES!$F$5:$F$1004,0)),"¿Lote?"))</f>
        <v/>
      </c>
      <c r="E2752" s="11" t="str">
        <f aca="false">IF(C2752="","",IFERROR(INDEX(LOTES!$C$5:$C$1004,MATCH(C2752,LOTES!$F$5:$F$1004,0)),""))</f>
        <v/>
      </c>
      <c r="F2752" s="24" t="str">
        <f aca="false">IF(C2752="","",IFERROR(INDEX(LOTES!$B$5:$B$1004,MATCH(C2752,LOTES!$F$5:$F$1004,0)),""))</f>
        <v/>
      </c>
      <c r="G2752" s="15" t="str">
        <f aca="false">IF(OR(B2752="",F2752=""),"",B2752-F2752)</f>
        <v/>
      </c>
      <c r="H2752" s="13"/>
      <c r="I2752" s="13"/>
      <c r="J2752" s="13"/>
      <c r="K2752" s="25"/>
      <c r="L2752" s="25"/>
      <c r="M2752" s="25"/>
      <c r="N2752" s="25"/>
      <c r="O2752" s="26"/>
      <c r="P2752" s="16" t="str">
        <f aca="false">IF(O2752="","",IFERROR(1/(1/(IF(K2752="",INDEX(CONFIG!$F$5:$F$14,MATCH(D2752,CONFIG!$D$5:$D$14,0)),K2752)*IF(M2752="",INDEX(CONFIG!$H$5:$H$14,MATCH(D2752,CONFIG!$D$5:$D$14,0)),M2752))),""))</f>
        <v/>
      </c>
      <c r="Q2752" s="16" t="str">
        <f aca="false">IF(OR(O2752="",P2752=""),"",O2752/P2752)</f>
        <v/>
      </c>
      <c r="R2752" s="16" t="str">
        <f aca="false">IF(Q2752="","",Q2752*0.0980665)</f>
        <v/>
      </c>
      <c r="S2752" s="16" t="str">
        <f aca="false">IF(Q2752="","",IFERROR(Q2752/(1/(1/INDEX(CONFIG!$I$5:$I$14,MATCH(D2752,CONFIG!$D$5:$D$14,0)))),""))</f>
        <v/>
      </c>
      <c r="T2752" s="13"/>
      <c r="U2752" s="13"/>
      <c r="V2752" s="13"/>
      <c r="W2752" s="13"/>
      <c r="X2752" s="22" t="str">
        <f aca="false">IF(Q2752="","",Q2752^2)</f>
        <v/>
      </c>
      <c r="Y2752" s="22" t="str">
        <f aca="false">IF(AND(C2752&lt;&gt;"",C2752=CERTIFICADO!$E$4,OR(CERTIFICADO!$E$5="",B2752=CERTIFICADO!$E$5)),MAX($Y$4:Y2751)+1,"")</f>
        <v/>
      </c>
    </row>
    <row r="2753" customFormat="false" ht="15" hidden="false" customHeight="false" outlineLevel="0" collapsed="false">
      <c r="A2753" s="11" t="str">
        <f aca="false">IF(C2753="","",ROW()-4)</f>
        <v/>
      </c>
      <c r="B2753" s="12"/>
      <c r="C2753" s="13"/>
      <c r="D2753" s="23" t="str">
        <f aca="false">IF(C2753="","",IFERROR(INDEX(LOTES!$D$5:$D$1004,MATCH(C2753,LOTES!$F$5:$F$1004,0)),"¿Lote?"))</f>
        <v/>
      </c>
      <c r="E2753" s="11" t="str">
        <f aca="false">IF(C2753="","",IFERROR(INDEX(LOTES!$C$5:$C$1004,MATCH(C2753,LOTES!$F$5:$F$1004,0)),""))</f>
        <v/>
      </c>
      <c r="F2753" s="24" t="str">
        <f aca="false">IF(C2753="","",IFERROR(INDEX(LOTES!$B$5:$B$1004,MATCH(C2753,LOTES!$F$5:$F$1004,0)),""))</f>
        <v/>
      </c>
      <c r="G2753" s="15" t="str">
        <f aca="false">IF(OR(B2753="",F2753=""),"",B2753-F2753)</f>
        <v/>
      </c>
      <c r="H2753" s="13"/>
      <c r="I2753" s="13"/>
      <c r="J2753" s="13"/>
      <c r="K2753" s="25"/>
      <c r="L2753" s="25"/>
      <c r="M2753" s="25"/>
      <c r="N2753" s="25"/>
      <c r="O2753" s="26"/>
      <c r="P2753" s="16" t="str">
        <f aca="false">IF(O2753="","",IFERROR(1/(1/(IF(K2753="",INDEX(CONFIG!$F$5:$F$14,MATCH(D2753,CONFIG!$D$5:$D$14,0)),K2753)*IF(M2753="",INDEX(CONFIG!$H$5:$H$14,MATCH(D2753,CONFIG!$D$5:$D$14,0)),M2753))),""))</f>
        <v/>
      </c>
      <c r="Q2753" s="16" t="str">
        <f aca="false">IF(OR(O2753="",P2753=""),"",O2753/P2753)</f>
        <v/>
      </c>
      <c r="R2753" s="16" t="str">
        <f aca="false">IF(Q2753="","",Q2753*0.0980665)</f>
        <v/>
      </c>
      <c r="S2753" s="16" t="str">
        <f aca="false">IF(Q2753="","",IFERROR(Q2753/(1/(1/INDEX(CONFIG!$I$5:$I$14,MATCH(D2753,CONFIG!$D$5:$D$14,0)))),""))</f>
        <v/>
      </c>
      <c r="T2753" s="13"/>
      <c r="U2753" s="13"/>
      <c r="V2753" s="13"/>
      <c r="W2753" s="13"/>
      <c r="X2753" s="22" t="str">
        <f aca="false">IF(Q2753="","",Q2753^2)</f>
        <v/>
      </c>
      <c r="Y2753" s="22" t="str">
        <f aca="false">IF(AND(C2753&lt;&gt;"",C2753=CERTIFICADO!$E$4,OR(CERTIFICADO!$E$5="",B2753=CERTIFICADO!$E$5)),MAX($Y$4:Y2752)+1,"")</f>
        <v/>
      </c>
    </row>
    <row r="2754" customFormat="false" ht="15" hidden="false" customHeight="false" outlineLevel="0" collapsed="false">
      <c r="A2754" s="11" t="str">
        <f aca="false">IF(C2754="","",ROW()-4)</f>
        <v/>
      </c>
      <c r="B2754" s="12"/>
      <c r="C2754" s="13"/>
      <c r="D2754" s="23" t="str">
        <f aca="false">IF(C2754="","",IFERROR(INDEX(LOTES!$D$5:$D$1004,MATCH(C2754,LOTES!$F$5:$F$1004,0)),"¿Lote?"))</f>
        <v/>
      </c>
      <c r="E2754" s="11" t="str">
        <f aca="false">IF(C2754="","",IFERROR(INDEX(LOTES!$C$5:$C$1004,MATCH(C2754,LOTES!$F$5:$F$1004,0)),""))</f>
        <v/>
      </c>
      <c r="F2754" s="24" t="str">
        <f aca="false">IF(C2754="","",IFERROR(INDEX(LOTES!$B$5:$B$1004,MATCH(C2754,LOTES!$F$5:$F$1004,0)),""))</f>
        <v/>
      </c>
      <c r="G2754" s="15" t="str">
        <f aca="false">IF(OR(B2754="",F2754=""),"",B2754-F2754)</f>
        <v/>
      </c>
      <c r="H2754" s="13"/>
      <c r="I2754" s="13"/>
      <c r="J2754" s="13"/>
      <c r="K2754" s="25"/>
      <c r="L2754" s="25"/>
      <c r="M2754" s="25"/>
      <c r="N2754" s="25"/>
      <c r="O2754" s="26"/>
      <c r="P2754" s="16" t="str">
        <f aca="false">IF(O2754="","",IFERROR(1/(1/(IF(K2754="",INDEX(CONFIG!$F$5:$F$14,MATCH(D2754,CONFIG!$D$5:$D$14,0)),K2754)*IF(M2754="",INDEX(CONFIG!$H$5:$H$14,MATCH(D2754,CONFIG!$D$5:$D$14,0)),M2754))),""))</f>
        <v/>
      </c>
      <c r="Q2754" s="16" t="str">
        <f aca="false">IF(OR(O2754="",P2754=""),"",O2754/P2754)</f>
        <v/>
      </c>
      <c r="R2754" s="16" t="str">
        <f aca="false">IF(Q2754="","",Q2754*0.0980665)</f>
        <v/>
      </c>
      <c r="S2754" s="16" t="str">
        <f aca="false">IF(Q2754="","",IFERROR(Q2754/(1/(1/INDEX(CONFIG!$I$5:$I$14,MATCH(D2754,CONFIG!$D$5:$D$14,0)))),""))</f>
        <v/>
      </c>
      <c r="T2754" s="13"/>
      <c r="U2754" s="13"/>
      <c r="V2754" s="13"/>
      <c r="W2754" s="13"/>
      <c r="X2754" s="22" t="str">
        <f aca="false">IF(Q2754="","",Q2754^2)</f>
        <v/>
      </c>
      <c r="Y2754" s="22" t="str">
        <f aca="false">IF(AND(C2754&lt;&gt;"",C2754=CERTIFICADO!$E$4,OR(CERTIFICADO!$E$5="",B2754=CERTIFICADO!$E$5)),MAX($Y$4:Y2753)+1,"")</f>
        <v/>
      </c>
    </row>
    <row r="2755" customFormat="false" ht="15" hidden="false" customHeight="false" outlineLevel="0" collapsed="false">
      <c r="A2755" s="11" t="str">
        <f aca="false">IF(C2755="","",ROW()-4)</f>
        <v/>
      </c>
      <c r="B2755" s="12"/>
      <c r="C2755" s="13"/>
      <c r="D2755" s="23" t="str">
        <f aca="false">IF(C2755="","",IFERROR(INDEX(LOTES!$D$5:$D$1004,MATCH(C2755,LOTES!$F$5:$F$1004,0)),"¿Lote?"))</f>
        <v/>
      </c>
      <c r="E2755" s="11" t="str">
        <f aca="false">IF(C2755="","",IFERROR(INDEX(LOTES!$C$5:$C$1004,MATCH(C2755,LOTES!$F$5:$F$1004,0)),""))</f>
        <v/>
      </c>
      <c r="F2755" s="24" t="str">
        <f aca="false">IF(C2755="","",IFERROR(INDEX(LOTES!$B$5:$B$1004,MATCH(C2755,LOTES!$F$5:$F$1004,0)),""))</f>
        <v/>
      </c>
      <c r="G2755" s="15" t="str">
        <f aca="false">IF(OR(B2755="",F2755=""),"",B2755-F2755)</f>
        <v/>
      </c>
      <c r="H2755" s="13"/>
      <c r="I2755" s="13"/>
      <c r="J2755" s="13"/>
      <c r="K2755" s="25"/>
      <c r="L2755" s="25"/>
      <c r="M2755" s="25"/>
      <c r="N2755" s="25"/>
      <c r="O2755" s="26"/>
      <c r="P2755" s="16" t="str">
        <f aca="false">IF(O2755="","",IFERROR(1/(1/(IF(K2755="",INDEX(CONFIG!$F$5:$F$14,MATCH(D2755,CONFIG!$D$5:$D$14,0)),K2755)*IF(M2755="",INDEX(CONFIG!$H$5:$H$14,MATCH(D2755,CONFIG!$D$5:$D$14,0)),M2755))),""))</f>
        <v/>
      </c>
      <c r="Q2755" s="16" t="str">
        <f aca="false">IF(OR(O2755="",P2755=""),"",O2755/P2755)</f>
        <v/>
      </c>
      <c r="R2755" s="16" t="str">
        <f aca="false">IF(Q2755="","",Q2755*0.0980665)</f>
        <v/>
      </c>
      <c r="S2755" s="16" t="str">
        <f aca="false">IF(Q2755="","",IFERROR(Q2755/(1/(1/INDEX(CONFIG!$I$5:$I$14,MATCH(D2755,CONFIG!$D$5:$D$14,0)))),""))</f>
        <v/>
      </c>
      <c r="T2755" s="13"/>
      <c r="U2755" s="13"/>
      <c r="V2755" s="13"/>
      <c r="W2755" s="13"/>
      <c r="X2755" s="22" t="str">
        <f aca="false">IF(Q2755="","",Q2755^2)</f>
        <v/>
      </c>
      <c r="Y2755" s="22" t="str">
        <f aca="false">IF(AND(C2755&lt;&gt;"",C2755=CERTIFICADO!$E$4,OR(CERTIFICADO!$E$5="",B2755=CERTIFICADO!$E$5)),MAX($Y$4:Y2754)+1,"")</f>
        <v/>
      </c>
    </row>
    <row r="2756" customFormat="false" ht="15" hidden="false" customHeight="false" outlineLevel="0" collapsed="false">
      <c r="A2756" s="11" t="str">
        <f aca="false">IF(C2756="","",ROW()-4)</f>
        <v/>
      </c>
      <c r="B2756" s="12"/>
      <c r="C2756" s="13"/>
      <c r="D2756" s="23" t="str">
        <f aca="false">IF(C2756="","",IFERROR(INDEX(LOTES!$D$5:$D$1004,MATCH(C2756,LOTES!$F$5:$F$1004,0)),"¿Lote?"))</f>
        <v/>
      </c>
      <c r="E2756" s="11" t="str">
        <f aca="false">IF(C2756="","",IFERROR(INDEX(LOTES!$C$5:$C$1004,MATCH(C2756,LOTES!$F$5:$F$1004,0)),""))</f>
        <v/>
      </c>
      <c r="F2756" s="24" t="str">
        <f aca="false">IF(C2756="","",IFERROR(INDEX(LOTES!$B$5:$B$1004,MATCH(C2756,LOTES!$F$5:$F$1004,0)),""))</f>
        <v/>
      </c>
      <c r="G2756" s="15" t="str">
        <f aca="false">IF(OR(B2756="",F2756=""),"",B2756-F2756)</f>
        <v/>
      </c>
      <c r="H2756" s="13"/>
      <c r="I2756" s="13"/>
      <c r="J2756" s="13"/>
      <c r="K2756" s="25"/>
      <c r="L2756" s="25"/>
      <c r="M2756" s="25"/>
      <c r="N2756" s="25"/>
      <c r="O2756" s="26"/>
      <c r="P2756" s="16" t="str">
        <f aca="false">IF(O2756="","",IFERROR(1/(1/(IF(K2756="",INDEX(CONFIG!$F$5:$F$14,MATCH(D2756,CONFIG!$D$5:$D$14,0)),K2756)*IF(M2756="",INDEX(CONFIG!$H$5:$H$14,MATCH(D2756,CONFIG!$D$5:$D$14,0)),M2756))),""))</f>
        <v/>
      </c>
      <c r="Q2756" s="16" t="str">
        <f aca="false">IF(OR(O2756="",P2756=""),"",O2756/P2756)</f>
        <v/>
      </c>
      <c r="R2756" s="16" t="str">
        <f aca="false">IF(Q2756="","",Q2756*0.0980665)</f>
        <v/>
      </c>
      <c r="S2756" s="16" t="str">
        <f aca="false">IF(Q2756="","",IFERROR(Q2756/(1/(1/INDEX(CONFIG!$I$5:$I$14,MATCH(D2756,CONFIG!$D$5:$D$14,0)))),""))</f>
        <v/>
      </c>
      <c r="T2756" s="13"/>
      <c r="U2756" s="13"/>
      <c r="V2756" s="13"/>
      <c r="W2756" s="13"/>
      <c r="X2756" s="22" t="str">
        <f aca="false">IF(Q2756="","",Q2756^2)</f>
        <v/>
      </c>
      <c r="Y2756" s="22" t="str">
        <f aca="false">IF(AND(C2756&lt;&gt;"",C2756=CERTIFICADO!$E$4,OR(CERTIFICADO!$E$5="",B2756=CERTIFICADO!$E$5)),MAX($Y$4:Y2755)+1,"")</f>
        <v/>
      </c>
    </row>
    <row r="2757" customFormat="false" ht="15" hidden="false" customHeight="false" outlineLevel="0" collapsed="false">
      <c r="A2757" s="11" t="str">
        <f aca="false">IF(C2757="","",ROW()-4)</f>
        <v/>
      </c>
      <c r="B2757" s="12"/>
      <c r="C2757" s="13"/>
      <c r="D2757" s="23" t="str">
        <f aca="false">IF(C2757="","",IFERROR(INDEX(LOTES!$D$5:$D$1004,MATCH(C2757,LOTES!$F$5:$F$1004,0)),"¿Lote?"))</f>
        <v/>
      </c>
      <c r="E2757" s="11" t="str">
        <f aca="false">IF(C2757="","",IFERROR(INDEX(LOTES!$C$5:$C$1004,MATCH(C2757,LOTES!$F$5:$F$1004,0)),""))</f>
        <v/>
      </c>
      <c r="F2757" s="24" t="str">
        <f aca="false">IF(C2757="","",IFERROR(INDEX(LOTES!$B$5:$B$1004,MATCH(C2757,LOTES!$F$5:$F$1004,0)),""))</f>
        <v/>
      </c>
      <c r="G2757" s="15" t="str">
        <f aca="false">IF(OR(B2757="",F2757=""),"",B2757-F2757)</f>
        <v/>
      </c>
      <c r="H2757" s="13"/>
      <c r="I2757" s="13"/>
      <c r="J2757" s="13"/>
      <c r="K2757" s="25"/>
      <c r="L2757" s="25"/>
      <c r="M2757" s="25"/>
      <c r="N2757" s="25"/>
      <c r="O2757" s="26"/>
      <c r="P2757" s="16" t="str">
        <f aca="false">IF(O2757="","",IFERROR(1/(1/(IF(K2757="",INDEX(CONFIG!$F$5:$F$14,MATCH(D2757,CONFIG!$D$5:$D$14,0)),K2757)*IF(M2757="",INDEX(CONFIG!$H$5:$H$14,MATCH(D2757,CONFIG!$D$5:$D$14,0)),M2757))),""))</f>
        <v/>
      </c>
      <c r="Q2757" s="16" t="str">
        <f aca="false">IF(OR(O2757="",P2757=""),"",O2757/P2757)</f>
        <v/>
      </c>
      <c r="R2757" s="16" t="str">
        <f aca="false">IF(Q2757="","",Q2757*0.0980665)</f>
        <v/>
      </c>
      <c r="S2757" s="16" t="str">
        <f aca="false">IF(Q2757="","",IFERROR(Q2757/(1/(1/INDEX(CONFIG!$I$5:$I$14,MATCH(D2757,CONFIG!$D$5:$D$14,0)))),""))</f>
        <v/>
      </c>
      <c r="T2757" s="13"/>
      <c r="U2757" s="13"/>
      <c r="V2757" s="13"/>
      <c r="W2757" s="13"/>
      <c r="X2757" s="22" t="str">
        <f aca="false">IF(Q2757="","",Q2757^2)</f>
        <v/>
      </c>
      <c r="Y2757" s="22" t="str">
        <f aca="false">IF(AND(C2757&lt;&gt;"",C2757=CERTIFICADO!$E$4,OR(CERTIFICADO!$E$5="",B2757=CERTIFICADO!$E$5)),MAX($Y$4:Y2756)+1,"")</f>
        <v/>
      </c>
    </row>
    <row r="2758" customFormat="false" ht="15" hidden="false" customHeight="false" outlineLevel="0" collapsed="false">
      <c r="A2758" s="11" t="str">
        <f aca="false">IF(C2758="","",ROW()-4)</f>
        <v/>
      </c>
      <c r="B2758" s="12"/>
      <c r="C2758" s="13"/>
      <c r="D2758" s="23" t="str">
        <f aca="false">IF(C2758="","",IFERROR(INDEX(LOTES!$D$5:$D$1004,MATCH(C2758,LOTES!$F$5:$F$1004,0)),"¿Lote?"))</f>
        <v/>
      </c>
      <c r="E2758" s="11" t="str">
        <f aca="false">IF(C2758="","",IFERROR(INDEX(LOTES!$C$5:$C$1004,MATCH(C2758,LOTES!$F$5:$F$1004,0)),""))</f>
        <v/>
      </c>
      <c r="F2758" s="24" t="str">
        <f aca="false">IF(C2758="","",IFERROR(INDEX(LOTES!$B$5:$B$1004,MATCH(C2758,LOTES!$F$5:$F$1004,0)),""))</f>
        <v/>
      </c>
      <c r="G2758" s="15" t="str">
        <f aca="false">IF(OR(B2758="",F2758=""),"",B2758-F2758)</f>
        <v/>
      </c>
      <c r="H2758" s="13"/>
      <c r="I2758" s="13"/>
      <c r="J2758" s="13"/>
      <c r="K2758" s="25"/>
      <c r="L2758" s="25"/>
      <c r="M2758" s="25"/>
      <c r="N2758" s="25"/>
      <c r="O2758" s="26"/>
      <c r="P2758" s="16" t="str">
        <f aca="false">IF(O2758="","",IFERROR(1/(1/(IF(K2758="",INDEX(CONFIG!$F$5:$F$14,MATCH(D2758,CONFIG!$D$5:$D$14,0)),K2758)*IF(M2758="",INDEX(CONFIG!$H$5:$H$14,MATCH(D2758,CONFIG!$D$5:$D$14,0)),M2758))),""))</f>
        <v/>
      </c>
      <c r="Q2758" s="16" t="str">
        <f aca="false">IF(OR(O2758="",P2758=""),"",O2758/P2758)</f>
        <v/>
      </c>
      <c r="R2758" s="16" t="str">
        <f aca="false">IF(Q2758="","",Q2758*0.0980665)</f>
        <v/>
      </c>
      <c r="S2758" s="16" t="str">
        <f aca="false">IF(Q2758="","",IFERROR(Q2758/(1/(1/INDEX(CONFIG!$I$5:$I$14,MATCH(D2758,CONFIG!$D$5:$D$14,0)))),""))</f>
        <v/>
      </c>
      <c r="T2758" s="13"/>
      <c r="U2758" s="13"/>
      <c r="V2758" s="13"/>
      <c r="W2758" s="13"/>
      <c r="X2758" s="22" t="str">
        <f aca="false">IF(Q2758="","",Q2758^2)</f>
        <v/>
      </c>
      <c r="Y2758" s="22" t="str">
        <f aca="false">IF(AND(C2758&lt;&gt;"",C2758=CERTIFICADO!$E$4,OR(CERTIFICADO!$E$5="",B2758=CERTIFICADO!$E$5)),MAX($Y$4:Y2757)+1,"")</f>
        <v/>
      </c>
    </row>
    <row r="2759" customFormat="false" ht="15" hidden="false" customHeight="false" outlineLevel="0" collapsed="false">
      <c r="A2759" s="11" t="str">
        <f aca="false">IF(C2759="","",ROW()-4)</f>
        <v/>
      </c>
      <c r="B2759" s="12"/>
      <c r="C2759" s="13"/>
      <c r="D2759" s="23" t="str">
        <f aca="false">IF(C2759="","",IFERROR(INDEX(LOTES!$D$5:$D$1004,MATCH(C2759,LOTES!$F$5:$F$1004,0)),"¿Lote?"))</f>
        <v/>
      </c>
      <c r="E2759" s="11" t="str">
        <f aca="false">IF(C2759="","",IFERROR(INDEX(LOTES!$C$5:$C$1004,MATCH(C2759,LOTES!$F$5:$F$1004,0)),""))</f>
        <v/>
      </c>
      <c r="F2759" s="24" t="str">
        <f aca="false">IF(C2759="","",IFERROR(INDEX(LOTES!$B$5:$B$1004,MATCH(C2759,LOTES!$F$5:$F$1004,0)),""))</f>
        <v/>
      </c>
      <c r="G2759" s="15" t="str">
        <f aca="false">IF(OR(B2759="",F2759=""),"",B2759-F2759)</f>
        <v/>
      </c>
      <c r="H2759" s="13"/>
      <c r="I2759" s="13"/>
      <c r="J2759" s="13"/>
      <c r="K2759" s="25"/>
      <c r="L2759" s="25"/>
      <c r="M2759" s="25"/>
      <c r="N2759" s="25"/>
      <c r="O2759" s="26"/>
      <c r="P2759" s="16" t="str">
        <f aca="false">IF(O2759="","",IFERROR(1/(1/(IF(K2759="",INDEX(CONFIG!$F$5:$F$14,MATCH(D2759,CONFIG!$D$5:$D$14,0)),K2759)*IF(M2759="",INDEX(CONFIG!$H$5:$H$14,MATCH(D2759,CONFIG!$D$5:$D$14,0)),M2759))),""))</f>
        <v/>
      </c>
      <c r="Q2759" s="16" t="str">
        <f aca="false">IF(OR(O2759="",P2759=""),"",O2759/P2759)</f>
        <v/>
      </c>
      <c r="R2759" s="16" t="str">
        <f aca="false">IF(Q2759="","",Q2759*0.0980665)</f>
        <v/>
      </c>
      <c r="S2759" s="16" t="str">
        <f aca="false">IF(Q2759="","",IFERROR(Q2759/(1/(1/INDEX(CONFIG!$I$5:$I$14,MATCH(D2759,CONFIG!$D$5:$D$14,0)))),""))</f>
        <v/>
      </c>
      <c r="T2759" s="13"/>
      <c r="U2759" s="13"/>
      <c r="V2759" s="13"/>
      <c r="W2759" s="13"/>
      <c r="X2759" s="22" t="str">
        <f aca="false">IF(Q2759="","",Q2759^2)</f>
        <v/>
      </c>
      <c r="Y2759" s="22" t="str">
        <f aca="false">IF(AND(C2759&lt;&gt;"",C2759=CERTIFICADO!$E$4,OR(CERTIFICADO!$E$5="",B2759=CERTIFICADO!$E$5)),MAX($Y$4:Y2758)+1,"")</f>
        <v/>
      </c>
    </row>
    <row r="2760" customFormat="false" ht="15" hidden="false" customHeight="false" outlineLevel="0" collapsed="false">
      <c r="A2760" s="11" t="str">
        <f aca="false">IF(C2760="","",ROW()-4)</f>
        <v/>
      </c>
      <c r="B2760" s="12"/>
      <c r="C2760" s="13"/>
      <c r="D2760" s="23" t="str">
        <f aca="false">IF(C2760="","",IFERROR(INDEX(LOTES!$D$5:$D$1004,MATCH(C2760,LOTES!$F$5:$F$1004,0)),"¿Lote?"))</f>
        <v/>
      </c>
      <c r="E2760" s="11" t="str">
        <f aca="false">IF(C2760="","",IFERROR(INDEX(LOTES!$C$5:$C$1004,MATCH(C2760,LOTES!$F$5:$F$1004,0)),""))</f>
        <v/>
      </c>
      <c r="F2760" s="24" t="str">
        <f aca="false">IF(C2760="","",IFERROR(INDEX(LOTES!$B$5:$B$1004,MATCH(C2760,LOTES!$F$5:$F$1004,0)),""))</f>
        <v/>
      </c>
      <c r="G2760" s="15" t="str">
        <f aca="false">IF(OR(B2760="",F2760=""),"",B2760-F2760)</f>
        <v/>
      </c>
      <c r="H2760" s="13"/>
      <c r="I2760" s="13"/>
      <c r="J2760" s="13"/>
      <c r="K2760" s="25"/>
      <c r="L2760" s="25"/>
      <c r="M2760" s="25"/>
      <c r="N2760" s="25"/>
      <c r="O2760" s="26"/>
      <c r="P2760" s="16" t="str">
        <f aca="false">IF(O2760="","",IFERROR(1/(1/(IF(K2760="",INDEX(CONFIG!$F$5:$F$14,MATCH(D2760,CONFIG!$D$5:$D$14,0)),K2760)*IF(M2760="",INDEX(CONFIG!$H$5:$H$14,MATCH(D2760,CONFIG!$D$5:$D$14,0)),M2760))),""))</f>
        <v/>
      </c>
      <c r="Q2760" s="16" t="str">
        <f aca="false">IF(OR(O2760="",P2760=""),"",O2760/P2760)</f>
        <v/>
      </c>
      <c r="R2760" s="16" t="str">
        <f aca="false">IF(Q2760="","",Q2760*0.0980665)</f>
        <v/>
      </c>
      <c r="S2760" s="16" t="str">
        <f aca="false">IF(Q2760="","",IFERROR(Q2760/(1/(1/INDEX(CONFIG!$I$5:$I$14,MATCH(D2760,CONFIG!$D$5:$D$14,0)))),""))</f>
        <v/>
      </c>
      <c r="T2760" s="13"/>
      <c r="U2760" s="13"/>
      <c r="V2760" s="13"/>
      <c r="W2760" s="13"/>
      <c r="X2760" s="22" t="str">
        <f aca="false">IF(Q2760="","",Q2760^2)</f>
        <v/>
      </c>
      <c r="Y2760" s="22" t="str">
        <f aca="false">IF(AND(C2760&lt;&gt;"",C2760=CERTIFICADO!$E$4,OR(CERTIFICADO!$E$5="",B2760=CERTIFICADO!$E$5)),MAX($Y$4:Y2759)+1,"")</f>
        <v/>
      </c>
    </row>
    <row r="2761" customFormat="false" ht="15" hidden="false" customHeight="false" outlineLevel="0" collapsed="false">
      <c r="A2761" s="11" t="str">
        <f aca="false">IF(C2761="","",ROW()-4)</f>
        <v/>
      </c>
      <c r="B2761" s="12"/>
      <c r="C2761" s="13"/>
      <c r="D2761" s="23" t="str">
        <f aca="false">IF(C2761="","",IFERROR(INDEX(LOTES!$D$5:$D$1004,MATCH(C2761,LOTES!$F$5:$F$1004,0)),"¿Lote?"))</f>
        <v/>
      </c>
      <c r="E2761" s="11" t="str">
        <f aca="false">IF(C2761="","",IFERROR(INDEX(LOTES!$C$5:$C$1004,MATCH(C2761,LOTES!$F$5:$F$1004,0)),""))</f>
        <v/>
      </c>
      <c r="F2761" s="24" t="str">
        <f aca="false">IF(C2761="","",IFERROR(INDEX(LOTES!$B$5:$B$1004,MATCH(C2761,LOTES!$F$5:$F$1004,0)),""))</f>
        <v/>
      </c>
      <c r="G2761" s="15" t="str">
        <f aca="false">IF(OR(B2761="",F2761=""),"",B2761-F2761)</f>
        <v/>
      </c>
      <c r="H2761" s="13"/>
      <c r="I2761" s="13"/>
      <c r="J2761" s="13"/>
      <c r="K2761" s="25"/>
      <c r="L2761" s="25"/>
      <c r="M2761" s="25"/>
      <c r="N2761" s="25"/>
      <c r="O2761" s="26"/>
      <c r="P2761" s="16" t="str">
        <f aca="false">IF(O2761="","",IFERROR(1/(1/(IF(K2761="",INDEX(CONFIG!$F$5:$F$14,MATCH(D2761,CONFIG!$D$5:$D$14,0)),K2761)*IF(M2761="",INDEX(CONFIG!$H$5:$H$14,MATCH(D2761,CONFIG!$D$5:$D$14,0)),M2761))),""))</f>
        <v/>
      </c>
      <c r="Q2761" s="16" t="str">
        <f aca="false">IF(OR(O2761="",P2761=""),"",O2761/P2761)</f>
        <v/>
      </c>
      <c r="R2761" s="16" t="str">
        <f aca="false">IF(Q2761="","",Q2761*0.0980665)</f>
        <v/>
      </c>
      <c r="S2761" s="16" t="str">
        <f aca="false">IF(Q2761="","",IFERROR(Q2761/(1/(1/INDEX(CONFIG!$I$5:$I$14,MATCH(D2761,CONFIG!$D$5:$D$14,0)))),""))</f>
        <v/>
      </c>
      <c r="T2761" s="13"/>
      <c r="U2761" s="13"/>
      <c r="V2761" s="13"/>
      <c r="W2761" s="13"/>
      <c r="X2761" s="22" t="str">
        <f aca="false">IF(Q2761="","",Q2761^2)</f>
        <v/>
      </c>
      <c r="Y2761" s="22" t="str">
        <f aca="false">IF(AND(C2761&lt;&gt;"",C2761=CERTIFICADO!$E$4,OR(CERTIFICADO!$E$5="",B2761=CERTIFICADO!$E$5)),MAX($Y$4:Y2760)+1,"")</f>
        <v/>
      </c>
    </row>
    <row r="2762" customFormat="false" ht="15" hidden="false" customHeight="false" outlineLevel="0" collapsed="false">
      <c r="A2762" s="11" t="str">
        <f aca="false">IF(C2762="","",ROW()-4)</f>
        <v/>
      </c>
      <c r="B2762" s="12"/>
      <c r="C2762" s="13"/>
      <c r="D2762" s="23" t="str">
        <f aca="false">IF(C2762="","",IFERROR(INDEX(LOTES!$D$5:$D$1004,MATCH(C2762,LOTES!$F$5:$F$1004,0)),"¿Lote?"))</f>
        <v/>
      </c>
      <c r="E2762" s="11" t="str">
        <f aca="false">IF(C2762="","",IFERROR(INDEX(LOTES!$C$5:$C$1004,MATCH(C2762,LOTES!$F$5:$F$1004,0)),""))</f>
        <v/>
      </c>
      <c r="F2762" s="24" t="str">
        <f aca="false">IF(C2762="","",IFERROR(INDEX(LOTES!$B$5:$B$1004,MATCH(C2762,LOTES!$F$5:$F$1004,0)),""))</f>
        <v/>
      </c>
      <c r="G2762" s="15" t="str">
        <f aca="false">IF(OR(B2762="",F2762=""),"",B2762-F2762)</f>
        <v/>
      </c>
      <c r="H2762" s="13"/>
      <c r="I2762" s="13"/>
      <c r="J2762" s="13"/>
      <c r="K2762" s="25"/>
      <c r="L2762" s="25"/>
      <c r="M2762" s="25"/>
      <c r="N2762" s="25"/>
      <c r="O2762" s="26"/>
      <c r="P2762" s="16" t="str">
        <f aca="false">IF(O2762="","",IFERROR(1/(1/(IF(K2762="",INDEX(CONFIG!$F$5:$F$14,MATCH(D2762,CONFIG!$D$5:$D$14,0)),K2762)*IF(M2762="",INDEX(CONFIG!$H$5:$H$14,MATCH(D2762,CONFIG!$D$5:$D$14,0)),M2762))),""))</f>
        <v/>
      </c>
      <c r="Q2762" s="16" t="str">
        <f aca="false">IF(OR(O2762="",P2762=""),"",O2762/P2762)</f>
        <v/>
      </c>
      <c r="R2762" s="16" t="str">
        <f aca="false">IF(Q2762="","",Q2762*0.0980665)</f>
        <v/>
      </c>
      <c r="S2762" s="16" t="str">
        <f aca="false">IF(Q2762="","",IFERROR(Q2762/(1/(1/INDEX(CONFIG!$I$5:$I$14,MATCH(D2762,CONFIG!$D$5:$D$14,0)))),""))</f>
        <v/>
      </c>
      <c r="T2762" s="13"/>
      <c r="U2762" s="13"/>
      <c r="V2762" s="13"/>
      <c r="W2762" s="13"/>
      <c r="X2762" s="22" t="str">
        <f aca="false">IF(Q2762="","",Q2762^2)</f>
        <v/>
      </c>
      <c r="Y2762" s="22" t="str">
        <f aca="false">IF(AND(C2762&lt;&gt;"",C2762=CERTIFICADO!$E$4,OR(CERTIFICADO!$E$5="",B2762=CERTIFICADO!$E$5)),MAX($Y$4:Y2761)+1,"")</f>
        <v/>
      </c>
    </row>
    <row r="2763" customFormat="false" ht="15" hidden="false" customHeight="false" outlineLevel="0" collapsed="false">
      <c r="A2763" s="11" t="str">
        <f aca="false">IF(C2763="","",ROW()-4)</f>
        <v/>
      </c>
      <c r="B2763" s="12"/>
      <c r="C2763" s="13"/>
      <c r="D2763" s="23" t="str">
        <f aca="false">IF(C2763="","",IFERROR(INDEX(LOTES!$D$5:$D$1004,MATCH(C2763,LOTES!$F$5:$F$1004,0)),"¿Lote?"))</f>
        <v/>
      </c>
      <c r="E2763" s="11" t="str">
        <f aca="false">IF(C2763="","",IFERROR(INDEX(LOTES!$C$5:$C$1004,MATCH(C2763,LOTES!$F$5:$F$1004,0)),""))</f>
        <v/>
      </c>
      <c r="F2763" s="24" t="str">
        <f aca="false">IF(C2763="","",IFERROR(INDEX(LOTES!$B$5:$B$1004,MATCH(C2763,LOTES!$F$5:$F$1004,0)),""))</f>
        <v/>
      </c>
      <c r="G2763" s="15" t="str">
        <f aca="false">IF(OR(B2763="",F2763=""),"",B2763-F2763)</f>
        <v/>
      </c>
      <c r="H2763" s="13"/>
      <c r="I2763" s="13"/>
      <c r="J2763" s="13"/>
      <c r="K2763" s="25"/>
      <c r="L2763" s="25"/>
      <c r="M2763" s="25"/>
      <c r="N2763" s="25"/>
      <c r="O2763" s="26"/>
      <c r="P2763" s="16" t="str">
        <f aca="false">IF(O2763="","",IFERROR(1/(1/(IF(K2763="",INDEX(CONFIG!$F$5:$F$14,MATCH(D2763,CONFIG!$D$5:$D$14,0)),K2763)*IF(M2763="",INDEX(CONFIG!$H$5:$H$14,MATCH(D2763,CONFIG!$D$5:$D$14,0)),M2763))),""))</f>
        <v/>
      </c>
      <c r="Q2763" s="16" t="str">
        <f aca="false">IF(OR(O2763="",P2763=""),"",O2763/P2763)</f>
        <v/>
      </c>
      <c r="R2763" s="16" t="str">
        <f aca="false">IF(Q2763="","",Q2763*0.0980665)</f>
        <v/>
      </c>
      <c r="S2763" s="16" t="str">
        <f aca="false">IF(Q2763="","",IFERROR(Q2763/(1/(1/INDEX(CONFIG!$I$5:$I$14,MATCH(D2763,CONFIG!$D$5:$D$14,0)))),""))</f>
        <v/>
      </c>
      <c r="T2763" s="13"/>
      <c r="U2763" s="13"/>
      <c r="V2763" s="13"/>
      <c r="W2763" s="13"/>
      <c r="X2763" s="22" t="str">
        <f aca="false">IF(Q2763="","",Q2763^2)</f>
        <v/>
      </c>
      <c r="Y2763" s="22" t="str">
        <f aca="false">IF(AND(C2763&lt;&gt;"",C2763=CERTIFICADO!$E$4,OR(CERTIFICADO!$E$5="",B2763=CERTIFICADO!$E$5)),MAX($Y$4:Y2762)+1,"")</f>
        <v/>
      </c>
    </row>
    <row r="2764" customFormat="false" ht="15" hidden="false" customHeight="false" outlineLevel="0" collapsed="false">
      <c r="A2764" s="11" t="str">
        <f aca="false">IF(C2764="","",ROW()-4)</f>
        <v/>
      </c>
      <c r="B2764" s="12"/>
      <c r="C2764" s="13"/>
      <c r="D2764" s="23" t="str">
        <f aca="false">IF(C2764="","",IFERROR(INDEX(LOTES!$D$5:$D$1004,MATCH(C2764,LOTES!$F$5:$F$1004,0)),"¿Lote?"))</f>
        <v/>
      </c>
      <c r="E2764" s="11" t="str">
        <f aca="false">IF(C2764="","",IFERROR(INDEX(LOTES!$C$5:$C$1004,MATCH(C2764,LOTES!$F$5:$F$1004,0)),""))</f>
        <v/>
      </c>
      <c r="F2764" s="24" t="str">
        <f aca="false">IF(C2764="","",IFERROR(INDEX(LOTES!$B$5:$B$1004,MATCH(C2764,LOTES!$F$5:$F$1004,0)),""))</f>
        <v/>
      </c>
      <c r="G2764" s="15" t="str">
        <f aca="false">IF(OR(B2764="",F2764=""),"",B2764-F2764)</f>
        <v/>
      </c>
      <c r="H2764" s="13"/>
      <c r="I2764" s="13"/>
      <c r="J2764" s="13"/>
      <c r="K2764" s="25"/>
      <c r="L2764" s="25"/>
      <c r="M2764" s="25"/>
      <c r="N2764" s="25"/>
      <c r="O2764" s="26"/>
      <c r="P2764" s="16" t="str">
        <f aca="false">IF(O2764="","",IFERROR(1/(1/(IF(K2764="",INDEX(CONFIG!$F$5:$F$14,MATCH(D2764,CONFIG!$D$5:$D$14,0)),K2764)*IF(M2764="",INDEX(CONFIG!$H$5:$H$14,MATCH(D2764,CONFIG!$D$5:$D$14,0)),M2764))),""))</f>
        <v/>
      </c>
      <c r="Q2764" s="16" t="str">
        <f aca="false">IF(OR(O2764="",P2764=""),"",O2764/P2764)</f>
        <v/>
      </c>
      <c r="R2764" s="16" t="str">
        <f aca="false">IF(Q2764="","",Q2764*0.0980665)</f>
        <v/>
      </c>
      <c r="S2764" s="16" t="str">
        <f aca="false">IF(Q2764="","",IFERROR(Q2764/(1/(1/INDEX(CONFIG!$I$5:$I$14,MATCH(D2764,CONFIG!$D$5:$D$14,0)))),""))</f>
        <v/>
      </c>
      <c r="T2764" s="13"/>
      <c r="U2764" s="13"/>
      <c r="V2764" s="13"/>
      <c r="W2764" s="13"/>
      <c r="X2764" s="22" t="str">
        <f aca="false">IF(Q2764="","",Q2764^2)</f>
        <v/>
      </c>
      <c r="Y2764" s="22" t="str">
        <f aca="false">IF(AND(C2764&lt;&gt;"",C2764=CERTIFICADO!$E$4,OR(CERTIFICADO!$E$5="",B2764=CERTIFICADO!$E$5)),MAX($Y$4:Y2763)+1,"")</f>
        <v/>
      </c>
    </row>
    <row r="2765" customFormat="false" ht="15" hidden="false" customHeight="false" outlineLevel="0" collapsed="false">
      <c r="A2765" s="11" t="str">
        <f aca="false">IF(C2765="","",ROW()-4)</f>
        <v/>
      </c>
      <c r="B2765" s="12"/>
      <c r="C2765" s="13"/>
      <c r="D2765" s="23" t="str">
        <f aca="false">IF(C2765="","",IFERROR(INDEX(LOTES!$D$5:$D$1004,MATCH(C2765,LOTES!$F$5:$F$1004,0)),"¿Lote?"))</f>
        <v/>
      </c>
      <c r="E2765" s="11" t="str">
        <f aca="false">IF(C2765="","",IFERROR(INDEX(LOTES!$C$5:$C$1004,MATCH(C2765,LOTES!$F$5:$F$1004,0)),""))</f>
        <v/>
      </c>
      <c r="F2765" s="24" t="str">
        <f aca="false">IF(C2765="","",IFERROR(INDEX(LOTES!$B$5:$B$1004,MATCH(C2765,LOTES!$F$5:$F$1004,0)),""))</f>
        <v/>
      </c>
      <c r="G2765" s="15" t="str">
        <f aca="false">IF(OR(B2765="",F2765=""),"",B2765-F2765)</f>
        <v/>
      </c>
      <c r="H2765" s="13"/>
      <c r="I2765" s="13"/>
      <c r="J2765" s="13"/>
      <c r="K2765" s="25"/>
      <c r="L2765" s="25"/>
      <c r="M2765" s="25"/>
      <c r="N2765" s="25"/>
      <c r="O2765" s="26"/>
      <c r="P2765" s="16" t="str">
        <f aca="false">IF(O2765="","",IFERROR(1/(1/(IF(K2765="",INDEX(CONFIG!$F$5:$F$14,MATCH(D2765,CONFIG!$D$5:$D$14,0)),K2765)*IF(M2765="",INDEX(CONFIG!$H$5:$H$14,MATCH(D2765,CONFIG!$D$5:$D$14,0)),M2765))),""))</f>
        <v/>
      </c>
      <c r="Q2765" s="16" t="str">
        <f aca="false">IF(OR(O2765="",P2765=""),"",O2765/P2765)</f>
        <v/>
      </c>
      <c r="R2765" s="16" t="str">
        <f aca="false">IF(Q2765="","",Q2765*0.0980665)</f>
        <v/>
      </c>
      <c r="S2765" s="16" t="str">
        <f aca="false">IF(Q2765="","",IFERROR(Q2765/(1/(1/INDEX(CONFIG!$I$5:$I$14,MATCH(D2765,CONFIG!$D$5:$D$14,0)))),""))</f>
        <v/>
      </c>
      <c r="T2765" s="13"/>
      <c r="U2765" s="13"/>
      <c r="V2765" s="13"/>
      <c r="W2765" s="13"/>
      <c r="X2765" s="22" t="str">
        <f aca="false">IF(Q2765="","",Q2765^2)</f>
        <v/>
      </c>
      <c r="Y2765" s="22" t="str">
        <f aca="false">IF(AND(C2765&lt;&gt;"",C2765=CERTIFICADO!$E$4,OR(CERTIFICADO!$E$5="",B2765=CERTIFICADO!$E$5)),MAX($Y$4:Y2764)+1,"")</f>
        <v/>
      </c>
    </row>
    <row r="2766" customFormat="false" ht="15" hidden="false" customHeight="false" outlineLevel="0" collapsed="false">
      <c r="A2766" s="11" t="str">
        <f aca="false">IF(C2766="","",ROW()-4)</f>
        <v/>
      </c>
      <c r="B2766" s="12"/>
      <c r="C2766" s="13"/>
      <c r="D2766" s="23" t="str">
        <f aca="false">IF(C2766="","",IFERROR(INDEX(LOTES!$D$5:$D$1004,MATCH(C2766,LOTES!$F$5:$F$1004,0)),"¿Lote?"))</f>
        <v/>
      </c>
      <c r="E2766" s="11" t="str">
        <f aca="false">IF(C2766="","",IFERROR(INDEX(LOTES!$C$5:$C$1004,MATCH(C2766,LOTES!$F$5:$F$1004,0)),""))</f>
        <v/>
      </c>
      <c r="F2766" s="24" t="str">
        <f aca="false">IF(C2766="","",IFERROR(INDEX(LOTES!$B$5:$B$1004,MATCH(C2766,LOTES!$F$5:$F$1004,0)),""))</f>
        <v/>
      </c>
      <c r="G2766" s="15" t="str">
        <f aca="false">IF(OR(B2766="",F2766=""),"",B2766-F2766)</f>
        <v/>
      </c>
      <c r="H2766" s="13"/>
      <c r="I2766" s="13"/>
      <c r="J2766" s="13"/>
      <c r="K2766" s="25"/>
      <c r="L2766" s="25"/>
      <c r="M2766" s="25"/>
      <c r="N2766" s="25"/>
      <c r="O2766" s="26"/>
      <c r="P2766" s="16" t="str">
        <f aca="false">IF(O2766="","",IFERROR(1/(1/(IF(K2766="",INDEX(CONFIG!$F$5:$F$14,MATCH(D2766,CONFIG!$D$5:$D$14,0)),K2766)*IF(M2766="",INDEX(CONFIG!$H$5:$H$14,MATCH(D2766,CONFIG!$D$5:$D$14,0)),M2766))),""))</f>
        <v/>
      </c>
      <c r="Q2766" s="16" t="str">
        <f aca="false">IF(OR(O2766="",P2766=""),"",O2766/P2766)</f>
        <v/>
      </c>
      <c r="R2766" s="16" t="str">
        <f aca="false">IF(Q2766="","",Q2766*0.0980665)</f>
        <v/>
      </c>
      <c r="S2766" s="16" t="str">
        <f aca="false">IF(Q2766="","",IFERROR(Q2766/(1/(1/INDEX(CONFIG!$I$5:$I$14,MATCH(D2766,CONFIG!$D$5:$D$14,0)))),""))</f>
        <v/>
      </c>
      <c r="T2766" s="13"/>
      <c r="U2766" s="13"/>
      <c r="V2766" s="13"/>
      <c r="W2766" s="13"/>
      <c r="X2766" s="22" t="str">
        <f aca="false">IF(Q2766="","",Q2766^2)</f>
        <v/>
      </c>
      <c r="Y2766" s="22" t="str">
        <f aca="false">IF(AND(C2766&lt;&gt;"",C2766=CERTIFICADO!$E$4,OR(CERTIFICADO!$E$5="",B2766=CERTIFICADO!$E$5)),MAX($Y$4:Y2765)+1,"")</f>
        <v/>
      </c>
    </row>
    <row r="2767" customFormat="false" ht="15" hidden="false" customHeight="false" outlineLevel="0" collapsed="false">
      <c r="A2767" s="11" t="str">
        <f aca="false">IF(C2767="","",ROW()-4)</f>
        <v/>
      </c>
      <c r="B2767" s="12"/>
      <c r="C2767" s="13"/>
      <c r="D2767" s="23" t="str">
        <f aca="false">IF(C2767="","",IFERROR(INDEX(LOTES!$D$5:$D$1004,MATCH(C2767,LOTES!$F$5:$F$1004,0)),"¿Lote?"))</f>
        <v/>
      </c>
      <c r="E2767" s="11" t="str">
        <f aca="false">IF(C2767="","",IFERROR(INDEX(LOTES!$C$5:$C$1004,MATCH(C2767,LOTES!$F$5:$F$1004,0)),""))</f>
        <v/>
      </c>
      <c r="F2767" s="24" t="str">
        <f aca="false">IF(C2767="","",IFERROR(INDEX(LOTES!$B$5:$B$1004,MATCH(C2767,LOTES!$F$5:$F$1004,0)),""))</f>
        <v/>
      </c>
      <c r="G2767" s="15" t="str">
        <f aca="false">IF(OR(B2767="",F2767=""),"",B2767-F2767)</f>
        <v/>
      </c>
      <c r="H2767" s="13"/>
      <c r="I2767" s="13"/>
      <c r="J2767" s="13"/>
      <c r="K2767" s="25"/>
      <c r="L2767" s="25"/>
      <c r="M2767" s="25"/>
      <c r="N2767" s="25"/>
      <c r="O2767" s="26"/>
      <c r="P2767" s="16" t="str">
        <f aca="false">IF(O2767="","",IFERROR(1/(1/(IF(K2767="",INDEX(CONFIG!$F$5:$F$14,MATCH(D2767,CONFIG!$D$5:$D$14,0)),K2767)*IF(M2767="",INDEX(CONFIG!$H$5:$H$14,MATCH(D2767,CONFIG!$D$5:$D$14,0)),M2767))),""))</f>
        <v/>
      </c>
      <c r="Q2767" s="16" t="str">
        <f aca="false">IF(OR(O2767="",P2767=""),"",O2767/P2767)</f>
        <v/>
      </c>
      <c r="R2767" s="16" t="str">
        <f aca="false">IF(Q2767="","",Q2767*0.0980665)</f>
        <v/>
      </c>
      <c r="S2767" s="16" t="str">
        <f aca="false">IF(Q2767="","",IFERROR(Q2767/(1/(1/INDEX(CONFIG!$I$5:$I$14,MATCH(D2767,CONFIG!$D$5:$D$14,0)))),""))</f>
        <v/>
      </c>
      <c r="T2767" s="13"/>
      <c r="U2767" s="13"/>
      <c r="V2767" s="13"/>
      <c r="W2767" s="13"/>
      <c r="X2767" s="22" t="str">
        <f aca="false">IF(Q2767="","",Q2767^2)</f>
        <v/>
      </c>
      <c r="Y2767" s="22" t="str">
        <f aca="false">IF(AND(C2767&lt;&gt;"",C2767=CERTIFICADO!$E$4,OR(CERTIFICADO!$E$5="",B2767=CERTIFICADO!$E$5)),MAX($Y$4:Y2766)+1,"")</f>
        <v/>
      </c>
    </row>
    <row r="2768" customFormat="false" ht="15" hidden="false" customHeight="false" outlineLevel="0" collapsed="false">
      <c r="A2768" s="11" t="str">
        <f aca="false">IF(C2768="","",ROW()-4)</f>
        <v/>
      </c>
      <c r="B2768" s="12"/>
      <c r="C2768" s="13"/>
      <c r="D2768" s="23" t="str">
        <f aca="false">IF(C2768="","",IFERROR(INDEX(LOTES!$D$5:$D$1004,MATCH(C2768,LOTES!$F$5:$F$1004,0)),"¿Lote?"))</f>
        <v/>
      </c>
      <c r="E2768" s="11" t="str">
        <f aca="false">IF(C2768="","",IFERROR(INDEX(LOTES!$C$5:$C$1004,MATCH(C2768,LOTES!$F$5:$F$1004,0)),""))</f>
        <v/>
      </c>
      <c r="F2768" s="24" t="str">
        <f aca="false">IF(C2768="","",IFERROR(INDEX(LOTES!$B$5:$B$1004,MATCH(C2768,LOTES!$F$5:$F$1004,0)),""))</f>
        <v/>
      </c>
      <c r="G2768" s="15" t="str">
        <f aca="false">IF(OR(B2768="",F2768=""),"",B2768-F2768)</f>
        <v/>
      </c>
      <c r="H2768" s="13"/>
      <c r="I2768" s="13"/>
      <c r="J2768" s="13"/>
      <c r="K2768" s="25"/>
      <c r="L2768" s="25"/>
      <c r="M2768" s="25"/>
      <c r="N2768" s="25"/>
      <c r="O2768" s="26"/>
      <c r="P2768" s="16" t="str">
        <f aca="false">IF(O2768="","",IFERROR(1/(1/(IF(K2768="",INDEX(CONFIG!$F$5:$F$14,MATCH(D2768,CONFIG!$D$5:$D$14,0)),K2768)*IF(M2768="",INDEX(CONFIG!$H$5:$H$14,MATCH(D2768,CONFIG!$D$5:$D$14,0)),M2768))),""))</f>
        <v/>
      </c>
      <c r="Q2768" s="16" t="str">
        <f aca="false">IF(OR(O2768="",P2768=""),"",O2768/P2768)</f>
        <v/>
      </c>
      <c r="R2768" s="16" t="str">
        <f aca="false">IF(Q2768="","",Q2768*0.0980665)</f>
        <v/>
      </c>
      <c r="S2768" s="16" t="str">
        <f aca="false">IF(Q2768="","",IFERROR(Q2768/(1/(1/INDEX(CONFIG!$I$5:$I$14,MATCH(D2768,CONFIG!$D$5:$D$14,0)))),""))</f>
        <v/>
      </c>
      <c r="T2768" s="13"/>
      <c r="U2768" s="13"/>
      <c r="V2768" s="13"/>
      <c r="W2768" s="13"/>
      <c r="X2768" s="22" t="str">
        <f aca="false">IF(Q2768="","",Q2768^2)</f>
        <v/>
      </c>
      <c r="Y2768" s="22" t="str">
        <f aca="false">IF(AND(C2768&lt;&gt;"",C2768=CERTIFICADO!$E$4,OR(CERTIFICADO!$E$5="",B2768=CERTIFICADO!$E$5)),MAX($Y$4:Y2767)+1,"")</f>
        <v/>
      </c>
    </row>
    <row r="2769" customFormat="false" ht="15" hidden="false" customHeight="false" outlineLevel="0" collapsed="false">
      <c r="A2769" s="11" t="str">
        <f aca="false">IF(C2769="","",ROW()-4)</f>
        <v/>
      </c>
      <c r="B2769" s="12"/>
      <c r="C2769" s="13"/>
      <c r="D2769" s="23" t="str">
        <f aca="false">IF(C2769="","",IFERROR(INDEX(LOTES!$D$5:$D$1004,MATCH(C2769,LOTES!$F$5:$F$1004,0)),"¿Lote?"))</f>
        <v/>
      </c>
      <c r="E2769" s="11" t="str">
        <f aca="false">IF(C2769="","",IFERROR(INDEX(LOTES!$C$5:$C$1004,MATCH(C2769,LOTES!$F$5:$F$1004,0)),""))</f>
        <v/>
      </c>
      <c r="F2769" s="24" t="str">
        <f aca="false">IF(C2769="","",IFERROR(INDEX(LOTES!$B$5:$B$1004,MATCH(C2769,LOTES!$F$5:$F$1004,0)),""))</f>
        <v/>
      </c>
      <c r="G2769" s="15" t="str">
        <f aca="false">IF(OR(B2769="",F2769=""),"",B2769-F2769)</f>
        <v/>
      </c>
      <c r="H2769" s="13"/>
      <c r="I2769" s="13"/>
      <c r="J2769" s="13"/>
      <c r="K2769" s="25"/>
      <c r="L2769" s="25"/>
      <c r="M2769" s="25"/>
      <c r="N2769" s="25"/>
      <c r="O2769" s="26"/>
      <c r="P2769" s="16" t="str">
        <f aca="false">IF(O2769="","",IFERROR(1/(1/(IF(K2769="",INDEX(CONFIG!$F$5:$F$14,MATCH(D2769,CONFIG!$D$5:$D$14,0)),K2769)*IF(M2769="",INDEX(CONFIG!$H$5:$H$14,MATCH(D2769,CONFIG!$D$5:$D$14,0)),M2769))),""))</f>
        <v/>
      </c>
      <c r="Q2769" s="16" t="str">
        <f aca="false">IF(OR(O2769="",P2769=""),"",O2769/P2769)</f>
        <v/>
      </c>
      <c r="R2769" s="16" t="str">
        <f aca="false">IF(Q2769="","",Q2769*0.0980665)</f>
        <v/>
      </c>
      <c r="S2769" s="16" t="str">
        <f aca="false">IF(Q2769="","",IFERROR(Q2769/(1/(1/INDEX(CONFIG!$I$5:$I$14,MATCH(D2769,CONFIG!$D$5:$D$14,0)))),""))</f>
        <v/>
      </c>
      <c r="T2769" s="13"/>
      <c r="U2769" s="13"/>
      <c r="V2769" s="13"/>
      <c r="W2769" s="13"/>
      <c r="X2769" s="22" t="str">
        <f aca="false">IF(Q2769="","",Q2769^2)</f>
        <v/>
      </c>
      <c r="Y2769" s="22" t="str">
        <f aca="false">IF(AND(C2769&lt;&gt;"",C2769=CERTIFICADO!$E$4,OR(CERTIFICADO!$E$5="",B2769=CERTIFICADO!$E$5)),MAX($Y$4:Y2768)+1,"")</f>
        <v/>
      </c>
    </row>
    <row r="2770" customFormat="false" ht="15" hidden="false" customHeight="false" outlineLevel="0" collapsed="false">
      <c r="A2770" s="11" t="str">
        <f aca="false">IF(C2770="","",ROW()-4)</f>
        <v/>
      </c>
      <c r="B2770" s="12"/>
      <c r="C2770" s="13"/>
      <c r="D2770" s="23" t="str">
        <f aca="false">IF(C2770="","",IFERROR(INDEX(LOTES!$D$5:$D$1004,MATCH(C2770,LOTES!$F$5:$F$1004,0)),"¿Lote?"))</f>
        <v/>
      </c>
      <c r="E2770" s="11" t="str">
        <f aca="false">IF(C2770="","",IFERROR(INDEX(LOTES!$C$5:$C$1004,MATCH(C2770,LOTES!$F$5:$F$1004,0)),""))</f>
        <v/>
      </c>
      <c r="F2770" s="24" t="str">
        <f aca="false">IF(C2770="","",IFERROR(INDEX(LOTES!$B$5:$B$1004,MATCH(C2770,LOTES!$F$5:$F$1004,0)),""))</f>
        <v/>
      </c>
      <c r="G2770" s="15" t="str">
        <f aca="false">IF(OR(B2770="",F2770=""),"",B2770-F2770)</f>
        <v/>
      </c>
      <c r="H2770" s="13"/>
      <c r="I2770" s="13"/>
      <c r="J2770" s="13"/>
      <c r="K2770" s="25"/>
      <c r="L2770" s="25"/>
      <c r="M2770" s="25"/>
      <c r="N2770" s="25"/>
      <c r="O2770" s="26"/>
      <c r="P2770" s="16" t="str">
        <f aca="false">IF(O2770="","",IFERROR(1/(1/(IF(K2770="",INDEX(CONFIG!$F$5:$F$14,MATCH(D2770,CONFIG!$D$5:$D$14,0)),K2770)*IF(M2770="",INDEX(CONFIG!$H$5:$H$14,MATCH(D2770,CONFIG!$D$5:$D$14,0)),M2770))),""))</f>
        <v/>
      </c>
      <c r="Q2770" s="16" t="str">
        <f aca="false">IF(OR(O2770="",P2770=""),"",O2770/P2770)</f>
        <v/>
      </c>
      <c r="R2770" s="16" t="str">
        <f aca="false">IF(Q2770="","",Q2770*0.0980665)</f>
        <v/>
      </c>
      <c r="S2770" s="16" t="str">
        <f aca="false">IF(Q2770="","",IFERROR(Q2770/(1/(1/INDEX(CONFIG!$I$5:$I$14,MATCH(D2770,CONFIG!$D$5:$D$14,0)))),""))</f>
        <v/>
      </c>
      <c r="T2770" s="13"/>
      <c r="U2770" s="13"/>
      <c r="V2770" s="13"/>
      <c r="W2770" s="13"/>
      <c r="X2770" s="22" t="str">
        <f aca="false">IF(Q2770="","",Q2770^2)</f>
        <v/>
      </c>
      <c r="Y2770" s="22" t="str">
        <f aca="false">IF(AND(C2770&lt;&gt;"",C2770=CERTIFICADO!$E$4,OR(CERTIFICADO!$E$5="",B2770=CERTIFICADO!$E$5)),MAX($Y$4:Y2769)+1,"")</f>
        <v/>
      </c>
    </row>
    <row r="2771" customFormat="false" ht="15" hidden="false" customHeight="false" outlineLevel="0" collapsed="false">
      <c r="A2771" s="11" t="str">
        <f aca="false">IF(C2771="","",ROW()-4)</f>
        <v/>
      </c>
      <c r="B2771" s="12"/>
      <c r="C2771" s="13"/>
      <c r="D2771" s="23" t="str">
        <f aca="false">IF(C2771="","",IFERROR(INDEX(LOTES!$D$5:$D$1004,MATCH(C2771,LOTES!$F$5:$F$1004,0)),"¿Lote?"))</f>
        <v/>
      </c>
      <c r="E2771" s="11" t="str">
        <f aca="false">IF(C2771="","",IFERROR(INDEX(LOTES!$C$5:$C$1004,MATCH(C2771,LOTES!$F$5:$F$1004,0)),""))</f>
        <v/>
      </c>
      <c r="F2771" s="24" t="str">
        <f aca="false">IF(C2771="","",IFERROR(INDEX(LOTES!$B$5:$B$1004,MATCH(C2771,LOTES!$F$5:$F$1004,0)),""))</f>
        <v/>
      </c>
      <c r="G2771" s="15" t="str">
        <f aca="false">IF(OR(B2771="",F2771=""),"",B2771-F2771)</f>
        <v/>
      </c>
      <c r="H2771" s="13"/>
      <c r="I2771" s="13"/>
      <c r="J2771" s="13"/>
      <c r="K2771" s="25"/>
      <c r="L2771" s="25"/>
      <c r="M2771" s="25"/>
      <c r="N2771" s="25"/>
      <c r="O2771" s="26"/>
      <c r="P2771" s="16" t="str">
        <f aca="false">IF(O2771="","",IFERROR(1/(1/(IF(K2771="",INDEX(CONFIG!$F$5:$F$14,MATCH(D2771,CONFIG!$D$5:$D$14,0)),K2771)*IF(M2771="",INDEX(CONFIG!$H$5:$H$14,MATCH(D2771,CONFIG!$D$5:$D$14,0)),M2771))),""))</f>
        <v/>
      </c>
      <c r="Q2771" s="16" t="str">
        <f aca="false">IF(OR(O2771="",P2771=""),"",O2771/P2771)</f>
        <v/>
      </c>
      <c r="R2771" s="16" t="str">
        <f aca="false">IF(Q2771="","",Q2771*0.0980665)</f>
        <v/>
      </c>
      <c r="S2771" s="16" t="str">
        <f aca="false">IF(Q2771="","",IFERROR(Q2771/(1/(1/INDEX(CONFIG!$I$5:$I$14,MATCH(D2771,CONFIG!$D$5:$D$14,0)))),""))</f>
        <v/>
      </c>
      <c r="T2771" s="13"/>
      <c r="U2771" s="13"/>
      <c r="V2771" s="13"/>
      <c r="W2771" s="13"/>
      <c r="X2771" s="22" t="str">
        <f aca="false">IF(Q2771="","",Q2771^2)</f>
        <v/>
      </c>
      <c r="Y2771" s="22" t="str">
        <f aca="false">IF(AND(C2771&lt;&gt;"",C2771=CERTIFICADO!$E$4,OR(CERTIFICADO!$E$5="",B2771=CERTIFICADO!$E$5)),MAX($Y$4:Y2770)+1,"")</f>
        <v/>
      </c>
    </row>
    <row r="2772" customFormat="false" ht="15" hidden="false" customHeight="false" outlineLevel="0" collapsed="false">
      <c r="A2772" s="11" t="str">
        <f aca="false">IF(C2772="","",ROW()-4)</f>
        <v/>
      </c>
      <c r="B2772" s="12"/>
      <c r="C2772" s="13"/>
      <c r="D2772" s="23" t="str">
        <f aca="false">IF(C2772="","",IFERROR(INDEX(LOTES!$D$5:$D$1004,MATCH(C2772,LOTES!$F$5:$F$1004,0)),"¿Lote?"))</f>
        <v/>
      </c>
      <c r="E2772" s="11" t="str">
        <f aca="false">IF(C2772="","",IFERROR(INDEX(LOTES!$C$5:$C$1004,MATCH(C2772,LOTES!$F$5:$F$1004,0)),""))</f>
        <v/>
      </c>
      <c r="F2772" s="24" t="str">
        <f aca="false">IF(C2772="","",IFERROR(INDEX(LOTES!$B$5:$B$1004,MATCH(C2772,LOTES!$F$5:$F$1004,0)),""))</f>
        <v/>
      </c>
      <c r="G2772" s="15" t="str">
        <f aca="false">IF(OR(B2772="",F2772=""),"",B2772-F2772)</f>
        <v/>
      </c>
      <c r="H2772" s="13"/>
      <c r="I2772" s="13"/>
      <c r="J2772" s="13"/>
      <c r="K2772" s="25"/>
      <c r="L2772" s="25"/>
      <c r="M2772" s="25"/>
      <c r="N2772" s="25"/>
      <c r="O2772" s="26"/>
      <c r="P2772" s="16" t="str">
        <f aca="false">IF(O2772="","",IFERROR(1/(1/(IF(K2772="",INDEX(CONFIG!$F$5:$F$14,MATCH(D2772,CONFIG!$D$5:$D$14,0)),K2772)*IF(M2772="",INDEX(CONFIG!$H$5:$H$14,MATCH(D2772,CONFIG!$D$5:$D$14,0)),M2772))),""))</f>
        <v/>
      </c>
      <c r="Q2772" s="16" t="str">
        <f aca="false">IF(OR(O2772="",P2772=""),"",O2772/P2772)</f>
        <v/>
      </c>
      <c r="R2772" s="16" t="str">
        <f aca="false">IF(Q2772="","",Q2772*0.0980665)</f>
        <v/>
      </c>
      <c r="S2772" s="16" t="str">
        <f aca="false">IF(Q2772="","",IFERROR(Q2772/(1/(1/INDEX(CONFIG!$I$5:$I$14,MATCH(D2772,CONFIG!$D$5:$D$14,0)))),""))</f>
        <v/>
      </c>
      <c r="T2772" s="13"/>
      <c r="U2772" s="13"/>
      <c r="V2772" s="13"/>
      <c r="W2772" s="13"/>
      <c r="X2772" s="22" t="str">
        <f aca="false">IF(Q2772="","",Q2772^2)</f>
        <v/>
      </c>
      <c r="Y2772" s="22" t="str">
        <f aca="false">IF(AND(C2772&lt;&gt;"",C2772=CERTIFICADO!$E$4,OR(CERTIFICADO!$E$5="",B2772=CERTIFICADO!$E$5)),MAX($Y$4:Y2771)+1,"")</f>
        <v/>
      </c>
    </row>
    <row r="2773" customFormat="false" ht="15" hidden="false" customHeight="false" outlineLevel="0" collapsed="false">
      <c r="A2773" s="11" t="str">
        <f aca="false">IF(C2773="","",ROW()-4)</f>
        <v/>
      </c>
      <c r="B2773" s="12"/>
      <c r="C2773" s="13"/>
      <c r="D2773" s="23" t="str">
        <f aca="false">IF(C2773="","",IFERROR(INDEX(LOTES!$D$5:$D$1004,MATCH(C2773,LOTES!$F$5:$F$1004,0)),"¿Lote?"))</f>
        <v/>
      </c>
      <c r="E2773" s="11" t="str">
        <f aca="false">IF(C2773="","",IFERROR(INDEX(LOTES!$C$5:$C$1004,MATCH(C2773,LOTES!$F$5:$F$1004,0)),""))</f>
        <v/>
      </c>
      <c r="F2773" s="24" t="str">
        <f aca="false">IF(C2773="","",IFERROR(INDEX(LOTES!$B$5:$B$1004,MATCH(C2773,LOTES!$F$5:$F$1004,0)),""))</f>
        <v/>
      </c>
      <c r="G2773" s="15" t="str">
        <f aca="false">IF(OR(B2773="",F2773=""),"",B2773-F2773)</f>
        <v/>
      </c>
      <c r="H2773" s="13"/>
      <c r="I2773" s="13"/>
      <c r="J2773" s="13"/>
      <c r="K2773" s="25"/>
      <c r="L2773" s="25"/>
      <c r="M2773" s="25"/>
      <c r="N2773" s="25"/>
      <c r="O2773" s="26"/>
      <c r="P2773" s="16" t="str">
        <f aca="false">IF(O2773="","",IFERROR(1/(1/(IF(K2773="",INDEX(CONFIG!$F$5:$F$14,MATCH(D2773,CONFIG!$D$5:$D$14,0)),K2773)*IF(M2773="",INDEX(CONFIG!$H$5:$H$14,MATCH(D2773,CONFIG!$D$5:$D$14,0)),M2773))),""))</f>
        <v/>
      </c>
      <c r="Q2773" s="16" t="str">
        <f aca="false">IF(OR(O2773="",P2773=""),"",O2773/P2773)</f>
        <v/>
      </c>
      <c r="R2773" s="16" t="str">
        <f aca="false">IF(Q2773="","",Q2773*0.0980665)</f>
        <v/>
      </c>
      <c r="S2773" s="16" t="str">
        <f aca="false">IF(Q2773="","",IFERROR(Q2773/(1/(1/INDEX(CONFIG!$I$5:$I$14,MATCH(D2773,CONFIG!$D$5:$D$14,0)))),""))</f>
        <v/>
      </c>
      <c r="T2773" s="13"/>
      <c r="U2773" s="13"/>
      <c r="V2773" s="13"/>
      <c r="W2773" s="13"/>
      <c r="X2773" s="22" t="str">
        <f aca="false">IF(Q2773="","",Q2773^2)</f>
        <v/>
      </c>
      <c r="Y2773" s="22" t="str">
        <f aca="false">IF(AND(C2773&lt;&gt;"",C2773=CERTIFICADO!$E$4,OR(CERTIFICADO!$E$5="",B2773=CERTIFICADO!$E$5)),MAX($Y$4:Y2772)+1,"")</f>
        <v/>
      </c>
    </row>
    <row r="2774" customFormat="false" ht="15" hidden="false" customHeight="false" outlineLevel="0" collapsed="false">
      <c r="A2774" s="11" t="str">
        <f aca="false">IF(C2774="","",ROW()-4)</f>
        <v/>
      </c>
      <c r="B2774" s="12"/>
      <c r="C2774" s="13"/>
      <c r="D2774" s="23" t="str">
        <f aca="false">IF(C2774="","",IFERROR(INDEX(LOTES!$D$5:$D$1004,MATCH(C2774,LOTES!$F$5:$F$1004,0)),"¿Lote?"))</f>
        <v/>
      </c>
      <c r="E2774" s="11" t="str">
        <f aca="false">IF(C2774="","",IFERROR(INDEX(LOTES!$C$5:$C$1004,MATCH(C2774,LOTES!$F$5:$F$1004,0)),""))</f>
        <v/>
      </c>
      <c r="F2774" s="24" t="str">
        <f aca="false">IF(C2774="","",IFERROR(INDEX(LOTES!$B$5:$B$1004,MATCH(C2774,LOTES!$F$5:$F$1004,0)),""))</f>
        <v/>
      </c>
      <c r="G2774" s="15" t="str">
        <f aca="false">IF(OR(B2774="",F2774=""),"",B2774-F2774)</f>
        <v/>
      </c>
      <c r="H2774" s="13"/>
      <c r="I2774" s="13"/>
      <c r="J2774" s="13"/>
      <c r="K2774" s="25"/>
      <c r="L2774" s="25"/>
      <c r="M2774" s="25"/>
      <c r="N2774" s="25"/>
      <c r="O2774" s="26"/>
      <c r="P2774" s="16" t="str">
        <f aca="false">IF(O2774="","",IFERROR(1/(1/(IF(K2774="",INDEX(CONFIG!$F$5:$F$14,MATCH(D2774,CONFIG!$D$5:$D$14,0)),K2774)*IF(M2774="",INDEX(CONFIG!$H$5:$H$14,MATCH(D2774,CONFIG!$D$5:$D$14,0)),M2774))),""))</f>
        <v/>
      </c>
      <c r="Q2774" s="16" t="str">
        <f aca="false">IF(OR(O2774="",P2774=""),"",O2774/P2774)</f>
        <v/>
      </c>
      <c r="R2774" s="16" t="str">
        <f aca="false">IF(Q2774="","",Q2774*0.0980665)</f>
        <v/>
      </c>
      <c r="S2774" s="16" t="str">
        <f aca="false">IF(Q2774="","",IFERROR(Q2774/(1/(1/INDEX(CONFIG!$I$5:$I$14,MATCH(D2774,CONFIG!$D$5:$D$14,0)))),""))</f>
        <v/>
      </c>
      <c r="T2774" s="13"/>
      <c r="U2774" s="13"/>
      <c r="V2774" s="13"/>
      <c r="W2774" s="13"/>
      <c r="X2774" s="22" t="str">
        <f aca="false">IF(Q2774="","",Q2774^2)</f>
        <v/>
      </c>
      <c r="Y2774" s="22" t="str">
        <f aca="false">IF(AND(C2774&lt;&gt;"",C2774=CERTIFICADO!$E$4,OR(CERTIFICADO!$E$5="",B2774=CERTIFICADO!$E$5)),MAX($Y$4:Y2773)+1,"")</f>
        <v/>
      </c>
    </row>
    <row r="2775" customFormat="false" ht="15" hidden="false" customHeight="false" outlineLevel="0" collapsed="false">
      <c r="A2775" s="11" t="str">
        <f aca="false">IF(C2775="","",ROW()-4)</f>
        <v/>
      </c>
      <c r="B2775" s="12"/>
      <c r="C2775" s="13"/>
      <c r="D2775" s="23" t="str">
        <f aca="false">IF(C2775="","",IFERROR(INDEX(LOTES!$D$5:$D$1004,MATCH(C2775,LOTES!$F$5:$F$1004,0)),"¿Lote?"))</f>
        <v/>
      </c>
      <c r="E2775" s="11" t="str">
        <f aca="false">IF(C2775="","",IFERROR(INDEX(LOTES!$C$5:$C$1004,MATCH(C2775,LOTES!$F$5:$F$1004,0)),""))</f>
        <v/>
      </c>
      <c r="F2775" s="24" t="str">
        <f aca="false">IF(C2775="","",IFERROR(INDEX(LOTES!$B$5:$B$1004,MATCH(C2775,LOTES!$F$5:$F$1004,0)),""))</f>
        <v/>
      </c>
      <c r="G2775" s="15" t="str">
        <f aca="false">IF(OR(B2775="",F2775=""),"",B2775-F2775)</f>
        <v/>
      </c>
      <c r="H2775" s="13"/>
      <c r="I2775" s="13"/>
      <c r="J2775" s="13"/>
      <c r="K2775" s="25"/>
      <c r="L2775" s="25"/>
      <c r="M2775" s="25"/>
      <c r="N2775" s="25"/>
      <c r="O2775" s="26"/>
      <c r="P2775" s="16" t="str">
        <f aca="false">IF(O2775="","",IFERROR(1/(1/(IF(K2775="",INDEX(CONFIG!$F$5:$F$14,MATCH(D2775,CONFIG!$D$5:$D$14,0)),K2775)*IF(M2775="",INDEX(CONFIG!$H$5:$H$14,MATCH(D2775,CONFIG!$D$5:$D$14,0)),M2775))),""))</f>
        <v/>
      </c>
      <c r="Q2775" s="16" t="str">
        <f aca="false">IF(OR(O2775="",P2775=""),"",O2775/P2775)</f>
        <v/>
      </c>
      <c r="R2775" s="16" t="str">
        <f aca="false">IF(Q2775="","",Q2775*0.0980665)</f>
        <v/>
      </c>
      <c r="S2775" s="16" t="str">
        <f aca="false">IF(Q2775="","",IFERROR(Q2775/(1/(1/INDEX(CONFIG!$I$5:$I$14,MATCH(D2775,CONFIG!$D$5:$D$14,0)))),""))</f>
        <v/>
      </c>
      <c r="T2775" s="13"/>
      <c r="U2775" s="13"/>
      <c r="V2775" s="13"/>
      <c r="W2775" s="13"/>
      <c r="X2775" s="22" t="str">
        <f aca="false">IF(Q2775="","",Q2775^2)</f>
        <v/>
      </c>
      <c r="Y2775" s="22" t="str">
        <f aca="false">IF(AND(C2775&lt;&gt;"",C2775=CERTIFICADO!$E$4,OR(CERTIFICADO!$E$5="",B2775=CERTIFICADO!$E$5)),MAX($Y$4:Y2774)+1,"")</f>
        <v/>
      </c>
    </row>
    <row r="2776" customFormat="false" ht="15" hidden="false" customHeight="false" outlineLevel="0" collapsed="false">
      <c r="A2776" s="11" t="str">
        <f aca="false">IF(C2776="","",ROW()-4)</f>
        <v/>
      </c>
      <c r="B2776" s="12"/>
      <c r="C2776" s="13"/>
      <c r="D2776" s="23" t="str">
        <f aca="false">IF(C2776="","",IFERROR(INDEX(LOTES!$D$5:$D$1004,MATCH(C2776,LOTES!$F$5:$F$1004,0)),"¿Lote?"))</f>
        <v/>
      </c>
      <c r="E2776" s="11" t="str">
        <f aca="false">IF(C2776="","",IFERROR(INDEX(LOTES!$C$5:$C$1004,MATCH(C2776,LOTES!$F$5:$F$1004,0)),""))</f>
        <v/>
      </c>
      <c r="F2776" s="24" t="str">
        <f aca="false">IF(C2776="","",IFERROR(INDEX(LOTES!$B$5:$B$1004,MATCH(C2776,LOTES!$F$5:$F$1004,0)),""))</f>
        <v/>
      </c>
      <c r="G2776" s="15" t="str">
        <f aca="false">IF(OR(B2776="",F2776=""),"",B2776-F2776)</f>
        <v/>
      </c>
      <c r="H2776" s="13"/>
      <c r="I2776" s="13"/>
      <c r="J2776" s="13"/>
      <c r="K2776" s="25"/>
      <c r="L2776" s="25"/>
      <c r="M2776" s="25"/>
      <c r="N2776" s="25"/>
      <c r="O2776" s="26"/>
      <c r="P2776" s="16" t="str">
        <f aca="false">IF(O2776="","",IFERROR(1/(1/(IF(K2776="",INDEX(CONFIG!$F$5:$F$14,MATCH(D2776,CONFIG!$D$5:$D$14,0)),K2776)*IF(M2776="",INDEX(CONFIG!$H$5:$H$14,MATCH(D2776,CONFIG!$D$5:$D$14,0)),M2776))),""))</f>
        <v/>
      </c>
      <c r="Q2776" s="16" t="str">
        <f aca="false">IF(OR(O2776="",P2776=""),"",O2776/P2776)</f>
        <v/>
      </c>
      <c r="R2776" s="16" t="str">
        <f aca="false">IF(Q2776="","",Q2776*0.0980665)</f>
        <v/>
      </c>
      <c r="S2776" s="16" t="str">
        <f aca="false">IF(Q2776="","",IFERROR(Q2776/(1/(1/INDEX(CONFIG!$I$5:$I$14,MATCH(D2776,CONFIG!$D$5:$D$14,0)))),""))</f>
        <v/>
      </c>
      <c r="T2776" s="13"/>
      <c r="U2776" s="13"/>
      <c r="V2776" s="13"/>
      <c r="W2776" s="13"/>
      <c r="X2776" s="22" t="str">
        <f aca="false">IF(Q2776="","",Q2776^2)</f>
        <v/>
      </c>
      <c r="Y2776" s="22" t="str">
        <f aca="false">IF(AND(C2776&lt;&gt;"",C2776=CERTIFICADO!$E$4,OR(CERTIFICADO!$E$5="",B2776=CERTIFICADO!$E$5)),MAX($Y$4:Y2775)+1,"")</f>
        <v/>
      </c>
    </row>
    <row r="2777" customFormat="false" ht="15" hidden="false" customHeight="false" outlineLevel="0" collapsed="false">
      <c r="A2777" s="11" t="str">
        <f aca="false">IF(C2777="","",ROW()-4)</f>
        <v/>
      </c>
      <c r="B2777" s="12"/>
      <c r="C2777" s="13"/>
      <c r="D2777" s="23" t="str">
        <f aca="false">IF(C2777="","",IFERROR(INDEX(LOTES!$D$5:$D$1004,MATCH(C2777,LOTES!$F$5:$F$1004,0)),"¿Lote?"))</f>
        <v/>
      </c>
      <c r="E2777" s="11" t="str">
        <f aca="false">IF(C2777="","",IFERROR(INDEX(LOTES!$C$5:$C$1004,MATCH(C2777,LOTES!$F$5:$F$1004,0)),""))</f>
        <v/>
      </c>
      <c r="F2777" s="24" t="str">
        <f aca="false">IF(C2777="","",IFERROR(INDEX(LOTES!$B$5:$B$1004,MATCH(C2777,LOTES!$F$5:$F$1004,0)),""))</f>
        <v/>
      </c>
      <c r="G2777" s="15" t="str">
        <f aca="false">IF(OR(B2777="",F2777=""),"",B2777-F2777)</f>
        <v/>
      </c>
      <c r="H2777" s="13"/>
      <c r="I2777" s="13"/>
      <c r="J2777" s="13"/>
      <c r="K2777" s="25"/>
      <c r="L2777" s="25"/>
      <c r="M2777" s="25"/>
      <c r="N2777" s="25"/>
      <c r="O2777" s="26"/>
      <c r="P2777" s="16" t="str">
        <f aca="false">IF(O2777="","",IFERROR(1/(1/(IF(K2777="",INDEX(CONFIG!$F$5:$F$14,MATCH(D2777,CONFIG!$D$5:$D$14,0)),K2777)*IF(M2777="",INDEX(CONFIG!$H$5:$H$14,MATCH(D2777,CONFIG!$D$5:$D$14,0)),M2777))),""))</f>
        <v/>
      </c>
      <c r="Q2777" s="16" t="str">
        <f aca="false">IF(OR(O2777="",P2777=""),"",O2777/P2777)</f>
        <v/>
      </c>
      <c r="R2777" s="16" t="str">
        <f aca="false">IF(Q2777="","",Q2777*0.0980665)</f>
        <v/>
      </c>
      <c r="S2777" s="16" t="str">
        <f aca="false">IF(Q2777="","",IFERROR(Q2777/(1/(1/INDEX(CONFIG!$I$5:$I$14,MATCH(D2777,CONFIG!$D$5:$D$14,0)))),""))</f>
        <v/>
      </c>
      <c r="T2777" s="13"/>
      <c r="U2777" s="13"/>
      <c r="V2777" s="13"/>
      <c r="W2777" s="13"/>
      <c r="X2777" s="22" t="str">
        <f aca="false">IF(Q2777="","",Q2777^2)</f>
        <v/>
      </c>
      <c r="Y2777" s="22" t="str">
        <f aca="false">IF(AND(C2777&lt;&gt;"",C2777=CERTIFICADO!$E$4,OR(CERTIFICADO!$E$5="",B2777=CERTIFICADO!$E$5)),MAX($Y$4:Y2776)+1,"")</f>
        <v/>
      </c>
    </row>
    <row r="2778" customFormat="false" ht="15" hidden="false" customHeight="false" outlineLevel="0" collapsed="false">
      <c r="A2778" s="11" t="str">
        <f aca="false">IF(C2778="","",ROW()-4)</f>
        <v/>
      </c>
      <c r="B2778" s="12"/>
      <c r="C2778" s="13"/>
      <c r="D2778" s="23" t="str">
        <f aca="false">IF(C2778="","",IFERROR(INDEX(LOTES!$D$5:$D$1004,MATCH(C2778,LOTES!$F$5:$F$1004,0)),"¿Lote?"))</f>
        <v/>
      </c>
      <c r="E2778" s="11" t="str">
        <f aca="false">IF(C2778="","",IFERROR(INDEX(LOTES!$C$5:$C$1004,MATCH(C2778,LOTES!$F$5:$F$1004,0)),""))</f>
        <v/>
      </c>
      <c r="F2778" s="24" t="str">
        <f aca="false">IF(C2778="","",IFERROR(INDEX(LOTES!$B$5:$B$1004,MATCH(C2778,LOTES!$F$5:$F$1004,0)),""))</f>
        <v/>
      </c>
      <c r="G2778" s="15" t="str">
        <f aca="false">IF(OR(B2778="",F2778=""),"",B2778-F2778)</f>
        <v/>
      </c>
      <c r="H2778" s="13"/>
      <c r="I2778" s="13"/>
      <c r="J2778" s="13"/>
      <c r="K2778" s="25"/>
      <c r="L2778" s="25"/>
      <c r="M2778" s="25"/>
      <c r="N2778" s="25"/>
      <c r="O2778" s="26"/>
      <c r="P2778" s="16" t="str">
        <f aca="false">IF(O2778="","",IFERROR(1/(1/(IF(K2778="",INDEX(CONFIG!$F$5:$F$14,MATCH(D2778,CONFIG!$D$5:$D$14,0)),K2778)*IF(M2778="",INDEX(CONFIG!$H$5:$H$14,MATCH(D2778,CONFIG!$D$5:$D$14,0)),M2778))),""))</f>
        <v/>
      </c>
      <c r="Q2778" s="16" t="str">
        <f aca="false">IF(OR(O2778="",P2778=""),"",O2778/P2778)</f>
        <v/>
      </c>
      <c r="R2778" s="16" t="str">
        <f aca="false">IF(Q2778="","",Q2778*0.0980665)</f>
        <v/>
      </c>
      <c r="S2778" s="16" t="str">
        <f aca="false">IF(Q2778="","",IFERROR(Q2778/(1/(1/INDEX(CONFIG!$I$5:$I$14,MATCH(D2778,CONFIG!$D$5:$D$14,0)))),""))</f>
        <v/>
      </c>
      <c r="T2778" s="13"/>
      <c r="U2778" s="13"/>
      <c r="V2778" s="13"/>
      <c r="W2778" s="13"/>
      <c r="X2778" s="22" t="str">
        <f aca="false">IF(Q2778="","",Q2778^2)</f>
        <v/>
      </c>
      <c r="Y2778" s="22" t="str">
        <f aca="false">IF(AND(C2778&lt;&gt;"",C2778=CERTIFICADO!$E$4,OR(CERTIFICADO!$E$5="",B2778=CERTIFICADO!$E$5)),MAX($Y$4:Y2777)+1,"")</f>
        <v/>
      </c>
    </row>
    <row r="2779" customFormat="false" ht="15" hidden="false" customHeight="false" outlineLevel="0" collapsed="false">
      <c r="A2779" s="11" t="str">
        <f aca="false">IF(C2779="","",ROW()-4)</f>
        <v/>
      </c>
      <c r="B2779" s="12"/>
      <c r="C2779" s="13"/>
      <c r="D2779" s="23" t="str">
        <f aca="false">IF(C2779="","",IFERROR(INDEX(LOTES!$D$5:$D$1004,MATCH(C2779,LOTES!$F$5:$F$1004,0)),"¿Lote?"))</f>
        <v/>
      </c>
      <c r="E2779" s="11" t="str">
        <f aca="false">IF(C2779="","",IFERROR(INDEX(LOTES!$C$5:$C$1004,MATCH(C2779,LOTES!$F$5:$F$1004,0)),""))</f>
        <v/>
      </c>
      <c r="F2779" s="24" t="str">
        <f aca="false">IF(C2779="","",IFERROR(INDEX(LOTES!$B$5:$B$1004,MATCH(C2779,LOTES!$F$5:$F$1004,0)),""))</f>
        <v/>
      </c>
      <c r="G2779" s="15" t="str">
        <f aca="false">IF(OR(B2779="",F2779=""),"",B2779-F2779)</f>
        <v/>
      </c>
      <c r="H2779" s="13"/>
      <c r="I2779" s="13"/>
      <c r="J2779" s="13"/>
      <c r="K2779" s="25"/>
      <c r="L2779" s="25"/>
      <c r="M2779" s="25"/>
      <c r="N2779" s="25"/>
      <c r="O2779" s="26"/>
      <c r="P2779" s="16" t="str">
        <f aca="false">IF(O2779="","",IFERROR(1/(1/(IF(K2779="",INDEX(CONFIG!$F$5:$F$14,MATCH(D2779,CONFIG!$D$5:$D$14,0)),K2779)*IF(M2779="",INDEX(CONFIG!$H$5:$H$14,MATCH(D2779,CONFIG!$D$5:$D$14,0)),M2779))),""))</f>
        <v/>
      </c>
      <c r="Q2779" s="16" t="str">
        <f aca="false">IF(OR(O2779="",P2779=""),"",O2779/P2779)</f>
        <v/>
      </c>
      <c r="R2779" s="16" t="str">
        <f aca="false">IF(Q2779="","",Q2779*0.0980665)</f>
        <v/>
      </c>
      <c r="S2779" s="16" t="str">
        <f aca="false">IF(Q2779="","",IFERROR(Q2779/(1/(1/INDEX(CONFIG!$I$5:$I$14,MATCH(D2779,CONFIG!$D$5:$D$14,0)))),""))</f>
        <v/>
      </c>
      <c r="T2779" s="13"/>
      <c r="U2779" s="13"/>
      <c r="V2779" s="13"/>
      <c r="W2779" s="13"/>
      <c r="X2779" s="22" t="str">
        <f aca="false">IF(Q2779="","",Q2779^2)</f>
        <v/>
      </c>
      <c r="Y2779" s="22" t="str">
        <f aca="false">IF(AND(C2779&lt;&gt;"",C2779=CERTIFICADO!$E$4,OR(CERTIFICADO!$E$5="",B2779=CERTIFICADO!$E$5)),MAX($Y$4:Y2778)+1,"")</f>
        <v/>
      </c>
    </row>
    <row r="2780" customFormat="false" ht="15" hidden="false" customHeight="false" outlineLevel="0" collapsed="false">
      <c r="A2780" s="11" t="str">
        <f aca="false">IF(C2780="","",ROW()-4)</f>
        <v/>
      </c>
      <c r="B2780" s="12"/>
      <c r="C2780" s="13"/>
      <c r="D2780" s="23" t="str">
        <f aca="false">IF(C2780="","",IFERROR(INDEX(LOTES!$D$5:$D$1004,MATCH(C2780,LOTES!$F$5:$F$1004,0)),"¿Lote?"))</f>
        <v/>
      </c>
      <c r="E2780" s="11" t="str">
        <f aca="false">IF(C2780="","",IFERROR(INDEX(LOTES!$C$5:$C$1004,MATCH(C2780,LOTES!$F$5:$F$1004,0)),""))</f>
        <v/>
      </c>
      <c r="F2780" s="24" t="str">
        <f aca="false">IF(C2780="","",IFERROR(INDEX(LOTES!$B$5:$B$1004,MATCH(C2780,LOTES!$F$5:$F$1004,0)),""))</f>
        <v/>
      </c>
      <c r="G2780" s="15" t="str">
        <f aca="false">IF(OR(B2780="",F2780=""),"",B2780-F2780)</f>
        <v/>
      </c>
      <c r="H2780" s="13"/>
      <c r="I2780" s="13"/>
      <c r="J2780" s="13"/>
      <c r="K2780" s="25"/>
      <c r="L2780" s="25"/>
      <c r="M2780" s="25"/>
      <c r="N2780" s="25"/>
      <c r="O2780" s="26"/>
      <c r="P2780" s="16" t="str">
        <f aca="false">IF(O2780="","",IFERROR(1/(1/(IF(K2780="",INDEX(CONFIG!$F$5:$F$14,MATCH(D2780,CONFIG!$D$5:$D$14,0)),K2780)*IF(M2780="",INDEX(CONFIG!$H$5:$H$14,MATCH(D2780,CONFIG!$D$5:$D$14,0)),M2780))),""))</f>
        <v/>
      </c>
      <c r="Q2780" s="16" t="str">
        <f aca="false">IF(OR(O2780="",P2780=""),"",O2780/P2780)</f>
        <v/>
      </c>
      <c r="R2780" s="16" t="str">
        <f aca="false">IF(Q2780="","",Q2780*0.0980665)</f>
        <v/>
      </c>
      <c r="S2780" s="16" t="str">
        <f aca="false">IF(Q2780="","",IFERROR(Q2780/(1/(1/INDEX(CONFIG!$I$5:$I$14,MATCH(D2780,CONFIG!$D$5:$D$14,0)))),""))</f>
        <v/>
      </c>
      <c r="T2780" s="13"/>
      <c r="U2780" s="13"/>
      <c r="V2780" s="13"/>
      <c r="W2780" s="13"/>
      <c r="X2780" s="22" t="str">
        <f aca="false">IF(Q2780="","",Q2780^2)</f>
        <v/>
      </c>
      <c r="Y2780" s="22" t="str">
        <f aca="false">IF(AND(C2780&lt;&gt;"",C2780=CERTIFICADO!$E$4,OR(CERTIFICADO!$E$5="",B2780=CERTIFICADO!$E$5)),MAX($Y$4:Y2779)+1,"")</f>
        <v/>
      </c>
    </row>
    <row r="2781" customFormat="false" ht="15" hidden="false" customHeight="false" outlineLevel="0" collapsed="false">
      <c r="A2781" s="11" t="str">
        <f aca="false">IF(C2781="","",ROW()-4)</f>
        <v/>
      </c>
      <c r="B2781" s="12"/>
      <c r="C2781" s="13"/>
      <c r="D2781" s="23" t="str">
        <f aca="false">IF(C2781="","",IFERROR(INDEX(LOTES!$D$5:$D$1004,MATCH(C2781,LOTES!$F$5:$F$1004,0)),"¿Lote?"))</f>
        <v/>
      </c>
      <c r="E2781" s="11" t="str">
        <f aca="false">IF(C2781="","",IFERROR(INDEX(LOTES!$C$5:$C$1004,MATCH(C2781,LOTES!$F$5:$F$1004,0)),""))</f>
        <v/>
      </c>
      <c r="F2781" s="24" t="str">
        <f aca="false">IF(C2781="","",IFERROR(INDEX(LOTES!$B$5:$B$1004,MATCH(C2781,LOTES!$F$5:$F$1004,0)),""))</f>
        <v/>
      </c>
      <c r="G2781" s="15" t="str">
        <f aca="false">IF(OR(B2781="",F2781=""),"",B2781-F2781)</f>
        <v/>
      </c>
      <c r="H2781" s="13"/>
      <c r="I2781" s="13"/>
      <c r="J2781" s="13"/>
      <c r="K2781" s="25"/>
      <c r="L2781" s="25"/>
      <c r="M2781" s="25"/>
      <c r="N2781" s="25"/>
      <c r="O2781" s="26"/>
      <c r="P2781" s="16" t="str">
        <f aca="false">IF(O2781="","",IFERROR(1/(1/(IF(K2781="",INDEX(CONFIG!$F$5:$F$14,MATCH(D2781,CONFIG!$D$5:$D$14,0)),K2781)*IF(M2781="",INDEX(CONFIG!$H$5:$H$14,MATCH(D2781,CONFIG!$D$5:$D$14,0)),M2781))),""))</f>
        <v/>
      </c>
      <c r="Q2781" s="16" t="str">
        <f aca="false">IF(OR(O2781="",P2781=""),"",O2781/P2781)</f>
        <v/>
      </c>
      <c r="R2781" s="16" t="str">
        <f aca="false">IF(Q2781="","",Q2781*0.0980665)</f>
        <v/>
      </c>
      <c r="S2781" s="16" t="str">
        <f aca="false">IF(Q2781="","",IFERROR(Q2781/(1/(1/INDEX(CONFIG!$I$5:$I$14,MATCH(D2781,CONFIG!$D$5:$D$14,0)))),""))</f>
        <v/>
      </c>
      <c r="T2781" s="13"/>
      <c r="U2781" s="13"/>
      <c r="V2781" s="13"/>
      <c r="W2781" s="13"/>
      <c r="X2781" s="22" t="str">
        <f aca="false">IF(Q2781="","",Q2781^2)</f>
        <v/>
      </c>
      <c r="Y2781" s="22" t="str">
        <f aca="false">IF(AND(C2781&lt;&gt;"",C2781=CERTIFICADO!$E$4,OR(CERTIFICADO!$E$5="",B2781=CERTIFICADO!$E$5)),MAX($Y$4:Y2780)+1,"")</f>
        <v/>
      </c>
    </row>
    <row r="2782" customFormat="false" ht="15" hidden="false" customHeight="false" outlineLevel="0" collapsed="false">
      <c r="A2782" s="11" t="str">
        <f aca="false">IF(C2782="","",ROW()-4)</f>
        <v/>
      </c>
      <c r="B2782" s="12"/>
      <c r="C2782" s="13"/>
      <c r="D2782" s="23" t="str">
        <f aca="false">IF(C2782="","",IFERROR(INDEX(LOTES!$D$5:$D$1004,MATCH(C2782,LOTES!$F$5:$F$1004,0)),"¿Lote?"))</f>
        <v/>
      </c>
      <c r="E2782" s="11" t="str">
        <f aca="false">IF(C2782="","",IFERROR(INDEX(LOTES!$C$5:$C$1004,MATCH(C2782,LOTES!$F$5:$F$1004,0)),""))</f>
        <v/>
      </c>
      <c r="F2782" s="24" t="str">
        <f aca="false">IF(C2782="","",IFERROR(INDEX(LOTES!$B$5:$B$1004,MATCH(C2782,LOTES!$F$5:$F$1004,0)),""))</f>
        <v/>
      </c>
      <c r="G2782" s="15" t="str">
        <f aca="false">IF(OR(B2782="",F2782=""),"",B2782-F2782)</f>
        <v/>
      </c>
      <c r="H2782" s="13"/>
      <c r="I2782" s="13"/>
      <c r="J2782" s="13"/>
      <c r="K2782" s="25"/>
      <c r="L2782" s="25"/>
      <c r="M2782" s="25"/>
      <c r="N2782" s="25"/>
      <c r="O2782" s="26"/>
      <c r="P2782" s="16" t="str">
        <f aca="false">IF(O2782="","",IFERROR(1/(1/(IF(K2782="",INDEX(CONFIG!$F$5:$F$14,MATCH(D2782,CONFIG!$D$5:$D$14,0)),K2782)*IF(M2782="",INDEX(CONFIG!$H$5:$H$14,MATCH(D2782,CONFIG!$D$5:$D$14,0)),M2782))),""))</f>
        <v/>
      </c>
      <c r="Q2782" s="16" t="str">
        <f aca="false">IF(OR(O2782="",P2782=""),"",O2782/P2782)</f>
        <v/>
      </c>
      <c r="R2782" s="16" t="str">
        <f aca="false">IF(Q2782="","",Q2782*0.0980665)</f>
        <v/>
      </c>
      <c r="S2782" s="16" t="str">
        <f aca="false">IF(Q2782="","",IFERROR(Q2782/(1/(1/INDEX(CONFIG!$I$5:$I$14,MATCH(D2782,CONFIG!$D$5:$D$14,0)))),""))</f>
        <v/>
      </c>
      <c r="T2782" s="13"/>
      <c r="U2782" s="13"/>
      <c r="V2782" s="13"/>
      <c r="W2782" s="13"/>
      <c r="X2782" s="22" t="str">
        <f aca="false">IF(Q2782="","",Q2782^2)</f>
        <v/>
      </c>
      <c r="Y2782" s="22" t="str">
        <f aca="false">IF(AND(C2782&lt;&gt;"",C2782=CERTIFICADO!$E$4,OR(CERTIFICADO!$E$5="",B2782=CERTIFICADO!$E$5)),MAX($Y$4:Y2781)+1,"")</f>
        <v/>
      </c>
    </row>
    <row r="2783" customFormat="false" ht="15" hidden="false" customHeight="false" outlineLevel="0" collapsed="false">
      <c r="A2783" s="11" t="str">
        <f aca="false">IF(C2783="","",ROW()-4)</f>
        <v/>
      </c>
      <c r="B2783" s="12"/>
      <c r="C2783" s="13"/>
      <c r="D2783" s="23" t="str">
        <f aca="false">IF(C2783="","",IFERROR(INDEX(LOTES!$D$5:$D$1004,MATCH(C2783,LOTES!$F$5:$F$1004,0)),"¿Lote?"))</f>
        <v/>
      </c>
      <c r="E2783" s="11" t="str">
        <f aca="false">IF(C2783="","",IFERROR(INDEX(LOTES!$C$5:$C$1004,MATCH(C2783,LOTES!$F$5:$F$1004,0)),""))</f>
        <v/>
      </c>
      <c r="F2783" s="24" t="str">
        <f aca="false">IF(C2783="","",IFERROR(INDEX(LOTES!$B$5:$B$1004,MATCH(C2783,LOTES!$F$5:$F$1004,0)),""))</f>
        <v/>
      </c>
      <c r="G2783" s="15" t="str">
        <f aca="false">IF(OR(B2783="",F2783=""),"",B2783-F2783)</f>
        <v/>
      </c>
      <c r="H2783" s="13"/>
      <c r="I2783" s="13"/>
      <c r="J2783" s="13"/>
      <c r="K2783" s="25"/>
      <c r="L2783" s="25"/>
      <c r="M2783" s="25"/>
      <c r="N2783" s="25"/>
      <c r="O2783" s="26"/>
      <c r="P2783" s="16" t="str">
        <f aca="false">IF(O2783="","",IFERROR(1/(1/(IF(K2783="",INDEX(CONFIG!$F$5:$F$14,MATCH(D2783,CONFIG!$D$5:$D$14,0)),K2783)*IF(M2783="",INDEX(CONFIG!$H$5:$H$14,MATCH(D2783,CONFIG!$D$5:$D$14,0)),M2783))),""))</f>
        <v/>
      </c>
      <c r="Q2783" s="16" t="str">
        <f aca="false">IF(OR(O2783="",P2783=""),"",O2783/P2783)</f>
        <v/>
      </c>
      <c r="R2783" s="16" t="str">
        <f aca="false">IF(Q2783="","",Q2783*0.0980665)</f>
        <v/>
      </c>
      <c r="S2783" s="16" t="str">
        <f aca="false">IF(Q2783="","",IFERROR(Q2783/(1/(1/INDEX(CONFIG!$I$5:$I$14,MATCH(D2783,CONFIG!$D$5:$D$14,0)))),""))</f>
        <v/>
      </c>
      <c r="T2783" s="13"/>
      <c r="U2783" s="13"/>
      <c r="V2783" s="13"/>
      <c r="W2783" s="13"/>
      <c r="X2783" s="22" t="str">
        <f aca="false">IF(Q2783="","",Q2783^2)</f>
        <v/>
      </c>
      <c r="Y2783" s="22" t="str">
        <f aca="false">IF(AND(C2783&lt;&gt;"",C2783=CERTIFICADO!$E$4,OR(CERTIFICADO!$E$5="",B2783=CERTIFICADO!$E$5)),MAX($Y$4:Y2782)+1,"")</f>
        <v/>
      </c>
    </row>
    <row r="2784" customFormat="false" ht="15" hidden="false" customHeight="false" outlineLevel="0" collapsed="false">
      <c r="A2784" s="11" t="str">
        <f aca="false">IF(C2784="","",ROW()-4)</f>
        <v/>
      </c>
      <c r="B2784" s="12"/>
      <c r="C2784" s="13"/>
      <c r="D2784" s="23" t="str">
        <f aca="false">IF(C2784="","",IFERROR(INDEX(LOTES!$D$5:$D$1004,MATCH(C2784,LOTES!$F$5:$F$1004,0)),"¿Lote?"))</f>
        <v/>
      </c>
      <c r="E2784" s="11" t="str">
        <f aca="false">IF(C2784="","",IFERROR(INDEX(LOTES!$C$5:$C$1004,MATCH(C2784,LOTES!$F$5:$F$1004,0)),""))</f>
        <v/>
      </c>
      <c r="F2784" s="24" t="str">
        <f aca="false">IF(C2784="","",IFERROR(INDEX(LOTES!$B$5:$B$1004,MATCH(C2784,LOTES!$F$5:$F$1004,0)),""))</f>
        <v/>
      </c>
      <c r="G2784" s="15" t="str">
        <f aca="false">IF(OR(B2784="",F2784=""),"",B2784-F2784)</f>
        <v/>
      </c>
      <c r="H2784" s="13"/>
      <c r="I2784" s="13"/>
      <c r="J2784" s="13"/>
      <c r="K2784" s="25"/>
      <c r="L2784" s="25"/>
      <c r="M2784" s="25"/>
      <c r="N2784" s="25"/>
      <c r="O2784" s="26"/>
      <c r="P2784" s="16" t="str">
        <f aca="false">IF(O2784="","",IFERROR(1/(1/(IF(K2784="",INDEX(CONFIG!$F$5:$F$14,MATCH(D2784,CONFIG!$D$5:$D$14,0)),K2784)*IF(M2784="",INDEX(CONFIG!$H$5:$H$14,MATCH(D2784,CONFIG!$D$5:$D$14,0)),M2784))),""))</f>
        <v/>
      </c>
      <c r="Q2784" s="16" t="str">
        <f aca="false">IF(OR(O2784="",P2784=""),"",O2784/P2784)</f>
        <v/>
      </c>
      <c r="R2784" s="16" t="str">
        <f aca="false">IF(Q2784="","",Q2784*0.0980665)</f>
        <v/>
      </c>
      <c r="S2784" s="16" t="str">
        <f aca="false">IF(Q2784="","",IFERROR(Q2784/(1/(1/INDEX(CONFIG!$I$5:$I$14,MATCH(D2784,CONFIG!$D$5:$D$14,0)))),""))</f>
        <v/>
      </c>
      <c r="T2784" s="13"/>
      <c r="U2784" s="13"/>
      <c r="V2784" s="13"/>
      <c r="W2784" s="13"/>
      <c r="X2784" s="22" t="str">
        <f aca="false">IF(Q2784="","",Q2784^2)</f>
        <v/>
      </c>
      <c r="Y2784" s="22" t="str">
        <f aca="false">IF(AND(C2784&lt;&gt;"",C2784=CERTIFICADO!$E$4,OR(CERTIFICADO!$E$5="",B2784=CERTIFICADO!$E$5)),MAX($Y$4:Y2783)+1,"")</f>
        <v/>
      </c>
    </row>
    <row r="2785" customFormat="false" ht="15" hidden="false" customHeight="false" outlineLevel="0" collapsed="false">
      <c r="A2785" s="11" t="str">
        <f aca="false">IF(C2785="","",ROW()-4)</f>
        <v/>
      </c>
      <c r="B2785" s="12"/>
      <c r="C2785" s="13"/>
      <c r="D2785" s="23" t="str">
        <f aca="false">IF(C2785="","",IFERROR(INDEX(LOTES!$D$5:$D$1004,MATCH(C2785,LOTES!$F$5:$F$1004,0)),"¿Lote?"))</f>
        <v/>
      </c>
      <c r="E2785" s="11" t="str">
        <f aca="false">IF(C2785="","",IFERROR(INDEX(LOTES!$C$5:$C$1004,MATCH(C2785,LOTES!$F$5:$F$1004,0)),""))</f>
        <v/>
      </c>
      <c r="F2785" s="24" t="str">
        <f aca="false">IF(C2785="","",IFERROR(INDEX(LOTES!$B$5:$B$1004,MATCH(C2785,LOTES!$F$5:$F$1004,0)),""))</f>
        <v/>
      </c>
      <c r="G2785" s="15" t="str">
        <f aca="false">IF(OR(B2785="",F2785=""),"",B2785-F2785)</f>
        <v/>
      </c>
      <c r="H2785" s="13"/>
      <c r="I2785" s="13"/>
      <c r="J2785" s="13"/>
      <c r="K2785" s="25"/>
      <c r="L2785" s="25"/>
      <c r="M2785" s="25"/>
      <c r="N2785" s="25"/>
      <c r="O2785" s="26"/>
      <c r="P2785" s="16" t="str">
        <f aca="false">IF(O2785="","",IFERROR(1/(1/(IF(K2785="",INDEX(CONFIG!$F$5:$F$14,MATCH(D2785,CONFIG!$D$5:$D$14,0)),K2785)*IF(M2785="",INDEX(CONFIG!$H$5:$H$14,MATCH(D2785,CONFIG!$D$5:$D$14,0)),M2785))),""))</f>
        <v/>
      </c>
      <c r="Q2785" s="16" t="str">
        <f aca="false">IF(OR(O2785="",P2785=""),"",O2785/P2785)</f>
        <v/>
      </c>
      <c r="R2785" s="16" t="str">
        <f aca="false">IF(Q2785="","",Q2785*0.0980665)</f>
        <v/>
      </c>
      <c r="S2785" s="16" t="str">
        <f aca="false">IF(Q2785="","",IFERROR(Q2785/(1/(1/INDEX(CONFIG!$I$5:$I$14,MATCH(D2785,CONFIG!$D$5:$D$14,0)))),""))</f>
        <v/>
      </c>
      <c r="T2785" s="13"/>
      <c r="U2785" s="13"/>
      <c r="V2785" s="13"/>
      <c r="W2785" s="13"/>
      <c r="X2785" s="22" t="str">
        <f aca="false">IF(Q2785="","",Q2785^2)</f>
        <v/>
      </c>
      <c r="Y2785" s="22" t="str">
        <f aca="false">IF(AND(C2785&lt;&gt;"",C2785=CERTIFICADO!$E$4,OR(CERTIFICADO!$E$5="",B2785=CERTIFICADO!$E$5)),MAX($Y$4:Y2784)+1,"")</f>
        <v/>
      </c>
    </row>
    <row r="2786" customFormat="false" ht="15" hidden="false" customHeight="false" outlineLevel="0" collapsed="false">
      <c r="A2786" s="11" t="str">
        <f aca="false">IF(C2786="","",ROW()-4)</f>
        <v/>
      </c>
      <c r="B2786" s="12"/>
      <c r="C2786" s="13"/>
      <c r="D2786" s="23" t="str">
        <f aca="false">IF(C2786="","",IFERROR(INDEX(LOTES!$D$5:$D$1004,MATCH(C2786,LOTES!$F$5:$F$1004,0)),"¿Lote?"))</f>
        <v/>
      </c>
      <c r="E2786" s="11" t="str">
        <f aca="false">IF(C2786="","",IFERROR(INDEX(LOTES!$C$5:$C$1004,MATCH(C2786,LOTES!$F$5:$F$1004,0)),""))</f>
        <v/>
      </c>
      <c r="F2786" s="24" t="str">
        <f aca="false">IF(C2786="","",IFERROR(INDEX(LOTES!$B$5:$B$1004,MATCH(C2786,LOTES!$F$5:$F$1004,0)),""))</f>
        <v/>
      </c>
      <c r="G2786" s="15" t="str">
        <f aca="false">IF(OR(B2786="",F2786=""),"",B2786-F2786)</f>
        <v/>
      </c>
      <c r="H2786" s="13"/>
      <c r="I2786" s="13"/>
      <c r="J2786" s="13"/>
      <c r="K2786" s="25"/>
      <c r="L2786" s="25"/>
      <c r="M2786" s="25"/>
      <c r="N2786" s="25"/>
      <c r="O2786" s="26"/>
      <c r="P2786" s="16" t="str">
        <f aca="false">IF(O2786="","",IFERROR(1/(1/(IF(K2786="",INDEX(CONFIG!$F$5:$F$14,MATCH(D2786,CONFIG!$D$5:$D$14,0)),K2786)*IF(M2786="",INDEX(CONFIG!$H$5:$H$14,MATCH(D2786,CONFIG!$D$5:$D$14,0)),M2786))),""))</f>
        <v/>
      </c>
      <c r="Q2786" s="16" t="str">
        <f aca="false">IF(OR(O2786="",P2786=""),"",O2786/P2786)</f>
        <v/>
      </c>
      <c r="R2786" s="16" t="str">
        <f aca="false">IF(Q2786="","",Q2786*0.0980665)</f>
        <v/>
      </c>
      <c r="S2786" s="16" t="str">
        <f aca="false">IF(Q2786="","",IFERROR(Q2786/(1/(1/INDEX(CONFIG!$I$5:$I$14,MATCH(D2786,CONFIG!$D$5:$D$14,0)))),""))</f>
        <v/>
      </c>
      <c r="T2786" s="13"/>
      <c r="U2786" s="13"/>
      <c r="V2786" s="13"/>
      <c r="W2786" s="13"/>
      <c r="X2786" s="22" t="str">
        <f aca="false">IF(Q2786="","",Q2786^2)</f>
        <v/>
      </c>
      <c r="Y2786" s="22" t="str">
        <f aca="false">IF(AND(C2786&lt;&gt;"",C2786=CERTIFICADO!$E$4,OR(CERTIFICADO!$E$5="",B2786=CERTIFICADO!$E$5)),MAX($Y$4:Y2785)+1,"")</f>
        <v/>
      </c>
    </row>
    <row r="2787" customFormat="false" ht="15" hidden="false" customHeight="false" outlineLevel="0" collapsed="false">
      <c r="A2787" s="11" t="str">
        <f aca="false">IF(C2787="","",ROW()-4)</f>
        <v/>
      </c>
      <c r="B2787" s="12"/>
      <c r="C2787" s="13"/>
      <c r="D2787" s="23" t="str">
        <f aca="false">IF(C2787="","",IFERROR(INDEX(LOTES!$D$5:$D$1004,MATCH(C2787,LOTES!$F$5:$F$1004,0)),"¿Lote?"))</f>
        <v/>
      </c>
      <c r="E2787" s="11" t="str">
        <f aca="false">IF(C2787="","",IFERROR(INDEX(LOTES!$C$5:$C$1004,MATCH(C2787,LOTES!$F$5:$F$1004,0)),""))</f>
        <v/>
      </c>
      <c r="F2787" s="24" t="str">
        <f aca="false">IF(C2787="","",IFERROR(INDEX(LOTES!$B$5:$B$1004,MATCH(C2787,LOTES!$F$5:$F$1004,0)),""))</f>
        <v/>
      </c>
      <c r="G2787" s="15" t="str">
        <f aca="false">IF(OR(B2787="",F2787=""),"",B2787-F2787)</f>
        <v/>
      </c>
      <c r="H2787" s="13"/>
      <c r="I2787" s="13"/>
      <c r="J2787" s="13"/>
      <c r="K2787" s="25"/>
      <c r="L2787" s="25"/>
      <c r="M2787" s="25"/>
      <c r="N2787" s="25"/>
      <c r="O2787" s="26"/>
      <c r="P2787" s="16" t="str">
        <f aca="false">IF(O2787="","",IFERROR(1/(1/(IF(K2787="",INDEX(CONFIG!$F$5:$F$14,MATCH(D2787,CONFIG!$D$5:$D$14,0)),K2787)*IF(M2787="",INDEX(CONFIG!$H$5:$H$14,MATCH(D2787,CONFIG!$D$5:$D$14,0)),M2787))),""))</f>
        <v/>
      </c>
      <c r="Q2787" s="16" t="str">
        <f aca="false">IF(OR(O2787="",P2787=""),"",O2787/P2787)</f>
        <v/>
      </c>
      <c r="R2787" s="16" t="str">
        <f aca="false">IF(Q2787="","",Q2787*0.0980665)</f>
        <v/>
      </c>
      <c r="S2787" s="16" t="str">
        <f aca="false">IF(Q2787="","",IFERROR(Q2787/(1/(1/INDEX(CONFIG!$I$5:$I$14,MATCH(D2787,CONFIG!$D$5:$D$14,0)))),""))</f>
        <v/>
      </c>
      <c r="T2787" s="13"/>
      <c r="U2787" s="13"/>
      <c r="V2787" s="13"/>
      <c r="W2787" s="13"/>
      <c r="X2787" s="22" t="str">
        <f aca="false">IF(Q2787="","",Q2787^2)</f>
        <v/>
      </c>
      <c r="Y2787" s="22" t="str">
        <f aca="false">IF(AND(C2787&lt;&gt;"",C2787=CERTIFICADO!$E$4,OR(CERTIFICADO!$E$5="",B2787=CERTIFICADO!$E$5)),MAX($Y$4:Y2786)+1,"")</f>
        <v/>
      </c>
    </row>
    <row r="2788" customFormat="false" ht="15" hidden="false" customHeight="false" outlineLevel="0" collapsed="false">
      <c r="A2788" s="11" t="str">
        <f aca="false">IF(C2788="","",ROW()-4)</f>
        <v/>
      </c>
      <c r="B2788" s="12"/>
      <c r="C2788" s="13"/>
      <c r="D2788" s="23" t="str">
        <f aca="false">IF(C2788="","",IFERROR(INDEX(LOTES!$D$5:$D$1004,MATCH(C2788,LOTES!$F$5:$F$1004,0)),"¿Lote?"))</f>
        <v/>
      </c>
      <c r="E2788" s="11" t="str">
        <f aca="false">IF(C2788="","",IFERROR(INDEX(LOTES!$C$5:$C$1004,MATCH(C2788,LOTES!$F$5:$F$1004,0)),""))</f>
        <v/>
      </c>
      <c r="F2788" s="24" t="str">
        <f aca="false">IF(C2788="","",IFERROR(INDEX(LOTES!$B$5:$B$1004,MATCH(C2788,LOTES!$F$5:$F$1004,0)),""))</f>
        <v/>
      </c>
      <c r="G2788" s="15" t="str">
        <f aca="false">IF(OR(B2788="",F2788=""),"",B2788-F2788)</f>
        <v/>
      </c>
      <c r="H2788" s="13"/>
      <c r="I2788" s="13"/>
      <c r="J2788" s="13"/>
      <c r="K2788" s="25"/>
      <c r="L2788" s="25"/>
      <c r="M2788" s="25"/>
      <c r="N2788" s="25"/>
      <c r="O2788" s="26"/>
      <c r="P2788" s="16" t="str">
        <f aca="false">IF(O2788="","",IFERROR(1/(1/(IF(K2788="",INDEX(CONFIG!$F$5:$F$14,MATCH(D2788,CONFIG!$D$5:$D$14,0)),K2788)*IF(M2788="",INDEX(CONFIG!$H$5:$H$14,MATCH(D2788,CONFIG!$D$5:$D$14,0)),M2788))),""))</f>
        <v/>
      </c>
      <c r="Q2788" s="16" t="str">
        <f aca="false">IF(OR(O2788="",P2788=""),"",O2788/P2788)</f>
        <v/>
      </c>
      <c r="R2788" s="16" t="str">
        <f aca="false">IF(Q2788="","",Q2788*0.0980665)</f>
        <v/>
      </c>
      <c r="S2788" s="16" t="str">
        <f aca="false">IF(Q2788="","",IFERROR(Q2788/(1/(1/INDEX(CONFIG!$I$5:$I$14,MATCH(D2788,CONFIG!$D$5:$D$14,0)))),""))</f>
        <v/>
      </c>
      <c r="T2788" s="13"/>
      <c r="U2788" s="13"/>
      <c r="V2788" s="13"/>
      <c r="W2788" s="13"/>
      <c r="X2788" s="22" t="str">
        <f aca="false">IF(Q2788="","",Q2788^2)</f>
        <v/>
      </c>
      <c r="Y2788" s="22" t="str">
        <f aca="false">IF(AND(C2788&lt;&gt;"",C2788=CERTIFICADO!$E$4,OR(CERTIFICADO!$E$5="",B2788=CERTIFICADO!$E$5)),MAX($Y$4:Y2787)+1,"")</f>
        <v/>
      </c>
    </row>
    <row r="2789" customFormat="false" ht="15" hidden="false" customHeight="false" outlineLevel="0" collapsed="false">
      <c r="A2789" s="11" t="str">
        <f aca="false">IF(C2789="","",ROW()-4)</f>
        <v/>
      </c>
      <c r="B2789" s="12"/>
      <c r="C2789" s="13"/>
      <c r="D2789" s="23" t="str">
        <f aca="false">IF(C2789="","",IFERROR(INDEX(LOTES!$D$5:$D$1004,MATCH(C2789,LOTES!$F$5:$F$1004,0)),"¿Lote?"))</f>
        <v/>
      </c>
      <c r="E2789" s="11" t="str">
        <f aca="false">IF(C2789="","",IFERROR(INDEX(LOTES!$C$5:$C$1004,MATCH(C2789,LOTES!$F$5:$F$1004,0)),""))</f>
        <v/>
      </c>
      <c r="F2789" s="24" t="str">
        <f aca="false">IF(C2789="","",IFERROR(INDEX(LOTES!$B$5:$B$1004,MATCH(C2789,LOTES!$F$5:$F$1004,0)),""))</f>
        <v/>
      </c>
      <c r="G2789" s="15" t="str">
        <f aca="false">IF(OR(B2789="",F2789=""),"",B2789-F2789)</f>
        <v/>
      </c>
      <c r="H2789" s="13"/>
      <c r="I2789" s="13"/>
      <c r="J2789" s="13"/>
      <c r="K2789" s="25"/>
      <c r="L2789" s="25"/>
      <c r="M2789" s="25"/>
      <c r="N2789" s="25"/>
      <c r="O2789" s="26"/>
      <c r="P2789" s="16" t="str">
        <f aca="false">IF(O2789="","",IFERROR(1/(1/(IF(K2789="",INDEX(CONFIG!$F$5:$F$14,MATCH(D2789,CONFIG!$D$5:$D$14,0)),K2789)*IF(M2789="",INDEX(CONFIG!$H$5:$H$14,MATCH(D2789,CONFIG!$D$5:$D$14,0)),M2789))),""))</f>
        <v/>
      </c>
      <c r="Q2789" s="16" t="str">
        <f aca="false">IF(OR(O2789="",P2789=""),"",O2789/P2789)</f>
        <v/>
      </c>
      <c r="R2789" s="16" t="str">
        <f aca="false">IF(Q2789="","",Q2789*0.0980665)</f>
        <v/>
      </c>
      <c r="S2789" s="16" t="str">
        <f aca="false">IF(Q2789="","",IFERROR(Q2789/(1/(1/INDEX(CONFIG!$I$5:$I$14,MATCH(D2789,CONFIG!$D$5:$D$14,0)))),""))</f>
        <v/>
      </c>
      <c r="T2789" s="13"/>
      <c r="U2789" s="13"/>
      <c r="V2789" s="13"/>
      <c r="W2789" s="13"/>
      <c r="X2789" s="22" t="str">
        <f aca="false">IF(Q2789="","",Q2789^2)</f>
        <v/>
      </c>
      <c r="Y2789" s="22" t="str">
        <f aca="false">IF(AND(C2789&lt;&gt;"",C2789=CERTIFICADO!$E$4,OR(CERTIFICADO!$E$5="",B2789=CERTIFICADO!$E$5)),MAX($Y$4:Y2788)+1,"")</f>
        <v/>
      </c>
    </row>
    <row r="2790" customFormat="false" ht="15" hidden="false" customHeight="false" outlineLevel="0" collapsed="false">
      <c r="A2790" s="11" t="str">
        <f aca="false">IF(C2790="","",ROW()-4)</f>
        <v/>
      </c>
      <c r="B2790" s="12"/>
      <c r="C2790" s="13"/>
      <c r="D2790" s="23" t="str">
        <f aca="false">IF(C2790="","",IFERROR(INDEX(LOTES!$D$5:$D$1004,MATCH(C2790,LOTES!$F$5:$F$1004,0)),"¿Lote?"))</f>
        <v/>
      </c>
      <c r="E2790" s="11" t="str">
        <f aca="false">IF(C2790="","",IFERROR(INDEX(LOTES!$C$5:$C$1004,MATCH(C2790,LOTES!$F$5:$F$1004,0)),""))</f>
        <v/>
      </c>
      <c r="F2790" s="24" t="str">
        <f aca="false">IF(C2790="","",IFERROR(INDEX(LOTES!$B$5:$B$1004,MATCH(C2790,LOTES!$F$5:$F$1004,0)),""))</f>
        <v/>
      </c>
      <c r="G2790" s="15" t="str">
        <f aca="false">IF(OR(B2790="",F2790=""),"",B2790-F2790)</f>
        <v/>
      </c>
      <c r="H2790" s="13"/>
      <c r="I2790" s="13"/>
      <c r="J2790" s="13"/>
      <c r="K2790" s="25"/>
      <c r="L2790" s="25"/>
      <c r="M2790" s="25"/>
      <c r="N2790" s="25"/>
      <c r="O2790" s="26"/>
      <c r="P2790" s="16" t="str">
        <f aca="false">IF(O2790="","",IFERROR(1/(1/(IF(K2790="",INDEX(CONFIG!$F$5:$F$14,MATCH(D2790,CONFIG!$D$5:$D$14,0)),K2790)*IF(M2790="",INDEX(CONFIG!$H$5:$H$14,MATCH(D2790,CONFIG!$D$5:$D$14,0)),M2790))),""))</f>
        <v/>
      </c>
      <c r="Q2790" s="16" t="str">
        <f aca="false">IF(OR(O2790="",P2790=""),"",O2790/P2790)</f>
        <v/>
      </c>
      <c r="R2790" s="16" t="str">
        <f aca="false">IF(Q2790="","",Q2790*0.0980665)</f>
        <v/>
      </c>
      <c r="S2790" s="16" t="str">
        <f aca="false">IF(Q2790="","",IFERROR(Q2790/(1/(1/INDEX(CONFIG!$I$5:$I$14,MATCH(D2790,CONFIG!$D$5:$D$14,0)))),""))</f>
        <v/>
      </c>
      <c r="T2790" s="13"/>
      <c r="U2790" s="13"/>
      <c r="V2790" s="13"/>
      <c r="W2790" s="13"/>
      <c r="X2790" s="22" t="str">
        <f aca="false">IF(Q2790="","",Q2790^2)</f>
        <v/>
      </c>
      <c r="Y2790" s="22" t="str">
        <f aca="false">IF(AND(C2790&lt;&gt;"",C2790=CERTIFICADO!$E$4,OR(CERTIFICADO!$E$5="",B2790=CERTIFICADO!$E$5)),MAX($Y$4:Y2789)+1,"")</f>
        <v/>
      </c>
    </row>
    <row r="2791" customFormat="false" ht="15" hidden="false" customHeight="false" outlineLevel="0" collapsed="false">
      <c r="A2791" s="11" t="str">
        <f aca="false">IF(C2791="","",ROW()-4)</f>
        <v/>
      </c>
      <c r="B2791" s="12"/>
      <c r="C2791" s="13"/>
      <c r="D2791" s="23" t="str">
        <f aca="false">IF(C2791="","",IFERROR(INDEX(LOTES!$D$5:$D$1004,MATCH(C2791,LOTES!$F$5:$F$1004,0)),"¿Lote?"))</f>
        <v/>
      </c>
      <c r="E2791" s="11" t="str">
        <f aca="false">IF(C2791="","",IFERROR(INDEX(LOTES!$C$5:$C$1004,MATCH(C2791,LOTES!$F$5:$F$1004,0)),""))</f>
        <v/>
      </c>
      <c r="F2791" s="24" t="str">
        <f aca="false">IF(C2791="","",IFERROR(INDEX(LOTES!$B$5:$B$1004,MATCH(C2791,LOTES!$F$5:$F$1004,0)),""))</f>
        <v/>
      </c>
      <c r="G2791" s="15" t="str">
        <f aca="false">IF(OR(B2791="",F2791=""),"",B2791-F2791)</f>
        <v/>
      </c>
      <c r="H2791" s="13"/>
      <c r="I2791" s="13"/>
      <c r="J2791" s="13"/>
      <c r="K2791" s="25"/>
      <c r="L2791" s="25"/>
      <c r="M2791" s="25"/>
      <c r="N2791" s="25"/>
      <c r="O2791" s="26"/>
      <c r="P2791" s="16" t="str">
        <f aca="false">IF(O2791="","",IFERROR(1/(1/(IF(K2791="",INDEX(CONFIG!$F$5:$F$14,MATCH(D2791,CONFIG!$D$5:$D$14,0)),K2791)*IF(M2791="",INDEX(CONFIG!$H$5:$H$14,MATCH(D2791,CONFIG!$D$5:$D$14,0)),M2791))),""))</f>
        <v/>
      </c>
      <c r="Q2791" s="16" t="str">
        <f aca="false">IF(OR(O2791="",P2791=""),"",O2791/P2791)</f>
        <v/>
      </c>
      <c r="R2791" s="16" t="str">
        <f aca="false">IF(Q2791="","",Q2791*0.0980665)</f>
        <v/>
      </c>
      <c r="S2791" s="16" t="str">
        <f aca="false">IF(Q2791="","",IFERROR(Q2791/(1/(1/INDEX(CONFIG!$I$5:$I$14,MATCH(D2791,CONFIG!$D$5:$D$14,0)))),""))</f>
        <v/>
      </c>
      <c r="T2791" s="13"/>
      <c r="U2791" s="13"/>
      <c r="V2791" s="13"/>
      <c r="W2791" s="13"/>
      <c r="X2791" s="22" t="str">
        <f aca="false">IF(Q2791="","",Q2791^2)</f>
        <v/>
      </c>
      <c r="Y2791" s="22" t="str">
        <f aca="false">IF(AND(C2791&lt;&gt;"",C2791=CERTIFICADO!$E$4,OR(CERTIFICADO!$E$5="",B2791=CERTIFICADO!$E$5)),MAX($Y$4:Y2790)+1,"")</f>
        <v/>
      </c>
    </row>
    <row r="2792" customFormat="false" ht="15" hidden="false" customHeight="false" outlineLevel="0" collapsed="false">
      <c r="A2792" s="11" t="str">
        <f aca="false">IF(C2792="","",ROW()-4)</f>
        <v/>
      </c>
      <c r="B2792" s="12"/>
      <c r="C2792" s="13"/>
      <c r="D2792" s="23" t="str">
        <f aca="false">IF(C2792="","",IFERROR(INDEX(LOTES!$D$5:$D$1004,MATCH(C2792,LOTES!$F$5:$F$1004,0)),"¿Lote?"))</f>
        <v/>
      </c>
      <c r="E2792" s="11" t="str">
        <f aca="false">IF(C2792="","",IFERROR(INDEX(LOTES!$C$5:$C$1004,MATCH(C2792,LOTES!$F$5:$F$1004,0)),""))</f>
        <v/>
      </c>
      <c r="F2792" s="24" t="str">
        <f aca="false">IF(C2792="","",IFERROR(INDEX(LOTES!$B$5:$B$1004,MATCH(C2792,LOTES!$F$5:$F$1004,0)),""))</f>
        <v/>
      </c>
      <c r="G2792" s="15" t="str">
        <f aca="false">IF(OR(B2792="",F2792=""),"",B2792-F2792)</f>
        <v/>
      </c>
      <c r="H2792" s="13"/>
      <c r="I2792" s="13"/>
      <c r="J2792" s="13"/>
      <c r="K2792" s="25"/>
      <c r="L2792" s="25"/>
      <c r="M2792" s="25"/>
      <c r="N2792" s="25"/>
      <c r="O2792" s="26"/>
      <c r="P2792" s="16" t="str">
        <f aca="false">IF(O2792="","",IFERROR(1/(1/(IF(K2792="",INDEX(CONFIG!$F$5:$F$14,MATCH(D2792,CONFIG!$D$5:$D$14,0)),K2792)*IF(M2792="",INDEX(CONFIG!$H$5:$H$14,MATCH(D2792,CONFIG!$D$5:$D$14,0)),M2792))),""))</f>
        <v/>
      </c>
      <c r="Q2792" s="16" t="str">
        <f aca="false">IF(OR(O2792="",P2792=""),"",O2792/P2792)</f>
        <v/>
      </c>
      <c r="R2792" s="16" t="str">
        <f aca="false">IF(Q2792="","",Q2792*0.0980665)</f>
        <v/>
      </c>
      <c r="S2792" s="16" t="str">
        <f aca="false">IF(Q2792="","",IFERROR(Q2792/(1/(1/INDEX(CONFIG!$I$5:$I$14,MATCH(D2792,CONFIG!$D$5:$D$14,0)))),""))</f>
        <v/>
      </c>
      <c r="T2792" s="13"/>
      <c r="U2792" s="13"/>
      <c r="V2792" s="13"/>
      <c r="W2792" s="13"/>
      <c r="X2792" s="22" t="str">
        <f aca="false">IF(Q2792="","",Q2792^2)</f>
        <v/>
      </c>
      <c r="Y2792" s="22" t="str">
        <f aca="false">IF(AND(C2792&lt;&gt;"",C2792=CERTIFICADO!$E$4,OR(CERTIFICADO!$E$5="",B2792=CERTIFICADO!$E$5)),MAX($Y$4:Y2791)+1,"")</f>
        <v/>
      </c>
    </row>
    <row r="2793" customFormat="false" ht="15" hidden="false" customHeight="false" outlineLevel="0" collapsed="false">
      <c r="A2793" s="11" t="str">
        <f aca="false">IF(C2793="","",ROW()-4)</f>
        <v/>
      </c>
      <c r="B2793" s="12"/>
      <c r="C2793" s="13"/>
      <c r="D2793" s="23" t="str">
        <f aca="false">IF(C2793="","",IFERROR(INDEX(LOTES!$D$5:$D$1004,MATCH(C2793,LOTES!$F$5:$F$1004,0)),"¿Lote?"))</f>
        <v/>
      </c>
      <c r="E2793" s="11" t="str">
        <f aca="false">IF(C2793="","",IFERROR(INDEX(LOTES!$C$5:$C$1004,MATCH(C2793,LOTES!$F$5:$F$1004,0)),""))</f>
        <v/>
      </c>
      <c r="F2793" s="24" t="str">
        <f aca="false">IF(C2793="","",IFERROR(INDEX(LOTES!$B$5:$B$1004,MATCH(C2793,LOTES!$F$5:$F$1004,0)),""))</f>
        <v/>
      </c>
      <c r="G2793" s="15" t="str">
        <f aca="false">IF(OR(B2793="",F2793=""),"",B2793-F2793)</f>
        <v/>
      </c>
      <c r="H2793" s="13"/>
      <c r="I2793" s="13"/>
      <c r="J2793" s="13"/>
      <c r="K2793" s="25"/>
      <c r="L2793" s="25"/>
      <c r="M2793" s="25"/>
      <c r="N2793" s="25"/>
      <c r="O2793" s="26"/>
      <c r="P2793" s="16" t="str">
        <f aca="false">IF(O2793="","",IFERROR(1/(1/(IF(K2793="",INDEX(CONFIG!$F$5:$F$14,MATCH(D2793,CONFIG!$D$5:$D$14,0)),K2793)*IF(M2793="",INDEX(CONFIG!$H$5:$H$14,MATCH(D2793,CONFIG!$D$5:$D$14,0)),M2793))),""))</f>
        <v/>
      </c>
      <c r="Q2793" s="16" t="str">
        <f aca="false">IF(OR(O2793="",P2793=""),"",O2793/P2793)</f>
        <v/>
      </c>
      <c r="R2793" s="16" t="str">
        <f aca="false">IF(Q2793="","",Q2793*0.0980665)</f>
        <v/>
      </c>
      <c r="S2793" s="16" t="str">
        <f aca="false">IF(Q2793="","",IFERROR(Q2793/(1/(1/INDEX(CONFIG!$I$5:$I$14,MATCH(D2793,CONFIG!$D$5:$D$14,0)))),""))</f>
        <v/>
      </c>
      <c r="T2793" s="13"/>
      <c r="U2793" s="13"/>
      <c r="V2793" s="13"/>
      <c r="W2793" s="13"/>
      <c r="X2793" s="22" t="str">
        <f aca="false">IF(Q2793="","",Q2793^2)</f>
        <v/>
      </c>
      <c r="Y2793" s="22" t="str">
        <f aca="false">IF(AND(C2793&lt;&gt;"",C2793=CERTIFICADO!$E$4,OR(CERTIFICADO!$E$5="",B2793=CERTIFICADO!$E$5)),MAX($Y$4:Y2792)+1,"")</f>
        <v/>
      </c>
    </row>
    <row r="2794" customFormat="false" ht="15" hidden="false" customHeight="false" outlineLevel="0" collapsed="false">
      <c r="A2794" s="11" t="str">
        <f aca="false">IF(C2794="","",ROW()-4)</f>
        <v/>
      </c>
      <c r="B2794" s="12"/>
      <c r="C2794" s="13"/>
      <c r="D2794" s="23" t="str">
        <f aca="false">IF(C2794="","",IFERROR(INDEX(LOTES!$D$5:$D$1004,MATCH(C2794,LOTES!$F$5:$F$1004,0)),"¿Lote?"))</f>
        <v/>
      </c>
      <c r="E2794" s="11" t="str">
        <f aca="false">IF(C2794="","",IFERROR(INDEX(LOTES!$C$5:$C$1004,MATCH(C2794,LOTES!$F$5:$F$1004,0)),""))</f>
        <v/>
      </c>
      <c r="F2794" s="24" t="str">
        <f aca="false">IF(C2794="","",IFERROR(INDEX(LOTES!$B$5:$B$1004,MATCH(C2794,LOTES!$F$5:$F$1004,0)),""))</f>
        <v/>
      </c>
      <c r="G2794" s="15" t="str">
        <f aca="false">IF(OR(B2794="",F2794=""),"",B2794-F2794)</f>
        <v/>
      </c>
      <c r="H2794" s="13"/>
      <c r="I2794" s="13"/>
      <c r="J2794" s="13"/>
      <c r="K2794" s="25"/>
      <c r="L2794" s="25"/>
      <c r="M2794" s="25"/>
      <c r="N2794" s="25"/>
      <c r="O2794" s="26"/>
      <c r="P2794" s="16" t="str">
        <f aca="false">IF(O2794="","",IFERROR(1/(1/(IF(K2794="",INDEX(CONFIG!$F$5:$F$14,MATCH(D2794,CONFIG!$D$5:$D$14,0)),K2794)*IF(M2794="",INDEX(CONFIG!$H$5:$H$14,MATCH(D2794,CONFIG!$D$5:$D$14,0)),M2794))),""))</f>
        <v/>
      </c>
      <c r="Q2794" s="16" t="str">
        <f aca="false">IF(OR(O2794="",P2794=""),"",O2794/P2794)</f>
        <v/>
      </c>
      <c r="R2794" s="16" t="str">
        <f aca="false">IF(Q2794="","",Q2794*0.0980665)</f>
        <v/>
      </c>
      <c r="S2794" s="16" t="str">
        <f aca="false">IF(Q2794="","",IFERROR(Q2794/(1/(1/INDEX(CONFIG!$I$5:$I$14,MATCH(D2794,CONFIG!$D$5:$D$14,0)))),""))</f>
        <v/>
      </c>
      <c r="T2794" s="13"/>
      <c r="U2794" s="13"/>
      <c r="V2794" s="13"/>
      <c r="W2794" s="13"/>
      <c r="X2794" s="22" t="str">
        <f aca="false">IF(Q2794="","",Q2794^2)</f>
        <v/>
      </c>
      <c r="Y2794" s="22" t="str">
        <f aca="false">IF(AND(C2794&lt;&gt;"",C2794=CERTIFICADO!$E$4,OR(CERTIFICADO!$E$5="",B2794=CERTIFICADO!$E$5)),MAX($Y$4:Y2793)+1,"")</f>
        <v/>
      </c>
    </row>
    <row r="2795" customFormat="false" ht="15" hidden="false" customHeight="false" outlineLevel="0" collapsed="false">
      <c r="A2795" s="11" t="str">
        <f aca="false">IF(C2795="","",ROW()-4)</f>
        <v/>
      </c>
      <c r="B2795" s="12"/>
      <c r="C2795" s="13"/>
      <c r="D2795" s="23" t="str">
        <f aca="false">IF(C2795="","",IFERROR(INDEX(LOTES!$D$5:$D$1004,MATCH(C2795,LOTES!$F$5:$F$1004,0)),"¿Lote?"))</f>
        <v/>
      </c>
      <c r="E2795" s="11" t="str">
        <f aca="false">IF(C2795="","",IFERROR(INDEX(LOTES!$C$5:$C$1004,MATCH(C2795,LOTES!$F$5:$F$1004,0)),""))</f>
        <v/>
      </c>
      <c r="F2795" s="24" t="str">
        <f aca="false">IF(C2795="","",IFERROR(INDEX(LOTES!$B$5:$B$1004,MATCH(C2795,LOTES!$F$5:$F$1004,0)),""))</f>
        <v/>
      </c>
      <c r="G2795" s="15" t="str">
        <f aca="false">IF(OR(B2795="",F2795=""),"",B2795-F2795)</f>
        <v/>
      </c>
      <c r="H2795" s="13"/>
      <c r="I2795" s="13"/>
      <c r="J2795" s="13"/>
      <c r="K2795" s="25"/>
      <c r="L2795" s="25"/>
      <c r="M2795" s="25"/>
      <c r="N2795" s="25"/>
      <c r="O2795" s="26"/>
      <c r="P2795" s="16" t="str">
        <f aca="false">IF(O2795="","",IFERROR(1/(1/(IF(K2795="",INDEX(CONFIG!$F$5:$F$14,MATCH(D2795,CONFIG!$D$5:$D$14,0)),K2795)*IF(M2795="",INDEX(CONFIG!$H$5:$H$14,MATCH(D2795,CONFIG!$D$5:$D$14,0)),M2795))),""))</f>
        <v/>
      </c>
      <c r="Q2795" s="16" t="str">
        <f aca="false">IF(OR(O2795="",P2795=""),"",O2795/P2795)</f>
        <v/>
      </c>
      <c r="R2795" s="16" t="str">
        <f aca="false">IF(Q2795="","",Q2795*0.0980665)</f>
        <v/>
      </c>
      <c r="S2795" s="16" t="str">
        <f aca="false">IF(Q2795="","",IFERROR(Q2795/(1/(1/INDEX(CONFIG!$I$5:$I$14,MATCH(D2795,CONFIG!$D$5:$D$14,0)))),""))</f>
        <v/>
      </c>
      <c r="T2795" s="13"/>
      <c r="U2795" s="13"/>
      <c r="V2795" s="13"/>
      <c r="W2795" s="13"/>
      <c r="X2795" s="22" t="str">
        <f aca="false">IF(Q2795="","",Q2795^2)</f>
        <v/>
      </c>
      <c r="Y2795" s="22" t="str">
        <f aca="false">IF(AND(C2795&lt;&gt;"",C2795=CERTIFICADO!$E$4,OR(CERTIFICADO!$E$5="",B2795=CERTIFICADO!$E$5)),MAX($Y$4:Y2794)+1,"")</f>
        <v/>
      </c>
    </row>
    <row r="2796" customFormat="false" ht="15" hidden="false" customHeight="false" outlineLevel="0" collapsed="false">
      <c r="A2796" s="11" t="str">
        <f aca="false">IF(C2796="","",ROW()-4)</f>
        <v/>
      </c>
      <c r="B2796" s="12"/>
      <c r="C2796" s="13"/>
      <c r="D2796" s="23" t="str">
        <f aca="false">IF(C2796="","",IFERROR(INDEX(LOTES!$D$5:$D$1004,MATCH(C2796,LOTES!$F$5:$F$1004,0)),"¿Lote?"))</f>
        <v/>
      </c>
      <c r="E2796" s="11" t="str">
        <f aca="false">IF(C2796="","",IFERROR(INDEX(LOTES!$C$5:$C$1004,MATCH(C2796,LOTES!$F$5:$F$1004,0)),""))</f>
        <v/>
      </c>
      <c r="F2796" s="24" t="str">
        <f aca="false">IF(C2796="","",IFERROR(INDEX(LOTES!$B$5:$B$1004,MATCH(C2796,LOTES!$F$5:$F$1004,0)),""))</f>
        <v/>
      </c>
      <c r="G2796" s="15" t="str">
        <f aca="false">IF(OR(B2796="",F2796=""),"",B2796-F2796)</f>
        <v/>
      </c>
      <c r="H2796" s="13"/>
      <c r="I2796" s="13"/>
      <c r="J2796" s="13"/>
      <c r="K2796" s="25"/>
      <c r="L2796" s="25"/>
      <c r="M2796" s="25"/>
      <c r="N2796" s="25"/>
      <c r="O2796" s="26"/>
      <c r="P2796" s="16" t="str">
        <f aca="false">IF(O2796="","",IFERROR(1/(1/(IF(K2796="",INDEX(CONFIG!$F$5:$F$14,MATCH(D2796,CONFIG!$D$5:$D$14,0)),K2796)*IF(M2796="",INDEX(CONFIG!$H$5:$H$14,MATCH(D2796,CONFIG!$D$5:$D$14,0)),M2796))),""))</f>
        <v/>
      </c>
      <c r="Q2796" s="16" t="str">
        <f aca="false">IF(OR(O2796="",P2796=""),"",O2796/P2796)</f>
        <v/>
      </c>
      <c r="R2796" s="16" t="str">
        <f aca="false">IF(Q2796="","",Q2796*0.0980665)</f>
        <v/>
      </c>
      <c r="S2796" s="16" t="str">
        <f aca="false">IF(Q2796="","",IFERROR(Q2796/(1/(1/INDEX(CONFIG!$I$5:$I$14,MATCH(D2796,CONFIG!$D$5:$D$14,0)))),""))</f>
        <v/>
      </c>
      <c r="T2796" s="13"/>
      <c r="U2796" s="13"/>
      <c r="V2796" s="13"/>
      <c r="W2796" s="13"/>
      <c r="X2796" s="22" t="str">
        <f aca="false">IF(Q2796="","",Q2796^2)</f>
        <v/>
      </c>
      <c r="Y2796" s="22" t="str">
        <f aca="false">IF(AND(C2796&lt;&gt;"",C2796=CERTIFICADO!$E$4,OR(CERTIFICADO!$E$5="",B2796=CERTIFICADO!$E$5)),MAX($Y$4:Y2795)+1,"")</f>
        <v/>
      </c>
    </row>
    <row r="2797" customFormat="false" ht="15" hidden="false" customHeight="false" outlineLevel="0" collapsed="false">
      <c r="A2797" s="11" t="str">
        <f aca="false">IF(C2797="","",ROW()-4)</f>
        <v/>
      </c>
      <c r="B2797" s="12"/>
      <c r="C2797" s="13"/>
      <c r="D2797" s="23" t="str">
        <f aca="false">IF(C2797="","",IFERROR(INDEX(LOTES!$D$5:$D$1004,MATCH(C2797,LOTES!$F$5:$F$1004,0)),"¿Lote?"))</f>
        <v/>
      </c>
      <c r="E2797" s="11" t="str">
        <f aca="false">IF(C2797="","",IFERROR(INDEX(LOTES!$C$5:$C$1004,MATCH(C2797,LOTES!$F$5:$F$1004,0)),""))</f>
        <v/>
      </c>
      <c r="F2797" s="24" t="str">
        <f aca="false">IF(C2797="","",IFERROR(INDEX(LOTES!$B$5:$B$1004,MATCH(C2797,LOTES!$F$5:$F$1004,0)),""))</f>
        <v/>
      </c>
      <c r="G2797" s="15" t="str">
        <f aca="false">IF(OR(B2797="",F2797=""),"",B2797-F2797)</f>
        <v/>
      </c>
      <c r="H2797" s="13"/>
      <c r="I2797" s="13"/>
      <c r="J2797" s="13"/>
      <c r="K2797" s="25"/>
      <c r="L2797" s="25"/>
      <c r="M2797" s="25"/>
      <c r="N2797" s="25"/>
      <c r="O2797" s="26"/>
      <c r="P2797" s="16" t="str">
        <f aca="false">IF(O2797="","",IFERROR(1/(1/(IF(K2797="",INDEX(CONFIG!$F$5:$F$14,MATCH(D2797,CONFIG!$D$5:$D$14,0)),K2797)*IF(M2797="",INDEX(CONFIG!$H$5:$H$14,MATCH(D2797,CONFIG!$D$5:$D$14,0)),M2797))),""))</f>
        <v/>
      </c>
      <c r="Q2797" s="16" t="str">
        <f aca="false">IF(OR(O2797="",P2797=""),"",O2797/P2797)</f>
        <v/>
      </c>
      <c r="R2797" s="16" t="str">
        <f aca="false">IF(Q2797="","",Q2797*0.0980665)</f>
        <v/>
      </c>
      <c r="S2797" s="16" t="str">
        <f aca="false">IF(Q2797="","",IFERROR(Q2797/(1/(1/INDEX(CONFIG!$I$5:$I$14,MATCH(D2797,CONFIG!$D$5:$D$14,0)))),""))</f>
        <v/>
      </c>
      <c r="T2797" s="13"/>
      <c r="U2797" s="13"/>
      <c r="V2797" s="13"/>
      <c r="W2797" s="13"/>
      <c r="X2797" s="22" t="str">
        <f aca="false">IF(Q2797="","",Q2797^2)</f>
        <v/>
      </c>
      <c r="Y2797" s="22" t="str">
        <f aca="false">IF(AND(C2797&lt;&gt;"",C2797=CERTIFICADO!$E$4,OR(CERTIFICADO!$E$5="",B2797=CERTIFICADO!$E$5)),MAX($Y$4:Y2796)+1,"")</f>
        <v/>
      </c>
    </row>
    <row r="2798" customFormat="false" ht="15" hidden="false" customHeight="false" outlineLevel="0" collapsed="false">
      <c r="A2798" s="11" t="str">
        <f aca="false">IF(C2798="","",ROW()-4)</f>
        <v/>
      </c>
      <c r="B2798" s="12"/>
      <c r="C2798" s="13"/>
      <c r="D2798" s="23" t="str">
        <f aca="false">IF(C2798="","",IFERROR(INDEX(LOTES!$D$5:$D$1004,MATCH(C2798,LOTES!$F$5:$F$1004,0)),"¿Lote?"))</f>
        <v/>
      </c>
      <c r="E2798" s="11" t="str">
        <f aca="false">IF(C2798="","",IFERROR(INDEX(LOTES!$C$5:$C$1004,MATCH(C2798,LOTES!$F$5:$F$1004,0)),""))</f>
        <v/>
      </c>
      <c r="F2798" s="24" t="str">
        <f aca="false">IF(C2798="","",IFERROR(INDEX(LOTES!$B$5:$B$1004,MATCH(C2798,LOTES!$F$5:$F$1004,0)),""))</f>
        <v/>
      </c>
      <c r="G2798" s="15" t="str">
        <f aca="false">IF(OR(B2798="",F2798=""),"",B2798-F2798)</f>
        <v/>
      </c>
      <c r="H2798" s="13"/>
      <c r="I2798" s="13"/>
      <c r="J2798" s="13"/>
      <c r="K2798" s="25"/>
      <c r="L2798" s="25"/>
      <c r="M2798" s="25"/>
      <c r="N2798" s="25"/>
      <c r="O2798" s="26"/>
      <c r="P2798" s="16" t="str">
        <f aca="false">IF(O2798="","",IFERROR(1/(1/(IF(K2798="",INDEX(CONFIG!$F$5:$F$14,MATCH(D2798,CONFIG!$D$5:$D$14,0)),K2798)*IF(M2798="",INDEX(CONFIG!$H$5:$H$14,MATCH(D2798,CONFIG!$D$5:$D$14,0)),M2798))),""))</f>
        <v/>
      </c>
      <c r="Q2798" s="16" t="str">
        <f aca="false">IF(OR(O2798="",P2798=""),"",O2798/P2798)</f>
        <v/>
      </c>
      <c r="R2798" s="16" t="str">
        <f aca="false">IF(Q2798="","",Q2798*0.0980665)</f>
        <v/>
      </c>
      <c r="S2798" s="16" t="str">
        <f aca="false">IF(Q2798="","",IFERROR(Q2798/(1/(1/INDEX(CONFIG!$I$5:$I$14,MATCH(D2798,CONFIG!$D$5:$D$14,0)))),""))</f>
        <v/>
      </c>
      <c r="T2798" s="13"/>
      <c r="U2798" s="13"/>
      <c r="V2798" s="13"/>
      <c r="W2798" s="13"/>
      <c r="X2798" s="22" t="str">
        <f aca="false">IF(Q2798="","",Q2798^2)</f>
        <v/>
      </c>
      <c r="Y2798" s="22" t="str">
        <f aca="false">IF(AND(C2798&lt;&gt;"",C2798=CERTIFICADO!$E$4,OR(CERTIFICADO!$E$5="",B2798=CERTIFICADO!$E$5)),MAX($Y$4:Y2797)+1,"")</f>
        <v/>
      </c>
    </row>
    <row r="2799" customFormat="false" ht="15" hidden="false" customHeight="false" outlineLevel="0" collapsed="false">
      <c r="A2799" s="11" t="str">
        <f aca="false">IF(C2799="","",ROW()-4)</f>
        <v/>
      </c>
      <c r="B2799" s="12"/>
      <c r="C2799" s="13"/>
      <c r="D2799" s="23" t="str">
        <f aca="false">IF(C2799="","",IFERROR(INDEX(LOTES!$D$5:$D$1004,MATCH(C2799,LOTES!$F$5:$F$1004,0)),"¿Lote?"))</f>
        <v/>
      </c>
      <c r="E2799" s="11" t="str">
        <f aca="false">IF(C2799="","",IFERROR(INDEX(LOTES!$C$5:$C$1004,MATCH(C2799,LOTES!$F$5:$F$1004,0)),""))</f>
        <v/>
      </c>
      <c r="F2799" s="24" t="str">
        <f aca="false">IF(C2799="","",IFERROR(INDEX(LOTES!$B$5:$B$1004,MATCH(C2799,LOTES!$F$5:$F$1004,0)),""))</f>
        <v/>
      </c>
      <c r="G2799" s="15" t="str">
        <f aca="false">IF(OR(B2799="",F2799=""),"",B2799-F2799)</f>
        <v/>
      </c>
      <c r="H2799" s="13"/>
      <c r="I2799" s="13"/>
      <c r="J2799" s="13"/>
      <c r="K2799" s="25"/>
      <c r="L2799" s="25"/>
      <c r="M2799" s="25"/>
      <c r="N2799" s="25"/>
      <c r="O2799" s="26"/>
      <c r="P2799" s="16" t="str">
        <f aca="false">IF(O2799="","",IFERROR(1/(1/(IF(K2799="",INDEX(CONFIG!$F$5:$F$14,MATCH(D2799,CONFIG!$D$5:$D$14,0)),K2799)*IF(M2799="",INDEX(CONFIG!$H$5:$H$14,MATCH(D2799,CONFIG!$D$5:$D$14,0)),M2799))),""))</f>
        <v/>
      </c>
      <c r="Q2799" s="16" t="str">
        <f aca="false">IF(OR(O2799="",P2799=""),"",O2799/P2799)</f>
        <v/>
      </c>
      <c r="R2799" s="16" t="str">
        <f aca="false">IF(Q2799="","",Q2799*0.0980665)</f>
        <v/>
      </c>
      <c r="S2799" s="16" t="str">
        <f aca="false">IF(Q2799="","",IFERROR(Q2799/(1/(1/INDEX(CONFIG!$I$5:$I$14,MATCH(D2799,CONFIG!$D$5:$D$14,0)))),""))</f>
        <v/>
      </c>
      <c r="T2799" s="13"/>
      <c r="U2799" s="13"/>
      <c r="V2799" s="13"/>
      <c r="W2799" s="13"/>
      <c r="X2799" s="22" t="str">
        <f aca="false">IF(Q2799="","",Q2799^2)</f>
        <v/>
      </c>
      <c r="Y2799" s="22" t="str">
        <f aca="false">IF(AND(C2799&lt;&gt;"",C2799=CERTIFICADO!$E$4,OR(CERTIFICADO!$E$5="",B2799=CERTIFICADO!$E$5)),MAX($Y$4:Y2798)+1,"")</f>
        <v/>
      </c>
    </row>
    <row r="2800" customFormat="false" ht="15" hidden="false" customHeight="false" outlineLevel="0" collapsed="false">
      <c r="A2800" s="11" t="str">
        <f aca="false">IF(C2800="","",ROW()-4)</f>
        <v/>
      </c>
      <c r="B2800" s="12"/>
      <c r="C2800" s="13"/>
      <c r="D2800" s="23" t="str">
        <f aca="false">IF(C2800="","",IFERROR(INDEX(LOTES!$D$5:$D$1004,MATCH(C2800,LOTES!$F$5:$F$1004,0)),"¿Lote?"))</f>
        <v/>
      </c>
      <c r="E2800" s="11" t="str">
        <f aca="false">IF(C2800="","",IFERROR(INDEX(LOTES!$C$5:$C$1004,MATCH(C2800,LOTES!$F$5:$F$1004,0)),""))</f>
        <v/>
      </c>
      <c r="F2800" s="24" t="str">
        <f aca="false">IF(C2800="","",IFERROR(INDEX(LOTES!$B$5:$B$1004,MATCH(C2800,LOTES!$F$5:$F$1004,0)),""))</f>
        <v/>
      </c>
      <c r="G2800" s="15" t="str">
        <f aca="false">IF(OR(B2800="",F2800=""),"",B2800-F2800)</f>
        <v/>
      </c>
      <c r="H2800" s="13"/>
      <c r="I2800" s="13"/>
      <c r="J2800" s="13"/>
      <c r="K2800" s="25"/>
      <c r="L2800" s="25"/>
      <c r="M2800" s="25"/>
      <c r="N2800" s="25"/>
      <c r="O2800" s="26"/>
      <c r="P2800" s="16" t="str">
        <f aca="false">IF(O2800="","",IFERROR(1/(1/(IF(K2800="",INDEX(CONFIG!$F$5:$F$14,MATCH(D2800,CONFIG!$D$5:$D$14,0)),K2800)*IF(M2800="",INDEX(CONFIG!$H$5:$H$14,MATCH(D2800,CONFIG!$D$5:$D$14,0)),M2800))),""))</f>
        <v/>
      </c>
      <c r="Q2800" s="16" t="str">
        <f aca="false">IF(OR(O2800="",P2800=""),"",O2800/P2800)</f>
        <v/>
      </c>
      <c r="R2800" s="16" t="str">
        <f aca="false">IF(Q2800="","",Q2800*0.0980665)</f>
        <v/>
      </c>
      <c r="S2800" s="16" t="str">
        <f aca="false">IF(Q2800="","",IFERROR(Q2800/(1/(1/INDEX(CONFIG!$I$5:$I$14,MATCH(D2800,CONFIG!$D$5:$D$14,0)))),""))</f>
        <v/>
      </c>
      <c r="T2800" s="13"/>
      <c r="U2800" s="13"/>
      <c r="V2800" s="13"/>
      <c r="W2800" s="13"/>
      <c r="X2800" s="22" t="str">
        <f aca="false">IF(Q2800="","",Q2800^2)</f>
        <v/>
      </c>
      <c r="Y2800" s="22" t="str">
        <f aca="false">IF(AND(C2800&lt;&gt;"",C2800=CERTIFICADO!$E$4,OR(CERTIFICADO!$E$5="",B2800=CERTIFICADO!$E$5)),MAX($Y$4:Y2799)+1,"")</f>
        <v/>
      </c>
    </row>
    <row r="2801" customFormat="false" ht="15" hidden="false" customHeight="false" outlineLevel="0" collapsed="false">
      <c r="A2801" s="11" t="str">
        <f aca="false">IF(C2801="","",ROW()-4)</f>
        <v/>
      </c>
      <c r="B2801" s="12"/>
      <c r="C2801" s="13"/>
      <c r="D2801" s="23" t="str">
        <f aca="false">IF(C2801="","",IFERROR(INDEX(LOTES!$D$5:$D$1004,MATCH(C2801,LOTES!$F$5:$F$1004,0)),"¿Lote?"))</f>
        <v/>
      </c>
      <c r="E2801" s="11" t="str">
        <f aca="false">IF(C2801="","",IFERROR(INDEX(LOTES!$C$5:$C$1004,MATCH(C2801,LOTES!$F$5:$F$1004,0)),""))</f>
        <v/>
      </c>
      <c r="F2801" s="24" t="str">
        <f aca="false">IF(C2801="","",IFERROR(INDEX(LOTES!$B$5:$B$1004,MATCH(C2801,LOTES!$F$5:$F$1004,0)),""))</f>
        <v/>
      </c>
      <c r="G2801" s="15" t="str">
        <f aca="false">IF(OR(B2801="",F2801=""),"",B2801-F2801)</f>
        <v/>
      </c>
      <c r="H2801" s="13"/>
      <c r="I2801" s="13"/>
      <c r="J2801" s="13"/>
      <c r="K2801" s="25"/>
      <c r="L2801" s="25"/>
      <c r="M2801" s="25"/>
      <c r="N2801" s="25"/>
      <c r="O2801" s="26"/>
      <c r="P2801" s="16" t="str">
        <f aca="false">IF(O2801="","",IFERROR(1/(1/(IF(K2801="",INDEX(CONFIG!$F$5:$F$14,MATCH(D2801,CONFIG!$D$5:$D$14,0)),K2801)*IF(M2801="",INDEX(CONFIG!$H$5:$H$14,MATCH(D2801,CONFIG!$D$5:$D$14,0)),M2801))),""))</f>
        <v/>
      </c>
      <c r="Q2801" s="16" t="str">
        <f aca="false">IF(OR(O2801="",P2801=""),"",O2801/P2801)</f>
        <v/>
      </c>
      <c r="R2801" s="16" t="str">
        <f aca="false">IF(Q2801="","",Q2801*0.0980665)</f>
        <v/>
      </c>
      <c r="S2801" s="16" t="str">
        <f aca="false">IF(Q2801="","",IFERROR(Q2801/(1/(1/INDEX(CONFIG!$I$5:$I$14,MATCH(D2801,CONFIG!$D$5:$D$14,0)))),""))</f>
        <v/>
      </c>
      <c r="T2801" s="13"/>
      <c r="U2801" s="13"/>
      <c r="V2801" s="13"/>
      <c r="W2801" s="13"/>
      <c r="X2801" s="22" t="str">
        <f aca="false">IF(Q2801="","",Q2801^2)</f>
        <v/>
      </c>
      <c r="Y2801" s="22" t="str">
        <f aca="false">IF(AND(C2801&lt;&gt;"",C2801=CERTIFICADO!$E$4,OR(CERTIFICADO!$E$5="",B2801=CERTIFICADO!$E$5)),MAX($Y$4:Y2800)+1,"")</f>
        <v/>
      </c>
    </row>
    <row r="2802" customFormat="false" ht="15" hidden="false" customHeight="false" outlineLevel="0" collapsed="false">
      <c r="A2802" s="11" t="str">
        <f aca="false">IF(C2802="","",ROW()-4)</f>
        <v/>
      </c>
      <c r="B2802" s="12"/>
      <c r="C2802" s="13"/>
      <c r="D2802" s="23" t="str">
        <f aca="false">IF(C2802="","",IFERROR(INDEX(LOTES!$D$5:$D$1004,MATCH(C2802,LOTES!$F$5:$F$1004,0)),"¿Lote?"))</f>
        <v/>
      </c>
      <c r="E2802" s="11" t="str">
        <f aca="false">IF(C2802="","",IFERROR(INDEX(LOTES!$C$5:$C$1004,MATCH(C2802,LOTES!$F$5:$F$1004,0)),""))</f>
        <v/>
      </c>
      <c r="F2802" s="24" t="str">
        <f aca="false">IF(C2802="","",IFERROR(INDEX(LOTES!$B$5:$B$1004,MATCH(C2802,LOTES!$F$5:$F$1004,0)),""))</f>
        <v/>
      </c>
      <c r="G2802" s="15" t="str">
        <f aca="false">IF(OR(B2802="",F2802=""),"",B2802-F2802)</f>
        <v/>
      </c>
      <c r="H2802" s="13"/>
      <c r="I2802" s="13"/>
      <c r="J2802" s="13"/>
      <c r="K2802" s="25"/>
      <c r="L2802" s="25"/>
      <c r="M2802" s="25"/>
      <c r="N2802" s="25"/>
      <c r="O2802" s="26"/>
      <c r="P2802" s="16" t="str">
        <f aca="false">IF(O2802="","",IFERROR(1/(1/(IF(K2802="",INDEX(CONFIG!$F$5:$F$14,MATCH(D2802,CONFIG!$D$5:$D$14,0)),K2802)*IF(M2802="",INDEX(CONFIG!$H$5:$H$14,MATCH(D2802,CONFIG!$D$5:$D$14,0)),M2802))),""))</f>
        <v/>
      </c>
      <c r="Q2802" s="16" t="str">
        <f aca="false">IF(OR(O2802="",P2802=""),"",O2802/P2802)</f>
        <v/>
      </c>
      <c r="R2802" s="16" t="str">
        <f aca="false">IF(Q2802="","",Q2802*0.0980665)</f>
        <v/>
      </c>
      <c r="S2802" s="16" t="str">
        <f aca="false">IF(Q2802="","",IFERROR(Q2802/(1/(1/INDEX(CONFIG!$I$5:$I$14,MATCH(D2802,CONFIG!$D$5:$D$14,0)))),""))</f>
        <v/>
      </c>
      <c r="T2802" s="13"/>
      <c r="U2802" s="13"/>
      <c r="V2802" s="13"/>
      <c r="W2802" s="13"/>
      <c r="X2802" s="22" t="str">
        <f aca="false">IF(Q2802="","",Q2802^2)</f>
        <v/>
      </c>
      <c r="Y2802" s="22" t="str">
        <f aca="false">IF(AND(C2802&lt;&gt;"",C2802=CERTIFICADO!$E$4,OR(CERTIFICADO!$E$5="",B2802=CERTIFICADO!$E$5)),MAX($Y$4:Y2801)+1,"")</f>
        <v/>
      </c>
    </row>
    <row r="2803" customFormat="false" ht="15" hidden="false" customHeight="false" outlineLevel="0" collapsed="false">
      <c r="A2803" s="11" t="str">
        <f aca="false">IF(C2803="","",ROW()-4)</f>
        <v/>
      </c>
      <c r="B2803" s="12"/>
      <c r="C2803" s="13"/>
      <c r="D2803" s="23" t="str">
        <f aca="false">IF(C2803="","",IFERROR(INDEX(LOTES!$D$5:$D$1004,MATCH(C2803,LOTES!$F$5:$F$1004,0)),"¿Lote?"))</f>
        <v/>
      </c>
      <c r="E2803" s="11" t="str">
        <f aca="false">IF(C2803="","",IFERROR(INDEX(LOTES!$C$5:$C$1004,MATCH(C2803,LOTES!$F$5:$F$1004,0)),""))</f>
        <v/>
      </c>
      <c r="F2803" s="24" t="str">
        <f aca="false">IF(C2803="","",IFERROR(INDEX(LOTES!$B$5:$B$1004,MATCH(C2803,LOTES!$F$5:$F$1004,0)),""))</f>
        <v/>
      </c>
      <c r="G2803" s="15" t="str">
        <f aca="false">IF(OR(B2803="",F2803=""),"",B2803-F2803)</f>
        <v/>
      </c>
      <c r="H2803" s="13"/>
      <c r="I2803" s="13"/>
      <c r="J2803" s="13"/>
      <c r="K2803" s="25"/>
      <c r="L2803" s="25"/>
      <c r="M2803" s="25"/>
      <c r="N2803" s="25"/>
      <c r="O2803" s="26"/>
      <c r="P2803" s="16" t="str">
        <f aca="false">IF(O2803="","",IFERROR(1/(1/(IF(K2803="",INDEX(CONFIG!$F$5:$F$14,MATCH(D2803,CONFIG!$D$5:$D$14,0)),K2803)*IF(M2803="",INDEX(CONFIG!$H$5:$H$14,MATCH(D2803,CONFIG!$D$5:$D$14,0)),M2803))),""))</f>
        <v/>
      </c>
      <c r="Q2803" s="16" t="str">
        <f aca="false">IF(OR(O2803="",P2803=""),"",O2803/P2803)</f>
        <v/>
      </c>
      <c r="R2803" s="16" t="str">
        <f aca="false">IF(Q2803="","",Q2803*0.0980665)</f>
        <v/>
      </c>
      <c r="S2803" s="16" t="str">
        <f aca="false">IF(Q2803="","",IFERROR(Q2803/(1/(1/INDEX(CONFIG!$I$5:$I$14,MATCH(D2803,CONFIG!$D$5:$D$14,0)))),""))</f>
        <v/>
      </c>
      <c r="T2803" s="13"/>
      <c r="U2803" s="13"/>
      <c r="V2803" s="13"/>
      <c r="W2803" s="13"/>
      <c r="X2803" s="22" t="str">
        <f aca="false">IF(Q2803="","",Q2803^2)</f>
        <v/>
      </c>
      <c r="Y2803" s="22" t="str">
        <f aca="false">IF(AND(C2803&lt;&gt;"",C2803=CERTIFICADO!$E$4,OR(CERTIFICADO!$E$5="",B2803=CERTIFICADO!$E$5)),MAX($Y$4:Y2802)+1,"")</f>
        <v/>
      </c>
    </row>
    <row r="2804" customFormat="false" ht="15" hidden="false" customHeight="false" outlineLevel="0" collapsed="false">
      <c r="A2804" s="11" t="str">
        <f aca="false">IF(C2804="","",ROW()-4)</f>
        <v/>
      </c>
      <c r="B2804" s="12"/>
      <c r="C2804" s="13"/>
      <c r="D2804" s="23" t="str">
        <f aca="false">IF(C2804="","",IFERROR(INDEX(LOTES!$D$5:$D$1004,MATCH(C2804,LOTES!$F$5:$F$1004,0)),"¿Lote?"))</f>
        <v/>
      </c>
      <c r="E2804" s="11" t="str">
        <f aca="false">IF(C2804="","",IFERROR(INDEX(LOTES!$C$5:$C$1004,MATCH(C2804,LOTES!$F$5:$F$1004,0)),""))</f>
        <v/>
      </c>
      <c r="F2804" s="24" t="str">
        <f aca="false">IF(C2804="","",IFERROR(INDEX(LOTES!$B$5:$B$1004,MATCH(C2804,LOTES!$F$5:$F$1004,0)),""))</f>
        <v/>
      </c>
      <c r="G2804" s="15" t="str">
        <f aca="false">IF(OR(B2804="",F2804=""),"",B2804-F2804)</f>
        <v/>
      </c>
      <c r="H2804" s="13"/>
      <c r="I2804" s="13"/>
      <c r="J2804" s="13"/>
      <c r="K2804" s="25"/>
      <c r="L2804" s="25"/>
      <c r="M2804" s="25"/>
      <c r="N2804" s="25"/>
      <c r="O2804" s="26"/>
      <c r="P2804" s="16" t="str">
        <f aca="false">IF(O2804="","",IFERROR(1/(1/(IF(K2804="",INDEX(CONFIG!$F$5:$F$14,MATCH(D2804,CONFIG!$D$5:$D$14,0)),K2804)*IF(M2804="",INDEX(CONFIG!$H$5:$H$14,MATCH(D2804,CONFIG!$D$5:$D$14,0)),M2804))),""))</f>
        <v/>
      </c>
      <c r="Q2804" s="16" t="str">
        <f aca="false">IF(OR(O2804="",P2804=""),"",O2804/P2804)</f>
        <v/>
      </c>
      <c r="R2804" s="16" t="str">
        <f aca="false">IF(Q2804="","",Q2804*0.0980665)</f>
        <v/>
      </c>
      <c r="S2804" s="16" t="str">
        <f aca="false">IF(Q2804="","",IFERROR(Q2804/(1/(1/INDEX(CONFIG!$I$5:$I$14,MATCH(D2804,CONFIG!$D$5:$D$14,0)))),""))</f>
        <v/>
      </c>
      <c r="T2804" s="13"/>
      <c r="U2804" s="13"/>
      <c r="V2804" s="13"/>
      <c r="W2804" s="13"/>
      <c r="X2804" s="22" t="str">
        <f aca="false">IF(Q2804="","",Q2804^2)</f>
        <v/>
      </c>
      <c r="Y2804" s="22" t="str">
        <f aca="false">IF(AND(C2804&lt;&gt;"",C2804=CERTIFICADO!$E$4,OR(CERTIFICADO!$E$5="",B2804=CERTIFICADO!$E$5)),MAX($Y$4:Y2803)+1,"")</f>
        <v/>
      </c>
    </row>
    <row r="2805" customFormat="false" ht="15" hidden="false" customHeight="false" outlineLevel="0" collapsed="false">
      <c r="A2805" s="11" t="str">
        <f aca="false">IF(C2805="","",ROW()-4)</f>
        <v/>
      </c>
      <c r="B2805" s="12"/>
      <c r="C2805" s="13"/>
      <c r="D2805" s="23" t="str">
        <f aca="false">IF(C2805="","",IFERROR(INDEX(LOTES!$D$5:$D$1004,MATCH(C2805,LOTES!$F$5:$F$1004,0)),"¿Lote?"))</f>
        <v/>
      </c>
      <c r="E2805" s="11" t="str">
        <f aca="false">IF(C2805="","",IFERROR(INDEX(LOTES!$C$5:$C$1004,MATCH(C2805,LOTES!$F$5:$F$1004,0)),""))</f>
        <v/>
      </c>
      <c r="F2805" s="24" t="str">
        <f aca="false">IF(C2805="","",IFERROR(INDEX(LOTES!$B$5:$B$1004,MATCH(C2805,LOTES!$F$5:$F$1004,0)),""))</f>
        <v/>
      </c>
      <c r="G2805" s="15" t="str">
        <f aca="false">IF(OR(B2805="",F2805=""),"",B2805-F2805)</f>
        <v/>
      </c>
      <c r="H2805" s="13"/>
      <c r="I2805" s="13"/>
      <c r="J2805" s="13"/>
      <c r="K2805" s="25"/>
      <c r="L2805" s="25"/>
      <c r="M2805" s="25"/>
      <c r="N2805" s="25"/>
      <c r="O2805" s="26"/>
      <c r="P2805" s="16" t="str">
        <f aca="false">IF(O2805="","",IFERROR(1/(1/(IF(K2805="",INDEX(CONFIG!$F$5:$F$14,MATCH(D2805,CONFIG!$D$5:$D$14,0)),K2805)*IF(M2805="",INDEX(CONFIG!$H$5:$H$14,MATCH(D2805,CONFIG!$D$5:$D$14,0)),M2805))),""))</f>
        <v/>
      </c>
      <c r="Q2805" s="16" t="str">
        <f aca="false">IF(OR(O2805="",P2805=""),"",O2805/P2805)</f>
        <v/>
      </c>
      <c r="R2805" s="16" t="str">
        <f aca="false">IF(Q2805="","",Q2805*0.0980665)</f>
        <v/>
      </c>
      <c r="S2805" s="16" t="str">
        <f aca="false">IF(Q2805="","",IFERROR(Q2805/(1/(1/INDEX(CONFIG!$I$5:$I$14,MATCH(D2805,CONFIG!$D$5:$D$14,0)))),""))</f>
        <v/>
      </c>
      <c r="T2805" s="13"/>
      <c r="U2805" s="13"/>
      <c r="V2805" s="13"/>
      <c r="W2805" s="13"/>
      <c r="X2805" s="22" t="str">
        <f aca="false">IF(Q2805="","",Q2805^2)</f>
        <v/>
      </c>
      <c r="Y2805" s="22" t="str">
        <f aca="false">IF(AND(C2805&lt;&gt;"",C2805=CERTIFICADO!$E$4,OR(CERTIFICADO!$E$5="",B2805=CERTIFICADO!$E$5)),MAX($Y$4:Y2804)+1,"")</f>
        <v/>
      </c>
    </row>
    <row r="2806" customFormat="false" ht="15" hidden="false" customHeight="false" outlineLevel="0" collapsed="false">
      <c r="A2806" s="11" t="str">
        <f aca="false">IF(C2806="","",ROW()-4)</f>
        <v/>
      </c>
      <c r="B2806" s="12"/>
      <c r="C2806" s="13"/>
      <c r="D2806" s="23" t="str">
        <f aca="false">IF(C2806="","",IFERROR(INDEX(LOTES!$D$5:$D$1004,MATCH(C2806,LOTES!$F$5:$F$1004,0)),"¿Lote?"))</f>
        <v/>
      </c>
      <c r="E2806" s="11" t="str">
        <f aca="false">IF(C2806="","",IFERROR(INDEX(LOTES!$C$5:$C$1004,MATCH(C2806,LOTES!$F$5:$F$1004,0)),""))</f>
        <v/>
      </c>
      <c r="F2806" s="24" t="str">
        <f aca="false">IF(C2806="","",IFERROR(INDEX(LOTES!$B$5:$B$1004,MATCH(C2806,LOTES!$F$5:$F$1004,0)),""))</f>
        <v/>
      </c>
      <c r="G2806" s="15" t="str">
        <f aca="false">IF(OR(B2806="",F2806=""),"",B2806-F2806)</f>
        <v/>
      </c>
      <c r="H2806" s="13"/>
      <c r="I2806" s="13"/>
      <c r="J2806" s="13"/>
      <c r="K2806" s="25"/>
      <c r="L2806" s="25"/>
      <c r="M2806" s="25"/>
      <c r="N2806" s="25"/>
      <c r="O2806" s="26"/>
      <c r="P2806" s="16" t="str">
        <f aca="false">IF(O2806="","",IFERROR(1/(1/(IF(K2806="",INDEX(CONFIG!$F$5:$F$14,MATCH(D2806,CONFIG!$D$5:$D$14,0)),K2806)*IF(M2806="",INDEX(CONFIG!$H$5:$H$14,MATCH(D2806,CONFIG!$D$5:$D$14,0)),M2806))),""))</f>
        <v/>
      </c>
      <c r="Q2806" s="16" t="str">
        <f aca="false">IF(OR(O2806="",P2806=""),"",O2806/P2806)</f>
        <v/>
      </c>
      <c r="R2806" s="16" t="str">
        <f aca="false">IF(Q2806="","",Q2806*0.0980665)</f>
        <v/>
      </c>
      <c r="S2806" s="16" t="str">
        <f aca="false">IF(Q2806="","",IFERROR(Q2806/(1/(1/INDEX(CONFIG!$I$5:$I$14,MATCH(D2806,CONFIG!$D$5:$D$14,0)))),""))</f>
        <v/>
      </c>
      <c r="T2806" s="13"/>
      <c r="U2806" s="13"/>
      <c r="V2806" s="13"/>
      <c r="W2806" s="13"/>
      <c r="X2806" s="22" t="str">
        <f aca="false">IF(Q2806="","",Q2806^2)</f>
        <v/>
      </c>
      <c r="Y2806" s="22" t="str">
        <f aca="false">IF(AND(C2806&lt;&gt;"",C2806=CERTIFICADO!$E$4,OR(CERTIFICADO!$E$5="",B2806=CERTIFICADO!$E$5)),MAX($Y$4:Y2805)+1,"")</f>
        <v/>
      </c>
    </row>
    <row r="2807" customFormat="false" ht="15" hidden="false" customHeight="false" outlineLevel="0" collapsed="false">
      <c r="A2807" s="11" t="str">
        <f aca="false">IF(C2807="","",ROW()-4)</f>
        <v/>
      </c>
      <c r="B2807" s="12"/>
      <c r="C2807" s="13"/>
      <c r="D2807" s="23" t="str">
        <f aca="false">IF(C2807="","",IFERROR(INDEX(LOTES!$D$5:$D$1004,MATCH(C2807,LOTES!$F$5:$F$1004,0)),"¿Lote?"))</f>
        <v/>
      </c>
      <c r="E2807" s="11" t="str">
        <f aca="false">IF(C2807="","",IFERROR(INDEX(LOTES!$C$5:$C$1004,MATCH(C2807,LOTES!$F$5:$F$1004,0)),""))</f>
        <v/>
      </c>
      <c r="F2807" s="24" t="str">
        <f aca="false">IF(C2807="","",IFERROR(INDEX(LOTES!$B$5:$B$1004,MATCH(C2807,LOTES!$F$5:$F$1004,0)),""))</f>
        <v/>
      </c>
      <c r="G2807" s="15" t="str">
        <f aca="false">IF(OR(B2807="",F2807=""),"",B2807-F2807)</f>
        <v/>
      </c>
      <c r="H2807" s="13"/>
      <c r="I2807" s="13"/>
      <c r="J2807" s="13"/>
      <c r="K2807" s="25"/>
      <c r="L2807" s="25"/>
      <c r="M2807" s="25"/>
      <c r="N2807" s="25"/>
      <c r="O2807" s="26"/>
      <c r="P2807" s="16" t="str">
        <f aca="false">IF(O2807="","",IFERROR(1/(1/(IF(K2807="",INDEX(CONFIG!$F$5:$F$14,MATCH(D2807,CONFIG!$D$5:$D$14,0)),K2807)*IF(M2807="",INDEX(CONFIG!$H$5:$H$14,MATCH(D2807,CONFIG!$D$5:$D$14,0)),M2807))),""))</f>
        <v/>
      </c>
      <c r="Q2807" s="16" t="str">
        <f aca="false">IF(OR(O2807="",P2807=""),"",O2807/P2807)</f>
        <v/>
      </c>
      <c r="R2807" s="16" t="str">
        <f aca="false">IF(Q2807="","",Q2807*0.0980665)</f>
        <v/>
      </c>
      <c r="S2807" s="16" t="str">
        <f aca="false">IF(Q2807="","",IFERROR(Q2807/(1/(1/INDEX(CONFIG!$I$5:$I$14,MATCH(D2807,CONFIG!$D$5:$D$14,0)))),""))</f>
        <v/>
      </c>
      <c r="T2807" s="13"/>
      <c r="U2807" s="13"/>
      <c r="V2807" s="13"/>
      <c r="W2807" s="13"/>
      <c r="X2807" s="22" t="str">
        <f aca="false">IF(Q2807="","",Q2807^2)</f>
        <v/>
      </c>
      <c r="Y2807" s="22" t="str">
        <f aca="false">IF(AND(C2807&lt;&gt;"",C2807=CERTIFICADO!$E$4,OR(CERTIFICADO!$E$5="",B2807=CERTIFICADO!$E$5)),MAX($Y$4:Y2806)+1,"")</f>
        <v/>
      </c>
    </row>
    <row r="2808" customFormat="false" ht="15" hidden="false" customHeight="false" outlineLevel="0" collapsed="false">
      <c r="A2808" s="11" t="str">
        <f aca="false">IF(C2808="","",ROW()-4)</f>
        <v/>
      </c>
      <c r="B2808" s="12"/>
      <c r="C2808" s="13"/>
      <c r="D2808" s="23" t="str">
        <f aca="false">IF(C2808="","",IFERROR(INDEX(LOTES!$D$5:$D$1004,MATCH(C2808,LOTES!$F$5:$F$1004,0)),"¿Lote?"))</f>
        <v/>
      </c>
      <c r="E2808" s="11" t="str">
        <f aca="false">IF(C2808="","",IFERROR(INDEX(LOTES!$C$5:$C$1004,MATCH(C2808,LOTES!$F$5:$F$1004,0)),""))</f>
        <v/>
      </c>
      <c r="F2808" s="24" t="str">
        <f aca="false">IF(C2808="","",IFERROR(INDEX(LOTES!$B$5:$B$1004,MATCH(C2808,LOTES!$F$5:$F$1004,0)),""))</f>
        <v/>
      </c>
      <c r="G2808" s="15" t="str">
        <f aca="false">IF(OR(B2808="",F2808=""),"",B2808-F2808)</f>
        <v/>
      </c>
      <c r="H2808" s="13"/>
      <c r="I2808" s="13"/>
      <c r="J2808" s="13"/>
      <c r="K2808" s="25"/>
      <c r="L2808" s="25"/>
      <c r="M2808" s="25"/>
      <c r="N2808" s="25"/>
      <c r="O2808" s="26"/>
      <c r="P2808" s="16" t="str">
        <f aca="false">IF(O2808="","",IFERROR(1/(1/(IF(K2808="",INDEX(CONFIG!$F$5:$F$14,MATCH(D2808,CONFIG!$D$5:$D$14,0)),K2808)*IF(M2808="",INDEX(CONFIG!$H$5:$H$14,MATCH(D2808,CONFIG!$D$5:$D$14,0)),M2808))),""))</f>
        <v/>
      </c>
      <c r="Q2808" s="16" t="str">
        <f aca="false">IF(OR(O2808="",P2808=""),"",O2808/P2808)</f>
        <v/>
      </c>
      <c r="R2808" s="16" t="str">
        <f aca="false">IF(Q2808="","",Q2808*0.0980665)</f>
        <v/>
      </c>
      <c r="S2808" s="16" t="str">
        <f aca="false">IF(Q2808="","",IFERROR(Q2808/(1/(1/INDEX(CONFIG!$I$5:$I$14,MATCH(D2808,CONFIG!$D$5:$D$14,0)))),""))</f>
        <v/>
      </c>
      <c r="T2808" s="13"/>
      <c r="U2808" s="13"/>
      <c r="V2808" s="13"/>
      <c r="W2808" s="13"/>
      <c r="X2808" s="22" t="str">
        <f aca="false">IF(Q2808="","",Q2808^2)</f>
        <v/>
      </c>
      <c r="Y2808" s="22" t="str">
        <f aca="false">IF(AND(C2808&lt;&gt;"",C2808=CERTIFICADO!$E$4,OR(CERTIFICADO!$E$5="",B2808=CERTIFICADO!$E$5)),MAX($Y$4:Y2807)+1,"")</f>
        <v/>
      </c>
    </row>
    <row r="2809" customFormat="false" ht="15" hidden="false" customHeight="false" outlineLevel="0" collapsed="false">
      <c r="A2809" s="11" t="str">
        <f aca="false">IF(C2809="","",ROW()-4)</f>
        <v/>
      </c>
      <c r="B2809" s="12"/>
      <c r="C2809" s="13"/>
      <c r="D2809" s="23" t="str">
        <f aca="false">IF(C2809="","",IFERROR(INDEX(LOTES!$D$5:$D$1004,MATCH(C2809,LOTES!$F$5:$F$1004,0)),"¿Lote?"))</f>
        <v/>
      </c>
      <c r="E2809" s="11" t="str">
        <f aca="false">IF(C2809="","",IFERROR(INDEX(LOTES!$C$5:$C$1004,MATCH(C2809,LOTES!$F$5:$F$1004,0)),""))</f>
        <v/>
      </c>
      <c r="F2809" s="24" t="str">
        <f aca="false">IF(C2809="","",IFERROR(INDEX(LOTES!$B$5:$B$1004,MATCH(C2809,LOTES!$F$5:$F$1004,0)),""))</f>
        <v/>
      </c>
      <c r="G2809" s="15" t="str">
        <f aca="false">IF(OR(B2809="",F2809=""),"",B2809-F2809)</f>
        <v/>
      </c>
      <c r="H2809" s="13"/>
      <c r="I2809" s="13"/>
      <c r="J2809" s="13"/>
      <c r="K2809" s="25"/>
      <c r="L2809" s="25"/>
      <c r="M2809" s="25"/>
      <c r="N2809" s="25"/>
      <c r="O2809" s="26"/>
      <c r="P2809" s="16" t="str">
        <f aca="false">IF(O2809="","",IFERROR(1/(1/(IF(K2809="",INDEX(CONFIG!$F$5:$F$14,MATCH(D2809,CONFIG!$D$5:$D$14,0)),K2809)*IF(M2809="",INDEX(CONFIG!$H$5:$H$14,MATCH(D2809,CONFIG!$D$5:$D$14,0)),M2809))),""))</f>
        <v/>
      </c>
      <c r="Q2809" s="16" t="str">
        <f aca="false">IF(OR(O2809="",P2809=""),"",O2809/P2809)</f>
        <v/>
      </c>
      <c r="R2809" s="16" t="str">
        <f aca="false">IF(Q2809="","",Q2809*0.0980665)</f>
        <v/>
      </c>
      <c r="S2809" s="16" t="str">
        <f aca="false">IF(Q2809="","",IFERROR(Q2809/(1/(1/INDEX(CONFIG!$I$5:$I$14,MATCH(D2809,CONFIG!$D$5:$D$14,0)))),""))</f>
        <v/>
      </c>
      <c r="T2809" s="13"/>
      <c r="U2809" s="13"/>
      <c r="V2809" s="13"/>
      <c r="W2809" s="13"/>
      <c r="X2809" s="22" t="str">
        <f aca="false">IF(Q2809="","",Q2809^2)</f>
        <v/>
      </c>
      <c r="Y2809" s="22" t="str">
        <f aca="false">IF(AND(C2809&lt;&gt;"",C2809=CERTIFICADO!$E$4,OR(CERTIFICADO!$E$5="",B2809=CERTIFICADO!$E$5)),MAX($Y$4:Y2808)+1,"")</f>
        <v/>
      </c>
    </row>
    <row r="2810" customFormat="false" ht="15" hidden="false" customHeight="false" outlineLevel="0" collapsed="false">
      <c r="A2810" s="11" t="str">
        <f aca="false">IF(C2810="","",ROW()-4)</f>
        <v/>
      </c>
      <c r="B2810" s="12"/>
      <c r="C2810" s="13"/>
      <c r="D2810" s="23" t="str">
        <f aca="false">IF(C2810="","",IFERROR(INDEX(LOTES!$D$5:$D$1004,MATCH(C2810,LOTES!$F$5:$F$1004,0)),"¿Lote?"))</f>
        <v/>
      </c>
      <c r="E2810" s="11" t="str">
        <f aca="false">IF(C2810="","",IFERROR(INDEX(LOTES!$C$5:$C$1004,MATCH(C2810,LOTES!$F$5:$F$1004,0)),""))</f>
        <v/>
      </c>
      <c r="F2810" s="24" t="str">
        <f aca="false">IF(C2810="","",IFERROR(INDEX(LOTES!$B$5:$B$1004,MATCH(C2810,LOTES!$F$5:$F$1004,0)),""))</f>
        <v/>
      </c>
      <c r="G2810" s="15" t="str">
        <f aca="false">IF(OR(B2810="",F2810=""),"",B2810-F2810)</f>
        <v/>
      </c>
      <c r="H2810" s="13"/>
      <c r="I2810" s="13"/>
      <c r="J2810" s="13"/>
      <c r="K2810" s="25"/>
      <c r="L2810" s="25"/>
      <c r="M2810" s="25"/>
      <c r="N2810" s="25"/>
      <c r="O2810" s="26"/>
      <c r="P2810" s="16" t="str">
        <f aca="false">IF(O2810="","",IFERROR(1/(1/(IF(K2810="",INDEX(CONFIG!$F$5:$F$14,MATCH(D2810,CONFIG!$D$5:$D$14,0)),K2810)*IF(M2810="",INDEX(CONFIG!$H$5:$H$14,MATCH(D2810,CONFIG!$D$5:$D$14,0)),M2810))),""))</f>
        <v/>
      </c>
      <c r="Q2810" s="16" t="str">
        <f aca="false">IF(OR(O2810="",P2810=""),"",O2810/P2810)</f>
        <v/>
      </c>
      <c r="R2810" s="16" t="str">
        <f aca="false">IF(Q2810="","",Q2810*0.0980665)</f>
        <v/>
      </c>
      <c r="S2810" s="16" t="str">
        <f aca="false">IF(Q2810="","",IFERROR(Q2810/(1/(1/INDEX(CONFIG!$I$5:$I$14,MATCH(D2810,CONFIG!$D$5:$D$14,0)))),""))</f>
        <v/>
      </c>
      <c r="T2810" s="13"/>
      <c r="U2810" s="13"/>
      <c r="V2810" s="13"/>
      <c r="W2810" s="13"/>
      <c r="X2810" s="22" t="str">
        <f aca="false">IF(Q2810="","",Q2810^2)</f>
        <v/>
      </c>
      <c r="Y2810" s="22" t="str">
        <f aca="false">IF(AND(C2810&lt;&gt;"",C2810=CERTIFICADO!$E$4,OR(CERTIFICADO!$E$5="",B2810=CERTIFICADO!$E$5)),MAX($Y$4:Y2809)+1,"")</f>
        <v/>
      </c>
    </row>
    <row r="2811" customFormat="false" ht="15" hidden="false" customHeight="false" outlineLevel="0" collapsed="false">
      <c r="A2811" s="11" t="str">
        <f aca="false">IF(C2811="","",ROW()-4)</f>
        <v/>
      </c>
      <c r="B2811" s="12"/>
      <c r="C2811" s="13"/>
      <c r="D2811" s="23" t="str">
        <f aca="false">IF(C2811="","",IFERROR(INDEX(LOTES!$D$5:$D$1004,MATCH(C2811,LOTES!$F$5:$F$1004,0)),"¿Lote?"))</f>
        <v/>
      </c>
      <c r="E2811" s="11" t="str">
        <f aca="false">IF(C2811="","",IFERROR(INDEX(LOTES!$C$5:$C$1004,MATCH(C2811,LOTES!$F$5:$F$1004,0)),""))</f>
        <v/>
      </c>
      <c r="F2811" s="24" t="str">
        <f aca="false">IF(C2811="","",IFERROR(INDEX(LOTES!$B$5:$B$1004,MATCH(C2811,LOTES!$F$5:$F$1004,0)),""))</f>
        <v/>
      </c>
      <c r="G2811" s="15" t="str">
        <f aca="false">IF(OR(B2811="",F2811=""),"",B2811-F2811)</f>
        <v/>
      </c>
      <c r="H2811" s="13"/>
      <c r="I2811" s="13"/>
      <c r="J2811" s="13"/>
      <c r="K2811" s="25"/>
      <c r="L2811" s="25"/>
      <c r="M2811" s="25"/>
      <c r="N2811" s="25"/>
      <c r="O2811" s="26"/>
      <c r="P2811" s="16" t="str">
        <f aca="false">IF(O2811="","",IFERROR(1/(1/(IF(K2811="",INDEX(CONFIG!$F$5:$F$14,MATCH(D2811,CONFIG!$D$5:$D$14,0)),K2811)*IF(M2811="",INDEX(CONFIG!$H$5:$H$14,MATCH(D2811,CONFIG!$D$5:$D$14,0)),M2811))),""))</f>
        <v/>
      </c>
      <c r="Q2811" s="16" t="str">
        <f aca="false">IF(OR(O2811="",P2811=""),"",O2811/P2811)</f>
        <v/>
      </c>
      <c r="R2811" s="16" t="str">
        <f aca="false">IF(Q2811="","",Q2811*0.0980665)</f>
        <v/>
      </c>
      <c r="S2811" s="16" t="str">
        <f aca="false">IF(Q2811="","",IFERROR(Q2811/(1/(1/INDEX(CONFIG!$I$5:$I$14,MATCH(D2811,CONFIG!$D$5:$D$14,0)))),""))</f>
        <v/>
      </c>
      <c r="T2811" s="13"/>
      <c r="U2811" s="13"/>
      <c r="V2811" s="13"/>
      <c r="W2811" s="13"/>
      <c r="X2811" s="22" t="str">
        <f aca="false">IF(Q2811="","",Q2811^2)</f>
        <v/>
      </c>
      <c r="Y2811" s="22" t="str">
        <f aca="false">IF(AND(C2811&lt;&gt;"",C2811=CERTIFICADO!$E$4,OR(CERTIFICADO!$E$5="",B2811=CERTIFICADO!$E$5)),MAX($Y$4:Y2810)+1,"")</f>
        <v/>
      </c>
    </row>
    <row r="2812" customFormat="false" ht="15" hidden="false" customHeight="false" outlineLevel="0" collapsed="false">
      <c r="A2812" s="11" t="str">
        <f aca="false">IF(C2812="","",ROW()-4)</f>
        <v/>
      </c>
      <c r="B2812" s="12"/>
      <c r="C2812" s="13"/>
      <c r="D2812" s="23" t="str">
        <f aca="false">IF(C2812="","",IFERROR(INDEX(LOTES!$D$5:$D$1004,MATCH(C2812,LOTES!$F$5:$F$1004,0)),"¿Lote?"))</f>
        <v/>
      </c>
      <c r="E2812" s="11" t="str">
        <f aca="false">IF(C2812="","",IFERROR(INDEX(LOTES!$C$5:$C$1004,MATCH(C2812,LOTES!$F$5:$F$1004,0)),""))</f>
        <v/>
      </c>
      <c r="F2812" s="24" t="str">
        <f aca="false">IF(C2812="","",IFERROR(INDEX(LOTES!$B$5:$B$1004,MATCH(C2812,LOTES!$F$5:$F$1004,0)),""))</f>
        <v/>
      </c>
      <c r="G2812" s="15" t="str">
        <f aca="false">IF(OR(B2812="",F2812=""),"",B2812-F2812)</f>
        <v/>
      </c>
      <c r="H2812" s="13"/>
      <c r="I2812" s="13"/>
      <c r="J2812" s="13"/>
      <c r="K2812" s="25"/>
      <c r="L2812" s="25"/>
      <c r="M2812" s="25"/>
      <c r="N2812" s="25"/>
      <c r="O2812" s="26"/>
      <c r="P2812" s="16" t="str">
        <f aca="false">IF(O2812="","",IFERROR(1/(1/(IF(K2812="",INDEX(CONFIG!$F$5:$F$14,MATCH(D2812,CONFIG!$D$5:$D$14,0)),K2812)*IF(M2812="",INDEX(CONFIG!$H$5:$H$14,MATCH(D2812,CONFIG!$D$5:$D$14,0)),M2812))),""))</f>
        <v/>
      </c>
      <c r="Q2812" s="16" t="str">
        <f aca="false">IF(OR(O2812="",P2812=""),"",O2812/P2812)</f>
        <v/>
      </c>
      <c r="R2812" s="16" t="str">
        <f aca="false">IF(Q2812="","",Q2812*0.0980665)</f>
        <v/>
      </c>
      <c r="S2812" s="16" t="str">
        <f aca="false">IF(Q2812="","",IFERROR(Q2812/(1/(1/INDEX(CONFIG!$I$5:$I$14,MATCH(D2812,CONFIG!$D$5:$D$14,0)))),""))</f>
        <v/>
      </c>
      <c r="T2812" s="13"/>
      <c r="U2812" s="13"/>
      <c r="V2812" s="13"/>
      <c r="W2812" s="13"/>
      <c r="X2812" s="22" t="str">
        <f aca="false">IF(Q2812="","",Q2812^2)</f>
        <v/>
      </c>
      <c r="Y2812" s="22" t="str">
        <f aca="false">IF(AND(C2812&lt;&gt;"",C2812=CERTIFICADO!$E$4,OR(CERTIFICADO!$E$5="",B2812=CERTIFICADO!$E$5)),MAX($Y$4:Y2811)+1,"")</f>
        <v/>
      </c>
    </row>
    <row r="2813" customFormat="false" ht="15" hidden="false" customHeight="false" outlineLevel="0" collapsed="false">
      <c r="A2813" s="11" t="str">
        <f aca="false">IF(C2813="","",ROW()-4)</f>
        <v/>
      </c>
      <c r="B2813" s="12"/>
      <c r="C2813" s="13"/>
      <c r="D2813" s="23" t="str">
        <f aca="false">IF(C2813="","",IFERROR(INDEX(LOTES!$D$5:$D$1004,MATCH(C2813,LOTES!$F$5:$F$1004,0)),"¿Lote?"))</f>
        <v/>
      </c>
      <c r="E2813" s="11" t="str">
        <f aca="false">IF(C2813="","",IFERROR(INDEX(LOTES!$C$5:$C$1004,MATCH(C2813,LOTES!$F$5:$F$1004,0)),""))</f>
        <v/>
      </c>
      <c r="F2813" s="24" t="str">
        <f aca="false">IF(C2813="","",IFERROR(INDEX(LOTES!$B$5:$B$1004,MATCH(C2813,LOTES!$F$5:$F$1004,0)),""))</f>
        <v/>
      </c>
      <c r="G2813" s="15" t="str">
        <f aca="false">IF(OR(B2813="",F2813=""),"",B2813-F2813)</f>
        <v/>
      </c>
      <c r="H2813" s="13"/>
      <c r="I2813" s="13"/>
      <c r="J2813" s="13"/>
      <c r="K2813" s="25"/>
      <c r="L2813" s="25"/>
      <c r="M2813" s="25"/>
      <c r="N2813" s="25"/>
      <c r="O2813" s="26"/>
      <c r="P2813" s="16" t="str">
        <f aca="false">IF(O2813="","",IFERROR(1/(1/(IF(K2813="",INDEX(CONFIG!$F$5:$F$14,MATCH(D2813,CONFIG!$D$5:$D$14,0)),K2813)*IF(M2813="",INDEX(CONFIG!$H$5:$H$14,MATCH(D2813,CONFIG!$D$5:$D$14,0)),M2813))),""))</f>
        <v/>
      </c>
      <c r="Q2813" s="16" t="str">
        <f aca="false">IF(OR(O2813="",P2813=""),"",O2813/P2813)</f>
        <v/>
      </c>
      <c r="R2813" s="16" t="str">
        <f aca="false">IF(Q2813="","",Q2813*0.0980665)</f>
        <v/>
      </c>
      <c r="S2813" s="16" t="str">
        <f aca="false">IF(Q2813="","",IFERROR(Q2813/(1/(1/INDEX(CONFIG!$I$5:$I$14,MATCH(D2813,CONFIG!$D$5:$D$14,0)))),""))</f>
        <v/>
      </c>
      <c r="T2813" s="13"/>
      <c r="U2813" s="13"/>
      <c r="V2813" s="13"/>
      <c r="W2813" s="13"/>
      <c r="X2813" s="22" t="str">
        <f aca="false">IF(Q2813="","",Q2813^2)</f>
        <v/>
      </c>
      <c r="Y2813" s="22" t="str">
        <f aca="false">IF(AND(C2813&lt;&gt;"",C2813=CERTIFICADO!$E$4,OR(CERTIFICADO!$E$5="",B2813=CERTIFICADO!$E$5)),MAX($Y$4:Y2812)+1,"")</f>
        <v/>
      </c>
    </row>
    <row r="2814" customFormat="false" ht="15" hidden="false" customHeight="false" outlineLevel="0" collapsed="false">
      <c r="A2814" s="11" t="str">
        <f aca="false">IF(C2814="","",ROW()-4)</f>
        <v/>
      </c>
      <c r="B2814" s="12"/>
      <c r="C2814" s="13"/>
      <c r="D2814" s="23" t="str">
        <f aca="false">IF(C2814="","",IFERROR(INDEX(LOTES!$D$5:$D$1004,MATCH(C2814,LOTES!$F$5:$F$1004,0)),"¿Lote?"))</f>
        <v/>
      </c>
      <c r="E2814" s="11" t="str">
        <f aca="false">IF(C2814="","",IFERROR(INDEX(LOTES!$C$5:$C$1004,MATCH(C2814,LOTES!$F$5:$F$1004,0)),""))</f>
        <v/>
      </c>
      <c r="F2814" s="24" t="str">
        <f aca="false">IF(C2814="","",IFERROR(INDEX(LOTES!$B$5:$B$1004,MATCH(C2814,LOTES!$F$5:$F$1004,0)),""))</f>
        <v/>
      </c>
      <c r="G2814" s="15" t="str">
        <f aca="false">IF(OR(B2814="",F2814=""),"",B2814-F2814)</f>
        <v/>
      </c>
      <c r="H2814" s="13"/>
      <c r="I2814" s="13"/>
      <c r="J2814" s="13"/>
      <c r="K2814" s="25"/>
      <c r="L2814" s="25"/>
      <c r="M2814" s="25"/>
      <c r="N2814" s="25"/>
      <c r="O2814" s="26"/>
      <c r="P2814" s="16" t="str">
        <f aca="false">IF(O2814="","",IFERROR(1/(1/(IF(K2814="",INDEX(CONFIG!$F$5:$F$14,MATCH(D2814,CONFIG!$D$5:$D$14,0)),K2814)*IF(M2814="",INDEX(CONFIG!$H$5:$H$14,MATCH(D2814,CONFIG!$D$5:$D$14,0)),M2814))),""))</f>
        <v/>
      </c>
      <c r="Q2814" s="16" t="str">
        <f aca="false">IF(OR(O2814="",P2814=""),"",O2814/P2814)</f>
        <v/>
      </c>
      <c r="R2814" s="16" t="str">
        <f aca="false">IF(Q2814="","",Q2814*0.0980665)</f>
        <v/>
      </c>
      <c r="S2814" s="16" t="str">
        <f aca="false">IF(Q2814="","",IFERROR(Q2814/(1/(1/INDEX(CONFIG!$I$5:$I$14,MATCH(D2814,CONFIG!$D$5:$D$14,0)))),""))</f>
        <v/>
      </c>
      <c r="T2814" s="13"/>
      <c r="U2814" s="13"/>
      <c r="V2814" s="13"/>
      <c r="W2814" s="13"/>
      <c r="X2814" s="22" t="str">
        <f aca="false">IF(Q2814="","",Q2814^2)</f>
        <v/>
      </c>
      <c r="Y2814" s="22" t="str">
        <f aca="false">IF(AND(C2814&lt;&gt;"",C2814=CERTIFICADO!$E$4,OR(CERTIFICADO!$E$5="",B2814=CERTIFICADO!$E$5)),MAX($Y$4:Y2813)+1,"")</f>
        <v/>
      </c>
    </row>
    <row r="2815" customFormat="false" ht="15" hidden="false" customHeight="false" outlineLevel="0" collapsed="false">
      <c r="A2815" s="11" t="str">
        <f aca="false">IF(C2815="","",ROW()-4)</f>
        <v/>
      </c>
      <c r="B2815" s="12"/>
      <c r="C2815" s="13"/>
      <c r="D2815" s="23" t="str">
        <f aca="false">IF(C2815="","",IFERROR(INDEX(LOTES!$D$5:$D$1004,MATCH(C2815,LOTES!$F$5:$F$1004,0)),"¿Lote?"))</f>
        <v/>
      </c>
      <c r="E2815" s="11" t="str">
        <f aca="false">IF(C2815="","",IFERROR(INDEX(LOTES!$C$5:$C$1004,MATCH(C2815,LOTES!$F$5:$F$1004,0)),""))</f>
        <v/>
      </c>
      <c r="F2815" s="24" t="str">
        <f aca="false">IF(C2815="","",IFERROR(INDEX(LOTES!$B$5:$B$1004,MATCH(C2815,LOTES!$F$5:$F$1004,0)),""))</f>
        <v/>
      </c>
      <c r="G2815" s="15" t="str">
        <f aca="false">IF(OR(B2815="",F2815=""),"",B2815-F2815)</f>
        <v/>
      </c>
      <c r="H2815" s="13"/>
      <c r="I2815" s="13"/>
      <c r="J2815" s="13"/>
      <c r="K2815" s="25"/>
      <c r="L2815" s="25"/>
      <c r="M2815" s="25"/>
      <c r="N2815" s="25"/>
      <c r="O2815" s="26"/>
      <c r="P2815" s="16" t="str">
        <f aca="false">IF(O2815="","",IFERROR(1/(1/(IF(K2815="",INDEX(CONFIG!$F$5:$F$14,MATCH(D2815,CONFIG!$D$5:$D$14,0)),K2815)*IF(M2815="",INDEX(CONFIG!$H$5:$H$14,MATCH(D2815,CONFIG!$D$5:$D$14,0)),M2815))),""))</f>
        <v/>
      </c>
      <c r="Q2815" s="16" t="str">
        <f aca="false">IF(OR(O2815="",P2815=""),"",O2815/P2815)</f>
        <v/>
      </c>
      <c r="R2815" s="16" t="str">
        <f aca="false">IF(Q2815="","",Q2815*0.0980665)</f>
        <v/>
      </c>
      <c r="S2815" s="16" t="str">
        <f aca="false">IF(Q2815="","",IFERROR(Q2815/(1/(1/INDEX(CONFIG!$I$5:$I$14,MATCH(D2815,CONFIG!$D$5:$D$14,0)))),""))</f>
        <v/>
      </c>
      <c r="T2815" s="13"/>
      <c r="U2815" s="13"/>
      <c r="V2815" s="13"/>
      <c r="W2815" s="13"/>
      <c r="X2815" s="22" t="str">
        <f aca="false">IF(Q2815="","",Q2815^2)</f>
        <v/>
      </c>
      <c r="Y2815" s="22" t="str">
        <f aca="false">IF(AND(C2815&lt;&gt;"",C2815=CERTIFICADO!$E$4,OR(CERTIFICADO!$E$5="",B2815=CERTIFICADO!$E$5)),MAX($Y$4:Y2814)+1,"")</f>
        <v/>
      </c>
    </row>
    <row r="2816" customFormat="false" ht="15" hidden="false" customHeight="false" outlineLevel="0" collapsed="false">
      <c r="A2816" s="11" t="str">
        <f aca="false">IF(C2816="","",ROW()-4)</f>
        <v/>
      </c>
      <c r="B2816" s="12"/>
      <c r="C2816" s="13"/>
      <c r="D2816" s="23" t="str">
        <f aca="false">IF(C2816="","",IFERROR(INDEX(LOTES!$D$5:$D$1004,MATCH(C2816,LOTES!$F$5:$F$1004,0)),"¿Lote?"))</f>
        <v/>
      </c>
      <c r="E2816" s="11" t="str">
        <f aca="false">IF(C2816="","",IFERROR(INDEX(LOTES!$C$5:$C$1004,MATCH(C2816,LOTES!$F$5:$F$1004,0)),""))</f>
        <v/>
      </c>
      <c r="F2816" s="24" t="str">
        <f aca="false">IF(C2816="","",IFERROR(INDEX(LOTES!$B$5:$B$1004,MATCH(C2816,LOTES!$F$5:$F$1004,0)),""))</f>
        <v/>
      </c>
      <c r="G2816" s="15" t="str">
        <f aca="false">IF(OR(B2816="",F2816=""),"",B2816-F2816)</f>
        <v/>
      </c>
      <c r="H2816" s="13"/>
      <c r="I2816" s="13"/>
      <c r="J2816" s="13"/>
      <c r="K2816" s="25"/>
      <c r="L2816" s="25"/>
      <c r="M2816" s="25"/>
      <c r="N2816" s="25"/>
      <c r="O2816" s="26"/>
      <c r="P2816" s="16" t="str">
        <f aca="false">IF(O2816="","",IFERROR(1/(1/(IF(K2816="",INDEX(CONFIG!$F$5:$F$14,MATCH(D2816,CONFIG!$D$5:$D$14,0)),K2816)*IF(M2816="",INDEX(CONFIG!$H$5:$H$14,MATCH(D2816,CONFIG!$D$5:$D$14,0)),M2816))),""))</f>
        <v/>
      </c>
      <c r="Q2816" s="16" t="str">
        <f aca="false">IF(OR(O2816="",P2816=""),"",O2816/P2816)</f>
        <v/>
      </c>
      <c r="R2816" s="16" t="str">
        <f aca="false">IF(Q2816="","",Q2816*0.0980665)</f>
        <v/>
      </c>
      <c r="S2816" s="16" t="str">
        <f aca="false">IF(Q2816="","",IFERROR(Q2816/(1/(1/INDEX(CONFIG!$I$5:$I$14,MATCH(D2816,CONFIG!$D$5:$D$14,0)))),""))</f>
        <v/>
      </c>
      <c r="T2816" s="13"/>
      <c r="U2816" s="13"/>
      <c r="V2816" s="13"/>
      <c r="W2816" s="13"/>
      <c r="X2816" s="22" t="str">
        <f aca="false">IF(Q2816="","",Q2816^2)</f>
        <v/>
      </c>
      <c r="Y2816" s="22" t="str">
        <f aca="false">IF(AND(C2816&lt;&gt;"",C2816=CERTIFICADO!$E$4,OR(CERTIFICADO!$E$5="",B2816=CERTIFICADO!$E$5)),MAX($Y$4:Y2815)+1,"")</f>
        <v/>
      </c>
    </row>
    <row r="2817" customFormat="false" ht="15" hidden="false" customHeight="false" outlineLevel="0" collapsed="false">
      <c r="A2817" s="11" t="str">
        <f aca="false">IF(C2817="","",ROW()-4)</f>
        <v/>
      </c>
      <c r="B2817" s="12"/>
      <c r="C2817" s="13"/>
      <c r="D2817" s="23" t="str">
        <f aca="false">IF(C2817="","",IFERROR(INDEX(LOTES!$D$5:$D$1004,MATCH(C2817,LOTES!$F$5:$F$1004,0)),"¿Lote?"))</f>
        <v/>
      </c>
      <c r="E2817" s="11" t="str">
        <f aca="false">IF(C2817="","",IFERROR(INDEX(LOTES!$C$5:$C$1004,MATCH(C2817,LOTES!$F$5:$F$1004,0)),""))</f>
        <v/>
      </c>
      <c r="F2817" s="24" t="str">
        <f aca="false">IF(C2817="","",IFERROR(INDEX(LOTES!$B$5:$B$1004,MATCH(C2817,LOTES!$F$5:$F$1004,0)),""))</f>
        <v/>
      </c>
      <c r="G2817" s="15" t="str">
        <f aca="false">IF(OR(B2817="",F2817=""),"",B2817-F2817)</f>
        <v/>
      </c>
      <c r="H2817" s="13"/>
      <c r="I2817" s="13"/>
      <c r="J2817" s="13"/>
      <c r="K2817" s="25"/>
      <c r="L2817" s="25"/>
      <c r="M2817" s="25"/>
      <c r="N2817" s="25"/>
      <c r="O2817" s="26"/>
      <c r="P2817" s="16" t="str">
        <f aca="false">IF(O2817="","",IFERROR(1/(1/(IF(K2817="",INDEX(CONFIG!$F$5:$F$14,MATCH(D2817,CONFIG!$D$5:$D$14,0)),K2817)*IF(M2817="",INDEX(CONFIG!$H$5:$H$14,MATCH(D2817,CONFIG!$D$5:$D$14,0)),M2817))),""))</f>
        <v/>
      </c>
      <c r="Q2817" s="16" t="str">
        <f aca="false">IF(OR(O2817="",P2817=""),"",O2817/P2817)</f>
        <v/>
      </c>
      <c r="R2817" s="16" t="str">
        <f aca="false">IF(Q2817="","",Q2817*0.0980665)</f>
        <v/>
      </c>
      <c r="S2817" s="16" t="str">
        <f aca="false">IF(Q2817="","",IFERROR(Q2817/(1/(1/INDEX(CONFIG!$I$5:$I$14,MATCH(D2817,CONFIG!$D$5:$D$14,0)))),""))</f>
        <v/>
      </c>
      <c r="T2817" s="13"/>
      <c r="U2817" s="13"/>
      <c r="V2817" s="13"/>
      <c r="W2817" s="13"/>
      <c r="X2817" s="22" t="str">
        <f aca="false">IF(Q2817="","",Q2817^2)</f>
        <v/>
      </c>
      <c r="Y2817" s="22" t="str">
        <f aca="false">IF(AND(C2817&lt;&gt;"",C2817=CERTIFICADO!$E$4,OR(CERTIFICADO!$E$5="",B2817=CERTIFICADO!$E$5)),MAX($Y$4:Y2816)+1,"")</f>
        <v/>
      </c>
    </row>
    <row r="2818" customFormat="false" ht="15" hidden="false" customHeight="false" outlineLevel="0" collapsed="false">
      <c r="A2818" s="11" t="str">
        <f aca="false">IF(C2818="","",ROW()-4)</f>
        <v/>
      </c>
      <c r="B2818" s="12"/>
      <c r="C2818" s="13"/>
      <c r="D2818" s="23" t="str">
        <f aca="false">IF(C2818="","",IFERROR(INDEX(LOTES!$D$5:$D$1004,MATCH(C2818,LOTES!$F$5:$F$1004,0)),"¿Lote?"))</f>
        <v/>
      </c>
      <c r="E2818" s="11" t="str">
        <f aca="false">IF(C2818="","",IFERROR(INDEX(LOTES!$C$5:$C$1004,MATCH(C2818,LOTES!$F$5:$F$1004,0)),""))</f>
        <v/>
      </c>
      <c r="F2818" s="24" t="str">
        <f aca="false">IF(C2818="","",IFERROR(INDEX(LOTES!$B$5:$B$1004,MATCH(C2818,LOTES!$F$5:$F$1004,0)),""))</f>
        <v/>
      </c>
      <c r="G2818" s="15" t="str">
        <f aca="false">IF(OR(B2818="",F2818=""),"",B2818-F2818)</f>
        <v/>
      </c>
      <c r="H2818" s="13"/>
      <c r="I2818" s="13"/>
      <c r="J2818" s="13"/>
      <c r="K2818" s="25"/>
      <c r="L2818" s="25"/>
      <c r="M2818" s="25"/>
      <c r="N2818" s="25"/>
      <c r="O2818" s="26"/>
      <c r="P2818" s="16" t="str">
        <f aca="false">IF(O2818="","",IFERROR(1/(1/(IF(K2818="",INDEX(CONFIG!$F$5:$F$14,MATCH(D2818,CONFIG!$D$5:$D$14,0)),K2818)*IF(M2818="",INDEX(CONFIG!$H$5:$H$14,MATCH(D2818,CONFIG!$D$5:$D$14,0)),M2818))),""))</f>
        <v/>
      </c>
      <c r="Q2818" s="16" t="str">
        <f aca="false">IF(OR(O2818="",P2818=""),"",O2818/P2818)</f>
        <v/>
      </c>
      <c r="R2818" s="16" t="str">
        <f aca="false">IF(Q2818="","",Q2818*0.0980665)</f>
        <v/>
      </c>
      <c r="S2818" s="16" t="str">
        <f aca="false">IF(Q2818="","",IFERROR(Q2818/(1/(1/INDEX(CONFIG!$I$5:$I$14,MATCH(D2818,CONFIG!$D$5:$D$14,0)))),""))</f>
        <v/>
      </c>
      <c r="T2818" s="13"/>
      <c r="U2818" s="13"/>
      <c r="V2818" s="13"/>
      <c r="W2818" s="13"/>
      <c r="X2818" s="22" t="str">
        <f aca="false">IF(Q2818="","",Q2818^2)</f>
        <v/>
      </c>
      <c r="Y2818" s="22" t="str">
        <f aca="false">IF(AND(C2818&lt;&gt;"",C2818=CERTIFICADO!$E$4,OR(CERTIFICADO!$E$5="",B2818=CERTIFICADO!$E$5)),MAX($Y$4:Y2817)+1,"")</f>
        <v/>
      </c>
    </row>
    <row r="2819" customFormat="false" ht="15" hidden="false" customHeight="false" outlineLevel="0" collapsed="false">
      <c r="A2819" s="11" t="str">
        <f aca="false">IF(C2819="","",ROW()-4)</f>
        <v/>
      </c>
      <c r="B2819" s="12"/>
      <c r="C2819" s="13"/>
      <c r="D2819" s="23" t="str">
        <f aca="false">IF(C2819="","",IFERROR(INDEX(LOTES!$D$5:$D$1004,MATCH(C2819,LOTES!$F$5:$F$1004,0)),"¿Lote?"))</f>
        <v/>
      </c>
      <c r="E2819" s="11" t="str">
        <f aca="false">IF(C2819="","",IFERROR(INDEX(LOTES!$C$5:$C$1004,MATCH(C2819,LOTES!$F$5:$F$1004,0)),""))</f>
        <v/>
      </c>
      <c r="F2819" s="24" t="str">
        <f aca="false">IF(C2819="","",IFERROR(INDEX(LOTES!$B$5:$B$1004,MATCH(C2819,LOTES!$F$5:$F$1004,0)),""))</f>
        <v/>
      </c>
      <c r="G2819" s="15" t="str">
        <f aca="false">IF(OR(B2819="",F2819=""),"",B2819-F2819)</f>
        <v/>
      </c>
      <c r="H2819" s="13"/>
      <c r="I2819" s="13"/>
      <c r="J2819" s="13"/>
      <c r="K2819" s="25"/>
      <c r="L2819" s="25"/>
      <c r="M2819" s="25"/>
      <c r="N2819" s="25"/>
      <c r="O2819" s="26"/>
      <c r="P2819" s="16" t="str">
        <f aca="false">IF(O2819="","",IFERROR(1/(1/(IF(K2819="",INDEX(CONFIG!$F$5:$F$14,MATCH(D2819,CONFIG!$D$5:$D$14,0)),K2819)*IF(M2819="",INDEX(CONFIG!$H$5:$H$14,MATCH(D2819,CONFIG!$D$5:$D$14,0)),M2819))),""))</f>
        <v/>
      </c>
      <c r="Q2819" s="16" t="str">
        <f aca="false">IF(OR(O2819="",P2819=""),"",O2819/P2819)</f>
        <v/>
      </c>
      <c r="R2819" s="16" t="str">
        <f aca="false">IF(Q2819="","",Q2819*0.0980665)</f>
        <v/>
      </c>
      <c r="S2819" s="16" t="str">
        <f aca="false">IF(Q2819="","",IFERROR(Q2819/(1/(1/INDEX(CONFIG!$I$5:$I$14,MATCH(D2819,CONFIG!$D$5:$D$14,0)))),""))</f>
        <v/>
      </c>
      <c r="T2819" s="13"/>
      <c r="U2819" s="13"/>
      <c r="V2819" s="13"/>
      <c r="W2819" s="13"/>
      <c r="X2819" s="22" t="str">
        <f aca="false">IF(Q2819="","",Q2819^2)</f>
        <v/>
      </c>
      <c r="Y2819" s="22" t="str">
        <f aca="false">IF(AND(C2819&lt;&gt;"",C2819=CERTIFICADO!$E$4,OR(CERTIFICADO!$E$5="",B2819=CERTIFICADO!$E$5)),MAX($Y$4:Y2818)+1,"")</f>
        <v/>
      </c>
    </row>
    <row r="2820" customFormat="false" ht="15" hidden="false" customHeight="false" outlineLevel="0" collapsed="false">
      <c r="A2820" s="11" t="str">
        <f aca="false">IF(C2820="","",ROW()-4)</f>
        <v/>
      </c>
      <c r="B2820" s="12"/>
      <c r="C2820" s="13"/>
      <c r="D2820" s="23" t="str">
        <f aca="false">IF(C2820="","",IFERROR(INDEX(LOTES!$D$5:$D$1004,MATCH(C2820,LOTES!$F$5:$F$1004,0)),"¿Lote?"))</f>
        <v/>
      </c>
      <c r="E2820" s="11" t="str">
        <f aca="false">IF(C2820="","",IFERROR(INDEX(LOTES!$C$5:$C$1004,MATCH(C2820,LOTES!$F$5:$F$1004,0)),""))</f>
        <v/>
      </c>
      <c r="F2820" s="24" t="str">
        <f aca="false">IF(C2820="","",IFERROR(INDEX(LOTES!$B$5:$B$1004,MATCH(C2820,LOTES!$F$5:$F$1004,0)),""))</f>
        <v/>
      </c>
      <c r="G2820" s="15" t="str">
        <f aca="false">IF(OR(B2820="",F2820=""),"",B2820-F2820)</f>
        <v/>
      </c>
      <c r="H2820" s="13"/>
      <c r="I2820" s="13"/>
      <c r="J2820" s="13"/>
      <c r="K2820" s="25"/>
      <c r="L2820" s="25"/>
      <c r="M2820" s="25"/>
      <c r="N2820" s="25"/>
      <c r="O2820" s="26"/>
      <c r="P2820" s="16" t="str">
        <f aca="false">IF(O2820="","",IFERROR(1/(1/(IF(K2820="",INDEX(CONFIG!$F$5:$F$14,MATCH(D2820,CONFIG!$D$5:$D$14,0)),K2820)*IF(M2820="",INDEX(CONFIG!$H$5:$H$14,MATCH(D2820,CONFIG!$D$5:$D$14,0)),M2820))),""))</f>
        <v/>
      </c>
      <c r="Q2820" s="16" t="str">
        <f aca="false">IF(OR(O2820="",P2820=""),"",O2820/P2820)</f>
        <v/>
      </c>
      <c r="R2820" s="16" t="str">
        <f aca="false">IF(Q2820="","",Q2820*0.0980665)</f>
        <v/>
      </c>
      <c r="S2820" s="16" t="str">
        <f aca="false">IF(Q2820="","",IFERROR(Q2820/(1/(1/INDEX(CONFIG!$I$5:$I$14,MATCH(D2820,CONFIG!$D$5:$D$14,0)))),""))</f>
        <v/>
      </c>
      <c r="T2820" s="13"/>
      <c r="U2820" s="13"/>
      <c r="V2820" s="13"/>
      <c r="W2820" s="13"/>
      <c r="X2820" s="22" t="str">
        <f aca="false">IF(Q2820="","",Q2820^2)</f>
        <v/>
      </c>
      <c r="Y2820" s="22" t="str">
        <f aca="false">IF(AND(C2820&lt;&gt;"",C2820=CERTIFICADO!$E$4,OR(CERTIFICADO!$E$5="",B2820=CERTIFICADO!$E$5)),MAX($Y$4:Y2819)+1,"")</f>
        <v/>
      </c>
    </row>
    <row r="2821" customFormat="false" ht="15" hidden="false" customHeight="false" outlineLevel="0" collapsed="false">
      <c r="A2821" s="11" t="str">
        <f aca="false">IF(C2821="","",ROW()-4)</f>
        <v/>
      </c>
      <c r="B2821" s="12"/>
      <c r="C2821" s="13"/>
      <c r="D2821" s="23" t="str">
        <f aca="false">IF(C2821="","",IFERROR(INDEX(LOTES!$D$5:$D$1004,MATCH(C2821,LOTES!$F$5:$F$1004,0)),"¿Lote?"))</f>
        <v/>
      </c>
      <c r="E2821" s="11" t="str">
        <f aca="false">IF(C2821="","",IFERROR(INDEX(LOTES!$C$5:$C$1004,MATCH(C2821,LOTES!$F$5:$F$1004,0)),""))</f>
        <v/>
      </c>
      <c r="F2821" s="24" t="str">
        <f aca="false">IF(C2821="","",IFERROR(INDEX(LOTES!$B$5:$B$1004,MATCH(C2821,LOTES!$F$5:$F$1004,0)),""))</f>
        <v/>
      </c>
      <c r="G2821" s="15" t="str">
        <f aca="false">IF(OR(B2821="",F2821=""),"",B2821-F2821)</f>
        <v/>
      </c>
      <c r="H2821" s="13"/>
      <c r="I2821" s="13"/>
      <c r="J2821" s="13"/>
      <c r="K2821" s="25"/>
      <c r="L2821" s="25"/>
      <c r="M2821" s="25"/>
      <c r="N2821" s="25"/>
      <c r="O2821" s="26"/>
      <c r="P2821" s="16" t="str">
        <f aca="false">IF(O2821="","",IFERROR(1/(1/(IF(K2821="",INDEX(CONFIG!$F$5:$F$14,MATCH(D2821,CONFIG!$D$5:$D$14,0)),K2821)*IF(M2821="",INDEX(CONFIG!$H$5:$H$14,MATCH(D2821,CONFIG!$D$5:$D$14,0)),M2821))),""))</f>
        <v/>
      </c>
      <c r="Q2821" s="16" t="str">
        <f aca="false">IF(OR(O2821="",P2821=""),"",O2821/P2821)</f>
        <v/>
      </c>
      <c r="R2821" s="16" t="str">
        <f aca="false">IF(Q2821="","",Q2821*0.0980665)</f>
        <v/>
      </c>
      <c r="S2821" s="16" t="str">
        <f aca="false">IF(Q2821="","",IFERROR(Q2821/(1/(1/INDEX(CONFIG!$I$5:$I$14,MATCH(D2821,CONFIG!$D$5:$D$14,0)))),""))</f>
        <v/>
      </c>
      <c r="T2821" s="13"/>
      <c r="U2821" s="13"/>
      <c r="V2821" s="13"/>
      <c r="W2821" s="13"/>
      <c r="X2821" s="22" t="str">
        <f aca="false">IF(Q2821="","",Q2821^2)</f>
        <v/>
      </c>
      <c r="Y2821" s="22" t="str">
        <f aca="false">IF(AND(C2821&lt;&gt;"",C2821=CERTIFICADO!$E$4,OR(CERTIFICADO!$E$5="",B2821=CERTIFICADO!$E$5)),MAX($Y$4:Y2820)+1,"")</f>
        <v/>
      </c>
    </row>
    <row r="2822" customFormat="false" ht="15" hidden="false" customHeight="false" outlineLevel="0" collapsed="false">
      <c r="A2822" s="11" t="str">
        <f aca="false">IF(C2822="","",ROW()-4)</f>
        <v/>
      </c>
      <c r="B2822" s="12"/>
      <c r="C2822" s="13"/>
      <c r="D2822" s="23" t="str">
        <f aca="false">IF(C2822="","",IFERROR(INDEX(LOTES!$D$5:$D$1004,MATCH(C2822,LOTES!$F$5:$F$1004,0)),"¿Lote?"))</f>
        <v/>
      </c>
      <c r="E2822" s="11" t="str">
        <f aca="false">IF(C2822="","",IFERROR(INDEX(LOTES!$C$5:$C$1004,MATCH(C2822,LOTES!$F$5:$F$1004,0)),""))</f>
        <v/>
      </c>
      <c r="F2822" s="24" t="str">
        <f aca="false">IF(C2822="","",IFERROR(INDEX(LOTES!$B$5:$B$1004,MATCH(C2822,LOTES!$F$5:$F$1004,0)),""))</f>
        <v/>
      </c>
      <c r="G2822" s="15" t="str">
        <f aca="false">IF(OR(B2822="",F2822=""),"",B2822-F2822)</f>
        <v/>
      </c>
      <c r="H2822" s="13"/>
      <c r="I2822" s="13"/>
      <c r="J2822" s="13"/>
      <c r="K2822" s="25"/>
      <c r="L2822" s="25"/>
      <c r="M2822" s="25"/>
      <c r="N2822" s="25"/>
      <c r="O2822" s="26"/>
      <c r="P2822" s="16" t="str">
        <f aca="false">IF(O2822="","",IFERROR(1/(1/(IF(K2822="",INDEX(CONFIG!$F$5:$F$14,MATCH(D2822,CONFIG!$D$5:$D$14,0)),K2822)*IF(M2822="",INDEX(CONFIG!$H$5:$H$14,MATCH(D2822,CONFIG!$D$5:$D$14,0)),M2822))),""))</f>
        <v/>
      </c>
      <c r="Q2822" s="16" t="str">
        <f aca="false">IF(OR(O2822="",P2822=""),"",O2822/P2822)</f>
        <v/>
      </c>
      <c r="R2822" s="16" t="str">
        <f aca="false">IF(Q2822="","",Q2822*0.0980665)</f>
        <v/>
      </c>
      <c r="S2822" s="16" t="str">
        <f aca="false">IF(Q2822="","",IFERROR(Q2822/(1/(1/INDEX(CONFIG!$I$5:$I$14,MATCH(D2822,CONFIG!$D$5:$D$14,0)))),""))</f>
        <v/>
      </c>
      <c r="T2822" s="13"/>
      <c r="U2822" s="13"/>
      <c r="V2822" s="13"/>
      <c r="W2822" s="13"/>
      <c r="X2822" s="22" t="str">
        <f aca="false">IF(Q2822="","",Q2822^2)</f>
        <v/>
      </c>
      <c r="Y2822" s="22" t="str">
        <f aca="false">IF(AND(C2822&lt;&gt;"",C2822=CERTIFICADO!$E$4,OR(CERTIFICADO!$E$5="",B2822=CERTIFICADO!$E$5)),MAX($Y$4:Y2821)+1,"")</f>
        <v/>
      </c>
    </row>
    <row r="2823" customFormat="false" ht="15" hidden="false" customHeight="false" outlineLevel="0" collapsed="false">
      <c r="A2823" s="11" t="str">
        <f aca="false">IF(C2823="","",ROW()-4)</f>
        <v/>
      </c>
      <c r="B2823" s="12"/>
      <c r="C2823" s="13"/>
      <c r="D2823" s="23" t="str">
        <f aca="false">IF(C2823="","",IFERROR(INDEX(LOTES!$D$5:$D$1004,MATCH(C2823,LOTES!$F$5:$F$1004,0)),"¿Lote?"))</f>
        <v/>
      </c>
      <c r="E2823" s="11" t="str">
        <f aca="false">IF(C2823="","",IFERROR(INDEX(LOTES!$C$5:$C$1004,MATCH(C2823,LOTES!$F$5:$F$1004,0)),""))</f>
        <v/>
      </c>
      <c r="F2823" s="24" t="str">
        <f aca="false">IF(C2823="","",IFERROR(INDEX(LOTES!$B$5:$B$1004,MATCH(C2823,LOTES!$F$5:$F$1004,0)),""))</f>
        <v/>
      </c>
      <c r="G2823" s="15" t="str">
        <f aca="false">IF(OR(B2823="",F2823=""),"",B2823-F2823)</f>
        <v/>
      </c>
      <c r="H2823" s="13"/>
      <c r="I2823" s="13"/>
      <c r="J2823" s="13"/>
      <c r="K2823" s="25"/>
      <c r="L2823" s="25"/>
      <c r="M2823" s="25"/>
      <c r="N2823" s="25"/>
      <c r="O2823" s="26"/>
      <c r="P2823" s="16" t="str">
        <f aca="false">IF(O2823="","",IFERROR(1/(1/(IF(K2823="",INDEX(CONFIG!$F$5:$F$14,MATCH(D2823,CONFIG!$D$5:$D$14,0)),K2823)*IF(M2823="",INDEX(CONFIG!$H$5:$H$14,MATCH(D2823,CONFIG!$D$5:$D$14,0)),M2823))),""))</f>
        <v/>
      </c>
      <c r="Q2823" s="16" t="str">
        <f aca="false">IF(OR(O2823="",P2823=""),"",O2823/P2823)</f>
        <v/>
      </c>
      <c r="R2823" s="16" t="str">
        <f aca="false">IF(Q2823="","",Q2823*0.0980665)</f>
        <v/>
      </c>
      <c r="S2823" s="16" t="str">
        <f aca="false">IF(Q2823="","",IFERROR(Q2823/(1/(1/INDEX(CONFIG!$I$5:$I$14,MATCH(D2823,CONFIG!$D$5:$D$14,0)))),""))</f>
        <v/>
      </c>
      <c r="T2823" s="13"/>
      <c r="U2823" s="13"/>
      <c r="V2823" s="13"/>
      <c r="W2823" s="13"/>
      <c r="X2823" s="22" t="str">
        <f aca="false">IF(Q2823="","",Q2823^2)</f>
        <v/>
      </c>
      <c r="Y2823" s="22" t="str">
        <f aca="false">IF(AND(C2823&lt;&gt;"",C2823=CERTIFICADO!$E$4,OR(CERTIFICADO!$E$5="",B2823=CERTIFICADO!$E$5)),MAX($Y$4:Y2822)+1,"")</f>
        <v/>
      </c>
    </row>
    <row r="2824" customFormat="false" ht="15" hidden="false" customHeight="false" outlineLevel="0" collapsed="false">
      <c r="A2824" s="11" t="str">
        <f aca="false">IF(C2824="","",ROW()-4)</f>
        <v/>
      </c>
      <c r="B2824" s="12"/>
      <c r="C2824" s="13"/>
      <c r="D2824" s="23" t="str">
        <f aca="false">IF(C2824="","",IFERROR(INDEX(LOTES!$D$5:$D$1004,MATCH(C2824,LOTES!$F$5:$F$1004,0)),"¿Lote?"))</f>
        <v/>
      </c>
      <c r="E2824" s="11" t="str">
        <f aca="false">IF(C2824="","",IFERROR(INDEX(LOTES!$C$5:$C$1004,MATCH(C2824,LOTES!$F$5:$F$1004,0)),""))</f>
        <v/>
      </c>
      <c r="F2824" s="24" t="str">
        <f aca="false">IF(C2824="","",IFERROR(INDEX(LOTES!$B$5:$B$1004,MATCH(C2824,LOTES!$F$5:$F$1004,0)),""))</f>
        <v/>
      </c>
      <c r="G2824" s="15" t="str">
        <f aca="false">IF(OR(B2824="",F2824=""),"",B2824-F2824)</f>
        <v/>
      </c>
      <c r="H2824" s="13"/>
      <c r="I2824" s="13"/>
      <c r="J2824" s="13"/>
      <c r="K2824" s="25"/>
      <c r="L2824" s="25"/>
      <c r="M2824" s="25"/>
      <c r="N2824" s="25"/>
      <c r="O2824" s="26"/>
      <c r="P2824" s="16" t="str">
        <f aca="false">IF(O2824="","",IFERROR(1/(1/(IF(K2824="",INDEX(CONFIG!$F$5:$F$14,MATCH(D2824,CONFIG!$D$5:$D$14,0)),K2824)*IF(M2824="",INDEX(CONFIG!$H$5:$H$14,MATCH(D2824,CONFIG!$D$5:$D$14,0)),M2824))),""))</f>
        <v/>
      </c>
      <c r="Q2824" s="16" t="str">
        <f aca="false">IF(OR(O2824="",P2824=""),"",O2824/P2824)</f>
        <v/>
      </c>
      <c r="R2824" s="16" t="str">
        <f aca="false">IF(Q2824="","",Q2824*0.0980665)</f>
        <v/>
      </c>
      <c r="S2824" s="16" t="str">
        <f aca="false">IF(Q2824="","",IFERROR(Q2824/(1/(1/INDEX(CONFIG!$I$5:$I$14,MATCH(D2824,CONFIG!$D$5:$D$14,0)))),""))</f>
        <v/>
      </c>
      <c r="T2824" s="13"/>
      <c r="U2824" s="13"/>
      <c r="V2824" s="13"/>
      <c r="W2824" s="13"/>
      <c r="X2824" s="22" t="str">
        <f aca="false">IF(Q2824="","",Q2824^2)</f>
        <v/>
      </c>
      <c r="Y2824" s="22" t="str">
        <f aca="false">IF(AND(C2824&lt;&gt;"",C2824=CERTIFICADO!$E$4,OR(CERTIFICADO!$E$5="",B2824=CERTIFICADO!$E$5)),MAX($Y$4:Y2823)+1,"")</f>
        <v/>
      </c>
    </row>
    <row r="2825" customFormat="false" ht="15" hidden="false" customHeight="false" outlineLevel="0" collapsed="false">
      <c r="A2825" s="11" t="str">
        <f aca="false">IF(C2825="","",ROW()-4)</f>
        <v/>
      </c>
      <c r="B2825" s="12"/>
      <c r="C2825" s="13"/>
      <c r="D2825" s="23" t="str">
        <f aca="false">IF(C2825="","",IFERROR(INDEX(LOTES!$D$5:$D$1004,MATCH(C2825,LOTES!$F$5:$F$1004,0)),"¿Lote?"))</f>
        <v/>
      </c>
      <c r="E2825" s="11" t="str">
        <f aca="false">IF(C2825="","",IFERROR(INDEX(LOTES!$C$5:$C$1004,MATCH(C2825,LOTES!$F$5:$F$1004,0)),""))</f>
        <v/>
      </c>
      <c r="F2825" s="24" t="str">
        <f aca="false">IF(C2825="","",IFERROR(INDEX(LOTES!$B$5:$B$1004,MATCH(C2825,LOTES!$F$5:$F$1004,0)),""))</f>
        <v/>
      </c>
      <c r="G2825" s="15" t="str">
        <f aca="false">IF(OR(B2825="",F2825=""),"",B2825-F2825)</f>
        <v/>
      </c>
      <c r="H2825" s="13"/>
      <c r="I2825" s="13"/>
      <c r="J2825" s="13"/>
      <c r="K2825" s="25"/>
      <c r="L2825" s="25"/>
      <c r="M2825" s="25"/>
      <c r="N2825" s="25"/>
      <c r="O2825" s="26"/>
      <c r="P2825" s="16" t="str">
        <f aca="false">IF(O2825="","",IFERROR(1/(1/(IF(K2825="",INDEX(CONFIG!$F$5:$F$14,MATCH(D2825,CONFIG!$D$5:$D$14,0)),K2825)*IF(M2825="",INDEX(CONFIG!$H$5:$H$14,MATCH(D2825,CONFIG!$D$5:$D$14,0)),M2825))),""))</f>
        <v/>
      </c>
      <c r="Q2825" s="16" t="str">
        <f aca="false">IF(OR(O2825="",P2825=""),"",O2825/P2825)</f>
        <v/>
      </c>
      <c r="R2825" s="16" t="str">
        <f aca="false">IF(Q2825="","",Q2825*0.0980665)</f>
        <v/>
      </c>
      <c r="S2825" s="16" t="str">
        <f aca="false">IF(Q2825="","",IFERROR(Q2825/(1/(1/INDEX(CONFIG!$I$5:$I$14,MATCH(D2825,CONFIG!$D$5:$D$14,0)))),""))</f>
        <v/>
      </c>
      <c r="T2825" s="13"/>
      <c r="U2825" s="13"/>
      <c r="V2825" s="13"/>
      <c r="W2825" s="13"/>
      <c r="X2825" s="22" t="str">
        <f aca="false">IF(Q2825="","",Q2825^2)</f>
        <v/>
      </c>
      <c r="Y2825" s="22" t="str">
        <f aca="false">IF(AND(C2825&lt;&gt;"",C2825=CERTIFICADO!$E$4,OR(CERTIFICADO!$E$5="",B2825=CERTIFICADO!$E$5)),MAX($Y$4:Y2824)+1,"")</f>
        <v/>
      </c>
    </row>
    <row r="2826" customFormat="false" ht="15" hidden="false" customHeight="false" outlineLevel="0" collapsed="false">
      <c r="A2826" s="11" t="str">
        <f aca="false">IF(C2826="","",ROW()-4)</f>
        <v/>
      </c>
      <c r="B2826" s="12"/>
      <c r="C2826" s="13"/>
      <c r="D2826" s="23" t="str">
        <f aca="false">IF(C2826="","",IFERROR(INDEX(LOTES!$D$5:$D$1004,MATCH(C2826,LOTES!$F$5:$F$1004,0)),"¿Lote?"))</f>
        <v/>
      </c>
      <c r="E2826" s="11" t="str">
        <f aca="false">IF(C2826="","",IFERROR(INDEX(LOTES!$C$5:$C$1004,MATCH(C2826,LOTES!$F$5:$F$1004,0)),""))</f>
        <v/>
      </c>
      <c r="F2826" s="24" t="str">
        <f aca="false">IF(C2826="","",IFERROR(INDEX(LOTES!$B$5:$B$1004,MATCH(C2826,LOTES!$F$5:$F$1004,0)),""))</f>
        <v/>
      </c>
      <c r="G2826" s="15" t="str">
        <f aca="false">IF(OR(B2826="",F2826=""),"",B2826-F2826)</f>
        <v/>
      </c>
      <c r="H2826" s="13"/>
      <c r="I2826" s="13"/>
      <c r="J2826" s="13"/>
      <c r="K2826" s="25"/>
      <c r="L2826" s="25"/>
      <c r="M2826" s="25"/>
      <c r="N2826" s="25"/>
      <c r="O2826" s="26"/>
      <c r="P2826" s="16" t="str">
        <f aca="false">IF(O2826="","",IFERROR(1/(1/(IF(K2826="",INDEX(CONFIG!$F$5:$F$14,MATCH(D2826,CONFIG!$D$5:$D$14,0)),K2826)*IF(M2826="",INDEX(CONFIG!$H$5:$H$14,MATCH(D2826,CONFIG!$D$5:$D$14,0)),M2826))),""))</f>
        <v/>
      </c>
      <c r="Q2826" s="16" t="str">
        <f aca="false">IF(OR(O2826="",P2826=""),"",O2826/P2826)</f>
        <v/>
      </c>
      <c r="R2826" s="16" t="str">
        <f aca="false">IF(Q2826="","",Q2826*0.0980665)</f>
        <v/>
      </c>
      <c r="S2826" s="16" t="str">
        <f aca="false">IF(Q2826="","",IFERROR(Q2826/(1/(1/INDEX(CONFIG!$I$5:$I$14,MATCH(D2826,CONFIG!$D$5:$D$14,0)))),""))</f>
        <v/>
      </c>
      <c r="T2826" s="13"/>
      <c r="U2826" s="13"/>
      <c r="V2826" s="13"/>
      <c r="W2826" s="13"/>
      <c r="X2826" s="22" t="str">
        <f aca="false">IF(Q2826="","",Q2826^2)</f>
        <v/>
      </c>
      <c r="Y2826" s="22" t="str">
        <f aca="false">IF(AND(C2826&lt;&gt;"",C2826=CERTIFICADO!$E$4,OR(CERTIFICADO!$E$5="",B2826=CERTIFICADO!$E$5)),MAX($Y$4:Y2825)+1,"")</f>
        <v/>
      </c>
    </row>
    <row r="2827" customFormat="false" ht="15" hidden="false" customHeight="false" outlineLevel="0" collapsed="false">
      <c r="A2827" s="11" t="str">
        <f aca="false">IF(C2827="","",ROW()-4)</f>
        <v/>
      </c>
      <c r="B2827" s="12"/>
      <c r="C2827" s="13"/>
      <c r="D2827" s="23" t="str">
        <f aca="false">IF(C2827="","",IFERROR(INDEX(LOTES!$D$5:$D$1004,MATCH(C2827,LOTES!$F$5:$F$1004,0)),"¿Lote?"))</f>
        <v/>
      </c>
      <c r="E2827" s="11" t="str">
        <f aca="false">IF(C2827="","",IFERROR(INDEX(LOTES!$C$5:$C$1004,MATCH(C2827,LOTES!$F$5:$F$1004,0)),""))</f>
        <v/>
      </c>
      <c r="F2827" s="24" t="str">
        <f aca="false">IF(C2827="","",IFERROR(INDEX(LOTES!$B$5:$B$1004,MATCH(C2827,LOTES!$F$5:$F$1004,0)),""))</f>
        <v/>
      </c>
      <c r="G2827" s="15" t="str">
        <f aca="false">IF(OR(B2827="",F2827=""),"",B2827-F2827)</f>
        <v/>
      </c>
      <c r="H2827" s="13"/>
      <c r="I2827" s="13"/>
      <c r="J2827" s="13"/>
      <c r="K2827" s="25"/>
      <c r="L2827" s="25"/>
      <c r="M2827" s="25"/>
      <c r="N2827" s="25"/>
      <c r="O2827" s="26"/>
      <c r="P2827" s="16" t="str">
        <f aca="false">IF(O2827="","",IFERROR(1/(1/(IF(K2827="",INDEX(CONFIG!$F$5:$F$14,MATCH(D2827,CONFIG!$D$5:$D$14,0)),K2827)*IF(M2827="",INDEX(CONFIG!$H$5:$H$14,MATCH(D2827,CONFIG!$D$5:$D$14,0)),M2827))),""))</f>
        <v/>
      </c>
      <c r="Q2827" s="16" t="str">
        <f aca="false">IF(OR(O2827="",P2827=""),"",O2827/P2827)</f>
        <v/>
      </c>
      <c r="R2827" s="16" t="str">
        <f aca="false">IF(Q2827="","",Q2827*0.0980665)</f>
        <v/>
      </c>
      <c r="S2827" s="16" t="str">
        <f aca="false">IF(Q2827="","",IFERROR(Q2827/(1/(1/INDEX(CONFIG!$I$5:$I$14,MATCH(D2827,CONFIG!$D$5:$D$14,0)))),""))</f>
        <v/>
      </c>
      <c r="T2827" s="13"/>
      <c r="U2827" s="13"/>
      <c r="V2827" s="13"/>
      <c r="W2827" s="13"/>
      <c r="X2827" s="22" t="str">
        <f aca="false">IF(Q2827="","",Q2827^2)</f>
        <v/>
      </c>
      <c r="Y2827" s="22" t="str">
        <f aca="false">IF(AND(C2827&lt;&gt;"",C2827=CERTIFICADO!$E$4,OR(CERTIFICADO!$E$5="",B2827=CERTIFICADO!$E$5)),MAX($Y$4:Y2826)+1,"")</f>
        <v/>
      </c>
    </row>
    <row r="2828" customFormat="false" ht="15" hidden="false" customHeight="false" outlineLevel="0" collapsed="false">
      <c r="A2828" s="11" t="str">
        <f aca="false">IF(C2828="","",ROW()-4)</f>
        <v/>
      </c>
      <c r="B2828" s="12"/>
      <c r="C2828" s="13"/>
      <c r="D2828" s="23" t="str">
        <f aca="false">IF(C2828="","",IFERROR(INDEX(LOTES!$D$5:$D$1004,MATCH(C2828,LOTES!$F$5:$F$1004,0)),"¿Lote?"))</f>
        <v/>
      </c>
      <c r="E2828" s="11" t="str">
        <f aca="false">IF(C2828="","",IFERROR(INDEX(LOTES!$C$5:$C$1004,MATCH(C2828,LOTES!$F$5:$F$1004,0)),""))</f>
        <v/>
      </c>
      <c r="F2828" s="24" t="str">
        <f aca="false">IF(C2828="","",IFERROR(INDEX(LOTES!$B$5:$B$1004,MATCH(C2828,LOTES!$F$5:$F$1004,0)),""))</f>
        <v/>
      </c>
      <c r="G2828" s="15" t="str">
        <f aca="false">IF(OR(B2828="",F2828=""),"",B2828-F2828)</f>
        <v/>
      </c>
      <c r="H2828" s="13"/>
      <c r="I2828" s="13"/>
      <c r="J2828" s="13"/>
      <c r="K2828" s="25"/>
      <c r="L2828" s="25"/>
      <c r="M2828" s="25"/>
      <c r="N2828" s="25"/>
      <c r="O2828" s="26"/>
      <c r="P2828" s="16" t="str">
        <f aca="false">IF(O2828="","",IFERROR(1/(1/(IF(K2828="",INDEX(CONFIG!$F$5:$F$14,MATCH(D2828,CONFIG!$D$5:$D$14,0)),K2828)*IF(M2828="",INDEX(CONFIG!$H$5:$H$14,MATCH(D2828,CONFIG!$D$5:$D$14,0)),M2828))),""))</f>
        <v/>
      </c>
      <c r="Q2828" s="16" t="str">
        <f aca="false">IF(OR(O2828="",P2828=""),"",O2828/P2828)</f>
        <v/>
      </c>
      <c r="R2828" s="16" t="str">
        <f aca="false">IF(Q2828="","",Q2828*0.0980665)</f>
        <v/>
      </c>
      <c r="S2828" s="16" t="str">
        <f aca="false">IF(Q2828="","",IFERROR(Q2828/(1/(1/INDEX(CONFIG!$I$5:$I$14,MATCH(D2828,CONFIG!$D$5:$D$14,0)))),""))</f>
        <v/>
      </c>
      <c r="T2828" s="13"/>
      <c r="U2828" s="13"/>
      <c r="V2828" s="13"/>
      <c r="W2828" s="13"/>
      <c r="X2828" s="22" t="str">
        <f aca="false">IF(Q2828="","",Q2828^2)</f>
        <v/>
      </c>
      <c r="Y2828" s="22" t="str">
        <f aca="false">IF(AND(C2828&lt;&gt;"",C2828=CERTIFICADO!$E$4,OR(CERTIFICADO!$E$5="",B2828=CERTIFICADO!$E$5)),MAX($Y$4:Y2827)+1,"")</f>
        <v/>
      </c>
    </row>
    <row r="2829" customFormat="false" ht="15" hidden="false" customHeight="false" outlineLevel="0" collapsed="false">
      <c r="A2829" s="11" t="str">
        <f aca="false">IF(C2829="","",ROW()-4)</f>
        <v/>
      </c>
      <c r="B2829" s="12"/>
      <c r="C2829" s="13"/>
      <c r="D2829" s="23" t="str">
        <f aca="false">IF(C2829="","",IFERROR(INDEX(LOTES!$D$5:$D$1004,MATCH(C2829,LOTES!$F$5:$F$1004,0)),"¿Lote?"))</f>
        <v/>
      </c>
      <c r="E2829" s="11" t="str">
        <f aca="false">IF(C2829="","",IFERROR(INDEX(LOTES!$C$5:$C$1004,MATCH(C2829,LOTES!$F$5:$F$1004,0)),""))</f>
        <v/>
      </c>
      <c r="F2829" s="24" t="str">
        <f aca="false">IF(C2829="","",IFERROR(INDEX(LOTES!$B$5:$B$1004,MATCH(C2829,LOTES!$F$5:$F$1004,0)),""))</f>
        <v/>
      </c>
      <c r="G2829" s="15" t="str">
        <f aca="false">IF(OR(B2829="",F2829=""),"",B2829-F2829)</f>
        <v/>
      </c>
      <c r="H2829" s="13"/>
      <c r="I2829" s="13"/>
      <c r="J2829" s="13"/>
      <c r="K2829" s="25"/>
      <c r="L2829" s="25"/>
      <c r="M2829" s="25"/>
      <c r="N2829" s="25"/>
      <c r="O2829" s="26"/>
      <c r="P2829" s="16" t="str">
        <f aca="false">IF(O2829="","",IFERROR(1/(1/(IF(K2829="",INDEX(CONFIG!$F$5:$F$14,MATCH(D2829,CONFIG!$D$5:$D$14,0)),K2829)*IF(M2829="",INDEX(CONFIG!$H$5:$H$14,MATCH(D2829,CONFIG!$D$5:$D$14,0)),M2829))),""))</f>
        <v/>
      </c>
      <c r="Q2829" s="16" t="str">
        <f aca="false">IF(OR(O2829="",P2829=""),"",O2829/P2829)</f>
        <v/>
      </c>
      <c r="R2829" s="16" t="str">
        <f aca="false">IF(Q2829="","",Q2829*0.0980665)</f>
        <v/>
      </c>
      <c r="S2829" s="16" t="str">
        <f aca="false">IF(Q2829="","",IFERROR(Q2829/(1/(1/INDEX(CONFIG!$I$5:$I$14,MATCH(D2829,CONFIG!$D$5:$D$14,0)))),""))</f>
        <v/>
      </c>
      <c r="T2829" s="13"/>
      <c r="U2829" s="13"/>
      <c r="V2829" s="13"/>
      <c r="W2829" s="13"/>
      <c r="X2829" s="22" t="str">
        <f aca="false">IF(Q2829="","",Q2829^2)</f>
        <v/>
      </c>
      <c r="Y2829" s="22" t="str">
        <f aca="false">IF(AND(C2829&lt;&gt;"",C2829=CERTIFICADO!$E$4,OR(CERTIFICADO!$E$5="",B2829=CERTIFICADO!$E$5)),MAX($Y$4:Y2828)+1,"")</f>
        <v/>
      </c>
    </row>
    <row r="2830" customFormat="false" ht="15" hidden="false" customHeight="false" outlineLevel="0" collapsed="false">
      <c r="A2830" s="11" t="str">
        <f aca="false">IF(C2830="","",ROW()-4)</f>
        <v/>
      </c>
      <c r="B2830" s="12"/>
      <c r="C2830" s="13"/>
      <c r="D2830" s="23" t="str">
        <f aca="false">IF(C2830="","",IFERROR(INDEX(LOTES!$D$5:$D$1004,MATCH(C2830,LOTES!$F$5:$F$1004,0)),"¿Lote?"))</f>
        <v/>
      </c>
      <c r="E2830" s="11" t="str">
        <f aca="false">IF(C2830="","",IFERROR(INDEX(LOTES!$C$5:$C$1004,MATCH(C2830,LOTES!$F$5:$F$1004,0)),""))</f>
        <v/>
      </c>
      <c r="F2830" s="24" t="str">
        <f aca="false">IF(C2830="","",IFERROR(INDEX(LOTES!$B$5:$B$1004,MATCH(C2830,LOTES!$F$5:$F$1004,0)),""))</f>
        <v/>
      </c>
      <c r="G2830" s="15" t="str">
        <f aca="false">IF(OR(B2830="",F2830=""),"",B2830-F2830)</f>
        <v/>
      </c>
      <c r="H2830" s="13"/>
      <c r="I2830" s="13"/>
      <c r="J2830" s="13"/>
      <c r="K2830" s="25"/>
      <c r="L2830" s="25"/>
      <c r="M2830" s="25"/>
      <c r="N2830" s="25"/>
      <c r="O2830" s="26"/>
      <c r="P2830" s="16" t="str">
        <f aca="false">IF(O2830="","",IFERROR(1/(1/(IF(K2830="",INDEX(CONFIG!$F$5:$F$14,MATCH(D2830,CONFIG!$D$5:$D$14,0)),K2830)*IF(M2830="",INDEX(CONFIG!$H$5:$H$14,MATCH(D2830,CONFIG!$D$5:$D$14,0)),M2830))),""))</f>
        <v/>
      </c>
      <c r="Q2830" s="16" t="str">
        <f aca="false">IF(OR(O2830="",P2830=""),"",O2830/P2830)</f>
        <v/>
      </c>
      <c r="R2830" s="16" t="str">
        <f aca="false">IF(Q2830="","",Q2830*0.0980665)</f>
        <v/>
      </c>
      <c r="S2830" s="16" t="str">
        <f aca="false">IF(Q2830="","",IFERROR(Q2830/(1/(1/INDEX(CONFIG!$I$5:$I$14,MATCH(D2830,CONFIG!$D$5:$D$14,0)))),""))</f>
        <v/>
      </c>
      <c r="T2830" s="13"/>
      <c r="U2830" s="13"/>
      <c r="V2830" s="13"/>
      <c r="W2830" s="13"/>
      <c r="X2830" s="22" t="str">
        <f aca="false">IF(Q2830="","",Q2830^2)</f>
        <v/>
      </c>
      <c r="Y2830" s="22" t="str">
        <f aca="false">IF(AND(C2830&lt;&gt;"",C2830=CERTIFICADO!$E$4,OR(CERTIFICADO!$E$5="",B2830=CERTIFICADO!$E$5)),MAX($Y$4:Y2829)+1,"")</f>
        <v/>
      </c>
    </row>
    <row r="2831" customFormat="false" ht="15" hidden="false" customHeight="false" outlineLevel="0" collapsed="false">
      <c r="A2831" s="11" t="str">
        <f aca="false">IF(C2831="","",ROW()-4)</f>
        <v/>
      </c>
      <c r="B2831" s="12"/>
      <c r="C2831" s="13"/>
      <c r="D2831" s="23" t="str">
        <f aca="false">IF(C2831="","",IFERROR(INDEX(LOTES!$D$5:$D$1004,MATCH(C2831,LOTES!$F$5:$F$1004,0)),"¿Lote?"))</f>
        <v/>
      </c>
      <c r="E2831" s="11" t="str">
        <f aca="false">IF(C2831="","",IFERROR(INDEX(LOTES!$C$5:$C$1004,MATCH(C2831,LOTES!$F$5:$F$1004,0)),""))</f>
        <v/>
      </c>
      <c r="F2831" s="24" t="str">
        <f aca="false">IF(C2831="","",IFERROR(INDEX(LOTES!$B$5:$B$1004,MATCH(C2831,LOTES!$F$5:$F$1004,0)),""))</f>
        <v/>
      </c>
      <c r="G2831" s="15" t="str">
        <f aca="false">IF(OR(B2831="",F2831=""),"",B2831-F2831)</f>
        <v/>
      </c>
      <c r="H2831" s="13"/>
      <c r="I2831" s="13"/>
      <c r="J2831" s="13"/>
      <c r="K2831" s="25"/>
      <c r="L2831" s="25"/>
      <c r="M2831" s="25"/>
      <c r="N2831" s="25"/>
      <c r="O2831" s="26"/>
      <c r="P2831" s="16" t="str">
        <f aca="false">IF(O2831="","",IFERROR(1/(1/(IF(K2831="",INDEX(CONFIG!$F$5:$F$14,MATCH(D2831,CONFIG!$D$5:$D$14,0)),K2831)*IF(M2831="",INDEX(CONFIG!$H$5:$H$14,MATCH(D2831,CONFIG!$D$5:$D$14,0)),M2831))),""))</f>
        <v/>
      </c>
      <c r="Q2831" s="16" t="str">
        <f aca="false">IF(OR(O2831="",P2831=""),"",O2831/P2831)</f>
        <v/>
      </c>
      <c r="R2831" s="16" t="str">
        <f aca="false">IF(Q2831="","",Q2831*0.0980665)</f>
        <v/>
      </c>
      <c r="S2831" s="16" t="str">
        <f aca="false">IF(Q2831="","",IFERROR(Q2831/(1/(1/INDEX(CONFIG!$I$5:$I$14,MATCH(D2831,CONFIG!$D$5:$D$14,0)))),""))</f>
        <v/>
      </c>
      <c r="T2831" s="13"/>
      <c r="U2831" s="13"/>
      <c r="V2831" s="13"/>
      <c r="W2831" s="13"/>
      <c r="X2831" s="22" t="str">
        <f aca="false">IF(Q2831="","",Q2831^2)</f>
        <v/>
      </c>
      <c r="Y2831" s="22" t="str">
        <f aca="false">IF(AND(C2831&lt;&gt;"",C2831=CERTIFICADO!$E$4,OR(CERTIFICADO!$E$5="",B2831=CERTIFICADO!$E$5)),MAX($Y$4:Y2830)+1,"")</f>
        <v/>
      </c>
    </row>
    <row r="2832" customFormat="false" ht="15" hidden="false" customHeight="false" outlineLevel="0" collapsed="false">
      <c r="A2832" s="11" t="str">
        <f aca="false">IF(C2832="","",ROW()-4)</f>
        <v/>
      </c>
      <c r="B2832" s="12"/>
      <c r="C2832" s="13"/>
      <c r="D2832" s="23" t="str">
        <f aca="false">IF(C2832="","",IFERROR(INDEX(LOTES!$D$5:$D$1004,MATCH(C2832,LOTES!$F$5:$F$1004,0)),"¿Lote?"))</f>
        <v/>
      </c>
      <c r="E2832" s="11" t="str">
        <f aca="false">IF(C2832="","",IFERROR(INDEX(LOTES!$C$5:$C$1004,MATCH(C2832,LOTES!$F$5:$F$1004,0)),""))</f>
        <v/>
      </c>
      <c r="F2832" s="24" t="str">
        <f aca="false">IF(C2832="","",IFERROR(INDEX(LOTES!$B$5:$B$1004,MATCH(C2832,LOTES!$F$5:$F$1004,0)),""))</f>
        <v/>
      </c>
      <c r="G2832" s="15" t="str">
        <f aca="false">IF(OR(B2832="",F2832=""),"",B2832-F2832)</f>
        <v/>
      </c>
      <c r="H2832" s="13"/>
      <c r="I2832" s="13"/>
      <c r="J2832" s="13"/>
      <c r="K2832" s="25"/>
      <c r="L2832" s="25"/>
      <c r="M2832" s="25"/>
      <c r="N2832" s="25"/>
      <c r="O2832" s="26"/>
      <c r="P2832" s="16" t="str">
        <f aca="false">IF(O2832="","",IFERROR(1/(1/(IF(K2832="",INDEX(CONFIG!$F$5:$F$14,MATCH(D2832,CONFIG!$D$5:$D$14,0)),K2832)*IF(M2832="",INDEX(CONFIG!$H$5:$H$14,MATCH(D2832,CONFIG!$D$5:$D$14,0)),M2832))),""))</f>
        <v/>
      </c>
      <c r="Q2832" s="16" t="str">
        <f aca="false">IF(OR(O2832="",P2832=""),"",O2832/P2832)</f>
        <v/>
      </c>
      <c r="R2832" s="16" t="str">
        <f aca="false">IF(Q2832="","",Q2832*0.0980665)</f>
        <v/>
      </c>
      <c r="S2832" s="16" t="str">
        <f aca="false">IF(Q2832="","",IFERROR(Q2832/(1/(1/INDEX(CONFIG!$I$5:$I$14,MATCH(D2832,CONFIG!$D$5:$D$14,0)))),""))</f>
        <v/>
      </c>
      <c r="T2832" s="13"/>
      <c r="U2832" s="13"/>
      <c r="V2832" s="13"/>
      <c r="W2832" s="13"/>
      <c r="X2832" s="22" t="str">
        <f aca="false">IF(Q2832="","",Q2832^2)</f>
        <v/>
      </c>
      <c r="Y2832" s="22" t="str">
        <f aca="false">IF(AND(C2832&lt;&gt;"",C2832=CERTIFICADO!$E$4,OR(CERTIFICADO!$E$5="",B2832=CERTIFICADO!$E$5)),MAX($Y$4:Y2831)+1,"")</f>
        <v/>
      </c>
    </row>
    <row r="2833" customFormat="false" ht="15" hidden="false" customHeight="false" outlineLevel="0" collapsed="false">
      <c r="A2833" s="11" t="str">
        <f aca="false">IF(C2833="","",ROW()-4)</f>
        <v/>
      </c>
      <c r="B2833" s="12"/>
      <c r="C2833" s="13"/>
      <c r="D2833" s="23" t="str">
        <f aca="false">IF(C2833="","",IFERROR(INDEX(LOTES!$D$5:$D$1004,MATCH(C2833,LOTES!$F$5:$F$1004,0)),"¿Lote?"))</f>
        <v/>
      </c>
      <c r="E2833" s="11" t="str">
        <f aca="false">IF(C2833="","",IFERROR(INDEX(LOTES!$C$5:$C$1004,MATCH(C2833,LOTES!$F$5:$F$1004,0)),""))</f>
        <v/>
      </c>
      <c r="F2833" s="24" t="str">
        <f aca="false">IF(C2833="","",IFERROR(INDEX(LOTES!$B$5:$B$1004,MATCH(C2833,LOTES!$F$5:$F$1004,0)),""))</f>
        <v/>
      </c>
      <c r="G2833" s="15" t="str">
        <f aca="false">IF(OR(B2833="",F2833=""),"",B2833-F2833)</f>
        <v/>
      </c>
      <c r="H2833" s="13"/>
      <c r="I2833" s="13"/>
      <c r="J2833" s="13"/>
      <c r="K2833" s="25"/>
      <c r="L2833" s="25"/>
      <c r="M2833" s="25"/>
      <c r="N2833" s="25"/>
      <c r="O2833" s="26"/>
      <c r="P2833" s="16" t="str">
        <f aca="false">IF(O2833="","",IFERROR(1/(1/(IF(K2833="",INDEX(CONFIG!$F$5:$F$14,MATCH(D2833,CONFIG!$D$5:$D$14,0)),K2833)*IF(M2833="",INDEX(CONFIG!$H$5:$H$14,MATCH(D2833,CONFIG!$D$5:$D$14,0)),M2833))),""))</f>
        <v/>
      </c>
      <c r="Q2833" s="16" t="str">
        <f aca="false">IF(OR(O2833="",P2833=""),"",O2833/P2833)</f>
        <v/>
      </c>
      <c r="R2833" s="16" t="str">
        <f aca="false">IF(Q2833="","",Q2833*0.0980665)</f>
        <v/>
      </c>
      <c r="S2833" s="16" t="str">
        <f aca="false">IF(Q2833="","",IFERROR(Q2833/(1/(1/INDEX(CONFIG!$I$5:$I$14,MATCH(D2833,CONFIG!$D$5:$D$14,0)))),""))</f>
        <v/>
      </c>
      <c r="T2833" s="13"/>
      <c r="U2833" s="13"/>
      <c r="V2833" s="13"/>
      <c r="W2833" s="13"/>
      <c r="X2833" s="22" t="str">
        <f aca="false">IF(Q2833="","",Q2833^2)</f>
        <v/>
      </c>
      <c r="Y2833" s="22" t="str">
        <f aca="false">IF(AND(C2833&lt;&gt;"",C2833=CERTIFICADO!$E$4,OR(CERTIFICADO!$E$5="",B2833=CERTIFICADO!$E$5)),MAX($Y$4:Y2832)+1,"")</f>
        <v/>
      </c>
    </row>
    <row r="2834" customFormat="false" ht="15" hidden="false" customHeight="false" outlineLevel="0" collapsed="false">
      <c r="A2834" s="11" t="str">
        <f aca="false">IF(C2834="","",ROW()-4)</f>
        <v/>
      </c>
      <c r="B2834" s="12"/>
      <c r="C2834" s="13"/>
      <c r="D2834" s="23" t="str">
        <f aca="false">IF(C2834="","",IFERROR(INDEX(LOTES!$D$5:$D$1004,MATCH(C2834,LOTES!$F$5:$F$1004,0)),"¿Lote?"))</f>
        <v/>
      </c>
      <c r="E2834" s="11" t="str">
        <f aca="false">IF(C2834="","",IFERROR(INDEX(LOTES!$C$5:$C$1004,MATCH(C2834,LOTES!$F$5:$F$1004,0)),""))</f>
        <v/>
      </c>
      <c r="F2834" s="24" t="str">
        <f aca="false">IF(C2834="","",IFERROR(INDEX(LOTES!$B$5:$B$1004,MATCH(C2834,LOTES!$F$5:$F$1004,0)),""))</f>
        <v/>
      </c>
      <c r="G2834" s="15" t="str">
        <f aca="false">IF(OR(B2834="",F2834=""),"",B2834-F2834)</f>
        <v/>
      </c>
      <c r="H2834" s="13"/>
      <c r="I2834" s="13"/>
      <c r="J2834" s="13"/>
      <c r="K2834" s="25"/>
      <c r="L2834" s="25"/>
      <c r="M2834" s="25"/>
      <c r="N2834" s="25"/>
      <c r="O2834" s="26"/>
      <c r="P2834" s="16" t="str">
        <f aca="false">IF(O2834="","",IFERROR(1/(1/(IF(K2834="",INDEX(CONFIG!$F$5:$F$14,MATCH(D2834,CONFIG!$D$5:$D$14,0)),K2834)*IF(M2834="",INDEX(CONFIG!$H$5:$H$14,MATCH(D2834,CONFIG!$D$5:$D$14,0)),M2834))),""))</f>
        <v/>
      </c>
      <c r="Q2834" s="16" t="str">
        <f aca="false">IF(OR(O2834="",P2834=""),"",O2834/P2834)</f>
        <v/>
      </c>
      <c r="R2834" s="16" t="str">
        <f aca="false">IF(Q2834="","",Q2834*0.0980665)</f>
        <v/>
      </c>
      <c r="S2834" s="16" t="str">
        <f aca="false">IF(Q2834="","",IFERROR(Q2834/(1/(1/INDEX(CONFIG!$I$5:$I$14,MATCH(D2834,CONFIG!$D$5:$D$14,0)))),""))</f>
        <v/>
      </c>
      <c r="T2834" s="13"/>
      <c r="U2834" s="13"/>
      <c r="V2834" s="13"/>
      <c r="W2834" s="13"/>
      <c r="X2834" s="22" t="str">
        <f aca="false">IF(Q2834="","",Q2834^2)</f>
        <v/>
      </c>
      <c r="Y2834" s="22" t="str">
        <f aca="false">IF(AND(C2834&lt;&gt;"",C2834=CERTIFICADO!$E$4,OR(CERTIFICADO!$E$5="",B2834=CERTIFICADO!$E$5)),MAX($Y$4:Y2833)+1,"")</f>
        <v/>
      </c>
    </row>
    <row r="2835" customFormat="false" ht="15" hidden="false" customHeight="false" outlineLevel="0" collapsed="false">
      <c r="A2835" s="11" t="str">
        <f aca="false">IF(C2835="","",ROW()-4)</f>
        <v/>
      </c>
      <c r="B2835" s="12"/>
      <c r="C2835" s="13"/>
      <c r="D2835" s="23" t="str">
        <f aca="false">IF(C2835="","",IFERROR(INDEX(LOTES!$D$5:$D$1004,MATCH(C2835,LOTES!$F$5:$F$1004,0)),"¿Lote?"))</f>
        <v/>
      </c>
      <c r="E2835" s="11" t="str">
        <f aca="false">IF(C2835="","",IFERROR(INDEX(LOTES!$C$5:$C$1004,MATCH(C2835,LOTES!$F$5:$F$1004,0)),""))</f>
        <v/>
      </c>
      <c r="F2835" s="24" t="str">
        <f aca="false">IF(C2835="","",IFERROR(INDEX(LOTES!$B$5:$B$1004,MATCH(C2835,LOTES!$F$5:$F$1004,0)),""))</f>
        <v/>
      </c>
      <c r="G2835" s="15" t="str">
        <f aca="false">IF(OR(B2835="",F2835=""),"",B2835-F2835)</f>
        <v/>
      </c>
      <c r="H2835" s="13"/>
      <c r="I2835" s="13"/>
      <c r="J2835" s="13"/>
      <c r="K2835" s="25"/>
      <c r="L2835" s="25"/>
      <c r="M2835" s="25"/>
      <c r="N2835" s="25"/>
      <c r="O2835" s="26"/>
      <c r="P2835" s="16" t="str">
        <f aca="false">IF(O2835="","",IFERROR(1/(1/(IF(K2835="",INDEX(CONFIG!$F$5:$F$14,MATCH(D2835,CONFIG!$D$5:$D$14,0)),K2835)*IF(M2835="",INDEX(CONFIG!$H$5:$H$14,MATCH(D2835,CONFIG!$D$5:$D$14,0)),M2835))),""))</f>
        <v/>
      </c>
      <c r="Q2835" s="16" t="str">
        <f aca="false">IF(OR(O2835="",P2835=""),"",O2835/P2835)</f>
        <v/>
      </c>
      <c r="R2835" s="16" t="str">
        <f aca="false">IF(Q2835="","",Q2835*0.0980665)</f>
        <v/>
      </c>
      <c r="S2835" s="16" t="str">
        <f aca="false">IF(Q2835="","",IFERROR(Q2835/(1/(1/INDEX(CONFIG!$I$5:$I$14,MATCH(D2835,CONFIG!$D$5:$D$14,0)))),""))</f>
        <v/>
      </c>
      <c r="T2835" s="13"/>
      <c r="U2835" s="13"/>
      <c r="V2835" s="13"/>
      <c r="W2835" s="13"/>
      <c r="X2835" s="22" t="str">
        <f aca="false">IF(Q2835="","",Q2835^2)</f>
        <v/>
      </c>
      <c r="Y2835" s="22" t="str">
        <f aca="false">IF(AND(C2835&lt;&gt;"",C2835=CERTIFICADO!$E$4,OR(CERTIFICADO!$E$5="",B2835=CERTIFICADO!$E$5)),MAX($Y$4:Y2834)+1,"")</f>
        <v/>
      </c>
    </row>
    <row r="2836" customFormat="false" ht="15" hidden="false" customHeight="false" outlineLevel="0" collapsed="false">
      <c r="A2836" s="11" t="str">
        <f aca="false">IF(C2836="","",ROW()-4)</f>
        <v/>
      </c>
      <c r="B2836" s="12"/>
      <c r="C2836" s="13"/>
      <c r="D2836" s="23" t="str">
        <f aca="false">IF(C2836="","",IFERROR(INDEX(LOTES!$D$5:$D$1004,MATCH(C2836,LOTES!$F$5:$F$1004,0)),"¿Lote?"))</f>
        <v/>
      </c>
      <c r="E2836" s="11" t="str">
        <f aca="false">IF(C2836="","",IFERROR(INDEX(LOTES!$C$5:$C$1004,MATCH(C2836,LOTES!$F$5:$F$1004,0)),""))</f>
        <v/>
      </c>
      <c r="F2836" s="24" t="str">
        <f aca="false">IF(C2836="","",IFERROR(INDEX(LOTES!$B$5:$B$1004,MATCH(C2836,LOTES!$F$5:$F$1004,0)),""))</f>
        <v/>
      </c>
      <c r="G2836" s="15" t="str">
        <f aca="false">IF(OR(B2836="",F2836=""),"",B2836-F2836)</f>
        <v/>
      </c>
      <c r="H2836" s="13"/>
      <c r="I2836" s="13"/>
      <c r="J2836" s="13"/>
      <c r="K2836" s="25"/>
      <c r="L2836" s="25"/>
      <c r="M2836" s="25"/>
      <c r="N2836" s="25"/>
      <c r="O2836" s="26"/>
      <c r="P2836" s="16" t="str">
        <f aca="false">IF(O2836="","",IFERROR(1/(1/(IF(K2836="",INDEX(CONFIG!$F$5:$F$14,MATCH(D2836,CONFIG!$D$5:$D$14,0)),K2836)*IF(M2836="",INDEX(CONFIG!$H$5:$H$14,MATCH(D2836,CONFIG!$D$5:$D$14,0)),M2836))),""))</f>
        <v/>
      </c>
      <c r="Q2836" s="16" t="str">
        <f aca="false">IF(OR(O2836="",P2836=""),"",O2836/P2836)</f>
        <v/>
      </c>
      <c r="R2836" s="16" t="str">
        <f aca="false">IF(Q2836="","",Q2836*0.0980665)</f>
        <v/>
      </c>
      <c r="S2836" s="16" t="str">
        <f aca="false">IF(Q2836="","",IFERROR(Q2836/(1/(1/INDEX(CONFIG!$I$5:$I$14,MATCH(D2836,CONFIG!$D$5:$D$14,0)))),""))</f>
        <v/>
      </c>
      <c r="T2836" s="13"/>
      <c r="U2836" s="13"/>
      <c r="V2836" s="13"/>
      <c r="W2836" s="13"/>
      <c r="X2836" s="22" t="str">
        <f aca="false">IF(Q2836="","",Q2836^2)</f>
        <v/>
      </c>
      <c r="Y2836" s="22" t="str">
        <f aca="false">IF(AND(C2836&lt;&gt;"",C2836=CERTIFICADO!$E$4,OR(CERTIFICADO!$E$5="",B2836=CERTIFICADO!$E$5)),MAX($Y$4:Y2835)+1,"")</f>
        <v/>
      </c>
    </row>
    <row r="2837" customFormat="false" ht="15" hidden="false" customHeight="false" outlineLevel="0" collapsed="false">
      <c r="A2837" s="11" t="str">
        <f aca="false">IF(C2837="","",ROW()-4)</f>
        <v/>
      </c>
      <c r="B2837" s="12"/>
      <c r="C2837" s="13"/>
      <c r="D2837" s="23" t="str">
        <f aca="false">IF(C2837="","",IFERROR(INDEX(LOTES!$D$5:$D$1004,MATCH(C2837,LOTES!$F$5:$F$1004,0)),"¿Lote?"))</f>
        <v/>
      </c>
      <c r="E2837" s="11" t="str">
        <f aca="false">IF(C2837="","",IFERROR(INDEX(LOTES!$C$5:$C$1004,MATCH(C2837,LOTES!$F$5:$F$1004,0)),""))</f>
        <v/>
      </c>
      <c r="F2837" s="24" t="str">
        <f aca="false">IF(C2837="","",IFERROR(INDEX(LOTES!$B$5:$B$1004,MATCH(C2837,LOTES!$F$5:$F$1004,0)),""))</f>
        <v/>
      </c>
      <c r="G2837" s="15" t="str">
        <f aca="false">IF(OR(B2837="",F2837=""),"",B2837-F2837)</f>
        <v/>
      </c>
      <c r="H2837" s="13"/>
      <c r="I2837" s="13"/>
      <c r="J2837" s="13"/>
      <c r="K2837" s="25"/>
      <c r="L2837" s="25"/>
      <c r="M2837" s="25"/>
      <c r="N2837" s="25"/>
      <c r="O2837" s="26"/>
      <c r="P2837" s="16" t="str">
        <f aca="false">IF(O2837="","",IFERROR(1/(1/(IF(K2837="",INDEX(CONFIG!$F$5:$F$14,MATCH(D2837,CONFIG!$D$5:$D$14,0)),K2837)*IF(M2837="",INDEX(CONFIG!$H$5:$H$14,MATCH(D2837,CONFIG!$D$5:$D$14,0)),M2837))),""))</f>
        <v/>
      </c>
      <c r="Q2837" s="16" t="str">
        <f aca="false">IF(OR(O2837="",P2837=""),"",O2837/P2837)</f>
        <v/>
      </c>
      <c r="R2837" s="16" t="str">
        <f aca="false">IF(Q2837="","",Q2837*0.0980665)</f>
        <v/>
      </c>
      <c r="S2837" s="16" t="str">
        <f aca="false">IF(Q2837="","",IFERROR(Q2837/(1/(1/INDEX(CONFIG!$I$5:$I$14,MATCH(D2837,CONFIG!$D$5:$D$14,0)))),""))</f>
        <v/>
      </c>
      <c r="T2837" s="13"/>
      <c r="U2837" s="13"/>
      <c r="V2837" s="13"/>
      <c r="W2837" s="13"/>
      <c r="X2837" s="22" t="str">
        <f aca="false">IF(Q2837="","",Q2837^2)</f>
        <v/>
      </c>
      <c r="Y2837" s="22" t="str">
        <f aca="false">IF(AND(C2837&lt;&gt;"",C2837=CERTIFICADO!$E$4,OR(CERTIFICADO!$E$5="",B2837=CERTIFICADO!$E$5)),MAX($Y$4:Y2836)+1,"")</f>
        <v/>
      </c>
    </row>
    <row r="2838" customFormat="false" ht="15" hidden="false" customHeight="false" outlineLevel="0" collapsed="false">
      <c r="A2838" s="11" t="str">
        <f aca="false">IF(C2838="","",ROW()-4)</f>
        <v/>
      </c>
      <c r="B2838" s="12"/>
      <c r="C2838" s="13"/>
      <c r="D2838" s="23" t="str">
        <f aca="false">IF(C2838="","",IFERROR(INDEX(LOTES!$D$5:$D$1004,MATCH(C2838,LOTES!$F$5:$F$1004,0)),"¿Lote?"))</f>
        <v/>
      </c>
      <c r="E2838" s="11" t="str">
        <f aca="false">IF(C2838="","",IFERROR(INDEX(LOTES!$C$5:$C$1004,MATCH(C2838,LOTES!$F$5:$F$1004,0)),""))</f>
        <v/>
      </c>
      <c r="F2838" s="24" t="str">
        <f aca="false">IF(C2838="","",IFERROR(INDEX(LOTES!$B$5:$B$1004,MATCH(C2838,LOTES!$F$5:$F$1004,0)),""))</f>
        <v/>
      </c>
      <c r="G2838" s="15" t="str">
        <f aca="false">IF(OR(B2838="",F2838=""),"",B2838-F2838)</f>
        <v/>
      </c>
      <c r="H2838" s="13"/>
      <c r="I2838" s="13"/>
      <c r="J2838" s="13"/>
      <c r="K2838" s="25"/>
      <c r="L2838" s="25"/>
      <c r="M2838" s="25"/>
      <c r="N2838" s="25"/>
      <c r="O2838" s="26"/>
      <c r="P2838" s="16" t="str">
        <f aca="false">IF(O2838="","",IFERROR(1/(1/(IF(K2838="",INDEX(CONFIG!$F$5:$F$14,MATCH(D2838,CONFIG!$D$5:$D$14,0)),K2838)*IF(M2838="",INDEX(CONFIG!$H$5:$H$14,MATCH(D2838,CONFIG!$D$5:$D$14,0)),M2838))),""))</f>
        <v/>
      </c>
      <c r="Q2838" s="16" t="str">
        <f aca="false">IF(OR(O2838="",P2838=""),"",O2838/P2838)</f>
        <v/>
      </c>
      <c r="R2838" s="16" t="str">
        <f aca="false">IF(Q2838="","",Q2838*0.0980665)</f>
        <v/>
      </c>
      <c r="S2838" s="16" t="str">
        <f aca="false">IF(Q2838="","",IFERROR(Q2838/(1/(1/INDEX(CONFIG!$I$5:$I$14,MATCH(D2838,CONFIG!$D$5:$D$14,0)))),""))</f>
        <v/>
      </c>
      <c r="T2838" s="13"/>
      <c r="U2838" s="13"/>
      <c r="V2838" s="13"/>
      <c r="W2838" s="13"/>
      <c r="X2838" s="22" t="str">
        <f aca="false">IF(Q2838="","",Q2838^2)</f>
        <v/>
      </c>
      <c r="Y2838" s="22" t="str">
        <f aca="false">IF(AND(C2838&lt;&gt;"",C2838=CERTIFICADO!$E$4,OR(CERTIFICADO!$E$5="",B2838=CERTIFICADO!$E$5)),MAX($Y$4:Y2837)+1,"")</f>
        <v/>
      </c>
    </row>
    <row r="2839" customFormat="false" ht="15" hidden="false" customHeight="false" outlineLevel="0" collapsed="false">
      <c r="A2839" s="11" t="str">
        <f aca="false">IF(C2839="","",ROW()-4)</f>
        <v/>
      </c>
      <c r="B2839" s="12"/>
      <c r="C2839" s="13"/>
      <c r="D2839" s="23" t="str">
        <f aca="false">IF(C2839="","",IFERROR(INDEX(LOTES!$D$5:$D$1004,MATCH(C2839,LOTES!$F$5:$F$1004,0)),"¿Lote?"))</f>
        <v/>
      </c>
      <c r="E2839" s="11" t="str">
        <f aca="false">IF(C2839="","",IFERROR(INDEX(LOTES!$C$5:$C$1004,MATCH(C2839,LOTES!$F$5:$F$1004,0)),""))</f>
        <v/>
      </c>
      <c r="F2839" s="24" t="str">
        <f aca="false">IF(C2839="","",IFERROR(INDEX(LOTES!$B$5:$B$1004,MATCH(C2839,LOTES!$F$5:$F$1004,0)),""))</f>
        <v/>
      </c>
      <c r="G2839" s="15" t="str">
        <f aca="false">IF(OR(B2839="",F2839=""),"",B2839-F2839)</f>
        <v/>
      </c>
      <c r="H2839" s="13"/>
      <c r="I2839" s="13"/>
      <c r="J2839" s="13"/>
      <c r="K2839" s="25"/>
      <c r="L2839" s="25"/>
      <c r="M2839" s="25"/>
      <c r="N2839" s="25"/>
      <c r="O2839" s="26"/>
      <c r="P2839" s="16" t="str">
        <f aca="false">IF(O2839="","",IFERROR(1/(1/(IF(K2839="",INDEX(CONFIG!$F$5:$F$14,MATCH(D2839,CONFIG!$D$5:$D$14,0)),K2839)*IF(M2839="",INDEX(CONFIG!$H$5:$H$14,MATCH(D2839,CONFIG!$D$5:$D$14,0)),M2839))),""))</f>
        <v/>
      </c>
      <c r="Q2839" s="16" t="str">
        <f aca="false">IF(OR(O2839="",P2839=""),"",O2839/P2839)</f>
        <v/>
      </c>
      <c r="R2839" s="16" t="str">
        <f aca="false">IF(Q2839="","",Q2839*0.0980665)</f>
        <v/>
      </c>
      <c r="S2839" s="16" t="str">
        <f aca="false">IF(Q2839="","",IFERROR(Q2839/(1/(1/INDEX(CONFIG!$I$5:$I$14,MATCH(D2839,CONFIG!$D$5:$D$14,0)))),""))</f>
        <v/>
      </c>
      <c r="T2839" s="13"/>
      <c r="U2839" s="13"/>
      <c r="V2839" s="13"/>
      <c r="W2839" s="13"/>
      <c r="X2839" s="22" t="str">
        <f aca="false">IF(Q2839="","",Q2839^2)</f>
        <v/>
      </c>
      <c r="Y2839" s="22" t="str">
        <f aca="false">IF(AND(C2839&lt;&gt;"",C2839=CERTIFICADO!$E$4,OR(CERTIFICADO!$E$5="",B2839=CERTIFICADO!$E$5)),MAX($Y$4:Y2838)+1,"")</f>
        <v/>
      </c>
    </row>
    <row r="2840" customFormat="false" ht="15" hidden="false" customHeight="false" outlineLevel="0" collapsed="false">
      <c r="A2840" s="11" t="str">
        <f aca="false">IF(C2840="","",ROW()-4)</f>
        <v/>
      </c>
      <c r="B2840" s="12"/>
      <c r="C2840" s="13"/>
      <c r="D2840" s="23" t="str">
        <f aca="false">IF(C2840="","",IFERROR(INDEX(LOTES!$D$5:$D$1004,MATCH(C2840,LOTES!$F$5:$F$1004,0)),"¿Lote?"))</f>
        <v/>
      </c>
      <c r="E2840" s="11" t="str">
        <f aca="false">IF(C2840="","",IFERROR(INDEX(LOTES!$C$5:$C$1004,MATCH(C2840,LOTES!$F$5:$F$1004,0)),""))</f>
        <v/>
      </c>
      <c r="F2840" s="24" t="str">
        <f aca="false">IF(C2840="","",IFERROR(INDEX(LOTES!$B$5:$B$1004,MATCH(C2840,LOTES!$F$5:$F$1004,0)),""))</f>
        <v/>
      </c>
      <c r="G2840" s="15" t="str">
        <f aca="false">IF(OR(B2840="",F2840=""),"",B2840-F2840)</f>
        <v/>
      </c>
      <c r="H2840" s="13"/>
      <c r="I2840" s="13"/>
      <c r="J2840" s="13"/>
      <c r="K2840" s="25"/>
      <c r="L2840" s="25"/>
      <c r="M2840" s="25"/>
      <c r="N2840" s="25"/>
      <c r="O2840" s="26"/>
      <c r="P2840" s="16" t="str">
        <f aca="false">IF(O2840="","",IFERROR(1/(1/(IF(K2840="",INDEX(CONFIG!$F$5:$F$14,MATCH(D2840,CONFIG!$D$5:$D$14,0)),K2840)*IF(M2840="",INDEX(CONFIG!$H$5:$H$14,MATCH(D2840,CONFIG!$D$5:$D$14,0)),M2840))),""))</f>
        <v/>
      </c>
      <c r="Q2840" s="16" t="str">
        <f aca="false">IF(OR(O2840="",P2840=""),"",O2840/P2840)</f>
        <v/>
      </c>
      <c r="R2840" s="16" t="str">
        <f aca="false">IF(Q2840="","",Q2840*0.0980665)</f>
        <v/>
      </c>
      <c r="S2840" s="16" t="str">
        <f aca="false">IF(Q2840="","",IFERROR(Q2840/(1/(1/INDEX(CONFIG!$I$5:$I$14,MATCH(D2840,CONFIG!$D$5:$D$14,0)))),""))</f>
        <v/>
      </c>
      <c r="T2840" s="13"/>
      <c r="U2840" s="13"/>
      <c r="V2840" s="13"/>
      <c r="W2840" s="13"/>
      <c r="X2840" s="22" t="str">
        <f aca="false">IF(Q2840="","",Q2840^2)</f>
        <v/>
      </c>
      <c r="Y2840" s="22" t="str">
        <f aca="false">IF(AND(C2840&lt;&gt;"",C2840=CERTIFICADO!$E$4,OR(CERTIFICADO!$E$5="",B2840=CERTIFICADO!$E$5)),MAX($Y$4:Y2839)+1,"")</f>
        <v/>
      </c>
    </row>
    <row r="2841" customFormat="false" ht="15" hidden="false" customHeight="false" outlineLevel="0" collapsed="false">
      <c r="A2841" s="11" t="str">
        <f aca="false">IF(C2841="","",ROW()-4)</f>
        <v/>
      </c>
      <c r="B2841" s="12"/>
      <c r="C2841" s="13"/>
      <c r="D2841" s="23" t="str">
        <f aca="false">IF(C2841="","",IFERROR(INDEX(LOTES!$D$5:$D$1004,MATCH(C2841,LOTES!$F$5:$F$1004,0)),"¿Lote?"))</f>
        <v/>
      </c>
      <c r="E2841" s="11" t="str">
        <f aca="false">IF(C2841="","",IFERROR(INDEX(LOTES!$C$5:$C$1004,MATCH(C2841,LOTES!$F$5:$F$1004,0)),""))</f>
        <v/>
      </c>
      <c r="F2841" s="24" t="str">
        <f aca="false">IF(C2841="","",IFERROR(INDEX(LOTES!$B$5:$B$1004,MATCH(C2841,LOTES!$F$5:$F$1004,0)),""))</f>
        <v/>
      </c>
      <c r="G2841" s="15" t="str">
        <f aca="false">IF(OR(B2841="",F2841=""),"",B2841-F2841)</f>
        <v/>
      </c>
      <c r="H2841" s="13"/>
      <c r="I2841" s="13"/>
      <c r="J2841" s="13"/>
      <c r="K2841" s="25"/>
      <c r="L2841" s="25"/>
      <c r="M2841" s="25"/>
      <c r="N2841" s="25"/>
      <c r="O2841" s="26"/>
      <c r="P2841" s="16" t="str">
        <f aca="false">IF(O2841="","",IFERROR(1/(1/(IF(K2841="",INDEX(CONFIG!$F$5:$F$14,MATCH(D2841,CONFIG!$D$5:$D$14,0)),K2841)*IF(M2841="",INDEX(CONFIG!$H$5:$H$14,MATCH(D2841,CONFIG!$D$5:$D$14,0)),M2841))),""))</f>
        <v/>
      </c>
      <c r="Q2841" s="16" t="str">
        <f aca="false">IF(OR(O2841="",P2841=""),"",O2841/P2841)</f>
        <v/>
      </c>
      <c r="R2841" s="16" t="str">
        <f aca="false">IF(Q2841="","",Q2841*0.0980665)</f>
        <v/>
      </c>
      <c r="S2841" s="16" t="str">
        <f aca="false">IF(Q2841="","",IFERROR(Q2841/(1/(1/INDEX(CONFIG!$I$5:$I$14,MATCH(D2841,CONFIG!$D$5:$D$14,0)))),""))</f>
        <v/>
      </c>
      <c r="T2841" s="13"/>
      <c r="U2841" s="13"/>
      <c r="V2841" s="13"/>
      <c r="W2841" s="13"/>
      <c r="X2841" s="22" t="str">
        <f aca="false">IF(Q2841="","",Q2841^2)</f>
        <v/>
      </c>
      <c r="Y2841" s="22" t="str">
        <f aca="false">IF(AND(C2841&lt;&gt;"",C2841=CERTIFICADO!$E$4,OR(CERTIFICADO!$E$5="",B2841=CERTIFICADO!$E$5)),MAX($Y$4:Y2840)+1,"")</f>
        <v/>
      </c>
    </row>
    <row r="2842" customFormat="false" ht="15" hidden="false" customHeight="false" outlineLevel="0" collapsed="false">
      <c r="A2842" s="11" t="str">
        <f aca="false">IF(C2842="","",ROW()-4)</f>
        <v/>
      </c>
      <c r="B2842" s="12"/>
      <c r="C2842" s="13"/>
      <c r="D2842" s="23" t="str">
        <f aca="false">IF(C2842="","",IFERROR(INDEX(LOTES!$D$5:$D$1004,MATCH(C2842,LOTES!$F$5:$F$1004,0)),"¿Lote?"))</f>
        <v/>
      </c>
      <c r="E2842" s="11" t="str">
        <f aca="false">IF(C2842="","",IFERROR(INDEX(LOTES!$C$5:$C$1004,MATCH(C2842,LOTES!$F$5:$F$1004,0)),""))</f>
        <v/>
      </c>
      <c r="F2842" s="24" t="str">
        <f aca="false">IF(C2842="","",IFERROR(INDEX(LOTES!$B$5:$B$1004,MATCH(C2842,LOTES!$F$5:$F$1004,0)),""))</f>
        <v/>
      </c>
      <c r="G2842" s="15" t="str">
        <f aca="false">IF(OR(B2842="",F2842=""),"",B2842-F2842)</f>
        <v/>
      </c>
      <c r="H2842" s="13"/>
      <c r="I2842" s="13"/>
      <c r="J2842" s="13"/>
      <c r="K2842" s="25"/>
      <c r="L2842" s="25"/>
      <c r="M2842" s="25"/>
      <c r="N2842" s="25"/>
      <c r="O2842" s="26"/>
      <c r="P2842" s="16" t="str">
        <f aca="false">IF(O2842="","",IFERROR(1/(1/(IF(K2842="",INDEX(CONFIG!$F$5:$F$14,MATCH(D2842,CONFIG!$D$5:$D$14,0)),K2842)*IF(M2842="",INDEX(CONFIG!$H$5:$H$14,MATCH(D2842,CONFIG!$D$5:$D$14,0)),M2842))),""))</f>
        <v/>
      </c>
      <c r="Q2842" s="16" t="str">
        <f aca="false">IF(OR(O2842="",P2842=""),"",O2842/P2842)</f>
        <v/>
      </c>
      <c r="R2842" s="16" t="str">
        <f aca="false">IF(Q2842="","",Q2842*0.0980665)</f>
        <v/>
      </c>
      <c r="S2842" s="16" t="str">
        <f aca="false">IF(Q2842="","",IFERROR(Q2842/(1/(1/INDEX(CONFIG!$I$5:$I$14,MATCH(D2842,CONFIG!$D$5:$D$14,0)))),""))</f>
        <v/>
      </c>
      <c r="T2842" s="13"/>
      <c r="U2842" s="13"/>
      <c r="V2842" s="13"/>
      <c r="W2842" s="13"/>
      <c r="X2842" s="22" t="str">
        <f aca="false">IF(Q2842="","",Q2842^2)</f>
        <v/>
      </c>
      <c r="Y2842" s="22" t="str">
        <f aca="false">IF(AND(C2842&lt;&gt;"",C2842=CERTIFICADO!$E$4,OR(CERTIFICADO!$E$5="",B2842=CERTIFICADO!$E$5)),MAX($Y$4:Y2841)+1,"")</f>
        <v/>
      </c>
    </row>
    <row r="2843" customFormat="false" ht="15" hidden="false" customHeight="false" outlineLevel="0" collapsed="false">
      <c r="A2843" s="11" t="str">
        <f aca="false">IF(C2843="","",ROW()-4)</f>
        <v/>
      </c>
      <c r="B2843" s="12"/>
      <c r="C2843" s="13"/>
      <c r="D2843" s="23" t="str">
        <f aca="false">IF(C2843="","",IFERROR(INDEX(LOTES!$D$5:$D$1004,MATCH(C2843,LOTES!$F$5:$F$1004,0)),"¿Lote?"))</f>
        <v/>
      </c>
      <c r="E2843" s="11" t="str">
        <f aca="false">IF(C2843="","",IFERROR(INDEX(LOTES!$C$5:$C$1004,MATCH(C2843,LOTES!$F$5:$F$1004,0)),""))</f>
        <v/>
      </c>
      <c r="F2843" s="24" t="str">
        <f aca="false">IF(C2843="","",IFERROR(INDEX(LOTES!$B$5:$B$1004,MATCH(C2843,LOTES!$F$5:$F$1004,0)),""))</f>
        <v/>
      </c>
      <c r="G2843" s="15" t="str">
        <f aca="false">IF(OR(B2843="",F2843=""),"",B2843-F2843)</f>
        <v/>
      </c>
      <c r="H2843" s="13"/>
      <c r="I2843" s="13"/>
      <c r="J2843" s="13"/>
      <c r="K2843" s="25"/>
      <c r="L2843" s="25"/>
      <c r="M2843" s="25"/>
      <c r="N2843" s="25"/>
      <c r="O2843" s="26"/>
      <c r="P2843" s="16" t="str">
        <f aca="false">IF(O2843="","",IFERROR(1/(1/(IF(K2843="",INDEX(CONFIG!$F$5:$F$14,MATCH(D2843,CONFIG!$D$5:$D$14,0)),K2843)*IF(M2843="",INDEX(CONFIG!$H$5:$H$14,MATCH(D2843,CONFIG!$D$5:$D$14,0)),M2843))),""))</f>
        <v/>
      </c>
      <c r="Q2843" s="16" t="str">
        <f aca="false">IF(OR(O2843="",P2843=""),"",O2843/P2843)</f>
        <v/>
      </c>
      <c r="R2843" s="16" t="str">
        <f aca="false">IF(Q2843="","",Q2843*0.0980665)</f>
        <v/>
      </c>
      <c r="S2843" s="16" t="str">
        <f aca="false">IF(Q2843="","",IFERROR(Q2843/(1/(1/INDEX(CONFIG!$I$5:$I$14,MATCH(D2843,CONFIG!$D$5:$D$14,0)))),""))</f>
        <v/>
      </c>
      <c r="T2843" s="13"/>
      <c r="U2843" s="13"/>
      <c r="V2843" s="13"/>
      <c r="W2843" s="13"/>
      <c r="X2843" s="22" t="str">
        <f aca="false">IF(Q2843="","",Q2843^2)</f>
        <v/>
      </c>
      <c r="Y2843" s="22" t="str">
        <f aca="false">IF(AND(C2843&lt;&gt;"",C2843=CERTIFICADO!$E$4,OR(CERTIFICADO!$E$5="",B2843=CERTIFICADO!$E$5)),MAX($Y$4:Y2842)+1,"")</f>
        <v/>
      </c>
    </row>
    <row r="2844" customFormat="false" ht="15" hidden="false" customHeight="false" outlineLevel="0" collapsed="false">
      <c r="A2844" s="11" t="str">
        <f aca="false">IF(C2844="","",ROW()-4)</f>
        <v/>
      </c>
      <c r="B2844" s="12"/>
      <c r="C2844" s="13"/>
      <c r="D2844" s="23" t="str">
        <f aca="false">IF(C2844="","",IFERROR(INDEX(LOTES!$D$5:$D$1004,MATCH(C2844,LOTES!$F$5:$F$1004,0)),"¿Lote?"))</f>
        <v/>
      </c>
      <c r="E2844" s="11" t="str">
        <f aca="false">IF(C2844="","",IFERROR(INDEX(LOTES!$C$5:$C$1004,MATCH(C2844,LOTES!$F$5:$F$1004,0)),""))</f>
        <v/>
      </c>
      <c r="F2844" s="24" t="str">
        <f aca="false">IF(C2844="","",IFERROR(INDEX(LOTES!$B$5:$B$1004,MATCH(C2844,LOTES!$F$5:$F$1004,0)),""))</f>
        <v/>
      </c>
      <c r="G2844" s="15" t="str">
        <f aca="false">IF(OR(B2844="",F2844=""),"",B2844-F2844)</f>
        <v/>
      </c>
      <c r="H2844" s="13"/>
      <c r="I2844" s="13"/>
      <c r="J2844" s="13"/>
      <c r="K2844" s="25"/>
      <c r="L2844" s="25"/>
      <c r="M2844" s="25"/>
      <c r="N2844" s="25"/>
      <c r="O2844" s="26"/>
      <c r="P2844" s="16" t="str">
        <f aca="false">IF(O2844="","",IFERROR(1/(1/(IF(K2844="",INDEX(CONFIG!$F$5:$F$14,MATCH(D2844,CONFIG!$D$5:$D$14,0)),K2844)*IF(M2844="",INDEX(CONFIG!$H$5:$H$14,MATCH(D2844,CONFIG!$D$5:$D$14,0)),M2844))),""))</f>
        <v/>
      </c>
      <c r="Q2844" s="16" t="str">
        <f aca="false">IF(OR(O2844="",P2844=""),"",O2844/P2844)</f>
        <v/>
      </c>
      <c r="R2844" s="16" t="str">
        <f aca="false">IF(Q2844="","",Q2844*0.0980665)</f>
        <v/>
      </c>
      <c r="S2844" s="16" t="str">
        <f aca="false">IF(Q2844="","",IFERROR(Q2844/(1/(1/INDEX(CONFIG!$I$5:$I$14,MATCH(D2844,CONFIG!$D$5:$D$14,0)))),""))</f>
        <v/>
      </c>
      <c r="T2844" s="13"/>
      <c r="U2844" s="13"/>
      <c r="V2844" s="13"/>
      <c r="W2844" s="13"/>
      <c r="X2844" s="22" t="str">
        <f aca="false">IF(Q2844="","",Q2844^2)</f>
        <v/>
      </c>
      <c r="Y2844" s="22" t="str">
        <f aca="false">IF(AND(C2844&lt;&gt;"",C2844=CERTIFICADO!$E$4,OR(CERTIFICADO!$E$5="",B2844=CERTIFICADO!$E$5)),MAX($Y$4:Y2843)+1,"")</f>
        <v/>
      </c>
    </row>
    <row r="2845" customFormat="false" ht="15" hidden="false" customHeight="false" outlineLevel="0" collapsed="false">
      <c r="A2845" s="11" t="str">
        <f aca="false">IF(C2845="","",ROW()-4)</f>
        <v/>
      </c>
      <c r="B2845" s="12"/>
      <c r="C2845" s="13"/>
      <c r="D2845" s="23" t="str">
        <f aca="false">IF(C2845="","",IFERROR(INDEX(LOTES!$D$5:$D$1004,MATCH(C2845,LOTES!$F$5:$F$1004,0)),"¿Lote?"))</f>
        <v/>
      </c>
      <c r="E2845" s="11" t="str">
        <f aca="false">IF(C2845="","",IFERROR(INDEX(LOTES!$C$5:$C$1004,MATCH(C2845,LOTES!$F$5:$F$1004,0)),""))</f>
        <v/>
      </c>
      <c r="F2845" s="24" t="str">
        <f aca="false">IF(C2845="","",IFERROR(INDEX(LOTES!$B$5:$B$1004,MATCH(C2845,LOTES!$F$5:$F$1004,0)),""))</f>
        <v/>
      </c>
      <c r="G2845" s="15" t="str">
        <f aca="false">IF(OR(B2845="",F2845=""),"",B2845-F2845)</f>
        <v/>
      </c>
      <c r="H2845" s="13"/>
      <c r="I2845" s="13"/>
      <c r="J2845" s="13"/>
      <c r="K2845" s="25"/>
      <c r="L2845" s="25"/>
      <c r="M2845" s="25"/>
      <c r="N2845" s="25"/>
      <c r="O2845" s="26"/>
      <c r="P2845" s="16" t="str">
        <f aca="false">IF(O2845="","",IFERROR(1/(1/(IF(K2845="",INDEX(CONFIG!$F$5:$F$14,MATCH(D2845,CONFIG!$D$5:$D$14,0)),K2845)*IF(M2845="",INDEX(CONFIG!$H$5:$H$14,MATCH(D2845,CONFIG!$D$5:$D$14,0)),M2845))),""))</f>
        <v/>
      </c>
      <c r="Q2845" s="16" t="str">
        <f aca="false">IF(OR(O2845="",P2845=""),"",O2845/P2845)</f>
        <v/>
      </c>
      <c r="R2845" s="16" t="str">
        <f aca="false">IF(Q2845="","",Q2845*0.0980665)</f>
        <v/>
      </c>
      <c r="S2845" s="16" t="str">
        <f aca="false">IF(Q2845="","",IFERROR(Q2845/(1/(1/INDEX(CONFIG!$I$5:$I$14,MATCH(D2845,CONFIG!$D$5:$D$14,0)))),""))</f>
        <v/>
      </c>
      <c r="T2845" s="13"/>
      <c r="U2845" s="13"/>
      <c r="V2845" s="13"/>
      <c r="W2845" s="13"/>
      <c r="X2845" s="22" t="str">
        <f aca="false">IF(Q2845="","",Q2845^2)</f>
        <v/>
      </c>
      <c r="Y2845" s="22" t="str">
        <f aca="false">IF(AND(C2845&lt;&gt;"",C2845=CERTIFICADO!$E$4,OR(CERTIFICADO!$E$5="",B2845=CERTIFICADO!$E$5)),MAX($Y$4:Y2844)+1,"")</f>
        <v/>
      </c>
    </row>
    <row r="2846" customFormat="false" ht="15" hidden="false" customHeight="false" outlineLevel="0" collapsed="false">
      <c r="A2846" s="11" t="str">
        <f aca="false">IF(C2846="","",ROW()-4)</f>
        <v/>
      </c>
      <c r="B2846" s="12"/>
      <c r="C2846" s="13"/>
      <c r="D2846" s="23" t="str">
        <f aca="false">IF(C2846="","",IFERROR(INDEX(LOTES!$D$5:$D$1004,MATCH(C2846,LOTES!$F$5:$F$1004,0)),"¿Lote?"))</f>
        <v/>
      </c>
      <c r="E2846" s="11" t="str">
        <f aca="false">IF(C2846="","",IFERROR(INDEX(LOTES!$C$5:$C$1004,MATCH(C2846,LOTES!$F$5:$F$1004,0)),""))</f>
        <v/>
      </c>
      <c r="F2846" s="24" t="str">
        <f aca="false">IF(C2846="","",IFERROR(INDEX(LOTES!$B$5:$B$1004,MATCH(C2846,LOTES!$F$5:$F$1004,0)),""))</f>
        <v/>
      </c>
      <c r="G2846" s="15" t="str">
        <f aca="false">IF(OR(B2846="",F2846=""),"",B2846-F2846)</f>
        <v/>
      </c>
      <c r="H2846" s="13"/>
      <c r="I2846" s="13"/>
      <c r="J2846" s="13"/>
      <c r="K2846" s="25"/>
      <c r="L2846" s="25"/>
      <c r="M2846" s="25"/>
      <c r="N2846" s="25"/>
      <c r="O2846" s="26"/>
      <c r="P2846" s="16" t="str">
        <f aca="false">IF(O2846="","",IFERROR(1/(1/(IF(K2846="",INDEX(CONFIG!$F$5:$F$14,MATCH(D2846,CONFIG!$D$5:$D$14,0)),K2846)*IF(M2846="",INDEX(CONFIG!$H$5:$H$14,MATCH(D2846,CONFIG!$D$5:$D$14,0)),M2846))),""))</f>
        <v/>
      </c>
      <c r="Q2846" s="16" t="str">
        <f aca="false">IF(OR(O2846="",P2846=""),"",O2846/P2846)</f>
        <v/>
      </c>
      <c r="R2846" s="16" t="str">
        <f aca="false">IF(Q2846="","",Q2846*0.0980665)</f>
        <v/>
      </c>
      <c r="S2846" s="16" t="str">
        <f aca="false">IF(Q2846="","",IFERROR(Q2846/(1/(1/INDEX(CONFIG!$I$5:$I$14,MATCH(D2846,CONFIG!$D$5:$D$14,0)))),""))</f>
        <v/>
      </c>
      <c r="T2846" s="13"/>
      <c r="U2846" s="13"/>
      <c r="V2846" s="13"/>
      <c r="W2846" s="13"/>
      <c r="X2846" s="22" t="str">
        <f aca="false">IF(Q2846="","",Q2846^2)</f>
        <v/>
      </c>
      <c r="Y2846" s="22" t="str">
        <f aca="false">IF(AND(C2846&lt;&gt;"",C2846=CERTIFICADO!$E$4,OR(CERTIFICADO!$E$5="",B2846=CERTIFICADO!$E$5)),MAX($Y$4:Y2845)+1,"")</f>
        <v/>
      </c>
    </row>
    <row r="2847" customFormat="false" ht="15" hidden="false" customHeight="false" outlineLevel="0" collapsed="false">
      <c r="A2847" s="11" t="str">
        <f aca="false">IF(C2847="","",ROW()-4)</f>
        <v/>
      </c>
      <c r="B2847" s="12"/>
      <c r="C2847" s="13"/>
      <c r="D2847" s="23" t="str">
        <f aca="false">IF(C2847="","",IFERROR(INDEX(LOTES!$D$5:$D$1004,MATCH(C2847,LOTES!$F$5:$F$1004,0)),"¿Lote?"))</f>
        <v/>
      </c>
      <c r="E2847" s="11" t="str">
        <f aca="false">IF(C2847="","",IFERROR(INDEX(LOTES!$C$5:$C$1004,MATCH(C2847,LOTES!$F$5:$F$1004,0)),""))</f>
        <v/>
      </c>
      <c r="F2847" s="24" t="str">
        <f aca="false">IF(C2847="","",IFERROR(INDEX(LOTES!$B$5:$B$1004,MATCH(C2847,LOTES!$F$5:$F$1004,0)),""))</f>
        <v/>
      </c>
      <c r="G2847" s="15" t="str">
        <f aca="false">IF(OR(B2847="",F2847=""),"",B2847-F2847)</f>
        <v/>
      </c>
      <c r="H2847" s="13"/>
      <c r="I2847" s="13"/>
      <c r="J2847" s="13"/>
      <c r="K2847" s="25"/>
      <c r="L2847" s="25"/>
      <c r="M2847" s="25"/>
      <c r="N2847" s="25"/>
      <c r="O2847" s="26"/>
      <c r="P2847" s="16" t="str">
        <f aca="false">IF(O2847="","",IFERROR(1/(1/(IF(K2847="",INDEX(CONFIG!$F$5:$F$14,MATCH(D2847,CONFIG!$D$5:$D$14,0)),K2847)*IF(M2847="",INDEX(CONFIG!$H$5:$H$14,MATCH(D2847,CONFIG!$D$5:$D$14,0)),M2847))),""))</f>
        <v/>
      </c>
      <c r="Q2847" s="16" t="str">
        <f aca="false">IF(OR(O2847="",P2847=""),"",O2847/P2847)</f>
        <v/>
      </c>
      <c r="R2847" s="16" t="str">
        <f aca="false">IF(Q2847="","",Q2847*0.0980665)</f>
        <v/>
      </c>
      <c r="S2847" s="16" t="str">
        <f aca="false">IF(Q2847="","",IFERROR(Q2847/(1/(1/INDEX(CONFIG!$I$5:$I$14,MATCH(D2847,CONFIG!$D$5:$D$14,0)))),""))</f>
        <v/>
      </c>
      <c r="T2847" s="13"/>
      <c r="U2847" s="13"/>
      <c r="V2847" s="13"/>
      <c r="W2847" s="13"/>
      <c r="X2847" s="22" t="str">
        <f aca="false">IF(Q2847="","",Q2847^2)</f>
        <v/>
      </c>
      <c r="Y2847" s="22" t="str">
        <f aca="false">IF(AND(C2847&lt;&gt;"",C2847=CERTIFICADO!$E$4,OR(CERTIFICADO!$E$5="",B2847=CERTIFICADO!$E$5)),MAX($Y$4:Y2846)+1,"")</f>
        <v/>
      </c>
    </row>
    <row r="2848" customFormat="false" ht="15" hidden="false" customHeight="false" outlineLevel="0" collapsed="false">
      <c r="A2848" s="11" t="str">
        <f aca="false">IF(C2848="","",ROW()-4)</f>
        <v/>
      </c>
      <c r="B2848" s="12"/>
      <c r="C2848" s="13"/>
      <c r="D2848" s="23" t="str">
        <f aca="false">IF(C2848="","",IFERROR(INDEX(LOTES!$D$5:$D$1004,MATCH(C2848,LOTES!$F$5:$F$1004,0)),"¿Lote?"))</f>
        <v/>
      </c>
      <c r="E2848" s="11" t="str">
        <f aca="false">IF(C2848="","",IFERROR(INDEX(LOTES!$C$5:$C$1004,MATCH(C2848,LOTES!$F$5:$F$1004,0)),""))</f>
        <v/>
      </c>
      <c r="F2848" s="24" t="str">
        <f aca="false">IF(C2848="","",IFERROR(INDEX(LOTES!$B$5:$B$1004,MATCH(C2848,LOTES!$F$5:$F$1004,0)),""))</f>
        <v/>
      </c>
      <c r="G2848" s="15" t="str">
        <f aca="false">IF(OR(B2848="",F2848=""),"",B2848-F2848)</f>
        <v/>
      </c>
      <c r="H2848" s="13"/>
      <c r="I2848" s="13"/>
      <c r="J2848" s="13"/>
      <c r="K2848" s="25"/>
      <c r="L2848" s="25"/>
      <c r="M2848" s="25"/>
      <c r="N2848" s="25"/>
      <c r="O2848" s="26"/>
      <c r="P2848" s="16" t="str">
        <f aca="false">IF(O2848="","",IFERROR(1/(1/(IF(K2848="",INDEX(CONFIG!$F$5:$F$14,MATCH(D2848,CONFIG!$D$5:$D$14,0)),K2848)*IF(M2848="",INDEX(CONFIG!$H$5:$H$14,MATCH(D2848,CONFIG!$D$5:$D$14,0)),M2848))),""))</f>
        <v/>
      </c>
      <c r="Q2848" s="16" t="str">
        <f aca="false">IF(OR(O2848="",P2848=""),"",O2848/P2848)</f>
        <v/>
      </c>
      <c r="R2848" s="16" t="str">
        <f aca="false">IF(Q2848="","",Q2848*0.0980665)</f>
        <v/>
      </c>
      <c r="S2848" s="16" t="str">
        <f aca="false">IF(Q2848="","",IFERROR(Q2848/(1/(1/INDEX(CONFIG!$I$5:$I$14,MATCH(D2848,CONFIG!$D$5:$D$14,0)))),""))</f>
        <v/>
      </c>
      <c r="T2848" s="13"/>
      <c r="U2848" s="13"/>
      <c r="V2848" s="13"/>
      <c r="W2848" s="13"/>
      <c r="X2848" s="22" t="str">
        <f aca="false">IF(Q2848="","",Q2848^2)</f>
        <v/>
      </c>
      <c r="Y2848" s="22" t="str">
        <f aca="false">IF(AND(C2848&lt;&gt;"",C2848=CERTIFICADO!$E$4,OR(CERTIFICADO!$E$5="",B2848=CERTIFICADO!$E$5)),MAX($Y$4:Y2847)+1,"")</f>
        <v/>
      </c>
    </row>
    <row r="2849" customFormat="false" ht="15" hidden="false" customHeight="false" outlineLevel="0" collapsed="false">
      <c r="A2849" s="11" t="str">
        <f aca="false">IF(C2849="","",ROW()-4)</f>
        <v/>
      </c>
      <c r="B2849" s="12"/>
      <c r="C2849" s="13"/>
      <c r="D2849" s="23" t="str">
        <f aca="false">IF(C2849="","",IFERROR(INDEX(LOTES!$D$5:$D$1004,MATCH(C2849,LOTES!$F$5:$F$1004,0)),"¿Lote?"))</f>
        <v/>
      </c>
      <c r="E2849" s="11" t="str">
        <f aca="false">IF(C2849="","",IFERROR(INDEX(LOTES!$C$5:$C$1004,MATCH(C2849,LOTES!$F$5:$F$1004,0)),""))</f>
        <v/>
      </c>
      <c r="F2849" s="24" t="str">
        <f aca="false">IF(C2849="","",IFERROR(INDEX(LOTES!$B$5:$B$1004,MATCH(C2849,LOTES!$F$5:$F$1004,0)),""))</f>
        <v/>
      </c>
      <c r="G2849" s="15" t="str">
        <f aca="false">IF(OR(B2849="",F2849=""),"",B2849-F2849)</f>
        <v/>
      </c>
      <c r="H2849" s="13"/>
      <c r="I2849" s="13"/>
      <c r="J2849" s="13"/>
      <c r="K2849" s="25"/>
      <c r="L2849" s="25"/>
      <c r="M2849" s="25"/>
      <c r="N2849" s="25"/>
      <c r="O2849" s="26"/>
      <c r="P2849" s="16" t="str">
        <f aca="false">IF(O2849="","",IFERROR(1/(1/(IF(K2849="",INDEX(CONFIG!$F$5:$F$14,MATCH(D2849,CONFIG!$D$5:$D$14,0)),K2849)*IF(M2849="",INDEX(CONFIG!$H$5:$H$14,MATCH(D2849,CONFIG!$D$5:$D$14,0)),M2849))),""))</f>
        <v/>
      </c>
      <c r="Q2849" s="16" t="str">
        <f aca="false">IF(OR(O2849="",P2849=""),"",O2849/P2849)</f>
        <v/>
      </c>
      <c r="R2849" s="16" t="str">
        <f aca="false">IF(Q2849="","",Q2849*0.0980665)</f>
        <v/>
      </c>
      <c r="S2849" s="16" t="str">
        <f aca="false">IF(Q2849="","",IFERROR(Q2849/(1/(1/INDEX(CONFIG!$I$5:$I$14,MATCH(D2849,CONFIG!$D$5:$D$14,0)))),""))</f>
        <v/>
      </c>
      <c r="T2849" s="13"/>
      <c r="U2849" s="13"/>
      <c r="V2849" s="13"/>
      <c r="W2849" s="13"/>
      <c r="X2849" s="22" t="str">
        <f aca="false">IF(Q2849="","",Q2849^2)</f>
        <v/>
      </c>
      <c r="Y2849" s="22" t="str">
        <f aca="false">IF(AND(C2849&lt;&gt;"",C2849=CERTIFICADO!$E$4,OR(CERTIFICADO!$E$5="",B2849=CERTIFICADO!$E$5)),MAX($Y$4:Y2848)+1,"")</f>
        <v/>
      </c>
    </row>
    <row r="2850" customFormat="false" ht="15" hidden="false" customHeight="false" outlineLevel="0" collapsed="false">
      <c r="A2850" s="11" t="str">
        <f aca="false">IF(C2850="","",ROW()-4)</f>
        <v/>
      </c>
      <c r="B2850" s="12"/>
      <c r="C2850" s="13"/>
      <c r="D2850" s="23" t="str">
        <f aca="false">IF(C2850="","",IFERROR(INDEX(LOTES!$D$5:$D$1004,MATCH(C2850,LOTES!$F$5:$F$1004,0)),"¿Lote?"))</f>
        <v/>
      </c>
      <c r="E2850" s="11" t="str">
        <f aca="false">IF(C2850="","",IFERROR(INDEX(LOTES!$C$5:$C$1004,MATCH(C2850,LOTES!$F$5:$F$1004,0)),""))</f>
        <v/>
      </c>
      <c r="F2850" s="24" t="str">
        <f aca="false">IF(C2850="","",IFERROR(INDEX(LOTES!$B$5:$B$1004,MATCH(C2850,LOTES!$F$5:$F$1004,0)),""))</f>
        <v/>
      </c>
      <c r="G2850" s="15" t="str">
        <f aca="false">IF(OR(B2850="",F2850=""),"",B2850-F2850)</f>
        <v/>
      </c>
      <c r="H2850" s="13"/>
      <c r="I2850" s="13"/>
      <c r="J2850" s="13"/>
      <c r="K2850" s="25"/>
      <c r="L2850" s="25"/>
      <c r="M2850" s="25"/>
      <c r="N2850" s="25"/>
      <c r="O2850" s="26"/>
      <c r="P2850" s="16" t="str">
        <f aca="false">IF(O2850="","",IFERROR(1/(1/(IF(K2850="",INDEX(CONFIG!$F$5:$F$14,MATCH(D2850,CONFIG!$D$5:$D$14,0)),K2850)*IF(M2850="",INDEX(CONFIG!$H$5:$H$14,MATCH(D2850,CONFIG!$D$5:$D$14,0)),M2850))),""))</f>
        <v/>
      </c>
      <c r="Q2850" s="16" t="str">
        <f aca="false">IF(OR(O2850="",P2850=""),"",O2850/P2850)</f>
        <v/>
      </c>
      <c r="R2850" s="16" t="str">
        <f aca="false">IF(Q2850="","",Q2850*0.0980665)</f>
        <v/>
      </c>
      <c r="S2850" s="16" t="str">
        <f aca="false">IF(Q2850="","",IFERROR(Q2850/(1/(1/INDEX(CONFIG!$I$5:$I$14,MATCH(D2850,CONFIG!$D$5:$D$14,0)))),""))</f>
        <v/>
      </c>
      <c r="T2850" s="13"/>
      <c r="U2850" s="13"/>
      <c r="V2850" s="13"/>
      <c r="W2850" s="13"/>
      <c r="X2850" s="22" t="str">
        <f aca="false">IF(Q2850="","",Q2850^2)</f>
        <v/>
      </c>
      <c r="Y2850" s="22" t="str">
        <f aca="false">IF(AND(C2850&lt;&gt;"",C2850=CERTIFICADO!$E$4,OR(CERTIFICADO!$E$5="",B2850=CERTIFICADO!$E$5)),MAX($Y$4:Y2849)+1,"")</f>
        <v/>
      </c>
    </row>
    <row r="2851" customFormat="false" ht="15" hidden="false" customHeight="false" outlineLevel="0" collapsed="false">
      <c r="A2851" s="11" t="str">
        <f aca="false">IF(C2851="","",ROW()-4)</f>
        <v/>
      </c>
      <c r="B2851" s="12"/>
      <c r="C2851" s="13"/>
      <c r="D2851" s="23" t="str">
        <f aca="false">IF(C2851="","",IFERROR(INDEX(LOTES!$D$5:$D$1004,MATCH(C2851,LOTES!$F$5:$F$1004,0)),"¿Lote?"))</f>
        <v/>
      </c>
      <c r="E2851" s="11" t="str">
        <f aca="false">IF(C2851="","",IFERROR(INDEX(LOTES!$C$5:$C$1004,MATCH(C2851,LOTES!$F$5:$F$1004,0)),""))</f>
        <v/>
      </c>
      <c r="F2851" s="24" t="str">
        <f aca="false">IF(C2851="","",IFERROR(INDEX(LOTES!$B$5:$B$1004,MATCH(C2851,LOTES!$F$5:$F$1004,0)),""))</f>
        <v/>
      </c>
      <c r="G2851" s="15" t="str">
        <f aca="false">IF(OR(B2851="",F2851=""),"",B2851-F2851)</f>
        <v/>
      </c>
      <c r="H2851" s="13"/>
      <c r="I2851" s="13"/>
      <c r="J2851" s="13"/>
      <c r="K2851" s="25"/>
      <c r="L2851" s="25"/>
      <c r="M2851" s="25"/>
      <c r="N2851" s="25"/>
      <c r="O2851" s="26"/>
      <c r="P2851" s="16" t="str">
        <f aca="false">IF(O2851="","",IFERROR(1/(1/(IF(K2851="",INDEX(CONFIG!$F$5:$F$14,MATCH(D2851,CONFIG!$D$5:$D$14,0)),K2851)*IF(M2851="",INDEX(CONFIG!$H$5:$H$14,MATCH(D2851,CONFIG!$D$5:$D$14,0)),M2851))),""))</f>
        <v/>
      </c>
      <c r="Q2851" s="16" t="str">
        <f aca="false">IF(OR(O2851="",P2851=""),"",O2851/P2851)</f>
        <v/>
      </c>
      <c r="R2851" s="16" t="str">
        <f aca="false">IF(Q2851="","",Q2851*0.0980665)</f>
        <v/>
      </c>
      <c r="S2851" s="16" t="str">
        <f aca="false">IF(Q2851="","",IFERROR(Q2851/(1/(1/INDEX(CONFIG!$I$5:$I$14,MATCH(D2851,CONFIG!$D$5:$D$14,0)))),""))</f>
        <v/>
      </c>
      <c r="T2851" s="13"/>
      <c r="U2851" s="13"/>
      <c r="V2851" s="13"/>
      <c r="W2851" s="13"/>
      <c r="X2851" s="22" t="str">
        <f aca="false">IF(Q2851="","",Q2851^2)</f>
        <v/>
      </c>
      <c r="Y2851" s="22" t="str">
        <f aca="false">IF(AND(C2851&lt;&gt;"",C2851=CERTIFICADO!$E$4,OR(CERTIFICADO!$E$5="",B2851=CERTIFICADO!$E$5)),MAX($Y$4:Y2850)+1,"")</f>
        <v/>
      </c>
    </row>
    <row r="2852" customFormat="false" ht="15" hidden="false" customHeight="false" outlineLevel="0" collapsed="false">
      <c r="A2852" s="11" t="str">
        <f aca="false">IF(C2852="","",ROW()-4)</f>
        <v/>
      </c>
      <c r="B2852" s="12"/>
      <c r="C2852" s="13"/>
      <c r="D2852" s="23" t="str">
        <f aca="false">IF(C2852="","",IFERROR(INDEX(LOTES!$D$5:$D$1004,MATCH(C2852,LOTES!$F$5:$F$1004,0)),"¿Lote?"))</f>
        <v/>
      </c>
      <c r="E2852" s="11" t="str">
        <f aca="false">IF(C2852="","",IFERROR(INDEX(LOTES!$C$5:$C$1004,MATCH(C2852,LOTES!$F$5:$F$1004,0)),""))</f>
        <v/>
      </c>
      <c r="F2852" s="24" t="str">
        <f aca="false">IF(C2852="","",IFERROR(INDEX(LOTES!$B$5:$B$1004,MATCH(C2852,LOTES!$F$5:$F$1004,0)),""))</f>
        <v/>
      </c>
      <c r="G2852" s="15" t="str">
        <f aca="false">IF(OR(B2852="",F2852=""),"",B2852-F2852)</f>
        <v/>
      </c>
      <c r="H2852" s="13"/>
      <c r="I2852" s="13"/>
      <c r="J2852" s="13"/>
      <c r="K2852" s="25"/>
      <c r="L2852" s="25"/>
      <c r="M2852" s="25"/>
      <c r="N2852" s="25"/>
      <c r="O2852" s="26"/>
      <c r="P2852" s="16" t="str">
        <f aca="false">IF(O2852="","",IFERROR(1/(1/(IF(K2852="",INDEX(CONFIG!$F$5:$F$14,MATCH(D2852,CONFIG!$D$5:$D$14,0)),K2852)*IF(M2852="",INDEX(CONFIG!$H$5:$H$14,MATCH(D2852,CONFIG!$D$5:$D$14,0)),M2852))),""))</f>
        <v/>
      </c>
      <c r="Q2852" s="16" t="str">
        <f aca="false">IF(OR(O2852="",P2852=""),"",O2852/P2852)</f>
        <v/>
      </c>
      <c r="R2852" s="16" t="str">
        <f aca="false">IF(Q2852="","",Q2852*0.0980665)</f>
        <v/>
      </c>
      <c r="S2852" s="16" t="str">
        <f aca="false">IF(Q2852="","",IFERROR(Q2852/(1/(1/INDEX(CONFIG!$I$5:$I$14,MATCH(D2852,CONFIG!$D$5:$D$14,0)))),""))</f>
        <v/>
      </c>
      <c r="T2852" s="13"/>
      <c r="U2852" s="13"/>
      <c r="V2852" s="13"/>
      <c r="W2852" s="13"/>
      <c r="X2852" s="22" t="str">
        <f aca="false">IF(Q2852="","",Q2852^2)</f>
        <v/>
      </c>
      <c r="Y2852" s="22" t="str">
        <f aca="false">IF(AND(C2852&lt;&gt;"",C2852=CERTIFICADO!$E$4,OR(CERTIFICADO!$E$5="",B2852=CERTIFICADO!$E$5)),MAX($Y$4:Y2851)+1,"")</f>
        <v/>
      </c>
    </row>
    <row r="2853" customFormat="false" ht="15" hidden="false" customHeight="false" outlineLevel="0" collapsed="false">
      <c r="A2853" s="11" t="str">
        <f aca="false">IF(C2853="","",ROW()-4)</f>
        <v/>
      </c>
      <c r="B2853" s="12"/>
      <c r="C2853" s="13"/>
      <c r="D2853" s="23" t="str">
        <f aca="false">IF(C2853="","",IFERROR(INDEX(LOTES!$D$5:$D$1004,MATCH(C2853,LOTES!$F$5:$F$1004,0)),"¿Lote?"))</f>
        <v/>
      </c>
      <c r="E2853" s="11" t="str">
        <f aca="false">IF(C2853="","",IFERROR(INDEX(LOTES!$C$5:$C$1004,MATCH(C2853,LOTES!$F$5:$F$1004,0)),""))</f>
        <v/>
      </c>
      <c r="F2853" s="24" t="str">
        <f aca="false">IF(C2853="","",IFERROR(INDEX(LOTES!$B$5:$B$1004,MATCH(C2853,LOTES!$F$5:$F$1004,0)),""))</f>
        <v/>
      </c>
      <c r="G2853" s="15" t="str">
        <f aca="false">IF(OR(B2853="",F2853=""),"",B2853-F2853)</f>
        <v/>
      </c>
      <c r="H2853" s="13"/>
      <c r="I2853" s="13"/>
      <c r="J2853" s="13"/>
      <c r="K2853" s="25"/>
      <c r="L2853" s="25"/>
      <c r="M2853" s="25"/>
      <c r="N2853" s="25"/>
      <c r="O2853" s="26"/>
      <c r="P2853" s="16" t="str">
        <f aca="false">IF(O2853="","",IFERROR(1/(1/(IF(K2853="",INDEX(CONFIG!$F$5:$F$14,MATCH(D2853,CONFIG!$D$5:$D$14,0)),K2853)*IF(M2853="",INDEX(CONFIG!$H$5:$H$14,MATCH(D2853,CONFIG!$D$5:$D$14,0)),M2853))),""))</f>
        <v/>
      </c>
      <c r="Q2853" s="16" t="str">
        <f aca="false">IF(OR(O2853="",P2853=""),"",O2853/P2853)</f>
        <v/>
      </c>
      <c r="R2853" s="16" t="str">
        <f aca="false">IF(Q2853="","",Q2853*0.0980665)</f>
        <v/>
      </c>
      <c r="S2853" s="16" t="str">
        <f aca="false">IF(Q2853="","",IFERROR(Q2853/(1/(1/INDEX(CONFIG!$I$5:$I$14,MATCH(D2853,CONFIG!$D$5:$D$14,0)))),""))</f>
        <v/>
      </c>
      <c r="T2853" s="13"/>
      <c r="U2853" s="13"/>
      <c r="V2853" s="13"/>
      <c r="W2853" s="13"/>
      <c r="X2853" s="22" t="str">
        <f aca="false">IF(Q2853="","",Q2853^2)</f>
        <v/>
      </c>
      <c r="Y2853" s="22" t="str">
        <f aca="false">IF(AND(C2853&lt;&gt;"",C2853=CERTIFICADO!$E$4,OR(CERTIFICADO!$E$5="",B2853=CERTIFICADO!$E$5)),MAX($Y$4:Y2852)+1,"")</f>
        <v/>
      </c>
    </row>
    <row r="2854" customFormat="false" ht="15" hidden="false" customHeight="false" outlineLevel="0" collapsed="false">
      <c r="A2854" s="11" t="str">
        <f aca="false">IF(C2854="","",ROW()-4)</f>
        <v/>
      </c>
      <c r="B2854" s="12"/>
      <c r="C2854" s="13"/>
      <c r="D2854" s="23" t="str">
        <f aca="false">IF(C2854="","",IFERROR(INDEX(LOTES!$D$5:$D$1004,MATCH(C2854,LOTES!$F$5:$F$1004,0)),"¿Lote?"))</f>
        <v/>
      </c>
      <c r="E2854" s="11" t="str">
        <f aca="false">IF(C2854="","",IFERROR(INDEX(LOTES!$C$5:$C$1004,MATCH(C2854,LOTES!$F$5:$F$1004,0)),""))</f>
        <v/>
      </c>
      <c r="F2854" s="24" t="str">
        <f aca="false">IF(C2854="","",IFERROR(INDEX(LOTES!$B$5:$B$1004,MATCH(C2854,LOTES!$F$5:$F$1004,0)),""))</f>
        <v/>
      </c>
      <c r="G2854" s="15" t="str">
        <f aca="false">IF(OR(B2854="",F2854=""),"",B2854-F2854)</f>
        <v/>
      </c>
      <c r="H2854" s="13"/>
      <c r="I2854" s="13"/>
      <c r="J2854" s="13"/>
      <c r="K2854" s="25"/>
      <c r="L2854" s="25"/>
      <c r="M2854" s="25"/>
      <c r="N2854" s="25"/>
      <c r="O2854" s="26"/>
      <c r="P2854" s="16" t="str">
        <f aca="false">IF(O2854="","",IFERROR(1/(1/(IF(K2854="",INDEX(CONFIG!$F$5:$F$14,MATCH(D2854,CONFIG!$D$5:$D$14,0)),K2854)*IF(M2854="",INDEX(CONFIG!$H$5:$H$14,MATCH(D2854,CONFIG!$D$5:$D$14,0)),M2854))),""))</f>
        <v/>
      </c>
      <c r="Q2854" s="16" t="str">
        <f aca="false">IF(OR(O2854="",P2854=""),"",O2854/P2854)</f>
        <v/>
      </c>
      <c r="R2854" s="16" t="str">
        <f aca="false">IF(Q2854="","",Q2854*0.0980665)</f>
        <v/>
      </c>
      <c r="S2854" s="16" t="str">
        <f aca="false">IF(Q2854="","",IFERROR(Q2854/(1/(1/INDEX(CONFIG!$I$5:$I$14,MATCH(D2854,CONFIG!$D$5:$D$14,0)))),""))</f>
        <v/>
      </c>
      <c r="T2854" s="13"/>
      <c r="U2854" s="13"/>
      <c r="V2854" s="13"/>
      <c r="W2854" s="13"/>
      <c r="X2854" s="22" t="str">
        <f aca="false">IF(Q2854="","",Q2854^2)</f>
        <v/>
      </c>
      <c r="Y2854" s="22" t="str">
        <f aca="false">IF(AND(C2854&lt;&gt;"",C2854=CERTIFICADO!$E$4,OR(CERTIFICADO!$E$5="",B2854=CERTIFICADO!$E$5)),MAX($Y$4:Y2853)+1,"")</f>
        <v/>
      </c>
    </row>
    <row r="2855" customFormat="false" ht="15" hidden="false" customHeight="false" outlineLevel="0" collapsed="false">
      <c r="A2855" s="11" t="str">
        <f aca="false">IF(C2855="","",ROW()-4)</f>
        <v/>
      </c>
      <c r="B2855" s="12"/>
      <c r="C2855" s="13"/>
      <c r="D2855" s="23" t="str">
        <f aca="false">IF(C2855="","",IFERROR(INDEX(LOTES!$D$5:$D$1004,MATCH(C2855,LOTES!$F$5:$F$1004,0)),"¿Lote?"))</f>
        <v/>
      </c>
      <c r="E2855" s="11" t="str">
        <f aca="false">IF(C2855="","",IFERROR(INDEX(LOTES!$C$5:$C$1004,MATCH(C2855,LOTES!$F$5:$F$1004,0)),""))</f>
        <v/>
      </c>
      <c r="F2855" s="24" t="str">
        <f aca="false">IF(C2855="","",IFERROR(INDEX(LOTES!$B$5:$B$1004,MATCH(C2855,LOTES!$F$5:$F$1004,0)),""))</f>
        <v/>
      </c>
      <c r="G2855" s="15" t="str">
        <f aca="false">IF(OR(B2855="",F2855=""),"",B2855-F2855)</f>
        <v/>
      </c>
      <c r="H2855" s="13"/>
      <c r="I2855" s="13"/>
      <c r="J2855" s="13"/>
      <c r="K2855" s="25"/>
      <c r="L2855" s="25"/>
      <c r="M2855" s="25"/>
      <c r="N2855" s="25"/>
      <c r="O2855" s="26"/>
      <c r="P2855" s="16" t="str">
        <f aca="false">IF(O2855="","",IFERROR(1/(1/(IF(K2855="",INDEX(CONFIG!$F$5:$F$14,MATCH(D2855,CONFIG!$D$5:$D$14,0)),K2855)*IF(M2855="",INDEX(CONFIG!$H$5:$H$14,MATCH(D2855,CONFIG!$D$5:$D$14,0)),M2855))),""))</f>
        <v/>
      </c>
      <c r="Q2855" s="16" t="str">
        <f aca="false">IF(OR(O2855="",P2855=""),"",O2855/P2855)</f>
        <v/>
      </c>
      <c r="R2855" s="16" t="str">
        <f aca="false">IF(Q2855="","",Q2855*0.0980665)</f>
        <v/>
      </c>
      <c r="S2855" s="16" t="str">
        <f aca="false">IF(Q2855="","",IFERROR(Q2855/(1/(1/INDEX(CONFIG!$I$5:$I$14,MATCH(D2855,CONFIG!$D$5:$D$14,0)))),""))</f>
        <v/>
      </c>
      <c r="T2855" s="13"/>
      <c r="U2855" s="13"/>
      <c r="V2855" s="13"/>
      <c r="W2855" s="13"/>
      <c r="X2855" s="22" t="str">
        <f aca="false">IF(Q2855="","",Q2855^2)</f>
        <v/>
      </c>
      <c r="Y2855" s="22" t="str">
        <f aca="false">IF(AND(C2855&lt;&gt;"",C2855=CERTIFICADO!$E$4,OR(CERTIFICADO!$E$5="",B2855=CERTIFICADO!$E$5)),MAX($Y$4:Y2854)+1,"")</f>
        <v/>
      </c>
    </row>
    <row r="2856" customFormat="false" ht="15" hidden="false" customHeight="false" outlineLevel="0" collapsed="false">
      <c r="A2856" s="11" t="str">
        <f aca="false">IF(C2856="","",ROW()-4)</f>
        <v/>
      </c>
      <c r="B2856" s="12"/>
      <c r="C2856" s="13"/>
      <c r="D2856" s="23" t="str">
        <f aca="false">IF(C2856="","",IFERROR(INDEX(LOTES!$D$5:$D$1004,MATCH(C2856,LOTES!$F$5:$F$1004,0)),"¿Lote?"))</f>
        <v/>
      </c>
      <c r="E2856" s="11" t="str">
        <f aca="false">IF(C2856="","",IFERROR(INDEX(LOTES!$C$5:$C$1004,MATCH(C2856,LOTES!$F$5:$F$1004,0)),""))</f>
        <v/>
      </c>
      <c r="F2856" s="24" t="str">
        <f aca="false">IF(C2856="","",IFERROR(INDEX(LOTES!$B$5:$B$1004,MATCH(C2856,LOTES!$F$5:$F$1004,0)),""))</f>
        <v/>
      </c>
      <c r="G2856" s="15" t="str">
        <f aca="false">IF(OR(B2856="",F2856=""),"",B2856-F2856)</f>
        <v/>
      </c>
      <c r="H2856" s="13"/>
      <c r="I2856" s="13"/>
      <c r="J2856" s="13"/>
      <c r="K2856" s="25"/>
      <c r="L2856" s="25"/>
      <c r="M2856" s="25"/>
      <c r="N2856" s="25"/>
      <c r="O2856" s="26"/>
      <c r="P2856" s="16" t="str">
        <f aca="false">IF(O2856="","",IFERROR(1/(1/(IF(K2856="",INDEX(CONFIG!$F$5:$F$14,MATCH(D2856,CONFIG!$D$5:$D$14,0)),K2856)*IF(M2856="",INDEX(CONFIG!$H$5:$H$14,MATCH(D2856,CONFIG!$D$5:$D$14,0)),M2856))),""))</f>
        <v/>
      </c>
      <c r="Q2856" s="16" t="str">
        <f aca="false">IF(OR(O2856="",P2856=""),"",O2856/P2856)</f>
        <v/>
      </c>
      <c r="R2856" s="16" t="str">
        <f aca="false">IF(Q2856="","",Q2856*0.0980665)</f>
        <v/>
      </c>
      <c r="S2856" s="16" t="str">
        <f aca="false">IF(Q2856="","",IFERROR(Q2856/(1/(1/INDEX(CONFIG!$I$5:$I$14,MATCH(D2856,CONFIG!$D$5:$D$14,0)))),""))</f>
        <v/>
      </c>
      <c r="T2856" s="13"/>
      <c r="U2856" s="13"/>
      <c r="V2856" s="13"/>
      <c r="W2856" s="13"/>
      <c r="X2856" s="22" t="str">
        <f aca="false">IF(Q2856="","",Q2856^2)</f>
        <v/>
      </c>
      <c r="Y2856" s="22" t="str">
        <f aca="false">IF(AND(C2856&lt;&gt;"",C2856=CERTIFICADO!$E$4,OR(CERTIFICADO!$E$5="",B2856=CERTIFICADO!$E$5)),MAX($Y$4:Y2855)+1,"")</f>
        <v/>
      </c>
    </row>
    <row r="2857" customFormat="false" ht="15" hidden="false" customHeight="false" outlineLevel="0" collapsed="false">
      <c r="A2857" s="11" t="str">
        <f aca="false">IF(C2857="","",ROW()-4)</f>
        <v/>
      </c>
      <c r="B2857" s="12"/>
      <c r="C2857" s="13"/>
      <c r="D2857" s="23" t="str">
        <f aca="false">IF(C2857="","",IFERROR(INDEX(LOTES!$D$5:$D$1004,MATCH(C2857,LOTES!$F$5:$F$1004,0)),"¿Lote?"))</f>
        <v/>
      </c>
      <c r="E2857" s="11" t="str">
        <f aca="false">IF(C2857="","",IFERROR(INDEX(LOTES!$C$5:$C$1004,MATCH(C2857,LOTES!$F$5:$F$1004,0)),""))</f>
        <v/>
      </c>
      <c r="F2857" s="24" t="str">
        <f aca="false">IF(C2857="","",IFERROR(INDEX(LOTES!$B$5:$B$1004,MATCH(C2857,LOTES!$F$5:$F$1004,0)),""))</f>
        <v/>
      </c>
      <c r="G2857" s="15" t="str">
        <f aca="false">IF(OR(B2857="",F2857=""),"",B2857-F2857)</f>
        <v/>
      </c>
      <c r="H2857" s="13"/>
      <c r="I2857" s="13"/>
      <c r="J2857" s="13"/>
      <c r="K2857" s="25"/>
      <c r="L2857" s="25"/>
      <c r="M2857" s="25"/>
      <c r="N2857" s="25"/>
      <c r="O2857" s="26"/>
      <c r="P2857" s="16" t="str">
        <f aca="false">IF(O2857="","",IFERROR(1/(1/(IF(K2857="",INDEX(CONFIG!$F$5:$F$14,MATCH(D2857,CONFIG!$D$5:$D$14,0)),K2857)*IF(M2857="",INDEX(CONFIG!$H$5:$H$14,MATCH(D2857,CONFIG!$D$5:$D$14,0)),M2857))),""))</f>
        <v/>
      </c>
      <c r="Q2857" s="16" t="str">
        <f aca="false">IF(OR(O2857="",P2857=""),"",O2857/P2857)</f>
        <v/>
      </c>
      <c r="R2857" s="16" t="str">
        <f aca="false">IF(Q2857="","",Q2857*0.0980665)</f>
        <v/>
      </c>
      <c r="S2857" s="16" t="str">
        <f aca="false">IF(Q2857="","",IFERROR(Q2857/(1/(1/INDEX(CONFIG!$I$5:$I$14,MATCH(D2857,CONFIG!$D$5:$D$14,0)))),""))</f>
        <v/>
      </c>
      <c r="T2857" s="13"/>
      <c r="U2857" s="13"/>
      <c r="V2857" s="13"/>
      <c r="W2857" s="13"/>
      <c r="X2857" s="22" t="str">
        <f aca="false">IF(Q2857="","",Q2857^2)</f>
        <v/>
      </c>
      <c r="Y2857" s="22" t="str">
        <f aca="false">IF(AND(C2857&lt;&gt;"",C2857=CERTIFICADO!$E$4,OR(CERTIFICADO!$E$5="",B2857=CERTIFICADO!$E$5)),MAX($Y$4:Y2856)+1,"")</f>
        <v/>
      </c>
    </row>
    <row r="2858" customFormat="false" ht="15" hidden="false" customHeight="false" outlineLevel="0" collapsed="false">
      <c r="A2858" s="11" t="str">
        <f aca="false">IF(C2858="","",ROW()-4)</f>
        <v/>
      </c>
      <c r="B2858" s="12"/>
      <c r="C2858" s="13"/>
      <c r="D2858" s="23" t="str">
        <f aca="false">IF(C2858="","",IFERROR(INDEX(LOTES!$D$5:$D$1004,MATCH(C2858,LOTES!$F$5:$F$1004,0)),"¿Lote?"))</f>
        <v/>
      </c>
      <c r="E2858" s="11" t="str">
        <f aca="false">IF(C2858="","",IFERROR(INDEX(LOTES!$C$5:$C$1004,MATCH(C2858,LOTES!$F$5:$F$1004,0)),""))</f>
        <v/>
      </c>
      <c r="F2858" s="24" t="str">
        <f aca="false">IF(C2858="","",IFERROR(INDEX(LOTES!$B$5:$B$1004,MATCH(C2858,LOTES!$F$5:$F$1004,0)),""))</f>
        <v/>
      </c>
      <c r="G2858" s="15" t="str">
        <f aca="false">IF(OR(B2858="",F2858=""),"",B2858-F2858)</f>
        <v/>
      </c>
      <c r="H2858" s="13"/>
      <c r="I2858" s="13"/>
      <c r="J2858" s="13"/>
      <c r="K2858" s="25"/>
      <c r="L2858" s="25"/>
      <c r="M2858" s="25"/>
      <c r="N2858" s="25"/>
      <c r="O2858" s="26"/>
      <c r="P2858" s="16" t="str">
        <f aca="false">IF(O2858="","",IFERROR(1/(1/(IF(K2858="",INDEX(CONFIG!$F$5:$F$14,MATCH(D2858,CONFIG!$D$5:$D$14,0)),K2858)*IF(M2858="",INDEX(CONFIG!$H$5:$H$14,MATCH(D2858,CONFIG!$D$5:$D$14,0)),M2858))),""))</f>
        <v/>
      </c>
      <c r="Q2858" s="16" t="str">
        <f aca="false">IF(OR(O2858="",P2858=""),"",O2858/P2858)</f>
        <v/>
      </c>
      <c r="R2858" s="16" t="str">
        <f aca="false">IF(Q2858="","",Q2858*0.0980665)</f>
        <v/>
      </c>
      <c r="S2858" s="16" t="str">
        <f aca="false">IF(Q2858="","",IFERROR(Q2858/(1/(1/INDEX(CONFIG!$I$5:$I$14,MATCH(D2858,CONFIG!$D$5:$D$14,0)))),""))</f>
        <v/>
      </c>
      <c r="T2858" s="13"/>
      <c r="U2858" s="13"/>
      <c r="V2858" s="13"/>
      <c r="W2858" s="13"/>
      <c r="X2858" s="22" t="str">
        <f aca="false">IF(Q2858="","",Q2858^2)</f>
        <v/>
      </c>
      <c r="Y2858" s="22" t="str">
        <f aca="false">IF(AND(C2858&lt;&gt;"",C2858=CERTIFICADO!$E$4,OR(CERTIFICADO!$E$5="",B2858=CERTIFICADO!$E$5)),MAX($Y$4:Y2857)+1,"")</f>
        <v/>
      </c>
    </row>
    <row r="2859" customFormat="false" ht="15" hidden="false" customHeight="false" outlineLevel="0" collapsed="false">
      <c r="A2859" s="11" t="str">
        <f aca="false">IF(C2859="","",ROW()-4)</f>
        <v/>
      </c>
      <c r="B2859" s="12"/>
      <c r="C2859" s="13"/>
      <c r="D2859" s="23" t="str">
        <f aca="false">IF(C2859="","",IFERROR(INDEX(LOTES!$D$5:$D$1004,MATCH(C2859,LOTES!$F$5:$F$1004,0)),"¿Lote?"))</f>
        <v/>
      </c>
      <c r="E2859" s="11" t="str">
        <f aca="false">IF(C2859="","",IFERROR(INDEX(LOTES!$C$5:$C$1004,MATCH(C2859,LOTES!$F$5:$F$1004,0)),""))</f>
        <v/>
      </c>
      <c r="F2859" s="24" t="str">
        <f aca="false">IF(C2859="","",IFERROR(INDEX(LOTES!$B$5:$B$1004,MATCH(C2859,LOTES!$F$5:$F$1004,0)),""))</f>
        <v/>
      </c>
      <c r="G2859" s="15" t="str">
        <f aca="false">IF(OR(B2859="",F2859=""),"",B2859-F2859)</f>
        <v/>
      </c>
      <c r="H2859" s="13"/>
      <c r="I2859" s="13"/>
      <c r="J2859" s="13"/>
      <c r="K2859" s="25"/>
      <c r="L2859" s="25"/>
      <c r="M2859" s="25"/>
      <c r="N2859" s="25"/>
      <c r="O2859" s="26"/>
      <c r="P2859" s="16" t="str">
        <f aca="false">IF(O2859="","",IFERROR(1/(1/(IF(K2859="",INDEX(CONFIG!$F$5:$F$14,MATCH(D2859,CONFIG!$D$5:$D$14,0)),K2859)*IF(M2859="",INDEX(CONFIG!$H$5:$H$14,MATCH(D2859,CONFIG!$D$5:$D$14,0)),M2859))),""))</f>
        <v/>
      </c>
      <c r="Q2859" s="16" t="str">
        <f aca="false">IF(OR(O2859="",P2859=""),"",O2859/P2859)</f>
        <v/>
      </c>
      <c r="R2859" s="16" t="str">
        <f aca="false">IF(Q2859="","",Q2859*0.0980665)</f>
        <v/>
      </c>
      <c r="S2859" s="16" t="str">
        <f aca="false">IF(Q2859="","",IFERROR(Q2859/(1/(1/INDEX(CONFIG!$I$5:$I$14,MATCH(D2859,CONFIG!$D$5:$D$14,0)))),""))</f>
        <v/>
      </c>
      <c r="T2859" s="13"/>
      <c r="U2859" s="13"/>
      <c r="V2859" s="13"/>
      <c r="W2859" s="13"/>
      <c r="X2859" s="22" t="str">
        <f aca="false">IF(Q2859="","",Q2859^2)</f>
        <v/>
      </c>
      <c r="Y2859" s="22" t="str">
        <f aca="false">IF(AND(C2859&lt;&gt;"",C2859=CERTIFICADO!$E$4,OR(CERTIFICADO!$E$5="",B2859=CERTIFICADO!$E$5)),MAX($Y$4:Y2858)+1,"")</f>
        <v/>
      </c>
    </row>
    <row r="2860" customFormat="false" ht="15" hidden="false" customHeight="false" outlineLevel="0" collapsed="false">
      <c r="A2860" s="11" t="str">
        <f aca="false">IF(C2860="","",ROW()-4)</f>
        <v/>
      </c>
      <c r="B2860" s="12"/>
      <c r="C2860" s="13"/>
      <c r="D2860" s="23" t="str">
        <f aca="false">IF(C2860="","",IFERROR(INDEX(LOTES!$D$5:$D$1004,MATCH(C2860,LOTES!$F$5:$F$1004,0)),"¿Lote?"))</f>
        <v/>
      </c>
      <c r="E2860" s="11" t="str">
        <f aca="false">IF(C2860="","",IFERROR(INDEX(LOTES!$C$5:$C$1004,MATCH(C2860,LOTES!$F$5:$F$1004,0)),""))</f>
        <v/>
      </c>
      <c r="F2860" s="24" t="str">
        <f aca="false">IF(C2860="","",IFERROR(INDEX(LOTES!$B$5:$B$1004,MATCH(C2860,LOTES!$F$5:$F$1004,0)),""))</f>
        <v/>
      </c>
      <c r="G2860" s="15" t="str">
        <f aca="false">IF(OR(B2860="",F2860=""),"",B2860-F2860)</f>
        <v/>
      </c>
      <c r="H2860" s="13"/>
      <c r="I2860" s="13"/>
      <c r="J2860" s="13"/>
      <c r="K2860" s="25"/>
      <c r="L2860" s="25"/>
      <c r="M2860" s="25"/>
      <c r="N2860" s="25"/>
      <c r="O2860" s="26"/>
      <c r="P2860" s="16" t="str">
        <f aca="false">IF(O2860="","",IFERROR(1/(1/(IF(K2860="",INDEX(CONFIG!$F$5:$F$14,MATCH(D2860,CONFIG!$D$5:$D$14,0)),K2860)*IF(M2860="",INDEX(CONFIG!$H$5:$H$14,MATCH(D2860,CONFIG!$D$5:$D$14,0)),M2860))),""))</f>
        <v/>
      </c>
      <c r="Q2860" s="16" t="str">
        <f aca="false">IF(OR(O2860="",P2860=""),"",O2860/P2860)</f>
        <v/>
      </c>
      <c r="R2860" s="16" t="str">
        <f aca="false">IF(Q2860="","",Q2860*0.0980665)</f>
        <v/>
      </c>
      <c r="S2860" s="16" t="str">
        <f aca="false">IF(Q2860="","",IFERROR(Q2860/(1/(1/INDEX(CONFIG!$I$5:$I$14,MATCH(D2860,CONFIG!$D$5:$D$14,0)))),""))</f>
        <v/>
      </c>
      <c r="T2860" s="13"/>
      <c r="U2860" s="13"/>
      <c r="V2860" s="13"/>
      <c r="W2860" s="13"/>
      <c r="X2860" s="22" t="str">
        <f aca="false">IF(Q2860="","",Q2860^2)</f>
        <v/>
      </c>
      <c r="Y2860" s="22" t="str">
        <f aca="false">IF(AND(C2860&lt;&gt;"",C2860=CERTIFICADO!$E$4,OR(CERTIFICADO!$E$5="",B2860=CERTIFICADO!$E$5)),MAX($Y$4:Y2859)+1,"")</f>
        <v/>
      </c>
    </row>
    <row r="2861" customFormat="false" ht="15" hidden="false" customHeight="false" outlineLevel="0" collapsed="false">
      <c r="A2861" s="11" t="str">
        <f aca="false">IF(C2861="","",ROW()-4)</f>
        <v/>
      </c>
      <c r="B2861" s="12"/>
      <c r="C2861" s="13"/>
      <c r="D2861" s="23" t="str">
        <f aca="false">IF(C2861="","",IFERROR(INDEX(LOTES!$D$5:$D$1004,MATCH(C2861,LOTES!$F$5:$F$1004,0)),"¿Lote?"))</f>
        <v/>
      </c>
      <c r="E2861" s="11" t="str">
        <f aca="false">IF(C2861="","",IFERROR(INDEX(LOTES!$C$5:$C$1004,MATCH(C2861,LOTES!$F$5:$F$1004,0)),""))</f>
        <v/>
      </c>
      <c r="F2861" s="24" t="str">
        <f aca="false">IF(C2861="","",IFERROR(INDEX(LOTES!$B$5:$B$1004,MATCH(C2861,LOTES!$F$5:$F$1004,0)),""))</f>
        <v/>
      </c>
      <c r="G2861" s="15" t="str">
        <f aca="false">IF(OR(B2861="",F2861=""),"",B2861-F2861)</f>
        <v/>
      </c>
      <c r="H2861" s="13"/>
      <c r="I2861" s="13"/>
      <c r="J2861" s="13"/>
      <c r="K2861" s="25"/>
      <c r="L2861" s="25"/>
      <c r="M2861" s="25"/>
      <c r="N2861" s="25"/>
      <c r="O2861" s="26"/>
      <c r="P2861" s="16" t="str">
        <f aca="false">IF(O2861="","",IFERROR(1/(1/(IF(K2861="",INDEX(CONFIG!$F$5:$F$14,MATCH(D2861,CONFIG!$D$5:$D$14,0)),K2861)*IF(M2861="",INDEX(CONFIG!$H$5:$H$14,MATCH(D2861,CONFIG!$D$5:$D$14,0)),M2861))),""))</f>
        <v/>
      </c>
      <c r="Q2861" s="16" t="str">
        <f aca="false">IF(OR(O2861="",P2861=""),"",O2861/P2861)</f>
        <v/>
      </c>
      <c r="R2861" s="16" t="str">
        <f aca="false">IF(Q2861="","",Q2861*0.0980665)</f>
        <v/>
      </c>
      <c r="S2861" s="16" t="str">
        <f aca="false">IF(Q2861="","",IFERROR(Q2861/(1/(1/INDEX(CONFIG!$I$5:$I$14,MATCH(D2861,CONFIG!$D$5:$D$14,0)))),""))</f>
        <v/>
      </c>
      <c r="T2861" s="13"/>
      <c r="U2861" s="13"/>
      <c r="V2861" s="13"/>
      <c r="W2861" s="13"/>
      <c r="X2861" s="22" t="str">
        <f aca="false">IF(Q2861="","",Q2861^2)</f>
        <v/>
      </c>
      <c r="Y2861" s="22" t="str">
        <f aca="false">IF(AND(C2861&lt;&gt;"",C2861=CERTIFICADO!$E$4,OR(CERTIFICADO!$E$5="",B2861=CERTIFICADO!$E$5)),MAX($Y$4:Y2860)+1,"")</f>
        <v/>
      </c>
    </row>
    <row r="2862" customFormat="false" ht="15" hidden="false" customHeight="false" outlineLevel="0" collapsed="false">
      <c r="A2862" s="11" t="str">
        <f aca="false">IF(C2862="","",ROW()-4)</f>
        <v/>
      </c>
      <c r="B2862" s="12"/>
      <c r="C2862" s="13"/>
      <c r="D2862" s="23" t="str">
        <f aca="false">IF(C2862="","",IFERROR(INDEX(LOTES!$D$5:$D$1004,MATCH(C2862,LOTES!$F$5:$F$1004,0)),"¿Lote?"))</f>
        <v/>
      </c>
      <c r="E2862" s="11" t="str">
        <f aca="false">IF(C2862="","",IFERROR(INDEX(LOTES!$C$5:$C$1004,MATCH(C2862,LOTES!$F$5:$F$1004,0)),""))</f>
        <v/>
      </c>
      <c r="F2862" s="24" t="str">
        <f aca="false">IF(C2862="","",IFERROR(INDEX(LOTES!$B$5:$B$1004,MATCH(C2862,LOTES!$F$5:$F$1004,0)),""))</f>
        <v/>
      </c>
      <c r="G2862" s="15" t="str">
        <f aca="false">IF(OR(B2862="",F2862=""),"",B2862-F2862)</f>
        <v/>
      </c>
      <c r="H2862" s="13"/>
      <c r="I2862" s="13"/>
      <c r="J2862" s="13"/>
      <c r="K2862" s="25"/>
      <c r="L2862" s="25"/>
      <c r="M2862" s="25"/>
      <c r="N2862" s="25"/>
      <c r="O2862" s="26"/>
      <c r="P2862" s="16" t="str">
        <f aca="false">IF(O2862="","",IFERROR(1/(1/(IF(K2862="",INDEX(CONFIG!$F$5:$F$14,MATCH(D2862,CONFIG!$D$5:$D$14,0)),K2862)*IF(M2862="",INDEX(CONFIG!$H$5:$H$14,MATCH(D2862,CONFIG!$D$5:$D$14,0)),M2862))),""))</f>
        <v/>
      </c>
      <c r="Q2862" s="16" t="str">
        <f aca="false">IF(OR(O2862="",P2862=""),"",O2862/P2862)</f>
        <v/>
      </c>
      <c r="R2862" s="16" t="str">
        <f aca="false">IF(Q2862="","",Q2862*0.0980665)</f>
        <v/>
      </c>
      <c r="S2862" s="16" t="str">
        <f aca="false">IF(Q2862="","",IFERROR(Q2862/(1/(1/INDEX(CONFIG!$I$5:$I$14,MATCH(D2862,CONFIG!$D$5:$D$14,0)))),""))</f>
        <v/>
      </c>
      <c r="T2862" s="13"/>
      <c r="U2862" s="13"/>
      <c r="V2862" s="13"/>
      <c r="W2862" s="13"/>
      <c r="X2862" s="22" t="str">
        <f aca="false">IF(Q2862="","",Q2862^2)</f>
        <v/>
      </c>
      <c r="Y2862" s="22" t="str">
        <f aca="false">IF(AND(C2862&lt;&gt;"",C2862=CERTIFICADO!$E$4,OR(CERTIFICADO!$E$5="",B2862=CERTIFICADO!$E$5)),MAX($Y$4:Y2861)+1,"")</f>
        <v/>
      </c>
    </row>
    <row r="2863" customFormat="false" ht="15" hidden="false" customHeight="false" outlineLevel="0" collapsed="false">
      <c r="A2863" s="11" t="str">
        <f aca="false">IF(C2863="","",ROW()-4)</f>
        <v/>
      </c>
      <c r="B2863" s="12"/>
      <c r="C2863" s="13"/>
      <c r="D2863" s="23" t="str">
        <f aca="false">IF(C2863="","",IFERROR(INDEX(LOTES!$D$5:$D$1004,MATCH(C2863,LOTES!$F$5:$F$1004,0)),"¿Lote?"))</f>
        <v/>
      </c>
      <c r="E2863" s="11" t="str">
        <f aca="false">IF(C2863="","",IFERROR(INDEX(LOTES!$C$5:$C$1004,MATCH(C2863,LOTES!$F$5:$F$1004,0)),""))</f>
        <v/>
      </c>
      <c r="F2863" s="24" t="str">
        <f aca="false">IF(C2863="","",IFERROR(INDEX(LOTES!$B$5:$B$1004,MATCH(C2863,LOTES!$F$5:$F$1004,0)),""))</f>
        <v/>
      </c>
      <c r="G2863" s="15" t="str">
        <f aca="false">IF(OR(B2863="",F2863=""),"",B2863-F2863)</f>
        <v/>
      </c>
      <c r="H2863" s="13"/>
      <c r="I2863" s="13"/>
      <c r="J2863" s="13"/>
      <c r="K2863" s="25"/>
      <c r="L2863" s="25"/>
      <c r="M2863" s="25"/>
      <c r="N2863" s="25"/>
      <c r="O2863" s="26"/>
      <c r="P2863" s="16" t="str">
        <f aca="false">IF(O2863="","",IFERROR(1/(1/(IF(K2863="",INDEX(CONFIG!$F$5:$F$14,MATCH(D2863,CONFIG!$D$5:$D$14,0)),K2863)*IF(M2863="",INDEX(CONFIG!$H$5:$H$14,MATCH(D2863,CONFIG!$D$5:$D$14,0)),M2863))),""))</f>
        <v/>
      </c>
      <c r="Q2863" s="16" t="str">
        <f aca="false">IF(OR(O2863="",P2863=""),"",O2863/P2863)</f>
        <v/>
      </c>
      <c r="R2863" s="16" t="str">
        <f aca="false">IF(Q2863="","",Q2863*0.0980665)</f>
        <v/>
      </c>
      <c r="S2863" s="16" t="str">
        <f aca="false">IF(Q2863="","",IFERROR(Q2863/(1/(1/INDEX(CONFIG!$I$5:$I$14,MATCH(D2863,CONFIG!$D$5:$D$14,0)))),""))</f>
        <v/>
      </c>
      <c r="T2863" s="13"/>
      <c r="U2863" s="13"/>
      <c r="V2863" s="13"/>
      <c r="W2863" s="13"/>
      <c r="X2863" s="22" t="str">
        <f aca="false">IF(Q2863="","",Q2863^2)</f>
        <v/>
      </c>
      <c r="Y2863" s="22" t="str">
        <f aca="false">IF(AND(C2863&lt;&gt;"",C2863=CERTIFICADO!$E$4,OR(CERTIFICADO!$E$5="",B2863=CERTIFICADO!$E$5)),MAX($Y$4:Y2862)+1,"")</f>
        <v/>
      </c>
    </row>
    <row r="2864" customFormat="false" ht="15" hidden="false" customHeight="false" outlineLevel="0" collapsed="false">
      <c r="A2864" s="11" t="str">
        <f aca="false">IF(C2864="","",ROW()-4)</f>
        <v/>
      </c>
      <c r="B2864" s="12"/>
      <c r="C2864" s="13"/>
      <c r="D2864" s="23" t="str">
        <f aca="false">IF(C2864="","",IFERROR(INDEX(LOTES!$D$5:$D$1004,MATCH(C2864,LOTES!$F$5:$F$1004,0)),"¿Lote?"))</f>
        <v/>
      </c>
      <c r="E2864" s="11" t="str">
        <f aca="false">IF(C2864="","",IFERROR(INDEX(LOTES!$C$5:$C$1004,MATCH(C2864,LOTES!$F$5:$F$1004,0)),""))</f>
        <v/>
      </c>
      <c r="F2864" s="24" t="str">
        <f aca="false">IF(C2864="","",IFERROR(INDEX(LOTES!$B$5:$B$1004,MATCH(C2864,LOTES!$F$5:$F$1004,0)),""))</f>
        <v/>
      </c>
      <c r="G2864" s="15" t="str">
        <f aca="false">IF(OR(B2864="",F2864=""),"",B2864-F2864)</f>
        <v/>
      </c>
      <c r="H2864" s="13"/>
      <c r="I2864" s="13"/>
      <c r="J2864" s="13"/>
      <c r="K2864" s="25"/>
      <c r="L2864" s="25"/>
      <c r="M2864" s="25"/>
      <c r="N2864" s="25"/>
      <c r="O2864" s="26"/>
      <c r="P2864" s="16" t="str">
        <f aca="false">IF(O2864="","",IFERROR(1/(1/(IF(K2864="",INDEX(CONFIG!$F$5:$F$14,MATCH(D2864,CONFIG!$D$5:$D$14,0)),K2864)*IF(M2864="",INDEX(CONFIG!$H$5:$H$14,MATCH(D2864,CONFIG!$D$5:$D$14,0)),M2864))),""))</f>
        <v/>
      </c>
      <c r="Q2864" s="16" t="str">
        <f aca="false">IF(OR(O2864="",P2864=""),"",O2864/P2864)</f>
        <v/>
      </c>
      <c r="R2864" s="16" t="str">
        <f aca="false">IF(Q2864="","",Q2864*0.0980665)</f>
        <v/>
      </c>
      <c r="S2864" s="16" t="str">
        <f aca="false">IF(Q2864="","",IFERROR(Q2864/(1/(1/INDEX(CONFIG!$I$5:$I$14,MATCH(D2864,CONFIG!$D$5:$D$14,0)))),""))</f>
        <v/>
      </c>
      <c r="T2864" s="13"/>
      <c r="U2864" s="13"/>
      <c r="V2864" s="13"/>
      <c r="W2864" s="13"/>
      <c r="X2864" s="22" t="str">
        <f aca="false">IF(Q2864="","",Q2864^2)</f>
        <v/>
      </c>
      <c r="Y2864" s="22" t="str">
        <f aca="false">IF(AND(C2864&lt;&gt;"",C2864=CERTIFICADO!$E$4,OR(CERTIFICADO!$E$5="",B2864=CERTIFICADO!$E$5)),MAX($Y$4:Y2863)+1,"")</f>
        <v/>
      </c>
    </row>
    <row r="2865" customFormat="false" ht="15" hidden="false" customHeight="false" outlineLevel="0" collapsed="false">
      <c r="A2865" s="11" t="str">
        <f aca="false">IF(C2865="","",ROW()-4)</f>
        <v/>
      </c>
      <c r="B2865" s="12"/>
      <c r="C2865" s="13"/>
      <c r="D2865" s="23" t="str">
        <f aca="false">IF(C2865="","",IFERROR(INDEX(LOTES!$D$5:$D$1004,MATCH(C2865,LOTES!$F$5:$F$1004,0)),"¿Lote?"))</f>
        <v/>
      </c>
      <c r="E2865" s="11" t="str">
        <f aca="false">IF(C2865="","",IFERROR(INDEX(LOTES!$C$5:$C$1004,MATCH(C2865,LOTES!$F$5:$F$1004,0)),""))</f>
        <v/>
      </c>
      <c r="F2865" s="24" t="str">
        <f aca="false">IF(C2865="","",IFERROR(INDEX(LOTES!$B$5:$B$1004,MATCH(C2865,LOTES!$F$5:$F$1004,0)),""))</f>
        <v/>
      </c>
      <c r="G2865" s="15" t="str">
        <f aca="false">IF(OR(B2865="",F2865=""),"",B2865-F2865)</f>
        <v/>
      </c>
      <c r="H2865" s="13"/>
      <c r="I2865" s="13"/>
      <c r="J2865" s="13"/>
      <c r="K2865" s="25"/>
      <c r="L2865" s="25"/>
      <c r="M2865" s="25"/>
      <c r="N2865" s="25"/>
      <c r="O2865" s="26"/>
      <c r="P2865" s="16" t="str">
        <f aca="false">IF(O2865="","",IFERROR(1/(1/(IF(K2865="",INDEX(CONFIG!$F$5:$F$14,MATCH(D2865,CONFIG!$D$5:$D$14,0)),K2865)*IF(M2865="",INDEX(CONFIG!$H$5:$H$14,MATCH(D2865,CONFIG!$D$5:$D$14,0)),M2865))),""))</f>
        <v/>
      </c>
      <c r="Q2865" s="16" t="str">
        <f aca="false">IF(OR(O2865="",P2865=""),"",O2865/P2865)</f>
        <v/>
      </c>
      <c r="R2865" s="16" t="str">
        <f aca="false">IF(Q2865="","",Q2865*0.0980665)</f>
        <v/>
      </c>
      <c r="S2865" s="16" t="str">
        <f aca="false">IF(Q2865="","",IFERROR(Q2865/(1/(1/INDEX(CONFIG!$I$5:$I$14,MATCH(D2865,CONFIG!$D$5:$D$14,0)))),""))</f>
        <v/>
      </c>
      <c r="T2865" s="13"/>
      <c r="U2865" s="13"/>
      <c r="V2865" s="13"/>
      <c r="W2865" s="13"/>
      <c r="X2865" s="22" t="str">
        <f aca="false">IF(Q2865="","",Q2865^2)</f>
        <v/>
      </c>
      <c r="Y2865" s="22" t="str">
        <f aca="false">IF(AND(C2865&lt;&gt;"",C2865=CERTIFICADO!$E$4,OR(CERTIFICADO!$E$5="",B2865=CERTIFICADO!$E$5)),MAX($Y$4:Y2864)+1,"")</f>
        <v/>
      </c>
    </row>
    <row r="2866" customFormat="false" ht="15" hidden="false" customHeight="false" outlineLevel="0" collapsed="false">
      <c r="A2866" s="11" t="str">
        <f aca="false">IF(C2866="","",ROW()-4)</f>
        <v/>
      </c>
      <c r="B2866" s="12"/>
      <c r="C2866" s="13"/>
      <c r="D2866" s="23" t="str">
        <f aca="false">IF(C2866="","",IFERROR(INDEX(LOTES!$D$5:$D$1004,MATCH(C2866,LOTES!$F$5:$F$1004,0)),"¿Lote?"))</f>
        <v/>
      </c>
      <c r="E2866" s="11" t="str">
        <f aca="false">IF(C2866="","",IFERROR(INDEX(LOTES!$C$5:$C$1004,MATCH(C2866,LOTES!$F$5:$F$1004,0)),""))</f>
        <v/>
      </c>
      <c r="F2866" s="24" t="str">
        <f aca="false">IF(C2866="","",IFERROR(INDEX(LOTES!$B$5:$B$1004,MATCH(C2866,LOTES!$F$5:$F$1004,0)),""))</f>
        <v/>
      </c>
      <c r="G2866" s="15" t="str">
        <f aca="false">IF(OR(B2866="",F2866=""),"",B2866-F2866)</f>
        <v/>
      </c>
      <c r="H2866" s="13"/>
      <c r="I2866" s="13"/>
      <c r="J2866" s="13"/>
      <c r="K2866" s="25"/>
      <c r="L2866" s="25"/>
      <c r="M2866" s="25"/>
      <c r="N2866" s="25"/>
      <c r="O2866" s="26"/>
      <c r="P2866" s="16" t="str">
        <f aca="false">IF(O2866="","",IFERROR(1/(1/(IF(K2866="",INDEX(CONFIG!$F$5:$F$14,MATCH(D2866,CONFIG!$D$5:$D$14,0)),K2866)*IF(M2866="",INDEX(CONFIG!$H$5:$H$14,MATCH(D2866,CONFIG!$D$5:$D$14,0)),M2866))),""))</f>
        <v/>
      </c>
      <c r="Q2866" s="16" t="str">
        <f aca="false">IF(OR(O2866="",P2866=""),"",O2866/P2866)</f>
        <v/>
      </c>
      <c r="R2866" s="16" t="str">
        <f aca="false">IF(Q2866="","",Q2866*0.0980665)</f>
        <v/>
      </c>
      <c r="S2866" s="16" t="str">
        <f aca="false">IF(Q2866="","",IFERROR(Q2866/(1/(1/INDEX(CONFIG!$I$5:$I$14,MATCH(D2866,CONFIG!$D$5:$D$14,0)))),""))</f>
        <v/>
      </c>
      <c r="T2866" s="13"/>
      <c r="U2866" s="13"/>
      <c r="V2866" s="13"/>
      <c r="W2866" s="13"/>
      <c r="X2866" s="22" t="str">
        <f aca="false">IF(Q2866="","",Q2866^2)</f>
        <v/>
      </c>
      <c r="Y2866" s="22" t="str">
        <f aca="false">IF(AND(C2866&lt;&gt;"",C2866=CERTIFICADO!$E$4,OR(CERTIFICADO!$E$5="",B2866=CERTIFICADO!$E$5)),MAX($Y$4:Y2865)+1,"")</f>
        <v/>
      </c>
    </row>
    <row r="2867" customFormat="false" ht="15" hidden="false" customHeight="false" outlineLevel="0" collapsed="false">
      <c r="A2867" s="11" t="str">
        <f aca="false">IF(C2867="","",ROW()-4)</f>
        <v/>
      </c>
      <c r="B2867" s="12"/>
      <c r="C2867" s="13"/>
      <c r="D2867" s="23" t="str">
        <f aca="false">IF(C2867="","",IFERROR(INDEX(LOTES!$D$5:$D$1004,MATCH(C2867,LOTES!$F$5:$F$1004,0)),"¿Lote?"))</f>
        <v/>
      </c>
      <c r="E2867" s="11" t="str">
        <f aca="false">IF(C2867="","",IFERROR(INDEX(LOTES!$C$5:$C$1004,MATCH(C2867,LOTES!$F$5:$F$1004,0)),""))</f>
        <v/>
      </c>
      <c r="F2867" s="24" t="str">
        <f aca="false">IF(C2867="","",IFERROR(INDEX(LOTES!$B$5:$B$1004,MATCH(C2867,LOTES!$F$5:$F$1004,0)),""))</f>
        <v/>
      </c>
      <c r="G2867" s="15" t="str">
        <f aca="false">IF(OR(B2867="",F2867=""),"",B2867-F2867)</f>
        <v/>
      </c>
      <c r="H2867" s="13"/>
      <c r="I2867" s="13"/>
      <c r="J2867" s="13"/>
      <c r="K2867" s="25"/>
      <c r="L2867" s="25"/>
      <c r="M2867" s="25"/>
      <c r="N2867" s="25"/>
      <c r="O2867" s="26"/>
      <c r="P2867" s="16" t="str">
        <f aca="false">IF(O2867="","",IFERROR(1/(1/(IF(K2867="",INDEX(CONFIG!$F$5:$F$14,MATCH(D2867,CONFIG!$D$5:$D$14,0)),K2867)*IF(M2867="",INDEX(CONFIG!$H$5:$H$14,MATCH(D2867,CONFIG!$D$5:$D$14,0)),M2867))),""))</f>
        <v/>
      </c>
      <c r="Q2867" s="16" t="str">
        <f aca="false">IF(OR(O2867="",P2867=""),"",O2867/P2867)</f>
        <v/>
      </c>
      <c r="R2867" s="16" t="str">
        <f aca="false">IF(Q2867="","",Q2867*0.0980665)</f>
        <v/>
      </c>
      <c r="S2867" s="16" t="str">
        <f aca="false">IF(Q2867="","",IFERROR(Q2867/(1/(1/INDEX(CONFIG!$I$5:$I$14,MATCH(D2867,CONFIG!$D$5:$D$14,0)))),""))</f>
        <v/>
      </c>
      <c r="T2867" s="13"/>
      <c r="U2867" s="13"/>
      <c r="V2867" s="13"/>
      <c r="W2867" s="13"/>
      <c r="X2867" s="22" t="str">
        <f aca="false">IF(Q2867="","",Q2867^2)</f>
        <v/>
      </c>
      <c r="Y2867" s="22" t="str">
        <f aca="false">IF(AND(C2867&lt;&gt;"",C2867=CERTIFICADO!$E$4,OR(CERTIFICADO!$E$5="",B2867=CERTIFICADO!$E$5)),MAX($Y$4:Y2866)+1,"")</f>
        <v/>
      </c>
    </row>
    <row r="2868" customFormat="false" ht="15" hidden="false" customHeight="false" outlineLevel="0" collapsed="false">
      <c r="A2868" s="11" t="str">
        <f aca="false">IF(C2868="","",ROW()-4)</f>
        <v/>
      </c>
      <c r="B2868" s="12"/>
      <c r="C2868" s="13"/>
      <c r="D2868" s="23" t="str">
        <f aca="false">IF(C2868="","",IFERROR(INDEX(LOTES!$D$5:$D$1004,MATCH(C2868,LOTES!$F$5:$F$1004,0)),"¿Lote?"))</f>
        <v/>
      </c>
      <c r="E2868" s="11" t="str">
        <f aca="false">IF(C2868="","",IFERROR(INDEX(LOTES!$C$5:$C$1004,MATCH(C2868,LOTES!$F$5:$F$1004,0)),""))</f>
        <v/>
      </c>
      <c r="F2868" s="24" t="str">
        <f aca="false">IF(C2868="","",IFERROR(INDEX(LOTES!$B$5:$B$1004,MATCH(C2868,LOTES!$F$5:$F$1004,0)),""))</f>
        <v/>
      </c>
      <c r="G2868" s="15" t="str">
        <f aca="false">IF(OR(B2868="",F2868=""),"",B2868-F2868)</f>
        <v/>
      </c>
      <c r="H2868" s="13"/>
      <c r="I2868" s="13"/>
      <c r="J2868" s="13"/>
      <c r="K2868" s="25"/>
      <c r="L2868" s="25"/>
      <c r="M2868" s="25"/>
      <c r="N2868" s="25"/>
      <c r="O2868" s="26"/>
      <c r="P2868" s="16" t="str">
        <f aca="false">IF(O2868="","",IFERROR(1/(1/(IF(K2868="",INDEX(CONFIG!$F$5:$F$14,MATCH(D2868,CONFIG!$D$5:$D$14,0)),K2868)*IF(M2868="",INDEX(CONFIG!$H$5:$H$14,MATCH(D2868,CONFIG!$D$5:$D$14,0)),M2868))),""))</f>
        <v/>
      </c>
      <c r="Q2868" s="16" t="str">
        <f aca="false">IF(OR(O2868="",P2868=""),"",O2868/P2868)</f>
        <v/>
      </c>
      <c r="R2868" s="16" t="str">
        <f aca="false">IF(Q2868="","",Q2868*0.0980665)</f>
        <v/>
      </c>
      <c r="S2868" s="16" t="str">
        <f aca="false">IF(Q2868="","",IFERROR(Q2868/(1/(1/INDEX(CONFIG!$I$5:$I$14,MATCH(D2868,CONFIG!$D$5:$D$14,0)))),""))</f>
        <v/>
      </c>
      <c r="T2868" s="13"/>
      <c r="U2868" s="13"/>
      <c r="V2868" s="13"/>
      <c r="W2868" s="13"/>
      <c r="X2868" s="22" t="str">
        <f aca="false">IF(Q2868="","",Q2868^2)</f>
        <v/>
      </c>
      <c r="Y2868" s="22" t="str">
        <f aca="false">IF(AND(C2868&lt;&gt;"",C2868=CERTIFICADO!$E$4,OR(CERTIFICADO!$E$5="",B2868=CERTIFICADO!$E$5)),MAX($Y$4:Y2867)+1,"")</f>
        <v/>
      </c>
    </row>
    <row r="2869" customFormat="false" ht="15" hidden="false" customHeight="false" outlineLevel="0" collapsed="false">
      <c r="A2869" s="11" t="str">
        <f aca="false">IF(C2869="","",ROW()-4)</f>
        <v/>
      </c>
      <c r="B2869" s="12"/>
      <c r="C2869" s="13"/>
      <c r="D2869" s="23" t="str">
        <f aca="false">IF(C2869="","",IFERROR(INDEX(LOTES!$D$5:$D$1004,MATCH(C2869,LOTES!$F$5:$F$1004,0)),"¿Lote?"))</f>
        <v/>
      </c>
      <c r="E2869" s="11" t="str">
        <f aca="false">IF(C2869="","",IFERROR(INDEX(LOTES!$C$5:$C$1004,MATCH(C2869,LOTES!$F$5:$F$1004,0)),""))</f>
        <v/>
      </c>
      <c r="F2869" s="24" t="str">
        <f aca="false">IF(C2869="","",IFERROR(INDEX(LOTES!$B$5:$B$1004,MATCH(C2869,LOTES!$F$5:$F$1004,0)),""))</f>
        <v/>
      </c>
      <c r="G2869" s="15" t="str">
        <f aca="false">IF(OR(B2869="",F2869=""),"",B2869-F2869)</f>
        <v/>
      </c>
      <c r="H2869" s="13"/>
      <c r="I2869" s="13"/>
      <c r="J2869" s="13"/>
      <c r="K2869" s="25"/>
      <c r="L2869" s="25"/>
      <c r="M2869" s="25"/>
      <c r="N2869" s="25"/>
      <c r="O2869" s="26"/>
      <c r="P2869" s="16" t="str">
        <f aca="false">IF(O2869="","",IFERROR(1/(1/(IF(K2869="",INDEX(CONFIG!$F$5:$F$14,MATCH(D2869,CONFIG!$D$5:$D$14,0)),K2869)*IF(M2869="",INDEX(CONFIG!$H$5:$H$14,MATCH(D2869,CONFIG!$D$5:$D$14,0)),M2869))),""))</f>
        <v/>
      </c>
      <c r="Q2869" s="16" t="str">
        <f aca="false">IF(OR(O2869="",P2869=""),"",O2869/P2869)</f>
        <v/>
      </c>
      <c r="R2869" s="16" t="str">
        <f aca="false">IF(Q2869="","",Q2869*0.0980665)</f>
        <v/>
      </c>
      <c r="S2869" s="16" t="str">
        <f aca="false">IF(Q2869="","",IFERROR(Q2869/(1/(1/INDEX(CONFIG!$I$5:$I$14,MATCH(D2869,CONFIG!$D$5:$D$14,0)))),""))</f>
        <v/>
      </c>
      <c r="T2869" s="13"/>
      <c r="U2869" s="13"/>
      <c r="V2869" s="13"/>
      <c r="W2869" s="13"/>
      <c r="X2869" s="22" t="str">
        <f aca="false">IF(Q2869="","",Q2869^2)</f>
        <v/>
      </c>
      <c r="Y2869" s="22" t="str">
        <f aca="false">IF(AND(C2869&lt;&gt;"",C2869=CERTIFICADO!$E$4,OR(CERTIFICADO!$E$5="",B2869=CERTIFICADO!$E$5)),MAX($Y$4:Y2868)+1,"")</f>
        <v/>
      </c>
    </row>
    <row r="2870" customFormat="false" ht="15" hidden="false" customHeight="false" outlineLevel="0" collapsed="false">
      <c r="A2870" s="11" t="str">
        <f aca="false">IF(C2870="","",ROW()-4)</f>
        <v/>
      </c>
      <c r="B2870" s="12"/>
      <c r="C2870" s="13"/>
      <c r="D2870" s="23" t="str">
        <f aca="false">IF(C2870="","",IFERROR(INDEX(LOTES!$D$5:$D$1004,MATCH(C2870,LOTES!$F$5:$F$1004,0)),"¿Lote?"))</f>
        <v/>
      </c>
      <c r="E2870" s="11" t="str">
        <f aca="false">IF(C2870="","",IFERROR(INDEX(LOTES!$C$5:$C$1004,MATCH(C2870,LOTES!$F$5:$F$1004,0)),""))</f>
        <v/>
      </c>
      <c r="F2870" s="24" t="str">
        <f aca="false">IF(C2870="","",IFERROR(INDEX(LOTES!$B$5:$B$1004,MATCH(C2870,LOTES!$F$5:$F$1004,0)),""))</f>
        <v/>
      </c>
      <c r="G2870" s="15" t="str">
        <f aca="false">IF(OR(B2870="",F2870=""),"",B2870-F2870)</f>
        <v/>
      </c>
      <c r="H2870" s="13"/>
      <c r="I2870" s="13"/>
      <c r="J2870" s="13"/>
      <c r="K2870" s="25"/>
      <c r="L2870" s="25"/>
      <c r="M2870" s="25"/>
      <c r="N2870" s="25"/>
      <c r="O2870" s="26"/>
      <c r="P2870" s="16" t="str">
        <f aca="false">IF(O2870="","",IFERROR(1/(1/(IF(K2870="",INDEX(CONFIG!$F$5:$F$14,MATCH(D2870,CONFIG!$D$5:$D$14,0)),K2870)*IF(M2870="",INDEX(CONFIG!$H$5:$H$14,MATCH(D2870,CONFIG!$D$5:$D$14,0)),M2870))),""))</f>
        <v/>
      </c>
      <c r="Q2870" s="16" t="str">
        <f aca="false">IF(OR(O2870="",P2870=""),"",O2870/P2870)</f>
        <v/>
      </c>
      <c r="R2870" s="16" t="str">
        <f aca="false">IF(Q2870="","",Q2870*0.0980665)</f>
        <v/>
      </c>
      <c r="S2870" s="16" t="str">
        <f aca="false">IF(Q2870="","",IFERROR(Q2870/(1/(1/INDEX(CONFIG!$I$5:$I$14,MATCH(D2870,CONFIG!$D$5:$D$14,0)))),""))</f>
        <v/>
      </c>
      <c r="T2870" s="13"/>
      <c r="U2870" s="13"/>
      <c r="V2870" s="13"/>
      <c r="W2870" s="13"/>
      <c r="X2870" s="22" t="str">
        <f aca="false">IF(Q2870="","",Q2870^2)</f>
        <v/>
      </c>
      <c r="Y2870" s="22" t="str">
        <f aca="false">IF(AND(C2870&lt;&gt;"",C2870=CERTIFICADO!$E$4,OR(CERTIFICADO!$E$5="",B2870=CERTIFICADO!$E$5)),MAX($Y$4:Y2869)+1,"")</f>
        <v/>
      </c>
    </row>
    <row r="2871" customFormat="false" ht="15" hidden="false" customHeight="false" outlineLevel="0" collapsed="false">
      <c r="A2871" s="11" t="str">
        <f aca="false">IF(C2871="","",ROW()-4)</f>
        <v/>
      </c>
      <c r="B2871" s="12"/>
      <c r="C2871" s="13"/>
      <c r="D2871" s="23" t="str">
        <f aca="false">IF(C2871="","",IFERROR(INDEX(LOTES!$D$5:$D$1004,MATCH(C2871,LOTES!$F$5:$F$1004,0)),"¿Lote?"))</f>
        <v/>
      </c>
      <c r="E2871" s="11" t="str">
        <f aca="false">IF(C2871="","",IFERROR(INDEX(LOTES!$C$5:$C$1004,MATCH(C2871,LOTES!$F$5:$F$1004,0)),""))</f>
        <v/>
      </c>
      <c r="F2871" s="24" t="str">
        <f aca="false">IF(C2871="","",IFERROR(INDEX(LOTES!$B$5:$B$1004,MATCH(C2871,LOTES!$F$5:$F$1004,0)),""))</f>
        <v/>
      </c>
      <c r="G2871" s="15" t="str">
        <f aca="false">IF(OR(B2871="",F2871=""),"",B2871-F2871)</f>
        <v/>
      </c>
      <c r="H2871" s="13"/>
      <c r="I2871" s="13"/>
      <c r="J2871" s="13"/>
      <c r="K2871" s="25"/>
      <c r="L2871" s="25"/>
      <c r="M2871" s="25"/>
      <c r="N2871" s="25"/>
      <c r="O2871" s="26"/>
      <c r="P2871" s="16" t="str">
        <f aca="false">IF(O2871="","",IFERROR(1/(1/(IF(K2871="",INDEX(CONFIG!$F$5:$F$14,MATCH(D2871,CONFIG!$D$5:$D$14,0)),K2871)*IF(M2871="",INDEX(CONFIG!$H$5:$H$14,MATCH(D2871,CONFIG!$D$5:$D$14,0)),M2871))),""))</f>
        <v/>
      </c>
      <c r="Q2871" s="16" t="str">
        <f aca="false">IF(OR(O2871="",P2871=""),"",O2871/P2871)</f>
        <v/>
      </c>
      <c r="R2871" s="16" t="str">
        <f aca="false">IF(Q2871="","",Q2871*0.0980665)</f>
        <v/>
      </c>
      <c r="S2871" s="16" t="str">
        <f aca="false">IF(Q2871="","",IFERROR(Q2871/(1/(1/INDEX(CONFIG!$I$5:$I$14,MATCH(D2871,CONFIG!$D$5:$D$14,0)))),""))</f>
        <v/>
      </c>
      <c r="T2871" s="13"/>
      <c r="U2871" s="13"/>
      <c r="V2871" s="13"/>
      <c r="W2871" s="13"/>
      <c r="X2871" s="22" t="str">
        <f aca="false">IF(Q2871="","",Q2871^2)</f>
        <v/>
      </c>
      <c r="Y2871" s="22" t="str">
        <f aca="false">IF(AND(C2871&lt;&gt;"",C2871=CERTIFICADO!$E$4,OR(CERTIFICADO!$E$5="",B2871=CERTIFICADO!$E$5)),MAX($Y$4:Y2870)+1,"")</f>
        <v/>
      </c>
    </row>
    <row r="2872" customFormat="false" ht="15" hidden="false" customHeight="false" outlineLevel="0" collapsed="false">
      <c r="A2872" s="11" t="str">
        <f aca="false">IF(C2872="","",ROW()-4)</f>
        <v/>
      </c>
      <c r="B2872" s="12"/>
      <c r="C2872" s="13"/>
      <c r="D2872" s="23" t="str">
        <f aca="false">IF(C2872="","",IFERROR(INDEX(LOTES!$D$5:$D$1004,MATCH(C2872,LOTES!$F$5:$F$1004,0)),"¿Lote?"))</f>
        <v/>
      </c>
      <c r="E2872" s="11" t="str">
        <f aca="false">IF(C2872="","",IFERROR(INDEX(LOTES!$C$5:$C$1004,MATCH(C2872,LOTES!$F$5:$F$1004,0)),""))</f>
        <v/>
      </c>
      <c r="F2872" s="24" t="str">
        <f aca="false">IF(C2872="","",IFERROR(INDEX(LOTES!$B$5:$B$1004,MATCH(C2872,LOTES!$F$5:$F$1004,0)),""))</f>
        <v/>
      </c>
      <c r="G2872" s="15" t="str">
        <f aca="false">IF(OR(B2872="",F2872=""),"",B2872-F2872)</f>
        <v/>
      </c>
      <c r="H2872" s="13"/>
      <c r="I2872" s="13"/>
      <c r="J2872" s="13"/>
      <c r="K2872" s="25"/>
      <c r="L2872" s="25"/>
      <c r="M2872" s="25"/>
      <c r="N2872" s="25"/>
      <c r="O2872" s="26"/>
      <c r="P2872" s="16" t="str">
        <f aca="false">IF(O2872="","",IFERROR(1/(1/(IF(K2872="",INDEX(CONFIG!$F$5:$F$14,MATCH(D2872,CONFIG!$D$5:$D$14,0)),K2872)*IF(M2872="",INDEX(CONFIG!$H$5:$H$14,MATCH(D2872,CONFIG!$D$5:$D$14,0)),M2872))),""))</f>
        <v/>
      </c>
      <c r="Q2872" s="16" t="str">
        <f aca="false">IF(OR(O2872="",P2872=""),"",O2872/P2872)</f>
        <v/>
      </c>
      <c r="R2872" s="16" t="str">
        <f aca="false">IF(Q2872="","",Q2872*0.0980665)</f>
        <v/>
      </c>
      <c r="S2872" s="16" t="str">
        <f aca="false">IF(Q2872="","",IFERROR(Q2872/(1/(1/INDEX(CONFIG!$I$5:$I$14,MATCH(D2872,CONFIG!$D$5:$D$14,0)))),""))</f>
        <v/>
      </c>
      <c r="T2872" s="13"/>
      <c r="U2872" s="13"/>
      <c r="V2872" s="13"/>
      <c r="W2872" s="13"/>
      <c r="X2872" s="22" t="str">
        <f aca="false">IF(Q2872="","",Q2872^2)</f>
        <v/>
      </c>
      <c r="Y2872" s="22" t="str">
        <f aca="false">IF(AND(C2872&lt;&gt;"",C2872=CERTIFICADO!$E$4,OR(CERTIFICADO!$E$5="",B2872=CERTIFICADO!$E$5)),MAX($Y$4:Y2871)+1,"")</f>
        <v/>
      </c>
    </row>
    <row r="2873" customFormat="false" ht="15" hidden="false" customHeight="false" outlineLevel="0" collapsed="false">
      <c r="A2873" s="11" t="str">
        <f aca="false">IF(C2873="","",ROW()-4)</f>
        <v/>
      </c>
      <c r="B2873" s="12"/>
      <c r="C2873" s="13"/>
      <c r="D2873" s="23" t="str">
        <f aca="false">IF(C2873="","",IFERROR(INDEX(LOTES!$D$5:$D$1004,MATCH(C2873,LOTES!$F$5:$F$1004,0)),"¿Lote?"))</f>
        <v/>
      </c>
      <c r="E2873" s="11" t="str">
        <f aca="false">IF(C2873="","",IFERROR(INDEX(LOTES!$C$5:$C$1004,MATCH(C2873,LOTES!$F$5:$F$1004,0)),""))</f>
        <v/>
      </c>
      <c r="F2873" s="24" t="str">
        <f aca="false">IF(C2873="","",IFERROR(INDEX(LOTES!$B$5:$B$1004,MATCH(C2873,LOTES!$F$5:$F$1004,0)),""))</f>
        <v/>
      </c>
      <c r="G2873" s="15" t="str">
        <f aca="false">IF(OR(B2873="",F2873=""),"",B2873-F2873)</f>
        <v/>
      </c>
      <c r="H2873" s="13"/>
      <c r="I2873" s="13"/>
      <c r="J2873" s="13"/>
      <c r="K2873" s="25"/>
      <c r="L2873" s="25"/>
      <c r="M2873" s="25"/>
      <c r="N2873" s="25"/>
      <c r="O2873" s="26"/>
      <c r="P2873" s="16" t="str">
        <f aca="false">IF(O2873="","",IFERROR(1/(1/(IF(K2873="",INDEX(CONFIG!$F$5:$F$14,MATCH(D2873,CONFIG!$D$5:$D$14,0)),K2873)*IF(M2873="",INDEX(CONFIG!$H$5:$H$14,MATCH(D2873,CONFIG!$D$5:$D$14,0)),M2873))),""))</f>
        <v/>
      </c>
      <c r="Q2873" s="16" t="str">
        <f aca="false">IF(OR(O2873="",P2873=""),"",O2873/P2873)</f>
        <v/>
      </c>
      <c r="R2873" s="16" t="str">
        <f aca="false">IF(Q2873="","",Q2873*0.0980665)</f>
        <v/>
      </c>
      <c r="S2873" s="16" t="str">
        <f aca="false">IF(Q2873="","",IFERROR(Q2873/(1/(1/INDEX(CONFIG!$I$5:$I$14,MATCH(D2873,CONFIG!$D$5:$D$14,0)))),""))</f>
        <v/>
      </c>
      <c r="T2873" s="13"/>
      <c r="U2873" s="13"/>
      <c r="V2873" s="13"/>
      <c r="W2873" s="13"/>
      <c r="X2873" s="22" t="str">
        <f aca="false">IF(Q2873="","",Q2873^2)</f>
        <v/>
      </c>
      <c r="Y2873" s="22" t="str">
        <f aca="false">IF(AND(C2873&lt;&gt;"",C2873=CERTIFICADO!$E$4,OR(CERTIFICADO!$E$5="",B2873=CERTIFICADO!$E$5)),MAX($Y$4:Y2872)+1,"")</f>
        <v/>
      </c>
    </row>
    <row r="2874" customFormat="false" ht="15" hidden="false" customHeight="false" outlineLevel="0" collapsed="false">
      <c r="A2874" s="11" t="str">
        <f aca="false">IF(C2874="","",ROW()-4)</f>
        <v/>
      </c>
      <c r="B2874" s="12"/>
      <c r="C2874" s="13"/>
      <c r="D2874" s="23" t="str">
        <f aca="false">IF(C2874="","",IFERROR(INDEX(LOTES!$D$5:$D$1004,MATCH(C2874,LOTES!$F$5:$F$1004,0)),"¿Lote?"))</f>
        <v/>
      </c>
      <c r="E2874" s="11" t="str">
        <f aca="false">IF(C2874="","",IFERROR(INDEX(LOTES!$C$5:$C$1004,MATCH(C2874,LOTES!$F$5:$F$1004,0)),""))</f>
        <v/>
      </c>
      <c r="F2874" s="24" t="str">
        <f aca="false">IF(C2874="","",IFERROR(INDEX(LOTES!$B$5:$B$1004,MATCH(C2874,LOTES!$F$5:$F$1004,0)),""))</f>
        <v/>
      </c>
      <c r="G2874" s="15" t="str">
        <f aca="false">IF(OR(B2874="",F2874=""),"",B2874-F2874)</f>
        <v/>
      </c>
      <c r="H2874" s="13"/>
      <c r="I2874" s="13"/>
      <c r="J2874" s="13"/>
      <c r="K2874" s="25"/>
      <c r="L2874" s="25"/>
      <c r="M2874" s="25"/>
      <c r="N2874" s="25"/>
      <c r="O2874" s="26"/>
      <c r="P2874" s="16" t="str">
        <f aca="false">IF(O2874="","",IFERROR(1/(1/(IF(K2874="",INDEX(CONFIG!$F$5:$F$14,MATCH(D2874,CONFIG!$D$5:$D$14,0)),K2874)*IF(M2874="",INDEX(CONFIG!$H$5:$H$14,MATCH(D2874,CONFIG!$D$5:$D$14,0)),M2874))),""))</f>
        <v/>
      </c>
      <c r="Q2874" s="16" t="str">
        <f aca="false">IF(OR(O2874="",P2874=""),"",O2874/P2874)</f>
        <v/>
      </c>
      <c r="R2874" s="16" t="str">
        <f aca="false">IF(Q2874="","",Q2874*0.0980665)</f>
        <v/>
      </c>
      <c r="S2874" s="16" t="str">
        <f aca="false">IF(Q2874="","",IFERROR(Q2874/(1/(1/INDEX(CONFIG!$I$5:$I$14,MATCH(D2874,CONFIG!$D$5:$D$14,0)))),""))</f>
        <v/>
      </c>
      <c r="T2874" s="13"/>
      <c r="U2874" s="13"/>
      <c r="V2874" s="13"/>
      <c r="W2874" s="13"/>
      <c r="X2874" s="22" t="str">
        <f aca="false">IF(Q2874="","",Q2874^2)</f>
        <v/>
      </c>
      <c r="Y2874" s="22" t="str">
        <f aca="false">IF(AND(C2874&lt;&gt;"",C2874=CERTIFICADO!$E$4,OR(CERTIFICADO!$E$5="",B2874=CERTIFICADO!$E$5)),MAX($Y$4:Y2873)+1,"")</f>
        <v/>
      </c>
    </row>
    <row r="2875" customFormat="false" ht="15" hidden="false" customHeight="false" outlineLevel="0" collapsed="false">
      <c r="A2875" s="11" t="str">
        <f aca="false">IF(C2875="","",ROW()-4)</f>
        <v/>
      </c>
      <c r="B2875" s="12"/>
      <c r="C2875" s="13"/>
      <c r="D2875" s="23" t="str">
        <f aca="false">IF(C2875="","",IFERROR(INDEX(LOTES!$D$5:$D$1004,MATCH(C2875,LOTES!$F$5:$F$1004,0)),"¿Lote?"))</f>
        <v/>
      </c>
      <c r="E2875" s="11" t="str">
        <f aca="false">IF(C2875="","",IFERROR(INDEX(LOTES!$C$5:$C$1004,MATCH(C2875,LOTES!$F$5:$F$1004,0)),""))</f>
        <v/>
      </c>
      <c r="F2875" s="24" t="str">
        <f aca="false">IF(C2875="","",IFERROR(INDEX(LOTES!$B$5:$B$1004,MATCH(C2875,LOTES!$F$5:$F$1004,0)),""))</f>
        <v/>
      </c>
      <c r="G2875" s="15" t="str">
        <f aca="false">IF(OR(B2875="",F2875=""),"",B2875-F2875)</f>
        <v/>
      </c>
      <c r="H2875" s="13"/>
      <c r="I2875" s="13"/>
      <c r="J2875" s="13"/>
      <c r="K2875" s="25"/>
      <c r="L2875" s="25"/>
      <c r="M2875" s="25"/>
      <c r="N2875" s="25"/>
      <c r="O2875" s="26"/>
      <c r="P2875" s="16" t="str">
        <f aca="false">IF(O2875="","",IFERROR(1/(1/(IF(K2875="",INDEX(CONFIG!$F$5:$F$14,MATCH(D2875,CONFIG!$D$5:$D$14,0)),K2875)*IF(M2875="",INDEX(CONFIG!$H$5:$H$14,MATCH(D2875,CONFIG!$D$5:$D$14,0)),M2875))),""))</f>
        <v/>
      </c>
      <c r="Q2875" s="16" t="str">
        <f aca="false">IF(OR(O2875="",P2875=""),"",O2875/P2875)</f>
        <v/>
      </c>
      <c r="R2875" s="16" t="str">
        <f aca="false">IF(Q2875="","",Q2875*0.0980665)</f>
        <v/>
      </c>
      <c r="S2875" s="16" t="str">
        <f aca="false">IF(Q2875="","",IFERROR(Q2875/(1/(1/INDEX(CONFIG!$I$5:$I$14,MATCH(D2875,CONFIG!$D$5:$D$14,0)))),""))</f>
        <v/>
      </c>
      <c r="T2875" s="13"/>
      <c r="U2875" s="13"/>
      <c r="V2875" s="13"/>
      <c r="W2875" s="13"/>
      <c r="X2875" s="22" t="str">
        <f aca="false">IF(Q2875="","",Q2875^2)</f>
        <v/>
      </c>
      <c r="Y2875" s="22" t="str">
        <f aca="false">IF(AND(C2875&lt;&gt;"",C2875=CERTIFICADO!$E$4,OR(CERTIFICADO!$E$5="",B2875=CERTIFICADO!$E$5)),MAX($Y$4:Y2874)+1,"")</f>
        <v/>
      </c>
    </row>
    <row r="2876" customFormat="false" ht="15" hidden="false" customHeight="false" outlineLevel="0" collapsed="false">
      <c r="A2876" s="11" t="str">
        <f aca="false">IF(C2876="","",ROW()-4)</f>
        <v/>
      </c>
      <c r="B2876" s="12"/>
      <c r="C2876" s="13"/>
      <c r="D2876" s="23" t="str">
        <f aca="false">IF(C2876="","",IFERROR(INDEX(LOTES!$D$5:$D$1004,MATCH(C2876,LOTES!$F$5:$F$1004,0)),"¿Lote?"))</f>
        <v/>
      </c>
      <c r="E2876" s="11" t="str">
        <f aca="false">IF(C2876="","",IFERROR(INDEX(LOTES!$C$5:$C$1004,MATCH(C2876,LOTES!$F$5:$F$1004,0)),""))</f>
        <v/>
      </c>
      <c r="F2876" s="24" t="str">
        <f aca="false">IF(C2876="","",IFERROR(INDEX(LOTES!$B$5:$B$1004,MATCH(C2876,LOTES!$F$5:$F$1004,0)),""))</f>
        <v/>
      </c>
      <c r="G2876" s="15" t="str">
        <f aca="false">IF(OR(B2876="",F2876=""),"",B2876-F2876)</f>
        <v/>
      </c>
      <c r="H2876" s="13"/>
      <c r="I2876" s="13"/>
      <c r="J2876" s="13"/>
      <c r="K2876" s="25"/>
      <c r="L2876" s="25"/>
      <c r="M2876" s="25"/>
      <c r="N2876" s="25"/>
      <c r="O2876" s="26"/>
      <c r="P2876" s="16" t="str">
        <f aca="false">IF(O2876="","",IFERROR(1/(1/(IF(K2876="",INDEX(CONFIG!$F$5:$F$14,MATCH(D2876,CONFIG!$D$5:$D$14,0)),K2876)*IF(M2876="",INDEX(CONFIG!$H$5:$H$14,MATCH(D2876,CONFIG!$D$5:$D$14,0)),M2876))),""))</f>
        <v/>
      </c>
      <c r="Q2876" s="16" t="str">
        <f aca="false">IF(OR(O2876="",P2876=""),"",O2876/P2876)</f>
        <v/>
      </c>
      <c r="R2876" s="16" t="str">
        <f aca="false">IF(Q2876="","",Q2876*0.0980665)</f>
        <v/>
      </c>
      <c r="S2876" s="16" t="str">
        <f aca="false">IF(Q2876="","",IFERROR(Q2876/(1/(1/INDEX(CONFIG!$I$5:$I$14,MATCH(D2876,CONFIG!$D$5:$D$14,0)))),""))</f>
        <v/>
      </c>
      <c r="T2876" s="13"/>
      <c r="U2876" s="13"/>
      <c r="V2876" s="13"/>
      <c r="W2876" s="13"/>
      <c r="X2876" s="22" t="str">
        <f aca="false">IF(Q2876="","",Q2876^2)</f>
        <v/>
      </c>
      <c r="Y2876" s="22" t="str">
        <f aca="false">IF(AND(C2876&lt;&gt;"",C2876=CERTIFICADO!$E$4,OR(CERTIFICADO!$E$5="",B2876=CERTIFICADO!$E$5)),MAX($Y$4:Y2875)+1,"")</f>
        <v/>
      </c>
    </row>
    <row r="2877" customFormat="false" ht="15" hidden="false" customHeight="false" outlineLevel="0" collapsed="false">
      <c r="A2877" s="11" t="str">
        <f aca="false">IF(C2877="","",ROW()-4)</f>
        <v/>
      </c>
      <c r="B2877" s="12"/>
      <c r="C2877" s="13"/>
      <c r="D2877" s="23" t="str">
        <f aca="false">IF(C2877="","",IFERROR(INDEX(LOTES!$D$5:$D$1004,MATCH(C2877,LOTES!$F$5:$F$1004,0)),"¿Lote?"))</f>
        <v/>
      </c>
      <c r="E2877" s="11" t="str">
        <f aca="false">IF(C2877="","",IFERROR(INDEX(LOTES!$C$5:$C$1004,MATCH(C2877,LOTES!$F$5:$F$1004,0)),""))</f>
        <v/>
      </c>
      <c r="F2877" s="24" t="str">
        <f aca="false">IF(C2877="","",IFERROR(INDEX(LOTES!$B$5:$B$1004,MATCH(C2877,LOTES!$F$5:$F$1004,0)),""))</f>
        <v/>
      </c>
      <c r="G2877" s="15" t="str">
        <f aca="false">IF(OR(B2877="",F2877=""),"",B2877-F2877)</f>
        <v/>
      </c>
      <c r="H2877" s="13"/>
      <c r="I2877" s="13"/>
      <c r="J2877" s="13"/>
      <c r="K2877" s="25"/>
      <c r="L2877" s="25"/>
      <c r="M2877" s="25"/>
      <c r="N2877" s="25"/>
      <c r="O2877" s="26"/>
      <c r="P2877" s="16" t="str">
        <f aca="false">IF(O2877="","",IFERROR(1/(1/(IF(K2877="",INDEX(CONFIG!$F$5:$F$14,MATCH(D2877,CONFIG!$D$5:$D$14,0)),K2877)*IF(M2877="",INDEX(CONFIG!$H$5:$H$14,MATCH(D2877,CONFIG!$D$5:$D$14,0)),M2877))),""))</f>
        <v/>
      </c>
      <c r="Q2877" s="16" t="str">
        <f aca="false">IF(OR(O2877="",P2877=""),"",O2877/P2877)</f>
        <v/>
      </c>
      <c r="R2877" s="16" t="str">
        <f aca="false">IF(Q2877="","",Q2877*0.0980665)</f>
        <v/>
      </c>
      <c r="S2877" s="16" t="str">
        <f aca="false">IF(Q2877="","",IFERROR(Q2877/(1/(1/INDEX(CONFIG!$I$5:$I$14,MATCH(D2877,CONFIG!$D$5:$D$14,0)))),""))</f>
        <v/>
      </c>
      <c r="T2877" s="13"/>
      <c r="U2877" s="13"/>
      <c r="V2877" s="13"/>
      <c r="W2877" s="13"/>
      <c r="X2877" s="22" t="str">
        <f aca="false">IF(Q2877="","",Q2877^2)</f>
        <v/>
      </c>
      <c r="Y2877" s="22" t="str">
        <f aca="false">IF(AND(C2877&lt;&gt;"",C2877=CERTIFICADO!$E$4,OR(CERTIFICADO!$E$5="",B2877=CERTIFICADO!$E$5)),MAX($Y$4:Y2876)+1,"")</f>
        <v/>
      </c>
    </row>
    <row r="2878" customFormat="false" ht="15" hidden="false" customHeight="false" outlineLevel="0" collapsed="false">
      <c r="A2878" s="11" t="str">
        <f aca="false">IF(C2878="","",ROW()-4)</f>
        <v/>
      </c>
      <c r="B2878" s="12"/>
      <c r="C2878" s="13"/>
      <c r="D2878" s="23" t="str">
        <f aca="false">IF(C2878="","",IFERROR(INDEX(LOTES!$D$5:$D$1004,MATCH(C2878,LOTES!$F$5:$F$1004,0)),"¿Lote?"))</f>
        <v/>
      </c>
      <c r="E2878" s="11" t="str">
        <f aca="false">IF(C2878="","",IFERROR(INDEX(LOTES!$C$5:$C$1004,MATCH(C2878,LOTES!$F$5:$F$1004,0)),""))</f>
        <v/>
      </c>
      <c r="F2878" s="24" t="str">
        <f aca="false">IF(C2878="","",IFERROR(INDEX(LOTES!$B$5:$B$1004,MATCH(C2878,LOTES!$F$5:$F$1004,0)),""))</f>
        <v/>
      </c>
      <c r="G2878" s="15" t="str">
        <f aca="false">IF(OR(B2878="",F2878=""),"",B2878-F2878)</f>
        <v/>
      </c>
      <c r="H2878" s="13"/>
      <c r="I2878" s="13"/>
      <c r="J2878" s="13"/>
      <c r="K2878" s="25"/>
      <c r="L2878" s="25"/>
      <c r="M2878" s="25"/>
      <c r="N2878" s="25"/>
      <c r="O2878" s="26"/>
      <c r="P2878" s="16" t="str">
        <f aca="false">IF(O2878="","",IFERROR(1/(1/(IF(K2878="",INDEX(CONFIG!$F$5:$F$14,MATCH(D2878,CONFIG!$D$5:$D$14,0)),K2878)*IF(M2878="",INDEX(CONFIG!$H$5:$H$14,MATCH(D2878,CONFIG!$D$5:$D$14,0)),M2878))),""))</f>
        <v/>
      </c>
      <c r="Q2878" s="16" t="str">
        <f aca="false">IF(OR(O2878="",P2878=""),"",O2878/P2878)</f>
        <v/>
      </c>
      <c r="R2878" s="16" t="str">
        <f aca="false">IF(Q2878="","",Q2878*0.0980665)</f>
        <v/>
      </c>
      <c r="S2878" s="16" t="str">
        <f aca="false">IF(Q2878="","",IFERROR(Q2878/(1/(1/INDEX(CONFIG!$I$5:$I$14,MATCH(D2878,CONFIG!$D$5:$D$14,0)))),""))</f>
        <v/>
      </c>
      <c r="T2878" s="13"/>
      <c r="U2878" s="13"/>
      <c r="V2878" s="13"/>
      <c r="W2878" s="13"/>
      <c r="X2878" s="22" t="str">
        <f aca="false">IF(Q2878="","",Q2878^2)</f>
        <v/>
      </c>
      <c r="Y2878" s="22" t="str">
        <f aca="false">IF(AND(C2878&lt;&gt;"",C2878=CERTIFICADO!$E$4,OR(CERTIFICADO!$E$5="",B2878=CERTIFICADO!$E$5)),MAX($Y$4:Y2877)+1,"")</f>
        <v/>
      </c>
    </row>
    <row r="2879" customFormat="false" ht="15" hidden="false" customHeight="false" outlineLevel="0" collapsed="false">
      <c r="A2879" s="11" t="str">
        <f aca="false">IF(C2879="","",ROW()-4)</f>
        <v/>
      </c>
      <c r="B2879" s="12"/>
      <c r="C2879" s="13"/>
      <c r="D2879" s="23" t="str">
        <f aca="false">IF(C2879="","",IFERROR(INDEX(LOTES!$D$5:$D$1004,MATCH(C2879,LOTES!$F$5:$F$1004,0)),"¿Lote?"))</f>
        <v/>
      </c>
      <c r="E2879" s="11" t="str">
        <f aca="false">IF(C2879="","",IFERROR(INDEX(LOTES!$C$5:$C$1004,MATCH(C2879,LOTES!$F$5:$F$1004,0)),""))</f>
        <v/>
      </c>
      <c r="F2879" s="24" t="str">
        <f aca="false">IF(C2879="","",IFERROR(INDEX(LOTES!$B$5:$B$1004,MATCH(C2879,LOTES!$F$5:$F$1004,0)),""))</f>
        <v/>
      </c>
      <c r="G2879" s="15" t="str">
        <f aca="false">IF(OR(B2879="",F2879=""),"",B2879-F2879)</f>
        <v/>
      </c>
      <c r="H2879" s="13"/>
      <c r="I2879" s="13"/>
      <c r="J2879" s="13"/>
      <c r="K2879" s="25"/>
      <c r="L2879" s="25"/>
      <c r="M2879" s="25"/>
      <c r="N2879" s="25"/>
      <c r="O2879" s="26"/>
      <c r="P2879" s="16" t="str">
        <f aca="false">IF(O2879="","",IFERROR(1/(1/(IF(K2879="",INDEX(CONFIG!$F$5:$F$14,MATCH(D2879,CONFIG!$D$5:$D$14,0)),K2879)*IF(M2879="",INDEX(CONFIG!$H$5:$H$14,MATCH(D2879,CONFIG!$D$5:$D$14,0)),M2879))),""))</f>
        <v/>
      </c>
      <c r="Q2879" s="16" t="str">
        <f aca="false">IF(OR(O2879="",P2879=""),"",O2879/P2879)</f>
        <v/>
      </c>
      <c r="R2879" s="16" t="str">
        <f aca="false">IF(Q2879="","",Q2879*0.0980665)</f>
        <v/>
      </c>
      <c r="S2879" s="16" t="str">
        <f aca="false">IF(Q2879="","",IFERROR(Q2879/(1/(1/INDEX(CONFIG!$I$5:$I$14,MATCH(D2879,CONFIG!$D$5:$D$14,0)))),""))</f>
        <v/>
      </c>
      <c r="T2879" s="13"/>
      <c r="U2879" s="13"/>
      <c r="V2879" s="13"/>
      <c r="W2879" s="13"/>
      <c r="X2879" s="22" t="str">
        <f aca="false">IF(Q2879="","",Q2879^2)</f>
        <v/>
      </c>
      <c r="Y2879" s="22" t="str">
        <f aca="false">IF(AND(C2879&lt;&gt;"",C2879=CERTIFICADO!$E$4,OR(CERTIFICADO!$E$5="",B2879=CERTIFICADO!$E$5)),MAX($Y$4:Y2878)+1,"")</f>
        <v/>
      </c>
    </row>
    <row r="2880" customFormat="false" ht="15" hidden="false" customHeight="false" outlineLevel="0" collapsed="false">
      <c r="A2880" s="11" t="str">
        <f aca="false">IF(C2880="","",ROW()-4)</f>
        <v/>
      </c>
      <c r="B2880" s="12"/>
      <c r="C2880" s="13"/>
      <c r="D2880" s="23" t="str">
        <f aca="false">IF(C2880="","",IFERROR(INDEX(LOTES!$D$5:$D$1004,MATCH(C2880,LOTES!$F$5:$F$1004,0)),"¿Lote?"))</f>
        <v/>
      </c>
      <c r="E2880" s="11" t="str">
        <f aca="false">IF(C2880="","",IFERROR(INDEX(LOTES!$C$5:$C$1004,MATCH(C2880,LOTES!$F$5:$F$1004,0)),""))</f>
        <v/>
      </c>
      <c r="F2880" s="24" t="str">
        <f aca="false">IF(C2880="","",IFERROR(INDEX(LOTES!$B$5:$B$1004,MATCH(C2880,LOTES!$F$5:$F$1004,0)),""))</f>
        <v/>
      </c>
      <c r="G2880" s="15" t="str">
        <f aca="false">IF(OR(B2880="",F2880=""),"",B2880-F2880)</f>
        <v/>
      </c>
      <c r="H2880" s="13"/>
      <c r="I2880" s="13"/>
      <c r="J2880" s="13"/>
      <c r="K2880" s="25"/>
      <c r="L2880" s="25"/>
      <c r="M2880" s="25"/>
      <c r="N2880" s="25"/>
      <c r="O2880" s="26"/>
      <c r="P2880" s="16" t="str">
        <f aca="false">IF(O2880="","",IFERROR(1/(1/(IF(K2880="",INDEX(CONFIG!$F$5:$F$14,MATCH(D2880,CONFIG!$D$5:$D$14,0)),K2880)*IF(M2880="",INDEX(CONFIG!$H$5:$H$14,MATCH(D2880,CONFIG!$D$5:$D$14,0)),M2880))),""))</f>
        <v/>
      </c>
      <c r="Q2880" s="16" t="str">
        <f aca="false">IF(OR(O2880="",P2880=""),"",O2880/P2880)</f>
        <v/>
      </c>
      <c r="R2880" s="16" t="str">
        <f aca="false">IF(Q2880="","",Q2880*0.0980665)</f>
        <v/>
      </c>
      <c r="S2880" s="16" t="str">
        <f aca="false">IF(Q2880="","",IFERROR(Q2880/(1/(1/INDEX(CONFIG!$I$5:$I$14,MATCH(D2880,CONFIG!$D$5:$D$14,0)))),""))</f>
        <v/>
      </c>
      <c r="T2880" s="13"/>
      <c r="U2880" s="13"/>
      <c r="V2880" s="13"/>
      <c r="W2880" s="13"/>
      <c r="X2880" s="22" t="str">
        <f aca="false">IF(Q2880="","",Q2880^2)</f>
        <v/>
      </c>
      <c r="Y2880" s="22" t="str">
        <f aca="false">IF(AND(C2880&lt;&gt;"",C2880=CERTIFICADO!$E$4,OR(CERTIFICADO!$E$5="",B2880=CERTIFICADO!$E$5)),MAX($Y$4:Y2879)+1,"")</f>
        <v/>
      </c>
    </row>
    <row r="2881" customFormat="false" ht="15" hidden="false" customHeight="false" outlineLevel="0" collapsed="false">
      <c r="A2881" s="11" t="str">
        <f aca="false">IF(C2881="","",ROW()-4)</f>
        <v/>
      </c>
      <c r="B2881" s="12"/>
      <c r="C2881" s="13"/>
      <c r="D2881" s="23" t="str">
        <f aca="false">IF(C2881="","",IFERROR(INDEX(LOTES!$D$5:$D$1004,MATCH(C2881,LOTES!$F$5:$F$1004,0)),"¿Lote?"))</f>
        <v/>
      </c>
      <c r="E2881" s="11" t="str">
        <f aca="false">IF(C2881="","",IFERROR(INDEX(LOTES!$C$5:$C$1004,MATCH(C2881,LOTES!$F$5:$F$1004,0)),""))</f>
        <v/>
      </c>
      <c r="F2881" s="24" t="str">
        <f aca="false">IF(C2881="","",IFERROR(INDEX(LOTES!$B$5:$B$1004,MATCH(C2881,LOTES!$F$5:$F$1004,0)),""))</f>
        <v/>
      </c>
      <c r="G2881" s="15" t="str">
        <f aca="false">IF(OR(B2881="",F2881=""),"",B2881-F2881)</f>
        <v/>
      </c>
      <c r="H2881" s="13"/>
      <c r="I2881" s="13"/>
      <c r="J2881" s="13"/>
      <c r="K2881" s="25"/>
      <c r="L2881" s="25"/>
      <c r="M2881" s="25"/>
      <c r="N2881" s="25"/>
      <c r="O2881" s="26"/>
      <c r="P2881" s="16" t="str">
        <f aca="false">IF(O2881="","",IFERROR(1/(1/(IF(K2881="",INDEX(CONFIG!$F$5:$F$14,MATCH(D2881,CONFIG!$D$5:$D$14,0)),K2881)*IF(M2881="",INDEX(CONFIG!$H$5:$H$14,MATCH(D2881,CONFIG!$D$5:$D$14,0)),M2881))),""))</f>
        <v/>
      </c>
      <c r="Q2881" s="16" t="str">
        <f aca="false">IF(OR(O2881="",P2881=""),"",O2881/P2881)</f>
        <v/>
      </c>
      <c r="R2881" s="16" t="str">
        <f aca="false">IF(Q2881="","",Q2881*0.0980665)</f>
        <v/>
      </c>
      <c r="S2881" s="16" t="str">
        <f aca="false">IF(Q2881="","",IFERROR(Q2881/(1/(1/INDEX(CONFIG!$I$5:$I$14,MATCH(D2881,CONFIG!$D$5:$D$14,0)))),""))</f>
        <v/>
      </c>
      <c r="T2881" s="13"/>
      <c r="U2881" s="13"/>
      <c r="V2881" s="13"/>
      <c r="W2881" s="13"/>
      <c r="X2881" s="22" t="str">
        <f aca="false">IF(Q2881="","",Q2881^2)</f>
        <v/>
      </c>
      <c r="Y2881" s="22" t="str">
        <f aca="false">IF(AND(C2881&lt;&gt;"",C2881=CERTIFICADO!$E$4,OR(CERTIFICADO!$E$5="",B2881=CERTIFICADO!$E$5)),MAX($Y$4:Y2880)+1,"")</f>
        <v/>
      </c>
    </row>
    <row r="2882" customFormat="false" ht="15" hidden="false" customHeight="false" outlineLevel="0" collapsed="false">
      <c r="A2882" s="11" t="str">
        <f aca="false">IF(C2882="","",ROW()-4)</f>
        <v/>
      </c>
      <c r="B2882" s="12"/>
      <c r="C2882" s="13"/>
      <c r="D2882" s="23" t="str">
        <f aca="false">IF(C2882="","",IFERROR(INDEX(LOTES!$D$5:$D$1004,MATCH(C2882,LOTES!$F$5:$F$1004,0)),"¿Lote?"))</f>
        <v/>
      </c>
      <c r="E2882" s="11" t="str">
        <f aca="false">IF(C2882="","",IFERROR(INDEX(LOTES!$C$5:$C$1004,MATCH(C2882,LOTES!$F$5:$F$1004,0)),""))</f>
        <v/>
      </c>
      <c r="F2882" s="24" t="str">
        <f aca="false">IF(C2882="","",IFERROR(INDEX(LOTES!$B$5:$B$1004,MATCH(C2882,LOTES!$F$5:$F$1004,0)),""))</f>
        <v/>
      </c>
      <c r="G2882" s="15" t="str">
        <f aca="false">IF(OR(B2882="",F2882=""),"",B2882-F2882)</f>
        <v/>
      </c>
      <c r="H2882" s="13"/>
      <c r="I2882" s="13"/>
      <c r="J2882" s="13"/>
      <c r="K2882" s="25"/>
      <c r="L2882" s="25"/>
      <c r="M2882" s="25"/>
      <c r="N2882" s="25"/>
      <c r="O2882" s="26"/>
      <c r="P2882" s="16" t="str">
        <f aca="false">IF(O2882="","",IFERROR(1/(1/(IF(K2882="",INDEX(CONFIG!$F$5:$F$14,MATCH(D2882,CONFIG!$D$5:$D$14,0)),K2882)*IF(M2882="",INDEX(CONFIG!$H$5:$H$14,MATCH(D2882,CONFIG!$D$5:$D$14,0)),M2882))),""))</f>
        <v/>
      </c>
      <c r="Q2882" s="16" t="str">
        <f aca="false">IF(OR(O2882="",P2882=""),"",O2882/P2882)</f>
        <v/>
      </c>
      <c r="R2882" s="16" t="str">
        <f aca="false">IF(Q2882="","",Q2882*0.0980665)</f>
        <v/>
      </c>
      <c r="S2882" s="16" t="str">
        <f aca="false">IF(Q2882="","",IFERROR(Q2882/(1/(1/INDEX(CONFIG!$I$5:$I$14,MATCH(D2882,CONFIG!$D$5:$D$14,0)))),""))</f>
        <v/>
      </c>
      <c r="T2882" s="13"/>
      <c r="U2882" s="13"/>
      <c r="V2882" s="13"/>
      <c r="W2882" s="13"/>
      <c r="X2882" s="22" t="str">
        <f aca="false">IF(Q2882="","",Q2882^2)</f>
        <v/>
      </c>
      <c r="Y2882" s="22" t="str">
        <f aca="false">IF(AND(C2882&lt;&gt;"",C2882=CERTIFICADO!$E$4,OR(CERTIFICADO!$E$5="",B2882=CERTIFICADO!$E$5)),MAX($Y$4:Y2881)+1,"")</f>
        <v/>
      </c>
    </row>
    <row r="2883" customFormat="false" ht="15" hidden="false" customHeight="false" outlineLevel="0" collapsed="false">
      <c r="A2883" s="11" t="str">
        <f aca="false">IF(C2883="","",ROW()-4)</f>
        <v/>
      </c>
      <c r="B2883" s="12"/>
      <c r="C2883" s="13"/>
      <c r="D2883" s="23" t="str">
        <f aca="false">IF(C2883="","",IFERROR(INDEX(LOTES!$D$5:$D$1004,MATCH(C2883,LOTES!$F$5:$F$1004,0)),"¿Lote?"))</f>
        <v/>
      </c>
      <c r="E2883" s="11" t="str">
        <f aca="false">IF(C2883="","",IFERROR(INDEX(LOTES!$C$5:$C$1004,MATCH(C2883,LOTES!$F$5:$F$1004,0)),""))</f>
        <v/>
      </c>
      <c r="F2883" s="24" t="str">
        <f aca="false">IF(C2883="","",IFERROR(INDEX(LOTES!$B$5:$B$1004,MATCH(C2883,LOTES!$F$5:$F$1004,0)),""))</f>
        <v/>
      </c>
      <c r="G2883" s="15" t="str">
        <f aca="false">IF(OR(B2883="",F2883=""),"",B2883-F2883)</f>
        <v/>
      </c>
      <c r="H2883" s="13"/>
      <c r="I2883" s="13"/>
      <c r="J2883" s="13"/>
      <c r="K2883" s="25"/>
      <c r="L2883" s="25"/>
      <c r="M2883" s="25"/>
      <c r="N2883" s="25"/>
      <c r="O2883" s="26"/>
      <c r="P2883" s="16" t="str">
        <f aca="false">IF(O2883="","",IFERROR(1/(1/(IF(K2883="",INDEX(CONFIG!$F$5:$F$14,MATCH(D2883,CONFIG!$D$5:$D$14,0)),K2883)*IF(M2883="",INDEX(CONFIG!$H$5:$H$14,MATCH(D2883,CONFIG!$D$5:$D$14,0)),M2883))),""))</f>
        <v/>
      </c>
      <c r="Q2883" s="16" t="str">
        <f aca="false">IF(OR(O2883="",P2883=""),"",O2883/P2883)</f>
        <v/>
      </c>
      <c r="R2883" s="16" t="str">
        <f aca="false">IF(Q2883="","",Q2883*0.0980665)</f>
        <v/>
      </c>
      <c r="S2883" s="16" t="str">
        <f aca="false">IF(Q2883="","",IFERROR(Q2883/(1/(1/INDEX(CONFIG!$I$5:$I$14,MATCH(D2883,CONFIG!$D$5:$D$14,0)))),""))</f>
        <v/>
      </c>
      <c r="T2883" s="13"/>
      <c r="U2883" s="13"/>
      <c r="V2883" s="13"/>
      <c r="W2883" s="13"/>
      <c r="X2883" s="22" t="str">
        <f aca="false">IF(Q2883="","",Q2883^2)</f>
        <v/>
      </c>
      <c r="Y2883" s="22" t="str">
        <f aca="false">IF(AND(C2883&lt;&gt;"",C2883=CERTIFICADO!$E$4,OR(CERTIFICADO!$E$5="",B2883=CERTIFICADO!$E$5)),MAX($Y$4:Y2882)+1,"")</f>
        <v/>
      </c>
    </row>
    <row r="2884" customFormat="false" ht="15" hidden="false" customHeight="false" outlineLevel="0" collapsed="false">
      <c r="A2884" s="11" t="str">
        <f aca="false">IF(C2884="","",ROW()-4)</f>
        <v/>
      </c>
      <c r="B2884" s="12"/>
      <c r="C2884" s="13"/>
      <c r="D2884" s="23" t="str">
        <f aca="false">IF(C2884="","",IFERROR(INDEX(LOTES!$D$5:$D$1004,MATCH(C2884,LOTES!$F$5:$F$1004,0)),"¿Lote?"))</f>
        <v/>
      </c>
      <c r="E2884" s="11" t="str">
        <f aca="false">IF(C2884="","",IFERROR(INDEX(LOTES!$C$5:$C$1004,MATCH(C2884,LOTES!$F$5:$F$1004,0)),""))</f>
        <v/>
      </c>
      <c r="F2884" s="24" t="str">
        <f aca="false">IF(C2884="","",IFERROR(INDEX(LOTES!$B$5:$B$1004,MATCH(C2884,LOTES!$F$5:$F$1004,0)),""))</f>
        <v/>
      </c>
      <c r="G2884" s="15" t="str">
        <f aca="false">IF(OR(B2884="",F2884=""),"",B2884-F2884)</f>
        <v/>
      </c>
      <c r="H2884" s="13"/>
      <c r="I2884" s="13"/>
      <c r="J2884" s="13"/>
      <c r="K2884" s="25"/>
      <c r="L2884" s="25"/>
      <c r="M2884" s="25"/>
      <c r="N2884" s="25"/>
      <c r="O2884" s="26"/>
      <c r="P2884" s="16" t="str">
        <f aca="false">IF(O2884="","",IFERROR(1/(1/(IF(K2884="",INDEX(CONFIG!$F$5:$F$14,MATCH(D2884,CONFIG!$D$5:$D$14,0)),K2884)*IF(M2884="",INDEX(CONFIG!$H$5:$H$14,MATCH(D2884,CONFIG!$D$5:$D$14,0)),M2884))),""))</f>
        <v/>
      </c>
      <c r="Q2884" s="16" t="str">
        <f aca="false">IF(OR(O2884="",P2884=""),"",O2884/P2884)</f>
        <v/>
      </c>
      <c r="R2884" s="16" t="str">
        <f aca="false">IF(Q2884="","",Q2884*0.0980665)</f>
        <v/>
      </c>
      <c r="S2884" s="16" t="str">
        <f aca="false">IF(Q2884="","",IFERROR(Q2884/(1/(1/INDEX(CONFIG!$I$5:$I$14,MATCH(D2884,CONFIG!$D$5:$D$14,0)))),""))</f>
        <v/>
      </c>
      <c r="T2884" s="13"/>
      <c r="U2884" s="13"/>
      <c r="V2884" s="13"/>
      <c r="W2884" s="13"/>
      <c r="X2884" s="22" t="str">
        <f aca="false">IF(Q2884="","",Q2884^2)</f>
        <v/>
      </c>
      <c r="Y2884" s="22" t="str">
        <f aca="false">IF(AND(C2884&lt;&gt;"",C2884=CERTIFICADO!$E$4,OR(CERTIFICADO!$E$5="",B2884=CERTIFICADO!$E$5)),MAX($Y$4:Y2883)+1,"")</f>
        <v/>
      </c>
    </row>
    <row r="2885" customFormat="false" ht="15" hidden="false" customHeight="false" outlineLevel="0" collapsed="false">
      <c r="A2885" s="11" t="str">
        <f aca="false">IF(C2885="","",ROW()-4)</f>
        <v/>
      </c>
      <c r="B2885" s="12"/>
      <c r="C2885" s="13"/>
      <c r="D2885" s="23" t="str">
        <f aca="false">IF(C2885="","",IFERROR(INDEX(LOTES!$D$5:$D$1004,MATCH(C2885,LOTES!$F$5:$F$1004,0)),"¿Lote?"))</f>
        <v/>
      </c>
      <c r="E2885" s="11" t="str">
        <f aca="false">IF(C2885="","",IFERROR(INDEX(LOTES!$C$5:$C$1004,MATCH(C2885,LOTES!$F$5:$F$1004,0)),""))</f>
        <v/>
      </c>
      <c r="F2885" s="24" t="str">
        <f aca="false">IF(C2885="","",IFERROR(INDEX(LOTES!$B$5:$B$1004,MATCH(C2885,LOTES!$F$5:$F$1004,0)),""))</f>
        <v/>
      </c>
      <c r="G2885" s="15" t="str">
        <f aca="false">IF(OR(B2885="",F2885=""),"",B2885-F2885)</f>
        <v/>
      </c>
      <c r="H2885" s="13"/>
      <c r="I2885" s="13"/>
      <c r="J2885" s="13"/>
      <c r="K2885" s="25"/>
      <c r="L2885" s="25"/>
      <c r="M2885" s="25"/>
      <c r="N2885" s="25"/>
      <c r="O2885" s="26"/>
      <c r="P2885" s="16" t="str">
        <f aca="false">IF(O2885="","",IFERROR(1/(1/(IF(K2885="",INDEX(CONFIG!$F$5:$F$14,MATCH(D2885,CONFIG!$D$5:$D$14,0)),K2885)*IF(M2885="",INDEX(CONFIG!$H$5:$H$14,MATCH(D2885,CONFIG!$D$5:$D$14,0)),M2885))),""))</f>
        <v/>
      </c>
      <c r="Q2885" s="16" t="str">
        <f aca="false">IF(OR(O2885="",P2885=""),"",O2885/P2885)</f>
        <v/>
      </c>
      <c r="R2885" s="16" t="str">
        <f aca="false">IF(Q2885="","",Q2885*0.0980665)</f>
        <v/>
      </c>
      <c r="S2885" s="16" t="str">
        <f aca="false">IF(Q2885="","",IFERROR(Q2885/(1/(1/INDEX(CONFIG!$I$5:$I$14,MATCH(D2885,CONFIG!$D$5:$D$14,0)))),""))</f>
        <v/>
      </c>
      <c r="T2885" s="13"/>
      <c r="U2885" s="13"/>
      <c r="V2885" s="13"/>
      <c r="W2885" s="13"/>
      <c r="X2885" s="22" t="str">
        <f aca="false">IF(Q2885="","",Q2885^2)</f>
        <v/>
      </c>
      <c r="Y2885" s="22" t="str">
        <f aca="false">IF(AND(C2885&lt;&gt;"",C2885=CERTIFICADO!$E$4,OR(CERTIFICADO!$E$5="",B2885=CERTIFICADO!$E$5)),MAX($Y$4:Y2884)+1,"")</f>
        <v/>
      </c>
    </row>
    <row r="2886" customFormat="false" ht="15" hidden="false" customHeight="false" outlineLevel="0" collapsed="false">
      <c r="A2886" s="11" t="str">
        <f aca="false">IF(C2886="","",ROW()-4)</f>
        <v/>
      </c>
      <c r="B2886" s="12"/>
      <c r="C2886" s="13"/>
      <c r="D2886" s="23" t="str">
        <f aca="false">IF(C2886="","",IFERROR(INDEX(LOTES!$D$5:$D$1004,MATCH(C2886,LOTES!$F$5:$F$1004,0)),"¿Lote?"))</f>
        <v/>
      </c>
      <c r="E2886" s="11" t="str">
        <f aca="false">IF(C2886="","",IFERROR(INDEX(LOTES!$C$5:$C$1004,MATCH(C2886,LOTES!$F$5:$F$1004,0)),""))</f>
        <v/>
      </c>
      <c r="F2886" s="24" t="str">
        <f aca="false">IF(C2886="","",IFERROR(INDEX(LOTES!$B$5:$B$1004,MATCH(C2886,LOTES!$F$5:$F$1004,0)),""))</f>
        <v/>
      </c>
      <c r="G2886" s="15" t="str">
        <f aca="false">IF(OR(B2886="",F2886=""),"",B2886-F2886)</f>
        <v/>
      </c>
      <c r="H2886" s="13"/>
      <c r="I2886" s="13"/>
      <c r="J2886" s="13"/>
      <c r="K2886" s="25"/>
      <c r="L2886" s="25"/>
      <c r="M2886" s="25"/>
      <c r="N2886" s="25"/>
      <c r="O2886" s="26"/>
      <c r="P2886" s="16" t="str">
        <f aca="false">IF(O2886="","",IFERROR(1/(1/(IF(K2886="",INDEX(CONFIG!$F$5:$F$14,MATCH(D2886,CONFIG!$D$5:$D$14,0)),K2886)*IF(M2886="",INDEX(CONFIG!$H$5:$H$14,MATCH(D2886,CONFIG!$D$5:$D$14,0)),M2886))),""))</f>
        <v/>
      </c>
      <c r="Q2886" s="16" t="str">
        <f aca="false">IF(OR(O2886="",P2886=""),"",O2886/P2886)</f>
        <v/>
      </c>
      <c r="R2886" s="16" t="str">
        <f aca="false">IF(Q2886="","",Q2886*0.0980665)</f>
        <v/>
      </c>
      <c r="S2886" s="16" t="str">
        <f aca="false">IF(Q2886="","",IFERROR(Q2886/(1/(1/INDEX(CONFIG!$I$5:$I$14,MATCH(D2886,CONFIG!$D$5:$D$14,0)))),""))</f>
        <v/>
      </c>
      <c r="T2886" s="13"/>
      <c r="U2886" s="13"/>
      <c r="V2886" s="13"/>
      <c r="W2886" s="13"/>
      <c r="X2886" s="22" t="str">
        <f aca="false">IF(Q2886="","",Q2886^2)</f>
        <v/>
      </c>
      <c r="Y2886" s="22" t="str">
        <f aca="false">IF(AND(C2886&lt;&gt;"",C2886=CERTIFICADO!$E$4,OR(CERTIFICADO!$E$5="",B2886=CERTIFICADO!$E$5)),MAX($Y$4:Y2885)+1,"")</f>
        <v/>
      </c>
    </row>
    <row r="2887" customFormat="false" ht="15" hidden="false" customHeight="false" outlineLevel="0" collapsed="false">
      <c r="A2887" s="11" t="str">
        <f aca="false">IF(C2887="","",ROW()-4)</f>
        <v/>
      </c>
      <c r="B2887" s="12"/>
      <c r="C2887" s="13"/>
      <c r="D2887" s="23" t="str">
        <f aca="false">IF(C2887="","",IFERROR(INDEX(LOTES!$D$5:$D$1004,MATCH(C2887,LOTES!$F$5:$F$1004,0)),"¿Lote?"))</f>
        <v/>
      </c>
      <c r="E2887" s="11" t="str">
        <f aca="false">IF(C2887="","",IFERROR(INDEX(LOTES!$C$5:$C$1004,MATCH(C2887,LOTES!$F$5:$F$1004,0)),""))</f>
        <v/>
      </c>
      <c r="F2887" s="24" t="str">
        <f aca="false">IF(C2887="","",IFERROR(INDEX(LOTES!$B$5:$B$1004,MATCH(C2887,LOTES!$F$5:$F$1004,0)),""))</f>
        <v/>
      </c>
      <c r="G2887" s="15" t="str">
        <f aca="false">IF(OR(B2887="",F2887=""),"",B2887-F2887)</f>
        <v/>
      </c>
      <c r="H2887" s="13"/>
      <c r="I2887" s="13"/>
      <c r="J2887" s="13"/>
      <c r="K2887" s="25"/>
      <c r="L2887" s="25"/>
      <c r="M2887" s="25"/>
      <c r="N2887" s="25"/>
      <c r="O2887" s="26"/>
      <c r="P2887" s="16" t="str">
        <f aca="false">IF(O2887="","",IFERROR(1/(1/(IF(K2887="",INDEX(CONFIG!$F$5:$F$14,MATCH(D2887,CONFIG!$D$5:$D$14,0)),K2887)*IF(M2887="",INDEX(CONFIG!$H$5:$H$14,MATCH(D2887,CONFIG!$D$5:$D$14,0)),M2887))),""))</f>
        <v/>
      </c>
      <c r="Q2887" s="16" t="str">
        <f aca="false">IF(OR(O2887="",P2887=""),"",O2887/P2887)</f>
        <v/>
      </c>
      <c r="R2887" s="16" t="str">
        <f aca="false">IF(Q2887="","",Q2887*0.0980665)</f>
        <v/>
      </c>
      <c r="S2887" s="16" t="str">
        <f aca="false">IF(Q2887="","",IFERROR(Q2887/(1/(1/INDEX(CONFIG!$I$5:$I$14,MATCH(D2887,CONFIG!$D$5:$D$14,0)))),""))</f>
        <v/>
      </c>
      <c r="T2887" s="13"/>
      <c r="U2887" s="13"/>
      <c r="V2887" s="13"/>
      <c r="W2887" s="13"/>
      <c r="X2887" s="22" t="str">
        <f aca="false">IF(Q2887="","",Q2887^2)</f>
        <v/>
      </c>
      <c r="Y2887" s="22" t="str">
        <f aca="false">IF(AND(C2887&lt;&gt;"",C2887=CERTIFICADO!$E$4,OR(CERTIFICADO!$E$5="",B2887=CERTIFICADO!$E$5)),MAX($Y$4:Y2886)+1,"")</f>
        <v/>
      </c>
    </row>
    <row r="2888" customFormat="false" ht="15" hidden="false" customHeight="false" outlineLevel="0" collapsed="false">
      <c r="A2888" s="11" t="str">
        <f aca="false">IF(C2888="","",ROW()-4)</f>
        <v/>
      </c>
      <c r="B2888" s="12"/>
      <c r="C2888" s="13"/>
      <c r="D2888" s="23" t="str">
        <f aca="false">IF(C2888="","",IFERROR(INDEX(LOTES!$D$5:$D$1004,MATCH(C2888,LOTES!$F$5:$F$1004,0)),"¿Lote?"))</f>
        <v/>
      </c>
      <c r="E2888" s="11" t="str">
        <f aca="false">IF(C2888="","",IFERROR(INDEX(LOTES!$C$5:$C$1004,MATCH(C2888,LOTES!$F$5:$F$1004,0)),""))</f>
        <v/>
      </c>
      <c r="F2888" s="24" t="str">
        <f aca="false">IF(C2888="","",IFERROR(INDEX(LOTES!$B$5:$B$1004,MATCH(C2888,LOTES!$F$5:$F$1004,0)),""))</f>
        <v/>
      </c>
      <c r="G2888" s="15" t="str">
        <f aca="false">IF(OR(B2888="",F2888=""),"",B2888-F2888)</f>
        <v/>
      </c>
      <c r="H2888" s="13"/>
      <c r="I2888" s="13"/>
      <c r="J2888" s="13"/>
      <c r="K2888" s="25"/>
      <c r="L2888" s="25"/>
      <c r="M2888" s="25"/>
      <c r="N2888" s="25"/>
      <c r="O2888" s="26"/>
      <c r="P2888" s="16" t="str">
        <f aca="false">IF(O2888="","",IFERROR(1/(1/(IF(K2888="",INDEX(CONFIG!$F$5:$F$14,MATCH(D2888,CONFIG!$D$5:$D$14,0)),K2888)*IF(M2888="",INDEX(CONFIG!$H$5:$H$14,MATCH(D2888,CONFIG!$D$5:$D$14,0)),M2888))),""))</f>
        <v/>
      </c>
      <c r="Q2888" s="16" t="str">
        <f aca="false">IF(OR(O2888="",P2888=""),"",O2888/P2888)</f>
        <v/>
      </c>
      <c r="R2888" s="16" t="str">
        <f aca="false">IF(Q2888="","",Q2888*0.0980665)</f>
        <v/>
      </c>
      <c r="S2888" s="16" t="str">
        <f aca="false">IF(Q2888="","",IFERROR(Q2888/(1/(1/INDEX(CONFIG!$I$5:$I$14,MATCH(D2888,CONFIG!$D$5:$D$14,0)))),""))</f>
        <v/>
      </c>
      <c r="T2888" s="13"/>
      <c r="U2888" s="13"/>
      <c r="V2888" s="13"/>
      <c r="W2888" s="13"/>
      <c r="X2888" s="22" t="str">
        <f aca="false">IF(Q2888="","",Q2888^2)</f>
        <v/>
      </c>
      <c r="Y2888" s="22" t="str">
        <f aca="false">IF(AND(C2888&lt;&gt;"",C2888=CERTIFICADO!$E$4,OR(CERTIFICADO!$E$5="",B2888=CERTIFICADO!$E$5)),MAX($Y$4:Y2887)+1,"")</f>
        <v/>
      </c>
    </row>
    <row r="2889" customFormat="false" ht="15" hidden="false" customHeight="false" outlineLevel="0" collapsed="false">
      <c r="A2889" s="11" t="str">
        <f aca="false">IF(C2889="","",ROW()-4)</f>
        <v/>
      </c>
      <c r="B2889" s="12"/>
      <c r="C2889" s="13"/>
      <c r="D2889" s="23" t="str">
        <f aca="false">IF(C2889="","",IFERROR(INDEX(LOTES!$D$5:$D$1004,MATCH(C2889,LOTES!$F$5:$F$1004,0)),"¿Lote?"))</f>
        <v/>
      </c>
      <c r="E2889" s="11" t="str">
        <f aca="false">IF(C2889="","",IFERROR(INDEX(LOTES!$C$5:$C$1004,MATCH(C2889,LOTES!$F$5:$F$1004,0)),""))</f>
        <v/>
      </c>
      <c r="F2889" s="24" t="str">
        <f aca="false">IF(C2889="","",IFERROR(INDEX(LOTES!$B$5:$B$1004,MATCH(C2889,LOTES!$F$5:$F$1004,0)),""))</f>
        <v/>
      </c>
      <c r="G2889" s="15" t="str">
        <f aca="false">IF(OR(B2889="",F2889=""),"",B2889-F2889)</f>
        <v/>
      </c>
      <c r="H2889" s="13"/>
      <c r="I2889" s="13"/>
      <c r="J2889" s="13"/>
      <c r="K2889" s="25"/>
      <c r="L2889" s="25"/>
      <c r="M2889" s="25"/>
      <c r="N2889" s="25"/>
      <c r="O2889" s="26"/>
      <c r="P2889" s="16" t="str">
        <f aca="false">IF(O2889="","",IFERROR(1/(1/(IF(K2889="",INDEX(CONFIG!$F$5:$F$14,MATCH(D2889,CONFIG!$D$5:$D$14,0)),K2889)*IF(M2889="",INDEX(CONFIG!$H$5:$H$14,MATCH(D2889,CONFIG!$D$5:$D$14,0)),M2889))),""))</f>
        <v/>
      </c>
      <c r="Q2889" s="16" t="str">
        <f aca="false">IF(OR(O2889="",P2889=""),"",O2889/P2889)</f>
        <v/>
      </c>
      <c r="R2889" s="16" t="str">
        <f aca="false">IF(Q2889="","",Q2889*0.0980665)</f>
        <v/>
      </c>
      <c r="S2889" s="16" t="str">
        <f aca="false">IF(Q2889="","",IFERROR(Q2889/(1/(1/INDEX(CONFIG!$I$5:$I$14,MATCH(D2889,CONFIG!$D$5:$D$14,0)))),""))</f>
        <v/>
      </c>
      <c r="T2889" s="13"/>
      <c r="U2889" s="13"/>
      <c r="V2889" s="13"/>
      <c r="W2889" s="13"/>
      <c r="X2889" s="22" t="str">
        <f aca="false">IF(Q2889="","",Q2889^2)</f>
        <v/>
      </c>
      <c r="Y2889" s="22" t="str">
        <f aca="false">IF(AND(C2889&lt;&gt;"",C2889=CERTIFICADO!$E$4,OR(CERTIFICADO!$E$5="",B2889=CERTIFICADO!$E$5)),MAX($Y$4:Y2888)+1,"")</f>
        <v/>
      </c>
    </row>
    <row r="2890" customFormat="false" ht="15" hidden="false" customHeight="false" outlineLevel="0" collapsed="false">
      <c r="A2890" s="11" t="str">
        <f aca="false">IF(C2890="","",ROW()-4)</f>
        <v/>
      </c>
      <c r="B2890" s="12"/>
      <c r="C2890" s="13"/>
      <c r="D2890" s="23" t="str">
        <f aca="false">IF(C2890="","",IFERROR(INDEX(LOTES!$D$5:$D$1004,MATCH(C2890,LOTES!$F$5:$F$1004,0)),"¿Lote?"))</f>
        <v/>
      </c>
      <c r="E2890" s="11" t="str">
        <f aca="false">IF(C2890="","",IFERROR(INDEX(LOTES!$C$5:$C$1004,MATCH(C2890,LOTES!$F$5:$F$1004,0)),""))</f>
        <v/>
      </c>
      <c r="F2890" s="24" t="str">
        <f aca="false">IF(C2890="","",IFERROR(INDEX(LOTES!$B$5:$B$1004,MATCH(C2890,LOTES!$F$5:$F$1004,0)),""))</f>
        <v/>
      </c>
      <c r="G2890" s="15" t="str">
        <f aca="false">IF(OR(B2890="",F2890=""),"",B2890-F2890)</f>
        <v/>
      </c>
      <c r="H2890" s="13"/>
      <c r="I2890" s="13"/>
      <c r="J2890" s="13"/>
      <c r="K2890" s="25"/>
      <c r="L2890" s="25"/>
      <c r="M2890" s="25"/>
      <c r="N2890" s="25"/>
      <c r="O2890" s="26"/>
      <c r="P2890" s="16" t="str">
        <f aca="false">IF(O2890="","",IFERROR(1/(1/(IF(K2890="",INDEX(CONFIG!$F$5:$F$14,MATCH(D2890,CONFIG!$D$5:$D$14,0)),K2890)*IF(M2890="",INDEX(CONFIG!$H$5:$H$14,MATCH(D2890,CONFIG!$D$5:$D$14,0)),M2890))),""))</f>
        <v/>
      </c>
      <c r="Q2890" s="16" t="str">
        <f aca="false">IF(OR(O2890="",P2890=""),"",O2890/P2890)</f>
        <v/>
      </c>
      <c r="R2890" s="16" t="str">
        <f aca="false">IF(Q2890="","",Q2890*0.0980665)</f>
        <v/>
      </c>
      <c r="S2890" s="16" t="str">
        <f aca="false">IF(Q2890="","",IFERROR(Q2890/(1/(1/INDEX(CONFIG!$I$5:$I$14,MATCH(D2890,CONFIG!$D$5:$D$14,0)))),""))</f>
        <v/>
      </c>
      <c r="T2890" s="13"/>
      <c r="U2890" s="13"/>
      <c r="V2890" s="13"/>
      <c r="W2890" s="13"/>
      <c r="X2890" s="22" t="str">
        <f aca="false">IF(Q2890="","",Q2890^2)</f>
        <v/>
      </c>
      <c r="Y2890" s="22" t="str">
        <f aca="false">IF(AND(C2890&lt;&gt;"",C2890=CERTIFICADO!$E$4,OR(CERTIFICADO!$E$5="",B2890=CERTIFICADO!$E$5)),MAX($Y$4:Y2889)+1,"")</f>
        <v/>
      </c>
    </row>
    <row r="2891" customFormat="false" ht="15" hidden="false" customHeight="false" outlineLevel="0" collapsed="false">
      <c r="A2891" s="11" t="str">
        <f aca="false">IF(C2891="","",ROW()-4)</f>
        <v/>
      </c>
      <c r="B2891" s="12"/>
      <c r="C2891" s="13"/>
      <c r="D2891" s="23" t="str">
        <f aca="false">IF(C2891="","",IFERROR(INDEX(LOTES!$D$5:$D$1004,MATCH(C2891,LOTES!$F$5:$F$1004,0)),"¿Lote?"))</f>
        <v/>
      </c>
      <c r="E2891" s="11" t="str">
        <f aca="false">IF(C2891="","",IFERROR(INDEX(LOTES!$C$5:$C$1004,MATCH(C2891,LOTES!$F$5:$F$1004,0)),""))</f>
        <v/>
      </c>
      <c r="F2891" s="24" t="str">
        <f aca="false">IF(C2891="","",IFERROR(INDEX(LOTES!$B$5:$B$1004,MATCH(C2891,LOTES!$F$5:$F$1004,0)),""))</f>
        <v/>
      </c>
      <c r="G2891" s="15" t="str">
        <f aca="false">IF(OR(B2891="",F2891=""),"",B2891-F2891)</f>
        <v/>
      </c>
      <c r="H2891" s="13"/>
      <c r="I2891" s="13"/>
      <c r="J2891" s="13"/>
      <c r="K2891" s="25"/>
      <c r="L2891" s="25"/>
      <c r="M2891" s="25"/>
      <c r="N2891" s="25"/>
      <c r="O2891" s="26"/>
      <c r="P2891" s="16" t="str">
        <f aca="false">IF(O2891="","",IFERROR(1/(1/(IF(K2891="",INDEX(CONFIG!$F$5:$F$14,MATCH(D2891,CONFIG!$D$5:$D$14,0)),K2891)*IF(M2891="",INDEX(CONFIG!$H$5:$H$14,MATCH(D2891,CONFIG!$D$5:$D$14,0)),M2891))),""))</f>
        <v/>
      </c>
      <c r="Q2891" s="16" t="str">
        <f aca="false">IF(OR(O2891="",P2891=""),"",O2891/P2891)</f>
        <v/>
      </c>
      <c r="R2891" s="16" t="str">
        <f aca="false">IF(Q2891="","",Q2891*0.0980665)</f>
        <v/>
      </c>
      <c r="S2891" s="16" t="str">
        <f aca="false">IF(Q2891="","",IFERROR(Q2891/(1/(1/INDEX(CONFIG!$I$5:$I$14,MATCH(D2891,CONFIG!$D$5:$D$14,0)))),""))</f>
        <v/>
      </c>
      <c r="T2891" s="13"/>
      <c r="U2891" s="13"/>
      <c r="V2891" s="13"/>
      <c r="W2891" s="13"/>
      <c r="X2891" s="22" t="str">
        <f aca="false">IF(Q2891="","",Q2891^2)</f>
        <v/>
      </c>
      <c r="Y2891" s="22" t="str">
        <f aca="false">IF(AND(C2891&lt;&gt;"",C2891=CERTIFICADO!$E$4,OR(CERTIFICADO!$E$5="",B2891=CERTIFICADO!$E$5)),MAX($Y$4:Y2890)+1,"")</f>
        <v/>
      </c>
    </row>
    <row r="2892" customFormat="false" ht="15" hidden="false" customHeight="false" outlineLevel="0" collapsed="false">
      <c r="A2892" s="11" t="str">
        <f aca="false">IF(C2892="","",ROW()-4)</f>
        <v/>
      </c>
      <c r="B2892" s="12"/>
      <c r="C2892" s="13"/>
      <c r="D2892" s="23" t="str">
        <f aca="false">IF(C2892="","",IFERROR(INDEX(LOTES!$D$5:$D$1004,MATCH(C2892,LOTES!$F$5:$F$1004,0)),"¿Lote?"))</f>
        <v/>
      </c>
      <c r="E2892" s="11" t="str">
        <f aca="false">IF(C2892="","",IFERROR(INDEX(LOTES!$C$5:$C$1004,MATCH(C2892,LOTES!$F$5:$F$1004,0)),""))</f>
        <v/>
      </c>
      <c r="F2892" s="24" t="str">
        <f aca="false">IF(C2892="","",IFERROR(INDEX(LOTES!$B$5:$B$1004,MATCH(C2892,LOTES!$F$5:$F$1004,0)),""))</f>
        <v/>
      </c>
      <c r="G2892" s="15" t="str">
        <f aca="false">IF(OR(B2892="",F2892=""),"",B2892-F2892)</f>
        <v/>
      </c>
      <c r="H2892" s="13"/>
      <c r="I2892" s="13"/>
      <c r="J2892" s="13"/>
      <c r="K2892" s="25"/>
      <c r="L2892" s="25"/>
      <c r="M2892" s="25"/>
      <c r="N2892" s="25"/>
      <c r="O2892" s="26"/>
      <c r="P2892" s="16" t="str">
        <f aca="false">IF(O2892="","",IFERROR(1/(1/(IF(K2892="",INDEX(CONFIG!$F$5:$F$14,MATCH(D2892,CONFIG!$D$5:$D$14,0)),K2892)*IF(M2892="",INDEX(CONFIG!$H$5:$H$14,MATCH(D2892,CONFIG!$D$5:$D$14,0)),M2892))),""))</f>
        <v/>
      </c>
      <c r="Q2892" s="16" t="str">
        <f aca="false">IF(OR(O2892="",P2892=""),"",O2892/P2892)</f>
        <v/>
      </c>
      <c r="R2892" s="16" t="str">
        <f aca="false">IF(Q2892="","",Q2892*0.0980665)</f>
        <v/>
      </c>
      <c r="S2892" s="16" t="str">
        <f aca="false">IF(Q2892="","",IFERROR(Q2892/(1/(1/INDEX(CONFIG!$I$5:$I$14,MATCH(D2892,CONFIG!$D$5:$D$14,0)))),""))</f>
        <v/>
      </c>
      <c r="T2892" s="13"/>
      <c r="U2892" s="13"/>
      <c r="V2892" s="13"/>
      <c r="W2892" s="13"/>
      <c r="X2892" s="22" t="str">
        <f aca="false">IF(Q2892="","",Q2892^2)</f>
        <v/>
      </c>
      <c r="Y2892" s="22" t="str">
        <f aca="false">IF(AND(C2892&lt;&gt;"",C2892=CERTIFICADO!$E$4,OR(CERTIFICADO!$E$5="",B2892=CERTIFICADO!$E$5)),MAX($Y$4:Y2891)+1,"")</f>
        <v/>
      </c>
    </row>
    <row r="2893" customFormat="false" ht="15" hidden="false" customHeight="false" outlineLevel="0" collapsed="false">
      <c r="A2893" s="11" t="str">
        <f aca="false">IF(C2893="","",ROW()-4)</f>
        <v/>
      </c>
      <c r="B2893" s="12"/>
      <c r="C2893" s="13"/>
      <c r="D2893" s="23" t="str">
        <f aca="false">IF(C2893="","",IFERROR(INDEX(LOTES!$D$5:$D$1004,MATCH(C2893,LOTES!$F$5:$F$1004,0)),"¿Lote?"))</f>
        <v/>
      </c>
      <c r="E2893" s="11" t="str">
        <f aca="false">IF(C2893="","",IFERROR(INDEX(LOTES!$C$5:$C$1004,MATCH(C2893,LOTES!$F$5:$F$1004,0)),""))</f>
        <v/>
      </c>
      <c r="F2893" s="24" t="str">
        <f aca="false">IF(C2893="","",IFERROR(INDEX(LOTES!$B$5:$B$1004,MATCH(C2893,LOTES!$F$5:$F$1004,0)),""))</f>
        <v/>
      </c>
      <c r="G2893" s="15" t="str">
        <f aca="false">IF(OR(B2893="",F2893=""),"",B2893-F2893)</f>
        <v/>
      </c>
      <c r="H2893" s="13"/>
      <c r="I2893" s="13"/>
      <c r="J2893" s="13"/>
      <c r="K2893" s="25"/>
      <c r="L2893" s="25"/>
      <c r="M2893" s="25"/>
      <c r="N2893" s="25"/>
      <c r="O2893" s="26"/>
      <c r="P2893" s="16" t="str">
        <f aca="false">IF(O2893="","",IFERROR(1/(1/(IF(K2893="",INDEX(CONFIG!$F$5:$F$14,MATCH(D2893,CONFIG!$D$5:$D$14,0)),K2893)*IF(M2893="",INDEX(CONFIG!$H$5:$H$14,MATCH(D2893,CONFIG!$D$5:$D$14,0)),M2893))),""))</f>
        <v/>
      </c>
      <c r="Q2893" s="16" t="str">
        <f aca="false">IF(OR(O2893="",P2893=""),"",O2893/P2893)</f>
        <v/>
      </c>
      <c r="R2893" s="16" t="str">
        <f aca="false">IF(Q2893="","",Q2893*0.0980665)</f>
        <v/>
      </c>
      <c r="S2893" s="16" t="str">
        <f aca="false">IF(Q2893="","",IFERROR(Q2893/(1/(1/INDEX(CONFIG!$I$5:$I$14,MATCH(D2893,CONFIG!$D$5:$D$14,0)))),""))</f>
        <v/>
      </c>
      <c r="T2893" s="13"/>
      <c r="U2893" s="13"/>
      <c r="V2893" s="13"/>
      <c r="W2893" s="13"/>
      <c r="X2893" s="22" t="str">
        <f aca="false">IF(Q2893="","",Q2893^2)</f>
        <v/>
      </c>
      <c r="Y2893" s="22" t="str">
        <f aca="false">IF(AND(C2893&lt;&gt;"",C2893=CERTIFICADO!$E$4,OR(CERTIFICADO!$E$5="",B2893=CERTIFICADO!$E$5)),MAX($Y$4:Y2892)+1,"")</f>
        <v/>
      </c>
    </row>
    <row r="2894" customFormat="false" ht="15" hidden="false" customHeight="false" outlineLevel="0" collapsed="false">
      <c r="A2894" s="11" t="str">
        <f aca="false">IF(C2894="","",ROW()-4)</f>
        <v/>
      </c>
      <c r="B2894" s="12"/>
      <c r="C2894" s="13"/>
      <c r="D2894" s="23" t="str">
        <f aca="false">IF(C2894="","",IFERROR(INDEX(LOTES!$D$5:$D$1004,MATCH(C2894,LOTES!$F$5:$F$1004,0)),"¿Lote?"))</f>
        <v/>
      </c>
      <c r="E2894" s="11" t="str">
        <f aca="false">IF(C2894="","",IFERROR(INDEX(LOTES!$C$5:$C$1004,MATCH(C2894,LOTES!$F$5:$F$1004,0)),""))</f>
        <v/>
      </c>
      <c r="F2894" s="24" t="str">
        <f aca="false">IF(C2894="","",IFERROR(INDEX(LOTES!$B$5:$B$1004,MATCH(C2894,LOTES!$F$5:$F$1004,0)),""))</f>
        <v/>
      </c>
      <c r="G2894" s="15" t="str">
        <f aca="false">IF(OR(B2894="",F2894=""),"",B2894-F2894)</f>
        <v/>
      </c>
      <c r="H2894" s="13"/>
      <c r="I2894" s="13"/>
      <c r="J2894" s="13"/>
      <c r="K2894" s="25"/>
      <c r="L2894" s="25"/>
      <c r="M2894" s="25"/>
      <c r="N2894" s="25"/>
      <c r="O2894" s="26"/>
      <c r="P2894" s="16" t="str">
        <f aca="false">IF(O2894="","",IFERROR(1/(1/(IF(K2894="",INDEX(CONFIG!$F$5:$F$14,MATCH(D2894,CONFIG!$D$5:$D$14,0)),K2894)*IF(M2894="",INDEX(CONFIG!$H$5:$H$14,MATCH(D2894,CONFIG!$D$5:$D$14,0)),M2894))),""))</f>
        <v/>
      </c>
      <c r="Q2894" s="16" t="str">
        <f aca="false">IF(OR(O2894="",P2894=""),"",O2894/P2894)</f>
        <v/>
      </c>
      <c r="R2894" s="16" t="str">
        <f aca="false">IF(Q2894="","",Q2894*0.0980665)</f>
        <v/>
      </c>
      <c r="S2894" s="16" t="str">
        <f aca="false">IF(Q2894="","",IFERROR(Q2894/(1/(1/INDEX(CONFIG!$I$5:$I$14,MATCH(D2894,CONFIG!$D$5:$D$14,0)))),""))</f>
        <v/>
      </c>
      <c r="T2894" s="13"/>
      <c r="U2894" s="13"/>
      <c r="V2894" s="13"/>
      <c r="W2894" s="13"/>
      <c r="X2894" s="22" t="str">
        <f aca="false">IF(Q2894="","",Q2894^2)</f>
        <v/>
      </c>
      <c r="Y2894" s="22" t="str">
        <f aca="false">IF(AND(C2894&lt;&gt;"",C2894=CERTIFICADO!$E$4,OR(CERTIFICADO!$E$5="",B2894=CERTIFICADO!$E$5)),MAX($Y$4:Y2893)+1,"")</f>
        <v/>
      </c>
    </row>
    <row r="2895" customFormat="false" ht="15" hidden="false" customHeight="false" outlineLevel="0" collapsed="false">
      <c r="A2895" s="11" t="str">
        <f aca="false">IF(C2895="","",ROW()-4)</f>
        <v/>
      </c>
      <c r="B2895" s="12"/>
      <c r="C2895" s="13"/>
      <c r="D2895" s="23" t="str">
        <f aca="false">IF(C2895="","",IFERROR(INDEX(LOTES!$D$5:$D$1004,MATCH(C2895,LOTES!$F$5:$F$1004,0)),"¿Lote?"))</f>
        <v/>
      </c>
      <c r="E2895" s="11" t="str">
        <f aca="false">IF(C2895="","",IFERROR(INDEX(LOTES!$C$5:$C$1004,MATCH(C2895,LOTES!$F$5:$F$1004,0)),""))</f>
        <v/>
      </c>
      <c r="F2895" s="24" t="str">
        <f aca="false">IF(C2895="","",IFERROR(INDEX(LOTES!$B$5:$B$1004,MATCH(C2895,LOTES!$F$5:$F$1004,0)),""))</f>
        <v/>
      </c>
      <c r="G2895" s="15" t="str">
        <f aca="false">IF(OR(B2895="",F2895=""),"",B2895-F2895)</f>
        <v/>
      </c>
      <c r="H2895" s="13"/>
      <c r="I2895" s="13"/>
      <c r="J2895" s="13"/>
      <c r="K2895" s="25"/>
      <c r="L2895" s="25"/>
      <c r="M2895" s="25"/>
      <c r="N2895" s="25"/>
      <c r="O2895" s="26"/>
      <c r="P2895" s="16" t="str">
        <f aca="false">IF(O2895="","",IFERROR(1/(1/(IF(K2895="",INDEX(CONFIG!$F$5:$F$14,MATCH(D2895,CONFIG!$D$5:$D$14,0)),K2895)*IF(M2895="",INDEX(CONFIG!$H$5:$H$14,MATCH(D2895,CONFIG!$D$5:$D$14,0)),M2895))),""))</f>
        <v/>
      </c>
      <c r="Q2895" s="16" t="str">
        <f aca="false">IF(OR(O2895="",P2895=""),"",O2895/P2895)</f>
        <v/>
      </c>
      <c r="R2895" s="16" t="str">
        <f aca="false">IF(Q2895="","",Q2895*0.0980665)</f>
        <v/>
      </c>
      <c r="S2895" s="16" t="str">
        <f aca="false">IF(Q2895="","",IFERROR(Q2895/(1/(1/INDEX(CONFIG!$I$5:$I$14,MATCH(D2895,CONFIG!$D$5:$D$14,0)))),""))</f>
        <v/>
      </c>
      <c r="T2895" s="13"/>
      <c r="U2895" s="13"/>
      <c r="V2895" s="13"/>
      <c r="W2895" s="13"/>
      <c r="X2895" s="22" t="str">
        <f aca="false">IF(Q2895="","",Q2895^2)</f>
        <v/>
      </c>
      <c r="Y2895" s="22" t="str">
        <f aca="false">IF(AND(C2895&lt;&gt;"",C2895=CERTIFICADO!$E$4,OR(CERTIFICADO!$E$5="",B2895=CERTIFICADO!$E$5)),MAX($Y$4:Y2894)+1,"")</f>
        <v/>
      </c>
    </row>
    <row r="2896" customFormat="false" ht="15" hidden="false" customHeight="false" outlineLevel="0" collapsed="false">
      <c r="A2896" s="11" t="str">
        <f aca="false">IF(C2896="","",ROW()-4)</f>
        <v/>
      </c>
      <c r="B2896" s="12"/>
      <c r="C2896" s="13"/>
      <c r="D2896" s="23" t="str">
        <f aca="false">IF(C2896="","",IFERROR(INDEX(LOTES!$D$5:$D$1004,MATCH(C2896,LOTES!$F$5:$F$1004,0)),"¿Lote?"))</f>
        <v/>
      </c>
      <c r="E2896" s="11" t="str">
        <f aca="false">IF(C2896="","",IFERROR(INDEX(LOTES!$C$5:$C$1004,MATCH(C2896,LOTES!$F$5:$F$1004,0)),""))</f>
        <v/>
      </c>
      <c r="F2896" s="24" t="str">
        <f aca="false">IF(C2896="","",IFERROR(INDEX(LOTES!$B$5:$B$1004,MATCH(C2896,LOTES!$F$5:$F$1004,0)),""))</f>
        <v/>
      </c>
      <c r="G2896" s="15" t="str">
        <f aca="false">IF(OR(B2896="",F2896=""),"",B2896-F2896)</f>
        <v/>
      </c>
      <c r="H2896" s="13"/>
      <c r="I2896" s="13"/>
      <c r="J2896" s="13"/>
      <c r="K2896" s="25"/>
      <c r="L2896" s="25"/>
      <c r="M2896" s="25"/>
      <c r="N2896" s="25"/>
      <c r="O2896" s="26"/>
      <c r="P2896" s="16" t="str">
        <f aca="false">IF(O2896="","",IFERROR(1/(1/(IF(K2896="",INDEX(CONFIG!$F$5:$F$14,MATCH(D2896,CONFIG!$D$5:$D$14,0)),K2896)*IF(M2896="",INDEX(CONFIG!$H$5:$H$14,MATCH(D2896,CONFIG!$D$5:$D$14,0)),M2896))),""))</f>
        <v/>
      </c>
      <c r="Q2896" s="16" t="str">
        <f aca="false">IF(OR(O2896="",P2896=""),"",O2896/P2896)</f>
        <v/>
      </c>
      <c r="R2896" s="16" t="str">
        <f aca="false">IF(Q2896="","",Q2896*0.0980665)</f>
        <v/>
      </c>
      <c r="S2896" s="16" t="str">
        <f aca="false">IF(Q2896="","",IFERROR(Q2896/(1/(1/INDEX(CONFIG!$I$5:$I$14,MATCH(D2896,CONFIG!$D$5:$D$14,0)))),""))</f>
        <v/>
      </c>
      <c r="T2896" s="13"/>
      <c r="U2896" s="13"/>
      <c r="V2896" s="13"/>
      <c r="W2896" s="13"/>
      <c r="X2896" s="22" t="str">
        <f aca="false">IF(Q2896="","",Q2896^2)</f>
        <v/>
      </c>
      <c r="Y2896" s="22" t="str">
        <f aca="false">IF(AND(C2896&lt;&gt;"",C2896=CERTIFICADO!$E$4,OR(CERTIFICADO!$E$5="",B2896=CERTIFICADO!$E$5)),MAX($Y$4:Y2895)+1,"")</f>
        <v/>
      </c>
    </row>
    <row r="2897" customFormat="false" ht="15" hidden="false" customHeight="false" outlineLevel="0" collapsed="false">
      <c r="A2897" s="11" t="str">
        <f aca="false">IF(C2897="","",ROW()-4)</f>
        <v/>
      </c>
      <c r="B2897" s="12"/>
      <c r="C2897" s="13"/>
      <c r="D2897" s="23" t="str">
        <f aca="false">IF(C2897="","",IFERROR(INDEX(LOTES!$D$5:$D$1004,MATCH(C2897,LOTES!$F$5:$F$1004,0)),"¿Lote?"))</f>
        <v/>
      </c>
      <c r="E2897" s="11" t="str">
        <f aca="false">IF(C2897="","",IFERROR(INDEX(LOTES!$C$5:$C$1004,MATCH(C2897,LOTES!$F$5:$F$1004,0)),""))</f>
        <v/>
      </c>
      <c r="F2897" s="24" t="str">
        <f aca="false">IF(C2897="","",IFERROR(INDEX(LOTES!$B$5:$B$1004,MATCH(C2897,LOTES!$F$5:$F$1004,0)),""))</f>
        <v/>
      </c>
      <c r="G2897" s="15" t="str">
        <f aca="false">IF(OR(B2897="",F2897=""),"",B2897-F2897)</f>
        <v/>
      </c>
      <c r="H2897" s="13"/>
      <c r="I2897" s="13"/>
      <c r="J2897" s="13"/>
      <c r="K2897" s="25"/>
      <c r="L2897" s="25"/>
      <c r="M2897" s="25"/>
      <c r="N2897" s="25"/>
      <c r="O2897" s="26"/>
      <c r="P2897" s="16" t="str">
        <f aca="false">IF(O2897="","",IFERROR(1/(1/(IF(K2897="",INDEX(CONFIG!$F$5:$F$14,MATCH(D2897,CONFIG!$D$5:$D$14,0)),K2897)*IF(M2897="",INDEX(CONFIG!$H$5:$H$14,MATCH(D2897,CONFIG!$D$5:$D$14,0)),M2897))),""))</f>
        <v/>
      </c>
      <c r="Q2897" s="16" t="str">
        <f aca="false">IF(OR(O2897="",P2897=""),"",O2897/P2897)</f>
        <v/>
      </c>
      <c r="R2897" s="16" t="str">
        <f aca="false">IF(Q2897="","",Q2897*0.0980665)</f>
        <v/>
      </c>
      <c r="S2897" s="16" t="str">
        <f aca="false">IF(Q2897="","",IFERROR(Q2897/(1/(1/INDEX(CONFIG!$I$5:$I$14,MATCH(D2897,CONFIG!$D$5:$D$14,0)))),""))</f>
        <v/>
      </c>
      <c r="T2897" s="13"/>
      <c r="U2897" s="13"/>
      <c r="V2897" s="13"/>
      <c r="W2897" s="13"/>
      <c r="X2897" s="22" t="str">
        <f aca="false">IF(Q2897="","",Q2897^2)</f>
        <v/>
      </c>
      <c r="Y2897" s="22" t="str">
        <f aca="false">IF(AND(C2897&lt;&gt;"",C2897=CERTIFICADO!$E$4,OR(CERTIFICADO!$E$5="",B2897=CERTIFICADO!$E$5)),MAX($Y$4:Y2896)+1,"")</f>
        <v/>
      </c>
    </row>
    <row r="2898" customFormat="false" ht="15" hidden="false" customHeight="false" outlineLevel="0" collapsed="false">
      <c r="A2898" s="11" t="str">
        <f aca="false">IF(C2898="","",ROW()-4)</f>
        <v/>
      </c>
      <c r="B2898" s="12"/>
      <c r="C2898" s="13"/>
      <c r="D2898" s="23" t="str">
        <f aca="false">IF(C2898="","",IFERROR(INDEX(LOTES!$D$5:$D$1004,MATCH(C2898,LOTES!$F$5:$F$1004,0)),"¿Lote?"))</f>
        <v/>
      </c>
      <c r="E2898" s="11" t="str">
        <f aca="false">IF(C2898="","",IFERROR(INDEX(LOTES!$C$5:$C$1004,MATCH(C2898,LOTES!$F$5:$F$1004,0)),""))</f>
        <v/>
      </c>
      <c r="F2898" s="24" t="str">
        <f aca="false">IF(C2898="","",IFERROR(INDEX(LOTES!$B$5:$B$1004,MATCH(C2898,LOTES!$F$5:$F$1004,0)),""))</f>
        <v/>
      </c>
      <c r="G2898" s="15" t="str">
        <f aca="false">IF(OR(B2898="",F2898=""),"",B2898-F2898)</f>
        <v/>
      </c>
      <c r="H2898" s="13"/>
      <c r="I2898" s="13"/>
      <c r="J2898" s="13"/>
      <c r="K2898" s="25"/>
      <c r="L2898" s="25"/>
      <c r="M2898" s="25"/>
      <c r="N2898" s="25"/>
      <c r="O2898" s="26"/>
      <c r="P2898" s="16" t="str">
        <f aca="false">IF(O2898="","",IFERROR(1/(1/(IF(K2898="",INDEX(CONFIG!$F$5:$F$14,MATCH(D2898,CONFIG!$D$5:$D$14,0)),K2898)*IF(M2898="",INDEX(CONFIG!$H$5:$H$14,MATCH(D2898,CONFIG!$D$5:$D$14,0)),M2898))),""))</f>
        <v/>
      </c>
      <c r="Q2898" s="16" t="str">
        <f aca="false">IF(OR(O2898="",P2898=""),"",O2898/P2898)</f>
        <v/>
      </c>
      <c r="R2898" s="16" t="str">
        <f aca="false">IF(Q2898="","",Q2898*0.0980665)</f>
        <v/>
      </c>
      <c r="S2898" s="16" t="str">
        <f aca="false">IF(Q2898="","",IFERROR(Q2898/(1/(1/INDEX(CONFIG!$I$5:$I$14,MATCH(D2898,CONFIG!$D$5:$D$14,0)))),""))</f>
        <v/>
      </c>
      <c r="T2898" s="13"/>
      <c r="U2898" s="13"/>
      <c r="V2898" s="13"/>
      <c r="W2898" s="13"/>
      <c r="X2898" s="22" t="str">
        <f aca="false">IF(Q2898="","",Q2898^2)</f>
        <v/>
      </c>
      <c r="Y2898" s="22" t="str">
        <f aca="false">IF(AND(C2898&lt;&gt;"",C2898=CERTIFICADO!$E$4,OR(CERTIFICADO!$E$5="",B2898=CERTIFICADO!$E$5)),MAX($Y$4:Y2897)+1,"")</f>
        <v/>
      </c>
    </row>
    <row r="2899" customFormat="false" ht="15" hidden="false" customHeight="false" outlineLevel="0" collapsed="false">
      <c r="A2899" s="11" t="str">
        <f aca="false">IF(C2899="","",ROW()-4)</f>
        <v/>
      </c>
      <c r="B2899" s="12"/>
      <c r="C2899" s="13"/>
      <c r="D2899" s="23" t="str">
        <f aca="false">IF(C2899="","",IFERROR(INDEX(LOTES!$D$5:$D$1004,MATCH(C2899,LOTES!$F$5:$F$1004,0)),"¿Lote?"))</f>
        <v/>
      </c>
      <c r="E2899" s="11" t="str">
        <f aca="false">IF(C2899="","",IFERROR(INDEX(LOTES!$C$5:$C$1004,MATCH(C2899,LOTES!$F$5:$F$1004,0)),""))</f>
        <v/>
      </c>
      <c r="F2899" s="24" t="str">
        <f aca="false">IF(C2899="","",IFERROR(INDEX(LOTES!$B$5:$B$1004,MATCH(C2899,LOTES!$F$5:$F$1004,0)),""))</f>
        <v/>
      </c>
      <c r="G2899" s="15" t="str">
        <f aca="false">IF(OR(B2899="",F2899=""),"",B2899-F2899)</f>
        <v/>
      </c>
      <c r="H2899" s="13"/>
      <c r="I2899" s="13"/>
      <c r="J2899" s="13"/>
      <c r="K2899" s="25"/>
      <c r="L2899" s="25"/>
      <c r="M2899" s="25"/>
      <c r="N2899" s="25"/>
      <c r="O2899" s="26"/>
      <c r="P2899" s="16" t="str">
        <f aca="false">IF(O2899="","",IFERROR(1/(1/(IF(K2899="",INDEX(CONFIG!$F$5:$F$14,MATCH(D2899,CONFIG!$D$5:$D$14,0)),K2899)*IF(M2899="",INDEX(CONFIG!$H$5:$H$14,MATCH(D2899,CONFIG!$D$5:$D$14,0)),M2899))),""))</f>
        <v/>
      </c>
      <c r="Q2899" s="16" t="str">
        <f aca="false">IF(OR(O2899="",P2899=""),"",O2899/P2899)</f>
        <v/>
      </c>
      <c r="R2899" s="16" t="str">
        <f aca="false">IF(Q2899="","",Q2899*0.0980665)</f>
        <v/>
      </c>
      <c r="S2899" s="16" t="str">
        <f aca="false">IF(Q2899="","",IFERROR(Q2899/(1/(1/INDEX(CONFIG!$I$5:$I$14,MATCH(D2899,CONFIG!$D$5:$D$14,0)))),""))</f>
        <v/>
      </c>
      <c r="T2899" s="13"/>
      <c r="U2899" s="13"/>
      <c r="V2899" s="13"/>
      <c r="W2899" s="13"/>
      <c r="X2899" s="22" t="str">
        <f aca="false">IF(Q2899="","",Q2899^2)</f>
        <v/>
      </c>
      <c r="Y2899" s="22" t="str">
        <f aca="false">IF(AND(C2899&lt;&gt;"",C2899=CERTIFICADO!$E$4,OR(CERTIFICADO!$E$5="",B2899=CERTIFICADO!$E$5)),MAX($Y$4:Y2898)+1,"")</f>
        <v/>
      </c>
    </row>
    <row r="2900" customFormat="false" ht="15" hidden="false" customHeight="false" outlineLevel="0" collapsed="false">
      <c r="A2900" s="11" t="str">
        <f aca="false">IF(C2900="","",ROW()-4)</f>
        <v/>
      </c>
      <c r="B2900" s="12"/>
      <c r="C2900" s="13"/>
      <c r="D2900" s="23" t="str">
        <f aca="false">IF(C2900="","",IFERROR(INDEX(LOTES!$D$5:$D$1004,MATCH(C2900,LOTES!$F$5:$F$1004,0)),"¿Lote?"))</f>
        <v/>
      </c>
      <c r="E2900" s="11" t="str">
        <f aca="false">IF(C2900="","",IFERROR(INDEX(LOTES!$C$5:$C$1004,MATCH(C2900,LOTES!$F$5:$F$1004,0)),""))</f>
        <v/>
      </c>
      <c r="F2900" s="24" t="str">
        <f aca="false">IF(C2900="","",IFERROR(INDEX(LOTES!$B$5:$B$1004,MATCH(C2900,LOTES!$F$5:$F$1004,0)),""))</f>
        <v/>
      </c>
      <c r="G2900" s="15" t="str">
        <f aca="false">IF(OR(B2900="",F2900=""),"",B2900-F2900)</f>
        <v/>
      </c>
      <c r="H2900" s="13"/>
      <c r="I2900" s="13"/>
      <c r="J2900" s="13"/>
      <c r="K2900" s="25"/>
      <c r="L2900" s="25"/>
      <c r="M2900" s="25"/>
      <c r="N2900" s="25"/>
      <c r="O2900" s="26"/>
      <c r="P2900" s="16" t="str">
        <f aca="false">IF(O2900="","",IFERROR(1/(1/(IF(K2900="",INDEX(CONFIG!$F$5:$F$14,MATCH(D2900,CONFIG!$D$5:$D$14,0)),K2900)*IF(M2900="",INDEX(CONFIG!$H$5:$H$14,MATCH(D2900,CONFIG!$D$5:$D$14,0)),M2900))),""))</f>
        <v/>
      </c>
      <c r="Q2900" s="16" t="str">
        <f aca="false">IF(OR(O2900="",P2900=""),"",O2900/P2900)</f>
        <v/>
      </c>
      <c r="R2900" s="16" t="str">
        <f aca="false">IF(Q2900="","",Q2900*0.0980665)</f>
        <v/>
      </c>
      <c r="S2900" s="16" t="str">
        <f aca="false">IF(Q2900="","",IFERROR(Q2900/(1/(1/INDEX(CONFIG!$I$5:$I$14,MATCH(D2900,CONFIG!$D$5:$D$14,0)))),""))</f>
        <v/>
      </c>
      <c r="T2900" s="13"/>
      <c r="U2900" s="13"/>
      <c r="V2900" s="13"/>
      <c r="W2900" s="13"/>
      <c r="X2900" s="22" t="str">
        <f aca="false">IF(Q2900="","",Q2900^2)</f>
        <v/>
      </c>
      <c r="Y2900" s="22" t="str">
        <f aca="false">IF(AND(C2900&lt;&gt;"",C2900=CERTIFICADO!$E$4,OR(CERTIFICADO!$E$5="",B2900=CERTIFICADO!$E$5)),MAX($Y$4:Y2899)+1,"")</f>
        <v/>
      </c>
    </row>
    <row r="2901" customFormat="false" ht="15" hidden="false" customHeight="false" outlineLevel="0" collapsed="false">
      <c r="A2901" s="11" t="str">
        <f aca="false">IF(C2901="","",ROW()-4)</f>
        <v/>
      </c>
      <c r="B2901" s="12"/>
      <c r="C2901" s="13"/>
      <c r="D2901" s="23" t="str">
        <f aca="false">IF(C2901="","",IFERROR(INDEX(LOTES!$D$5:$D$1004,MATCH(C2901,LOTES!$F$5:$F$1004,0)),"¿Lote?"))</f>
        <v/>
      </c>
      <c r="E2901" s="11" t="str">
        <f aca="false">IF(C2901="","",IFERROR(INDEX(LOTES!$C$5:$C$1004,MATCH(C2901,LOTES!$F$5:$F$1004,0)),""))</f>
        <v/>
      </c>
      <c r="F2901" s="24" t="str">
        <f aca="false">IF(C2901="","",IFERROR(INDEX(LOTES!$B$5:$B$1004,MATCH(C2901,LOTES!$F$5:$F$1004,0)),""))</f>
        <v/>
      </c>
      <c r="G2901" s="15" t="str">
        <f aca="false">IF(OR(B2901="",F2901=""),"",B2901-F2901)</f>
        <v/>
      </c>
      <c r="H2901" s="13"/>
      <c r="I2901" s="13"/>
      <c r="J2901" s="13"/>
      <c r="K2901" s="25"/>
      <c r="L2901" s="25"/>
      <c r="M2901" s="25"/>
      <c r="N2901" s="25"/>
      <c r="O2901" s="26"/>
      <c r="P2901" s="16" t="str">
        <f aca="false">IF(O2901="","",IFERROR(1/(1/(IF(K2901="",INDEX(CONFIG!$F$5:$F$14,MATCH(D2901,CONFIG!$D$5:$D$14,0)),K2901)*IF(M2901="",INDEX(CONFIG!$H$5:$H$14,MATCH(D2901,CONFIG!$D$5:$D$14,0)),M2901))),""))</f>
        <v/>
      </c>
      <c r="Q2901" s="16" t="str">
        <f aca="false">IF(OR(O2901="",P2901=""),"",O2901/P2901)</f>
        <v/>
      </c>
      <c r="R2901" s="16" t="str">
        <f aca="false">IF(Q2901="","",Q2901*0.0980665)</f>
        <v/>
      </c>
      <c r="S2901" s="16" t="str">
        <f aca="false">IF(Q2901="","",IFERROR(Q2901/(1/(1/INDEX(CONFIG!$I$5:$I$14,MATCH(D2901,CONFIG!$D$5:$D$14,0)))),""))</f>
        <v/>
      </c>
      <c r="T2901" s="13"/>
      <c r="U2901" s="13"/>
      <c r="V2901" s="13"/>
      <c r="W2901" s="13"/>
      <c r="X2901" s="22" t="str">
        <f aca="false">IF(Q2901="","",Q2901^2)</f>
        <v/>
      </c>
      <c r="Y2901" s="22" t="str">
        <f aca="false">IF(AND(C2901&lt;&gt;"",C2901=CERTIFICADO!$E$4,OR(CERTIFICADO!$E$5="",B2901=CERTIFICADO!$E$5)),MAX($Y$4:Y2900)+1,"")</f>
        <v/>
      </c>
    </row>
    <row r="2902" customFormat="false" ht="15" hidden="false" customHeight="false" outlineLevel="0" collapsed="false">
      <c r="A2902" s="11" t="str">
        <f aca="false">IF(C2902="","",ROW()-4)</f>
        <v/>
      </c>
      <c r="B2902" s="12"/>
      <c r="C2902" s="13"/>
      <c r="D2902" s="23" t="str">
        <f aca="false">IF(C2902="","",IFERROR(INDEX(LOTES!$D$5:$D$1004,MATCH(C2902,LOTES!$F$5:$F$1004,0)),"¿Lote?"))</f>
        <v/>
      </c>
      <c r="E2902" s="11" t="str">
        <f aca="false">IF(C2902="","",IFERROR(INDEX(LOTES!$C$5:$C$1004,MATCH(C2902,LOTES!$F$5:$F$1004,0)),""))</f>
        <v/>
      </c>
      <c r="F2902" s="24" t="str">
        <f aca="false">IF(C2902="","",IFERROR(INDEX(LOTES!$B$5:$B$1004,MATCH(C2902,LOTES!$F$5:$F$1004,0)),""))</f>
        <v/>
      </c>
      <c r="G2902" s="15" t="str">
        <f aca="false">IF(OR(B2902="",F2902=""),"",B2902-F2902)</f>
        <v/>
      </c>
      <c r="H2902" s="13"/>
      <c r="I2902" s="13"/>
      <c r="J2902" s="13"/>
      <c r="K2902" s="25"/>
      <c r="L2902" s="25"/>
      <c r="M2902" s="25"/>
      <c r="N2902" s="25"/>
      <c r="O2902" s="26"/>
      <c r="P2902" s="16" t="str">
        <f aca="false">IF(O2902="","",IFERROR(1/(1/(IF(K2902="",INDEX(CONFIG!$F$5:$F$14,MATCH(D2902,CONFIG!$D$5:$D$14,0)),K2902)*IF(M2902="",INDEX(CONFIG!$H$5:$H$14,MATCH(D2902,CONFIG!$D$5:$D$14,0)),M2902))),""))</f>
        <v/>
      </c>
      <c r="Q2902" s="16" t="str">
        <f aca="false">IF(OR(O2902="",P2902=""),"",O2902/P2902)</f>
        <v/>
      </c>
      <c r="R2902" s="16" t="str">
        <f aca="false">IF(Q2902="","",Q2902*0.0980665)</f>
        <v/>
      </c>
      <c r="S2902" s="16" t="str">
        <f aca="false">IF(Q2902="","",IFERROR(Q2902/(1/(1/INDEX(CONFIG!$I$5:$I$14,MATCH(D2902,CONFIG!$D$5:$D$14,0)))),""))</f>
        <v/>
      </c>
      <c r="T2902" s="13"/>
      <c r="U2902" s="13"/>
      <c r="V2902" s="13"/>
      <c r="W2902" s="13"/>
      <c r="X2902" s="22" t="str">
        <f aca="false">IF(Q2902="","",Q2902^2)</f>
        <v/>
      </c>
      <c r="Y2902" s="22" t="str">
        <f aca="false">IF(AND(C2902&lt;&gt;"",C2902=CERTIFICADO!$E$4,OR(CERTIFICADO!$E$5="",B2902=CERTIFICADO!$E$5)),MAX($Y$4:Y2901)+1,"")</f>
        <v/>
      </c>
    </row>
    <row r="2903" customFormat="false" ht="15" hidden="false" customHeight="false" outlineLevel="0" collapsed="false">
      <c r="A2903" s="11" t="str">
        <f aca="false">IF(C2903="","",ROW()-4)</f>
        <v/>
      </c>
      <c r="B2903" s="12"/>
      <c r="C2903" s="13"/>
      <c r="D2903" s="23" t="str">
        <f aca="false">IF(C2903="","",IFERROR(INDEX(LOTES!$D$5:$D$1004,MATCH(C2903,LOTES!$F$5:$F$1004,0)),"¿Lote?"))</f>
        <v/>
      </c>
      <c r="E2903" s="11" t="str">
        <f aca="false">IF(C2903="","",IFERROR(INDEX(LOTES!$C$5:$C$1004,MATCH(C2903,LOTES!$F$5:$F$1004,0)),""))</f>
        <v/>
      </c>
      <c r="F2903" s="24" t="str">
        <f aca="false">IF(C2903="","",IFERROR(INDEX(LOTES!$B$5:$B$1004,MATCH(C2903,LOTES!$F$5:$F$1004,0)),""))</f>
        <v/>
      </c>
      <c r="G2903" s="15" t="str">
        <f aca="false">IF(OR(B2903="",F2903=""),"",B2903-F2903)</f>
        <v/>
      </c>
      <c r="H2903" s="13"/>
      <c r="I2903" s="13"/>
      <c r="J2903" s="13"/>
      <c r="K2903" s="25"/>
      <c r="L2903" s="25"/>
      <c r="M2903" s="25"/>
      <c r="N2903" s="25"/>
      <c r="O2903" s="26"/>
      <c r="P2903" s="16" t="str">
        <f aca="false">IF(O2903="","",IFERROR(1/(1/(IF(K2903="",INDEX(CONFIG!$F$5:$F$14,MATCH(D2903,CONFIG!$D$5:$D$14,0)),K2903)*IF(M2903="",INDEX(CONFIG!$H$5:$H$14,MATCH(D2903,CONFIG!$D$5:$D$14,0)),M2903))),""))</f>
        <v/>
      </c>
      <c r="Q2903" s="16" t="str">
        <f aca="false">IF(OR(O2903="",P2903=""),"",O2903/P2903)</f>
        <v/>
      </c>
      <c r="R2903" s="16" t="str">
        <f aca="false">IF(Q2903="","",Q2903*0.0980665)</f>
        <v/>
      </c>
      <c r="S2903" s="16" t="str">
        <f aca="false">IF(Q2903="","",IFERROR(Q2903/(1/(1/INDEX(CONFIG!$I$5:$I$14,MATCH(D2903,CONFIG!$D$5:$D$14,0)))),""))</f>
        <v/>
      </c>
      <c r="T2903" s="13"/>
      <c r="U2903" s="13"/>
      <c r="V2903" s="13"/>
      <c r="W2903" s="13"/>
      <c r="X2903" s="22" t="str">
        <f aca="false">IF(Q2903="","",Q2903^2)</f>
        <v/>
      </c>
      <c r="Y2903" s="22" t="str">
        <f aca="false">IF(AND(C2903&lt;&gt;"",C2903=CERTIFICADO!$E$4,OR(CERTIFICADO!$E$5="",B2903=CERTIFICADO!$E$5)),MAX($Y$4:Y2902)+1,"")</f>
        <v/>
      </c>
    </row>
    <row r="2904" customFormat="false" ht="15" hidden="false" customHeight="false" outlineLevel="0" collapsed="false">
      <c r="A2904" s="11" t="str">
        <f aca="false">IF(C2904="","",ROW()-4)</f>
        <v/>
      </c>
      <c r="B2904" s="12"/>
      <c r="C2904" s="13"/>
      <c r="D2904" s="23" t="str">
        <f aca="false">IF(C2904="","",IFERROR(INDEX(LOTES!$D$5:$D$1004,MATCH(C2904,LOTES!$F$5:$F$1004,0)),"¿Lote?"))</f>
        <v/>
      </c>
      <c r="E2904" s="11" t="str">
        <f aca="false">IF(C2904="","",IFERROR(INDEX(LOTES!$C$5:$C$1004,MATCH(C2904,LOTES!$F$5:$F$1004,0)),""))</f>
        <v/>
      </c>
      <c r="F2904" s="24" t="str">
        <f aca="false">IF(C2904="","",IFERROR(INDEX(LOTES!$B$5:$B$1004,MATCH(C2904,LOTES!$F$5:$F$1004,0)),""))</f>
        <v/>
      </c>
      <c r="G2904" s="15" t="str">
        <f aca="false">IF(OR(B2904="",F2904=""),"",B2904-F2904)</f>
        <v/>
      </c>
      <c r="H2904" s="13"/>
      <c r="I2904" s="13"/>
      <c r="J2904" s="13"/>
      <c r="K2904" s="25"/>
      <c r="L2904" s="25"/>
      <c r="M2904" s="25"/>
      <c r="N2904" s="25"/>
      <c r="O2904" s="26"/>
      <c r="P2904" s="16" t="str">
        <f aca="false">IF(O2904="","",IFERROR(1/(1/(IF(K2904="",INDEX(CONFIG!$F$5:$F$14,MATCH(D2904,CONFIG!$D$5:$D$14,0)),K2904)*IF(M2904="",INDEX(CONFIG!$H$5:$H$14,MATCH(D2904,CONFIG!$D$5:$D$14,0)),M2904))),""))</f>
        <v/>
      </c>
      <c r="Q2904" s="16" t="str">
        <f aca="false">IF(OR(O2904="",P2904=""),"",O2904/P2904)</f>
        <v/>
      </c>
      <c r="R2904" s="16" t="str">
        <f aca="false">IF(Q2904="","",Q2904*0.0980665)</f>
        <v/>
      </c>
      <c r="S2904" s="16" t="str">
        <f aca="false">IF(Q2904="","",IFERROR(Q2904/(1/(1/INDEX(CONFIG!$I$5:$I$14,MATCH(D2904,CONFIG!$D$5:$D$14,0)))),""))</f>
        <v/>
      </c>
      <c r="T2904" s="13"/>
      <c r="U2904" s="13"/>
      <c r="V2904" s="13"/>
      <c r="W2904" s="13"/>
      <c r="X2904" s="22" t="str">
        <f aca="false">IF(Q2904="","",Q2904^2)</f>
        <v/>
      </c>
      <c r="Y2904" s="22" t="str">
        <f aca="false">IF(AND(C2904&lt;&gt;"",C2904=CERTIFICADO!$E$4,OR(CERTIFICADO!$E$5="",B2904=CERTIFICADO!$E$5)),MAX($Y$4:Y2903)+1,"")</f>
        <v/>
      </c>
    </row>
    <row r="2905" customFormat="false" ht="15" hidden="false" customHeight="false" outlineLevel="0" collapsed="false">
      <c r="A2905" s="11" t="str">
        <f aca="false">IF(C2905="","",ROW()-4)</f>
        <v/>
      </c>
      <c r="B2905" s="12"/>
      <c r="C2905" s="13"/>
      <c r="D2905" s="23" t="str">
        <f aca="false">IF(C2905="","",IFERROR(INDEX(LOTES!$D$5:$D$1004,MATCH(C2905,LOTES!$F$5:$F$1004,0)),"¿Lote?"))</f>
        <v/>
      </c>
      <c r="E2905" s="11" t="str">
        <f aca="false">IF(C2905="","",IFERROR(INDEX(LOTES!$C$5:$C$1004,MATCH(C2905,LOTES!$F$5:$F$1004,0)),""))</f>
        <v/>
      </c>
      <c r="F2905" s="24" t="str">
        <f aca="false">IF(C2905="","",IFERROR(INDEX(LOTES!$B$5:$B$1004,MATCH(C2905,LOTES!$F$5:$F$1004,0)),""))</f>
        <v/>
      </c>
      <c r="G2905" s="15" t="str">
        <f aca="false">IF(OR(B2905="",F2905=""),"",B2905-F2905)</f>
        <v/>
      </c>
      <c r="H2905" s="13"/>
      <c r="I2905" s="13"/>
      <c r="J2905" s="13"/>
      <c r="K2905" s="25"/>
      <c r="L2905" s="25"/>
      <c r="M2905" s="25"/>
      <c r="N2905" s="25"/>
      <c r="O2905" s="26"/>
      <c r="P2905" s="16" t="str">
        <f aca="false">IF(O2905="","",IFERROR(1/(1/(IF(K2905="",INDEX(CONFIG!$F$5:$F$14,MATCH(D2905,CONFIG!$D$5:$D$14,0)),K2905)*IF(M2905="",INDEX(CONFIG!$H$5:$H$14,MATCH(D2905,CONFIG!$D$5:$D$14,0)),M2905))),""))</f>
        <v/>
      </c>
      <c r="Q2905" s="16" t="str">
        <f aca="false">IF(OR(O2905="",P2905=""),"",O2905/P2905)</f>
        <v/>
      </c>
      <c r="R2905" s="16" t="str">
        <f aca="false">IF(Q2905="","",Q2905*0.0980665)</f>
        <v/>
      </c>
      <c r="S2905" s="16" t="str">
        <f aca="false">IF(Q2905="","",IFERROR(Q2905/(1/(1/INDEX(CONFIG!$I$5:$I$14,MATCH(D2905,CONFIG!$D$5:$D$14,0)))),""))</f>
        <v/>
      </c>
      <c r="T2905" s="13"/>
      <c r="U2905" s="13"/>
      <c r="V2905" s="13"/>
      <c r="W2905" s="13"/>
      <c r="X2905" s="22" t="str">
        <f aca="false">IF(Q2905="","",Q2905^2)</f>
        <v/>
      </c>
      <c r="Y2905" s="22" t="str">
        <f aca="false">IF(AND(C2905&lt;&gt;"",C2905=CERTIFICADO!$E$4,OR(CERTIFICADO!$E$5="",B2905=CERTIFICADO!$E$5)),MAX($Y$4:Y2904)+1,"")</f>
        <v/>
      </c>
    </row>
    <row r="2906" customFormat="false" ht="15" hidden="false" customHeight="false" outlineLevel="0" collapsed="false">
      <c r="A2906" s="11" t="str">
        <f aca="false">IF(C2906="","",ROW()-4)</f>
        <v/>
      </c>
      <c r="B2906" s="12"/>
      <c r="C2906" s="13"/>
      <c r="D2906" s="23" t="str">
        <f aca="false">IF(C2906="","",IFERROR(INDEX(LOTES!$D$5:$D$1004,MATCH(C2906,LOTES!$F$5:$F$1004,0)),"¿Lote?"))</f>
        <v/>
      </c>
      <c r="E2906" s="11" t="str">
        <f aca="false">IF(C2906="","",IFERROR(INDEX(LOTES!$C$5:$C$1004,MATCH(C2906,LOTES!$F$5:$F$1004,0)),""))</f>
        <v/>
      </c>
      <c r="F2906" s="24" t="str">
        <f aca="false">IF(C2906="","",IFERROR(INDEX(LOTES!$B$5:$B$1004,MATCH(C2906,LOTES!$F$5:$F$1004,0)),""))</f>
        <v/>
      </c>
      <c r="G2906" s="15" t="str">
        <f aca="false">IF(OR(B2906="",F2906=""),"",B2906-F2906)</f>
        <v/>
      </c>
      <c r="H2906" s="13"/>
      <c r="I2906" s="13"/>
      <c r="J2906" s="13"/>
      <c r="K2906" s="25"/>
      <c r="L2906" s="25"/>
      <c r="M2906" s="25"/>
      <c r="N2906" s="25"/>
      <c r="O2906" s="26"/>
      <c r="P2906" s="16" t="str">
        <f aca="false">IF(O2906="","",IFERROR(1/(1/(IF(K2906="",INDEX(CONFIG!$F$5:$F$14,MATCH(D2906,CONFIG!$D$5:$D$14,0)),K2906)*IF(M2906="",INDEX(CONFIG!$H$5:$H$14,MATCH(D2906,CONFIG!$D$5:$D$14,0)),M2906))),""))</f>
        <v/>
      </c>
      <c r="Q2906" s="16" t="str">
        <f aca="false">IF(OR(O2906="",P2906=""),"",O2906/P2906)</f>
        <v/>
      </c>
      <c r="R2906" s="16" t="str">
        <f aca="false">IF(Q2906="","",Q2906*0.0980665)</f>
        <v/>
      </c>
      <c r="S2906" s="16" t="str">
        <f aca="false">IF(Q2906="","",IFERROR(Q2906/(1/(1/INDEX(CONFIG!$I$5:$I$14,MATCH(D2906,CONFIG!$D$5:$D$14,0)))),""))</f>
        <v/>
      </c>
      <c r="T2906" s="13"/>
      <c r="U2906" s="13"/>
      <c r="V2906" s="13"/>
      <c r="W2906" s="13"/>
      <c r="X2906" s="22" t="str">
        <f aca="false">IF(Q2906="","",Q2906^2)</f>
        <v/>
      </c>
      <c r="Y2906" s="22" t="str">
        <f aca="false">IF(AND(C2906&lt;&gt;"",C2906=CERTIFICADO!$E$4,OR(CERTIFICADO!$E$5="",B2906=CERTIFICADO!$E$5)),MAX($Y$4:Y2905)+1,"")</f>
        <v/>
      </c>
    </row>
    <row r="2907" customFormat="false" ht="15" hidden="false" customHeight="false" outlineLevel="0" collapsed="false">
      <c r="A2907" s="11" t="str">
        <f aca="false">IF(C2907="","",ROW()-4)</f>
        <v/>
      </c>
      <c r="B2907" s="12"/>
      <c r="C2907" s="13"/>
      <c r="D2907" s="23" t="str">
        <f aca="false">IF(C2907="","",IFERROR(INDEX(LOTES!$D$5:$D$1004,MATCH(C2907,LOTES!$F$5:$F$1004,0)),"¿Lote?"))</f>
        <v/>
      </c>
      <c r="E2907" s="11" t="str">
        <f aca="false">IF(C2907="","",IFERROR(INDEX(LOTES!$C$5:$C$1004,MATCH(C2907,LOTES!$F$5:$F$1004,0)),""))</f>
        <v/>
      </c>
      <c r="F2907" s="24" t="str">
        <f aca="false">IF(C2907="","",IFERROR(INDEX(LOTES!$B$5:$B$1004,MATCH(C2907,LOTES!$F$5:$F$1004,0)),""))</f>
        <v/>
      </c>
      <c r="G2907" s="15" t="str">
        <f aca="false">IF(OR(B2907="",F2907=""),"",B2907-F2907)</f>
        <v/>
      </c>
      <c r="H2907" s="13"/>
      <c r="I2907" s="13"/>
      <c r="J2907" s="13"/>
      <c r="K2907" s="25"/>
      <c r="L2907" s="25"/>
      <c r="M2907" s="25"/>
      <c r="N2907" s="25"/>
      <c r="O2907" s="26"/>
      <c r="P2907" s="16" t="str">
        <f aca="false">IF(O2907="","",IFERROR(1/(1/(IF(K2907="",INDEX(CONFIG!$F$5:$F$14,MATCH(D2907,CONFIG!$D$5:$D$14,0)),K2907)*IF(M2907="",INDEX(CONFIG!$H$5:$H$14,MATCH(D2907,CONFIG!$D$5:$D$14,0)),M2907))),""))</f>
        <v/>
      </c>
      <c r="Q2907" s="16" t="str">
        <f aca="false">IF(OR(O2907="",P2907=""),"",O2907/P2907)</f>
        <v/>
      </c>
      <c r="R2907" s="16" t="str">
        <f aca="false">IF(Q2907="","",Q2907*0.0980665)</f>
        <v/>
      </c>
      <c r="S2907" s="16" t="str">
        <f aca="false">IF(Q2907="","",IFERROR(Q2907/(1/(1/INDEX(CONFIG!$I$5:$I$14,MATCH(D2907,CONFIG!$D$5:$D$14,0)))),""))</f>
        <v/>
      </c>
      <c r="T2907" s="13"/>
      <c r="U2907" s="13"/>
      <c r="V2907" s="13"/>
      <c r="W2907" s="13"/>
      <c r="X2907" s="22" t="str">
        <f aca="false">IF(Q2907="","",Q2907^2)</f>
        <v/>
      </c>
      <c r="Y2907" s="22" t="str">
        <f aca="false">IF(AND(C2907&lt;&gt;"",C2907=CERTIFICADO!$E$4,OR(CERTIFICADO!$E$5="",B2907=CERTIFICADO!$E$5)),MAX($Y$4:Y2906)+1,"")</f>
        <v/>
      </c>
    </row>
    <row r="2908" customFormat="false" ht="15" hidden="false" customHeight="false" outlineLevel="0" collapsed="false">
      <c r="A2908" s="11" t="str">
        <f aca="false">IF(C2908="","",ROW()-4)</f>
        <v/>
      </c>
      <c r="B2908" s="12"/>
      <c r="C2908" s="13"/>
      <c r="D2908" s="23" t="str">
        <f aca="false">IF(C2908="","",IFERROR(INDEX(LOTES!$D$5:$D$1004,MATCH(C2908,LOTES!$F$5:$F$1004,0)),"¿Lote?"))</f>
        <v/>
      </c>
      <c r="E2908" s="11" t="str">
        <f aca="false">IF(C2908="","",IFERROR(INDEX(LOTES!$C$5:$C$1004,MATCH(C2908,LOTES!$F$5:$F$1004,0)),""))</f>
        <v/>
      </c>
      <c r="F2908" s="24" t="str">
        <f aca="false">IF(C2908="","",IFERROR(INDEX(LOTES!$B$5:$B$1004,MATCH(C2908,LOTES!$F$5:$F$1004,0)),""))</f>
        <v/>
      </c>
      <c r="G2908" s="15" t="str">
        <f aca="false">IF(OR(B2908="",F2908=""),"",B2908-F2908)</f>
        <v/>
      </c>
      <c r="H2908" s="13"/>
      <c r="I2908" s="13"/>
      <c r="J2908" s="13"/>
      <c r="K2908" s="25"/>
      <c r="L2908" s="25"/>
      <c r="M2908" s="25"/>
      <c r="N2908" s="25"/>
      <c r="O2908" s="26"/>
      <c r="P2908" s="16" t="str">
        <f aca="false">IF(O2908="","",IFERROR(1/(1/(IF(K2908="",INDEX(CONFIG!$F$5:$F$14,MATCH(D2908,CONFIG!$D$5:$D$14,0)),K2908)*IF(M2908="",INDEX(CONFIG!$H$5:$H$14,MATCH(D2908,CONFIG!$D$5:$D$14,0)),M2908))),""))</f>
        <v/>
      </c>
      <c r="Q2908" s="16" t="str">
        <f aca="false">IF(OR(O2908="",P2908=""),"",O2908/P2908)</f>
        <v/>
      </c>
      <c r="R2908" s="16" t="str">
        <f aca="false">IF(Q2908="","",Q2908*0.0980665)</f>
        <v/>
      </c>
      <c r="S2908" s="16" t="str">
        <f aca="false">IF(Q2908="","",IFERROR(Q2908/(1/(1/INDEX(CONFIG!$I$5:$I$14,MATCH(D2908,CONFIG!$D$5:$D$14,0)))),""))</f>
        <v/>
      </c>
      <c r="T2908" s="13"/>
      <c r="U2908" s="13"/>
      <c r="V2908" s="13"/>
      <c r="W2908" s="13"/>
      <c r="X2908" s="22" t="str">
        <f aca="false">IF(Q2908="","",Q2908^2)</f>
        <v/>
      </c>
      <c r="Y2908" s="22" t="str">
        <f aca="false">IF(AND(C2908&lt;&gt;"",C2908=CERTIFICADO!$E$4,OR(CERTIFICADO!$E$5="",B2908=CERTIFICADO!$E$5)),MAX($Y$4:Y2907)+1,"")</f>
        <v/>
      </c>
    </row>
    <row r="2909" customFormat="false" ht="15" hidden="false" customHeight="false" outlineLevel="0" collapsed="false">
      <c r="A2909" s="11" t="str">
        <f aca="false">IF(C2909="","",ROW()-4)</f>
        <v/>
      </c>
      <c r="B2909" s="12"/>
      <c r="C2909" s="13"/>
      <c r="D2909" s="23" t="str">
        <f aca="false">IF(C2909="","",IFERROR(INDEX(LOTES!$D$5:$D$1004,MATCH(C2909,LOTES!$F$5:$F$1004,0)),"¿Lote?"))</f>
        <v/>
      </c>
      <c r="E2909" s="11" t="str">
        <f aca="false">IF(C2909="","",IFERROR(INDEX(LOTES!$C$5:$C$1004,MATCH(C2909,LOTES!$F$5:$F$1004,0)),""))</f>
        <v/>
      </c>
      <c r="F2909" s="24" t="str">
        <f aca="false">IF(C2909="","",IFERROR(INDEX(LOTES!$B$5:$B$1004,MATCH(C2909,LOTES!$F$5:$F$1004,0)),""))</f>
        <v/>
      </c>
      <c r="G2909" s="15" t="str">
        <f aca="false">IF(OR(B2909="",F2909=""),"",B2909-F2909)</f>
        <v/>
      </c>
      <c r="H2909" s="13"/>
      <c r="I2909" s="13"/>
      <c r="J2909" s="13"/>
      <c r="K2909" s="25"/>
      <c r="L2909" s="25"/>
      <c r="M2909" s="25"/>
      <c r="N2909" s="25"/>
      <c r="O2909" s="26"/>
      <c r="P2909" s="16" t="str">
        <f aca="false">IF(O2909="","",IFERROR(1/(1/(IF(K2909="",INDEX(CONFIG!$F$5:$F$14,MATCH(D2909,CONFIG!$D$5:$D$14,0)),K2909)*IF(M2909="",INDEX(CONFIG!$H$5:$H$14,MATCH(D2909,CONFIG!$D$5:$D$14,0)),M2909))),""))</f>
        <v/>
      </c>
      <c r="Q2909" s="16" t="str">
        <f aca="false">IF(OR(O2909="",P2909=""),"",O2909/P2909)</f>
        <v/>
      </c>
      <c r="R2909" s="16" t="str">
        <f aca="false">IF(Q2909="","",Q2909*0.0980665)</f>
        <v/>
      </c>
      <c r="S2909" s="16" t="str">
        <f aca="false">IF(Q2909="","",IFERROR(Q2909/(1/(1/INDEX(CONFIG!$I$5:$I$14,MATCH(D2909,CONFIG!$D$5:$D$14,0)))),""))</f>
        <v/>
      </c>
      <c r="T2909" s="13"/>
      <c r="U2909" s="13"/>
      <c r="V2909" s="13"/>
      <c r="W2909" s="13"/>
      <c r="X2909" s="22" t="str">
        <f aca="false">IF(Q2909="","",Q2909^2)</f>
        <v/>
      </c>
      <c r="Y2909" s="22" t="str">
        <f aca="false">IF(AND(C2909&lt;&gt;"",C2909=CERTIFICADO!$E$4,OR(CERTIFICADO!$E$5="",B2909=CERTIFICADO!$E$5)),MAX($Y$4:Y2908)+1,"")</f>
        <v/>
      </c>
    </row>
    <row r="2910" customFormat="false" ht="15" hidden="false" customHeight="false" outlineLevel="0" collapsed="false">
      <c r="A2910" s="11" t="str">
        <f aca="false">IF(C2910="","",ROW()-4)</f>
        <v/>
      </c>
      <c r="B2910" s="12"/>
      <c r="C2910" s="13"/>
      <c r="D2910" s="23" t="str">
        <f aca="false">IF(C2910="","",IFERROR(INDEX(LOTES!$D$5:$D$1004,MATCH(C2910,LOTES!$F$5:$F$1004,0)),"¿Lote?"))</f>
        <v/>
      </c>
      <c r="E2910" s="11" t="str">
        <f aca="false">IF(C2910="","",IFERROR(INDEX(LOTES!$C$5:$C$1004,MATCH(C2910,LOTES!$F$5:$F$1004,0)),""))</f>
        <v/>
      </c>
      <c r="F2910" s="24" t="str">
        <f aca="false">IF(C2910="","",IFERROR(INDEX(LOTES!$B$5:$B$1004,MATCH(C2910,LOTES!$F$5:$F$1004,0)),""))</f>
        <v/>
      </c>
      <c r="G2910" s="15" t="str">
        <f aca="false">IF(OR(B2910="",F2910=""),"",B2910-F2910)</f>
        <v/>
      </c>
      <c r="H2910" s="13"/>
      <c r="I2910" s="13"/>
      <c r="J2910" s="13"/>
      <c r="K2910" s="25"/>
      <c r="L2910" s="25"/>
      <c r="M2910" s="25"/>
      <c r="N2910" s="25"/>
      <c r="O2910" s="26"/>
      <c r="P2910" s="16" t="str">
        <f aca="false">IF(O2910="","",IFERROR(1/(1/(IF(K2910="",INDEX(CONFIG!$F$5:$F$14,MATCH(D2910,CONFIG!$D$5:$D$14,0)),K2910)*IF(M2910="",INDEX(CONFIG!$H$5:$H$14,MATCH(D2910,CONFIG!$D$5:$D$14,0)),M2910))),""))</f>
        <v/>
      </c>
      <c r="Q2910" s="16" t="str">
        <f aca="false">IF(OR(O2910="",P2910=""),"",O2910/P2910)</f>
        <v/>
      </c>
      <c r="R2910" s="16" t="str">
        <f aca="false">IF(Q2910="","",Q2910*0.0980665)</f>
        <v/>
      </c>
      <c r="S2910" s="16" t="str">
        <f aca="false">IF(Q2910="","",IFERROR(Q2910/(1/(1/INDEX(CONFIG!$I$5:$I$14,MATCH(D2910,CONFIG!$D$5:$D$14,0)))),""))</f>
        <v/>
      </c>
      <c r="T2910" s="13"/>
      <c r="U2910" s="13"/>
      <c r="V2910" s="13"/>
      <c r="W2910" s="13"/>
      <c r="X2910" s="22" t="str">
        <f aca="false">IF(Q2910="","",Q2910^2)</f>
        <v/>
      </c>
      <c r="Y2910" s="22" t="str">
        <f aca="false">IF(AND(C2910&lt;&gt;"",C2910=CERTIFICADO!$E$4,OR(CERTIFICADO!$E$5="",B2910=CERTIFICADO!$E$5)),MAX($Y$4:Y2909)+1,"")</f>
        <v/>
      </c>
    </row>
    <row r="2911" customFormat="false" ht="15" hidden="false" customHeight="false" outlineLevel="0" collapsed="false">
      <c r="A2911" s="11" t="str">
        <f aca="false">IF(C2911="","",ROW()-4)</f>
        <v/>
      </c>
      <c r="B2911" s="12"/>
      <c r="C2911" s="13"/>
      <c r="D2911" s="23" t="str">
        <f aca="false">IF(C2911="","",IFERROR(INDEX(LOTES!$D$5:$D$1004,MATCH(C2911,LOTES!$F$5:$F$1004,0)),"¿Lote?"))</f>
        <v/>
      </c>
      <c r="E2911" s="11" t="str">
        <f aca="false">IF(C2911="","",IFERROR(INDEX(LOTES!$C$5:$C$1004,MATCH(C2911,LOTES!$F$5:$F$1004,0)),""))</f>
        <v/>
      </c>
      <c r="F2911" s="24" t="str">
        <f aca="false">IF(C2911="","",IFERROR(INDEX(LOTES!$B$5:$B$1004,MATCH(C2911,LOTES!$F$5:$F$1004,0)),""))</f>
        <v/>
      </c>
      <c r="G2911" s="15" t="str">
        <f aca="false">IF(OR(B2911="",F2911=""),"",B2911-F2911)</f>
        <v/>
      </c>
      <c r="H2911" s="13"/>
      <c r="I2911" s="13"/>
      <c r="J2911" s="13"/>
      <c r="K2911" s="25"/>
      <c r="L2911" s="25"/>
      <c r="M2911" s="25"/>
      <c r="N2911" s="25"/>
      <c r="O2911" s="26"/>
      <c r="P2911" s="16" t="str">
        <f aca="false">IF(O2911="","",IFERROR(1/(1/(IF(K2911="",INDEX(CONFIG!$F$5:$F$14,MATCH(D2911,CONFIG!$D$5:$D$14,0)),K2911)*IF(M2911="",INDEX(CONFIG!$H$5:$H$14,MATCH(D2911,CONFIG!$D$5:$D$14,0)),M2911))),""))</f>
        <v/>
      </c>
      <c r="Q2911" s="16" t="str">
        <f aca="false">IF(OR(O2911="",P2911=""),"",O2911/P2911)</f>
        <v/>
      </c>
      <c r="R2911" s="16" t="str">
        <f aca="false">IF(Q2911="","",Q2911*0.0980665)</f>
        <v/>
      </c>
      <c r="S2911" s="16" t="str">
        <f aca="false">IF(Q2911="","",IFERROR(Q2911/(1/(1/INDEX(CONFIG!$I$5:$I$14,MATCH(D2911,CONFIG!$D$5:$D$14,0)))),""))</f>
        <v/>
      </c>
      <c r="T2911" s="13"/>
      <c r="U2911" s="13"/>
      <c r="V2911" s="13"/>
      <c r="W2911" s="13"/>
      <c r="X2911" s="22" t="str">
        <f aca="false">IF(Q2911="","",Q2911^2)</f>
        <v/>
      </c>
      <c r="Y2911" s="22" t="str">
        <f aca="false">IF(AND(C2911&lt;&gt;"",C2911=CERTIFICADO!$E$4,OR(CERTIFICADO!$E$5="",B2911=CERTIFICADO!$E$5)),MAX($Y$4:Y2910)+1,"")</f>
        <v/>
      </c>
    </row>
    <row r="2912" customFormat="false" ht="15" hidden="false" customHeight="false" outlineLevel="0" collapsed="false">
      <c r="A2912" s="11" t="str">
        <f aca="false">IF(C2912="","",ROW()-4)</f>
        <v/>
      </c>
      <c r="B2912" s="12"/>
      <c r="C2912" s="13"/>
      <c r="D2912" s="23" t="str">
        <f aca="false">IF(C2912="","",IFERROR(INDEX(LOTES!$D$5:$D$1004,MATCH(C2912,LOTES!$F$5:$F$1004,0)),"¿Lote?"))</f>
        <v/>
      </c>
      <c r="E2912" s="11" t="str">
        <f aca="false">IF(C2912="","",IFERROR(INDEX(LOTES!$C$5:$C$1004,MATCH(C2912,LOTES!$F$5:$F$1004,0)),""))</f>
        <v/>
      </c>
      <c r="F2912" s="24" t="str">
        <f aca="false">IF(C2912="","",IFERROR(INDEX(LOTES!$B$5:$B$1004,MATCH(C2912,LOTES!$F$5:$F$1004,0)),""))</f>
        <v/>
      </c>
      <c r="G2912" s="15" t="str">
        <f aca="false">IF(OR(B2912="",F2912=""),"",B2912-F2912)</f>
        <v/>
      </c>
      <c r="H2912" s="13"/>
      <c r="I2912" s="13"/>
      <c r="J2912" s="13"/>
      <c r="K2912" s="25"/>
      <c r="L2912" s="25"/>
      <c r="M2912" s="25"/>
      <c r="N2912" s="25"/>
      <c r="O2912" s="26"/>
      <c r="P2912" s="16" t="str">
        <f aca="false">IF(O2912="","",IFERROR(1/(1/(IF(K2912="",INDEX(CONFIG!$F$5:$F$14,MATCH(D2912,CONFIG!$D$5:$D$14,0)),K2912)*IF(M2912="",INDEX(CONFIG!$H$5:$H$14,MATCH(D2912,CONFIG!$D$5:$D$14,0)),M2912))),""))</f>
        <v/>
      </c>
      <c r="Q2912" s="16" t="str">
        <f aca="false">IF(OR(O2912="",P2912=""),"",O2912/P2912)</f>
        <v/>
      </c>
      <c r="R2912" s="16" t="str">
        <f aca="false">IF(Q2912="","",Q2912*0.0980665)</f>
        <v/>
      </c>
      <c r="S2912" s="16" t="str">
        <f aca="false">IF(Q2912="","",IFERROR(Q2912/(1/(1/INDEX(CONFIG!$I$5:$I$14,MATCH(D2912,CONFIG!$D$5:$D$14,0)))),""))</f>
        <v/>
      </c>
      <c r="T2912" s="13"/>
      <c r="U2912" s="13"/>
      <c r="V2912" s="13"/>
      <c r="W2912" s="13"/>
      <c r="X2912" s="22" t="str">
        <f aca="false">IF(Q2912="","",Q2912^2)</f>
        <v/>
      </c>
      <c r="Y2912" s="22" t="str">
        <f aca="false">IF(AND(C2912&lt;&gt;"",C2912=CERTIFICADO!$E$4,OR(CERTIFICADO!$E$5="",B2912=CERTIFICADO!$E$5)),MAX($Y$4:Y2911)+1,"")</f>
        <v/>
      </c>
    </row>
    <row r="2913" customFormat="false" ht="15" hidden="false" customHeight="false" outlineLevel="0" collapsed="false">
      <c r="A2913" s="11" t="str">
        <f aca="false">IF(C2913="","",ROW()-4)</f>
        <v/>
      </c>
      <c r="B2913" s="12"/>
      <c r="C2913" s="13"/>
      <c r="D2913" s="23" t="str">
        <f aca="false">IF(C2913="","",IFERROR(INDEX(LOTES!$D$5:$D$1004,MATCH(C2913,LOTES!$F$5:$F$1004,0)),"¿Lote?"))</f>
        <v/>
      </c>
      <c r="E2913" s="11" t="str">
        <f aca="false">IF(C2913="","",IFERROR(INDEX(LOTES!$C$5:$C$1004,MATCH(C2913,LOTES!$F$5:$F$1004,0)),""))</f>
        <v/>
      </c>
      <c r="F2913" s="24" t="str">
        <f aca="false">IF(C2913="","",IFERROR(INDEX(LOTES!$B$5:$B$1004,MATCH(C2913,LOTES!$F$5:$F$1004,0)),""))</f>
        <v/>
      </c>
      <c r="G2913" s="15" t="str">
        <f aca="false">IF(OR(B2913="",F2913=""),"",B2913-F2913)</f>
        <v/>
      </c>
      <c r="H2913" s="13"/>
      <c r="I2913" s="13"/>
      <c r="J2913" s="13"/>
      <c r="K2913" s="25"/>
      <c r="L2913" s="25"/>
      <c r="M2913" s="25"/>
      <c r="N2913" s="25"/>
      <c r="O2913" s="26"/>
      <c r="P2913" s="16" t="str">
        <f aca="false">IF(O2913="","",IFERROR(1/(1/(IF(K2913="",INDEX(CONFIG!$F$5:$F$14,MATCH(D2913,CONFIG!$D$5:$D$14,0)),K2913)*IF(M2913="",INDEX(CONFIG!$H$5:$H$14,MATCH(D2913,CONFIG!$D$5:$D$14,0)),M2913))),""))</f>
        <v/>
      </c>
      <c r="Q2913" s="16" t="str">
        <f aca="false">IF(OR(O2913="",P2913=""),"",O2913/P2913)</f>
        <v/>
      </c>
      <c r="R2913" s="16" t="str">
        <f aca="false">IF(Q2913="","",Q2913*0.0980665)</f>
        <v/>
      </c>
      <c r="S2913" s="16" t="str">
        <f aca="false">IF(Q2913="","",IFERROR(Q2913/(1/(1/INDEX(CONFIG!$I$5:$I$14,MATCH(D2913,CONFIG!$D$5:$D$14,0)))),""))</f>
        <v/>
      </c>
      <c r="T2913" s="13"/>
      <c r="U2913" s="13"/>
      <c r="V2913" s="13"/>
      <c r="W2913" s="13"/>
      <c r="X2913" s="22" t="str">
        <f aca="false">IF(Q2913="","",Q2913^2)</f>
        <v/>
      </c>
      <c r="Y2913" s="22" t="str">
        <f aca="false">IF(AND(C2913&lt;&gt;"",C2913=CERTIFICADO!$E$4,OR(CERTIFICADO!$E$5="",B2913=CERTIFICADO!$E$5)),MAX($Y$4:Y2912)+1,"")</f>
        <v/>
      </c>
    </row>
    <row r="2914" customFormat="false" ht="15" hidden="false" customHeight="false" outlineLevel="0" collapsed="false">
      <c r="A2914" s="11" t="str">
        <f aca="false">IF(C2914="","",ROW()-4)</f>
        <v/>
      </c>
      <c r="B2914" s="12"/>
      <c r="C2914" s="13"/>
      <c r="D2914" s="23" t="str">
        <f aca="false">IF(C2914="","",IFERROR(INDEX(LOTES!$D$5:$D$1004,MATCH(C2914,LOTES!$F$5:$F$1004,0)),"¿Lote?"))</f>
        <v/>
      </c>
      <c r="E2914" s="11" t="str">
        <f aca="false">IF(C2914="","",IFERROR(INDEX(LOTES!$C$5:$C$1004,MATCH(C2914,LOTES!$F$5:$F$1004,0)),""))</f>
        <v/>
      </c>
      <c r="F2914" s="24" t="str">
        <f aca="false">IF(C2914="","",IFERROR(INDEX(LOTES!$B$5:$B$1004,MATCH(C2914,LOTES!$F$5:$F$1004,0)),""))</f>
        <v/>
      </c>
      <c r="G2914" s="15" t="str">
        <f aca="false">IF(OR(B2914="",F2914=""),"",B2914-F2914)</f>
        <v/>
      </c>
      <c r="H2914" s="13"/>
      <c r="I2914" s="13"/>
      <c r="J2914" s="13"/>
      <c r="K2914" s="25"/>
      <c r="L2914" s="25"/>
      <c r="M2914" s="25"/>
      <c r="N2914" s="25"/>
      <c r="O2914" s="26"/>
      <c r="P2914" s="16" t="str">
        <f aca="false">IF(O2914="","",IFERROR(1/(1/(IF(K2914="",INDEX(CONFIG!$F$5:$F$14,MATCH(D2914,CONFIG!$D$5:$D$14,0)),K2914)*IF(M2914="",INDEX(CONFIG!$H$5:$H$14,MATCH(D2914,CONFIG!$D$5:$D$14,0)),M2914))),""))</f>
        <v/>
      </c>
      <c r="Q2914" s="16" t="str">
        <f aca="false">IF(OR(O2914="",P2914=""),"",O2914/P2914)</f>
        <v/>
      </c>
      <c r="R2914" s="16" t="str">
        <f aca="false">IF(Q2914="","",Q2914*0.0980665)</f>
        <v/>
      </c>
      <c r="S2914" s="16" t="str">
        <f aca="false">IF(Q2914="","",IFERROR(Q2914/(1/(1/INDEX(CONFIG!$I$5:$I$14,MATCH(D2914,CONFIG!$D$5:$D$14,0)))),""))</f>
        <v/>
      </c>
      <c r="T2914" s="13"/>
      <c r="U2914" s="13"/>
      <c r="V2914" s="13"/>
      <c r="W2914" s="13"/>
      <c r="X2914" s="22" t="str">
        <f aca="false">IF(Q2914="","",Q2914^2)</f>
        <v/>
      </c>
      <c r="Y2914" s="22" t="str">
        <f aca="false">IF(AND(C2914&lt;&gt;"",C2914=CERTIFICADO!$E$4,OR(CERTIFICADO!$E$5="",B2914=CERTIFICADO!$E$5)),MAX($Y$4:Y2913)+1,"")</f>
        <v/>
      </c>
    </row>
    <row r="2915" customFormat="false" ht="15" hidden="false" customHeight="false" outlineLevel="0" collapsed="false">
      <c r="A2915" s="11" t="str">
        <f aca="false">IF(C2915="","",ROW()-4)</f>
        <v/>
      </c>
      <c r="B2915" s="12"/>
      <c r="C2915" s="13"/>
      <c r="D2915" s="23" t="str">
        <f aca="false">IF(C2915="","",IFERROR(INDEX(LOTES!$D$5:$D$1004,MATCH(C2915,LOTES!$F$5:$F$1004,0)),"¿Lote?"))</f>
        <v/>
      </c>
      <c r="E2915" s="11" t="str">
        <f aca="false">IF(C2915="","",IFERROR(INDEX(LOTES!$C$5:$C$1004,MATCH(C2915,LOTES!$F$5:$F$1004,0)),""))</f>
        <v/>
      </c>
      <c r="F2915" s="24" t="str">
        <f aca="false">IF(C2915="","",IFERROR(INDEX(LOTES!$B$5:$B$1004,MATCH(C2915,LOTES!$F$5:$F$1004,0)),""))</f>
        <v/>
      </c>
      <c r="G2915" s="15" t="str">
        <f aca="false">IF(OR(B2915="",F2915=""),"",B2915-F2915)</f>
        <v/>
      </c>
      <c r="H2915" s="13"/>
      <c r="I2915" s="13"/>
      <c r="J2915" s="13"/>
      <c r="K2915" s="25"/>
      <c r="L2915" s="25"/>
      <c r="M2915" s="25"/>
      <c r="N2915" s="25"/>
      <c r="O2915" s="26"/>
      <c r="P2915" s="16" t="str">
        <f aca="false">IF(O2915="","",IFERROR(1/(1/(IF(K2915="",INDEX(CONFIG!$F$5:$F$14,MATCH(D2915,CONFIG!$D$5:$D$14,0)),K2915)*IF(M2915="",INDEX(CONFIG!$H$5:$H$14,MATCH(D2915,CONFIG!$D$5:$D$14,0)),M2915))),""))</f>
        <v/>
      </c>
      <c r="Q2915" s="16" t="str">
        <f aca="false">IF(OR(O2915="",P2915=""),"",O2915/P2915)</f>
        <v/>
      </c>
      <c r="R2915" s="16" t="str">
        <f aca="false">IF(Q2915="","",Q2915*0.0980665)</f>
        <v/>
      </c>
      <c r="S2915" s="16" t="str">
        <f aca="false">IF(Q2915="","",IFERROR(Q2915/(1/(1/INDEX(CONFIG!$I$5:$I$14,MATCH(D2915,CONFIG!$D$5:$D$14,0)))),""))</f>
        <v/>
      </c>
      <c r="T2915" s="13"/>
      <c r="U2915" s="13"/>
      <c r="V2915" s="13"/>
      <c r="W2915" s="13"/>
      <c r="X2915" s="22" t="str">
        <f aca="false">IF(Q2915="","",Q2915^2)</f>
        <v/>
      </c>
      <c r="Y2915" s="22" t="str">
        <f aca="false">IF(AND(C2915&lt;&gt;"",C2915=CERTIFICADO!$E$4,OR(CERTIFICADO!$E$5="",B2915=CERTIFICADO!$E$5)),MAX($Y$4:Y2914)+1,"")</f>
        <v/>
      </c>
    </row>
    <row r="2916" customFormat="false" ht="15" hidden="false" customHeight="false" outlineLevel="0" collapsed="false">
      <c r="A2916" s="11" t="str">
        <f aca="false">IF(C2916="","",ROW()-4)</f>
        <v/>
      </c>
      <c r="B2916" s="12"/>
      <c r="C2916" s="13"/>
      <c r="D2916" s="23" t="str">
        <f aca="false">IF(C2916="","",IFERROR(INDEX(LOTES!$D$5:$D$1004,MATCH(C2916,LOTES!$F$5:$F$1004,0)),"¿Lote?"))</f>
        <v/>
      </c>
      <c r="E2916" s="11" t="str">
        <f aca="false">IF(C2916="","",IFERROR(INDEX(LOTES!$C$5:$C$1004,MATCH(C2916,LOTES!$F$5:$F$1004,0)),""))</f>
        <v/>
      </c>
      <c r="F2916" s="24" t="str">
        <f aca="false">IF(C2916="","",IFERROR(INDEX(LOTES!$B$5:$B$1004,MATCH(C2916,LOTES!$F$5:$F$1004,0)),""))</f>
        <v/>
      </c>
      <c r="G2916" s="15" t="str">
        <f aca="false">IF(OR(B2916="",F2916=""),"",B2916-F2916)</f>
        <v/>
      </c>
      <c r="H2916" s="13"/>
      <c r="I2916" s="13"/>
      <c r="J2916" s="13"/>
      <c r="K2916" s="25"/>
      <c r="L2916" s="25"/>
      <c r="M2916" s="25"/>
      <c r="N2916" s="25"/>
      <c r="O2916" s="26"/>
      <c r="P2916" s="16" t="str">
        <f aca="false">IF(O2916="","",IFERROR(1/(1/(IF(K2916="",INDEX(CONFIG!$F$5:$F$14,MATCH(D2916,CONFIG!$D$5:$D$14,0)),K2916)*IF(M2916="",INDEX(CONFIG!$H$5:$H$14,MATCH(D2916,CONFIG!$D$5:$D$14,0)),M2916))),""))</f>
        <v/>
      </c>
      <c r="Q2916" s="16" t="str">
        <f aca="false">IF(OR(O2916="",P2916=""),"",O2916/P2916)</f>
        <v/>
      </c>
      <c r="R2916" s="16" t="str">
        <f aca="false">IF(Q2916="","",Q2916*0.0980665)</f>
        <v/>
      </c>
      <c r="S2916" s="16" t="str">
        <f aca="false">IF(Q2916="","",IFERROR(Q2916/(1/(1/INDEX(CONFIG!$I$5:$I$14,MATCH(D2916,CONFIG!$D$5:$D$14,0)))),""))</f>
        <v/>
      </c>
      <c r="T2916" s="13"/>
      <c r="U2916" s="13"/>
      <c r="V2916" s="13"/>
      <c r="W2916" s="13"/>
      <c r="X2916" s="22" t="str">
        <f aca="false">IF(Q2916="","",Q2916^2)</f>
        <v/>
      </c>
      <c r="Y2916" s="22" t="str">
        <f aca="false">IF(AND(C2916&lt;&gt;"",C2916=CERTIFICADO!$E$4,OR(CERTIFICADO!$E$5="",B2916=CERTIFICADO!$E$5)),MAX($Y$4:Y2915)+1,"")</f>
        <v/>
      </c>
    </row>
    <row r="2917" customFormat="false" ht="15" hidden="false" customHeight="false" outlineLevel="0" collapsed="false">
      <c r="A2917" s="11" t="str">
        <f aca="false">IF(C2917="","",ROW()-4)</f>
        <v/>
      </c>
      <c r="B2917" s="12"/>
      <c r="C2917" s="13"/>
      <c r="D2917" s="23" t="str">
        <f aca="false">IF(C2917="","",IFERROR(INDEX(LOTES!$D$5:$D$1004,MATCH(C2917,LOTES!$F$5:$F$1004,0)),"¿Lote?"))</f>
        <v/>
      </c>
      <c r="E2917" s="11" t="str">
        <f aca="false">IF(C2917="","",IFERROR(INDEX(LOTES!$C$5:$C$1004,MATCH(C2917,LOTES!$F$5:$F$1004,0)),""))</f>
        <v/>
      </c>
      <c r="F2917" s="24" t="str">
        <f aca="false">IF(C2917="","",IFERROR(INDEX(LOTES!$B$5:$B$1004,MATCH(C2917,LOTES!$F$5:$F$1004,0)),""))</f>
        <v/>
      </c>
      <c r="G2917" s="15" t="str">
        <f aca="false">IF(OR(B2917="",F2917=""),"",B2917-F2917)</f>
        <v/>
      </c>
      <c r="H2917" s="13"/>
      <c r="I2917" s="13"/>
      <c r="J2917" s="13"/>
      <c r="K2917" s="25"/>
      <c r="L2917" s="25"/>
      <c r="M2917" s="25"/>
      <c r="N2917" s="25"/>
      <c r="O2917" s="26"/>
      <c r="P2917" s="16" t="str">
        <f aca="false">IF(O2917="","",IFERROR(1/(1/(IF(K2917="",INDEX(CONFIG!$F$5:$F$14,MATCH(D2917,CONFIG!$D$5:$D$14,0)),K2917)*IF(M2917="",INDEX(CONFIG!$H$5:$H$14,MATCH(D2917,CONFIG!$D$5:$D$14,0)),M2917))),""))</f>
        <v/>
      </c>
      <c r="Q2917" s="16" t="str">
        <f aca="false">IF(OR(O2917="",P2917=""),"",O2917/P2917)</f>
        <v/>
      </c>
      <c r="R2917" s="16" t="str">
        <f aca="false">IF(Q2917="","",Q2917*0.0980665)</f>
        <v/>
      </c>
      <c r="S2917" s="16" t="str">
        <f aca="false">IF(Q2917="","",IFERROR(Q2917/(1/(1/INDEX(CONFIG!$I$5:$I$14,MATCH(D2917,CONFIG!$D$5:$D$14,0)))),""))</f>
        <v/>
      </c>
      <c r="T2917" s="13"/>
      <c r="U2917" s="13"/>
      <c r="V2917" s="13"/>
      <c r="W2917" s="13"/>
      <c r="X2917" s="22" t="str">
        <f aca="false">IF(Q2917="","",Q2917^2)</f>
        <v/>
      </c>
      <c r="Y2917" s="22" t="str">
        <f aca="false">IF(AND(C2917&lt;&gt;"",C2917=CERTIFICADO!$E$4,OR(CERTIFICADO!$E$5="",B2917=CERTIFICADO!$E$5)),MAX($Y$4:Y2916)+1,"")</f>
        <v/>
      </c>
    </row>
    <row r="2918" customFormat="false" ht="15" hidden="false" customHeight="false" outlineLevel="0" collapsed="false">
      <c r="A2918" s="11" t="str">
        <f aca="false">IF(C2918="","",ROW()-4)</f>
        <v/>
      </c>
      <c r="B2918" s="12"/>
      <c r="C2918" s="13"/>
      <c r="D2918" s="23" t="str">
        <f aca="false">IF(C2918="","",IFERROR(INDEX(LOTES!$D$5:$D$1004,MATCH(C2918,LOTES!$F$5:$F$1004,0)),"¿Lote?"))</f>
        <v/>
      </c>
      <c r="E2918" s="11" t="str">
        <f aca="false">IF(C2918="","",IFERROR(INDEX(LOTES!$C$5:$C$1004,MATCH(C2918,LOTES!$F$5:$F$1004,0)),""))</f>
        <v/>
      </c>
      <c r="F2918" s="24" t="str">
        <f aca="false">IF(C2918="","",IFERROR(INDEX(LOTES!$B$5:$B$1004,MATCH(C2918,LOTES!$F$5:$F$1004,0)),""))</f>
        <v/>
      </c>
      <c r="G2918" s="15" t="str">
        <f aca="false">IF(OR(B2918="",F2918=""),"",B2918-F2918)</f>
        <v/>
      </c>
      <c r="H2918" s="13"/>
      <c r="I2918" s="13"/>
      <c r="J2918" s="13"/>
      <c r="K2918" s="25"/>
      <c r="L2918" s="25"/>
      <c r="M2918" s="25"/>
      <c r="N2918" s="25"/>
      <c r="O2918" s="26"/>
      <c r="P2918" s="16" t="str">
        <f aca="false">IF(O2918="","",IFERROR(1/(1/(IF(K2918="",INDEX(CONFIG!$F$5:$F$14,MATCH(D2918,CONFIG!$D$5:$D$14,0)),K2918)*IF(M2918="",INDEX(CONFIG!$H$5:$H$14,MATCH(D2918,CONFIG!$D$5:$D$14,0)),M2918))),""))</f>
        <v/>
      </c>
      <c r="Q2918" s="16" t="str">
        <f aca="false">IF(OR(O2918="",P2918=""),"",O2918/P2918)</f>
        <v/>
      </c>
      <c r="R2918" s="16" t="str">
        <f aca="false">IF(Q2918="","",Q2918*0.0980665)</f>
        <v/>
      </c>
      <c r="S2918" s="16" t="str">
        <f aca="false">IF(Q2918="","",IFERROR(Q2918/(1/(1/INDEX(CONFIG!$I$5:$I$14,MATCH(D2918,CONFIG!$D$5:$D$14,0)))),""))</f>
        <v/>
      </c>
      <c r="T2918" s="13"/>
      <c r="U2918" s="13"/>
      <c r="V2918" s="13"/>
      <c r="W2918" s="13"/>
      <c r="X2918" s="22" t="str">
        <f aca="false">IF(Q2918="","",Q2918^2)</f>
        <v/>
      </c>
      <c r="Y2918" s="22" t="str">
        <f aca="false">IF(AND(C2918&lt;&gt;"",C2918=CERTIFICADO!$E$4,OR(CERTIFICADO!$E$5="",B2918=CERTIFICADO!$E$5)),MAX($Y$4:Y2917)+1,"")</f>
        <v/>
      </c>
    </row>
    <row r="2919" customFormat="false" ht="15" hidden="false" customHeight="false" outlineLevel="0" collapsed="false">
      <c r="A2919" s="11" t="str">
        <f aca="false">IF(C2919="","",ROW()-4)</f>
        <v/>
      </c>
      <c r="B2919" s="12"/>
      <c r="C2919" s="13"/>
      <c r="D2919" s="23" t="str">
        <f aca="false">IF(C2919="","",IFERROR(INDEX(LOTES!$D$5:$D$1004,MATCH(C2919,LOTES!$F$5:$F$1004,0)),"¿Lote?"))</f>
        <v/>
      </c>
      <c r="E2919" s="11" t="str">
        <f aca="false">IF(C2919="","",IFERROR(INDEX(LOTES!$C$5:$C$1004,MATCH(C2919,LOTES!$F$5:$F$1004,0)),""))</f>
        <v/>
      </c>
      <c r="F2919" s="24" t="str">
        <f aca="false">IF(C2919="","",IFERROR(INDEX(LOTES!$B$5:$B$1004,MATCH(C2919,LOTES!$F$5:$F$1004,0)),""))</f>
        <v/>
      </c>
      <c r="G2919" s="15" t="str">
        <f aca="false">IF(OR(B2919="",F2919=""),"",B2919-F2919)</f>
        <v/>
      </c>
      <c r="H2919" s="13"/>
      <c r="I2919" s="13"/>
      <c r="J2919" s="13"/>
      <c r="K2919" s="25"/>
      <c r="L2919" s="25"/>
      <c r="M2919" s="25"/>
      <c r="N2919" s="25"/>
      <c r="O2919" s="26"/>
      <c r="P2919" s="16" t="str">
        <f aca="false">IF(O2919="","",IFERROR(1/(1/(IF(K2919="",INDEX(CONFIG!$F$5:$F$14,MATCH(D2919,CONFIG!$D$5:$D$14,0)),K2919)*IF(M2919="",INDEX(CONFIG!$H$5:$H$14,MATCH(D2919,CONFIG!$D$5:$D$14,0)),M2919))),""))</f>
        <v/>
      </c>
      <c r="Q2919" s="16" t="str">
        <f aca="false">IF(OR(O2919="",P2919=""),"",O2919/P2919)</f>
        <v/>
      </c>
      <c r="R2919" s="16" t="str">
        <f aca="false">IF(Q2919="","",Q2919*0.0980665)</f>
        <v/>
      </c>
      <c r="S2919" s="16" t="str">
        <f aca="false">IF(Q2919="","",IFERROR(Q2919/(1/(1/INDEX(CONFIG!$I$5:$I$14,MATCH(D2919,CONFIG!$D$5:$D$14,0)))),""))</f>
        <v/>
      </c>
      <c r="T2919" s="13"/>
      <c r="U2919" s="13"/>
      <c r="V2919" s="13"/>
      <c r="W2919" s="13"/>
      <c r="X2919" s="22" t="str">
        <f aca="false">IF(Q2919="","",Q2919^2)</f>
        <v/>
      </c>
      <c r="Y2919" s="22" t="str">
        <f aca="false">IF(AND(C2919&lt;&gt;"",C2919=CERTIFICADO!$E$4,OR(CERTIFICADO!$E$5="",B2919=CERTIFICADO!$E$5)),MAX($Y$4:Y2918)+1,"")</f>
        <v/>
      </c>
    </row>
    <row r="2920" customFormat="false" ht="15" hidden="false" customHeight="false" outlineLevel="0" collapsed="false">
      <c r="A2920" s="11" t="str">
        <f aca="false">IF(C2920="","",ROW()-4)</f>
        <v/>
      </c>
      <c r="B2920" s="12"/>
      <c r="C2920" s="13"/>
      <c r="D2920" s="23" t="str">
        <f aca="false">IF(C2920="","",IFERROR(INDEX(LOTES!$D$5:$D$1004,MATCH(C2920,LOTES!$F$5:$F$1004,0)),"¿Lote?"))</f>
        <v/>
      </c>
      <c r="E2920" s="11" t="str">
        <f aca="false">IF(C2920="","",IFERROR(INDEX(LOTES!$C$5:$C$1004,MATCH(C2920,LOTES!$F$5:$F$1004,0)),""))</f>
        <v/>
      </c>
      <c r="F2920" s="24" t="str">
        <f aca="false">IF(C2920="","",IFERROR(INDEX(LOTES!$B$5:$B$1004,MATCH(C2920,LOTES!$F$5:$F$1004,0)),""))</f>
        <v/>
      </c>
      <c r="G2920" s="15" t="str">
        <f aca="false">IF(OR(B2920="",F2920=""),"",B2920-F2920)</f>
        <v/>
      </c>
      <c r="H2920" s="13"/>
      <c r="I2920" s="13"/>
      <c r="J2920" s="13"/>
      <c r="K2920" s="25"/>
      <c r="L2920" s="25"/>
      <c r="M2920" s="25"/>
      <c r="N2920" s="25"/>
      <c r="O2920" s="26"/>
      <c r="P2920" s="16" t="str">
        <f aca="false">IF(O2920="","",IFERROR(1/(1/(IF(K2920="",INDEX(CONFIG!$F$5:$F$14,MATCH(D2920,CONFIG!$D$5:$D$14,0)),K2920)*IF(M2920="",INDEX(CONFIG!$H$5:$H$14,MATCH(D2920,CONFIG!$D$5:$D$14,0)),M2920))),""))</f>
        <v/>
      </c>
      <c r="Q2920" s="16" t="str">
        <f aca="false">IF(OR(O2920="",P2920=""),"",O2920/P2920)</f>
        <v/>
      </c>
      <c r="R2920" s="16" t="str">
        <f aca="false">IF(Q2920="","",Q2920*0.0980665)</f>
        <v/>
      </c>
      <c r="S2920" s="16" t="str">
        <f aca="false">IF(Q2920="","",IFERROR(Q2920/(1/(1/INDEX(CONFIG!$I$5:$I$14,MATCH(D2920,CONFIG!$D$5:$D$14,0)))),""))</f>
        <v/>
      </c>
      <c r="T2920" s="13"/>
      <c r="U2920" s="13"/>
      <c r="V2920" s="13"/>
      <c r="W2920" s="13"/>
      <c r="X2920" s="22" t="str">
        <f aca="false">IF(Q2920="","",Q2920^2)</f>
        <v/>
      </c>
      <c r="Y2920" s="22" t="str">
        <f aca="false">IF(AND(C2920&lt;&gt;"",C2920=CERTIFICADO!$E$4,OR(CERTIFICADO!$E$5="",B2920=CERTIFICADO!$E$5)),MAX($Y$4:Y2919)+1,"")</f>
        <v/>
      </c>
    </row>
    <row r="2921" customFormat="false" ht="15" hidden="false" customHeight="false" outlineLevel="0" collapsed="false">
      <c r="A2921" s="11" t="str">
        <f aca="false">IF(C2921="","",ROW()-4)</f>
        <v/>
      </c>
      <c r="B2921" s="12"/>
      <c r="C2921" s="13"/>
      <c r="D2921" s="23" t="str">
        <f aca="false">IF(C2921="","",IFERROR(INDEX(LOTES!$D$5:$D$1004,MATCH(C2921,LOTES!$F$5:$F$1004,0)),"¿Lote?"))</f>
        <v/>
      </c>
      <c r="E2921" s="11" t="str">
        <f aca="false">IF(C2921="","",IFERROR(INDEX(LOTES!$C$5:$C$1004,MATCH(C2921,LOTES!$F$5:$F$1004,0)),""))</f>
        <v/>
      </c>
      <c r="F2921" s="24" t="str">
        <f aca="false">IF(C2921="","",IFERROR(INDEX(LOTES!$B$5:$B$1004,MATCH(C2921,LOTES!$F$5:$F$1004,0)),""))</f>
        <v/>
      </c>
      <c r="G2921" s="15" t="str">
        <f aca="false">IF(OR(B2921="",F2921=""),"",B2921-F2921)</f>
        <v/>
      </c>
      <c r="H2921" s="13"/>
      <c r="I2921" s="13"/>
      <c r="J2921" s="13"/>
      <c r="K2921" s="25"/>
      <c r="L2921" s="25"/>
      <c r="M2921" s="25"/>
      <c r="N2921" s="25"/>
      <c r="O2921" s="26"/>
      <c r="P2921" s="16" t="str">
        <f aca="false">IF(O2921="","",IFERROR(1/(1/(IF(K2921="",INDEX(CONFIG!$F$5:$F$14,MATCH(D2921,CONFIG!$D$5:$D$14,0)),K2921)*IF(M2921="",INDEX(CONFIG!$H$5:$H$14,MATCH(D2921,CONFIG!$D$5:$D$14,0)),M2921))),""))</f>
        <v/>
      </c>
      <c r="Q2921" s="16" t="str">
        <f aca="false">IF(OR(O2921="",P2921=""),"",O2921/P2921)</f>
        <v/>
      </c>
      <c r="R2921" s="16" t="str">
        <f aca="false">IF(Q2921="","",Q2921*0.0980665)</f>
        <v/>
      </c>
      <c r="S2921" s="16" t="str">
        <f aca="false">IF(Q2921="","",IFERROR(Q2921/(1/(1/INDEX(CONFIG!$I$5:$I$14,MATCH(D2921,CONFIG!$D$5:$D$14,0)))),""))</f>
        <v/>
      </c>
      <c r="T2921" s="13"/>
      <c r="U2921" s="13"/>
      <c r="V2921" s="13"/>
      <c r="W2921" s="13"/>
      <c r="X2921" s="22" t="str">
        <f aca="false">IF(Q2921="","",Q2921^2)</f>
        <v/>
      </c>
      <c r="Y2921" s="22" t="str">
        <f aca="false">IF(AND(C2921&lt;&gt;"",C2921=CERTIFICADO!$E$4,OR(CERTIFICADO!$E$5="",B2921=CERTIFICADO!$E$5)),MAX($Y$4:Y2920)+1,"")</f>
        <v/>
      </c>
    </row>
    <row r="2922" customFormat="false" ht="15" hidden="false" customHeight="false" outlineLevel="0" collapsed="false">
      <c r="A2922" s="11" t="str">
        <f aca="false">IF(C2922="","",ROW()-4)</f>
        <v/>
      </c>
      <c r="B2922" s="12"/>
      <c r="C2922" s="13"/>
      <c r="D2922" s="23" t="str">
        <f aca="false">IF(C2922="","",IFERROR(INDEX(LOTES!$D$5:$D$1004,MATCH(C2922,LOTES!$F$5:$F$1004,0)),"¿Lote?"))</f>
        <v/>
      </c>
      <c r="E2922" s="11" t="str">
        <f aca="false">IF(C2922="","",IFERROR(INDEX(LOTES!$C$5:$C$1004,MATCH(C2922,LOTES!$F$5:$F$1004,0)),""))</f>
        <v/>
      </c>
      <c r="F2922" s="24" t="str">
        <f aca="false">IF(C2922="","",IFERROR(INDEX(LOTES!$B$5:$B$1004,MATCH(C2922,LOTES!$F$5:$F$1004,0)),""))</f>
        <v/>
      </c>
      <c r="G2922" s="15" t="str">
        <f aca="false">IF(OR(B2922="",F2922=""),"",B2922-F2922)</f>
        <v/>
      </c>
      <c r="H2922" s="13"/>
      <c r="I2922" s="13"/>
      <c r="J2922" s="13"/>
      <c r="K2922" s="25"/>
      <c r="L2922" s="25"/>
      <c r="M2922" s="25"/>
      <c r="N2922" s="25"/>
      <c r="O2922" s="26"/>
      <c r="P2922" s="16" t="str">
        <f aca="false">IF(O2922="","",IFERROR(1/(1/(IF(K2922="",INDEX(CONFIG!$F$5:$F$14,MATCH(D2922,CONFIG!$D$5:$D$14,0)),K2922)*IF(M2922="",INDEX(CONFIG!$H$5:$H$14,MATCH(D2922,CONFIG!$D$5:$D$14,0)),M2922))),""))</f>
        <v/>
      </c>
      <c r="Q2922" s="16" t="str">
        <f aca="false">IF(OR(O2922="",P2922=""),"",O2922/P2922)</f>
        <v/>
      </c>
      <c r="R2922" s="16" t="str">
        <f aca="false">IF(Q2922="","",Q2922*0.0980665)</f>
        <v/>
      </c>
      <c r="S2922" s="16" t="str">
        <f aca="false">IF(Q2922="","",IFERROR(Q2922/(1/(1/INDEX(CONFIG!$I$5:$I$14,MATCH(D2922,CONFIG!$D$5:$D$14,0)))),""))</f>
        <v/>
      </c>
      <c r="T2922" s="13"/>
      <c r="U2922" s="13"/>
      <c r="V2922" s="13"/>
      <c r="W2922" s="13"/>
      <c r="X2922" s="22" t="str">
        <f aca="false">IF(Q2922="","",Q2922^2)</f>
        <v/>
      </c>
      <c r="Y2922" s="22" t="str">
        <f aca="false">IF(AND(C2922&lt;&gt;"",C2922=CERTIFICADO!$E$4,OR(CERTIFICADO!$E$5="",B2922=CERTIFICADO!$E$5)),MAX($Y$4:Y2921)+1,"")</f>
        <v/>
      </c>
    </row>
    <row r="2923" customFormat="false" ht="15" hidden="false" customHeight="false" outlineLevel="0" collapsed="false">
      <c r="A2923" s="11" t="str">
        <f aca="false">IF(C2923="","",ROW()-4)</f>
        <v/>
      </c>
      <c r="B2923" s="12"/>
      <c r="C2923" s="13"/>
      <c r="D2923" s="23" t="str">
        <f aca="false">IF(C2923="","",IFERROR(INDEX(LOTES!$D$5:$D$1004,MATCH(C2923,LOTES!$F$5:$F$1004,0)),"¿Lote?"))</f>
        <v/>
      </c>
      <c r="E2923" s="11" t="str">
        <f aca="false">IF(C2923="","",IFERROR(INDEX(LOTES!$C$5:$C$1004,MATCH(C2923,LOTES!$F$5:$F$1004,0)),""))</f>
        <v/>
      </c>
      <c r="F2923" s="24" t="str">
        <f aca="false">IF(C2923="","",IFERROR(INDEX(LOTES!$B$5:$B$1004,MATCH(C2923,LOTES!$F$5:$F$1004,0)),""))</f>
        <v/>
      </c>
      <c r="G2923" s="15" t="str">
        <f aca="false">IF(OR(B2923="",F2923=""),"",B2923-F2923)</f>
        <v/>
      </c>
      <c r="H2923" s="13"/>
      <c r="I2923" s="13"/>
      <c r="J2923" s="13"/>
      <c r="K2923" s="25"/>
      <c r="L2923" s="25"/>
      <c r="M2923" s="25"/>
      <c r="N2923" s="25"/>
      <c r="O2923" s="26"/>
      <c r="P2923" s="16" t="str">
        <f aca="false">IF(O2923="","",IFERROR(1/(1/(IF(K2923="",INDEX(CONFIG!$F$5:$F$14,MATCH(D2923,CONFIG!$D$5:$D$14,0)),K2923)*IF(M2923="",INDEX(CONFIG!$H$5:$H$14,MATCH(D2923,CONFIG!$D$5:$D$14,0)),M2923))),""))</f>
        <v/>
      </c>
      <c r="Q2923" s="16" t="str">
        <f aca="false">IF(OR(O2923="",P2923=""),"",O2923/P2923)</f>
        <v/>
      </c>
      <c r="R2923" s="16" t="str">
        <f aca="false">IF(Q2923="","",Q2923*0.0980665)</f>
        <v/>
      </c>
      <c r="S2923" s="16" t="str">
        <f aca="false">IF(Q2923="","",IFERROR(Q2923/(1/(1/INDEX(CONFIG!$I$5:$I$14,MATCH(D2923,CONFIG!$D$5:$D$14,0)))),""))</f>
        <v/>
      </c>
      <c r="T2923" s="13"/>
      <c r="U2923" s="13"/>
      <c r="V2923" s="13"/>
      <c r="W2923" s="13"/>
      <c r="X2923" s="22" t="str">
        <f aca="false">IF(Q2923="","",Q2923^2)</f>
        <v/>
      </c>
      <c r="Y2923" s="22" t="str">
        <f aca="false">IF(AND(C2923&lt;&gt;"",C2923=CERTIFICADO!$E$4,OR(CERTIFICADO!$E$5="",B2923=CERTIFICADO!$E$5)),MAX($Y$4:Y2922)+1,"")</f>
        <v/>
      </c>
    </row>
    <row r="2924" customFormat="false" ht="15" hidden="false" customHeight="false" outlineLevel="0" collapsed="false">
      <c r="A2924" s="11" t="str">
        <f aca="false">IF(C2924="","",ROW()-4)</f>
        <v/>
      </c>
      <c r="B2924" s="12"/>
      <c r="C2924" s="13"/>
      <c r="D2924" s="23" t="str">
        <f aca="false">IF(C2924="","",IFERROR(INDEX(LOTES!$D$5:$D$1004,MATCH(C2924,LOTES!$F$5:$F$1004,0)),"¿Lote?"))</f>
        <v/>
      </c>
      <c r="E2924" s="11" t="str">
        <f aca="false">IF(C2924="","",IFERROR(INDEX(LOTES!$C$5:$C$1004,MATCH(C2924,LOTES!$F$5:$F$1004,0)),""))</f>
        <v/>
      </c>
      <c r="F2924" s="24" t="str">
        <f aca="false">IF(C2924="","",IFERROR(INDEX(LOTES!$B$5:$B$1004,MATCH(C2924,LOTES!$F$5:$F$1004,0)),""))</f>
        <v/>
      </c>
      <c r="G2924" s="15" t="str">
        <f aca="false">IF(OR(B2924="",F2924=""),"",B2924-F2924)</f>
        <v/>
      </c>
      <c r="H2924" s="13"/>
      <c r="I2924" s="13"/>
      <c r="J2924" s="13"/>
      <c r="K2924" s="25"/>
      <c r="L2924" s="25"/>
      <c r="M2924" s="25"/>
      <c r="N2924" s="25"/>
      <c r="O2924" s="26"/>
      <c r="P2924" s="16" t="str">
        <f aca="false">IF(O2924="","",IFERROR(1/(1/(IF(K2924="",INDEX(CONFIG!$F$5:$F$14,MATCH(D2924,CONFIG!$D$5:$D$14,0)),K2924)*IF(M2924="",INDEX(CONFIG!$H$5:$H$14,MATCH(D2924,CONFIG!$D$5:$D$14,0)),M2924))),""))</f>
        <v/>
      </c>
      <c r="Q2924" s="16" t="str">
        <f aca="false">IF(OR(O2924="",P2924=""),"",O2924/P2924)</f>
        <v/>
      </c>
      <c r="R2924" s="16" t="str">
        <f aca="false">IF(Q2924="","",Q2924*0.0980665)</f>
        <v/>
      </c>
      <c r="S2924" s="16" t="str">
        <f aca="false">IF(Q2924="","",IFERROR(Q2924/(1/(1/INDEX(CONFIG!$I$5:$I$14,MATCH(D2924,CONFIG!$D$5:$D$14,0)))),""))</f>
        <v/>
      </c>
      <c r="T2924" s="13"/>
      <c r="U2924" s="13"/>
      <c r="V2924" s="13"/>
      <c r="W2924" s="13"/>
      <c r="X2924" s="22" t="str">
        <f aca="false">IF(Q2924="","",Q2924^2)</f>
        <v/>
      </c>
      <c r="Y2924" s="22" t="str">
        <f aca="false">IF(AND(C2924&lt;&gt;"",C2924=CERTIFICADO!$E$4,OR(CERTIFICADO!$E$5="",B2924=CERTIFICADO!$E$5)),MAX($Y$4:Y2923)+1,"")</f>
        <v/>
      </c>
    </row>
    <row r="2925" customFormat="false" ht="15" hidden="false" customHeight="false" outlineLevel="0" collapsed="false">
      <c r="A2925" s="11" t="str">
        <f aca="false">IF(C2925="","",ROW()-4)</f>
        <v/>
      </c>
      <c r="B2925" s="12"/>
      <c r="C2925" s="13"/>
      <c r="D2925" s="23" t="str">
        <f aca="false">IF(C2925="","",IFERROR(INDEX(LOTES!$D$5:$D$1004,MATCH(C2925,LOTES!$F$5:$F$1004,0)),"¿Lote?"))</f>
        <v/>
      </c>
      <c r="E2925" s="11" t="str">
        <f aca="false">IF(C2925="","",IFERROR(INDEX(LOTES!$C$5:$C$1004,MATCH(C2925,LOTES!$F$5:$F$1004,0)),""))</f>
        <v/>
      </c>
      <c r="F2925" s="24" t="str">
        <f aca="false">IF(C2925="","",IFERROR(INDEX(LOTES!$B$5:$B$1004,MATCH(C2925,LOTES!$F$5:$F$1004,0)),""))</f>
        <v/>
      </c>
      <c r="G2925" s="15" t="str">
        <f aca="false">IF(OR(B2925="",F2925=""),"",B2925-F2925)</f>
        <v/>
      </c>
      <c r="H2925" s="13"/>
      <c r="I2925" s="13"/>
      <c r="J2925" s="13"/>
      <c r="K2925" s="25"/>
      <c r="L2925" s="25"/>
      <c r="M2925" s="25"/>
      <c r="N2925" s="25"/>
      <c r="O2925" s="26"/>
      <c r="P2925" s="16" t="str">
        <f aca="false">IF(O2925="","",IFERROR(1/(1/(IF(K2925="",INDEX(CONFIG!$F$5:$F$14,MATCH(D2925,CONFIG!$D$5:$D$14,0)),K2925)*IF(M2925="",INDEX(CONFIG!$H$5:$H$14,MATCH(D2925,CONFIG!$D$5:$D$14,0)),M2925))),""))</f>
        <v/>
      </c>
      <c r="Q2925" s="16" t="str">
        <f aca="false">IF(OR(O2925="",P2925=""),"",O2925/P2925)</f>
        <v/>
      </c>
      <c r="R2925" s="16" t="str">
        <f aca="false">IF(Q2925="","",Q2925*0.0980665)</f>
        <v/>
      </c>
      <c r="S2925" s="16" t="str">
        <f aca="false">IF(Q2925="","",IFERROR(Q2925/(1/(1/INDEX(CONFIG!$I$5:$I$14,MATCH(D2925,CONFIG!$D$5:$D$14,0)))),""))</f>
        <v/>
      </c>
      <c r="T2925" s="13"/>
      <c r="U2925" s="13"/>
      <c r="V2925" s="13"/>
      <c r="W2925" s="13"/>
      <c r="X2925" s="22" t="str">
        <f aca="false">IF(Q2925="","",Q2925^2)</f>
        <v/>
      </c>
      <c r="Y2925" s="22" t="str">
        <f aca="false">IF(AND(C2925&lt;&gt;"",C2925=CERTIFICADO!$E$4,OR(CERTIFICADO!$E$5="",B2925=CERTIFICADO!$E$5)),MAX($Y$4:Y2924)+1,"")</f>
        <v/>
      </c>
    </row>
    <row r="2926" customFormat="false" ht="15" hidden="false" customHeight="false" outlineLevel="0" collapsed="false">
      <c r="A2926" s="11" t="str">
        <f aca="false">IF(C2926="","",ROW()-4)</f>
        <v/>
      </c>
      <c r="B2926" s="12"/>
      <c r="C2926" s="13"/>
      <c r="D2926" s="23" t="str">
        <f aca="false">IF(C2926="","",IFERROR(INDEX(LOTES!$D$5:$D$1004,MATCH(C2926,LOTES!$F$5:$F$1004,0)),"¿Lote?"))</f>
        <v/>
      </c>
      <c r="E2926" s="11" t="str">
        <f aca="false">IF(C2926="","",IFERROR(INDEX(LOTES!$C$5:$C$1004,MATCH(C2926,LOTES!$F$5:$F$1004,0)),""))</f>
        <v/>
      </c>
      <c r="F2926" s="24" t="str">
        <f aca="false">IF(C2926="","",IFERROR(INDEX(LOTES!$B$5:$B$1004,MATCH(C2926,LOTES!$F$5:$F$1004,0)),""))</f>
        <v/>
      </c>
      <c r="G2926" s="15" t="str">
        <f aca="false">IF(OR(B2926="",F2926=""),"",B2926-F2926)</f>
        <v/>
      </c>
      <c r="H2926" s="13"/>
      <c r="I2926" s="13"/>
      <c r="J2926" s="13"/>
      <c r="K2926" s="25"/>
      <c r="L2926" s="25"/>
      <c r="M2926" s="25"/>
      <c r="N2926" s="25"/>
      <c r="O2926" s="26"/>
      <c r="P2926" s="16" t="str">
        <f aca="false">IF(O2926="","",IFERROR(1/(1/(IF(K2926="",INDEX(CONFIG!$F$5:$F$14,MATCH(D2926,CONFIG!$D$5:$D$14,0)),K2926)*IF(M2926="",INDEX(CONFIG!$H$5:$H$14,MATCH(D2926,CONFIG!$D$5:$D$14,0)),M2926))),""))</f>
        <v/>
      </c>
      <c r="Q2926" s="16" t="str">
        <f aca="false">IF(OR(O2926="",P2926=""),"",O2926/P2926)</f>
        <v/>
      </c>
      <c r="R2926" s="16" t="str">
        <f aca="false">IF(Q2926="","",Q2926*0.0980665)</f>
        <v/>
      </c>
      <c r="S2926" s="16" t="str">
        <f aca="false">IF(Q2926="","",IFERROR(Q2926/(1/(1/INDEX(CONFIG!$I$5:$I$14,MATCH(D2926,CONFIG!$D$5:$D$14,0)))),""))</f>
        <v/>
      </c>
      <c r="T2926" s="13"/>
      <c r="U2926" s="13"/>
      <c r="V2926" s="13"/>
      <c r="W2926" s="13"/>
      <c r="X2926" s="22" t="str">
        <f aca="false">IF(Q2926="","",Q2926^2)</f>
        <v/>
      </c>
      <c r="Y2926" s="22" t="str">
        <f aca="false">IF(AND(C2926&lt;&gt;"",C2926=CERTIFICADO!$E$4,OR(CERTIFICADO!$E$5="",B2926=CERTIFICADO!$E$5)),MAX($Y$4:Y2925)+1,"")</f>
        <v/>
      </c>
    </row>
    <row r="2927" customFormat="false" ht="15" hidden="false" customHeight="false" outlineLevel="0" collapsed="false">
      <c r="A2927" s="11" t="str">
        <f aca="false">IF(C2927="","",ROW()-4)</f>
        <v/>
      </c>
      <c r="B2927" s="12"/>
      <c r="C2927" s="13"/>
      <c r="D2927" s="23" t="str">
        <f aca="false">IF(C2927="","",IFERROR(INDEX(LOTES!$D$5:$D$1004,MATCH(C2927,LOTES!$F$5:$F$1004,0)),"¿Lote?"))</f>
        <v/>
      </c>
      <c r="E2927" s="11" t="str">
        <f aca="false">IF(C2927="","",IFERROR(INDEX(LOTES!$C$5:$C$1004,MATCH(C2927,LOTES!$F$5:$F$1004,0)),""))</f>
        <v/>
      </c>
      <c r="F2927" s="24" t="str">
        <f aca="false">IF(C2927="","",IFERROR(INDEX(LOTES!$B$5:$B$1004,MATCH(C2927,LOTES!$F$5:$F$1004,0)),""))</f>
        <v/>
      </c>
      <c r="G2927" s="15" t="str">
        <f aca="false">IF(OR(B2927="",F2927=""),"",B2927-F2927)</f>
        <v/>
      </c>
      <c r="H2927" s="13"/>
      <c r="I2927" s="13"/>
      <c r="J2927" s="13"/>
      <c r="K2927" s="25"/>
      <c r="L2927" s="25"/>
      <c r="M2927" s="25"/>
      <c r="N2927" s="25"/>
      <c r="O2927" s="26"/>
      <c r="P2927" s="16" t="str">
        <f aca="false">IF(O2927="","",IFERROR(1/(1/(IF(K2927="",INDEX(CONFIG!$F$5:$F$14,MATCH(D2927,CONFIG!$D$5:$D$14,0)),K2927)*IF(M2927="",INDEX(CONFIG!$H$5:$H$14,MATCH(D2927,CONFIG!$D$5:$D$14,0)),M2927))),""))</f>
        <v/>
      </c>
      <c r="Q2927" s="16" t="str">
        <f aca="false">IF(OR(O2927="",P2927=""),"",O2927/P2927)</f>
        <v/>
      </c>
      <c r="R2927" s="16" t="str">
        <f aca="false">IF(Q2927="","",Q2927*0.0980665)</f>
        <v/>
      </c>
      <c r="S2927" s="16" t="str">
        <f aca="false">IF(Q2927="","",IFERROR(Q2927/(1/(1/INDEX(CONFIG!$I$5:$I$14,MATCH(D2927,CONFIG!$D$5:$D$14,0)))),""))</f>
        <v/>
      </c>
      <c r="T2927" s="13"/>
      <c r="U2927" s="13"/>
      <c r="V2927" s="13"/>
      <c r="W2927" s="13"/>
      <c r="X2927" s="22" t="str">
        <f aca="false">IF(Q2927="","",Q2927^2)</f>
        <v/>
      </c>
      <c r="Y2927" s="22" t="str">
        <f aca="false">IF(AND(C2927&lt;&gt;"",C2927=CERTIFICADO!$E$4,OR(CERTIFICADO!$E$5="",B2927=CERTIFICADO!$E$5)),MAX($Y$4:Y2926)+1,"")</f>
        <v/>
      </c>
    </row>
    <row r="2928" customFormat="false" ht="15" hidden="false" customHeight="false" outlineLevel="0" collapsed="false">
      <c r="A2928" s="11" t="str">
        <f aca="false">IF(C2928="","",ROW()-4)</f>
        <v/>
      </c>
      <c r="B2928" s="12"/>
      <c r="C2928" s="13"/>
      <c r="D2928" s="23" t="str">
        <f aca="false">IF(C2928="","",IFERROR(INDEX(LOTES!$D$5:$D$1004,MATCH(C2928,LOTES!$F$5:$F$1004,0)),"¿Lote?"))</f>
        <v/>
      </c>
      <c r="E2928" s="11" t="str">
        <f aca="false">IF(C2928="","",IFERROR(INDEX(LOTES!$C$5:$C$1004,MATCH(C2928,LOTES!$F$5:$F$1004,0)),""))</f>
        <v/>
      </c>
      <c r="F2928" s="24" t="str">
        <f aca="false">IF(C2928="","",IFERROR(INDEX(LOTES!$B$5:$B$1004,MATCH(C2928,LOTES!$F$5:$F$1004,0)),""))</f>
        <v/>
      </c>
      <c r="G2928" s="15" t="str">
        <f aca="false">IF(OR(B2928="",F2928=""),"",B2928-F2928)</f>
        <v/>
      </c>
      <c r="H2928" s="13"/>
      <c r="I2928" s="13"/>
      <c r="J2928" s="13"/>
      <c r="K2928" s="25"/>
      <c r="L2928" s="25"/>
      <c r="M2928" s="25"/>
      <c r="N2928" s="25"/>
      <c r="O2928" s="26"/>
      <c r="P2928" s="16" t="str">
        <f aca="false">IF(O2928="","",IFERROR(1/(1/(IF(K2928="",INDEX(CONFIG!$F$5:$F$14,MATCH(D2928,CONFIG!$D$5:$D$14,0)),K2928)*IF(M2928="",INDEX(CONFIG!$H$5:$H$14,MATCH(D2928,CONFIG!$D$5:$D$14,0)),M2928))),""))</f>
        <v/>
      </c>
      <c r="Q2928" s="16" t="str">
        <f aca="false">IF(OR(O2928="",P2928=""),"",O2928/P2928)</f>
        <v/>
      </c>
      <c r="R2928" s="16" t="str">
        <f aca="false">IF(Q2928="","",Q2928*0.0980665)</f>
        <v/>
      </c>
      <c r="S2928" s="16" t="str">
        <f aca="false">IF(Q2928="","",IFERROR(Q2928/(1/(1/INDEX(CONFIG!$I$5:$I$14,MATCH(D2928,CONFIG!$D$5:$D$14,0)))),""))</f>
        <v/>
      </c>
      <c r="T2928" s="13"/>
      <c r="U2928" s="13"/>
      <c r="V2928" s="13"/>
      <c r="W2928" s="13"/>
      <c r="X2928" s="22" t="str">
        <f aca="false">IF(Q2928="","",Q2928^2)</f>
        <v/>
      </c>
      <c r="Y2928" s="22" t="str">
        <f aca="false">IF(AND(C2928&lt;&gt;"",C2928=CERTIFICADO!$E$4,OR(CERTIFICADO!$E$5="",B2928=CERTIFICADO!$E$5)),MAX($Y$4:Y2927)+1,"")</f>
        <v/>
      </c>
    </row>
    <row r="2929" customFormat="false" ht="15" hidden="false" customHeight="false" outlineLevel="0" collapsed="false">
      <c r="A2929" s="11" t="str">
        <f aca="false">IF(C2929="","",ROW()-4)</f>
        <v/>
      </c>
      <c r="B2929" s="12"/>
      <c r="C2929" s="13"/>
      <c r="D2929" s="23" t="str">
        <f aca="false">IF(C2929="","",IFERROR(INDEX(LOTES!$D$5:$D$1004,MATCH(C2929,LOTES!$F$5:$F$1004,0)),"¿Lote?"))</f>
        <v/>
      </c>
      <c r="E2929" s="11" t="str">
        <f aca="false">IF(C2929="","",IFERROR(INDEX(LOTES!$C$5:$C$1004,MATCH(C2929,LOTES!$F$5:$F$1004,0)),""))</f>
        <v/>
      </c>
      <c r="F2929" s="24" t="str">
        <f aca="false">IF(C2929="","",IFERROR(INDEX(LOTES!$B$5:$B$1004,MATCH(C2929,LOTES!$F$5:$F$1004,0)),""))</f>
        <v/>
      </c>
      <c r="G2929" s="15" t="str">
        <f aca="false">IF(OR(B2929="",F2929=""),"",B2929-F2929)</f>
        <v/>
      </c>
      <c r="H2929" s="13"/>
      <c r="I2929" s="13"/>
      <c r="J2929" s="13"/>
      <c r="K2929" s="25"/>
      <c r="L2929" s="25"/>
      <c r="M2929" s="25"/>
      <c r="N2929" s="25"/>
      <c r="O2929" s="26"/>
      <c r="P2929" s="16" t="str">
        <f aca="false">IF(O2929="","",IFERROR(1/(1/(IF(K2929="",INDEX(CONFIG!$F$5:$F$14,MATCH(D2929,CONFIG!$D$5:$D$14,0)),K2929)*IF(M2929="",INDEX(CONFIG!$H$5:$H$14,MATCH(D2929,CONFIG!$D$5:$D$14,0)),M2929))),""))</f>
        <v/>
      </c>
      <c r="Q2929" s="16" t="str">
        <f aca="false">IF(OR(O2929="",P2929=""),"",O2929/P2929)</f>
        <v/>
      </c>
      <c r="R2929" s="16" t="str">
        <f aca="false">IF(Q2929="","",Q2929*0.0980665)</f>
        <v/>
      </c>
      <c r="S2929" s="16" t="str">
        <f aca="false">IF(Q2929="","",IFERROR(Q2929/(1/(1/INDEX(CONFIG!$I$5:$I$14,MATCH(D2929,CONFIG!$D$5:$D$14,0)))),""))</f>
        <v/>
      </c>
      <c r="T2929" s="13"/>
      <c r="U2929" s="13"/>
      <c r="V2929" s="13"/>
      <c r="W2929" s="13"/>
      <c r="X2929" s="22" t="str">
        <f aca="false">IF(Q2929="","",Q2929^2)</f>
        <v/>
      </c>
      <c r="Y2929" s="22" t="str">
        <f aca="false">IF(AND(C2929&lt;&gt;"",C2929=CERTIFICADO!$E$4,OR(CERTIFICADO!$E$5="",B2929=CERTIFICADO!$E$5)),MAX($Y$4:Y2928)+1,"")</f>
        <v/>
      </c>
    </row>
    <row r="2930" customFormat="false" ht="15" hidden="false" customHeight="false" outlineLevel="0" collapsed="false">
      <c r="A2930" s="11" t="str">
        <f aca="false">IF(C2930="","",ROW()-4)</f>
        <v/>
      </c>
      <c r="B2930" s="12"/>
      <c r="C2930" s="13"/>
      <c r="D2930" s="23" t="str">
        <f aca="false">IF(C2930="","",IFERROR(INDEX(LOTES!$D$5:$D$1004,MATCH(C2930,LOTES!$F$5:$F$1004,0)),"¿Lote?"))</f>
        <v/>
      </c>
      <c r="E2930" s="11" t="str">
        <f aca="false">IF(C2930="","",IFERROR(INDEX(LOTES!$C$5:$C$1004,MATCH(C2930,LOTES!$F$5:$F$1004,0)),""))</f>
        <v/>
      </c>
      <c r="F2930" s="24" t="str">
        <f aca="false">IF(C2930="","",IFERROR(INDEX(LOTES!$B$5:$B$1004,MATCH(C2930,LOTES!$F$5:$F$1004,0)),""))</f>
        <v/>
      </c>
      <c r="G2930" s="15" t="str">
        <f aca="false">IF(OR(B2930="",F2930=""),"",B2930-F2930)</f>
        <v/>
      </c>
      <c r="H2930" s="13"/>
      <c r="I2930" s="13"/>
      <c r="J2930" s="13"/>
      <c r="K2930" s="25"/>
      <c r="L2930" s="25"/>
      <c r="M2930" s="25"/>
      <c r="N2930" s="25"/>
      <c r="O2930" s="26"/>
      <c r="P2930" s="16" t="str">
        <f aca="false">IF(O2930="","",IFERROR(1/(1/(IF(K2930="",INDEX(CONFIG!$F$5:$F$14,MATCH(D2930,CONFIG!$D$5:$D$14,0)),K2930)*IF(M2930="",INDEX(CONFIG!$H$5:$H$14,MATCH(D2930,CONFIG!$D$5:$D$14,0)),M2930))),""))</f>
        <v/>
      </c>
      <c r="Q2930" s="16" t="str">
        <f aca="false">IF(OR(O2930="",P2930=""),"",O2930/P2930)</f>
        <v/>
      </c>
      <c r="R2930" s="16" t="str">
        <f aca="false">IF(Q2930="","",Q2930*0.0980665)</f>
        <v/>
      </c>
      <c r="S2930" s="16" t="str">
        <f aca="false">IF(Q2930="","",IFERROR(Q2930/(1/(1/INDEX(CONFIG!$I$5:$I$14,MATCH(D2930,CONFIG!$D$5:$D$14,0)))),""))</f>
        <v/>
      </c>
      <c r="T2930" s="13"/>
      <c r="U2930" s="13"/>
      <c r="V2930" s="13"/>
      <c r="W2930" s="13"/>
      <c r="X2930" s="22" t="str">
        <f aca="false">IF(Q2930="","",Q2930^2)</f>
        <v/>
      </c>
      <c r="Y2930" s="22" t="str">
        <f aca="false">IF(AND(C2930&lt;&gt;"",C2930=CERTIFICADO!$E$4,OR(CERTIFICADO!$E$5="",B2930=CERTIFICADO!$E$5)),MAX($Y$4:Y2929)+1,"")</f>
        <v/>
      </c>
    </row>
    <row r="2931" customFormat="false" ht="15" hidden="false" customHeight="false" outlineLevel="0" collapsed="false">
      <c r="A2931" s="11" t="str">
        <f aca="false">IF(C2931="","",ROW()-4)</f>
        <v/>
      </c>
      <c r="B2931" s="12"/>
      <c r="C2931" s="13"/>
      <c r="D2931" s="23" t="str">
        <f aca="false">IF(C2931="","",IFERROR(INDEX(LOTES!$D$5:$D$1004,MATCH(C2931,LOTES!$F$5:$F$1004,0)),"¿Lote?"))</f>
        <v/>
      </c>
      <c r="E2931" s="11" t="str">
        <f aca="false">IF(C2931="","",IFERROR(INDEX(LOTES!$C$5:$C$1004,MATCH(C2931,LOTES!$F$5:$F$1004,0)),""))</f>
        <v/>
      </c>
      <c r="F2931" s="24" t="str">
        <f aca="false">IF(C2931="","",IFERROR(INDEX(LOTES!$B$5:$B$1004,MATCH(C2931,LOTES!$F$5:$F$1004,0)),""))</f>
        <v/>
      </c>
      <c r="G2931" s="15" t="str">
        <f aca="false">IF(OR(B2931="",F2931=""),"",B2931-F2931)</f>
        <v/>
      </c>
      <c r="H2931" s="13"/>
      <c r="I2931" s="13"/>
      <c r="J2931" s="13"/>
      <c r="K2931" s="25"/>
      <c r="L2931" s="25"/>
      <c r="M2931" s="25"/>
      <c r="N2931" s="25"/>
      <c r="O2931" s="26"/>
      <c r="P2931" s="16" t="str">
        <f aca="false">IF(O2931="","",IFERROR(1/(1/(IF(K2931="",INDEX(CONFIG!$F$5:$F$14,MATCH(D2931,CONFIG!$D$5:$D$14,0)),K2931)*IF(M2931="",INDEX(CONFIG!$H$5:$H$14,MATCH(D2931,CONFIG!$D$5:$D$14,0)),M2931))),""))</f>
        <v/>
      </c>
      <c r="Q2931" s="16" t="str">
        <f aca="false">IF(OR(O2931="",P2931=""),"",O2931/P2931)</f>
        <v/>
      </c>
      <c r="R2931" s="16" t="str">
        <f aca="false">IF(Q2931="","",Q2931*0.0980665)</f>
        <v/>
      </c>
      <c r="S2931" s="16" t="str">
        <f aca="false">IF(Q2931="","",IFERROR(Q2931/(1/(1/INDEX(CONFIG!$I$5:$I$14,MATCH(D2931,CONFIG!$D$5:$D$14,0)))),""))</f>
        <v/>
      </c>
      <c r="T2931" s="13"/>
      <c r="U2931" s="13"/>
      <c r="V2931" s="13"/>
      <c r="W2931" s="13"/>
      <c r="X2931" s="22" t="str">
        <f aca="false">IF(Q2931="","",Q2931^2)</f>
        <v/>
      </c>
      <c r="Y2931" s="22" t="str">
        <f aca="false">IF(AND(C2931&lt;&gt;"",C2931=CERTIFICADO!$E$4,OR(CERTIFICADO!$E$5="",B2931=CERTIFICADO!$E$5)),MAX($Y$4:Y2930)+1,"")</f>
        <v/>
      </c>
    </row>
    <row r="2932" customFormat="false" ht="15" hidden="false" customHeight="false" outlineLevel="0" collapsed="false">
      <c r="A2932" s="11" t="str">
        <f aca="false">IF(C2932="","",ROW()-4)</f>
        <v/>
      </c>
      <c r="B2932" s="12"/>
      <c r="C2932" s="13"/>
      <c r="D2932" s="23" t="str">
        <f aca="false">IF(C2932="","",IFERROR(INDEX(LOTES!$D$5:$D$1004,MATCH(C2932,LOTES!$F$5:$F$1004,0)),"¿Lote?"))</f>
        <v/>
      </c>
      <c r="E2932" s="11" t="str">
        <f aca="false">IF(C2932="","",IFERROR(INDEX(LOTES!$C$5:$C$1004,MATCH(C2932,LOTES!$F$5:$F$1004,0)),""))</f>
        <v/>
      </c>
      <c r="F2932" s="24" t="str">
        <f aca="false">IF(C2932="","",IFERROR(INDEX(LOTES!$B$5:$B$1004,MATCH(C2932,LOTES!$F$5:$F$1004,0)),""))</f>
        <v/>
      </c>
      <c r="G2932" s="15" t="str">
        <f aca="false">IF(OR(B2932="",F2932=""),"",B2932-F2932)</f>
        <v/>
      </c>
      <c r="H2932" s="13"/>
      <c r="I2932" s="13"/>
      <c r="J2932" s="13"/>
      <c r="K2932" s="25"/>
      <c r="L2932" s="25"/>
      <c r="M2932" s="25"/>
      <c r="N2932" s="25"/>
      <c r="O2932" s="26"/>
      <c r="P2932" s="16" t="str">
        <f aca="false">IF(O2932="","",IFERROR(1/(1/(IF(K2932="",INDEX(CONFIG!$F$5:$F$14,MATCH(D2932,CONFIG!$D$5:$D$14,0)),K2932)*IF(M2932="",INDEX(CONFIG!$H$5:$H$14,MATCH(D2932,CONFIG!$D$5:$D$14,0)),M2932))),""))</f>
        <v/>
      </c>
      <c r="Q2932" s="16" t="str">
        <f aca="false">IF(OR(O2932="",P2932=""),"",O2932/P2932)</f>
        <v/>
      </c>
      <c r="R2932" s="16" t="str">
        <f aca="false">IF(Q2932="","",Q2932*0.0980665)</f>
        <v/>
      </c>
      <c r="S2932" s="16" t="str">
        <f aca="false">IF(Q2932="","",IFERROR(Q2932/(1/(1/INDEX(CONFIG!$I$5:$I$14,MATCH(D2932,CONFIG!$D$5:$D$14,0)))),""))</f>
        <v/>
      </c>
      <c r="T2932" s="13"/>
      <c r="U2932" s="13"/>
      <c r="V2932" s="13"/>
      <c r="W2932" s="13"/>
      <c r="X2932" s="22" t="str">
        <f aca="false">IF(Q2932="","",Q2932^2)</f>
        <v/>
      </c>
      <c r="Y2932" s="22" t="str">
        <f aca="false">IF(AND(C2932&lt;&gt;"",C2932=CERTIFICADO!$E$4,OR(CERTIFICADO!$E$5="",B2932=CERTIFICADO!$E$5)),MAX($Y$4:Y2931)+1,"")</f>
        <v/>
      </c>
    </row>
    <row r="2933" customFormat="false" ht="15" hidden="false" customHeight="false" outlineLevel="0" collapsed="false">
      <c r="A2933" s="11" t="str">
        <f aca="false">IF(C2933="","",ROW()-4)</f>
        <v/>
      </c>
      <c r="B2933" s="12"/>
      <c r="C2933" s="13"/>
      <c r="D2933" s="23" t="str">
        <f aca="false">IF(C2933="","",IFERROR(INDEX(LOTES!$D$5:$D$1004,MATCH(C2933,LOTES!$F$5:$F$1004,0)),"¿Lote?"))</f>
        <v/>
      </c>
      <c r="E2933" s="11" t="str">
        <f aca="false">IF(C2933="","",IFERROR(INDEX(LOTES!$C$5:$C$1004,MATCH(C2933,LOTES!$F$5:$F$1004,0)),""))</f>
        <v/>
      </c>
      <c r="F2933" s="24" t="str">
        <f aca="false">IF(C2933="","",IFERROR(INDEX(LOTES!$B$5:$B$1004,MATCH(C2933,LOTES!$F$5:$F$1004,0)),""))</f>
        <v/>
      </c>
      <c r="G2933" s="15" t="str">
        <f aca="false">IF(OR(B2933="",F2933=""),"",B2933-F2933)</f>
        <v/>
      </c>
      <c r="H2933" s="13"/>
      <c r="I2933" s="13"/>
      <c r="J2933" s="13"/>
      <c r="K2933" s="25"/>
      <c r="L2933" s="25"/>
      <c r="M2933" s="25"/>
      <c r="N2933" s="25"/>
      <c r="O2933" s="26"/>
      <c r="P2933" s="16" t="str">
        <f aca="false">IF(O2933="","",IFERROR(1/(1/(IF(K2933="",INDEX(CONFIG!$F$5:$F$14,MATCH(D2933,CONFIG!$D$5:$D$14,0)),K2933)*IF(M2933="",INDEX(CONFIG!$H$5:$H$14,MATCH(D2933,CONFIG!$D$5:$D$14,0)),M2933))),""))</f>
        <v/>
      </c>
      <c r="Q2933" s="16" t="str">
        <f aca="false">IF(OR(O2933="",P2933=""),"",O2933/P2933)</f>
        <v/>
      </c>
      <c r="R2933" s="16" t="str">
        <f aca="false">IF(Q2933="","",Q2933*0.0980665)</f>
        <v/>
      </c>
      <c r="S2933" s="16" t="str">
        <f aca="false">IF(Q2933="","",IFERROR(Q2933/(1/(1/INDEX(CONFIG!$I$5:$I$14,MATCH(D2933,CONFIG!$D$5:$D$14,0)))),""))</f>
        <v/>
      </c>
      <c r="T2933" s="13"/>
      <c r="U2933" s="13"/>
      <c r="V2933" s="13"/>
      <c r="W2933" s="13"/>
      <c r="X2933" s="22" t="str">
        <f aca="false">IF(Q2933="","",Q2933^2)</f>
        <v/>
      </c>
      <c r="Y2933" s="22" t="str">
        <f aca="false">IF(AND(C2933&lt;&gt;"",C2933=CERTIFICADO!$E$4,OR(CERTIFICADO!$E$5="",B2933=CERTIFICADO!$E$5)),MAX($Y$4:Y2932)+1,"")</f>
        <v/>
      </c>
    </row>
    <row r="2934" customFormat="false" ht="15" hidden="false" customHeight="false" outlineLevel="0" collapsed="false">
      <c r="A2934" s="11" t="str">
        <f aca="false">IF(C2934="","",ROW()-4)</f>
        <v/>
      </c>
      <c r="B2934" s="12"/>
      <c r="C2934" s="13"/>
      <c r="D2934" s="23" t="str">
        <f aca="false">IF(C2934="","",IFERROR(INDEX(LOTES!$D$5:$D$1004,MATCH(C2934,LOTES!$F$5:$F$1004,0)),"¿Lote?"))</f>
        <v/>
      </c>
      <c r="E2934" s="11" t="str">
        <f aca="false">IF(C2934="","",IFERROR(INDEX(LOTES!$C$5:$C$1004,MATCH(C2934,LOTES!$F$5:$F$1004,0)),""))</f>
        <v/>
      </c>
      <c r="F2934" s="24" t="str">
        <f aca="false">IF(C2934="","",IFERROR(INDEX(LOTES!$B$5:$B$1004,MATCH(C2934,LOTES!$F$5:$F$1004,0)),""))</f>
        <v/>
      </c>
      <c r="G2934" s="15" t="str">
        <f aca="false">IF(OR(B2934="",F2934=""),"",B2934-F2934)</f>
        <v/>
      </c>
      <c r="H2934" s="13"/>
      <c r="I2934" s="13"/>
      <c r="J2934" s="13"/>
      <c r="K2934" s="25"/>
      <c r="L2934" s="25"/>
      <c r="M2934" s="25"/>
      <c r="N2934" s="25"/>
      <c r="O2934" s="26"/>
      <c r="P2934" s="16" t="str">
        <f aca="false">IF(O2934="","",IFERROR(1/(1/(IF(K2934="",INDEX(CONFIG!$F$5:$F$14,MATCH(D2934,CONFIG!$D$5:$D$14,0)),K2934)*IF(M2934="",INDEX(CONFIG!$H$5:$H$14,MATCH(D2934,CONFIG!$D$5:$D$14,0)),M2934))),""))</f>
        <v/>
      </c>
      <c r="Q2934" s="16" t="str">
        <f aca="false">IF(OR(O2934="",P2934=""),"",O2934/P2934)</f>
        <v/>
      </c>
      <c r="R2934" s="16" t="str">
        <f aca="false">IF(Q2934="","",Q2934*0.0980665)</f>
        <v/>
      </c>
      <c r="S2934" s="16" t="str">
        <f aca="false">IF(Q2934="","",IFERROR(Q2934/(1/(1/INDEX(CONFIG!$I$5:$I$14,MATCH(D2934,CONFIG!$D$5:$D$14,0)))),""))</f>
        <v/>
      </c>
      <c r="T2934" s="13"/>
      <c r="U2934" s="13"/>
      <c r="V2934" s="13"/>
      <c r="W2934" s="13"/>
      <c r="X2934" s="22" t="str">
        <f aca="false">IF(Q2934="","",Q2934^2)</f>
        <v/>
      </c>
      <c r="Y2934" s="22" t="str">
        <f aca="false">IF(AND(C2934&lt;&gt;"",C2934=CERTIFICADO!$E$4,OR(CERTIFICADO!$E$5="",B2934=CERTIFICADO!$E$5)),MAX($Y$4:Y2933)+1,"")</f>
        <v/>
      </c>
    </row>
    <row r="2935" customFormat="false" ht="15" hidden="false" customHeight="false" outlineLevel="0" collapsed="false">
      <c r="A2935" s="11" t="str">
        <f aca="false">IF(C2935="","",ROW()-4)</f>
        <v/>
      </c>
      <c r="B2935" s="12"/>
      <c r="C2935" s="13"/>
      <c r="D2935" s="23" t="str">
        <f aca="false">IF(C2935="","",IFERROR(INDEX(LOTES!$D$5:$D$1004,MATCH(C2935,LOTES!$F$5:$F$1004,0)),"¿Lote?"))</f>
        <v/>
      </c>
      <c r="E2935" s="11" t="str">
        <f aca="false">IF(C2935="","",IFERROR(INDEX(LOTES!$C$5:$C$1004,MATCH(C2935,LOTES!$F$5:$F$1004,0)),""))</f>
        <v/>
      </c>
      <c r="F2935" s="24" t="str">
        <f aca="false">IF(C2935="","",IFERROR(INDEX(LOTES!$B$5:$B$1004,MATCH(C2935,LOTES!$F$5:$F$1004,0)),""))</f>
        <v/>
      </c>
      <c r="G2935" s="15" t="str">
        <f aca="false">IF(OR(B2935="",F2935=""),"",B2935-F2935)</f>
        <v/>
      </c>
      <c r="H2935" s="13"/>
      <c r="I2935" s="13"/>
      <c r="J2935" s="13"/>
      <c r="K2935" s="25"/>
      <c r="L2935" s="25"/>
      <c r="M2935" s="25"/>
      <c r="N2935" s="25"/>
      <c r="O2935" s="26"/>
      <c r="P2935" s="16" t="str">
        <f aca="false">IF(O2935="","",IFERROR(1/(1/(IF(K2935="",INDEX(CONFIG!$F$5:$F$14,MATCH(D2935,CONFIG!$D$5:$D$14,0)),K2935)*IF(M2935="",INDEX(CONFIG!$H$5:$H$14,MATCH(D2935,CONFIG!$D$5:$D$14,0)),M2935))),""))</f>
        <v/>
      </c>
      <c r="Q2935" s="16" t="str">
        <f aca="false">IF(OR(O2935="",P2935=""),"",O2935/P2935)</f>
        <v/>
      </c>
      <c r="R2935" s="16" t="str">
        <f aca="false">IF(Q2935="","",Q2935*0.0980665)</f>
        <v/>
      </c>
      <c r="S2935" s="16" t="str">
        <f aca="false">IF(Q2935="","",IFERROR(Q2935/(1/(1/INDEX(CONFIG!$I$5:$I$14,MATCH(D2935,CONFIG!$D$5:$D$14,0)))),""))</f>
        <v/>
      </c>
      <c r="T2935" s="13"/>
      <c r="U2935" s="13"/>
      <c r="V2935" s="13"/>
      <c r="W2935" s="13"/>
      <c r="X2935" s="22" t="str">
        <f aca="false">IF(Q2935="","",Q2935^2)</f>
        <v/>
      </c>
      <c r="Y2935" s="22" t="str">
        <f aca="false">IF(AND(C2935&lt;&gt;"",C2935=CERTIFICADO!$E$4,OR(CERTIFICADO!$E$5="",B2935=CERTIFICADO!$E$5)),MAX($Y$4:Y2934)+1,"")</f>
        <v/>
      </c>
    </row>
    <row r="2936" customFormat="false" ht="15" hidden="false" customHeight="false" outlineLevel="0" collapsed="false">
      <c r="A2936" s="11" t="str">
        <f aca="false">IF(C2936="","",ROW()-4)</f>
        <v/>
      </c>
      <c r="B2936" s="12"/>
      <c r="C2936" s="13"/>
      <c r="D2936" s="23" t="str">
        <f aca="false">IF(C2936="","",IFERROR(INDEX(LOTES!$D$5:$D$1004,MATCH(C2936,LOTES!$F$5:$F$1004,0)),"¿Lote?"))</f>
        <v/>
      </c>
      <c r="E2936" s="11" t="str">
        <f aca="false">IF(C2936="","",IFERROR(INDEX(LOTES!$C$5:$C$1004,MATCH(C2936,LOTES!$F$5:$F$1004,0)),""))</f>
        <v/>
      </c>
      <c r="F2936" s="24" t="str">
        <f aca="false">IF(C2936="","",IFERROR(INDEX(LOTES!$B$5:$B$1004,MATCH(C2936,LOTES!$F$5:$F$1004,0)),""))</f>
        <v/>
      </c>
      <c r="G2936" s="15" t="str">
        <f aca="false">IF(OR(B2936="",F2936=""),"",B2936-F2936)</f>
        <v/>
      </c>
      <c r="H2936" s="13"/>
      <c r="I2936" s="13"/>
      <c r="J2936" s="13"/>
      <c r="K2936" s="25"/>
      <c r="L2936" s="25"/>
      <c r="M2936" s="25"/>
      <c r="N2936" s="25"/>
      <c r="O2936" s="26"/>
      <c r="P2936" s="16" t="str">
        <f aca="false">IF(O2936="","",IFERROR(1/(1/(IF(K2936="",INDEX(CONFIG!$F$5:$F$14,MATCH(D2936,CONFIG!$D$5:$D$14,0)),K2936)*IF(M2936="",INDEX(CONFIG!$H$5:$H$14,MATCH(D2936,CONFIG!$D$5:$D$14,0)),M2936))),""))</f>
        <v/>
      </c>
      <c r="Q2936" s="16" t="str">
        <f aca="false">IF(OR(O2936="",P2936=""),"",O2936/P2936)</f>
        <v/>
      </c>
      <c r="R2936" s="16" t="str">
        <f aca="false">IF(Q2936="","",Q2936*0.0980665)</f>
        <v/>
      </c>
      <c r="S2936" s="16" t="str">
        <f aca="false">IF(Q2936="","",IFERROR(Q2936/(1/(1/INDEX(CONFIG!$I$5:$I$14,MATCH(D2936,CONFIG!$D$5:$D$14,0)))),""))</f>
        <v/>
      </c>
      <c r="T2936" s="13"/>
      <c r="U2936" s="13"/>
      <c r="V2936" s="13"/>
      <c r="W2936" s="13"/>
      <c r="X2936" s="22" t="str">
        <f aca="false">IF(Q2936="","",Q2936^2)</f>
        <v/>
      </c>
      <c r="Y2936" s="22" t="str">
        <f aca="false">IF(AND(C2936&lt;&gt;"",C2936=CERTIFICADO!$E$4,OR(CERTIFICADO!$E$5="",B2936=CERTIFICADO!$E$5)),MAX($Y$4:Y2935)+1,"")</f>
        <v/>
      </c>
    </row>
    <row r="2937" customFormat="false" ht="15" hidden="false" customHeight="false" outlineLevel="0" collapsed="false">
      <c r="A2937" s="11" t="str">
        <f aca="false">IF(C2937="","",ROW()-4)</f>
        <v/>
      </c>
      <c r="B2937" s="12"/>
      <c r="C2937" s="13"/>
      <c r="D2937" s="23" t="str">
        <f aca="false">IF(C2937="","",IFERROR(INDEX(LOTES!$D$5:$D$1004,MATCH(C2937,LOTES!$F$5:$F$1004,0)),"¿Lote?"))</f>
        <v/>
      </c>
      <c r="E2937" s="11" t="str">
        <f aca="false">IF(C2937="","",IFERROR(INDEX(LOTES!$C$5:$C$1004,MATCH(C2937,LOTES!$F$5:$F$1004,0)),""))</f>
        <v/>
      </c>
      <c r="F2937" s="24" t="str">
        <f aca="false">IF(C2937="","",IFERROR(INDEX(LOTES!$B$5:$B$1004,MATCH(C2937,LOTES!$F$5:$F$1004,0)),""))</f>
        <v/>
      </c>
      <c r="G2937" s="15" t="str">
        <f aca="false">IF(OR(B2937="",F2937=""),"",B2937-F2937)</f>
        <v/>
      </c>
      <c r="H2937" s="13"/>
      <c r="I2937" s="13"/>
      <c r="J2937" s="13"/>
      <c r="K2937" s="25"/>
      <c r="L2937" s="25"/>
      <c r="M2937" s="25"/>
      <c r="N2937" s="25"/>
      <c r="O2937" s="26"/>
      <c r="P2937" s="16" t="str">
        <f aca="false">IF(O2937="","",IFERROR(1/(1/(IF(K2937="",INDEX(CONFIG!$F$5:$F$14,MATCH(D2937,CONFIG!$D$5:$D$14,0)),K2937)*IF(M2937="",INDEX(CONFIG!$H$5:$H$14,MATCH(D2937,CONFIG!$D$5:$D$14,0)),M2937))),""))</f>
        <v/>
      </c>
      <c r="Q2937" s="16" t="str">
        <f aca="false">IF(OR(O2937="",P2937=""),"",O2937/P2937)</f>
        <v/>
      </c>
      <c r="R2937" s="16" t="str">
        <f aca="false">IF(Q2937="","",Q2937*0.0980665)</f>
        <v/>
      </c>
      <c r="S2937" s="16" t="str">
        <f aca="false">IF(Q2937="","",IFERROR(Q2937/(1/(1/INDEX(CONFIG!$I$5:$I$14,MATCH(D2937,CONFIG!$D$5:$D$14,0)))),""))</f>
        <v/>
      </c>
      <c r="T2937" s="13"/>
      <c r="U2937" s="13"/>
      <c r="V2937" s="13"/>
      <c r="W2937" s="13"/>
      <c r="X2937" s="22" t="str">
        <f aca="false">IF(Q2937="","",Q2937^2)</f>
        <v/>
      </c>
      <c r="Y2937" s="22" t="str">
        <f aca="false">IF(AND(C2937&lt;&gt;"",C2937=CERTIFICADO!$E$4,OR(CERTIFICADO!$E$5="",B2937=CERTIFICADO!$E$5)),MAX($Y$4:Y2936)+1,"")</f>
        <v/>
      </c>
    </row>
    <row r="2938" customFormat="false" ht="15" hidden="false" customHeight="false" outlineLevel="0" collapsed="false">
      <c r="A2938" s="11" t="str">
        <f aca="false">IF(C2938="","",ROW()-4)</f>
        <v/>
      </c>
      <c r="B2938" s="12"/>
      <c r="C2938" s="13"/>
      <c r="D2938" s="23" t="str">
        <f aca="false">IF(C2938="","",IFERROR(INDEX(LOTES!$D$5:$D$1004,MATCH(C2938,LOTES!$F$5:$F$1004,0)),"¿Lote?"))</f>
        <v/>
      </c>
      <c r="E2938" s="11" t="str">
        <f aca="false">IF(C2938="","",IFERROR(INDEX(LOTES!$C$5:$C$1004,MATCH(C2938,LOTES!$F$5:$F$1004,0)),""))</f>
        <v/>
      </c>
      <c r="F2938" s="24" t="str">
        <f aca="false">IF(C2938="","",IFERROR(INDEX(LOTES!$B$5:$B$1004,MATCH(C2938,LOTES!$F$5:$F$1004,0)),""))</f>
        <v/>
      </c>
      <c r="G2938" s="15" t="str">
        <f aca="false">IF(OR(B2938="",F2938=""),"",B2938-F2938)</f>
        <v/>
      </c>
      <c r="H2938" s="13"/>
      <c r="I2938" s="13"/>
      <c r="J2938" s="13"/>
      <c r="K2938" s="25"/>
      <c r="L2938" s="25"/>
      <c r="M2938" s="25"/>
      <c r="N2938" s="25"/>
      <c r="O2938" s="26"/>
      <c r="P2938" s="16" t="str">
        <f aca="false">IF(O2938="","",IFERROR(1/(1/(IF(K2938="",INDEX(CONFIG!$F$5:$F$14,MATCH(D2938,CONFIG!$D$5:$D$14,0)),K2938)*IF(M2938="",INDEX(CONFIG!$H$5:$H$14,MATCH(D2938,CONFIG!$D$5:$D$14,0)),M2938))),""))</f>
        <v/>
      </c>
      <c r="Q2938" s="16" t="str">
        <f aca="false">IF(OR(O2938="",P2938=""),"",O2938/P2938)</f>
        <v/>
      </c>
      <c r="R2938" s="16" t="str">
        <f aca="false">IF(Q2938="","",Q2938*0.0980665)</f>
        <v/>
      </c>
      <c r="S2938" s="16" t="str">
        <f aca="false">IF(Q2938="","",IFERROR(Q2938/(1/(1/INDEX(CONFIG!$I$5:$I$14,MATCH(D2938,CONFIG!$D$5:$D$14,0)))),""))</f>
        <v/>
      </c>
      <c r="T2938" s="13"/>
      <c r="U2938" s="13"/>
      <c r="V2938" s="13"/>
      <c r="W2938" s="13"/>
      <c r="X2938" s="22" t="str">
        <f aca="false">IF(Q2938="","",Q2938^2)</f>
        <v/>
      </c>
      <c r="Y2938" s="22" t="str">
        <f aca="false">IF(AND(C2938&lt;&gt;"",C2938=CERTIFICADO!$E$4,OR(CERTIFICADO!$E$5="",B2938=CERTIFICADO!$E$5)),MAX($Y$4:Y2937)+1,"")</f>
        <v/>
      </c>
    </row>
    <row r="2939" customFormat="false" ht="15" hidden="false" customHeight="false" outlineLevel="0" collapsed="false">
      <c r="A2939" s="11" t="str">
        <f aca="false">IF(C2939="","",ROW()-4)</f>
        <v/>
      </c>
      <c r="B2939" s="12"/>
      <c r="C2939" s="13"/>
      <c r="D2939" s="23" t="str">
        <f aca="false">IF(C2939="","",IFERROR(INDEX(LOTES!$D$5:$D$1004,MATCH(C2939,LOTES!$F$5:$F$1004,0)),"¿Lote?"))</f>
        <v/>
      </c>
      <c r="E2939" s="11" t="str">
        <f aca="false">IF(C2939="","",IFERROR(INDEX(LOTES!$C$5:$C$1004,MATCH(C2939,LOTES!$F$5:$F$1004,0)),""))</f>
        <v/>
      </c>
      <c r="F2939" s="24" t="str">
        <f aca="false">IF(C2939="","",IFERROR(INDEX(LOTES!$B$5:$B$1004,MATCH(C2939,LOTES!$F$5:$F$1004,0)),""))</f>
        <v/>
      </c>
      <c r="G2939" s="15" t="str">
        <f aca="false">IF(OR(B2939="",F2939=""),"",B2939-F2939)</f>
        <v/>
      </c>
      <c r="H2939" s="13"/>
      <c r="I2939" s="13"/>
      <c r="J2939" s="13"/>
      <c r="K2939" s="25"/>
      <c r="L2939" s="25"/>
      <c r="M2939" s="25"/>
      <c r="N2939" s="25"/>
      <c r="O2939" s="26"/>
      <c r="P2939" s="16" t="str">
        <f aca="false">IF(O2939="","",IFERROR(1/(1/(IF(K2939="",INDEX(CONFIG!$F$5:$F$14,MATCH(D2939,CONFIG!$D$5:$D$14,0)),K2939)*IF(M2939="",INDEX(CONFIG!$H$5:$H$14,MATCH(D2939,CONFIG!$D$5:$D$14,0)),M2939))),""))</f>
        <v/>
      </c>
      <c r="Q2939" s="16" t="str">
        <f aca="false">IF(OR(O2939="",P2939=""),"",O2939/P2939)</f>
        <v/>
      </c>
      <c r="R2939" s="16" t="str">
        <f aca="false">IF(Q2939="","",Q2939*0.0980665)</f>
        <v/>
      </c>
      <c r="S2939" s="16" t="str">
        <f aca="false">IF(Q2939="","",IFERROR(Q2939/(1/(1/INDEX(CONFIG!$I$5:$I$14,MATCH(D2939,CONFIG!$D$5:$D$14,0)))),""))</f>
        <v/>
      </c>
      <c r="T2939" s="13"/>
      <c r="U2939" s="13"/>
      <c r="V2939" s="13"/>
      <c r="W2939" s="13"/>
      <c r="X2939" s="22" t="str">
        <f aca="false">IF(Q2939="","",Q2939^2)</f>
        <v/>
      </c>
      <c r="Y2939" s="22" t="str">
        <f aca="false">IF(AND(C2939&lt;&gt;"",C2939=CERTIFICADO!$E$4,OR(CERTIFICADO!$E$5="",B2939=CERTIFICADO!$E$5)),MAX($Y$4:Y2938)+1,"")</f>
        <v/>
      </c>
    </row>
    <row r="2940" customFormat="false" ht="15" hidden="false" customHeight="false" outlineLevel="0" collapsed="false">
      <c r="A2940" s="11" t="str">
        <f aca="false">IF(C2940="","",ROW()-4)</f>
        <v/>
      </c>
      <c r="B2940" s="12"/>
      <c r="C2940" s="13"/>
      <c r="D2940" s="23" t="str">
        <f aca="false">IF(C2940="","",IFERROR(INDEX(LOTES!$D$5:$D$1004,MATCH(C2940,LOTES!$F$5:$F$1004,0)),"¿Lote?"))</f>
        <v/>
      </c>
      <c r="E2940" s="11" t="str">
        <f aca="false">IF(C2940="","",IFERROR(INDEX(LOTES!$C$5:$C$1004,MATCH(C2940,LOTES!$F$5:$F$1004,0)),""))</f>
        <v/>
      </c>
      <c r="F2940" s="24" t="str">
        <f aca="false">IF(C2940="","",IFERROR(INDEX(LOTES!$B$5:$B$1004,MATCH(C2940,LOTES!$F$5:$F$1004,0)),""))</f>
        <v/>
      </c>
      <c r="G2940" s="15" t="str">
        <f aca="false">IF(OR(B2940="",F2940=""),"",B2940-F2940)</f>
        <v/>
      </c>
      <c r="H2940" s="13"/>
      <c r="I2940" s="13"/>
      <c r="J2940" s="13"/>
      <c r="K2940" s="25"/>
      <c r="L2940" s="25"/>
      <c r="M2940" s="25"/>
      <c r="N2940" s="25"/>
      <c r="O2940" s="26"/>
      <c r="P2940" s="16" t="str">
        <f aca="false">IF(O2940="","",IFERROR(1/(1/(IF(K2940="",INDEX(CONFIG!$F$5:$F$14,MATCH(D2940,CONFIG!$D$5:$D$14,0)),K2940)*IF(M2940="",INDEX(CONFIG!$H$5:$H$14,MATCH(D2940,CONFIG!$D$5:$D$14,0)),M2940))),""))</f>
        <v/>
      </c>
      <c r="Q2940" s="16" t="str">
        <f aca="false">IF(OR(O2940="",P2940=""),"",O2940/P2940)</f>
        <v/>
      </c>
      <c r="R2940" s="16" t="str">
        <f aca="false">IF(Q2940="","",Q2940*0.0980665)</f>
        <v/>
      </c>
      <c r="S2940" s="16" t="str">
        <f aca="false">IF(Q2940="","",IFERROR(Q2940/(1/(1/INDEX(CONFIG!$I$5:$I$14,MATCH(D2940,CONFIG!$D$5:$D$14,0)))),""))</f>
        <v/>
      </c>
      <c r="T2940" s="13"/>
      <c r="U2940" s="13"/>
      <c r="V2940" s="13"/>
      <c r="W2940" s="13"/>
      <c r="X2940" s="22" t="str">
        <f aca="false">IF(Q2940="","",Q2940^2)</f>
        <v/>
      </c>
      <c r="Y2940" s="22" t="str">
        <f aca="false">IF(AND(C2940&lt;&gt;"",C2940=CERTIFICADO!$E$4,OR(CERTIFICADO!$E$5="",B2940=CERTIFICADO!$E$5)),MAX($Y$4:Y2939)+1,"")</f>
        <v/>
      </c>
    </row>
    <row r="2941" customFormat="false" ht="15" hidden="false" customHeight="false" outlineLevel="0" collapsed="false">
      <c r="A2941" s="11" t="str">
        <f aca="false">IF(C2941="","",ROW()-4)</f>
        <v/>
      </c>
      <c r="B2941" s="12"/>
      <c r="C2941" s="13"/>
      <c r="D2941" s="23" t="str">
        <f aca="false">IF(C2941="","",IFERROR(INDEX(LOTES!$D$5:$D$1004,MATCH(C2941,LOTES!$F$5:$F$1004,0)),"¿Lote?"))</f>
        <v/>
      </c>
      <c r="E2941" s="11" t="str">
        <f aca="false">IF(C2941="","",IFERROR(INDEX(LOTES!$C$5:$C$1004,MATCH(C2941,LOTES!$F$5:$F$1004,0)),""))</f>
        <v/>
      </c>
      <c r="F2941" s="24" t="str">
        <f aca="false">IF(C2941="","",IFERROR(INDEX(LOTES!$B$5:$B$1004,MATCH(C2941,LOTES!$F$5:$F$1004,0)),""))</f>
        <v/>
      </c>
      <c r="G2941" s="15" t="str">
        <f aca="false">IF(OR(B2941="",F2941=""),"",B2941-F2941)</f>
        <v/>
      </c>
      <c r="H2941" s="13"/>
      <c r="I2941" s="13"/>
      <c r="J2941" s="13"/>
      <c r="K2941" s="25"/>
      <c r="L2941" s="25"/>
      <c r="M2941" s="25"/>
      <c r="N2941" s="25"/>
      <c r="O2941" s="26"/>
      <c r="P2941" s="16" t="str">
        <f aca="false">IF(O2941="","",IFERROR(1/(1/(IF(K2941="",INDEX(CONFIG!$F$5:$F$14,MATCH(D2941,CONFIG!$D$5:$D$14,0)),K2941)*IF(M2941="",INDEX(CONFIG!$H$5:$H$14,MATCH(D2941,CONFIG!$D$5:$D$14,0)),M2941))),""))</f>
        <v/>
      </c>
      <c r="Q2941" s="16" t="str">
        <f aca="false">IF(OR(O2941="",P2941=""),"",O2941/P2941)</f>
        <v/>
      </c>
      <c r="R2941" s="16" t="str">
        <f aca="false">IF(Q2941="","",Q2941*0.0980665)</f>
        <v/>
      </c>
      <c r="S2941" s="16" t="str">
        <f aca="false">IF(Q2941="","",IFERROR(Q2941/(1/(1/INDEX(CONFIG!$I$5:$I$14,MATCH(D2941,CONFIG!$D$5:$D$14,0)))),""))</f>
        <v/>
      </c>
      <c r="T2941" s="13"/>
      <c r="U2941" s="13"/>
      <c r="V2941" s="13"/>
      <c r="W2941" s="13"/>
      <c r="X2941" s="22" t="str">
        <f aca="false">IF(Q2941="","",Q2941^2)</f>
        <v/>
      </c>
      <c r="Y2941" s="22" t="str">
        <f aca="false">IF(AND(C2941&lt;&gt;"",C2941=CERTIFICADO!$E$4,OR(CERTIFICADO!$E$5="",B2941=CERTIFICADO!$E$5)),MAX($Y$4:Y2940)+1,"")</f>
        <v/>
      </c>
    </row>
    <row r="2942" customFormat="false" ht="15" hidden="false" customHeight="false" outlineLevel="0" collapsed="false">
      <c r="A2942" s="11" t="str">
        <f aca="false">IF(C2942="","",ROW()-4)</f>
        <v/>
      </c>
      <c r="B2942" s="12"/>
      <c r="C2942" s="13"/>
      <c r="D2942" s="23" t="str">
        <f aca="false">IF(C2942="","",IFERROR(INDEX(LOTES!$D$5:$D$1004,MATCH(C2942,LOTES!$F$5:$F$1004,0)),"¿Lote?"))</f>
        <v/>
      </c>
      <c r="E2942" s="11" t="str">
        <f aca="false">IF(C2942="","",IFERROR(INDEX(LOTES!$C$5:$C$1004,MATCH(C2942,LOTES!$F$5:$F$1004,0)),""))</f>
        <v/>
      </c>
      <c r="F2942" s="24" t="str">
        <f aca="false">IF(C2942="","",IFERROR(INDEX(LOTES!$B$5:$B$1004,MATCH(C2942,LOTES!$F$5:$F$1004,0)),""))</f>
        <v/>
      </c>
      <c r="G2942" s="15" t="str">
        <f aca="false">IF(OR(B2942="",F2942=""),"",B2942-F2942)</f>
        <v/>
      </c>
      <c r="H2942" s="13"/>
      <c r="I2942" s="13"/>
      <c r="J2942" s="13"/>
      <c r="K2942" s="25"/>
      <c r="L2942" s="25"/>
      <c r="M2942" s="25"/>
      <c r="N2942" s="25"/>
      <c r="O2942" s="26"/>
      <c r="P2942" s="16" t="str">
        <f aca="false">IF(O2942="","",IFERROR(1/(1/(IF(K2942="",INDEX(CONFIG!$F$5:$F$14,MATCH(D2942,CONFIG!$D$5:$D$14,0)),K2942)*IF(M2942="",INDEX(CONFIG!$H$5:$H$14,MATCH(D2942,CONFIG!$D$5:$D$14,0)),M2942))),""))</f>
        <v/>
      </c>
      <c r="Q2942" s="16" t="str">
        <f aca="false">IF(OR(O2942="",P2942=""),"",O2942/P2942)</f>
        <v/>
      </c>
      <c r="R2942" s="16" t="str">
        <f aca="false">IF(Q2942="","",Q2942*0.0980665)</f>
        <v/>
      </c>
      <c r="S2942" s="16" t="str">
        <f aca="false">IF(Q2942="","",IFERROR(Q2942/(1/(1/INDEX(CONFIG!$I$5:$I$14,MATCH(D2942,CONFIG!$D$5:$D$14,0)))),""))</f>
        <v/>
      </c>
      <c r="T2942" s="13"/>
      <c r="U2942" s="13"/>
      <c r="V2942" s="13"/>
      <c r="W2942" s="13"/>
      <c r="X2942" s="22" t="str">
        <f aca="false">IF(Q2942="","",Q2942^2)</f>
        <v/>
      </c>
      <c r="Y2942" s="22" t="str">
        <f aca="false">IF(AND(C2942&lt;&gt;"",C2942=CERTIFICADO!$E$4,OR(CERTIFICADO!$E$5="",B2942=CERTIFICADO!$E$5)),MAX($Y$4:Y2941)+1,"")</f>
        <v/>
      </c>
    </row>
    <row r="2943" customFormat="false" ht="15" hidden="false" customHeight="false" outlineLevel="0" collapsed="false">
      <c r="A2943" s="11" t="str">
        <f aca="false">IF(C2943="","",ROW()-4)</f>
        <v/>
      </c>
      <c r="B2943" s="12"/>
      <c r="C2943" s="13"/>
      <c r="D2943" s="23" t="str">
        <f aca="false">IF(C2943="","",IFERROR(INDEX(LOTES!$D$5:$D$1004,MATCH(C2943,LOTES!$F$5:$F$1004,0)),"¿Lote?"))</f>
        <v/>
      </c>
      <c r="E2943" s="11" t="str">
        <f aca="false">IF(C2943="","",IFERROR(INDEX(LOTES!$C$5:$C$1004,MATCH(C2943,LOTES!$F$5:$F$1004,0)),""))</f>
        <v/>
      </c>
      <c r="F2943" s="24" t="str">
        <f aca="false">IF(C2943="","",IFERROR(INDEX(LOTES!$B$5:$B$1004,MATCH(C2943,LOTES!$F$5:$F$1004,0)),""))</f>
        <v/>
      </c>
      <c r="G2943" s="15" t="str">
        <f aca="false">IF(OR(B2943="",F2943=""),"",B2943-F2943)</f>
        <v/>
      </c>
      <c r="H2943" s="13"/>
      <c r="I2943" s="13"/>
      <c r="J2943" s="13"/>
      <c r="K2943" s="25"/>
      <c r="L2943" s="25"/>
      <c r="M2943" s="25"/>
      <c r="N2943" s="25"/>
      <c r="O2943" s="26"/>
      <c r="P2943" s="16" t="str">
        <f aca="false">IF(O2943="","",IFERROR(1/(1/(IF(K2943="",INDEX(CONFIG!$F$5:$F$14,MATCH(D2943,CONFIG!$D$5:$D$14,0)),K2943)*IF(M2943="",INDEX(CONFIG!$H$5:$H$14,MATCH(D2943,CONFIG!$D$5:$D$14,0)),M2943))),""))</f>
        <v/>
      </c>
      <c r="Q2943" s="16" t="str">
        <f aca="false">IF(OR(O2943="",P2943=""),"",O2943/P2943)</f>
        <v/>
      </c>
      <c r="R2943" s="16" t="str">
        <f aca="false">IF(Q2943="","",Q2943*0.0980665)</f>
        <v/>
      </c>
      <c r="S2943" s="16" t="str">
        <f aca="false">IF(Q2943="","",IFERROR(Q2943/(1/(1/INDEX(CONFIG!$I$5:$I$14,MATCH(D2943,CONFIG!$D$5:$D$14,0)))),""))</f>
        <v/>
      </c>
      <c r="T2943" s="13"/>
      <c r="U2943" s="13"/>
      <c r="V2943" s="13"/>
      <c r="W2943" s="13"/>
      <c r="X2943" s="22" t="str">
        <f aca="false">IF(Q2943="","",Q2943^2)</f>
        <v/>
      </c>
      <c r="Y2943" s="22" t="str">
        <f aca="false">IF(AND(C2943&lt;&gt;"",C2943=CERTIFICADO!$E$4,OR(CERTIFICADO!$E$5="",B2943=CERTIFICADO!$E$5)),MAX($Y$4:Y2942)+1,"")</f>
        <v/>
      </c>
    </row>
    <row r="2944" customFormat="false" ht="15" hidden="false" customHeight="false" outlineLevel="0" collapsed="false">
      <c r="A2944" s="11" t="str">
        <f aca="false">IF(C2944="","",ROW()-4)</f>
        <v/>
      </c>
      <c r="B2944" s="12"/>
      <c r="C2944" s="13"/>
      <c r="D2944" s="23" t="str">
        <f aca="false">IF(C2944="","",IFERROR(INDEX(LOTES!$D$5:$D$1004,MATCH(C2944,LOTES!$F$5:$F$1004,0)),"¿Lote?"))</f>
        <v/>
      </c>
      <c r="E2944" s="11" t="str">
        <f aca="false">IF(C2944="","",IFERROR(INDEX(LOTES!$C$5:$C$1004,MATCH(C2944,LOTES!$F$5:$F$1004,0)),""))</f>
        <v/>
      </c>
      <c r="F2944" s="24" t="str">
        <f aca="false">IF(C2944="","",IFERROR(INDEX(LOTES!$B$5:$B$1004,MATCH(C2944,LOTES!$F$5:$F$1004,0)),""))</f>
        <v/>
      </c>
      <c r="G2944" s="15" t="str">
        <f aca="false">IF(OR(B2944="",F2944=""),"",B2944-F2944)</f>
        <v/>
      </c>
      <c r="H2944" s="13"/>
      <c r="I2944" s="13"/>
      <c r="J2944" s="13"/>
      <c r="K2944" s="25"/>
      <c r="L2944" s="25"/>
      <c r="M2944" s="25"/>
      <c r="N2944" s="25"/>
      <c r="O2944" s="26"/>
      <c r="P2944" s="16" t="str">
        <f aca="false">IF(O2944="","",IFERROR(1/(1/(IF(K2944="",INDEX(CONFIG!$F$5:$F$14,MATCH(D2944,CONFIG!$D$5:$D$14,0)),K2944)*IF(M2944="",INDEX(CONFIG!$H$5:$H$14,MATCH(D2944,CONFIG!$D$5:$D$14,0)),M2944))),""))</f>
        <v/>
      </c>
      <c r="Q2944" s="16" t="str">
        <f aca="false">IF(OR(O2944="",P2944=""),"",O2944/P2944)</f>
        <v/>
      </c>
      <c r="R2944" s="16" t="str">
        <f aca="false">IF(Q2944="","",Q2944*0.0980665)</f>
        <v/>
      </c>
      <c r="S2944" s="16" t="str">
        <f aca="false">IF(Q2944="","",IFERROR(Q2944/(1/(1/INDEX(CONFIG!$I$5:$I$14,MATCH(D2944,CONFIG!$D$5:$D$14,0)))),""))</f>
        <v/>
      </c>
      <c r="T2944" s="13"/>
      <c r="U2944" s="13"/>
      <c r="V2944" s="13"/>
      <c r="W2944" s="13"/>
      <c r="X2944" s="22" t="str">
        <f aca="false">IF(Q2944="","",Q2944^2)</f>
        <v/>
      </c>
      <c r="Y2944" s="22" t="str">
        <f aca="false">IF(AND(C2944&lt;&gt;"",C2944=CERTIFICADO!$E$4,OR(CERTIFICADO!$E$5="",B2944=CERTIFICADO!$E$5)),MAX($Y$4:Y2943)+1,"")</f>
        <v/>
      </c>
    </row>
    <row r="2945" customFormat="false" ht="15" hidden="false" customHeight="false" outlineLevel="0" collapsed="false">
      <c r="A2945" s="11" t="str">
        <f aca="false">IF(C2945="","",ROW()-4)</f>
        <v/>
      </c>
      <c r="B2945" s="12"/>
      <c r="C2945" s="13"/>
      <c r="D2945" s="23" t="str">
        <f aca="false">IF(C2945="","",IFERROR(INDEX(LOTES!$D$5:$D$1004,MATCH(C2945,LOTES!$F$5:$F$1004,0)),"¿Lote?"))</f>
        <v/>
      </c>
      <c r="E2945" s="11" t="str">
        <f aca="false">IF(C2945="","",IFERROR(INDEX(LOTES!$C$5:$C$1004,MATCH(C2945,LOTES!$F$5:$F$1004,0)),""))</f>
        <v/>
      </c>
      <c r="F2945" s="24" t="str">
        <f aca="false">IF(C2945="","",IFERROR(INDEX(LOTES!$B$5:$B$1004,MATCH(C2945,LOTES!$F$5:$F$1004,0)),""))</f>
        <v/>
      </c>
      <c r="G2945" s="15" t="str">
        <f aca="false">IF(OR(B2945="",F2945=""),"",B2945-F2945)</f>
        <v/>
      </c>
      <c r="H2945" s="13"/>
      <c r="I2945" s="13"/>
      <c r="J2945" s="13"/>
      <c r="K2945" s="25"/>
      <c r="L2945" s="25"/>
      <c r="M2945" s="25"/>
      <c r="N2945" s="25"/>
      <c r="O2945" s="26"/>
      <c r="P2945" s="16" t="str">
        <f aca="false">IF(O2945="","",IFERROR(1/(1/(IF(K2945="",INDEX(CONFIG!$F$5:$F$14,MATCH(D2945,CONFIG!$D$5:$D$14,0)),K2945)*IF(M2945="",INDEX(CONFIG!$H$5:$H$14,MATCH(D2945,CONFIG!$D$5:$D$14,0)),M2945))),""))</f>
        <v/>
      </c>
      <c r="Q2945" s="16" t="str">
        <f aca="false">IF(OR(O2945="",P2945=""),"",O2945/P2945)</f>
        <v/>
      </c>
      <c r="R2945" s="16" t="str">
        <f aca="false">IF(Q2945="","",Q2945*0.0980665)</f>
        <v/>
      </c>
      <c r="S2945" s="16" t="str">
        <f aca="false">IF(Q2945="","",IFERROR(Q2945/(1/(1/INDEX(CONFIG!$I$5:$I$14,MATCH(D2945,CONFIG!$D$5:$D$14,0)))),""))</f>
        <v/>
      </c>
      <c r="T2945" s="13"/>
      <c r="U2945" s="13"/>
      <c r="V2945" s="13"/>
      <c r="W2945" s="13"/>
      <c r="X2945" s="22" t="str">
        <f aca="false">IF(Q2945="","",Q2945^2)</f>
        <v/>
      </c>
      <c r="Y2945" s="22" t="str">
        <f aca="false">IF(AND(C2945&lt;&gt;"",C2945=CERTIFICADO!$E$4,OR(CERTIFICADO!$E$5="",B2945=CERTIFICADO!$E$5)),MAX($Y$4:Y2944)+1,"")</f>
        <v/>
      </c>
    </row>
    <row r="2946" customFormat="false" ht="15" hidden="false" customHeight="false" outlineLevel="0" collapsed="false">
      <c r="A2946" s="11" t="str">
        <f aca="false">IF(C2946="","",ROW()-4)</f>
        <v/>
      </c>
      <c r="B2946" s="12"/>
      <c r="C2946" s="13"/>
      <c r="D2946" s="23" t="str">
        <f aca="false">IF(C2946="","",IFERROR(INDEX(LOTES!$D$5:$D$1004,MATCH(C2946,LOTES!$F$5:$F$1004,0)),"¿Lote?"))</f>
        <v/>
      </c>
      <c r="E2946" s="11" t="str">
        <f aca="false">IF(C2946="","",IFERROR(INDEX(LOTES!$C$5:$C$1004,MATCH(C2946,LOTES!$F$5:$F$1004,0)),""))</f>
        <v/>
      </c>
      <c r="F2946" s="24" t="str">
        <f aca="false">IF(C2946="","",IFERROR(INDEX(LOTES!$B$5:$B$1004,MATCH(C2946,LOTES!$F$5:$F$1004,0)),""))</f>
        <v/>
      </c>
      <c r="G2946" s="15" t="str">
        <f aca="false">IF(OR(B2946="",F2946=""),"",B2946-F2946)</f>
        <v/>
      </c>
      <c r="H2946" s="13"/>
      <c r="I2946" s="13"/>
      <c r="J2946" s="13"/>
      <c r="K2946" s="25"/>
      <c r="L2946" s="25"/>
      <c r="M2946" s="25"/>
      <c r="N2946" s="25"/>
      <c r="O2946" s="26"/>
      <c r="P2946" s="16" t="str">
        <f aca="false">IF(O2946="","",IFERROR(1/(1/(IF(K2946="",INDEX(CONFIG!$F$5:$F$14,MATCH(D2946,CONFIG!$D$5:$D$14,0)),K2946)*IF(M2946="",INDEX(CONFIG!$H$5:$H$14,MATCH(D2946,CONFIG!$D$5:$D$14,0)),M2946))),""))</f>
        <v/>
      </c>
      <c r="Q2946" s="16" t="str">
        <f aca="false">IF(OR(O2946="",P2946=""),"",O2946/P2946)</f>
        <v/>
      </c>
      <c r="R2946" s="16" t="str">
        <f aca="false">IF(Q2946="","",Q2946*0.0980665)</f>
        <v/>
      </c>
      <c r="S2946" s="16" t="str">
        <f aca="false">IF(Q2946="","",IFERROR(Q2946/(1/(1/INDEX(CONFIG!$I$5:$I$14,MATCH(D2946,CONFIG!$D$5:$D$14,0)))),""))</f>
        <v/>
      </c>
      <c r="T2946" s="13"/>
      <c r="U2946" s="13"/>
      <c r="V2946" s="13"/>
      <c r="W2946" s="13"/>
      <c r="X2946" s="22" t="str">
        <f aca="false">IF(Q2946="","",Q2946^2)</f>
        <v/>
      </c>
      <c r="Y2946" s="22" t="str">
        <f aca="false">IF(AND(C2946&lt;&gt;"",C2946=CERTIFICADO!$E$4,OR(CERTIFICADO!$E$5="",B2946=CERTIFICADO!$E$5)),MAX($Y$4:Y2945)+1,"")</f>
        <v/>
      </c>
    </row>
    <row r="2947" customFormat="false" ht="15" hidden="false" customHeight="false" outlineLevel="0" collapsed="false">
      <c r="A2947" s="11" t="str">
        <f aca="false">IF(C2947="","",ROW()-4)</f>
        <v/>
      </c>
      <c r="B2947" s="12"/>
      <c r="C2947" s="13"/>
      <c r="D2947" s="23" t="str">
        <f aca="false">IF(C2947="","",IFERROR(INDEX(LOTES!$D$5:$D$1004,MATCH(C2947,LOTES!$F$5:$F$1004,0)),"¿Lote?"))</f>
        <v/>
      </c>
      <c r="E2947" s="11" t="str">
        <f aca="false">IF(C2947="","",IFERROR(INDEX(LOTES!$C$5:$C$1004,MATCH(C2947,LOTES!$F$5:$F$1004,0)),""))</f>
        <v/>
      </c>
      <c r="F2947" s="24" t="str">
        <f aca="false">IF(C2947="","",IFERROR(INDEX(LOTES!$B$5:$B$1004,MATCH(C2947,LOTES!$F$5:$F$1004,0)),""))</f>
        <v/>
      </c>
      <c r="G2947" s="15" t="str">
        <f aca="false">IF(OR(B2947="",F2947=""),"",B2947-F2947)</f>
        <v/>
      </c>
      <c r="H2947" s="13"/>
      <c r="I2947" s="13"/>
      <c r="J2947" s="13"/>
      <c r="K2947" s="25"/>
      <c r="L2947" s="25"/>
      <c r="M2947" s="25"/>
      <c r="N2947" s="25"/>
      <c r="O2947" s="26"/>
      <c r="P2947" s="16" t="str">
        <f aca="false">IF(O2947="","",IFERROR(1/(1/(IF(K2947="",INDEX(CONFIG!$F$5:$F$14,MATCH(D2947,CONFIG!$D$5:$D$14,0)),K2947)*IF(M2947="",INDEX(CONFIG!$H$5:$H$14,MATCH(D2947,CONFIG!$D$5:$D$14,0)),M2947))),""))</f>
        <v/>
      </c>
      <c r="Q2947" s="16" t="str">
        <f aca="false">IF(OR(O2947="",P2947=""),"",O2947/P2947)</f>
        <v/>
      </c>
      <c r="R2947" s="16" t="str">
        <f aca="false">IF(Q2947="","",Q2947*0.0980665)</f>
        <v/>
      </c>
      <c r="S2947" s="16" t="str">
        <f aca="false">IF(Q2947="","",IFERROR(Q2947/(1/(1/INDEX(CONFIG!$I$5:$I$14,MATCH(D2947,CONFIG!$D$5:$D$14,0)))),""))</f>
        <v/>
      </c>
      <c r="T2947" s="13"/>
      <c r="U2947" s="13"/>
      <c r="V2947" s="13"/>
      <c r="W2947" s="13"/>
      <c r="X2947" s="22" t="str">
        <f aca="false">IF(Q2947="","",Q2947^2)</f>
        <v/>
      </c>
      <c r="Y2947" s="22" t="str">
        <f aca="false">IF(AND(C2947&lt;&gt;"",C2947=CERTIFICADO!$E$4,OR(CERTIFICADO!$E$5="",B2947=CERTIFICADO!$E$5)),MAX($Y$4:Y2946)+1,"")</f>
        <v/>
      </c>
    </row>
    <row r="2948" customFormat="false" ht="15" hidden="false" customHeight="false" outlineLevel="0" collapsed="false">
      <c r="A2948" s="11" t="str">
        <f aca="false">IF(C2948="","",ROW()-4)</f>
        <v/>
      </c>
      <c r="B2948" s="12"/>
      <c r="C2948" s="13"/>
      <c r="D2948" s="23" t="str">
        <f aca="false">IF(C2948="","",IFERROR(INDEX(LOTES!$D$5:$D$1004,MATCH(C2948,LOTES!$F$5:$F$1004,0)),"¿Lote?"))</f>
        <v/>
      </c>
      <c r="E2948" s="11" t="str">
        <f aca="false">IF(C2948="","",IFERROR(INDEX(LOTES!$C$5:$C$1004,MATCH(C2948,LOTES!$F$5:$F$1004,0)),""))</f>
        <v/>
      </c>
      <c r="F2948" s="24" t="str">
        <f aca="false">IF(C2948="","",IFERROR(INDEX(LOTES!$B$5:$B$1004,MATCH(C2948,LOTES!$F$5:$F$1004,0)),""))</f>
        <v/>
      </c>
      <c r="G2948" s="15" t="str">
        <f aca="false">IF(OR(B2948="",F2948=""),"",B2948-F2948)</f>
        <v/>
      </c>
      <c r="H2948" s="13"/>
      <c r="I2948" s="13"/>
      <c r="J2948" s="13"/>
      <c r="K2948" s="25"/>
      <c r="L2948" s="25"/>
      <c r="M2948" s="25"/>
      <c r="N2948" s="25"/>
      <c r="O2948" s="26"/>
      <c r="P2948" s="16" t="str">
        <f aca="false">IF(O2948="","",IFERROR(1/(1/(IF(K2948="",INDEX(CONFIG!$F$5:$F$14,MATCH(D2948,CONFIG!$D$5:$D$14,0)),K2948)*IF(M2948="",INDEX(CONFIG!$H$5:$H$14,MATCH(D2948,CONFIG!$D$5:$D$14,0)),M2948))),""))</f>
        <v/>
      </c>
      <c r="Q2948" s="16" t="str">
        <f aca="false">IF(OR(O2948="",P2948=""),"",O2948/P2948)</f>
        <v/>
      </c>
      <c r="R2948" s="16" t="str">
        <f aca="false">IF(Q2948="","",Q2948*0.0980665)</f>
        <v/>
      </c>
      <c r="S2948" s="16" t="str">
        <f aca="false">IF(Q2948="","",IFERROR(Q2948/(1/(1/INDEX(CONFIG!$I$5:$I$14,MATCH(D2948,CONFIG!$D$5:$D$14,0)))),""))</f>
        <v/>
      </c>
      <c r="T2948" s="13"/>
      <c r="U2948" s="13"/>
      <c r="V2948" s="13"/>
      <c r="W2948" s="13"/>
      <c r="X2948" s="22" t="str">
        <f aca="false">IF(Q2948="","",Q2948^2)</f>
        <v/>
      </c>
      <c r="Y2948" s="22" t="str">
        <f aca="false">IF(AND(C2948&lt;&gt;"",C2948=CERTIFICADO!$E$4,OR(CERTIFICADO!$E$5="",B2948=CERTIFICADO!$E$5)),MAX($Y$4:Y2947)+1,"")</f>
        <v/>
      </c>
    </row>
    <row r="2949" customFormat="false" ht="15" hidden="false" customHeight="false" outlineLevel="0" collapsed="false">
      <c r="A2949" s="11" t="str">
        <f aca="false">IF(C2949="","",ROW()-4)</f>
        <v/>
      </c>
      <c r="B2949" s="12"/>
      <c r="C2949" s="13"/>
      <c r="D2949" s="23" t="str">
        <f aca="false">IF(C2949="","",IFERROR(INDEX(LOTES!$D$5:$D$1004,MATCH(C2949,LOTES!$F$5:$F$1004,0)),"¿Lote?"))</f>
        <v/>
      </c>
      <c r="E2949" s="11" t="str">
        <f aca="false">IF(C2949="","",IFERROR(INDEX(LOTES!$C$5:$C$1004,MATCH(C2949,LOTES!$F$5:$F$1004,0)),""))</f>
        <v/>
      </c>
      <c r="F2949" s="24" t="str">
        <f aca="false">IF(C2949="","",IFERROR(INDEX(LOTES!$B$5:$B$1004,MATCH(C2949,LOTES!$F$5:$F$1004,0)),""))</f>
        <v/>
      </c>
      <c r="G2949" s="15" t="str">
        <f aca="false">IF(OR(B2949="",F2949=""),"",B2949-F2949)</f>
        <v/>
      </c>
      <c r="H2949" s="13"/>
      <c r="I2949" s="13"/>
      <c r="J2949" s="13"/>
      <c r="K2949" s="25"/>
      <c r="L2949" s="25"/>
      <c r="M2949" s="25"/>
      <c r="N2949" s="25"/>
      <c r="O2949" s="26"/>
      <c r="P2949" s="16" t="str">
        <f aca="false">IF(O2949="","",IFERROR(1/(1/(IF(K2949="",INDEX(CONFIG!$F$5:$F$14,MATCH(D2949,CONFIG!$D$5:$D$14,0)),K2949)*IF(M2949="",INDEX(CONFIG!$H$5:$H$14,MATCH(D2949,CONFIG!$D$5:$D$14,0)),M2949))),""))</f>
        <v/>
      </c>
      <c r="Q2949" s="16" t="str">
        <f aca="false">IF(OR(O2949="",P2949=""),"",O2949/P2949)</f>
        <v/>
      </c>
      <c r="R2949" s="16" t="str">
        <f aca="false">IF(Q2949="","",Q2949*0.0980665)</f>
        <v/>
      </c>
      <c r="S2949" s="16" t="str">
        <f aca="false">IF(Q2949="","",IFERROR(Q2949/(1/(1/INDEX(CONFIG!$I$5:$I$14,MATCH(D2949,CONFIG!$D$5:$D$14,0)))),""))</f>
        <v/>
      </c>
      <c r="T2949" s="13"/>
      <c r="U2949" s="13"/>
      <c r="V2949" s="13"/>
      <c r="W2949" s="13"/>
      <c r="X2949" s="22" t="str">
        <f aca="false">IF(Q2949="","",Q2949^2)</f>
        <v/>
      </c>
      <c r="Y2949" s="22" t="str">
        <f aca="false">IF(AND(C2949&lt;&gt;"",C2949=CERTIFICADO!$E$4,OR(CERTIFICADO!$E$5="",B2949=CERTIFICADO!$E$5)),MAX($Y$4:Y2948)+1,"")</f>
        <v/>
      </c>
    </row>
    <row r="2950" customFormat="false" ht="15" hidden="false" customHeight="false" outlineLevel="0" collapsed="false">
      <c r="A2950" s="11" t="str">
        <f aca="false">IF(C2950="","",ROW()-4)</f>
        <v/>
      </c>
      <c r="B2950" s="12"/>
      <c r="C2950" s="13"/>
      <c r="D2950" s="23" t="str">
        <f aca="false">IF(C2950="","",IFERROR(INDEX(LOTES!$D$5:$D$1004,MATCH(C2950,LOTES!$F$5:$F$1004,0)),"¿Lote?"))</f>
        <v/>
      </c>
      <c r="E2950" s="11" t="str">
        <f aca="false">IF(C2950="","",IFERROR(INDEX(LOTES!$C$5:$C$1004,MATCH(C2950,LOTES!$F$5:$F$1004,0)),""))</f>
        <v/>
      </c>
      <c r="F2950" s="24" t="str">
        <f aca="false">IF(C2950="","",IFERROR(INDEX(LOTES!$B$5:$B$1004,MATCH(C2950,LOTES!$F$5:$F$1004,0)),""))</f>
        <v/>
      </c>
      <c r="G2950" s="15" t="str">
        <f aca="false">IF(OR(B2950="",F2950=""),"",B2950-F2950)</f>
        <v/>
      </c>
      <c r="H2950" s="13"/>
      <c r="I2950" s="13"/>
      <c r="J2950" s="13"/>
      <c r="K2950" s="25"/>
      <c r="L2950" s="25"/>
      <c r="M2950" s="25"/>
      <c r="N2950" s="25"/>
      <c r="O2950" s="26"/>
      <c r="P2950" s="16" t="str">
        <f aca="false">IF(O2950="","",IFERROR(1/(1/(IF(K2950="",INDEX(CONFIG!$F$5:$F$14,MATCH(D2950,CONFIG!$D$5:$D$14,0)),K2950)*IF(M2950="",INDEX(CONFIG!$H$5:$H$14,MATCH(D2950,CONFIG!$D$5:$D$14,0)),M2950))),""))</f>
        <v/>
      </c>
      <c r="Q2950" s="16" t="str">
        <f aca="false">IF(OR(O2950="",P2950=""),"",O2950/P2950)</f>
        <v/>
      </c>
      <c r="R2950" s="16" t="str">
        <f aca="false">IF(Q2950="","",Q2950*0.0980665)</f>
        <v/>
      </c>
      <c r="S2950" s="16" t="str">
        <f aca="false">IF(Q2950="","",IFERROR(Q2950/(1/(1/INDEX(CONFIG!$I$5:$I$14,MATCH(D2950,CONFIG!$D$5:$D$14,0)))),""))</f>
        <v/>
      </c>
      <c r="T2950" s="13"/>
      <c r="U2950" s="13"/>
      <c r="V2950" s="13"/>
      <c r="W2950" s="13"/>
      <c r="X2950" s="22" t="str">
        <f aca="false">IF(Q2950="","",Q2950^2)</f>
        <v/>
      </c>
      <c r="Y2950" s="22" t="str">
        <f aca="false">IF(AND(C2950&lt;&gt;"",C2950=CERTIFICADO!$E$4,OR(CERTIFICADO!$E$5="",B2950=CERTIFICADO!$E$5)),MAX($Y$4:Y2949)+1,"")</f>
        <v/>
      </c>
    </row>
    <row r="2951" customFormat="false" ht="15" hidden="false" customHeight="false" outlineLevel="0" collapsed="false">
      <c r="A2951" s="11" t="str">
        <f aca="false">IF(C2951="","",ROW()-4)</f>
        <v/>
      </c>
      <c r="B2951" s="12"/>
      <c r="C2951" s="13"/>
      <c r="D2951" s="23" t="str">
        <f aca="false">IF(C2951="","",IFERROR(INDEX(LOTES!$D$5:$D$1004,MATCH(C2951,LOTES!$F$5:$F$1004,0)),"¿Lote?"))</f>
        <v/>
      </c>
      <c r="E2951" s="11" t="str">
        <f aca="false">IF(C2951="","",IFERROR(INDEX(LOTES!$C$5:$C$1004,MATCH(C2951,LOTES!$F$5:$F$1004,0)),""))</f>
        <v/>
      </c>
      <c r="F2951" s="24" t="str">
        <f aca="false">IF(C2951="","",IFERROR(INDEX(LOTES!$B$5:$B$1004,MATCH(C2951,LOTES!$F$5:$F$1004,0)),""))</f>
        <v/>
      </c>
      <c r="G2951" s="15" t="str">
        <f aca="false">IF(OR(B2951="",F2951=""),"",B2951-F2951)</f>
        <v/>
      </c>
      <c r="H2951" s="13"/>
      <c r="I2951" s="13"/>
      <c r="J2951" s="13"/>
      <c r="K2951" s="25"/>
      <c r="L2951" s="25"/>
      <c r="M2951" s="25"/>
      <c r="N2951" s="25"/>
      <c r="O2951" s="26"/>
      <c r="P2951" s="16" t="str">
        <f aca="false">IF(O2951="","",IFERROR(1/(1/(IF(K2951="",INDEX(CONFIG!$F$5:$F$14,MATCH(D2951,CONFIG!$D$5:$D$14,0)),K2951)*IF(M2951="",INDEX(CONFIG!$H$5:$H$14,MATCH(D2951,CONFIG!$D$5:$D$14,0)),M2951))),""))</f>
        <v/>
      </c>
      <c r="Q2951" s="16" t="str">
        <f aca="false">IF(OR(O2951="",P2951=""),"",O2951/P2951)</f>
        <v/>
      </c>
      <c r="R2951" s="16" t="str">
        <f aca="false">IF(Q2951="","",Q2951*0.0980665)</f>
        <v/>
      </c>
      <c r="S2951" s="16" t="str">
        <f aca="false">IF(Q2951="","",IFERROR(Q2951/(1/(1/INDEX(CONFIG!$I$5:$I$14,MATCH(D2951,CONFIG!$D$5:$D$14,0)))),""))</f>
        <v/>
      </c>
      <c r="T2951" s="13"/>
      <c r="U2951" s="13"/>
      <c r="V2951" s="13"/>
      <c r="W2951" s="13"/>
      <c r="X2951" s="22" t="str">
        <f aca="false">IF(Q2951="","",Q2951^2)</f>
        <v/>
      </c>
      <c r="Y2951" s="22" t="str">
        <f aca="false">IF(AND(C2951&lt;&gt;"",C2951=CERTIFICADO!$E$4,OR(CERTIFICADO!$E$5="",B2951=CERTIFICADO!$E$5)),MAX($Y$4:Y2950)+1,"")</f>
        <v/>
      </c>
    </row>
    <row r="2952" customFormat="false" ht="15" hidden="false" customHeight="false" outlineLevel="0" collapsed="false">
      <c r="A2952" s="11" t="str">
        <f aca="false">IF(C2952="","",ROW()-4)</f>
        <v/>
      </c>
      <c r="B2952" s="12"/>
      <c r="C2952" s="13"/>
      <c r="D2952" s="23" t="str">
        <f aca="false">IF(C2952="","",IFERROR(INDEX(LOTES!$D$5:$D$1004,MATCH(C2952,LOTES!$F$5:$F$1004,0)),"¿Lote?"))</f>
        <v/>
      </c>
      <c r="E2952" s="11" t="str">
        <f aca="false">IF(C2952="","",IFERROR(INDEX(LOTES!$C$5:$C$1004,MATCH(C2952,LOTES!$F$5:$F$1004,0)),""))</f>
        <v/>
      </c>
      <c r="F2952" s="24" t="str">
        <f aca="false">IF(C2952="","",IFERROR(INDEX(LOTES!$B$5:$B$1004,MATCH(C2952,LOTES!$F$5:$F$1004,0)),""))</f>
        <v/>
      </c>
      <c r="G2952" s="15" t="str">
        <f aca="false">IF(OR(B2952="",F2952=""),"",B2952-F2952)</f>
        <v/>
      </c>
      <c r="H2952" s="13"/>
      <c r="I2952" s="13"/>
      <c r="J2952" s="13"/>
      <c r="K2952" s="25"/>
      <c r="L2952" s="25"/>
      <c r="M2952" s="25"/>
      <c r="N2952" s="25"/>
      <c r="O2952" s="26"/>
      <c r="P2952" s="16" t="str">
        <f aca="false">IF(O2952="","",IFERROR(1/(1/(IF(K2952="",INDEX(CONFIG!$F$5:$F$14,MATCH(D2952,CONFIG!$D$5:$D$14,0)),K2952)*IF(M2952="",INDEX(CONFIG!$H$5:$H$14,MATCH(D2952,CONFIG!$D$5:$D$14,0)),M2952))),""))</f>
        <v/>
      </c>
      <c r="Q2952" s="16" t="str">
        <f aca="false">IF(OR(O2952="",P2952=""),"",O2952/P2952)</f>
        <v/>
      </c>
      <c r="R2952" s="16" t="str">
        <f aca="false">IF(Q2952="","",Q2952*0.0980665)</f>
        <v/>
      </c>
      <c r="S2952" s="16" t="str">
        <f aca="false">IF(Q2952="","",IFERROR(Q2952/(1/(1/INDEX(CONFIG!$I$5:$I$14,MATCH(D2952,CONFIG!$D$5:$D$14,0)))),""))</f>
        <v/>
      </c>
      <c r="T2952" s="13"/>
      <c r="U2952" s="13"/>
      <c r="V2952" s="13"/>
      <c r="W2952" s="13"/>
      <c r="X2952" s="22" t="str">
        <f aca="false">IF(Q2952="","",Q2952^2)</f>
        <v/>
      </c>
      <c r="Y2952" s="22" t="str">
        <f aca="false">IF(AND(C2952&lt;&gt;"",C2952=CERTIFICADO!$E$4,OR(CERTIFICADO!$E$5="",B2952=CERTIFICADO!$E$5)),MAX($Y$4:Y2951)+1,"")</f>
        <v/>
      </c>
    </row>
    <row r="2953" customFormat="false" ht="15" hidden="false" customHeight="false" outlineLevel="0" collapsed="false">
      <c r="A2953" s="11" t="str">
        <f aca="false">IF(C2953="","",ROW()-4)</f>
        <v/>
      </c>
      <c r="B2953" s="12"/>
      <c r="C2953" s="13"/>
      <c r="D2953" s="23" t="str">
        <f aca="false">IF(C2953="","",IFERROR(INDEX(LOTES!$D$5:$D$1004,MATCH(C2953,LOTES!$F$5:$F$1004,0)),"¿Lote?"))</f>
        <v/>
      </c>
      <c r="E2953" s="11" t="str">
        <f aca="false">IF(C2953="","",IFERROR(INDEX(LOTES!$C$5:$C$1004,MATCH(C2953,LOTES!$F$5:$F$1004,0)),""))</f>
        <v/>
      </c>
      <c r="F2953" s="24" t="str">
        <f aca="false">IF(C2953="","",IFERROR(INDEX(LOTES!$B$5:$B$1004,MATCH(C2953,LOTES!$F$5:$F$1004,0)),""))</f>
        <v/>
      </c>
      <c r="G2953" s="15" t="str">
        <f aca="false">IF(OR(B2953="",F2953=""),"",B2953-F2953)</f>
        <v/>
      </c>
      <c r="H2953" s="13"/>
      <c r="I2953" s="13"/>
      <c r="J2953" s="13"/>
      <c r="K2953" s="25"/>
      <c r="L2953" s="25"/>
      <c r="M2953" s="25"/>
      <c r="N2953" s="25"/>
      <c r="O2953" s="26"/>
      <c r="P2953" s="16" t="str">
        <f aca="false">IF(O2953="","",IFERROR(1/(1/(IF(K2953="",INDEX(CONFIG!$F$5:$F$14,MATCH(D2953,CONFIG!$D$5:$D$14,0)),K2953)*IF(M2953="",INDEX(CONFIG!$H$5:$H$14,MATCH(D2953,CONFIG!$D$5:$D$14,0)),M2953))),""))</f>
        <v/>
      </c>
      <c r="Q2953" s="16" t="str">
        <f aca="false">IF(OR(O2953="",P2953=""),"",O2953/P2953)</f>
        <v/>
      </c>
      <c r="R2953" s="16" t="str">
        <f aca="false">IF(Q2953="","",Q2953*0.0980665)</f>
        <v/>
      </c>
      <c r="S2953" s="16" t="str">
        <f aca="false">IF(Q2953="","",IFERROR(Q2953/(1/(1/INDEX(CONFIG!$I$5:$I$14,MATCH(D2953,CONFIG!$D$5:$D$14,0)))),""))</f>
        <v/>
      </c>
      <c r="T2953" s="13"/>
      <c r="U2953" s="13"/>
      <c r="V2953" s="13"/>
      <c r="W2953" s="13"/>
      <c r="X2953" s="22" t="str">
        <f aca="false">IF(Q2953="","",Q2953^2)</f>
        <v/>
      </c>
      <c r="Y2953" s="22" t="str">
        <f aca="false">IF(AND(C2953&lt;&gt;"",C2953=CERTIFICADO!$E$4,OR(CERTIFICADO!$E$5="",B2953=CERTIFICADO!$E$5)),MAX($Y$4:Y2952)+1,"")</f>
        <v/>
      </c>
    </row>
    <row r="2954" customFormat="false" ht="15" hidden="false" customHeight="false" outlineLevel="0" collapsed="false">
      <c r="A2954" s="11" t="str">
        <f aca="false">IF(C2954="","",ROW()-4)</f>
        <v/>
      </c>
      <c r="B2954" s="12"/>
      <c r="C2954" s="13"/>
      <c r="D2954" s="23" t="str">
        <f aca="false">IF(C2954="","",IFERROR(INDEX(LOTES!$D$5:$D$1004,MATCH(C2954,LOTES!$F$5:$F$1004,0)),"¿Lote?"))</f>
        <v/>
      </c>
      <c r="E2954" s="11" t="str">
        <f aca="false">IF(C2954="","",IFERROR(INDEX(LOTES!$C$5:$C$1004,MATCH(C2954,LOTES!$F$5:$F$1004,0)),""))</f>
        <v/>
      </c>
      <c r="F2954" s="24" t="str">
        <f aca="false">IF(C2954="","",IFERROR(INDEX(LOTES!$B$5:$B$1004,MATCH(C2954,LOTES!$F$5:$F$1004,0)),""))</f>
        <v/>
      </c>
      <c r="G2954" s="15" t="str">
        <f aca="false">IF(OR(B2954="",F2954=""),"",B2954-F2954)</f>
        <v/>
      </c>
      <c r="H2954" s="13"/>
      <c r="I2954" s="13"/>
      <c r="J2954" s="13"/>
      <c r="K2954" s="25"/>
      <c r="L2954" s="25"/>
      <c r="M2954" s="25"/>
      <c r="N2954" s="25"/>
      <c r="O2954" s="26"/>
      <c r="P2954" s="16" t="str">
        <f aca="false">IF(O2954="","",IFERROR(1/(1/(IF(K2954="",INDEX(CONFIG!$F$5:$F$14,MATCH(D2954,CONFIG!$D$5:$D$14,0)),K2954)*IF(M2954="",INDEX(CONFIG!$H$5:$H$14,MATCH(D2954,CONFIG!$D$5:$D$14,0)),M2954))),""))</f>
        <v/>
      </c>
      <c r="Q2954" s="16" t="str">
        <f aca="false">IF(OR(O2954="",P2954=""),"",O2954/P2954)</f>
        <v/>
      </c>
      <c r="R2954" s="16" t="str">
        <f aca="false">IF(Q2954="","",Q2954*0.0980665)</f>
        <v/>
      </c>
      <c r="S2954" s="16" t="str">
        <f aca="false">IF(Q2954="","",IFERROR(Q2954/(1/(1/INDEX(CONFIG!$I$5:$I$14,MATCH(D2954,CONFIG!$D$5:$D$14,0)))),""))</f>
        <v/>
      </c>
      <c r="T2954" s="13"/>
      <c r="U2954" s="13"/>
      <c r="V2954" s="13"/>
      <c r="W2954" s="13"/>
      <c r="X2954" s="22" t="str">
        <f aca="false">IF(Q2954="","",Q2954^2)</f>
        <v/>
      </c>
      <c r="Y2954" s="22" t="str">
        <f aca="false">IF(AND(C2954&lt;&gt;"",C2954=CERTIFICADO!$E$4,OR(CERTIFICADO!$E$5="",B2954=CERTIFICADO!$E$5)),MAX($Y$4:Y2953)+1,"")</f>
        <v/>
      </c>
    </row>
    <row r="2955" customFormat="false" ht="15" hidden="false" customHeight="false" outlineLevel="0" collapsed="false">
      <c r="A2955" s="11" t="str">
        <f aca="false">IF(C2955="","",ROW()-4)</f>
        <v/>
      </c>
      <c r="B2955" s="12"/>
      <c r="C2955" s="13"/>
      <c r="D2955" s="23" t="str">
        <f aca="false">IF(C2955="","",IFERROR(INDEX(LOTES!$D$5:$D$1004,MATCH(C2955,LOTES!$F$5:$F$1004,0)),"¿Lote?"))</f>
        <v/>
      </c>
      <c r="E2955" s="11" t="str">
        <f aca="false">IF(C2955="","",IFERROR(INDEX(LOTES!$C$5:$C$1004,MATCH(C2955,LOTES!$F$5:$F$1004,0)),""))</f>
        <v/>
      </c>
      <c r="F2955" s="24" t="str">
        <f aca="false">IF(C2955="","",IFERROR(INDEX(LOTES!$B$5:$B$1004,MATCH(C2955,LOTES!$F$5:$F$1004,0)),""))</f>
        <v/>
      </c>
      <c r="G2955" s="15" t="str">
        <f aca="false">IF(OR(B2955="",F2955=""),"",B2955-F2955)</f>
        <v/>
      </c>
      <c r="H2955" s="13"/>
      <c r="I2955" s="13"/>
      <c r="J2955" s="13"/>
      <c r="K2955" s="25"/>
      <c r="L2955" s="25"/>
      <c r="M2955" s="25"/>
      <c r="N2955" s="25"/>
      <c r="O2955" s="26"/>
      <c r="P2955" s="16" t="str">
        <f aca="false">IF(O2955="","",IFERROR(1/(1/(IF(K2955="",INDEX(CONFIG!$F$5:$F$14,MATCH(D2955,CONFIG!$D$5:$D$14,0)),K2955)*IF(M2955="",INDEX(CONFIG!$H$5:$H$14,MATCH(D2955,CONFIG!$D$5:$D$14,0)),M2955))),""))</f>
        <v/>
      </c>
      <c r="Q2955" s="16" t="str">
        <f aca="false">IF(OR(O2955="",P2955=""),"",O2955/P2955)</f>
        <v/>
      </c>
      <c r="R2955" s="16" t="str">
        <f aca="false">IF(Q2955="","",Q2955*0.0980665)</f>
        <v/>
      </c>
      <c r="S2955" s="16" t="str">
        <f aca="false">IF(Q2955="","",IFERROR(Q2955/(1/(1/INDEX(CONFIG!$I$5:$I$14,MATCH(D2955,CONFIG!$D$5:$D$14,0)))),""))</f>
        <v/>
      </c>
      <c r="T2955" s="13"/>
      <c r="U2955" s="13"/>
      <c r="V2955" s="13"/>
      <c r="W2955" s="13"/>
      <c r="X2955" s="22" t="str">
        <f aca="false">IF(Q2955="","",Q2955^2)</f>
        <v/>
      </c>
      <c r="Y2955" s="22" t="str">
        <f aca="false">IF(AND(C2955&lt;&gt;"",C2955=CERTIFICADO!$E$4,OR(CERTIFICADO!$E$5="",B2955=CERTIFICADO!$E$5)),MAX($Y$4:Y2954)+1,"")</f>
        <v/>
      </c>
    </row>
    <row r="2956" customFormat="false" ht="15" hidden="false" customHeight="false" outlineLevel="0" collapsed="false">
      <c r="A2956" s="11" t="str">
        <f aca="false">IF(C2956="","",ROW()-4)</f>
        <v/>
      </c>
      <c r="B2956" s="12"/>
      <c r="C2956" s="13"/>
      <c r="D2956" s="23" t="str">
        <f aca="false">IF(C2956="","",IFERROR(INDEX(LOTES!$D$5:$D$1004,MATCH(C2956,LOTES!$F$5:$F$1004,0)),"¿Lote?"))</f>
        <v/>
      </c>
      <c r="E2956" s="11" t="str">
        <f aca="false">IF(C2956="","",IFERROR(INDEX(LOTES!$C$5:$C$1004,MATCH(C2956,LOTES!$F$5:$F$1004,0)),""))</f>
        <v/>
      </c>
      <c r="F2956" s="24" t="str">
        <f aca="false">IF(C2956="","",IFERROR(INDEX(LOTES!$B$5:$B$1004,MATCH(C2956,LOTES!$F$5:$F$1004,0)),""))</f>
        <v/>
      </c>
      <c r="G2956" s="15" t="str">
        <f aca="false">IF(OR(B2956="",F2956=""),"",B2956-F2956)</f>
        <v/>
      </c>
      <c r="H2956" s="13"/>
      <c r="I2956" s="13"/>
      <c r="J2956" s="13"/>
      <c r="K2956" s="25"/>
      <c r="L2956" s="25"/>
      <c r="M2956" s="25"/>
      <c r="N2956" s="25"/>
      <c r="O2956" s="26"/>
      <c r="P2956" s="16" t="str">
        <f aca="false">IF(O2956="","",IFERROR(1/(1/(IF(K2956="",INDEX(CONFIG!$F$5:$F$14,MATCH(D2956,CONFIG!$D$5:$D$14,0)),K2956)*IF(M2956="",INDEX(CONFIG!$H$5:$H$14,MATCH(D2956,CONFIG!$D$5:$D$14,0)),M2956))),""))</f>
        <v/>
      </c>
      <c r="Q2956" s="16" t="str">
        <f aca="false">IF(OR(O2956="",P2956=""),"",O2956/P2956)</f>
        <v/>
      </c>
      <c r="R2956" s="16" t="str">
        <f aca="false">IF(Q2956="","",Q2956*0.0980665)</f>
        <v/>
      </c>
      <c r="S2956" s="16" t="str">
        <f aca="false">IF(Q2956="","",IFERROR(Q2956/(1/(1/INDEX(CONFIG!$I$5:$I$14,MATCH(D2956,CONFIG!$D$5:$D$14,0)))),""))</f>
        <v/>
      </c>
      <c r="T2956" s="13"/>
      <c r="U2956" s="13"/>
      <c r="V2956" s="13"/>
      <c r="W2956" s="13"/>
      <c r="X2956" s="22" t="str">
        <f aca="false">IF(Q2956="","",Q2956^2)</f>
        <v/>
      </c>
      <c r="Y2956" s="22" t="str">
        <f aca="false">IF(AND(C2956&lt;&gt;"",C2956=CERTIFICADO!$E$4,OR(CERTIFICADO!$E$5="",B2956=CERTIFICADO!$E$5)),MAX($Y$4:Y2955)+1,"")</f>
        <v/>
      </c>
    </row>
    <row r="2957" customFormat="false" ht="15" hidden="false" customHeight="false" outlineLevel="0" collapsed="false">
      <c r="A2957" s="11" t="str">
        <f aca="false">IF(C2957="","",ROW()-4)</f>
        <v/>
      </c>
      <c r="B2957" s="12"/>
      <c r="C2957" s="13"/>
      <c r="D2957" s="23" t="str">
        <f aca="false">IF(C2957="","",IFERROR(INDEX(LOTES!$D$5:$D$1004,MATCH(C2957,LOTES!$F$5:$F$1004,0)),"¿Lote?"))</f>
        <v/>
      </c>
      <c r="E2957" s="11" t="str">
        <f aca="false">IF(C2957="","",IFERROR(INDEX(LOTES!$C$5:$C$1004,MATCH(C2957,LOTES!$F$5:$F$1004,0)),""))</f>
        <v/>
      </c>
      <c r="F2957" s="24" t="str">
        <f aca="false">IF(C2957="","",IFERROR(INDEX(LOTES!$B$5:$B$1004,MATCH(C2957,LOTES!$F$5:$F$1004,0)),""))</f>
        <v/>
      </c>
      <c r="G2957" s="15" t="str">
        <f aca="false">IF(OR(B2957="",F2957=""),"",B2957-F2957)</f>
        <v/>
      </c>
      <c r="H2957" s="13"/>
      <c r="I2957" s="13"/>
      <c r="J2957" s="13"/>
      <c r="K2957" s="25"/>
      <c r="L2957" s="25"/>
      <c r="M2957" s="25"/>
      <c r="N2957" s="25"/>
      <c r="O2957" s="26"/>
      <c r="P2957" s="16" t="str">
        <f aca="false">IF(O2957="","",IFERROR(1/(1/(IF(K2957="",INDEX(CONFIG!$F$5:$F$14,MATCH(D2957,CONFIG!$D$5:$D$14,0)),K2957)*IF(M2957="",INDEX(CONFIG!$H$5:$H$14,MATCH(D2957,CONFIG!$D$5:$D$14,0)),M2957))),""))</f>
        <v/>
      </c>
      <c r="Q2957" s="16" t="str">
        <f aca="false">IF(OR(O2957="",P2957=""),"",O2957/P2957)</f>
        <v/>
      </c>
      <c r="R2957" s="16" t="str">
        <f aca="false">IF(Q2957="","",Q2957*0.0980665)</f>
        <v/>
      </c>
      <c r="S2957" s="16" t="str">
        <f aca="false">IF(Q2957="","",IFERROR(Q2957/(1/(1/INDEX(CONFIG!$I$5:$I$14,MATCH(D2957,CONFIG!$D$5:$D$14,0)))),""))</f>
        <v/>
      </c>
      <c r="T2957" s="13"/>
      <c r="U2957" s="13"/>
      <c r="V2957" s="13"/>
      <c r="W2957" s="13"/>
      <c r="X2957" s="22" t="str">
        <f aca="false">IF(Q2957="","",Q2957^2)</f>
        <v/>
      </c>
      <c r="Y2957" s="22" t="str">
        <f aca="false">IF(AND(C2957&lt;&gt;"",C2957=CERTIFICADO!$E$4,OR(CERTIFICADO!$E$5="",B2957=CERTIFICADO!$E$5)),MAX($Y$4:Y2956)+1,"")</f>
        <v/>
      </c>
    </row>
    <row r="2958" customFormat="false" ht="15" hidden="false" customHeight="false" outlineLevel="0" collapsed="false">
      <c r="A2958" s="11" t="str">
        <f aca="false">IF(C2958="","",ROW()-4)</f>
        <v/>
      </c>
      <c r="B2958" s="12"/>
      <c r="C2958" s="13"/>
      <c r="D2958" s="23" t="str">
        <f aca="false">IF(C2958="","",IFERROR(INDEX(LOTES!$D$5:$D$1004,MATCH(C2958,LOTES!$F$5:$F$1004,0)),"¿Lote?"))</f>
        <v/>
      </c>
      <c r="E2958" s="11" t="str">
        <f aca="false">IF(C2958="","",IFERROR(INDEX(LOTES!$C$5:$C$1004,MATCH(C2958,LOTES!$F$5:$F$1004,0)),""))</f>
        <v/>
      </c>
      <c r="F2958" s="24" t="str">
        <f aca="false">IF(C2958="","",IFERROR(INDEX(LOTES!$B$5:$B$1004,MATCH(C2958,LOTES!$F$5:$F$1004,0)),""))</f>
        <v/>
      </c>
      <c r="G2958" s="15" t="str">
        <f aca="false">IF(OR(B2958="",F2958=""),"",B2958-F2958)</f>
        <v/>
      </c>
      <c r="H2958" s="13"/>
      <c r="I2958" s="13"/>
      <c r="J2958" s="13"/>
      <c r="K2958" s="25"/>
      <c r="L2958" s="25"/>
      <c r="M2958" s="25"/>
      <c r="N2958" s="25"/>
      <c r="O2958" s="26"/>
      <c r="P2958" s="16" t="str">
        <f aca="false">IF(O2958="","",IFERROR(1/(1/(IF(K2958="",INDEX(CONFIG!$F$5:$F$14,MATCH(D2958,CONFIG!$D$5:$D$14,0)),K2958)*IF(M2958="",INDEX(CONFIG!$H$5:$H$14,MATCH(D2958,CONFIG!$D$5:$D$14,0)),M2958))),""))</f>
        <v/>
      </c>
      <c r="Q2958" s="16" t="str">
        <f aca="false">IF(OR(O2958="",P2958=""),"",O2958/P2958)</f>
        <v/>
      </c>
      <c r="R2958" s="16" t="str">
        <f aca="false">IF(Q2958="","",Q2958*0.0980665)</f>
        <v/>
      </c>
      <c r="S2958" s="16" t="str">
        <f aca="false">IF(Q2958="","",IFERROR(Q2958/(1/(1/INDEX(CONFIG!$I$5:$I$14,MATCH(D2958,CONFIG!$D$5:$D$14,0)))),""))</f>
        <v/>
      </c>
      <c r="T2958" s="13"/>
      <c r="U2958" s="13"/>
      <c r="V2958" s="13"/>
      <c r="W2958" s="13"/>
      <c r="X2958" s="22" t="str">
        <f aca="false">IF(Q2958="","",Q2958^2)</f>
        <v/>
      </c>
      <c r="Y2958" s="22" t="str">
        <f aca="false">IF(AND(C2958&lt;&gt;"",C2958=CERTIFICADO!$E$4,OR(CERTIFICADO!$E$5="",B2958=CERTIFICADO!$E$5)),MAX($Y$4:Y2957)+1,"")</f>
        <v/>
      </c>
    </row>
    <row r="2959" customFormat="false" ht="15" hidden="false" customHeight="false" outlineLevel="0" collapsed="false">
      <c r="A2959" s="11" t="str">
        <f aca="false">IF(C2959="","",ROW()-4)</f>
        <v/>
      </c>
      <c r="B2959" s="12"/>
      <c r="C2959" s="13"/>
      <c r="D2959" s="23" t="str">
        <f aca="false">IF(C2959="","",IFERROR(INDEX(LOTES!$D$5:$D$1004,MATCH(C2959,LOTES!$F$5:$F$1004,0)),"¿Lote?"))</f>
        <v/>
      </c>
      <c r="E2959" s="11" t="str">
        <f aca="false">IF(C2959="","",IFERROR(INDEX(LOTES!$C$5:$C$1004,MATCH(C2959,LOTES!$F$5:$F$1004,0)),""))</f>
        <v/>
      </c>
      <c r="F2959" s="24" t="str">
        <f aca="false">IF(C2959="","",IFERROR(INDEX(LOTES!$B$5:$B$1004,MATCH(C2959,LOTES!$F$5:$F$1004,0)),""))</f>
        <v/>
      </c>
      <c r="G2959" s="15" t="str">
        <f aca="false">IF(OR(B2959="",F2959=""),"",B2959-F2959)</f>
        <v/>
      </c>
      <c r="H2959" s="13"/>
      <c r="I2959" s="13"/>
      <c r="J2959" s="13"/>
      <c r="K2959" s="25"/>
      <c r="L2959" s="25"/>
      <c r="M2959" s="25"/>
      <c r="N2959" s="25"/>
      <c r="O2959" s="26"/>
      <c r="P2959" s="16" t="str">
        <f aca="false">IF(O2959="","",IFERROR(1/(1/(IF(K2959="",INDEX(CONFIG!$F$5:$F$14,MATCH(D2959,CONFIG!$D$5:$D$14,0)),K2959)*IF(M2959="",INDEX(CONFIG!$H$5:$H$14,MATCH(D2959,CONFIG!$D$5:$D$14,0)),M2959))),""))</f>
        <v/>
      </c>
      <c r="Q2959" s="16" t="str">
        <f aca="false">IF(OR(O2959="",P2959=""),"",O2959/P2959)</f>
        <v/>
      </c>
      <c r="R2959" s="16" t="str">
        <f aca="false">IF(Q2959="","",Q2959*0.0980665)</f>
        <v/>
      </c>
      <c r="S2959" s="16" t="str">
        <f aca="false">IF(Q2959="","",IFERROR(Q2959/(1/(1/INDEX(CONFIG!$I$5:$I$14,MATCH(D2959,CONFIG!$D$5:$D$14,0)))),""))</f>
        <v/>
      </c>
      <c r="T2959" s="13"/>
      <c r="U2959" s="13"/>
      <c r="V2959" s="13"/>
      <c r="W2959" s="13"/>
      <c r="X2959" s="22" t="str">
        <f aca="false">IF(Q2959="","",Q2959^2)</f>
        <v/>
      </c>
      <c r="Y2959" s="22" t="str">
        <f aca="false">IF(AND(C2959&lt;&gt;"",C2959=CERTIFICADO!$E$4,OR(CERTIFICADO!$E$5="",B2959=CERTIFICADO!$E$5)),MAX($Y$4:Y2958)+1,"")</f>
        <v/>
      </c>
    </row>
    <row r="2960" customFormat="false" ht="15" hidden="false" customHeight="false" outlineLevel="0" collapsed="false">
      <c r="A2960" s="11" t="str">
        <f aca="false">IF(C2960="","",ROW()-4)</f>
        <v/>
      </c>
      <c r="B2960" s="12"/>
      <c r="C2960" s="13"/>
      <c r="D2960" s="23" t="str">
        <f aca="false">IF(C2960="","",IFERROR(INDEX(LOTES!$D$5:$D$1004,MATCH(C2960,LOTES!$F$5:$F$1004,0)),"¿Lote?"))</f>
        <v/>
      </c>
      <c r="E2960" s="11" t="str">
        <f aca="false">IF(C2960="","",IFERROR(INDEX(LOTES!$C$5:$C$1004,MATCH(C2960,LOTES!$F$5:$F$1004,0)),""))</f>
        <v/>
      </c>
      <c r="F2960" s="24" t="str">
        <f aca="false">IF(C2960="","",IFERROR(INDEX(LOTES!$B$5:$B$1004,MATCH(C2960,LOTES!$F$5:$F$1004,0)),""))</f>
        <v/>
      </c>
      <c r="G2960" s="15" t="str">
        <f aca="false">IF(OR(B2960="",F2960=""),"",B2960-F2960)</f>
        <v/>
      </c>
      <c r="H2960" s="13"/>
      <c r="I2960" s="13"/>
      <c r="J2960" s="13"/>
      <c r="K2960" s="25"/>
      <c r="L2960" s="25"/>
      <c r="M2960" s="25"/>
      <c r="N2960" s="25"/>
      <c r="O2960" s="26"/>
      <c r="P2960" s="16" t="str">
        <f aca="false">IF(O2960="","",IFERROR(1/(1/(IF(K2960="",INDEX(CONFIG!$F$5:$F$14,MATCH(D2960,CONFIG!$D$5:$D$14,0)),K2960)*IF(M2960="",INDEX(CONFIG!$H$5:$H$14,MATCH(D2960,CONFIG!$D$5:$D$14,0)),M2960))),""))</f>
        <v/>
      </c>
      <c r="Q2960" s="16" t="str">
        <f aca="false">IF(OR(O2960="",P2960=""),"",O2960/P2960)</f>
        <v/>
      </c>
      <c r="R2960" s="16" t="str">
        <f aca="false">IF(Q2960="","",Q2960*0.0980665)</f>
        <v/>
      </c>
      <c r="S2960" s="16" t="str">
        <f aca="false">IF(Q2960="","",IFERROR(Q2960/(1/(1/INDEX(CONFIG!$I$5:$I$14,MATCH(D2960,CONFIG!$D$5:$D$14,0)))),""))</f>
        <v/>
      </c>
      <c r="T2960" s="13"/>
      <c r="U2960" s="13"/>
      <c r="V2960" s="13"/>
      <c r="W2960" s="13"/>
      <c r="X2960" s="22" t="str">
        <f aca="false">IF(Q2960="","",Q2960^2)</f>
        <v/>
      </c>
      <c r="Y2960" s="22" t="str">
        <f aca="false">IF(AND(C2960&lt;&gt;"",C2960=CERTIFICADO!$E$4,OR(CERTIFICADO!$E$5="",B2960=CERTIFICADO!$E$5)),MAX($Y$4:Y2959)+1,"")</f>
        <v/>
      </c>
    </row>
    <row r="2961" customFormat="false" ht="15" hidden="false" customHeight="false" outlineLevel="0" collapsed="false">
      <c r="A2961" s="11" t="str">
        <f aca="false">IF(C2961="","",ROW()-4)</f>
        <v/>
      </c>
      <c r="B2961" s="12"/>
      <c r="C2961" s="13"/>
      <c r="D2961" s="23" t="str">
        <f aca="false">IF(C2961="","",IFERROR(INDEX(LOTES!$D$5:$D$1004,MATCH(C2961,LOTES!$F$5:$F$1004,0)),"¿Lote?"))</f>
        <v/>
      </c>
      <c r="E2961" s="11" t="str">
        <f aca="false">IF(C2961="","",IFERROR(INDEX(LOTES!$C$5:$C$1004,MATCH(C2961,LOTES!$F$5:$F$1004,0)),""))</f>
        <v/>
      </c>
      <c r="F2961" s="24" t="str">
        <f aca="false">IF(C2961="","",IFERROR(INDEX(LOTES!$B$5:$B$1004,MATCH(C2961,LOTES!$F$5:$F$1004,0)),""))</f>
        <v/>
      </c>
      <c r="G2961" s="15" t="str">
        <f aca="false">IF(OR(B2961="",F2961=""),"",B2961-F2961)</f>
        <v/>
      </c>
      <c r="H2961" s="13"/>
      <c r="I2961" s="13"/>
      <c r="J2961" s="13"/>
      <c r="K2961" s="25"/>
      <c r="L2961" s="25"/>
      <c r="M2961" s="25"/>
      <c r="N2961" s="25"/>
      <c r="O2961" s="26"/>
      <c r="P2961" s="16" t="str">
        <f aca="false">IF(O2961="","",IFERROR(1/(1/(IF(K2961="",INDEX(CONFIG!$F$5:$F$14,MATCH(D2961,CONFIG!$D$5:$D$14,0)),K2961)*IF(M2961="",INDEX(CONFIG!$H$5:$H$14,MATCH(D2961,CONFIG!$D$5:$D$14,0)),M2961))),""))</f>
        <v/>
      </c>
      <c r="Q2961" s="16" t="str">
        <f aca="false">IF(OR(O2961="",P2961=""),"",O2961/P2961)</f>
        <v/>
      </c>
      <c r="R2961" s="16" t="str">
        <f aca="false">IF(Q2961="","",Q2961*0.0980665)</f>
        <v/>
      </c>
      <c r="S2961" s="16" t="str">
        <f aca="false">IF(Q2961="","",IFERROR(Q2961/(1/(1/INDEX(CONFIG!$I$5:$I$14,MATCH(D2961,CONFIG!$D$5:$D$14,0)))),""))</f>
        <v/>
      </c>
      <c r="T2961" s="13"/>
      <c r="U2961" s="13"/>
      <c r="V2961" s="13"/>
      <c r="W2961" s="13"/>
      <c r="X2961" s="22" t="str">
        <f aca="false">IF(Q2961="","",Q2961^2)</f>
        <v/>
      </c>
      <c r="Y2961" s="22" t="str">
        <f aca="false">IF(AND(C2961&lt;&gt;"",C2961=CERTIFICADO!$E$4,OR(CERTIFICADO!$E$5="",B2961=CERTIFICADO!$E$5)),MAX($Y$4:Y2960)+1,"")</f>
        <v/>
      </c>
    </row>
    <row r="2962" customFormat="false" ht="15" hidden="false" customHeight="false" outlineLevel="0" collapsed="false">
      <c r="A2962" s="11" t="str">
        <f aca="false">IF(C2962="","",ROW()-4)</f>
        <v/>
      </c>
      <c r="B2962" s="12"/>
      <c r="C2962" s="13"/>
      <c r="D2962" s="23" t="str">
        <f aca="false">IF(C2962="","",IFERROR(INDEX(LOTES!$D$5:$D$1004,MATCH(C2962,LOTES!$F$5:$F$1004,0)),"¿Lote?"))</f>
        <v/>
      </c>
      <c r="E2962" s="11" t="str">
        <f aca="false">IF(C2962="","",IFERROR(INDEX(LOTES!$C$5:$C$1004,MATCH(C2962,LOTES!$F$5:$F$1004,0)),""))</f>
        <v/>
      </c>
      <c r="F2962" s="24" t="str">
        <f aca="false">IF(C2962="","",IFERROR(INDEX(LOTES!$B$5:$B$1004,MATCH(C2962,LOTES!$F$5:$F$1004,0)),""))</f>
        <v/>
      </c>
      <c r="G2962" s="15" t="str">
        <f aca="false">IF(OR(B2962="",F2962=""),"",B2962-F2962)</f>
        <v/>
      </c>
      <c r="H2962" s="13"/>
      <c r="I2962" s="13"/>
      <c r="J2962" s="13"/>
      <c r="K2962" s="25"/>
      <c r="L2962" s="25"/>
      <c r="M2962" s="25"/>
      <c r="N2962" s="25"/>
      <c r="O2962" s="26"/>
      <c r="P2962" s="16" t="str">
        <f aca="false">IF(O2962="","",IFERROR(1/(1/(IF(K2962="",INDEX(CONFIG!$F$5:$F$14,MATCH(D2962,CONFIG!$D$5:$D$14,0)),K2962)*IF(M2962="",INDEX(CONFIG!$H$5:$H$14,MATCH(D2962,CONFIG!$D$5:$D$14,0)),M2962))),""))</f>
        <v/>
      </c>
      <c r="Q2962" s="16" t="str">
        <f aca="false">IF(OR(O2962="",P2962=""),"",O2962/P2962)</f>
        <v/>
      </c>
      <c r="R2962" s="16" t="str">
        <f aca="false">IF(Q2962="","",Q2962*0.0980665)</f>
        <v/>
      </c>
      <c r="S2962" s="16" t="str">
        <f aca="false">IF(Q2962="","",IFERROR(Q2962/(1/(1/INDEX(CONFIG!$I$5:$I$14,MATCH(D2962,CONFIG!$D$5:$D$14,0)))),""))</f>
        <v/>
      </c>
      <c r="T2962" s="13"/>
      <c r="U2962" s="13"/>
      <c r="V2962" s="13"/>
      <c r="W2962" s="13"/>
      <c r="X2962" s="22" t="str">
        <f aca="false">IF(Q2962="","",Q2962^2)</f>
        <v/>
      </c>
      <c r="Y2962" s="22" t="str">
        <f aca="false">IF(AND(C2962&lt;&gt;"",C2962=CERTIFICADO!$E$4,OR(CERTIFICADO!$E$5="",B2962=CERTIFICADO!$E$5)),MAX($Y$4:Y2961)+1,"")</f>
        <v/>
      </c>
    </row>
    <row r="2963" customFormat="false" ht="15" hidden="false" customHeight="false" outlineLevel="0" collapsed="false">
      <c r="A2963" s="11" t="str">
        <f aca="false">IF(C2963="","",ROW()-4)</f>
        <v/>
      </c>
      <c r="B2963" s="12"/>
      <c r="C2963" s="13"/>
      <c r="D2963" s="23" t="str">
        <f aca="false">IF(C2963="","",IFERROR(INDEX(LOTES!$D$5:$D$1004,MATCH(C2963,LOTES!$F$5:$F$1004,0)),"¿Lote?"))</f>
        <v/>
      </c>
      <c r="E2963" s="11" t="str">
        <f aca="false">IF(C2963="","",IFERROR(INDEX(LOTES!$C$5:$C$1004,MATCH(C2963,LOTES!$F$5:$F$1004,0)),""))</f>
        <v/>
      </c>
      <c r="F2963" s="24" t="str">
        <f aca="false">IF(C2963="","",IFERROR(INDEX(LOTES!$B$5:$B$1004,MATCH(C2963,LOTES!$F$5:$F$1004,0)),""))</f>
        <v/>
      </c>
      <c r="G2963" s="15" t="str">
        <f aca="false">IF(OR(B2963="",F2963=""),"",B2963-F2963)</f>
        <v/>
      </c>
      <c r="H2963" s="13"/>
      <c r="I2963" s="13"/>
      <c r="J2963" s="13"/>
      <c r="K2963" s="25"/>
      <c r="L2963" s="25"/>
      <c r="M2963" s="25"/>
      <c r="N2963" s="25"/>
      <c r="O2963" s="26"/>
      <c r="P2963" s="16" t="str">
        <f aca="false">IF(O2963="","",IFERROR(1/(1/(IF(K2963="",INDEX(CONFIG!$F$5:$F$14,MATCH(D2963,CONFIG!$D$5:$D$14,0)),K2963)*IF(M2963="",INDEX(CONFIG!$H$5:$H$14,MATCH(D2963,CONFIG!$D$5:$D$14,0)),M2963))),""))</f>
        <v/>
      </c>
      <c r="Q2963" s="16" t="str">
        <f aca="false">IF(OR(O2963="",P2963=""),"",O2963/P2963)</f>
        <v/>
      </c>
      <c r="R2963" s="16" t="str">
        <f aca="false">IF(Q2963="","",Q2963*0.0980665)</f>
        <v/>
      </c>
      <c r="S2963" s="16" t="str">
        <f aca="false">IF(Q2963="","",IFERROR(Q2963/(1/(1/INDEX(CONFIG!$I$5:$I$14,MATCH(D2963,CONFIG!$D$5:$D$14,0)))),""))</f>
        <v/>
      </c>
      <c r="T2963" s="13"/>
      <c r="U2963" s="13"/>
      <c r="V2963" s="13"/>
      <c r="W2963" s="13"/>
      <c r="X2963" s="22" t="str">
        <f aca="false">IF(Q2963="","",Q2963^2)</f>
        <v/>
      </c>
      <c r="Y2963" s="22" t="str">
        <f aca="false">IF(AND(C2963&lt;&gt;"",C2963=CERTIFICADO!$E$4,OR(CERTIFICADO!$E$5="",B2963=CERTIFICADO!$E$5)),MAX($Y$4:Y2962)+1,"")</f>
        <v/>
      </c>
    </row>
    <row r="2964" customFormat="false" ht="15" hidden="false" customHeight="false" outlineLevel="0" collapsed="false">
      <c r="A2964" s="11" t="str">
        <f aca="false">IF(C2964="","",ROW()-4)</f>
        <v/>
      </c>
      <c r="B2964" s="12"/>
      <c r="C2964" s="13"/>
      <c r="D2964" s="23" t="str">
        <f aca="false">IF(C2964="","",IFERROR(INDEX(LOTES!$D$5:$D$1004,MATCH(C2964,LOTES!$F$5:$F$1004,0)),"¿Lote?"))</f>
        <v/>
      </c>
      <c r="E2964" s="11" t="str">
        <f aca="false">IF(C2964="","",IFERROR(INDEX(LOTES!$C$5:$C$1004,MATCH(C2964,LOTES!$F$5:$F$1004,0)),""))</f>
        <v/>
      </c>
      <c r="F2964" s="24" t="str">
        <f aca="false">IF(C2964="","",IFERROR(INDEX(LOTES!$B$5:$B$1004,MATCH(C2964,LOTES!$F$5:$F$1004,0)),""))</f>
        <v/>
      </c>
      <c r="G2964" s="15" t="str">
        <f aca="false">IF(OR(B2964="",F2964=""),"",B2964-F2964)</f>
        <v/>
      </c>
      <c r="H2964" s="13"/>
      <c r="I2964" s="13"/>
      <c r="J2964" s="13"/>
      <c r="K2964" s="25"/>
      <c r="L2964" s="25"/>
      <c r="M2964" s="25"/>
      <c r="N2964" s="25"/>
      <c r="O2964" s="26"/>
      <c r="P2964" s="16" t="str">
        <f aca="false">IF(O2964="","",IFERROR(1/(1/(IF(K2964="",INDEX(CONFIG!$F$5:$F$14,MATCH(D2964,CONFIG!$D$5:$D$14,0)),K2964)*IF(M2964="",INDEX(CONFIG!$H$5:$H$14,MATCH(D2964,CONFIG!$D$5:$D$14,0)),M2964))),""))</f>
        <v/>
      </c>
      <c r="Q2964" s="16" t="str">
        <f aca="false">IF(OR(O2964="",P2964=""),"",O2964/P2964)</f>
        <v/>
      </c>
      <c r="R2964" s="16" t="str">
        <f aca="false">IF(Q2964="","",Q2964*0.0980665)</f>
        <v/>
      </c>
      <c r="S2964" s="16" t="str">
        <f aca="false">IF(Q2964="","",IFERROR(Q2964/(1/(1/INDEX(CONFIG!$I$5:$I$14,MATCH(D2964,CONFIG!$D$5:$D$14,0)))),""))</f>
        <v/>
      </c>
      <c r="T2964" s="13"/>
      <c r="U2964" s="13"/>
      <c r="V2964" s="13"/>
      <c r="W2964" s="13"/>
      <c r="X2964" s="22" t="str">
        <f aca="false">IF(Q2964="","",Q2964^2)</f>
        <v/>
      </c>
      <c r="Y2964" s="22" t="str">
        <f aca="false">IF(AND(C2964&lt;&gt;"",C2964=CERTIFICADO!$E$4,OR(CERTIFICADO!$E$5="",B2964=CERTIFICADO!$E$5)),MAX($Y$4:Y2963)+1,"")</f>
        <v/>
      </c>
    </row>
    <row r="2965" customFormat="false" ht="15" hidden="false" customHeight="false" outlineLevel="0" collapsed="false">
      <c r="A2965" s="11" t="str">
        <f aca="false">IF(C2965="","",ROW()-4)</f>
        <v/>
      </c>
      <c r="B2965" s="12"/>
      <c r="C2965" s="13"/>
      <c r="D2965" s="23" t="str">
        <f aca="false">IF(C2965="","",IFERROR(INDEX(LOTES!$D$5:$D$1004,MATCH(C2965,LOTES!$F$5:$F$1004,0)),"¿Lote?"))</f>
        <v/>
      </c>
      <c r="E2965" s="11" t="str">
        <f aca="false">IF(C2965="","",IFERROR(INDEX(LOTES!$C$5:$C$1004,MATCH(C2965,LOTES!$F$5:$F$1004,0)),""))</f>
        <v/>
      </c>
      <c r="F2965" s="24" t="str">
        <f aca="false">IF(C2965="","",IFERROR(INDEX(LOTES!$B$5:$B$1004,MATCH(C2965,LOTES!$F$5:$F$1004,0)),""))</f>
        <v/>
      </c>
      <c r="G2965" s="15" t="str">
        <f aca="false">IF(OR(B2965="",F2965=""),"",B2965-F2965)</f>
        <v/>
      </c>
      <c r="H2965" s="13"/>
      <c r="I2965" s="13"/>
      <c r="J2965" s="13"/>
      <c r="K2965" s="25"/>
      <c r="L2965" s="25"/>
      <c r="M2965" s="25"/>
      <c r="N2965" s="25"/>
      <c r="O2965" s="26"/>
      <c r="P2965" s="16" t="str">
        <f aca="false">IF(O2965="","",IFERROR(1/(1/(IF(K2965="",INDEX(CONFIG!$F$5:$F$14,MATCH(D2965,CONFIG!$D$5:$D$14,0)),K2965)*IF(M2965="",INDEX(CONFIG!$H$5:$H$14,MATCH(D2965,CONFIG!$D$5:$D$14,0)),M2965))),""))</f>
        <v/>
      </c>
      <c r="Q2965" s="16" t="str">
        <f aca="false">IF(OR(O2965="",P2965=""),"",O2965/P2965)</f>
        <v/>
      </c>
      <c r="R2965" s="16" t="str">
        <f aca="false">IF(Q2965="","",Q2965*0.0980665)</f>
        <v/>
      </c>
      <c r="S2965" s="16" t="str">
        <f aca="false">IF(Q2965="","",IFERROR(Q2965/(1/(1/INDEX(CONFIG!$I$5:$I$14,MATCH(D2965,CONFIG!$D$5:$D$14,0)))),""))</f>
        <v/>
      </c>
      <c r="T2965" s="13"/>
      <c r="U2965" s="13"/>
      <c r="V2965" s="13"/>
      <c r="W2965" s="13"/>
      <c r="X2965" s="22" t="str">
        <f aca="false">IF(Q2965="","",Q2965^2)</f>
        <v/>
      </c>
      <c r="Y2965" s="22" t="str">
        <f aca="false">IF(AND(C2965&lt;&gt;"",C2965=CERTIFICADO!$E$4,OR(CERTIFICADO!$E$5="",B2965=CERTIFICADO!$E$5)),MAX($Y$4:Y2964)+1,"")</f>
        <v/>
      </c>
    </row>
    <row r="2966" customFormat="false" ht="15" hidden="false" customHeight="false" outlineLevel="0" collapsed="false">
      <c r="A2966" s="11" t="str">
        <f aca="false">IF(C2966="","",ROW()-4)</f>
        <v/>
      </c>
      <c r="B2966" s="12"/>
      <c r="C2966" s="13"/>
      <c r="D2966" s="23" t="str">
        <f aca="false">IF(C2966="","",IFERROR(INDEX(LOTES!$D$5:$D$1004,MATCH(C2966,LOTES!$F$5:$F$1004,0)),"¿Lote?"))</f>
        <v/>
      </c>
      <c r="E2966" s="11" t="str">
        <f aca="false">IF(C2966="","",IFERROR(INDEX(LOTES!$C$5:$C$1004,MATCH(C2966,LOTES!$F$5:$F$1004,0)),""))</f>
        <v/>
      </c>
      <c r="F2966" s="24" t="str">
        <f aca="false">IF(C2966="","",IFERROR(INDEX(LOTES!$B$5:$B$1004,MATCH(C2966,LOTES!$F$5:$F$1004,0)),""))</f>
        <v/>
      </c>
      <c r="G2966" s="15" t="str">
        <f aca="false">IF(OR(B2966="",F2966=""),"",B2966-F2966)</f>
        <v/>
      </c>
      <c r="H2966" s="13"/>
      <c r="I2966" s="13"/>
      <c r="J2966" s="13"/>
      <c r="K2966" s="25"/>
      <c r="L2966" s="25"/>
      <c r="M2966" s="25"/>
      <c r="N2966" s="25"/>
      <c r="O2966" s="26"/>
      <c r="P2966" s="16" t="str">
        <f aca="false">IF(O2966="","",IFERROR(1/(1/(IF(K2966="",INDEX(CONFIG!$F$5:$F$14,MATCH(D2966,CONFIG!$D$5:$D$14,0)),K2966)*IF(M2966="",INDEX(CONFIG!$H$5:$H$14,MATCH(D2966,CONFIG!$D$5:$D$14,0)),M2966))),""))</f>
        <v/>
      </c>
      <c r="Q2966" s="16" t="str">
        <f aca="false">IF(OR(O2966="",P2966=""),"",O2966/P2966)</f>
        <v/>
      </c>
      <c r="R2966" s="16" t="str">
        <f aca="false">IF(Q2966="","",Q2966*0.0980665)</f>
        <v/>
      </c>
      <c r="S2966" s="16" t="str">
        <f aca="false">IF(Q2966="","",IFERROR(Q2966/(1/(1/INDEX(CONFIG!$I$5:$I$14,MATCH(D2966,CONFIG!$D$5:$D$14,0)))),""))</f>
        <v/>
      </c>
      <c r="T2966" s="13"/>
      <c r="U2966" s="13"/>
      <c r="V2966" s="13"/>
      <c r="W2966" s="13"/>
      <c r="X2966" s="22" t="str">
        <f aca="false">IF(Q2966="","",Q2966^2)</f>
        <v/>
      </c>
      <c r="Y2966" s="22" t="str">
        <f aca="false">IF(AND(C2966&lt;&gt;"",C2966=CERTIFICADO!$E$4,OR(CERTIFICADO!$E$5="",B2966=CERTIFICADO!$E$5)),MAX($Y$4:Y2965)+1,"")</f>
        <v/>
      </c>
    </row>
    <row r="2967" customFormat="false" ht="15" hidden="false" customHeight="false" outlineLevel="0" collapsed="false">
      <c r="A2967" s="11" t="str">
        <f aca="false">IF(C2967="","",ROW()-4)</f>
        <v/>
      </c>
      <c r="B2967" s="12"/>
      <c r="C2967" s="13"/>
      <c r="D2967" s="23" t="str">
        <f aca="false">IF(C2967="","",IFERROR(INDEX(LOTES!$D$5:$D$1004,MATCH(C2967,LOTES!$F$5:$F$1004,0)),"¿Lote?"))</f>
        <v/>
      </c>
      <c r="E2967" s="11" t="str">
        <f aca="false">IF(C2967="","",IFERROR(INDEX(LOTES!$C$5:$C$1004,MATCH(C2967,LOTES!$F$5:$F$1004,0)),""))</f>
        <v/>
      </c>
      <c r="F2967" s="24" t="str">
        <f aca="false">IF(C2967="","",IFERROR(INDEX(LOTES!$B$5:$B$1004,MATCH(C2967,LOTES!$F$5:$F$1004,0)),""))</f>
        <v/>
      </c>
      <c r="G2967" s="15" t="str">
        <f aca="false">IF(OR(B2967="",F2967=""),"",B2967-F2967)</f>
        <v/>
      </c>
      <c r="H2967" s="13"/>
      <c r="I2967" s="13"/>
      <c r="J2967" s="13"/>
      <c r="K2967" s="25"/>
      <c r="L2967" s="25"/>
      <c r="M2967" s="25"/>
      <c r="N2967" s="25"/>
      <c r="O2967" s="26"/>
      <c r="P2967" s="16" t="str">
        <f aca="false">IF(O2967="","",IFERROR(1/(1/(IF(K2967="",INDEX(CONFIG!$F$5:$F$14,MATCH(D2967,CONFIG!$D$5:$D$14,0)),K2967)*IF(M2967="",INDEX(CONFIG!$H$5:$H$14,MATCH(D2967,CONFIG!$D$5:$D$14,0)),M2967))),""))</f>
        <v/>
      </c>
      <c r="Q2967" s="16" t="str">
        <f aca="false">IF(OR(O2967="",P2967=""),"",O2967/P2967)</f>
        <v/>
      </c>
      <c r="R2967" s="16" t="str">
        <f aca="false">IF(Q2967="","",Q2967*0.0980665)</f>
        <v/>
      </c>
      <c r="S2967" s="16" t="str">
        <f aca="false">IF(Q2967="","",IFERROR(Q2967/(1/(1/INDEX(CONFIG!$I$5:$I$14,MATCH(D2967,CONFIG!$D$5:$D$14,0)))),""))</f>
        <v/>
      </c>
      <c r="T2967" s="13"/>
      <c r="U2967" s="13"/>
      <c r="V2967" s="13"/>
      <c r="W2967" s="13"/>
      <c r="X2967" s="22" t="str">
        <f aca="false">IF(Q2967="","",Q2967^2)</f>
        <v/>
      </c>
      <c r="Y2967" s="22" t="str">
        <f aca="false">IF(AND(C2967&lt;&gt;"",C2967=CERTIFICADO!$E$4,OR(CERTIFICADO!$E$5="",B2967=CERTIFICADO!$E$5)),MAX($Y$4:Y2966)+1,"")</f>
        <v/>
      </c>
    </row>
    <row r="2968" customFormat="false" ht="15" hidden="false" customHeight="false" outlineLevel="0" collapsed="false">
      <c r="A2968" s="11" t="str">
        <f aca="false">IF(C2968="","",ROW()-4)</f>
        <v/>
      </c>
      <c r="B2968" s="12"/>
      <c r="C2968" s="13"/>
      <c r="D2968" s="23" t="str">
        <f aca="false">IF(C2968="","",IFERROR(INDEX(LOTES!$D$5:$D$1004,MATCH(C2968,LOTES!$F$5:$F$1004,0)),"¿Lote?"))</f>
        <v/>
      </c>
      <c r="E2968" s="11" t="str">
        <f aca="false">IF(C2968="","",IFERROR(INDEX(LOTES!$C$5:$C$1004,MATCH(C2968,LOTES!$F$5:$F$1004,0)),""))</f>
        <v/>
      </c>
      <c r="F2968" s="24" t="str">
        <f aca="false">IF(C2968="","",IFERROR(INDEX(LOTES!$B$5:$B$1004,MATCH(C2968,LOTES!$F$5:$F$1004,0)),""))</f>
        <v/>
      </c>
      <c r="G2968" s="15" t="str">
        <f aca="false">IF(OR(B2968="",F2968=""),"",B2968-F2968)</f>
        <v/>
      </c>
      <c r="H2968" s="13"/>
      <c r="I2968" s="13"/>
      <c r="J2968" s="13"/>
      <c r="K2968" s="25"/>
      <c r="L2968" s="25"/>
      <c r="M2968" s="25"/>
      <c r="N2968" s="25"/>
      <c r="O2968" s="26"/>
      <c r="P2968" s="16" t="str">
        <f aca="false">IF(O2968="","",IFERROR(1/(1/(IF(K2968="",INDEX(CONFIG!$F$5:$F$14,MATCH(D2968,CONFIG!$D$5:$D$14,0)),K2968)*IF(M2968="",INDEX(CONFIG!$H$5:$H$14,MATCH(D2968,CONFIG!$D$5:$D$14,0)),M2968))),""))</f>
        <v/>
      </c>
      <c r="Q2968" s="16" t="str">
        <f aca="false">IF(OR(O2968="",P2968=""),"",O2968/P2968)</f>
        <v/>
      </c>
      <c r="R2968" s="16" t="str">
        <f aca="false">IF(Q2968="","",Q2968*0.0980665)</f>
        <v/>
      </c>
      <c r="S2968" s="16" t="str">
        <f aca="false">IF(Q2968="","",IFERROR(Q2968/(1/(1/INDEX(CONFIG!$I$5:$I$14,MATCH(D2968,CONFIG!$D$5:$D$14,0)))),""))</f>
        <v/>
      </c>
      <c r="T2968" s="13"/>
      <c r="U2968" s="13"/>
      <c r="V2968" s="13"/>
      <c r="W2968" s="13"/>
      <c r="X2968" s="22" t="str">
        <f aca="false">IF(Q2968="","",Q2968^2)</f>
        <v/>
      </c>
      <c r="Y2968" s="22" t="str">
        <f aca="false">IF(AND(C2968&lt;&gt;"",C2968=CERTIFICADO!$E$4,OR(CERTIFICADO!$E$5="",B2968=CERTIFICADO!$E$5)),MAX($Y$4:Y2967)+1,"")</f>
        <v/>
      </c>
    </row>
    <row r="2969" customFormat="false" ht="15" hidden="false" customHeight="false" outlineLevel="0" collapsed="false">
      <c r="A2969" s="11" t="str">
        <f aca="false">IF(C2969="","",ROW()-4)</f>
        <v/>
      </c>
      <c r="B2969" s="12"/>
      <c r="C2969" s="13"/>
      <c r="D2969" s="23" t="str">
        <f aca="false">IF(C2969="","",IFERROR(INDEX(LOTES!$D$5:$D$1004,MATCH(C2969,LOTES!$F$5:$F$1004,0)),"¿Lote?"))</f>
        <v/>
      </c>
      <c r="E2969" s="11" t="str">
        <f aca="false">IF(C2969="","",IFERROR(INDEX(LOTES!$C$5:$C$1004,MATCH(C2969,LOTES!$F$5:$F$1004,0)),""))</f>
        <v/>
      </c>
      <c r="F2969" s="24" t="str">
        <f aca="false">IF(C2969="","",IFERROR(INDEX(LOTES!$B$5:$B$1004,MATCH(C2969,LOTES!$F$5:$F$1004,0)),""))</f>
        <v/>
      </c>
      <c r="G2969" s="15" t="str">
        <f aca="false">IF(OR(B2969="",F2969=""),"",B2969-F2969)</f>
        <v/>
      </c>
      <c r="H2969" s="13"/>
      <c r="I2969" s="13"/>
      <c r="J2969" s="13"/>
      <c r="K2969" s="25"/>
      <c r="L2969" s="25"/>
      <c r="M2969" s="25"/>
      <c r="N2969" s="25"/>
      <c r="O2969" s="26"/>
      <c r="P2969" s="16" t="str">
        <f aca="false">IF(O2969="","",IFERROR(1/(1/(IF(K2969="",INDEX(CONFIG!$F$5:$F$14,MATCH(D2969,CONFIG!$D$5:$D$14,0)),K2969)*IF(M2969="",INDEX(CONFIG!$H$5:$H$14,MATCH(D2969,CONFIG!$D$5:$D$14,0)),M2969))),""))</f>
        <v/>
      </c>
      <c r="Q2969" s="16" t="str">
        <f aca="false">IF(OR(O2969="",P2969=""),"",O2969/P2969)</f>
        <v/>
      </c>
      <c r="R2969" s="16" t="str">
        <f aca="false">IF(Q2969="","",Q2969*0.0980665)</f>
        <v/>
      </c>
      <c r="S2969" s="16" t="str">
        <f aca="false">IF(Q2969="","",IFERROR(Q2969/(1/(1/INDEX(CONFIG!$I$5:$I$14,MATCH(D2969,CONFIG!$D$5:$D$14,0)))),""))</f>
        <v/>
      </c>
      <c r="T2969" s="13"/>
      <c r="U2969" s="13"/>
      <c r="V2969" s="13"/>
      <c r="W2969" s="13"/>
      <c r="X2969" s="22" t="str">
        <f aca="false">IF(Q2969="","",Q2969^2)</f>
        <v/>
      </c>
      <c r="Y2969" s="22" t="str">
        <f aca="false">IF(AND(C2969&lt;&gt;"",C2969=CERTIFICADO!$E$4,OR(CERTIFICADO!$E$5="",B2969=CERTIFICADO!$E$5)),MAX($Y$4:Y2968)+1,"")</f>
        <v/>
      </c>
    </row>
    <row r="2970" customFormat="false" ht="15" hidden="false" customHeight="false" outlineLevel="0" collapsed="false">
      <c r="A2970" s="11" t="str">
        <f aca="false">IF(C2970="","",ROW()-4)</f>
        <v/>
      </c>
      <c r="B2970" s="12"/>
      <c r="C2970" s="13"/>
      <c r="D2970" s="23" t="str">
        <f aca="false">IF(C2970="","",IFERROR(INDEX(LOTES!$D$5:$D$1004,MATCH(C2970,LOTES!$F$5:$F$1004,0)),"¿Lote?"))</f>
        <v/>
      </c>
      <c r="E2970" s="11" t="str">
        <f aca="false">IF(C2970="","",IFERROR(INDEX(LOTES!$C$5:$C$1004,MATCH(C2970,LOTES!$F$5:$F$1004,0)),""))</f>
        <v/>
      </c>
      <c r="F2970" s="24" t="str">
        <f aca="false">IF(C2970="","",IFERROR(INDEX(LOTES!$B$5:$B$1004,MATCH(C2970,LOTES!$F$5:$F$1004,0)),""))</f>
        <v/>
      </c>
      <c r="G2970" s="15" t="str">
        <f aca="false">IF(OR(B2970="",F2970=""),"",B2970-F2970)</f>
        <v/>
      </c>
      <c r="H2970" s="13"/>
      <c r="I2970" s="13"/>
      <c r="J2970" s="13"/>
      <c r="K2970" s="25"/>
      <c r="L2970" s="25"/>
      <c r="M2970" s="25"/>
      <c r="N2970" s="25"/>
      <c r="O2970" s="26"/>
      <c r="P2970" s="16" t="str">
        <f aca="false">IF(O2970="","",IFERROR(1/(1/(IF(K2970="",INDEX(CONFIG!$F$5:$F$14,MATCH(D2970,CONFIG!$D$5:$D$14,0)),K2970)*IF(M2970="",INDEX(CONFIG!$H$5:$H$14,MATCH(D2970,CONFIG!$D$5:$D$14,0)),M2970))),""))</f>
        <v/>
      </c>
      <c r="Q2970" s="16" t="str">
        <f aca="false">IF(OR(O2970="",P2970=""),"",O2970/P2970)</f>
        <v/>
      </c>
      <c r="R2970" s="16" t="str">
        <f aca="false">IF(Q2970="","",Q2970*0.0980665)</f>
        <v/>
      </c>
      <c r="S2970" s="16" t="str">
        <f aca="false">IF(Q2970="","",IFERROR(Q2970/(1/(1/INDEX(CONFIG!$I$5:$I$14,MATCH(D2970,CONFIG!$D$5:$D$14,0)))),""))</f>
        <v/>
      </c>
      <c r="T2970" s="13"/>
      <c r="U2970" s="13"/>
      <c r="V2970" s="13"/>
      <c r="W2970" s="13"/>
      <c r="X2970" s="22" t="str">
        <f aca="false">IF(Q2970="","",Q2970^2)</f>
        <v/>
      </c>
      <c r="Y2970" s="22" t="str">
        <f aca="false">IF(AND(C2970&lt;&gt;"",C2970=CERTIFICADO!$E$4,OR(CERTIFICADO!$E$5="",B2970=CERTIFICADO!$E$5)),MAX($Y$4:Y2969)+1,"")</f>
        <v/>
      </c>
    </row>
    <row r="2971" customFormat="false" ht="15" hidden="false" customHeight="false" outlineLevel="0" collapsed="false">
      <c r="A2971" s="11" t="str">
        <f aca="false">IF(C2971="","",ROW()-4)</f>
        <v/>
      </c>
      <c r="B2971" s="12"/>
      <c r="C2971" s="13"/>
      <c r="D2971" s="23" t="str">
        <f aca="false">IF(C2971="","",IFERROR(INDEX(LOTES!$D$5:$D$1004,MATCH(C2971,LOTES!$F$5:$F$1004,0)),"¿Lote?"))</f>
        <v/>
      </c>
      <c r="E2971" s="11" t="str">
        <f aca="false">IF(C2971="","",IFERROR(INDEX(LOTES!$C$5:$C$1004,MATCH(C2971,LOTES!$F$5:$F$1004,0)),""))</f>
        <v/>
      </c>
      <c r="F2971" s="24" t="str">
        <f aca="false">IF(C2971="","",IFERROR(INDEX(LOTES!$B$5:$B$1004,MATCH(C2971,LOTES!$F$5:$F$1004,0)),""))</f>
        <v/>
      </c>
      <c r="G2971" s="15" t="str">
        <f aca="false">IF(OR(B2971="",F2971=""),"",B2971-F2971)</f>
        <v/>
      </c>
      <c r="H2971" s="13"/>
      <c r="I2971" s="13"/>
      <c r="J2971" s="13"/>
      <c r="K2971" s="25"/>
      <c r="L2971" s="25"/>
      <c r="M2971" s="25"/>
      <c r="N2971" s="25"/>
      <c r="O2971" s="26"/>
      <c r="P2971" s="16" t="str">
        <f aca="false">IF(O2971="","",IFERROR(1/(1/(IF(K2971="",INDEX(CONFIG!$F$5:$F$14,MATCH(D2971,CONFIG!$D$5:$D$14,0)),K2971)*IF(M2971="",INDEX(CONFIG!$H$5:$H$14,MATCH(D2971,CONFIG!$D$5:$D$14,0)),M2971))),""))</f>
        <v/>
      </c>
      <c r="Q2971" s="16" t="str">
        <f aca="false">IF(OR(O2971="",P2971=""),"",O2971/P2971)</f>
        <v/>
      </c>
      <c r="R2971" s="16" t="str">
        <f aca="false">IF(Q2971="","",Q2971*0.0980665)</f>
        <v/>
      </c>
      <c r="S2971" s="16" t="str">
        <f aca="false">IF(Q2971="","",IFERROR(Q2971/(1/(1/INDEX(CONFIG!$I$5:$I$14,MATCH(D2971,CONFIG!$D$5:$D$14,0)))),""))</f>
        <v/>
      </c>
      <c r="T2971" s="13"/>
      <c r="U2971" s="13"/>
      <c r="V2971" s="13"/>
      <c r="W2971" s="13"/>
      <c r="X2971" s="22" t="str">
        <f aca="false">IF(Q2971="","",Q2971^2)</f>
        <v/>
      </c>
      <c r="Y2971" s="22" t="str">
        <f aca="false">IF(AND(C2971&lt;&gt;"",C2971=CERTIFICADO!$E$4,OR(CERTIFICADO!$E$5="",B2971=CERTIFICADO!$E$5)),MAX($Y$4:Y2970)+1,"")</f>
        <v/>
      </c>
    </row>
    <row r="2972" customFormat="false" ht="15" hidden="false" customHeight="false" outlineLevel="0" collapsed="false">
      <c r="A2972" s="11" t="str">
        <f aca="false">IF(C2972="","",ROW()-4)</f>
        <v/>
      </c>
      <c r="B2972" s="12"/>
      <c r="C2972" s="13"/>
      <c r="D2972" s="23" t="str">
        <f aca="false">IF(C2972="","",IFERROR(INDEX(LOTES!$D$5:$D$1004,MATCH(C2972,LOTES!$F$5:$F$1004,0)),"¿Lote?"))</f>
        <v/>
      </c>
      <c r="E2972" s="11" t="str">
        <f aca="false">IF(C2972="","",IFERROR(INDEX(LOTES!$C$5:$C$1004,MATCH(C2972,LOTES!$F$5:$F$1004,0)),""))</f>
        <v/>
      </c>
      <c r="F2972" s="24" t="str">
        <f aca="false">IF(C2972="","",IFERROR(INDEX(LOTES!$B$5:$B$1004,MATCH(C2972,LOTES!$F$5:$F$1004,0)),""))</f>
        <v/>
      </c>
      <c r="G2972" s="15" t="str">
        <f aca="false">IF(OR(B2972="",F2972=""),"",B2972-F2972)</f>
        <v/>
      </c>
      <c r="H2972" s="13"/>
      <c r="I2972" s="13"/>
      <c r="J2972" s="13"/>
      <c r="K2972" s="25"/>
      <c r="L2972" s="25"/>
      <c r="M2972" s="25"/>
      <c r="N2972" s="25"/>
      <c r="O2972" s="26"/>
      <c r="P2972" s="16" t="str">
        <f aca="false">IF(O2972="","",IFERROR(1/(1/(IF(K2972="",INDEX(CONFIG!$F$5:$F$14,MATCH(D2972,CONFIG!$D$5:$D$14,0)),K2972)*IF(M2972="",INDEX(CONFIG!$H$5:$H$14,MATCH(D2972,CONFIG!$D$5:$D$14,0)),M2972))),""))</f>
        <v/>
      </c>
      <c r="Q2972" s="16" t="str">
        <f aca="false">IF(OR(O2972="",P2972=""),"",O2972/P2972)</f>
        <v/>
      </c>
      <c r="R2972" s="16" t="str">
        <f aca="false">IF(Q2972="","",Q2972*0.0980665)</f>
        <v/>
      </c>
      <c r="S2972" s="16" t="str">
        <f aca="false">IF(Q2972="","",IFERROR(Q2972/(1/(1/INDEX(CONFIG!$I$5:$I$14,MATCH(D2972,CONFIG!$D$5:$D$14,0)))),""))</f>
        <v/>
      </c>
      <c r="T2972" s="13"/>
      <c r="U2972" s="13"/>
      <c r="V2972" s="13"/>
      <c r="W2972" s="13"/>
      <c r="X2972" s="22" t="str">
        <f aca="false">IF(Q2972="","",Q2972^2)</f>
        <v/>
      </c>
      <c r="Y2972" s="22" t="str">
        <f aca="false">IF(AND(C2972&lt;&gt;"",C2972=CERTIFICADO!$E$4,OR(CERTIFICADO!$E$5="",B2972=CERTIFICADO!$E$5)),MAX($Y$4:Y2971)+1,"")</f>
        <v/>
      </c>
    </row>
    <row r="2973" customFormat="false" ht="15" hidden="false" customHeight="false" outlineLevel="0" collapsed="false">
      <c r="A2973" s="11" t="str">
        <f aca="false">IF(C2973="","",ROW()-4)</f>
        <v/>
      </c>
      <c r="B2973" s="12"/>
      <c r="C2973" s="13"/>
      <c r="D2973" s="23" t="str">
        <f aca="false">IF(C2973="","",IFERROR(INDEX(LOTES!$D$5:$D$1004,MATCH(C2973,LOTES!$F$5:$F$1004,0)),"¿Lote?"))</f>
        <v/>
      </c>
      <c r="E2973" s="11" t="str">
        <f aca="false">IF(C2973="","",IFERROR(INDEX(LOTES!$C$5:$C$1004,MATCH(C2973,LOTES!$F$5:$F$1004,0)),""))</f>
        <v/>
      </c>
      <c r="F2973" s="24" t="str">
        <f aca="false">IF(C2973="","",IFERROR(INDEX(LOTES!$B$5:$B$1004,MATCH(C2973,LOTES!$F$5:$F$1004,0)),""))</f>
        <v/>
      </c>
      <c r="G2973" s="15" t="str">
        <f aca="false">IF(OR(B2973="",F2973=""),"",B2973-F2973)</f>
        <v/>
      </c>
      <c r="H2973" s="13"/>
      <c r="I2973" s="13"/>
      <c r="J2973" s="13"/>
      <c r="K2973" s="25"/>
      <c r="L2973" s="25"/>
      <c r="M2973" s="25"/>
      <c r="N2973" s="25"/>
      <c r="O2973" s="26"/>
      <c r="P2973" s="16" t="str">
        <f aca="false">IF(O2973="","",IFERROR(1/(1/(IF(K2973="",INDEX(CONFIG!$F$5:$F$14,MATCH(D2973,CONFIG!$D$5:$D$14,0)),K2973)*IF(M2973="",INDEX(CONFIG!$H$5:$H$14,MATCH(D2973,CONFIG!$D$5:$D$14,0)),M2973))),""))</f>
        <v/>
      </c>
      <c r="Q2973" s="16" t="str">
        <f aca="false">IF(OR(O2973="",P2973=""),"",O2973/P2973)</f>
        <v/>
      </c>
      <c r="R2973" s="16" t="str">
        <f aca="false">IF(Q2973="","",Q2973*0.0980665)</f>
        <v/>
      </c>
      <c r="S2973" s="16" t="str">
        <f aca="false">IF(Q2973="","",IFERROR(Q2973/(1/(1/INDEX(CONFIG!$I$5:$I$14,MATCH(D2973,CONFIG!$D$5:$D$14,0)))),""))</f>
        <v/>
      </c>
      <c r="T2973" s="13"/>
      <c r="U2973" s="13"/>
      <c r="V2973" s="13"/>
      <c r="W2973" s="13"/>
      <c r="X2973" s="22" t="str">
        <f aca="false">IF(Q2973="","",Q2973^2)</f>
        <v/>
      </c>
      <c r="Y2973" s="22" t="str">
        <f aca="false">IF(AND(C2973&lt;&gt;"",C2973=CERTIFICADO!$E$4,OR(CERTIFICADO!$E$5="",B2973=CERTIFICADO!$E$5)),MAX($Y$4:Y2972)+1,"")</f>
        <v/>
      </c>
    </row>
    <row r="2974" customFormat="false" ht="15" hidden="false" customHeight="false" outlineLevel="0" collapsed="false">
      <c r="A2974" s="11" t="str">
        <f aca="false">IF(C2974="","",ROW()-4)</f>
        <v/>
      </c>
      <c r="B2974" s="12"/>
      <c r="C2974" s="13"/>
      <c r="D2974" s="23" t="str">
        <f aca="false">IF(C2974="","",IFERROR(INDEX(LOTES!$D$5:$D$1004,MATCH(C2974,LOTES!$F$5:$F$1004,0)),"¿Lote?"))</f>
        <v/>
      </c>
      <c r="E2974" s="11" t="str">
        <f aca="false">IF(C2974="","",IFERROR(INDEX(LOTES!$C$5:$C$1004,MATCH(C2974,LOTES!$F$5:$F$1004,0)),""))</f>
        <v/>
      </c>
      <c r="F2974" s="24" t="str">
        <f aca="false">IF(C2974="","",IFERROR(INDEX(LOTES!$B$5:$B$1004,MATCH(C2974,LOTES!$F$5:$F$1004,0)),""))</f>
        <v/>
      </c>
      <c r="G2974" s="15" t="str">
        <f aca="false">IF(OR(B2974="",F2974=""),"",B2974-F2974)</f>
        <v/>
      </c>
      <c r="H2974" s="13"/>
      <c r="I2974" s="13"/>
      <c r="J2974" s="13"/>
      <c r="K2974" s="25"/>
      <c r="L2974" s="25"/>
      <c r="M2974" s="25"/>
      <c r="N2974" s="25"/>
      <c r="O2974" s="26"/>
      <c r="P2974" s="16" t="str">
        <f aca="false">IF(O2974="","",IFERROR(1/(1/(IF(K2974="",INDEX(CONFIG!$F$5:$F$14,MATCH(D2974,CONFIG!$D$5:$D$14,0)),K2974)*IF(M2974="",INDEX(CONFIG!$H$5:$H$14,MATCH(D2974,CONFIG!$D$5:$D$14,0)),M2974))),""))</f>
        <v/>
      </c>
      <c r="Q2974" s="16" t="str">
        <f aca="false">IF(OR(O2974="",P2974=""),"",O2974/P2974)</f>
        <v/>
      </c>
      <c r="R2974" s="16" t="str">
        <f aca="false">IF(Q2974="","",Q2974*0.0980665)</f>
        <v/>
      </c>
      <c r="S2974" s="16" t="str">
        <f aca="false">IF(Q2974="","",IFERROR(Q2974/(1/(1/INDEX(CONFIG!$I$5:$I$14,MATCH(D2974,CONFIG!$D$5:$D$14,0)))),""))</f>
        <v/>
      </c>
      <c r="T2974" s="13"/>
      <c r="U2974" s="13"/>
      <c r="V2974" s="13"/>
      <c r="W2974" s="13"/>
      <c r="X2974" s="22" t="str">
        <f aca="false">IF(Q2974="","",Q2974^2)</f>
        <v/>
      </c>
      <c r="Y2974" s="22" t="str">
        <f aca="false">IF(AND(C2974&lt;&gt;"",C2974=CERTIFICADO!$E$4,OR(CERTIFICADO!$E$5="",B2974=CERTIFICADO!$E$5)),MAX($Y$4:Y2973)+1,"")</f>
        <v/>
      </c>
    </row>
    <row r="2975" customFormat="false" ht="15" hidden="false" customHeight="false" outlineLevel="0" collapsed="false">
      <c r="A2975" s="11" t="str">
        <f aca="false">IF(C2975="","",ROW()-4)</f>
        <v/>
      </c>
      <c r="B2975" s="12"/>
      <c r="C2975" s="13"/>
      <c r="D2975" s="23" t="str">
        <f aca="false">IF(C2975="","",IFERROR(INDEX(LOTES!$D$5:$D$1004,MATCH(C2975,LOTES!$F$5:$F$1004,0)),"¿Lote?"))</f>
        <v/>
      </c>
      <c r="E2975" s="11" t="str">
        <f aca="false">IF(C2975="","",IFERROR(INDEX(LOTES!$C$5:$C$1004,MATCH(C2975,LOTES!$F$5:$F$1004,0)),""))</f>
        <v/>
      </c>
      <c r="F2975" s="24" t="str">
        <f aca="false">IF(C2975="","",IFERROR(INDEX(LOTES!$B$5:$B$1004,MATCH(C2975,LOTES!$F$5:$F$1004,0)),""))</f>
        <v/>
      </c>
      <c r="G2975" s="15" t="str">
        <f aca="false">IF(OR(B2975="",F2975=""),"",B2975-F2975)</f>
        <v/>
      </c>
      <c r="H2975" s="13"/>
      <c r="I2975" s="13"/>
      <c r="J2975" s="13"/>
      <c r="K2975" s="25"/>
      <c r="L2975" s="25"/>
      <c r="M2975" s="25"/>
      <c r="N2975" s="25"/>
      <c r="O2975" s="26"/>
      <c r="P2975" s="16" t="str">
        <f aca="false">IF(O2975="","",IFERROR(1/(1/(IF(K2975="",INDEX(CONFIG!$F$5:$F$14,MATCH(D2975,CONFIG!$D$5:$D$14,0)),K2975)*IF(M2975="",INDEX(CONFIG!$H$5:$H$14,MATCH(D2975,CONFIG!$D$5:$D$14,0)),M2975))),""))</f>
        <v/>
      </c>
      <c r="Q2975" s="16" t="str">
        <f aca="false">IF(OR(O2975="",P2975=""),"",O2975/P2975)</f>
        <v/>
      </c>
      <c r="R2975" s="16" t="str">
        <f aca="false">IF(Q2975="","",Q2975*0.0980665)</f>
        <v/>
      </c>
      <c r="S2975" s="16" t="str">
        <f aca="false">IF(Q2975="","",IFERROR(Q2975/(1/(1/INDEX(CONFIG!$I$5:$I$14,MATCH(D2975,CONFIG!$D$5:$D$14,0)))),""))</f>
        <v/>
      </c>
      <c r="T2975" s="13"/>
      <c r="U2975" s="13"/>
      <c r="V2975" s="13"/>
      <c r="W2975" s="13"/>
      <c r="X2975" s="22" t="str">
        <f aca="false">IF(Q2975="","",Q2975^2)</f>
        <v/>
      </c>
      <c r="Y2975" s="22" t="str">
        <f aca="false">IF(AND(C2975&lt;&gt;"",C2975=CERTIFICADO!$E$4,OR(CERTIFICADO!$E$5="",B2975=CERTIFICADO!$E$5)),MAX($Y$4:Y2974)+1,"")</f>
        <v/>
      </c>
    </row>
    <row r="2976" customFormat="false" ht="15" hidden="false" customHeight="false" outlineLevel="0" collapsed="false">
      <c r="A2976" s="11" t="str">
        <f aca="false">IF(C2976="","",ROW()-4)</f>
        <v/>
      </c>
      <c r="B2976" s="12"/>
      <c r="C2976" s="13"/>
      <c r="D2976" s="23" t="str">
        <f aca="false">IF(C2976="","",IFERROR(INDEX(LOTES!$D$5:$D$1004,MATCH(C2976,LOTES!$F$5:$F$1004,0)),"¿Lote?"))</f>
        <v/>
      </c>
      <c r="E2976" s="11" t="str">
        <f aca="false">IF(C2976="","",IFERROR(INDEX(LOTES!$C$5:$C$1004,MATCH(C2976,LOTES!$F$5:$F$1004,0)),""))</f>
        <v/>
      </c>
      <c r="F2976" s="24" t="str">
        <f aca="false">IF(C2976="","",IFERROR(INDEX(LOTES!$B$5:$B$1004,MATCH(C2976,LOTES!$F$5:$F$1004,0)),""))</f>
        <v/>
      </c>
      <c r="G2976" s="15" t="str">
        <f aca="false">IF(OR(B2976="",F2976=""),"",B2976-F2976)</f>
        <v/>
      </c>
      <c r="H2976" s="13"/>
      <c r="I2976" s="13"/>
      <c r="J2976" s="13"/>
      <c r="K2976" s="25"/>
      <c r="L2976" s="25"/>
      <c r="M2976" s="25"/>
      <c r="N2976" s="25"/>
      <c r="O2976" s="26"/>
      <c r="P2976" s="16" t="str">
        <f aca="false">IF(O2976="","",IFERROR(1/(1/(IF(K2976="",INDEX(CONFIG!$F$5:$F$14,MATCH(D2976,CONFIG!$D$5:$D$14,0)),K2976)*IF(M2976="",INDEX(CONFIG!$H$5:$H$14,MATCH(D2976,CONFIG!$D$5:$D$14,0)),M2976))),""))</f>
        <v/>
      </c>
      <c r="Q2976" s="16" t="str">
        <f aca="false">IF(OR(O2976="",P2976=""),"",O2976/P2976)</f>
        <v/>
      </c>
      <c r="R2976" s="16" t="str">
        <f aca="false">IF(Q2976="","",Q2976*0.0980665)</f>
        <v/>
      </c>
      <c r="S2976" s="16" t="str">
        <f aca="false">IF(Q2976="","",IFERROR(Q2976/(1/(1/INDEX(CONFIG!$I$5:$I$14,MATCH(D2976,CONFIG!$D$5:$D$14,0)))),""))</f>
        <v/>
      </c>
      <c r="T2976" s="13"/>
      <c r="U2976" s="13"/>
      <c r="V2976" s="13"/>
      <c r="W2976" s="13"/>
      <c r="X2976" s="22" t="str">
        <f aca="false">IF(Q2976="","",Q2976^2)</f>
        <v/>
      </c>
      <c r="Y2976" s="22" t="str">
        <f aca="false">IF(AND(C2976&lt;&gt;"",C2976=CERTIFICADO!$E$4,OR(CERTIFICADO!$E$5="",B2976=CERTIFICADO!$E$5)),MAX($Y$4:Y2975)+1,"")</f>
        <v/>
      </c>
    </row>
    <row r="2977" customFormat="false" ht="15" hidden="false" customHeight="false" outlineLevel="0" collapsed="false">
      <c r="A2977" s="11" t="str">
        <f aca="false">IF(C2977="","",ROW()-4)</f>
        <v/>
      </c>
      <c r="B2977" s="12"/>
      <c r="C2977" s="13"/>
      <c r="D2977" s="23" t="str">
        <f aca="false">IF(C2977="","",IFERROR(INDEX(LOTES!$D$5:$D$1004,MATCH(C2977,LOTES!$F$5:$F$1004,0)),"¿Lote?"))</f>
        <v/>
      </c>
      <c r="E2977" s="11" t="str">
        <f aca="false">IF(C2977="","",IFERROR(INDEX(LOTES!$C$5:$C$1004,MATCH(C2977,LOTES!$F$5:$F$1004,0)),""))</f>
        <v/>
      </c>
      <c r="F2977" s="24" t="str">
        <f aca="false">IF(C2977="","",IFERROR(INDEX(LOTES!$B$5:$B$1004,MATCH(C2977,LOTES!$F$5:$F$1004,0)),""))</f>
        <v/>
      </c>
      <c r="G2977" s="15" t="str">
        <f aca="false">IF(OR(B2977="",F2977=""),"",B2977-F2977)</f>
        <v/>
      </c>
      <c r="H2977" s="13"/>
      <c r="I2977" s="13"/>
      <c r="J2977" s="13"/>
      <c r="K2977" s="25"/>
      <c r="L2977" s="25"/>
      <c r="M2977" s="25"/>
      <c r="N2977" s="25"/>
      <c r="O2977" s="26"/>
      <c r="P2977" s="16" t="str">
        <f aca="false">IF(O2977="","",IFERROR(1/(1/(IF(K2977="",INDEX(CONFIG!$F$5:$F$14,MATCH(D2977,CONFIG!$D$5:$D$14,0)),K2977)*IF(M2977="",INDEX(CONFIG!$H$5:$H$14,MATCH(D2977,CONFIG!$D$5:$D$14,0)),M2977))),""))</f>
        <v/>
      </c>
      <c r="Q2977" s="16" t="str">
        <f aca="false">IF(OR(O2977="",P2977=""),"",O2977/P2977)</f>
        <v/>
      </c>
      <c r="R2977" s="16" t="str">
        <f aca="false">IF(Q2977="","",Q2977*0.0980665)</f>
        <v/>
      </c>
      <c r="S2977" s="16" t="str">
        <f aca="false">IF(Q2977="","",IFERROR(Q2977/(1/(1/INDEX(CONFIG!$I$5:$I$14,MATCH(D2977,CONFIG!$D$5:$D$14,0)))),""))</f>
        <v/>
      </c>
      <c r="T2977" s="13"/>
      <c r="U2977" s="13"/>
      <c r="V2977" s="13"/>
      <c r="W2977" s="13"/>
      <c r="X2977" s="22" t="str">
        <f aca="false">IF(Q2977="","",Q2977^2)</f>
        <v/>
      </c>
      <c r="Y2977" s="22" t="str">
        <f aca="false">IF(AND(C2977&lt;&gt;"",C2977=CERTIFICADO!$E$4,OR(CERTIFICADO!$E$5="",B2977=CERTIFICADO!$E$5)),MAX($Y$4:Y2976)+1,"")</f>
        <v/>
      </c>
    </row>
    <row r="2978" customFormat="false" ht="15" hidden="false" customHeight="false" outlineLevel="0" collapsed="false">
      <c r="A2978" s="11" t="str">
        <f aca="false">IF(C2978="","",ROW()-4)</f>
        <v/>
      </c>
      <c r="B2978" s="12"/>
      <c r="C2978" s="13"/>
      <c r="D2978" s="23" t="str">
        <f aca="false">IF(C2978="","",IFERROR(INDEX(LOTES!$D$5:$D$1004,MATCH(C2978,LOTES!$F$5:$F$1004,0)),"¿Lote?"))</f>
        <v/>
      </c>
      <c r="E2978" s="11" t="str">
        <f aca="false">IF(C2978="","",IFERROR(INDEX(LOTES!$C$5:$C$1004,MATCH(C2978,LOTES!$F$5:$F$1004,0)),""))</f>
        <v/>
      </c>
      <c r="F2978" s="24" t="str">
        <f aca="false">IF(C2978="","",IFERROR(INDEX(LOTES!$B$5:$B$1004,MATCH(C2978,LOTES!$F$5:$F$1004,0)),""))</f>
        <v/>
      </c>
      <c r="G2978" s="15" t="str">
        <f aca="false">IF(OR(B2978="",F2978=""),"",B2978-F2978)</f>
        <v/>
      </c>
      <c r="H2978" s="13"/>
      <c r="I2978" s="13"/>
      <c r="J2978" s="13"/>
      <c r="K2978" s="25"/>
      <c r="L2978" s="25"/>
      <c r="M2978" s="25"/>
      <c r="N2978" s="25"/>
      <c r="O2978" s="26"/>
      <c r="P2978" s="16" t="str">
        <f aca="false">IF(O2978="","",IFERROR(1/(1/(IF(K2978="",INDEX(CONFIG!$F$5:$F$14,MATCH(D2978,CONFIG!$D$5:$D$14,0)),K2978)*IF(M2978="",INDEX(CONFIG!$H$5:$H$14,MATCH(D2978,CONFIG!$D$5:$D$14,0)),M2978))),""))</f>
        <v/>
      </c>
      <c r="Q2978" s="16" t="str">
        <f aca="false">IF(OR(O2978="",P2978=""),"",O2978/P2978)</f>
        <v/>
      </c>
      <c r="R2978" s="16" t="str">
        <f aca="false">IF(Q2978="","",Q2978*0.0980665)</f>
        <v/>
      </c>
      <c r="S2978" s="16" t="str">
        <f aca="false">IF(Q2978="","",IFERROR(Q2978/(1/(1/INDEX(CONFIG!$I$5:$I$14,MATCH(D2978,CONFIG!$D$5:$D$14,0)))),""))</f>
        <v/>
      </c>
      <c r="T2978" s="13"/>
      <c r="U2978" s="13"/>
      <c r="V2978" s="13"/>
      <c r="W2978" s="13"/>
      <c r="X2978" s="22" t="str">
        <f aca="false">IF(Q2978="","",Q2978^2)</f>
        <v/>
      </c>
      <c r="Y2978" s="22" t="str">
        <f aca="false">IF(AND(C2978&lt;&gt;"",C2978=CERTIFICADO!$E$4,OR(CERTIFICADO!$E$5="",B2978=CERTIFICADO!$E$5)),MAX($Y$4:Y2977)+1,"")</f>
        <v/>
      </c>
    </row>
    <row r="2979" customFormat="false" ht="15" hidden="false" customHeight="false" outlineLevel="0" collapsed="false">
      <c r="A2979" s="11" t="str">
        <f aca="false">IF(C2979="","",ROW()-4)</f>
        <v/>
      </c>
      <c r="B2979" s="12"/>
      <c r="C2979" s="13"/>
      <c r="D2979" s="23" t="str">
        <f aca="false">IF(C2979="","",IFERROR(INDEX(LOTES!$D$5:$D$1004,MATCH(C2979,LOTES!$F$5:$F$1004,0)),"¿Lote?"))</f>
        <v/>
      </c>
      <c r="E2979" s="11" t="str">
        <f aca="false">IF(C2979="","",IFERROR(INDEX(LOTES!$C$5:$C$1004,MATCH(C2979,LOTES!$F$5:$F$1004,0)),""))</f>
        <v/>
      </c>
      <c r="F2979" s="24" t="str">
        <f aca="false">IF(C2979="","",IFERROR(INDEX(LOTES!$B$5:$B$1004,MATCH(C2979,LOTES!$F$5:$F$1004,0)),""))</f>
        <v/>
      </c>
      <c r="G2979" s="15" t="str">
        <f aca="false">IF(OR(B2979="",F2979=""),"",B2979-F2979)</f>
        <v/>
      </c>
      <c r="H2979" s="13"/>
      <c r="I2979" s="13"/>
      <c r="J2979" s="13"/>
      <c r="K2979" s="25"/>
      <c r="L2979" s="25"/>
      <c r="M2979" s="25"/>
      <c r="N2979" s="25"/>
      <c r="O2979" s="26"/>
      <c r="P2979" s="16" t="str">
        <f aca="false">IF(O2979="","",IFERROR(1/(1/(IF(K2979="",INDEX(CONFIG!$F$5:$F$14,MATCH(D2979,CONFIG!$D$5:$D$14,0)),K2979)*IF(M2979="",INDEX(CONFIG!$H$5:$H$14,MATCH(D2979,CONFIG!$D$5:$D$14,0)),M2979))),""))</f>
        <v/>
      </c>
      <c r="Q2979" s="16" t="str">
        <f aca="false">IF(OR(O2979="",P2979=""),"",O2979/P2979)</f>
        <v/>
      </c>
      <c r="R2979" s="16" t="str">
        <f aca="false">IF(Q2979="","",Q2979*0.0980665)</f>
        <v/>
      </c>
      <c r="S2979" s="16" t="str">
        <f aca="false">IF(Q2979="","",IFERROR(Q2979/(1/(1/INDEX(CONFIG!$I$5:$I$14,MATCH(D2979,CONFIG!$D$5:$D$14,0)))),""))</f>
        <v/>
      </c>
      <c r="T2979" s="13"/>
      <c r="U2979" s="13"/>
      <c r="V2979" s="13"/>
      <c r="W2979" s="13"/>
      <c r="X2979" s="22" t="str">
        <f aca="false">IF(Q2979="","",Q2979^2)</f>
        <v/>
      </c>
      <c r="Y2979" s="22" t="str">
        <f aca="false">IF(AND(C2979&lt;&gt;"",C2979=CERTIFICADO!$E$4,OR(CERTIFICADO!$E$5="",B2979=CERTIFICADO!$E$5)),MAX($Y$4:Y2978)+1,"")</f>
        <v/>
      </c>
    </row>
    <row r="2980" customFormat="false" ht="15" hidden="false" customHeight="false" outlineLevel="0" collapsed="false">
      <c r="A2980" s="11" t="str">
        <f aca="false">IF(C2980="","",ROW()-4)</f>
        <v/>
      </c>
      <c r="B2980" s="12"/>
      <c r="C2980" s="13"/>
      <c r="D2980" s="23" t="str">
        <f aca="false">IF(C2980="","",IFERROR(INDEX(LOTES!$D$5:$D$1004,MATCH(C2980,LOTES!$F$5:$F$1004,0)),"¿Lote?"))</f>
        <v/>
      </c>
      <c r="E2980" s="11" t="str">
        <f aca="false">IF(C2980="","",IFERROR(INDEX(LOTES!$C$5:$C$1004,MATCH(C2980,LOTES!$F$5:$F$1004,0)),""))</f>
        <v/>
      </c>
      <c r="F2980" s="24" t="str">
        <f aca="false">IF(C2980="","",IFERROR(INDEX(LOTES!$B$5:$B$1004,MATCH(C2980,LOTES!$F$5:$F$1004,0)),""))</f>
        <v/>
      </c>
      <c r="G2980" s="15" t="str">
        <f aca="false">IF(OR(B2980="",F2980=""),"",B2980-F2980)</f>
        <v/>
      </c>
      <c r="H2980" s="13"/>
      <c r="I2980" s="13"/>
      <c r="J2980" s="13"/>
      <c r="K2980" s="25"/>
      <c r="L2980" s="25"/>
      <c r="M2980" s="25"/>
      <c r="N2980" s="25"/>
      <c r="O2980" s="26"/>
      <c r="P2980" s="16" t="str">
        <f aca="false">IF(O2980="","",IFERROR(1/(1/(IF(K2980="",INDEX(CONFIG!$F$5:$F$14,MATCH(D2980,CONFIG!$D$5:$D$14,0)),K2980)*IF(M2980="",INDEX(CONFIG!$H$5:$H$14,MATCH(D2980,CONFIG!$D$5:$D$14,0)),M2980))),""))</f>
        <v/>
      </c>
      <c r="Q2980" s="16" t="str">
        <f aca="false">IF(OR(O2980="",P2980=""),"",O2980/P2980)</f>
        <v/>
      </c>
      <c r="R2980" s="16" t="str">
        <f aca="false">IF(Q2980="","",Q2980*0.0980665)</f>
        <v/>
      </c>
      <c r="S2980" s="16" t="str">
        <f aca="false">IF(Q2980="","",IFERROR(Q2980/(1/(1/INDEX(CONFIG!$I$5:$I$14,MATCH(D2980,CONFIG!$D$5:$D$14,0)))),""))</f>
        <v/>
      </c>
      <c r="T2980" s="13"/>
      <c r="U2980" s="13"/>
      <c r="V2980" s="13"/>
      <c r="W2980" s="13"/>
      <c r="X2980" s="22" t="str">
        <f aca="false">IF(Q2980="","",Q2980^2)</f>
        <v/>
      </c>
      <c r="Y2980" s="22" t="str">
        <f aca="false">IF(AND(C2980&lt;&gt;"",C2980=CERTIFICADO!$E$4,OR(CERTIFICADO!$E$5="",B2980=CERTIFICADO!$E$5)),MAX($Y$4:Y2979)+1,"")</f>
        <v/>
      </c>
    </row>
    <row r="2981" customFormat="false" ht="15" hidden="false" customHeight="false" outlineLevel="0" collapsed="false">
      <c r="A2981" s="11" t="str">
        <f aca="false">IF(C2981="","",ROW()-4)</f>
        <v/>
      </c>
      <c r="B2981" s="12"/>
      <c r="C2981" s="13"/>
      <c r="D2981" s="23" t="str">
        <f aca="false">IF(C2981="","",IFERROR(INDEX(LOTES!$D$5:$D$1004,MATCH(C2981,LOTES!$F$5:$F$1004,0)),"¿Lote?"))</f>
        <v/>
      </c>
      <c r="E2981" s="11" t="str">
        <f aca="false">IF(C2981="","",IFERROR(INDEX(LOTES!$C$5:$C$1004,MATCH(C2981,LOTES!$F$5:$F$1004,0)),""))</f>
        <v/>
      </c>
      <c r="F2981" s="24" t="str">
        <f aca="false">IF(C2981="","",IFERROR(INDEX(LOTES!$B$5:$B$1004,MATCH(C2981,LOTES!$F$5:$F$1004,0)),""))</f>
        <v/>
      </c>
      <c r="G2981" s="15" t="str">
        <f aca="false">IF(OR(B2981="",F2981=""),"",B2981-F2981)</f>
        <v/>
      </c>
      <c r="H2981" s="13"/>
      <c r="I2981" s="13"/>
      <c r="J2981" s="13"/>
      <c r="K2981" s="25"/>
      <c r="L2981" s="25"/>
      <c r="M2981" s="25"/>
      <c r="N2981" s="25"/>
      <c r="O2981" s="26"/>
      <c r="P2981" s="16" t="str">
        <f aca="false">IF(O2981="","",IFERROR(1/(1/(IF(K2981="",INDEX(CONFIG!$F$5:$F$14,MATCH(D2981,CONFIG!$D$5:$D$14,0)),K2981)*IF(M2981="",INDEX(CONFIG!$H$5:$H$14,MATCH(D2981,CONFIG!$D$5:$D$14,0)),M2981))),""))</f>
        <v/>
      </c>
      <c r="Q2981" s="16" t="str">
        <f aca="false">IF(OR(O2981="",P2981=""),"",O2981/P2981)</f>
        <v/>
      </c>
      <c r="R2981" s="16" t="str">
        <f aca="false">IF(Q2981="","",Q2981*0.0980665)</f>
        <v/>
      </c>
      <c r="S2981" s="16" t="str">
        <f aca="false">IF(Q2981="","",IFERROR(Q2981/(1/(1/INDEX(CONFIG!$I$5:$I$14,MATCH(D2981,CONFIG!$D$5:$D$14,0)))),""))</f>
        <v/>
      </c>
      <c r="T2981" s="13"/>
      <c r="U2981" s="13"/>
      <c r="V2981" s="13"/>
      <c r="W2981" s="13"/>
      <c r="X2981" s="22" t="str">
        <f aca="false">IF(Q2981="","",Q2981^2)</f>
        <v/>
      </c>
      <c r="Y2981" s="22" t="str">
        <f aca="false">IF(AND(C2981&lt;&gt;"",C2981=CERTIFICADO!$E$4,OR(CERTIFICADO!$E$5="",B2981=CERTIFICADO!$E$5)),MAX($Y$4:Y2980)+1,"")</f>
        <v/>
      </c>
    </row>
    <row r="2982" customFormat="false" ht="15" hidden="false" customHeight="false" outlineLevel="0" collapsed="false">
      <c r="A2982" s="11" t="str">
        <f aca="false">IF(C2982="","",ROW()-4)</f>
        <v/>
      </c>
      <c r="B2982" s="12"/>
      <c r="C2982" s="13"/>
      <c r="D2982" s="23" t="str">
        <f aca="false">IF(C2982="","",IFERROR(INDEX(LOTES!$D$5:$D$1004,MATCH(C2982,LOTES!$F$5:$F$1004,0)),"¿Lote?"))</f>
        <v/>
      </c>
      <c r="E2982" s="11" t="str">
        <f aca="false">IF(C2982="","",IFERROR(INDEX(LOTES!$C$5:$C$1004,MATCH(C2982,LOTES!$F$5:$F$1004,0)),""))</f>
        <v/>
      </c>
      <c r="F2982" s="24" t="str">
        <f aca="false">IF(C2982="","",IFERROR(INDEX(LOTES!$B$5:$B$1004,MATCH(C2982,LOTES!$F$5:$F$1004,0)),""))</f>
        <v/>
      </c>
      <c r="G2982" s="15" t="str">
        <f aca="false">IF(OR(B2982="",F2982=""),"",B2982-F2982)</f>
        <v/>
      </c>
      <c r="H2982" s="13"/>
      <c r="I2982" s="13"/>
      <c r="J2982" s="13"/>
      <c r="K2982" s="25"/>
      <c r="L2982" s="25"/>
      <c r="M2982" s="25"/>
      <c r="N2982" s="25"/>
      <c r="O2982" s="26"/>
      <c r="P2982" s="16" t="str">
        <f aca="false">IF(O2982="","",IFERROR(1/(1/(IF(K2982="",INDEX(CONFIG!$F$5:$F$14,MATCH(D2982,CONFIG!$D$5:$D$14,0)),K2982)*IF(M2982="",INDEX(CONFIG!$H$5:$H$14,MATCH(D2982,CONFIG!$D$5:$D$14,0)),M2982))),""))</f>
        <v/>
      </c>
      <c r="Q2982" s="16" t="str">
        <f aca="false">IF(OR(O2982="",P2982=""),"",O2982/P2982)</f>
        <v/>
      </c>
      <c r="R2982" s="16" t="str">
        <f aca="false">IF(Q2982="","",Q2982*0.0980665)</f>
        <v/>
      </c>
      <c r="S2982" s="16" t="str">
        <f aca="false">IF(Q2982="","",IFERROR(Q2982/(1/(1/INDEX(CONFIG!$I$5:$I$14,MATCH(D2982,CONFIG!$D$5:$D$14,0)))),""))</f>
        <v/>
      </c>
      <c r="T2982" s="13"/>
      <c r="U2982" s="13"/>
      <c r="V2982" s="13"/>
      <c r="W2982" s="13"/>
      <c r="X2982" s="22" t="str">
        <f aca="false">IF(Q2982="","",Q2982^2)</f>
        <v/>
      </c>
      <c r="Y2982" s="22" t="str">
        <f aca="false">IF(AND(C2982&lt;&gt;"",C2982=CERTIFICADO!$E$4,OR(CERTIFICADO!$E$5="",B2982=CERTIFICADO!$E$5)),MAX($Y$4:Y2981)+1,"")</f>
        <v/>
      </c>
    </row>
    <row r="2983" customFormat="false" ht="15" hidden="false" customHeight="false" outlineLevel="0" collapsed="false">
      <c r="A2983" s="11" t="str">
        <f aca="false">IF(C2983="","",ROW()-4)</f>
        <v/>
      </c>
      <c r="B2983" s="12"/>
      <c r="C2983" s="13"/>
      <c r="D2983" s="23" t="str">
        <f aca="false">IF(C2983="","",IFERROR(INDEX(LOTES!$D$5:$D$1004,MATCH(C2983,LOTES!$F$5:$F$1004,0)),"¿Lote?"))</f>
        <v/>
      </c>
      <c r="E2983" s="11" t="str">
        <f aca="false">IF(C2983="","",IFERROR(INDEX(LOTES!$C$5:$C$1004,MATCH(C2983,LOTES!$F$5:$F$1004,0)),""))</f>
        <v/>
      </c>
      <c r="F2983" s="24" t="str">
        <f aca="false">IF(C2983="","",IFERROR(INDEX(LOTES!$B$5:$B$1004,MATCH(C2983,LOTES!$F$5:$F$1004,0)),""))</f>
        <v/>
      </c>
      <c r="G2983" s="15" t="str">
        <f aca="false">IF(OR(B2983="",F2983=""),"",B2983-F2983)</f>
        <v/>
      </c>
      <c r="H2983" s="13"/>
      <c r="I2983" s="13"/>
      <c r="J2983" s="13"/>
      <c r="K2983" s="25"/>
      <c r="L2983" s="25"/>
      <c r="M2983" s="25"/>
      <c r="N2983" s="25"/>
      <c r="O2983" s="26"/>
      <c r="P2983" s="16" t="str">
        <f aca="false">IF(O2983="","",IFERROR(1/(1/(IF(K2983="",INDEX(CONFIG!$F$5:$F$14,MATCH(D2983,CONFIG!$D$5:$D$14,0)),K2983)*IF(M2983="",INDEX(CONFIG!$H$5:$H$14,MATCH(D2983,CONFIG!$D$5:$D$14,0)),M2983))),""))</f>
        <v/>
      </c>
      <c r="Q2983" s="16" t="str">
        <f aca="false">IF(OR(O2983="",P2983=""),"",O2983/P2983)</f>
        <v/>
      </c>
      <c r="R2983" s="16" t="str">
        <f aca="false">IF(Q2983="","",Q2983*0.0980665)</f>
        <v/>
      </c>
      <c r="S2983" s="16" t="str">
        <f aca="false">IF(Q2983="","",IFERROR(Q2983/(1/(1/INDEX(CONFIG!$I$5:$I$14,MATCH(D2983,CONFIG!$D$5:$D$14,0)))),""))</f>
        <v/>
      </c>
      <c r="T2983" s="13"/>
      <c r="U2983" s="13"/>
      <c r="V2983" s="13"/>
      <c r="W2983" s="13"/>
      <c r="X2983" s="22" t="str">
        <f aca="false">IF(Q2983="","",Q2983^2)</f>
        <v/>
      </c>
      <c r="Y2983" s="22" t="str">
        <f aca="false">IF(AND(C2983&lt;&gt;"",C2983=CERTIFICADO!$E$4,OR(CERTIFICADO!$E$5="",B2983=CERTIFICADO!$E$5)),MAX($Y$4:Y2982)+1,"")</f>
        <v/>
      </c>
    </row>
    <row r="2984" customFormat="false" ht="15" hidden="false" customHeight="false" outlineLevel="0" collapsed="false">
      <c r="A2984" s="11" t="str">
        <f aca="false">IF(C2984="","",ROW()-4)</f>
        <v/>
      </c>
      <c r="B2984" s="12"/>
      <c r="C2984" s="13"/>
      <c r="D2984" s="23" t="str">
        <f aca="false">IF(C2984="","",IFERROR(INDEX(LOTES!$D$5:$D$1004,MATCH(C2984,LOTES!$F$5:$F$1004,0)),"¿Lote?"))</f>
        <v/>
      </c>
      <c r="E2984" s="11" t="str">
        <f aca="false">IF(C2984="","",IFERROR(INDEX(LOTES!$C$5:$C$1004,MATCH(C2984,LOTES!$F$5:$F$1004,0)),""))</f>
        <v/>
      </c>
      <c r="F2984" s="24" t="str">
        <f aca="false">IF(C2984="","",IFERROR(INDEX(LOTES!$B$5:$B$1004,MATCH(C2984,LOTES!$F$5:$F$1004,0)),""))</f>
        <v/>
      </c>
      <c r="G2984" s="15" t="str">
        <f aca="false">IF(OR(B2984="",F2984=""),"",B2984-F2984)</f>
        <v/>
      </c>
      <c r="H2984" s="13"/>
      <c r="I2984" s="13"/>
      <c r="J2984" s="13"/>
      <c r="K2984" s="25"/>
      <c r="L2984" s="25"/>
      <c r="M2984" s="25"/>
      <c r="N2984" s="25"/>
      <c r="O2984" s="26"/>
      <c r="P2984" s="16" t="str">
        <f aca="false">IF(O2984="","",IFERROR(1/(1/(IF(K2984="",INDEX(CONFIG!$F$5:$F$14,MATCH(D2984,CONFIG!$D$5:$D$14,0)),K2984)*IF(M2984="",INDEX(CONFIG!$H$5:$H$14,MATCH(D2984,CONFIG!$D$5:$D$14,0)),M2984))),""))</f>
        <v/>
      </c>
      <c r="Q2984" s="16" t="str">
        <f aca="false">IF(OR(O2984="",P2984=""),"",O2984/P2984)</f>
        <v/>
      </c>
      <c r="R2984" s="16" t="str">
        <f aca="false">IF(Q2984="","",Q2984*0.0980665)</f>
        <v/>
      </c>
      <c r="S2984" s="16" t="str">
        <f aca="false">IF(Q2984="","",IFERROR(Q2984/(1/(1/INDEX(CONFIG!$I$5:$I$14,MATCH(D2984,CONFIG!$D$5:$D$14,0)))),""))</f>
        <v/>
      </c>
      <c r="T2984" s="13"/>
      <c r="U2984" s="13"/>
      <c r="V2984" s="13"/>
      <c r="W2984" s="13"/>
      <c r="X2984" s="22" t="str">
        <f aca="false">IF(Q2984="","",Q2984^2)</f>
        <v/>
      </c>
      <c r="Y2984" s="22" t="str">
        <f aca="false">IF(AND(C2984&lt;&gt;"",C2984=CERTIFICADO!$E$4,OR(CERTIFICADO!$E$5="",B2984=CERTIFICADO!$E$5)),MAX($Y$4:Y2983)+1,"")</f>
        <v/>
      </c>
    </row>
    <row r="2985" customFormat="false" ht="15" hidden="false" customHeight="false" outlineLevel="0" collapsed="false">
      <c r="A2985" s="11" t="str">
        <f aca="false">IF(C2985="","",ROW()-4)</f>
        <v/>
      </c>
      <c r="B2985" s="12"/>
      <c r="C2985" s="13"/>
      <c r="D2985" s="23" t="str">
        <f aca="false">IF(C2985="","",IFERROR(INDEX(LOTES!$D$5:$D$1004,MATCH(C2985,LOTES!$F$5:$F$1004,0)),"¿Lote?"))</f>
        <v/>
      </c>
      <c r="E2985" s="11" t="str">
        <f aca="false">IF(C2985="","",IFERROR(INDEX(LOTES!$C$5:$C$1004,MATCH(C2985,LOTES!$F$5:$F$1004,0)),""))</f>
        <v/>
      </c>
      <c r="F2985" s="24" t="str">
        <f aca="false">IF(C2985="","",IFERROR(INDEX(LOTES!$B$5:$B$1004,MATCH(C2985,LOTES!$F$5:$F$1004,0)),""))</f>
        <v/>
      </c>
      <c r="G2985" s="15" t="str">
        <f aca="false">IF(OR(B2985="",F2985=""),"",B2985-F2985)</f>
        <v/>
      </c>
      <c r="H2985" s="13"/>
      <c r="I2985" s="13"/>
      <c r="J2985" s="13"/>
      <c r="K2985" s="25"/>
      <c r="L2985" s="25"/>
      <c r="M2985" s="25"/>
      <c r="N2985" s="25"/>
      <c r="O2985" s="26"/>
      <c r="P2985" s="16" t="str">
        <f aca="false">IF(O2985="","",IFERROR(1/(1/(IF(K2985="",INDEX(CONFIG!$F$5:$F$14,MATCH(D2985,CONFIG!$D$5:$D$14,0)),K2985)*IF(M2985="",INDEX(CONFIG!$H$5:$H$14,MATCH(D2985,CONFIG!$D$5:$D$14,0)),M2985))),""))</f>
        <v/>
      </c>
      <c r="Q2985" s="16" t="str">
        <f aca="false">IF(OR(O2985="",P2985=""),"",O2985/P2985)</f>
        <v/>
      </c>
      <c r="R2985" s="16" t="str">
        <f aca="false">IF(Q2985="","",Q2985*0.0980665)</f>
        <v/>
      </c>
      <c r="S2985" s="16" t="str">
        <f aca="false">IF(Q2985="","",IFERROR(Q2985/(1/(1/INDEX(CONFIG!$I$5:$I$14,MATCH(D2985,CONFIG!$D$5:$D$14,0)))),""))</f>
        <v/>
      </c>
      <c r="T2985" s="13"/>
      <c r="U2985" s="13"/>
      <c r="V2985" s="13"/>
      <c r="W2985" s="13"/>
      <c r="X2985" s="22" t="str">
        <f aca="false">IF(Q2985="","",Q2985^2)</f>
        <v/>
      </c>
      <c r="Y2985" s="22" t="str">
        <f aca="false">IF(AND(C2985&lt;&gt;"",C2985=CERTIFICADO!$E$4,OR(CERTIFICADO!$E$5="",B2985=CERTIFICADO!$E$5)),MAX($Y$4:Y2984)+1,"")</f>
        <v/>
      </c>
    </row>
    <row r="2986" customFormat="false" ht="15" hidden="false" customHeight="false" outlineLevel="0" collapsed="false">
      <c r="A2986" s="11" t="str">
        <f aca="false">IF(C2986="","",ROW()-4)</f>
        <v/>
      </c>
      <c r="B2986" s="12"/>
      <c r="C2986" s="13"/>
      <c r="D2986" s="23" t="str">
        <f aca="false">IF(C2986="","",IFERROR(INDEX(LOTES!$D$5:$D$1004,MATCH(C2986,LOTES!$F$5:$F$1004,0)),"¿Lote?"))</f>
        <v/>
      </c>
      <c r="E2986" s="11" t="str">
        <f aca="false">IF(C2986="","",IFERROR(INDEX(LOTES!$C$5:$C$1004,MATCH(C2986,LOTES!$F$5:$F$1004,0)),""))</f>
        <v/>
      </c>
      <c r="F2986" s="24" t="str">
        <f aca="false">IF(C2986="","",IFERROR(INDEX(LOTES!$B$5:$B$1004,MATCH(C2986,LOTES!$F$5:$F$1004,0)),""))</f>
        <v/>
      </c>
      <c r="G2986" s="15" t="str">
        <f aca="false">IF(OR(B2986="",F2986=""),"",B2986-F2986)</f>
        <v/>
      </c>
      <c r="H2986" s="13"/>
      <c r="I2986" s="13"/>
      <c r="J2986" s="13"/>
      <c r="K2986" s="25"/>
      <c r="L2986" s="25"/>
      <c r="M2986" s="25"/>
      <c r="N2986" s="25"/>
      <c r="O2986" s="26"/>
      <c r="P2986" s="16" t="str">
        <f aca="false">IF(O2986="","",IFERROR(1/(1/(IF(K2986="",INDEX(CONFIG!$F$5:$F$14,MATCH(D2986,CONFIG!$D$5:$D$14,0)),K2986)*IF(M2986="",INDEX(CONFIG!$H$5:$H$14,MATCH(D2986,CONFIG!$D$5:$D$14,0)),M2986))),""))</f>
        <v/>
      </c>
      <c r="Q2986" s="16" t="str">
        <f aca="false">IF(OR(O2986="",P2986=""),"",O2986/P2986)</f>
        <v/>
      </c>
      <c r="R2986" s="16" t="str">
        <f aca="false">IF(Q2986="","",Q2986*0.0980665)</f>
        <v/>
      </c>
      <c r="S2986" s="16" t="str">
        <f aca="false">IF(Q2986="","",IFERROR(Q2986/(1/(1/INDEX(CONFIG!$I$5:$I$14,MATCH(D2986,CONFIG!$D$5:$D$14,0)))),""))</f>
        <v/>
      </c>
      <c r="T2986" s="13"/>
      <c r="U2986" s="13"/>
      <c r="V2986" s="13"/>
      <c r="W2986" s="13"/>
      <c r="X2986" s="22" t="str">
        <f aca="false">IF(Q2986="","",Q2986^2)</f>
        <v/>
      </c>
      <c r="Y2986" s="22" t="str">
        <f aca="false">IF(AND(C2986&lt;&gt;"",C2986=CERTIFICADO!$E$4,OR(CERTIFICADO!$E$5="",B2986=CERTIFICADO!$E$5)),MAX($Y$4:Y2985)+1,"")</f>
        <v/>
      </c>
    </row>
    <row r="2987" customFormat="false" ht="15" hidden="false" customHeight="false" outlineLevel="0" collapsed="false">
      <c r="A2987" s="11" t="str">
        <f aca="false">IF(C2987="","",ROW()-4)</f>
        <v/>
      </c>
      <c r="B2987" s="12"/>
      <c r="C2987" s="13"/>
      <c r="D2987" s="23" t="str">
        <f aca="false">IF(C2987="","",IFERROR(INDEX(LOTES!$D$5:$D$1004,MATCH(C2987,LOTES!$F$5:$F$1004,0)),"¿Lote?"))</f>
        <v/>
      </c>
      <c r="E2987" s="11" t="str">
        <f aca="false">IF(C2987="","",IFERROR(INDEX(LOTES!$C$5:$C$1004,MATCH(C2987,LOTES!$F$5:$F$1004,0)),""))</f>
        <v/>
      </c>
      <c r="F2987" s="24" t="str">
        <f aca="false">IF(C2987="","",IFERROR(INDEX(LOTES!$B$5:$B$1004,MATCH(C2987,LOTES!$F$5:$F$1004,0)),""))</f>
        <v/>
      </c>
      <c r="G2987" s="15" t="str">
        <f aca="false">IF(OR(B2987="",F2987=""),"",B2987-F2987)</f>
        <v/>
      </c>
      <c r="H2987" s="13"/>
      <c r="I2987" s="13"/>
      <c r="J2987" s="13"/>
      <c r="K2987" s="25"/>
      <c r="L2987" s="25"/>
      <c r="M2987" s="25"/>
      <c r="N2987" s="25"/>
      <c r="O2987" s="26"/>
      <c r="P2987" s="16" t="str">
        <f aca="false">IF(O2987="","",IFERROR(1/(1/(IF(K2987="",INDEX(CONFIG!$F$5:$F$14,MATCH(D2987,CONFIG!$D$5:$D$14,0)),K2987)*IF(M2987="",INDEX(CONFIG!$H$5:$H$14,MATCH(D2987,CONFIG!$D$5:$D$14,0)),M2987))),""))</f>
        <v/>
      </c>
      <c r="Q2987" s="16" t="str">
        <f aca="false">IF(OR(O2987="",P2987=""),"",O2987/P2987)</f>
        <v/>
      </c>
      <c r="R2987" s="16" t="str">
        <f aca="false">IF(Q2987="","",Q2987*0.0980665)</f>
        <v/>
      </c>
      <c r="S2987" s="16" t="str">
        <f aca="false">IF(Q2987="","",IFERROR(Q2987/(1/(1/INDEX(CONFIG!$I$5:$I$14,MATCH(D2987,CONFIG!$D$5:$D$14,0)))),""))</f>
        <v/>
      </c>
      <c r="T2987" s="13"/>
      <c r="U2987" s="13"/>
      <c r="V2987" s="13"/>
      <c r="W2987" s="13"/>
      <c r="X2987" s="22" t="str">
        <f aca="false">IF(Q2987="","",Q2987^2)</f>
        <v/>
      </c>
      <c r="Y2987" s="22" t="str">
        <f aca="false">IF(AND(C2987&lt;&gt;"",C2987=CERTIFICADO!$E$4,OR(CERTIFICADO!$E$5="",B2987=CERTIFICADO!$E$5)),MAX($Y$4:Y2986)+1,"")</f>
        <v/>
      </c>
    </row>
    <row r="2988" customFormat="false" ht="15" hidden="false" customHeight="false" outlineLevel="0" collapsed="false">
      <c r="A2988" s="11" t="str">
        <f aca="false">IF(C2988="","",ROW()-4)</f>
        <v/>
      </c>
      <c r="B2988" s="12"/>
      <c r="C2988" s="13"/>
      <c r="D2988" s="23" t="str">
        <f aca="false">IF(C2988="","",IFERROR(INDEX(LOTES!$D$5:$D$1004,MATCH(C2988,LOTES!$F$5:$F$1004,0)),"¿Lote?"))</f>
        <v/>
      </c>
      <c r="E2988" s="11" t="str">
        <f aca="false">IF(C2988="","",IFERROR(INDEX(LOTES!$C$5:$C$1004,MATCH(C2988,LOTES!$F$5:$F$1004,0)),""))</f>
        <v/>
      </c>
      <c r="F2988" s="24" t="str">
        <f aca="false">IF(C2988="","",IFERROR(INDEX(LOTES!$B$5:$B$1004,MATCH(C2988,LOTES!$F$5:$F$1004,0)),""))</f>
        <v/>
      </c>
      <c r="G2988" s="15" t="str">
        <f aca="false">IF(OR(B2988="",F2988=""),"",B2988-F2988)</f>
        <v/>
      </c>
      <c r="H2988" s="13"/>
      <c r="I2988" s="13"/>
      <c r="J2988" s="13"/>
      <c r="K2988" s="25"/>
      <c r="L2988" s="25"/>
      <c r="M2988" s="25"/>
      <c r="N2988" s="25"/>
      <c r="O2988" s="26"/>
      <c r="P2988" s="16" t="str">
        <f aca="false">IF(O2988="","",IFERROR(1/(1/(IF(K2988="",INDEX(CONFIG!$F$5:$F$14,MATCH(D2988,CONFIG!$D$5:$D$14,0)),K2988)*IF(M2988="",INDEX(CONFIG!$H$5:$H$14,MATCH(D2988,CONFIG!$D$5:$D$14,0)),M2988))),""))</f>
        <v/>
      </c>
      <c r="Q2988" s="16" t="str">
        <f aca="false">IF(OR(O2988="",P2988=""),"",O2988/P2988)</f>
        <v/>
      </c>
      <c r="R2988" s="16" t="str">
        <f aca="false">IF(Q2988="","",Q2988*0.0980665)</f>
        <v/>
      </c>
      <c r="S2988" s="16" t="str">
        <f aca="false">IF(Q2988="","",IFERROR(Q2988/(1/(1/INDEX(CONFIG!$I$5:$I$14,MATCH(D2988,CONFIG!$D$5:$D$14,0)))),""))</f>
        <v/>
      </c>
      <c r="T2988" s="13"/>
      <c r="U2988" s="13"/>
      <c r="V2988" s="13"/>
      <c r="W2988" s="13"/>
      <c r="X2988" s="22" t="str">
        <f aca="false">IF(Q2988="","",Q2988^2)</f>
        <v/>
      </c>
      <c r="Y2988" s="22" t="str">
        <f aca="false">IF(AND(C2988&lt;&gt;"",C2988=CERTIFICADO!$E$4,OR(CERTIFICADO!$E$5="",B2988=CERTIFICADO!$E$5)),MAX($Y$4:Y2987)+1,"")</f>
        <v/>
      </c>
    </row>
    <row r="2989" customFormat="false" ht="15" hidden="false" customHeight="false" outlineLevel="0" collapsed="false">
      <c r="A2989" s="11" t="str">
        <f aca="false">IF(C2989="","",ROW()-4)</f>
        <v/>
      </c>
      <c r="B2989" s="12"/>
      <c r="C2989" s="13"/>
      <c r="D2989" s="23" t="str">
        <f aca="false">IF(C2989="","",IFERROR(INDEX(LOTES!$D$5:$D$1004,MATCH(C2989,LOTES!$F$5:$F$1004,0)),"¿Lote?"))</f>
        <v/>
      </c>
      <c r="E2989" s="11" t="str">
        <f aca="false">IF(C2989="","",IFERROR(INDEX(LOTES!$C$5:$C$1004,MATCH(C2989,LOTES!$F$5:$F$1004,0)),""))</f>
        <v/>
      </c>
      <c r="F2989" s="24" t="str">
        <f aca="false">IF(C2989="","",IFERROR(INDEX(LOTES!$B$5:$B$1004,MATCH(C2989,LOTES!$F$5:$F$1004,0)),""))</f>
        <v/>
      </c>
      <c r="G2989" s="15" t="str">
        <f aca="false">IF(OR(B2989="",F2989=""),"",B2989-F2989)</f>
        <v/>
      </c>
      <c r="H2989" s="13"/>
      <c r="I2989" s="13"/>
      <c r="J2989" s="13"/>
      <c r="K2989" s="25"/>
      <c r="L2989" s="25"/>
      <c r="M2989" s="25"/>
      <c r="N2989" s="25"/>
      <c r="O2989" s="26"/>
      <c r="P2989" s="16" t="str">
        <f aca="false">IF(O2989="","",IFERROR(1/(1/(IF(K2989="",INDEX(CONFIG!$F$5:$F$14,MATCH(D2989,CONFIG!$D$5:$D$14,0)),K2989)*IF(M2989="",INDEX(CONFIG!$H$5:$H$14,MATCH(D2989,CONFIG!$D$5:$D$14,0)),M2989))),""))</f>
        <v/>
      </c>
      <c r="Q2989" s="16" t="str">
        <f aca="false">IF(OR(O2989="",P2989=""),"",O2989/P2989)</f>
        <v/>
      </c>
      <c r="R2989" s="16" t="str">
        <f aca="false">IF(Q2989="","",Q2989*0.0980665)</f>
        <v/>
      </c>
      <c r="S2989" s="16" t="str">
        <f aca="false">IF(Q2989="","",IFERROR(Q2989/(1/(1/INDEX(CONFIG!$I$5:$I$14,MATCH(D2989,CONFIG!$D$5:$D$14,0)))),""))</f>
        <v/>
      </c>
      <c r="T2989" s="13"/>
      <c r="U2989" s="13"/>
      <c r="V2989" s="13"/>
      <c r="W2989" s="13"/>
      <c r="X2989" s="22" t="str">
        <f aca="false">IF(Q2989="","",Q2989^2)</f>
        <v/>
      </c>
      <c r="Y2989" s="22" t="str">
        <f aca="false">IF(AND(C2989&lt;&gt;"",C2989=CERTIFICADO!$E$4,OR(CERTIFICADO!$E$5="",B2989=CERTIFICADO!$E$5)),MAX($Y$4:Y2988)+1,"")</f>
        <v/>
      </c>
    </row>
    <row r="2990" customFormat="false" ht="15" hidden="false" customHeight="false" outlineLevel="0" collapsed="false">
      <c r="A2990" s="11" t="str">
        <f aca="false">IF(C2990="","",ROW()-4)</f>
        <v/>
      </c>
      <c r="B2990" s="12"/>
      <c r="C2990" s="13"/>
      <c r="D2990" s="23" t="str">
        <f aca="false">IF(C2990="","",IFERROR(INDEX(LOTES!$D$5:$D$1004,MATCH(C2990,LOTES!$F$5:$F$1004,0)),"¿Lote?"))</f>
        <v/>
      </c>
      <c r="E2990" s="11" t="str">
        <f aca="false">IF(C2990="","",IFERROR(INDEX(LOTES!$C$5:$C$1004,MATCH(C2990,LOTES!$F$5:$F$1004,0)),""))</f>
        <v/>
      </c>
      <c r="F2990" s="24" t="str">
        <f aca="false">IF(C2990="","",IFERROR(INDEX(LOTES!$B$5:$B$1004,MATCH(C2990,LOTES!$F$5:$F$1004,0)),""))</f>
        <v/>
      </c>
      <c r="G2990" s="15" t="str">
        <f aca="false">IF(OR(B2990="",F2990=""),"",B2990-F2990)</f>
        <v/>
      </c>
      <c r="H2990" s="13"/>
      <c r="I2990" s="13"/>
      <c r="J2990" s="13"/>
      <c r="K2990" s="25"/>
      <c r="L2990" s="25"/>
      <c r="M2990" s="25"/>
      <c r="N2990" s="25"/>
      <c r="O2990" s="26"/>
      <c r="P2990" s="16" t="str">
        <f aca="false">IF(O2990="","",IFERROR(1/(1/(IF(K2990="",INDEX(CONFIG!$F$5:$F$14,MATCH(D2990,CONFIG!$D$5:$D$14,0)),K2990)*IF(M2990="",INDEX(CONFIG!$H$5:$H$14,MATCH(D2990,CONFIG!$D$5:$D$14,0)),M2990))),""))</f>
        <v/>
      </c>
      <c r="Q2990" s="16" t="str">
        <f aca="false">IF(OR(O2990="",P2990=""),"",O2990/P2990)</f>
        <v/>
      </c>
      <c r="R2990" s="16" t="str">
        <f aca="false">IF(Q2990="","",Q2990*0.0980665)</f>
        <v/>
      </c>
      <c r="S2990" s="16" t="str">
        <f aca="false">IF(Q2990="","",IFERROR(Q2990/(1/(1/INDEX(CONFIG!$I$5:$I$14,MATCH(D2990,CONFIG!$D$5:$D$14,0)))),""))</f>
        <v/>
      </c>
      <c r="T2990" s="13"/>
      <c r="U2990" s="13"/>
      <c r="V2990" s="13"/>
      <c r="W2990" s="13"/>
      <c r="X2990" s="22" t="str">
        <f aca="false">IF(Q2990="","",Q2990^2)</f>
        <v/>
      </c>
      <c r="Y2990" s="22" t="str">
        <f aca="false">IF(AND(C2990&lt;&gt;"",C2990=CERTIFICADO!$E$4,OR(CERTIFICADO!$E$5="",B2990=CERTIFICADO!$E$5)),MAX($Y$4:Y2989)+1,"")</f>
        <v/>
      </c>
    </row>
    <row r="2991" customFormat="false" ht="15" hidden="false" customHeight="false" outlineLevel="0" collapsed="false">
      <c r="A2991" s="11" t="str">
        <f aca="false">IF(C2991="","",ROW()-4)</f>
        <v/>
      </c>
      <c r="B2991" s="12"/>
      <c r="C2991" s="13"/>
      <c r="D2991" s="23" t="str">
        <f aca="false">IF(C2991="","",IFERROR(INDEX(LOTES!$D$5:$D$1004,MATCH(C2991,LOTES!$F$5:$F$1004,0)),"¿Lote?"))</f>
        <v/>
      </c>
      <c r="E2991" s="11" t="str">
        <f aca="false">IF(C2991="","",IFERROR(INDEX(LOTES!$C$5:$C$1004,MATCH(C2991,LOTES!$F$5:$F$1004,0)),""))</f>
        <v/>
      </c>
      <c r="F2991" s="24" t="str">
        <f aca="false">IF(C2991="","",IFERROR(INDEX(LOTES!$B$5:$B$1004,MATCH(C2991,LOTES!$F$5:$F$1004,0)),""))</f>
        <v/>
      </c>
      <c r="G2991" s="15" t="str">
        <f aca="false">IF(OR(B2991="",F2991=""),"",B2991-F2991)</f>
        <v/>
      </c>
      <c r="H2991" s="13"/>
      <c r="I2991" s="13"/>
      <c r="J2991" s="13"/>
      <c r="K2991" s="25"/>
      <c r="L2991" s="25"/>
      <c r="M2991" s="25"/>
      <c r="N2991" s="25"/>
      <c r="O2991" s="26"/>
      <c r="P2991" s="16" t="str">
        <f aca="false">IF(O2991="","",IFERROR(1/(1/(IF(K2991="",INDEX(CONFIG!$F$5:$F$14,MATCH(D2991,CONFIG!$D$5:$D$14,0)),K2991)*IF(M2991="",INDEX(CONFIG!$H$5:$H$14,MATCH(D2991,CONFIG!$D$5:$D$14,0)),M2991))),""))</f>
        <v/>
      </c>
      <c r="Q2991" s="16" t="str">
        <f aca="false">IF(OR(O2991="",P2991=""),"",O2991/P2991)</f>
        <v/>
      </c>
      <c r="R2991" s="16" t="str">
        <f aca="false">IF(Q2991="","",Q2991*0.0980665)</f>
        <v/>
      </c>
      <c r="S2991" s="16" t="str">
        <f aca="false">IF(Q2991="","",IFERROR(Q2991/(1/(1/INDEX(CONFIG!$I$5:$I$14,MATCH(D2991,CONFIG!$D$5:$D$14,0)))),""))</f>
        <v/>
      </c>
      <c r="T2991" s="13"/>
      <c r="U2991" s="13"/>
      <c r="V2991" s="13"/>
      <c r="W2991" s="13"/>
      <c r="X2991" s="22" t="str">
        <f aca="false">IF(Q2991="","",Q2991^2)</f>
        <v/>
      </c>
      <c r="Y2991" s="22" t="str">
        <f aca="false">IF(AND(C2991&lt;&gt;"",C2991=CERTIFICADO!$E$4,OR(CERTIFICADO!$E$5="",B2991=CERTIFICADO!$E$5)),MAX($Y$4:Y2990)+1,"")</f>
        <v/>
      </c>
    </row>
    <row r="2992" customFormat="false" ht="15" hidden="false" customHeight="false" outlineLevel="0" collapsed="false">
      <c r="A2992" s="11" t="str">
        <f aca="false">IF(C2992="","",ROW()-4)</f>
        <v/>
      </c>
      <c r="B2992" s="12"/>
      <c r="C2992" s="13"/>
      <c r="D2992" s="23" t="str">
        <f aca="false">IF(C2992="","",IFERROR(INDEX(LOTES!$D$5:$D$1004,MATCH(C2992,LOTES!$F$5:$F$1004,0)),"¿Lote?"))</f>
        <v/>
      </c>
      <c r="E2992" s="11" t="str">
        <f aca="false">IF(C2992="","",IFERROR(INDEX(LOTES!$C$5:$C$1004,MATCH(C2992,LOTES!$F$5:$F$1004,0)),""))</f>
        <v/>
      </c>
      <c r="F2992" s="24" t="str">
        <f aca="false">IF(C2992="","",IFERROR(INDEX(LOTES!$B$5:$B$1004,MATCH(C2992,LOTES!$F$5:$F$1004,0)),""))</f>
        <v/>
      </c>
      <c r="G2992" s="15" t="str">
        <f aca="false">IF(OR(B2992="",F2992=""),"",B2992-F2992)</f>
        <v/>
      </c>
      <c r="H2992" s="13"/>
      <c r="I2992" s="13"/>
      <c r="J2992" s="13"/>
      <c r="K2992" s="25"/>
      <c r="L2992" s="25"/>
      <c r="M2992" s="25"/>
      <c r="N2992" s="25"/>
      <c r="O2992" s="26"/>
      <c r="P2992" s="16" t="str">
        <f aca="false">IF(O2992="","",IFERROR(1/(1/(IF(K2992="",INDEX(CONFIG!$F$5:$F$14,MATCH(D2992,CONFIG!$D$5:$D$14,0)),K2992)*IF(M2992="",INDEX(CONFIG!$H$5:$H$14,MATCH(D2992,CONFIG!$D$5:$D$14,0)),M2992))),""))</f>
        <v/>
      </c>
      <c r="Q2992" s="16" t="str">
        <f aca="false">IF(OR(O2992="",P2992=""),"",O2992/P2992)</f>
        <v/>
      </c>
      <c r="R2992" s="16" t="str">
        <f aca="false">IF(Q2992="","",Q2992*0.0980665)</f>
        <v/>
      </c>
      <c r="S2992" s="16" t="str">
        <f aca="false">IF(Q2992="","",IFERROR(Q2992/(1/(1/INDEX(CONFIG!$I$5:$I$14,MATCH(D2992,CONFIG!$D$5:$D$14,0)))),""))</f>
        <v/>
      </c>
      <c r="T2992" s="13"/>
      <c r="U2992" s="13"/>
      <c r="V2992" s="13"/>
      <c r="W2992" s="13"/>
      <c r="X2992" s="22" t="str">
        <f aca="false">IF(Q2992="","",Q2992^2)</f>
        <v/>
      </c>
      <c r="Y2992" s="22" t="str">
        <f aca="false">IF(AND(C2992&lt;&gt;"",C2992=CERTIFICADO!$E$4,OR(CERTIFICADO!$E$5="",B2992=CERTIFICADO!$E$5)),MAX($Y$4:Y2991)+1,"")</f>
        <v/>
      </c>
    </row>
    <row r="2993" customFormat="false" ht="15" hidden="false" customHeight="false" outlineLevel="0" collapsed="false">
      <c r="A2993" s="11" t="str">
        <f aca="false">IF(C2993="","",ROW()-4)</f>
        <v/>
      </c>
      <c r="B2993" s="12"/>
      <c r="C2993" s="13"/>
      <c r="D2993" s="23" t="str">
        <f aca="false">IF(C2993="","",IFERROR(INDEX(LOTES!$D$5:$D$1004,MATCH(C2993,LOTES!$F$5:$F$1004,0)),"¿Lote?"))</f>
        <v/>
      </c>
      <c r="E2993" s="11" t="str">
        <f aca="false">IF(C2993="","",IFERROR(INDEX(LOTES!$C$5:$C$1004,MATCH(C2993,LOTES!$F$5:$F$1004,0)),""))</f>
        <v/>
      </c>
      <c r="F2993" s="24" t="str">
        <f aca="false">IF(C2993="","",IFERROR(INDEX(LOTES!$B$5:$B$1004,MATCH(C2993,LOTES!$F$5:$F$1004,0)),""))</f>
        <v/>
      </c>
      <c r="G2993" s="15" t="str">
        <f aca="false">IF(OR(B2993="",F2993=""),"",B2993-F2993)</f>
        <v/>
      </c>
      <c r="H2993" s="13"/>
      <c r="I2993" s="13"/>
      <c r="J2993" s="13"/>
      <c r="K2993" s="25"/>
      <c r="L2993" s="25"/>
      <c r="M2993" s="25"/>
      <c r="N2993" s="25"/>
      <c r="O2993" s="26"/>
      <c r="P2993" s="16" t="str">
        <f aca="false">IF(O2993="","",IFERROR(1/(1/(IF(K2993="",INDEX(CONFIG!$F$5:$F$14,MATCH(D2993,CONFIG!$D$5:$D$14,0)),K2993)*IF(M2993="",INDEX(CONFIG!$H$5:$H$14,MATCH(D2993,CONFIG!$D$5:$D$14,0)),M2993))),""))</f>
        <v/>
      </c>
      <c r="Q2993" s="16" t="str">
        <f aca="false">IF(OR(O2993="",P2993=""),"",O2993/P2993)</f>
        <v/>
      </c>
      <c r="R2993" s="16" t="str">
        <f aca="false">IF(Q2993="","",Q2993*0.0980665)</f>
        <v/>
      </c>
      <c r="S2993" s="16" t="str">
        <f aca="false">IF(Q2993="","",IFERROR(Q2993/(1/(1/INDEX(CONFIG!$I$5:$I$14,MATCH(D2993,CONFIG!$D$5:$D$14,0)))),""))</f>
        <v/>
      </c>
      <c r="T2993" s="13"/>
      <c r="U2993" s="13"/>
      <c r="V2993" s="13"/>
      <c r="W2993" s="13"/>
      <c r="X2993" s="22" t="str">
        <f aca="false">IF(Q2993="","",Q2993^2)</f>
        <v/>
      </c>
      <c r="Y2993" s="22" t="str">
        <f aca="false">IF(AND(C2993&lt;&gt;"",C2993=CERTIFICADO!$E$4,OR(CERTIFICADO!$E$5="",B2993=CERTIFICADO!$E$5)),MAX($Y$4:Y2992)+1,"")</f>
        <v/>
      </c>
    </row>
    <row r="2994" customFormat="false" ht="15" hidden="false" customHeight="false" outlineLevel="0" collapsed="false">
      <c r="A2994" s="11" t="str">
        <f aca="false">IF(C2994="","",ROW()-4)</f>
        <v/>
      </c>
      <c r="B2994" s="12"/>
      <c r="C2994" s="13"/>
      <c r="D2994" s="23" t="str">
        <f aca="false">IF(C2994="","",IFERROR(INDEX(LOTES!$D$5:$D$1004,MATCH(C2994,LOTES!$F$5:$F$1004,0)),"¿Lote?"))</f>
        <v/>
      </c>
      <c r="E2994" s="11" t="str">
        <f aca="false">IF(C2994="","",IFERROR(INDEX(LOTES!$C$5:$C$1004,MATCH(C2994,LOTES!$F$5:$F$1004,0)),""))</f>
        <v/>
      </c>
      <c r="F2994" s="24" t="str">
        <f aca="false">IF(C2994="","",IFERROR(INDEX(LOTES!$B$5:$B$1004,MATCH(C2994,LOTES!$F$5:$F$1004,0)),""))</f>
        <v/>
      </c>
      <c r="G2994" s="15" t="str">
        <f aca="false">IF(OR(B2994="",F2994=""),"",B2994-F2994)</f>
        <v/>
      </c>
      <c r="H2994" s="13"/>
      <c r="I2994" s="13"/>
      <c r="J2994" s="13"/>
      <c r="K2994" s="25"/>
      <c r="L2994" s="25"/>
      <c r="M2994" s="25"/>
      <c r="N2994" s="25"/>
      <c r="O2994" s="26"/>
      <c r="P2994" s="16" t="str">
        <f aca="false">IF(O2994="","",IFERROR(1/(1/(IF(K2994="",INDEX(CONFIG!$F$5:$F$14,MATCH(D2994,CONFIG!$D$5:$D$14,0)),K2994)*IF(M2994="",INDEX(CONFIG!$H$5:$H$14,MATCH(D2994,CONFIG!$D$5:$D$14,0)),M2994))),""))</f>
        <v/>
      </c>
      <c r="Q2994" s="16" t="str">
        <f aca="false">IF(OR(O2994="",P2994=""),"",O2994/P2994)</f>
        <v/>
      </c>
      <c r="R2994" s="16" t="str">
        <f aca="false">IF(Q2994="","",Q2994*0.0980665)</f>
        <v/>
      </c>
      <c r="S2994" s="16" t="str">
        <f aca="false">IF(Q2994="","",IFERROR(Q2994/(1/(1/INDEX(CONFIG!$I$5:$I$14,MATCH(D2994,CONFIG!$D$5:$D$14,0)))),""))</f>
        <v/>
      </c>
      <c r="T2994" s="13"/>
      <c r="U2994" s="13"/>
      <c r="V2994" s="13"/>
      <c r="W2994" s="13"/>
      <c r="X2994" s="22" t="str">
        <f aca="false">IF(Q2994="","",Q2994^2)</f>
        <v/>
      </c>
      <c r="Y2994" s="22" t="str">
        <f aca="false">IF(AND(C2994&lt;&gt;"",C2994=CERTIFICADO!$E$4,OR(CERTIFICADO!$E$5="",B2994=CERTIFICADO!$E$5)),MAX($Y$4:Y2993)+1,"")</f>
        <v/>
      </c>
    </row>
    <row r="2995" customFormat="false" ht="15" hidden="false" customHeight="false" outlineLevel="0" collapsed="false">
      <c r="A2995" s="11" t="str">
        <f aca="false">IF(C2995="","",ROW()-4)</f>
        <v/>
      </c>
      <c r="B2995" s="12"/>
      <c r="C2995" s="13"/>
      <c r="D2995" s="23" t="str">
        <f aca="false">IF(C2995="","",IFERROR(INDEX(LOTES!$D$5:$D$1004,MATCH(C2995,LOTES!$F$5:$F$1004,0)),"¿Lote?"))</f>
        <v/>
      </c>
      <c r="E2995" s="11" t="str">
        <f aca="false">IF(C2995="","",IFERROR(INDEX(LOTES!$C$5:$C$1004,MATCH(C2995,LOTES!$F$5:$F$1004,0)),""))</f>
        <v/>
      </c>
      <c r="F2995" s="24" t="str">
        <f aca="false">IF(C2995="","",IFERROR(INDEX(LOTES!$B$5:$B$1004,MATCH(C2995,LOTES!$F$5:$F$1004,0)),""))</f>
        <v/>
      </c>
      <c r="G2995" s="15" t="str">
        <f aca="false">IF(OR(B2995="",F2995=""),"",B2995-F2995)</f>
        <v/>
      </c>
      <c r="H2995" s="13"/>
      <c r="I2995" s="13"/>
      <c r="J2995" s="13"/>
      <c r="K2995" s="25"/>
      <c r="L2995" s="25"/>
      <c r="M2995" s="25"/>
      <c r="N2995" s="25"/>
      <c r="O2995" s="26"/>
      <c r="P2995" s="16" t="str">
        <f aca="false">IF(O2995="","",IFERROR(1/(1/(IF(K2995="",INDEX(CONFIG!$F$5:$F$14,MATCH(D2995,CONFIG!$D$5:$D$14,0)),K2995)*IF(M2995="",INDEX(CONFIG!$H$5:$H$14,MATCH(D2995,CONFIG!$D$5:$D$14,0)),M2995))),""))</f>
        <v/>
      </c>
      <c r="Q2995" s="16" t="str">
        <f aca="false">IF(OR(O2995="",P2995=""),"",O2995/P2995)</f>
        <v/>
      </c>
      <c r="R2995" s="16" t="str">
        <f aca="false">IF(Q2995="","",Q2995*0.0980665)</f>
        <v/>
      </c>
      <c r="S2995" s="16" t="str">
        <f aca="false">IF(Q2995="","",IFERROR(Q2995/(1/(1/INDEX(CONFIG!$I$5:$I$14,MATCH(D2995,CONFIG!$D$5:$D$14,0)))),""))</f>
        <v/>
      </c>
      <c r="T2995" s="13"/>
      <c r="U2995" s="13"/>
      <c r="V2995" s="13"/>
      <c r="W2995" s="13"/>
      <c r="X2995" s="22" t="str">
        <f aca="false">IF(Q2995="","",Q2995^2)</f>
        <v/>
      </c>
      <c r="Y2995" s="22" t="str">
        <f aca="false">IF(AND(C2995&lt;&gt;"",C2995=CERTIFICADO!$E$4,OR(CERTIFICADO!$E$5="",B2995=CERTIFICADO!$E$5)),MAX($Y$4:Y2994)+1,"")</f>
        <v/>
      </c>
    </row>
    <row r="2996" customFormat="false" ht="15" hidden="false" customHeight="false" outlineLevel="0" collapsed="false">
      <c r="A2996" s="11" t="str">
        <f aca="false">IF(C2996="","",ROW()-4)</f>
        <v/>
      </c>
      <c r="B2996" s="12"/>
      <c r="C2996" s="13"/>
      <c r="D2996" s="23" t="str">
        <f aca="false">IF(C2996="","",IFERROR(INDEX(LOTES!$D$5:$D$1004,MATCH(C2996,LOTES!$F$5:$F$1004,0)),"¿Lote?"))</f>
        <v/>
      </c>
      <c r="E2996" s="11" t="str">
        <f aca="false">IF(C2996="","",IFERROR(INDEX(LOTES!$C$5:$C$1004,MATCH(C2996,LOTES!$F$5:$F$1004,0)),""))</f>
        <v/>
      </c>
      <c r="F2996" s="24" t="str">
        <f aca="false">IF(C2996="","",IFERROR(INDEX(LOTES!$B$5:$B$1004,MATCH(C2996,LOTES!$F$5:$F$1004,0)),""))</f>
        <v/>
      </c>
      <c r="G2996" s="15" t="str">
        <f aca="false">IF(OR(B2996="",F2996=""),"",B2996-F2996)</f>
        <v/>
      </c>
      <c r="H2996" s="13"/>
      <c r="I2996" s="13"/>
      <c r="J2996" s="13"/>
      <c r="K2996" s="25"/>
      <c r="L2996" s="25"/>
      <c r="M2996" s="25"/>
      <c r="N2996" s="25"/>
      <c r="O2996" s="26"/>
      <c r="P2996" s="16" t="str">
        <f aca="false">IF(O2996="","",IFERROR(1/(1/(IF(K2996="",INDEX(CONFIG!$F$5:$F$14,MATCH(D2996,CONFIG!$D$5:$D$14,0)),K2996)*IF(M2996="",INDEX(CONFIG!$H$5:$H$14,MATCH(D2996,CONFIG!$D$5:$D$14,0)),M2996))),""))</f>
        <v/>
      </c>
      <c r="Q2996" s="16" t="str">
        <f aca="false">IF(OR(O2996="",P2996=""),"",O2996/P2996)</f>
        <v/>
      </c>
      <c r="R2996" s="16" t="str">
        <f aca="false">IF(Q2996="","",Q2996*0.0980665)</f>
        <v/>
      </c>
      <c r="S2996" s="16" t="str">
        <f aca="false">IF(Q2996="","",IFERROR(Q2996/(1/(1/INDEX(CONFIG!$I$5:$I$14,MATCH(D2996,CONFIG!$D$5:$D$14,0)))),""))</f>
        <v/>
      </c>
      <c r="T2996" s="13"/>
      <c r="U2996" s="13"/>
      <c r="V2996" s="13"/>
      <c r="W2996" s="13"/>
      <c r="X2996" s="22" t="str">
        <f aca="false">IF(Q2996="","",Q2996^2)</f>
        <v/>
      </c>
      <c r="Y2996" s="22" t="str">
        <f aca="false">IF(AND(C2996&lt;&gt;"",C2996=CERTIFICADO!$E$4,OR(CERTIFICADO!$E$5="",B2996=CERTIFICADO!$E$5)),MAX($Y$4:Y2995)+1,"")</f>
        <v/>
      </c>
    </row>
    <row r="2997" customFormat="false" ht="15" hidden="false" customHeight="false" outlineLevel="0" collapsed="false">
      <c r="A2997" s="11" t="str">
        <f aca="false">IF(C2997="","",ROW()-4)</f>
        <v/>
      </c>
      <c r="B2997" s="12"/>
      <c r="C2997" s="13"/>
      <c r="D2997" s="23" t="str">
        <f aca="false">IF(C2997="","",IFERROR(INDEX(LOTES!$D$5:$D$1004,MATCH(C2997,LOTES!$F$5:$F$1004,0)),"¿Lote?"))</f>
        <v/>
      </c>
      <c r="E2997" s="11" t="str">
        <f aca="false">IF(C2997="","",IFERROR(INDEX(LOTES!$C$5:$C$1004,MATCH(C2997,LOTES!$F$5:$F$1004,0)),""))</f>
        <v/>
      </c>
      <c r="F2997" s="24" t="str">
        <f aca="false">IF(C2997="","",IFERROR(INDEX(LOTES!$B$5:$B$1004,MATCH(C2997,LOTES!$F$5:$F$1004,0)),""))</f>
        <v/>
      </c>
      <c r="G2997" s="15" t="str">
        <f aca="false">IF(OR(B2997="",F2997=""),"",B2997-F2997)</f>
        <v/>
      </c>
      <c r="H2997" s="13"/>
      <c r="I2997" s="13"/>
      <c r="J2997" s="13"/>
      <c r="K2997" s="25"/>
      <c r="L2997" s="25"/>
      <c r="M2997" s="25"/>
      <c r="N2997" s="25"/>
      <c r="O2997" s="26"/>
      <c r="P2997" s="16" t="str">
        <f aca="false">IF(O2997="","",IFERROR(1/(1/(IF(K2997="",INDEX(CONFIG!$F$5:$F$14,MATCH(D2997,CONFIG!$D$5:$D$14,0)),K2997)*IF(M2997="",INDEX(CONFIG!$H$5:$H$14,MATCH(D2997,CONFIG!$D$5:$D$14,0)),M2997))),""))</f>
        <v/>
      </c>
      <c r="Q2997" s="16" t="str">
        <f aca="false">IF(OR(O2997="",P2997=""),"",O2997/P2997)</f>
        <v/>
      </c>
      <c r="R2997" s="16" t="str">
        <f aca="false">IF(Q2997="","",Q2997*0.0980665)</f>
        <v/>
      </c>
      <c r="S2997" s="16" t="str">
        <f aca="false">IF(Q2997="","",IFERROR(Q2997/(1/(1/INDEX(CONFIG!$I$5:$I$14,MATCH(D2997,CONFIG!$D$5:$D$14,0)))),""))</f>
        <v/>
      </c>
      <c r="T2997" s="13"/>
      <c r="U2997" s="13"/>
      <c r="V2997" s="13"/>
      <c r="W2997" s="13"/>
      <c r="X2997" s="22" t="str">
        <f aca="false">IF(Q2997="","",Q2997^2)</f>
        <v/>
      </c>
      <c r="Y2997" s="22" t="str">
        <f aca="false">IF(AND(C2997&lt;&gt;"",C2997=CERTIFICADO!$E$4,OR(CERTIFICADO!$E$5="",B2997=CERTIFICADO!$E$5)),MAX($Y$4:Y2996)+1,"")</f>
        <v/>
      </c>
    </row>
    <row r="2998" customFormat="false" ht="15" hidden="false" customHeight="false" outlineLevel="0" collapsed="false">
      <c r="A2998" s="11" t="str">
        <f aca="false">IF(C2998="","",ROW()-4)</f>
        <v/>
      </c>
      <c r="B2998" s="12"/>
      <c r="C2998" s="13"/>
      <c r="D2998" s="23" t="str">
        <f aca="false">IF(C2998="","",IFERROR(INDEX(LOTES!$D$5:$D$1004,MATCH(C2998,LOTES!$F$5:$F$1004,0)),"¿Lote?"))</f>
        <v/>
      </c>
      <c r="E2998" s="11" t="str">
        <f aca="false">IF(C2998="","",IFERROR(INDEX(LOTES!$C$5:$C$1004,MATCH(C2998,LOTES!$F$5:$F$1004,0)),""))</f>
        <v/>
      </c>
      <c r="F2998" s="24" t="str">
        <f aca="false">IF(C2998="","",IFERROR(INDEX(LOTES!$B$5:$B$1004,MATCH(C2998,LOTES!$F$5:$F$1004,0)),""))</f>
        <v/>
      </c>
      <c r="G2998" s="15" t="str">
        <f aca="false">IF(OR(B2998="",F2998=""),"",B2998-F2998)</f>
        <v/>
      </c>
      <c r="H2998" s="13"/>
      <c r="I2998" s="13"/>
      <c r="J2998" s="13"/>
      <c r="K2998" s="25"/>
      <c r="L2998" s="25"/>
      <c r="M2998" s="25"/>
      <c r="N2998" s="25"/>
      <c r="O2998" s="26"/>
      <c r="P2998" s="16" t="str">
        <f aca="false">IF(O2998="","",IFERROR(1/(1/(IF(K2998="",INDEX(CONFIG!$F$5:$F$14,MATCH(D2998,CONFIG!$D$5:$D$14,0)),K2998)*IF(M2998="",INDEX(CONFIG!$H$5:$H$14,MATCH(D2998,CONFIG!$D$5:$D$14,0)),M2998))),""))</f>
        <v/>
      </c>
      <c r="Q2998" s="16" t="str">
        <f aca="false">IF(OR(O2998="",P2998=""),"",O2998/P2998)</f>
        <v/>
      </c>
      <c r="R2998" s="16" t="str">
        <f aca="false">IF(Q2998="","",Q2998*0.0980665)</f>
        <v/>
      </c>
      <c r="S2998" s="16" t="str">
        <f aca="false">IF(Q2998="","",IFERROR(Q2998/(1/(1/INDEX(CONFIG!$I$5:$I$14,MATCH(D2998,CONFIG!$D$5:$D$14,0)))),""))</f>
        <v/>
      </c>
      <c r="T2998" s="13"/>
      <c r="U2998" s="13"/>
      <c r="V2998" s="13"/>
      <c r="W2998" s="13"/>
      <c r="X2998" s="22" t="str">
        <f aca="false">IF(Q2998="","",Q2998^2)</f>
        <v/>
      </c>
      <c r="Y2998" s="22" t="str">
        <f aca="false">IF(AND(C2998&lt;&gt;"",C2998=CERTIFICADO!$E$4,OR(CERTIFICADO!$E$5="",B2998=CERTIFICADO!$E$5)),MAX($Y$4:Y2997)+1,"")</f>
        <v/>
      </c>
    </row>
    <row r="2999" customFormat="false" ht="15" hidden="false" customHeight="false" outlineLevel="0" collapsed="false">
      <c r="A2999" s="11" t="str">
        <f aca="false">IF(C2999="","",ROW()-4)</f>
        <v/>
      </c>
      <c r="B2999" s="12"/>
      <c r="C2999" s="13"/>
      <c r="D2999" s="23" t="str">
        <f aca="false">IF(C2999="","",IFERROR(INDEX(LOTES!$D$5:$D$1004,MATCH(C2999,LOTES!$F$5:$F$1004,0)),"¿Lote?"))</f>
        <v/>
      </c>
      <c r="E2999" s="11" t="str">
        <f aca="false">IF(C2999="","",IFERROR(INDEX(LOTES!$C$5:$C$1004,MATCH(C2999,LOTES!$F$5:$F$1004,0)),""))</f>
        <v/>
      </c>
      <c r="F2999" s="24" t="str">
        <f aca="false">IF(C2999="","",IFERROR(INDEX(LOTES!$B$5:$B$1004,MATCH(C2999,LOTES!$F$5:$F$1004,0)),""))</f>
        <v/>
      </c>
      <c r="G2999" s="15" t="str">
        <f aca="false">IF(OR(B2999="",F2999=""),"",B2999-F2999)</f>
        <v/>
      </c>
      <c r="H2999" s="13"/>
      <c r="I2999" s="13"/>
      <c r="J2999" s="13"/>
      <c r="K2999" s="25"/>
      <c r="L2999" s="25"/>
      <c r="M2999" s="25"/>
      <c r="N2999" s="25"/>
      <c r="O2999" s="26"/>
      <c r="P2999" s="16" t="str">
        <f aca="false">IF(O2999="","",IFERROR(1/(1/(IF(K2999="",INDEX(CONFIG!$F$5:$F$14,MATCH(D2999,CONFIG!$D$5:$D$14,0)),K2999)*IF(M2999="",INDEX(CONFIG!$H$5:$H$14,MATCH(D2999,CONFIG!$D$5:$D$14,0)),M2999))),""))</f>
        <v/>
      </c>
      <c r="Q2999" s="16" t="str">
        <f aca="false">IF(OR(O2999="",P2999=""),"",O2999/P2999)</f>
        <v/>
      </c>
      <c r="R2999" s="16" t="str">
        <f aca="false">IF(Q2999="","",Q2999*0.0980665)</f>
        <v/>
      </c>
      <c r="S2999" s="16" t="str">
        <f aca="false">IF(Q2999="","",IFERROR(Q2999/(1/(1/INDEX(CONFIG!$I$5:$I$14,MATCH(D2999,CONFIG!$D$5:$D$14,0)))),""))</f>
        <v/>
      </c>
      <c r="T2999" s="13"/>
      <c r="U2999" s="13"/>
      <c r="V2999" s="13"/>
      <c r="W2999" s="13"/>
      <c r="X2999" s="22" t="str">
        <f aca="false">IF(Q2999="","",Q2999^2)</f>
        <v/>
      </c>
      <c r="Y2999" s="22" t="str">
        <f aca="false">IF(AND(C2999&lt;&gt;"",C2999=CERTIFICADO!$E$4,OR(CERTIFICADO!$E$5="",B2999=CERTIFICADO!$E$5)),MAX($Y$4:Y2998)+1,"")</f>
        <v/>
      </c>
    </row>
    <row r="3000" customFormat="false" ht="15" hidden="false" customHeight="false" outlineLevel="0" collapsed="false">
      <c r="A3000" s="11" t="str">
        <f aca="false">IF(C3000="","",ROW()-4)</f>
        <v/>
      </c>
      <c r="B3000" s="12"/>
      <c r="C3000" s="13"/>
      <c r="D3000" s="23" t="str">
        <f aca="false">IF(C3000="","",IFERROR(INDEX(LOTES!$D$5:$D$1004,MATCH(C3000,LOTES!$F$5:$F$1004,0)),"¿Lote?"))</f>
        <v/>
      </c>
      <c r="E3000" s="11" t="str">
        <f aca="false">IF(C3000="","",IFERROR(INDEX(LOTES!$C$5:$C$1004,MATCH(C3000,LOTES!$F$5:$F$1004,0)),""))</f>
        <v/>
      </c>
      <c r="F3000" s="24" t="str">
        <f aca="false">IF(C3000="","",IFERROR(INDEX(LOTES!$B$5:$B$1004,MATCH(C3000,LOTES!$F$5:$F$1004,0)),""))</f>
        <v/>
      </c>
      <c r="G3000" s="15" t="str">
        <f aca="false">IF(OR(B3000="",F3000=""),"",B3000-F3000)</f>
        <v/>
      </c>
      <c r="H3000" s="13"/>
      <c r="I3000" s="13"/>
      <c r="J3000" s="13"/>
      <c r="K3000" s="25"/>
      <c r="L3000" s="25"/>
      <c r="M3000" s="25"/>
      <c r="N3000" s="25"/>
      <c r="O3000" s="26"/>
      <c r="P3000" s="16" t="str">
        <f aca="false">IF(O3000="","",IFERROR(1/(1/(IF(K3000="",INDEX(CONFIG!$F$5:$F$14,MATCH(D3000,CONFIG!$D$5:$D$14,0)),K3000)*IF(M3000="",INDEX(CONFIG!$H$5:$H$14,MATCH(D3000,CONFIG!$D$5:$D$14,0)),M3000))),""))</f>
        <v/>
      </c>
      <c r="Q3000" s="16" t="str">
        <f aca="false">IF(OR(O3000="",P3000=""),"",O3000/P3000)</f>
        <v/>
      </c>
      <c r="R3000" s="16" t="str">
        <f aca="false">IF(Q3000="","",Q3000*0.0980665)</f>
        <v/>
      </c>
      <c r="S3000" s="16" t="str">
        <f aca="false">IF(Q3000="","",IFERROR(Q3000/(1/(1/INDEX(CONFIG!$I$5:$I$14,MATCH(D3000,CONFIG!$D$5:$D$14,0)))),""))</f>
        <v/>
      </c>
      <c r="T3000" s="13"/>
      <c r="U3000" s="13"/>
      <c r="V3000" s="13"/>
      <c r="W3000" s="13"/>
      <c r="X3000" s="22" t="str">
        <f aca="false">IF(Q3000="","",Q3000^2)</f>
        <v/>
      </c>
      <c r="Y3000" s="22" t="str">
        <f aca="false">IF(AND(C3000&lt;&gt;"",C3000=CERTIFICADO!$E$4,OR(CERTIFICADO!$E$5="",B3000=CERTIFICADO!$E$5)),MAX($Y$4:Y2999)+1,"")</f>
        <v/>
      </c>
    </row>
    <row r="3001" customFormat="false" ht="15" hidden="false" customHeight="false" outlineLevel="0" collapsed="false">
      <c r="A3001" s="11" t="str">
        <f aca="false">IF(C3001="","",ROW()-4)</f>
        <v/>
      </c>
      <c r="B3001" s="12"/>
      <c r="C3001" s="13"/>
      <c r="D3001" s="23" t="str">
        <f aca="false">IF(C3001="","",IFERROR(INDEX(LOTES!$D$5:$D$1004,MATCH(C3001,LOTES!$F$5:$F$1004,0)),"¿Lote?"))</f>
        <v/>
      </c>
      <c r="E3001" s="11" t="str">
        <f aca="false">IF(C3001="","",IFERROR(INDEX(LOTES!$C$5:$C$1004,MATCH(C3001,LOTES!$F$5:$F$1004,0)),""))</f>
        <v/>
      </c>
      <c r="F3001" s="24" t="str">
        <f aca="false">IF(C3001="","",IFERROR(INDEX(LOTES!$B$5:$B$1004,MATCH(C3001,LOTES!$F$5:$F$1004,0)),""))</f>
        <v/>
      </c>
      <c r="G3001" s="15" t="str">
        <f aca="false">IF(OR(B3001="",F3001=""),"",B3001-F3001)</f>
        <v/>
      </c>
      <c r="H3001" s="13"/>
      <c r="I3001" s="13"/>
      <c r="J3001" s="13"/>
      <c r="K3001" s="25"/>
      <c r="L3001" s="25"/>
      <c r="M3001" s="25"/>
      <c r="N3001" s="25"/>
      <c r="O3001" s="26"/>
      <c r="P3001" s="16" t="str">
        <f aca="false">IF(O3001="","",IFERROR(1/(1/(IF(K3001="",INDEX(CONFIG!$F$5:$F$14,MATCH(D3001,CONFIG!$D$5:$D$14,0)),K3001)*IF(M3001="",INDEX(CONFIG!$H$5:$H$14,MATCH(D3001,CONFIG!$D$5:$D$14,0)),M3001))),""))</f>
        <v/>
      </c>
      <c r="Q3001" s="16" t="str">
        <f aca="false">IF(OR(O3001="",P3001=""),"",O3001/P3001)</f>
        <v/>
      </c>
      <c r="R3001" s="16" t="str">
        <f aca="false">IF(Q3001="","",Q3001*0.0980665)</f>
        <v/>
      </c>
      <c r="S3001" s="16" t="str">
        <f aca="false">IF(Q3001="","",IFERROR(Q3001/(1/(1/INDEX(CONFIG!$I$5:$I$14,MATCH(D3001,CONFIG!$D$5:$D$14,0)))),""))</f>
        <v/>
      </c>
      <c r="T3001" s="13"/>
      <c r="U3001" s="13"/>
      <c r="V3001" s="13"/>
      <c r="W3001" s="13"/>
      <c r="X3001" s="22" t="str">
        <f aca="false">IF(Q3001="","",Q3001^2)</f>
        <v/>
      </c>
      <c r="Y3001" s="22" t="str">
        <f aca="false">IF(AND(C3001&lt;&gt;"",C3001=CERTIFICADO!$E$4,OR(CERTIFICADO!$E$5="",B3001=CERTIFICADO!$E$5)),MAX($Y$4:Y3000)+1,"")</f>
        <v/>
      </c>
    </row>
    <row r="3002" customFormat="false" ht="15" hidden="false" customHeight="false" outlineLevel="0" collapsed="false">
      <c r="A3002" s="11" t="str">
        <f aca="false">IF(C3002="","",ROW()-4)</f>
        <v/>
      </c>
      <c r="B3002" s="12"/>
      <c r="C3002" s="13"/>
      <c r="D3002" s="23" t="str">
        <f aca="false">IF(C3002="","",IFERROR(INDEX(LOTES!$D$5:$D$1004,MATCH(C3002,LOTES!$F$5:$F$1004,0)),"¿Lote?"))</f>
        <v/>
      </c>
      <c r="E3002" s="11" t="str">
        <f aca="false">IF(C3002="","",IFERROR(INDEX(LOTES!$C$5:$C$1004,MATCH(C3002,LOTES!$F$5:$F$1004,0)),""))</f>
        <v/>
      </c>
      <c r="F3002" s="24" t="str">
        <f aca="false">IF(C3002="","",IFERROR(INDEX(LOTES!$B$5:$B$1004,MATCH(C3002,LOTES!$F$5:$F$1004,0)),""))</f>
        <v/>
      </c>
      <c r="G3002" s="15" t="str">
        <f aca="false">IF(OR(B3002="",F3002=""),"",B3002-F3002)</f>
        <v/>
      </c>
      <c r="H3002" s="13"/>
      <c r="I3002" s="13"/>
      <c r="J3002" s="13"/>
      <c r="K3002" s="25"/>
      <c r="L3002" s="25"/>
      <c r="M3002" s="25"/>
      <c r="N3002" s="25"/>
      <c r="O3002" s="26"/>
      <c r="P3002" s="16" t="str">
        <f aca="false">IF(O3002="","",IFERROR(1/(1/(IF(K3002="",INDEX(CONFIG!$F$5:$F$14,MATCH(D3002,CONFIG!$D$5:$D$14,0)),K3002)*IF(M3002="",INDEX(CONFIG!$H$5:$H$14,MATCH(D3002,CONFIG!$D$5:$D$14,0)),M3002))),""))</f>
        <v/>
      </c>
      <c r="Q3002" s="16" t="str">
        <f aca="false">IF(OR(O3002="",P3002=""),"",O3002/P3002)</f>
        <v/>
      </c>
      <c r="R3002" s="16" t="str">
        <f aca="false">IF(Q3002="","",Q3002*0.0980665)</f>
        <v/>
      </c>
      <c r="S3002" s="16" t="str">
        <f aca="false">IF(Q3002="","",IFERROR(Q3002/(1/(1/INDEX(CONFIG!$I$5:$I$14,MATCH(D3002,CONFIG!$D$5:$D$14,0)))),""))</f>
        <v/>
      </c>
      <c r="T3002" s="13"/>
      <c r="U3002" s="13"/>
      <c r="V3002" s="13"/>
      <c r="W3002" s="13"/>
      <c r="X3002" s="22" t="str">
        <f aca="false">IF(Q3002="","",Q3002^2)</f>
        <v/>
      </c>
      <c r="Y3002" s="22" t="str">
        <f aca="false">IF(AND(C3002&lt;&gt;"",C3002=CERTIFICADO!$E$4,OR(CERTIFICADO!$E$5="",B3002=CERTIFICADO!$E$5)),MAX($Y$4:Y3001)+1,"")</f>
        <v/>
      </c>
    </row>
    <row r="3003" customFormat="false" ht="15" hidden="false" customHeight="false" outlineLevel="0" collapsed="false">
      <c r="A3003" s="11" t="str">
        <f aca="false">IF(C3003="","",ROW()-4)</f>
        <v/>
      </c>
      <c r="B3003" s="12"/>
      <c r="C3003" s="13"/>
      <c r="D3003" s="23" t="str">
        <f aca="false">IF(C3003="","",IFERROR(INDEX(LOTES!$D$5:$D$1004,MATCH(C3003,LOTES!$F$5:$F$1004,0)),"¿Lote?"))</f>
        <v/>
      </c>
      <c r="E3003" s="11" t="str">
        <f aca="false">IF(C3003="","",IFERROR(INDEX(LOTES!$C$5:$C$1004,MATCH(C3003,LOTES!$F$5:$F$1004,0)),""))</f>
        <v/>
      </c>
      <c r="F3003" s="24" t="str">
        <f aca="false">IF(C3003="","",IFERROR(INDEX(LOTES!$B$5:$B$1004,MATCH(C3003,LOTES!$F$5:$F$1004,0)),""))</f>
        <v/>
      </c>
      <c r="G3003" s="15" t="str">
        <f aca="false">IF(OR(B3003="",F3003=""),"",B3003-F3003)</f>
        <v/>
      </c>
      <c r="H3003" s="13"/>
      <c r="I3003" s="13"/>
      <c r="J3003" s="13"/>
      <c r="K3003" s="25"/>
      <c r="L3003" s="25"/>
      <c r="M3003" s="25"/>
      <c r="N3003" s="25"/>
      <c r="O3003" s="26"/>
      <c r="P3003" s="16" t="str">
        <f aca="false">IF(O3003="","",IFERROR(1/(1/(IF(K3003="",INDEX(CONFIG!$F$5:$F$14,MATCH(D3003,CONFIG!$D$5:$D$14,0)),K3003)*IF(M3003="",INDEX(CONFIG!$H$5:$H$14,MATCH(D3003,CONFIG!$D$5:$D$14,0)),M3003))),""))</f>
        <v/>
      </c>
      <c r="Q3003" s="16" t="str">
        <f aca="false">IF(OR(O3003="",P3003=""),"",O3003/P3003)</f>
        <v/>
      </c>
      <c r="R3003" s="16" t="str">
        <f aca="false">IF(Q3003="","",Q3003*0.0980665)</f>
        <v/>
      </c>
      <c r="S3003" s="16" t="str">
        <f aca="false">IF(Q3003="","",IFERROR(Q3003/(1/(1/INDEX(CONFIG!$I$5:$I$14,MATCH(D3003,CONFIG!$D$5:$D$14,0)))),""))</f>
        <v/>
      </c>
      <c r="T3003" s="13"/>
      <c r="U3003" s="13"/>
      <c r="V3003" s="13"/>
      <c r="W3003" s="13"/>
      <c r="X3003" s="22" t="str">
        <f aca="false">IF(Q3003="","",Q3003^2)</f>
        <v/>
      </c>
      <c r="Y3003" s="22" t="str">
        <f aca="false">IF(AND(C3003&lt;&gt;"",C3003=CERTIFICADO!$E$4,OR(CERTIFICADO!$E$5="",B3003=CERTIFICADO!$E$5)),MAX($Y$4:Y3002)+1,"")</f>
        <v/>
      </c>
    </row>
    <row r="3004" customFormat="false" ht="15" hidden="false" customHeight="false" outlineLevel="0" collapsed="false">
      <c r="A3004" s="11" t="str">
        <f aca="false">IF(C3004="","",ROW()-4)</f>
        <v/>
      </c>
      <c r="B3004" s="12"/>
      <c r="C3004" s="13"/>
      <c r="D3004" s="23" t="str">
        <f aca="false">IF(C3004="","",IFERROR(INDEX(LOTES!$D$5:$D$1004,MATCH(C3004,LOTES!$F$5:$F$1004,0)),"¿Lote?"))</f>
        <v/>
      </c>
      <c r="E3004" s="11" t="str">
        <f aca="false">IF(C3004="","",IFERROR(INDEX(LOTES!$C$5:$C$1004,MATCH(C3004,LOTES!$F$5:$F$1004,0)),""))</f>
        <v/>
      </c>
      <c r="F3004" s="24" t="str">
        <f aca="false">IF(C3004="","",IFERROR(INDEX(LOTES!$B$5:$B$1004,MATCH(C3004,LOTES!$F$5:$F$1004,0)),""))</f>
        <v/>
      </c>
      <c r="G3004" s="15" t="str">
        <f aca="false">IF(OR(B3004="",F3004=""),"",B3004-F3004)</f>
        <v/>
      </c>
      <c r="H3004" s="13"/>
      <c r="I3004" s="13"/>
      <c r="J3004" s="13"/>
      <c r="K3004" s="25"/>
      <c r="L3004" s="25"/>
      <c r="M3004" s="25"/>
      <c r="N3004" s="25"/>
      <c r="O3004" s="26"/>
      <c r="P3004" s="16" t="str">
        <f aca="false">IF(O3004="","",IFERROR(1/(1/(IF(K3004="",INDEX(CONFIG!$F$5:$F$14,MATCH(D3004,CONFIG!$D$5:$D$14,0)),K3004)*IF(M3004="",INDEX(CONFIG!$H$5:$H$14,MATCH(D3004,CONFIG!$D$5:$D$14,0)),M3004))),""))</f>
        <v/>
      </c>
      <c r="Q3004" s="16" t="str">
        <f aca="false">IF(OR(O3004="",P3004=""),"",O3004/P3004)</f>
        <v/>
      </c>
      <c r="R3004" s="16" t="str">
        <f aca="false">IF(Q3004="","",Q3004*0.0980665)</f>
        <v/>
      </c>
      <c r="S3004" s="16" t="str">
        <f aca="false">IF(Q3004="","",IFERROR(Q3004/(1/(1/INDEX(CONFIG!$I$5:$I$14,MATCH(D3004,CONFIG!$D$5:$D$14,0)))),""))</f>
        <v/>
      </c>
      <c r="T3004" s="13"/>
      <c r="U3004" s="13"/>
      <c r="V3004" s="13"/>
      <c r="W3004" s="13"/>
      <c r="X3004" s="22" t="str">
        <f aca="false">IF(Q3004="","",Q3004^2)</f>
        <v/>
      </c>
      <c r="Y3004" s="22" t="str">
        <f aca="false">IF(AND(C3004&lt;&gt;"",C3004=CERTIFICADO!$E$4,OR(CERTIFICADO!$E$5="",B3004=CERTIFICADO!$E$5)),MAX($Y$4:Y3003)+1,"")</f>
        <v/>
      </c>
    </row>
  </sheetData>
  <sheetProtection sheet="true" formatCells="false" formatColumns="false" formatRows="false" sort="false" autoFilter="false"/>
  <autoFilter ref="A4:W3004"/>
  <conditionalFormatting sqref="D5:D3004">
    <cfRule type="cellIs" priority="2" operator="equal" aboveAverage="0" equalAverage="0" bottom="0" percent="0" rank="0" text="" dxfId="12">
      <formula>"¿Lote?"</formula>
    </cfRule>
  </conditionalFormatting>
  <conditionalFormatting sqref="G5:G3004">
    <cfRule type="expression" priority="3" aboveAverage="0" equalAverage="0" bottom="0" percent="0" rank="0" text="" dxfId="12">
      <formula>AND(G5&lt;&gt;"",G5&lt;0)</formula>
    </cfRule>
  </conditionalFormatting>
  <conditionalFormatting sqref="T5:T3004">
    <cfRule type="expression" priority="4" aboveAverage="0" equalAverage="0" bottom="0" percent="0" rank="0" text="" dxfId="17">
      <formula>OR(T5="Húmedo",T5="Saturado")</formula>
    </cfRule>
  </conditionalFormatting>
  <dataValidations count="6">
    <dataValidation allowBlank="true" error="Ese lote no existe. Créalo primero en LOTES." errorStyle="stop" errorTitle="Valor no válido" operator="between" showDropDown="false" showErrorMessage="true" showInputMessage="false" sqref="C5:C3004" type="list">
      <formula1>LOTES!$F$5:$F$1004</formula1>
      <formula2>0</formula2>
    </dataValidation>
    <dataValidation allowBlank="true" errorStyle="stop" operator="between" showDropDown="false" showErrorMessage="false" showInputMessage="false" sqref="H5:H3004" type="list">
      <formula1>CONFIG!$M$5:$M$34</formula1>
      <formula2>0</formula2>
    </dataValidation>
    <dataValidation allowBlank="true" errorStyle="stop" operator="between" showDropDown="false" showErrorMessage="false" showInputMessage="false" sqref="I5:I3004" type="list">
      <formula1>CONFIG!$N$5:$N$34</formula1>
      <formula2>0</formula2>
    </dataValidation>
    <dataValidation allowBlank="true" errorStyle="stop" operator="between" showDropDown="false" showErrorMessage="false" showInputMessage="false" sqref="T5:T3004" type="list">
      <formula1>CONFIG!$S$5:$S$19</formula1>
      <formula2>0</formula2>
    </dataValidation>
    <dataValidation allowBlank="true" errorStyle="stop" operator="between" showDropDown="false" showErrorMessage="false" showInputMessage="false" sqref="U5:U3004" type="list">
      <formula1>CONFIG!$R$5:$R$19</formula1>
      <formula2>0</formula2>
    </dataValidation>
    <dataValidation allowBlank="true" error="Carga fuera de rango (0 – 200,000 kg)" errorStyle="stop" errorTitle="Carga" operator="between" showDropDown="false" showErrorMessage="false" showInputMessage="false" sqref="O5:O3004" type="decimal">
      <formula1>0</formula1>
      <formula2>200000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9" min="6" style="0" width="10"/>
    <col collapsed="false" customWidth="true" hidden="false" outlineLevel="0" max="10" min="10" style="0" width="9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5" t="s">
        <v>225</v>
      </c>
    </row>
    <row r="4" customFormat="false" ht="45" hidden="false" customHeight="true" outlineLevel="0" collapsed="false">
      <c r="A4" s="7" t="s">
        <v>48</v>
      </c>
      <c r="B4" s="7" t="s">
        <v>226</v>
      </c>
      <c r="C4" s="7" t="s">
        <v>53</v>
      </c>
      <c r="D4" s="7" t="s">
        <v>51</v>
      </c>
      <c r="E4" s="7" t="s">
        <v>50</v>
      </c>
      <c r="F4" s="7" t="s">
        <v>227</v>
      </c>
      <c r="G4" s="7" t="s">
        <v>228</v>
      </c>
      <c r="H4" s="7" t="s">
        <v>229</v>
      </c>
      <c r="I4" s="7" t="s">
        <v>230</v>
      </c>
      <c r="J4" s="7" t="s">
        <v>231</v>
      </c>
      <c r="K4" s="7" t="s">
        <v>232</v>
      </c>
      <c r="L4" s="7" t="s">
        <v>233</v>
      </c>
      <c r="M4" s="7" t="s">
        <v>79</v>
      </c>
      <c r="N4" s="7" t="s">
        <v>234</v>
      </c>
      <c r="O4" s="7" t="s">
        <v>125</v>
      </c>
    </row>
    <row r="5" customFormat="false" ht="15" hidden="false" customHeight="false" outlineLevel="0" collapsed="false">
      <c r="A5" s="11" t="str">
        <f aca="false">IF(C5="","",ROW()-4)</f>
        <v/>
      </c>
      <c r="B5" s="12"/>
      <c r="C5" s="13"/>
      <c r="D5" s="11" t="str">
        <f aca="false">IF(C5="","",IFERROR(INDEX(LOTES!$D$5:$D$1004,MATCH(C5,LOTES!$F$5:$F$1004,0)),"¿Lote?"))</f>
        <v/>
      </c>
      <c r="E5" s="11" t="str">
        <f aca="false">IF(C5="","",IFERROR(INDEX(LOTES!$C$5:$C$1004,MATCH(C5,LOTES!$F$5:$F$1004,0)),""))</f>
        <v/>
      </c>
      <c r="F5" s="27"/>
      <c r="G5" s="27"/>
      <c r="H5" s="27"/>
      <c r="I5" s="20" t="str">
        <f aca="false">IF(AND(ISNUMBER(F5),ISNUMBER(G5),ISNUMBER(H5),F5&gt;G5,H5&gt;0),(F5-H5)/(F5-G5)*1000,"")</f>
        <v/>
      </c>
      <c r="J5" s="17" t="str">
        <f aca="false">IF(AND(ISNUMBER(F5),ISNUMBER(G5),ISNUMBER(H5),F5&gt;G5,H5&gt;0),(F5-H5)/H5,"")</f>
        <v/>
      </c>
      <c r="K5" s="20" t="str">
        <f aca="false">IF(AND(ISNUMBER(F5),ISNUMBER(G5),ISNUMBER(H5),F5&gt;G5,H5&gt;0),H5/(F5-G5)*1000,"")</f>
        <v/>
      </c>
      <c r="L5" s="11" t="str">
        <f aca="false">IF(K5="","",IF(K5&gt;=CONFIG!$E$21,CONFIG!$D$21,IF(K5&gt;=CONFIG!$E$20,CONFIG!$D$20,CONFIG!$D$19)))</f>
        <v/>
      </c>
      <c r="M5" s="20" t="str">
        <f aca="false">IF(K5="","",IF(K5&gt;=CONFIG!$E$21,CONFIG!$F$21,IF(K5&gt;=CONFIG!$E$20,CONFIG!$F$20,CONFIG!$F$19)))</f>
        <v/>
      </c>
      <c r="N5" s="19" t="str">
        <f aca="false">IF(I5="","",IF(I5&lt;=M5,"OK","ALTA"))</f>
        <v/>
      </c>
      <c r="O5" s="13"/>
    </row>
    <row r="6" customFormat="false" ht="15" hidden="false" customHeight="false" outlineLevel="0" collapsed="false">
      <c r="A6" s="11" t="str">
        <f aca="false">IF(C6="","",ROW()-4)</f>
        <v/>
      </c>
      <c r="B6" s="12"/>
      <c r="C6" s="13"/>
      <c r="D6" s="11" t="str">
        <f aca="false">IF(C6="","",IFERROR(INDEX(LOTES!$D$5:$D$1004,MATCH(C6,LOTES!$F$5:$F$1004,0)),"¿Lote?"))</f>
        <v/>
      </c>
      <c r="E6" s="11" t="str">
        <f aca="false">IF(C6="","",IFERROR(INDEX(LOTES!$C$5:$C$1004,MATCH(C6,LOTES!$F$5:$F$1004,0)),""))</f>
        <v/>
      </c>
      <c r="F6" s="27"/>
      <c r="G6" s="27"/>
      <c r="H6" s="27"/>
      <c r="I6" s="20" t="str">
        <f aca="false">IF(AND(ISNUMBER(F6),ISNUMBER(G6),ISNUMBER(H6),F6&gt;G6,H6&gt;0),(F6-H6)/(F6-G6)*1000,"")</f>
        <v/>
      </c>
      <c r="J6" s="17" t="str">
        <f aca="false">IF(AND(ISNUMBER(F6),ISNUMBER(G6),ISNUMBER(H6),F6&gt;G6,H6&gt;0),(F6-H6)/H6,"")</f>
        <v/>
      </c>
      <c r="K6" s="20" t="str">
        <f aca="false">IF(AND(ISNUMBER(F6),ISNUMBER(G6),ISNUMBER(H6),F6&gt;G6,H6&gt;0),H6/(F6-G6)*1000,"")</f>
        <v/>
      </c>
      <c r="L6" s="11" t="str">
        <f aca="false">IF(K6="","",IF(K6&gt;=CONFIG!$E$21,CONFIG!$D$21,IF(K6&gt;=CONFIG!$E$20,CONFIG!$D$20,CONFIG!$D$19)))</f>
        <v/>
      </c>
      <c r="M6" s="20" t="str">
        <f aca="false">IF(K6="","",IF(K6&gt;=CONFIG!$E$21,CONFIG!$F$21,IF(K6&gt;=CONFIG!$E$20,CONFIG!$F$20,CONFIG!$F$19)))</f>
        <v/>
      </c>
      <c r="N6" s="19" t="str">
        <f aca="false">IF(I6="","",IF(I6&lt;=M6,"OK","ALTA"))</f>
        <v/>
      </c>
      <c r="O6" s="13"/>
    </row>
    <row r="7" customFormat="false" ht="15" hidden="false" customHeight="false" outlineLevel="0" collapsed="false">
      <c r="A7" s="11" t="str">
        <f aca="false">IF(C7="","",ROW()-4)</f>
        <v/>
      </c>
      <c r="B7" s="12"/>
      <c r="C7" s="13"/>
      <c r="D7" s="11" t="str">
        <f aca="false">IF(C7="","",IFERROR(INDEX(LOTES!$D$5:$D$1004,MATCH(C7,LOTES!$F$5:$F$1004,0)),"¿Lote?"))</f>
        <v/>
      </c>
      <c r="E7" s="11" t="str">
        <f aca="false">IF(C7="","",IFERROR(INDEX(LOTES!$C$5:$C$1004,MATCH(C7,LOTES!$F$5:$F$1004,0)),""))</f>
        <v/>
      </c>
      <c r="F7" s="27"/>
      <c r="G7" s="27"/>
      <c r="H7" s="27"/>
      <c r="I7" s="20" t="str">
        <f aca="false">IF(AND(ISNUMBER(F7),ISNUMBER(G7),ISNUMBER(H7),F7&gt;G7,H7&gt;0),(F7-H7)/(F7-G7)*1000,"")</f>
        <v/>
      </c>
      <c r="J7" s="17" t="str">
        <f aca="false">IF(AND(ISNUMBER(F7),ISNUMBER(G7),ISNUMBER(H7),F7&gt;G7,H7&gt;0),(F7-H7)/H7,"")</f>
        <v/>
      </c>
      <c r="K7" s="20" t="str">
        <f aca="false">IF(AND(ISNUMBER(F7),ISNUMBER(G7),ISNUMBER(H7),F7&gt;G7,H7&gt;0),H7/(F7-G7)*1000,"")</f>
        <v/>
      </c>
      <c r="L7" s="11" t="str">
        <f aca="false">IF(K7="","",IF(K7&gt;=CONFIG!$E$21,CONFIG!$D$21,IF(K7&gt;=CONFIG!$E$20,CONFIG!$D$20,CONFIG!$D$19)))</f>
        <v/>
      </c>
      <c r="M7" s="20" t="str">
        <f aca="false">IF(K7="","",IF(K7&gt;=CONFIG!$E$21,CONFIG!$F$21,IF(K7&gt;=CONFIG!$E$20,CONFIG!$F$20,CONFIG!$F$19)))</f>
        <v/>
      </c>
      <c r="N7" s="19" t="str">
        <f aca="false">IF(I7="","",IF(I7&lt;=M7,"OK","ALTA"))</f>
        <v/>
      </c>
      <c r="O7" s="13"/>
    </row>
    <row r="8" customFormat="false" ht="15" hidden="false" customHeight="false" outlineLevel="0" collapsed="false">
      <c r="A8" s="11" t="str">
        <f aca="false">IF(C8="","",ROW()-4)</f>
        <v/>
      </c>
      <c r="B8" s="12"/>
      <c r="C8" s="13"/>
      <c r="D8" s="11" t="str">
        <f aca="false">IF(C8="","",IFERROR(INDEX(LOTES!$D$5:$D$1004,MATCH(C8,LOTES!$F$5:$F$1004,0)),"¿Lote?"))</f>
        <v/>
      </c>
      <c r="E8" s="11" t="str">
        <f aca="false">IF(C8="","",IFERROR(INDEX(LOTES!$C$5:$C$1004,MATCH(C8,LOTES!$F$5:$F$1004,0)),""))</f>
        <v/>
      </c>
      <c r="F8" s="27"/>
      <c r="G8" s="27"/>
      <c r="H8" s="27"/>
      <c r="I8" s="20" t="str">
        <f aca="false">IF(AND(ISNUMBER(F8),ISNUMBER(G8),ISNUMBER(H8),F8&gt;G8,H8&gt;0),(F8-H8)/(F8-G8)*1000,"")</f>
        <v/>
      </c>
      <c r="J8" s="17" t="str">
        <f aca="false">IF(AND(ISNUMBER(F8),ISNUMBER(G8),ISNUMBER(H8),F8&gt;G8,H8&gt;0),(F8-H8)/H8,"")</f>
        <v/>
      </c>
      <c r="K8" s="20" t="str">
        <f aca="false">IF(AND(ISNUMBER(F8),ISNUMBER(G8),ISNUMBER(H8),F8&gt;G8,H8&gt;0),H8/(F8-G8)*1000,"")</f>
        <v/>
      </c>
      <c r="L8" s="11" t="str">
        <f aca="false">IF(K8="","",IF(K8&gt;=CONFIG!$E$21,CONFIG!$D$21,IF(K8&gt;=CONFIG!$E$20,CONFIG!$D$20,CONFIG!$D$19)))</f>
        <v/>
      </c>
      <c r="M8" s="20" t="str">
        <f aca="false">IF(K8="","",IF(K8&gt;=CONFIG!$E$21,CONFIG!$F$21,IF(K8&gt;=CONFIG!$E$20,CONFIG!$F$20,CONFIG!$F$19)))</f>
        <v/>
      </c>
      <c r="N8" s="19" t="str">
        <f aca="false">IF(I8="","",IF(I8&lt;=M8,"OK","ALTA"))</f>
        <v/>
      </c>
      <c r="O8" s="13"/>
    </row>
    <row r="9" customFormat="false" ht="15" hidden="false" customHeight="false" outlineLevel="0" collapsed="false">
      <c r="A9" s="11" t="str">
        <f aca="false">IF(C9="","",ROW()-4)</f>
        <v/>
      </c>
      <c r="B9" s="12"/>
      <c r="C9" s="13"/>
      <c r="D9" s="11" t="str">
        <f aca="false">IF(C9="","",IFERROR(INDEX(LOTES!$D$5:$D$1004,MATCH(C9,LOTES!$F$5:$F$1004,0)),"¿Lote?"))</f>
        <v/>
      </c>
      <c r="E9" s="11" t="str">
        <f aca="false">IF(C9="","",IFERROR(INDEX(LOTES!$C$5:$C$1004,MATCH(C9,LOTES!$F$5:$F$1004,0)),""))</f>
        <v/>
      </c>
      <c r="F9" s="27"/>
      <c r="G9" s="27"/>
      <c r="H9" s="27"/>
      <c r="I9" s="20" t="str">
        <f aca="false">IF(AND(ISNUMBER(F9),ISNUMBER(G9),ISNUMBER(H9),F9&gt;G9,H9&gt;0),(F9-H9)/(F9-G9)*1000,"")</f>
        <v/>
      </c>
      <c r="J9" s="17" t="str">
        <f aca="false">IF(AND(ISNUMBER(F9),ISNUMBER(G9),ISNUMBER(H9),F9&gt;G9,H9&gt;0),(F9-H9)/H9,"")</f>
        <v/>
      </c>
      <c r="K9" s="20" t="str">
        <f aca="false">IF(AND(ISNUMBER(F9),ISNUMBER(G9),ISNUMBER(H9),F9&gt;G9,H9&gt;0),H9/(F9-G9)*1000,"")</f>
        <v/>
      </c>
      <c r="L9" s="11" t="str">
        <f aca="false">IF(K9="","",IF(K9&gt;=CONFIG!$E$21,CONFIG!$D$21,IF(K9&gt;=CONFIG!$E$20,CONFIG!$D$20,CONFIG!$D$19)))</f>
        <v/>
      </c>
      <c r="M9" s="20" t="str">
        <f aca="false">IF(K9="","",IF(K9&gt;=CONFIG!$E$21,CONFIG!$F$21,IF(K9&gt;=CONFIG!$E$20,CONFIG!$F$20,CONFIG!$F$19)))</f>
        <v/>
      </c>
      <c r="N9" s="19" t="str">
        <f aca="false">IF(I9="","",IF(I9&lt;=M9,"OK","ALTA"))</f>
        <v/>
      </c>
      <c r="O9" s="13"/>
    </row>
    <row r="10" customFormat="false" ht="15" hidden="false" customHeight="false" outlineLevel="0" collapsed="false">
      <c r="A10" s="11" t="str">
        <f aca="false">IF(C10="","",ROW()-4)</f>
        <v/>
      </c>
      <c r="B10" s="12"/>
      <c r="C10" s="13"/>
      <c r="D10" s="11" t="str">
        <f aca="false">IF(C10="","",IFERROR(INDEX(LOTES!$D$5:$D$1004,MATCH(C10,LOTES!$F$5:$F$1004,0)),"¿Lote?"))</f>
        <v/>
      </c>
      <c r="E10" s="11" t="str">
        <f aca="false">IF(C10="","",IFERROR(INDEX(LOTES!$C$5:$C$1004,MATCH(C10,LOTES!$F$5:$F$1004,0)),""))</f>
        <v/>
      </c>
      <c r="F10" s="27"/>
      <c r="G10" s="27"/>
      <c r="H10" s="27"/>
      <c r="I10" s="20" t="str">
        <f aca="false">IF(AND(ISNUMBER(F10),ISNUMBER(G10),ISNUMBER(H10),F10&gt;G10,H10&gt;0),(F10-H10)/(F10-G10)*1000,"")</f>
        <v/>
      </c>
      <c r="J10" s="17" t="str">
        <f aca="false">IF(AND(ISNUMBER(F10),ISNUMBER(G10),ISNUMBER(H10),F10&gt;G10,H10&gt;0),(F10-H10)/H10,"")</f>
        <v/>
      </c>
      <c r="K10" s="20" t="str">
        <f aca="false">IF(AND(ISNUMBER(F10),ISNUMBER(G10),ISNUMBER(H10),F10&gt;G10,H10&gt;0),H10/(F10-G10)*1000,"")</f>
        <v/>
      </c>
      <c r="L10" s="11" t="str">
        <f aca="false">IF(K10="","",IF(K10&gt;=CONFIG!$E$21,CONFIG!$D$21,IF(K10&gt;=CONFIG!$E$20,CONFIG!$D$20,CONFIG!$D$19)))</f>
        <v/>
      </c>
      <c r="M10" s="20" t="str">
        <f aca="false">IF(K10="","",IF(K10&gt;=CONFIG!$E$21,CONFIG!$F$21,IF(K10&gt;=CONFIG!$E$20,CONFIG!$F$20,CONFIG!$F$19)))</f>
        <v/>
      </c>
      <c r="N10" s="19" t="str">
        <f aca="false">IF(I10="","",IF(I10&lt;=M10,"OK","ALTA"))</f>
        <v/>
      </c>
      <c r="O10" s="13"/>
    </row>
    <row r="11" customFormat="false" ht="15" hidden="false" customHeight="false" outlineLevel="0" collapsed="false">
      <c r="A11" s="11" t="str">
        <f aca="false">IF(C11="","",ROW()-4)</f>
        <v/>
      </c>
      <c r="B11" s="12"/>
      <c r="C11" s="13"/>
      <c r="D11" s="11" t="str">
        <f aca="false">IF(C11="","",IFERROR(INDEX(LOTES!$D$5:$D$1004,MATCH(C11,LOTES!$F$5:$F$1004,0)),"¿Lote?"))</f>
        <v/>
      </c>
      <c r="E11" s="11" t="str">
        <f aca="false">IF(C11="","",IFERROR(INDEX(LOTES!$C$5:$C$1004,MATCH(C11,LOTES!$F$5:$F$1004,0)),""))</f>
        <v/>
      </c>
      <c r="F11" s="27"/>
      <c r="G11" s="27"/>
      <c r="H11" s="27"/>
      <c r="I11" s="20" t="str">
        <f aca="false">IF(AND(ISNUMBER(F11),ISNUMBER(G11),ISNUMBER(H11),F11&gt;G11,H11&gt;0),(F11-H11)/(F11-G11)*1000,"")</f>
        <v/>
      </c>
      <c r="J11" s="17" t="str">
        <f aca="false">IF(AND(ISNUMBER(F11),ISNUMBER(G11),ISNUMBER(H11),F11&gt;G11,H11&gt;0),(F11-H11)/H11,"")</f>
        <v/>
      </c>
      <c r="K11" s="20" t="str">
        <f aca="false">IF(AND(ISNUMBER(F11),ISNUMBER(G11),ISNUMBER(H11),F11&gt;G11,H11&gt;0),H11/(F11-G11)*1000,"")</f>
        <v/>
      </c>
      <c r="L11" s="11" t="str">
        <f aca="false">IF(K11="","",IF(K11&gt;=CONFIG!$E$21,CONFIG!$D$21,IF(K11&gt;=CONFIG!$E$20,CONFIG!$D$20,CONFIG!$D$19)))</f>
        <v/>
      </c>
      <c r="M11" s="20" t="str">
        <f aca="false">IF(K11="","",IF(K11&gt;=CONFIG!$E$21,CONFIG!$F$21,IF(K11&gt;=CONFIG!$E$20,CONFIG!$F$20,CONFIG!$F$19)))</f>
        <v/>
      </c>
      <c r="N11" s="19" t="str">
        <f aca="false">IF(I11="","",IF(I11&lt;=M11,"OK","ALTA"))</f>
        <v/>
      </c>
      <c r="O11" s="13"/>
    </row>
    <row r="12" customFormat="false" ht="15" hidden="false" customHeight="false" outlineLevel="0" collapsed="false">
      <c r="A12" s="11" t="str">
        <f aca="false">IF(C12="","",ROW()-4)</f>
        <v/>
      </c>
      <c r="B12" s="12"/>
      <c r="C12" s="13"/>
      <c r="D12" s="11" t="str">
        <f aca="false">IF(C12="","",IFERROR(INDEX(LOTES!$D$5:$D$1004,MATCH(C12,LOTES!$F$5:$F$1004,0)),"¿Lote?"))</f>
        <v/>
      </c>
      <c r="E12" s="11" t="str">
        <f aca="false">IF(C12="","",IFERROR(INDEX(LOTES!$C$5:$C$1004,MATCH(C12,LOTES!$F$5:$F$1004,0)),""))</f>
        <v/>
      </c>
      <c r="F12" s="27"/>
      <c r="G12" s="27"/>
      <c r="H12" s="27"/>
      <c r="I12" s="20" t="str">
        <f aca="false">IF(AND(ISNUMBER(F12),ISNUMBER(G12),ISNUMBER(H12),F12&gt;G12,H12&gt;0),(F12-H12)/(F12-G12)*1000,"")</f>
        <v/>
      </c>
      <c r="J12" s="17" t="str">
        <f aca="false">IF(AND(ISNUMBER(F12),ISNUMBER(G12),ISNUMBER(H12),F12&gt;G12,H12&gt;0),(F12-H12)/H12,"")</f>
        <v/>
      </c>
      <c r="K12" s="20" t="str">
        <f aca="false">IF(AND(ISNUMBER(F12),ISNUMBER(G12),ISNUMBER(H12),F12&gt;G12,H12&gt;0),H12/(F12-G12)*1000,"")</f>
        <v/>
      </c>
      <c r="L12" s="11" t="str">
        <f aca="false">IF(K12="","",IF(K12&gt;=CONFIG!$E$21,CONFIG!$D$21,IF(K12&gt;=CONFIG!$E$20,CONFIG!$D$20,CONFIG!$D$19)))</f>
        <v/>
      </c>
      <c r="M12" s="20" t="str">
        <f aca="false">IF(K12="","",IF(K12&gt;=CONFIG!$E$21,CONFIG!$F$21,IF(K12&gt;=CONFIG!$E$20,CONFIG!$F$20,CONFIG!$F$19)))</f>
        <v/>
      </c>
      <c r="N12" s="19" t="str">
        <f aca="false">IF(I12="","",IF(I12&lt;=M12,"OK","ALTA"))</f>
        <v/>
      </c>
      <c r="O12" s="13"/>
    </row>
    <row r="13" customFormat="false" ht="15" hidden="false" customHeight="false" outlineLevel="0" collapsed="false">
      <c r="A13" s="11" t="str">
        <f aca="false">IF(C13="","",ROW()-4)</f>
        <v/>
      </c>
      <c r="B13" s="12"/>
      <c r="C13" s="13"/>
      <c r="D13" s="11" t="str">
        <f aca="false">IF(C13="","",IFERROR(INDEX(LOTES!$D$5:$D$1004,MATCH(C13,LOTES!$F$5:$F$1004,0)),"¿Lote?"))</f>
        <v/>
      </c>
      <c r="E13" s="11" t="str">
        <f aca="false">IF(C13="","",IFERROR(INDEX(LOTES!$C$5:$C$1004,MATCH(C13,LOTES!$F$5:$F$1004,0)),""))</f>
        <v/>
      </c>
      <c r="F13" s="27"/>
      <c r="G13" s="27"/>
      <c r="H13" s="27"/>
      <c r="I13" s="20" t="str">
        <f aca="false">IF(AND(ISNUMBER(F13),ISNUMBER(G13),ISNUMBER(H13),F13&gt;G13,H13&gt;0),(F13-H13)/(F13-G13)*1000,"")</f>
        <v/>
      </c>
      <c r="J13" s="17" t="str">
        <f aca="false">IF(AND(ISNUMBER(F13),ISNUMBER(G13),ISNUMBER(H13),F13&gt;G13,H13&gt;0),(F13-H13)/H13,"")</f>
        <v/>
      </c>
      <c r="K13" s="20" t="str">
        <f aca="false">IF(AND(ISNUMBER(F13),ISNUMBER(G13),ISNUMBER(H13),F13&gt;G13,H13&gt;0),H13/(F13-G13)*1000,"")</f>
        <v/>
      </c>
      <c r="L13" s="11" t="str">
        <f aca="false">IF(K13="","",IF(K13&gt;=CONFIG!$E$21,CONFIG!$D$21,IF(K13&gt;=CONFIG!$E$20,CONFIG!$D$20,CONFIG!$D$19)))</f>
        <v/>
      </c>
      <c r="M13" s="20" t="str">
        <f aca="false">IF(K13="","",IF(K13&gt;=CONFIG!$E$21,CONFIG!$F$21,IF(K13&gt;=CONFIG!$E$20,CONFIG!$F$20,CONFIG!$F$19)))</f>
        <v/>
      </c>
      <c r="N13" s="19" t="str">
        <f aca="false">IF(I13="","",IF(I13&lt;=M13,"OK","ALTA"))</f>
        <v/>
      </c>
      <c r="O13" s="13"/>
    </row>
    <row r="14" customFormat="false" ht="15" hidden="false" customHeight="false" outlineLevel="0" collapsed="false">
      <c r="A14" s="11" t="str">
        <f aca="false">IF(C14="","",ROW()-4)</f>
        <v/>
      </c>
      <c r="B14" s="12"/>
      <c r="C14" s="13"/>
      <c r="D14" s="11" t="str">
        <f aca="false">IF(C14="","",IFERROR(INDEX(LOTES!$D$5:$D$1004,MATCH(C14,LOTES!$F$5:$F$1004,0)),"¿Lote?"))</f>
        <v/>
      </c>
      <c r="E14" s="11" t="str">
        <f aca="false">IF(C14="","",IFERROR(INDEX(LOTES!$C$5:$C$1004,MATCH(C14,LOTES!$F$5:$F$1004,0)),""))</f>
        <v/>
      </c>
      <c r="F14" s="27"/>
      <c r="G14" s="27"/>
      <c r="H14" s="27"/>
      <c r="I14" s="20" t="str">
        <f aca="false">IF(AND(ISNUMBER(F14),ISNUMBER(G14),ISNUMBER(H14),F14&gt;G14,H14&gt;0),(F14-H14)/(F14-G14)*1000,"")</f>
        <v/>
      </c>
      <c r="J14" s="17" t="str">
        <f aca="false">IF(AND(ISNUMBER(F14),ISNUMBER(G14),ISNUMBER(H14),F14&gt;G14,H14&gt;0),(F14-H14)/H14,"")</f>
        <v/>
      </c>
      <c r="K14" s="20" t="str">
        <f aca="false">IF(AND(ISNUMBER(F14),ISNUMBER(G14),ISNUMBER(H14),F14&gt;G14,H14&gt;0),H14/(F14-G14)*1000,"")</f>
        <v/>
      </c>
      <c r="L14" s="11" t="str">
        <f aca="false">IF(K14="","",IF(K14&gt;=CONFIG!$E$21,CONFIG!$D$21,IF(K14&gt;=CONFIG!$E$20,CONFIG!$D$20,CONFIG!$D$19)))</f>
        <v/>
      </c>
      <c r="M14" s="20" t="str">
        <f aca="false">IF(K14="","",IF(K14&gt;=CONFIG!$E$21,CONFIG!$F$21,IF(K14&gt;=CONFIG!$E$20,CONFIG!$F$20,CONFIG!$F$19)))</f>
        <v/>
      </c>
      <c r="N14" s="19" t="str">
        <f aca="false">IF(I14="","",IF(I14&lt;=M14,"OK","ALTA"))</f>
        <v/>
      </c>
      <c r="O14" s="13"/>
    </row>
    <row r="15" customFormat="false" ht="15" hidden="false" customHeight="false" outlineLevel="0" collapsed="false">
      <c r="A15" s="11" t="str">
        <f aca="false">IF(C15="","",ROW()-4)</f>
        <v/>
      </c>
      <c r="B15" s="12"/>
      <c r="C15" s="13"/>
      <c r="D15" s="11" t="str">
        <f aca="false">IF(C15="","",IFERROR(INDEX(LOTES!$D$5:$D$1004,MATCH(C15,LOTES!$F$5:$F$1004,0)),"¿Lote?"))</f>
        <v/>
      </c>
      <c r="E15" s="11" t="str">
        <f aca="false">IF(C15="","",IFERROR(INDEX(LOTES!$C$5:$C$1004,MATCH(C15,LOTES!$F$5:$F$1004,0)),""))</f>
        <v/>
      </c>
      <c r="F15" s="27"/>
      <c r="G15" s="27"/>
      <c r="H15" s="27"/>
      <c r="I15" s="20" t="str">
        <f aca="false">IF(AND(ISNUMBER(F15),ISNUMBER(G15),ISNUMBER(H15),F15&gt;G15,H15&gt;0),(F15-H15)/(F15-G15)*1000,"")</f>
        <v/>
      </c>
      <c r="J15" s="17" t="str">
        <f aca="false">IF(AND(ISNUMBER(F15),ISNUMBER(G15),ISNUMBER(H15),F15&gt;G15,H15&gt;0),(F15-H15)/H15,"")</f>
        <v/>
      </c>
      <c r="K15" s="20" t="str">
        <f aca="false">IF(AND(ISNUMBER(F15),ISNUMBER(G15),ISNUMBER(H15),F15&gt;G15,H15&gt;0),H15/(F15-G15)*1000,"")</f>
        <v/>
      </c>
      <c r="L15" s="11" t="str">
        <f aca="false">IF(K15="","",IF(K15&gt;=CONFIG!$E$21,CONFIG!$D$21,IF(K15&gt;=CONFIG!$E$20,CONFIG!$D$20,CONFIG!$D$19)))</f>
        <v/>
      </c>
      <c r="M15" s="20" t="str">
        <f aca="false">IF(K15="","",IF(K15&gt;=CONFIG!$E$21,CONFIG!$F$21,IF(K15&gt;=CONFIG!$E$20,CONFIG!$F$20,CONFIG!$F$19)))</f>
        <v/>
      </c>
      <c r="N15" s="19" t="str">
        <f aca="false">IF(I15="","",IF(I15&lt;=M15,"OK","ALTA"))</f>
        <v/>
      </c>
      <c r="O15" s="13"/>
    </row>
    <row r="16" customFormat="false" ht="15" hidden="false" customHeight="false" outlineLevel="0" collapsed="false">
      <c r="A16" s="11" t="str">
        <f aca="false">IF(C16="","",ROW()-4)</f>
        <v/>
      </c>
      <c r="B16" s="12"/>
      <c r="C16" s="13"/>
      <c r="D16" s="11" t="str">
        <f aca="false">IF(C16="","",IFERROR(INDEX(LOTES!$D$5:$D$1004,MATCH(C16,LOTES!$F$5:$F$1004,0)),"¿Lote?"))</f>
        <v/>
      </c>
      <c r="E16" s="11" t="str">
        <f aca="false">IF(C16="","",IFERROR(INDEX(LOTES!$C$5:$C$1004,MATCH(C16,LOTES!$F$5:$F$1004,0)),""))</f>
        <v/>
      </c>
      <c r="F16" s="27"/>
      <c r="G16" s="27"/>
      <c r="H16" s="27"/>
      <c r="I16" s="20" t="str">
        <f aca="false">IF(AND(ISNUMBER(F16),ISNUMBER(G16),ISNUMBER(H16),F16&gt;G16,H16&gt;0),(F16-H16)/(F16-G16)*1000,"")</f>
        <v/>
      </c>
      <c r="J16" s="17" t="str">
        <f aca="false">IF(AND(ISNUMBER(F16),ISNUMBER(G16),ISNUMBER(H16),F16&gt;G16,H16&gt;0),(F16-H16)/H16,"")</f>
        <v/>
      </c>
      <c r="K16" s="20" t="str">
        <f aca="false">IF(AND(ISNUMBER(F16),ISNUMBER(G16),ISNUMBER(H16),F16&gt;G16,H16&gt;0),H16/(F16-G16)*1000,"")</f>
        <v/>
      </c>
      <c r="L16" s="11" t="str">
        <f aca="false">IF(K16="","",IF(K16&gt;=CONFIG!$E$21,CONFIG!$D$21,IF(K16&gt;=CONFIG!$E$20,CONFIG!$D$20,CONFIG!$D$19)))</f>
        <v/>
      </c>
      <c r="M16" s="20" t="str">
        <f aca="false">IF(K16="","",IF(K16&gt;=CONFIG!$E$21,CONFIG!$F$21,IF(K16&gt;=CONFIG!$E$20,CONFIG!$F$20,CONFIG!$F$19)))</f>
        <v/>
      </c>
      <c r="N16" s="19" t="str">
        <f aca="false">IF(I16="","",IF(I16&lt;=M16,"OK","ALTA"))</f>
        <v/>
      </c>
      <c r="O16" s="13"/>
    </row>
    <row r="17" customFormat="false" ht="15" hidden="false" customHeight="false" outlineLevel="0" collapsed="false">
      <c r="A17" s="11" t="str">
        <f aca="false">IF(C17="","",ROW()-4)</f>
        <v/>
      </c>
      <c r="B17" s="12"/>
      <c r="C17" s="13"/>
      <c r="D17" s="11" t="str">
        <f aca="false">IF(C17="","",IFERROR(INDEX(LOTES!$D$5:$D$1004,MATCH(C17,LOTES!$F$5:$F$1004,0)),"¿Lote?"))</f>
        <v/>
      </c>
      <c r="E17" s="11" t="str">
        <f aca="false">IF(C17="","",IFERROR(INDEX(LOTES!$C$5:$C$1004,MATCH(C17,LOTES!$F$5:$F$1004,0)),""))</f>
        <v/>
      </c>
      <c r="F17" s="27"/>
      <c r="G17" s="27"/>
      <c r="H17" s="27"/>
      <c r="I17" s="20" t="str">
        <f aca="false">IF(AND(ISNUMBER(F17),ISNUMBER(G17),ISNUMBER(H17),F17&gt;G17,H17&gt;0),(F17-H17)/(F17-G17)*1000,"")</f>
        <v/>
      </c>
      <c r="J17" s="17" t="str">
        <f aca="false">IF(AND(ISNUMBER(F17),ISNUMBER(G17),ISNUMBER(H17),F17&gt;G17,H17&gt;0),(F17-H17)/H17,"")</f>
        <v/>
      </c>
      <c r="K17" s="20" t="str">
        <f aca="false">IF(AND(ISNUMBER(F17),ISNUMBER(G17),ISNUMBER(H17),F17&gt;G17,H17&gt;0),H17/(F17-G17)*1000,"")</f>
        <v/>
      </c>
      <c r="L17" s="11" t="str">
        <f aca="false">IF(K17="","",IF(K17&gt;=CONFIG!$E$21,CONFIG!$D$21,IF(K17&gt;=CONFIG!$E$20,CONFIG!$D$20,CONFIG!$D$19)))</f>
        <v/>
      </c>
      <c r="M17" s="20" t="str">
        <f aca="false">IF(K17="","",IF(K17&gt;=CONFIG!$E$21,CONFIG!$F$21,IF(K17&gt;=CONFIG!$E$20,CONFIG!$F$20,CONFIG!$F$19)))</f>
        <v/>
      </c>
      <c r="N17" s="19" t="str">
        <f aca="false">IF(I17="","",IF(I17&lt;=M17,"OK","ALTA"))</f>
        <v/>
      </c>
      <c r="O17" s="13"/>
    </row>
    <row r="18" customFormat="false" ht="15" hidden="false" customHeight="false" outlineLevel="0" collapsed="false">
      <c r="A18" s="11" t="str">
        <f aca="false">IF(C18="","",ROW()-4)</f>
        <v/>
      </c>
      <c r="B18" s="12"/>
      <c r="C18" s="13"/>
      <c r="D18" s="11" t="str">
        <f aca="false">IF(C18="","",IFERROR(INDEX(LOTES!$D$5:$D$1004,MATCH(C18,LOTES!$F$5:$F$1004,0)),"¿Lote?"))</f>
        <v/>
      </c>
      <c r="E18" s="11" t="str">
        <f aca="false">IF(C18="","",IFERROR(INDEX(LOTES!$C$5:$C$1004,MATCH(C18,LOTES!$F$5:$F$1004,0)),""))</f>
        <v/>
      </c>
      <c r="F18" s="27"/>
      <c r="G18" s="27"/>
      <c r="H18" s="27"/>
      <c r="I18" s="20" t="str">
        <f aca="false">IF(AND(ISNUMBER(F18),ISNUMBER(G18),ISNUMBER(H18),F18&gt;G18,H18&gt;0),(F18-H18)/(F18-G18)*1000,"")</f>
        <v/>
      </c>
      <c r="J18" s="17" t="str">
        <f aca="false">IF(AND(ISNUMBER(F18),ISNUMBER(G18),ISNUMBER(H18),F18&gt;G18,H18&gt;0),(F18-H18)/H18,"")</f>
        <v/>
      </c>
      <c r="K18" s="20" t="str">
        <f aca="false">IF(AND(ISNUMBER(F18),ISNUMBER(G18),ISNUMBER(H18),F18&gt;G18,H18&gt;0),H18/(F18-G18)*1000,"")</f>
        <v/>
      </c>
      <c r="L18" s="11" t="str">
        <f aca="false">IF(K18="","",IF(K18&gt;=CONFIG!$E$21,CONFIG!$D$21,IF(K18&gt;=CONFIG!$E$20,CONFIG!$D$20,CONFIG!$D$19)))</f>
        <v/>
      </c>
      <c r="M18" s="20" t="str">
        <f aca="false">IF(K18="","",IF(K18&gt;=CONFIG!$E$21,CONFIG!$F$21,IF(K18&gt;=CONFIG!$E$20,CONFIG!$F$20,CONFIG!$F$19)))</f>
        <v/>
      </c>
      <c r="N18" s="19" t="str">
        <f aca="false">IF(I18="","",IF(I18&lt;=M18,"OK","ALTA"))</f>
        <v/>
      </c>
      <c r="O18" s="13"/>
    </row>
    <row r="19" customFormat="false" ht="15" hidden="false" customHeight="false" outlineLevel="0" collapsed="false">
      <c r="A19" s="11" t="str">
        <f aca="false">IF(C19="","",ROW()-4)</f>
        <v/>
      </c>
      <c r="B19" s="12"/>
      <c r="C19" s="13"/>
      <c r="D19" s="11" t="str">
        <f aca="false">IF(C19="","",IFERROR(INDEX(LOTES!$D$5:$D$1004,MATCH(C19,LOTES!$F$5:$F$1004,0)),"¿Lote?"))</f>
        <v/>
      </c>
      <c r="E19" s="11" t="str">
        <f aca="false">IF(C19="","",IFERROR(INDEX(LOTES!$C$5:$C$1004,MATCH(C19,LOTES!$F$5:$F$1004,0)),""))</f>
        <v/>
      </c>
      <c r="F19" s="27"/>
      <c r="G19" s="27"/>
      <c r="H19" s="27"/>
      <c r="I19" s="20" t="str">
        <f aca="false">IF(AND(ISNUMBER(F19),ISNUMBER(G19),ISNUMBER(H19),F19&gt;G19,H19&gt;0),(F19-H19)/(F19-G19)*1000,"")</f>
        <v/>
      </c>
      <c r="J19" s="17" t="str">
        <f aca="false">IF(AND(ISNUMBER(F19),ISNUMBER(G19),ISNUMBER(H19),F19&gt;G19,H19&gt;0),(F19-H19)/H19,"")</f>
        <v/>
      </c>
      <c r="K19" s="20" t="str">
        <f aca="false">IF(AND(ISNUMBER(F19),ISNUMBER(G19),ISNUMBER(H19),F19&gt;G19,H19&gt;0),H19/(F19-G19)*1000,"")</f>
        <v/>
      </c>
      <c r="L19" s="11" t="str">
        <f aca="false">IF(K19="","",IF(K19&gt;=CONFIG!$E$21,CONFIG!$D$21,IF(K19&gt;=CONFIG!$E$20,CONFIG!$D$20,CONFIG!$D$19)))</f>
        <v/>
      </c>
      <c r="M19" s="20" t="str">
        <f aca="false">IF(K19="","",IF(K19&gt;=CONFIG!$E$21,CONFIG!$F$21,IF(K19&gt;=CONFIG!$E$20,CONFIG!$F$20,CONFIG!$F$19)))</f>
        <v/>
      </c>
      <c r="N19" s="19" t="str">
        <f aca="false">IF(I19="","",IF(I19&lt;=M19,"OK","ALTA"))</f>
        <v/>
      </c>
      <c r="O19" s="13"/>
    </row>
    <row r="20" customFormat="false" ht="15" hidden="false" customHeight="false" outlineLevel="0" collapsed="false">
      <c r="A20" s="11" t="str">
        <f aca="false">IF(C20="","",ROW()-4)</f>
        <v/>
      </c>
      <c r="B20" s="12"/>
      <c r="C20" s="13"/>
      <c r="D20" s="11" t="str">
        <f aca="false">IF(C20="","",IFERROR(INDEX(LOTES!$D$5:$D$1004,MATCH(C20,LOTES!$F$5:$F$1004,0)),"¿Lote?"))</f>
        <v/>
      </c>
      <c r="E20" s="11" t="str">
        <f aca="false">IF(C20="","",IFERROR(INDEX(LOTES!$C$5:$C$1004,MATCH(C20,LOTES!$F$5:$F$1004,0)),""))</f>
        <v/>
      </c>
      <c r="F20" s="27"/>
      <c r="G20" s="27"/>
      <c r="H20" s="27"/>
      <c r="I20" s="20" t="str">
        <f aca="false">IF(AND(ISNUMBER(F20),ISNUMBER(G20),ISNUMBER(H20),F20&gt;G20,H20&gt;0),(F20-H20)/(F20-G20)*1000,"")</f>
        <v/>
      </c>
      <c r="J20" s="17" t="str">
        <f aca="false">IF(AND(ISNUMBER(F20),ISNUMBER(G20),ISNUMBER(H20),F20&gt;G20,H20&gt;0),(F20-H20)/H20,"")</f>
        <v/>
      </c>
      <c r="K20" s="20" t="str">
        <f aca="false">IF(AND(ISNUMBER(F20),ISNUMBER(G20),ISNUMBER(H20),F20&gt;G20,H20&gt;0),H20/(F20-G20)*1000,"")</f>
        <v/>
      </c>
      <c r="L20" s="11" t="str">
        <f aca="false">IF(K20="","",IF(K20&gt;=CONFIG!$E$21,CONFIG!$D$21,IF(K20&gt;=CONFIG!$E$20,CONFIG!$D$20,CONFIG!$D$19)))</f>
        <v/>
      </c>
      <c r="M20" s="20" t="str">
        <f aca="false">IF(K20="","",IF(K20&gt;=CONFIG!$E$21,CONFIG!$F$21,IF(K20&gt;=CONFIG!$E$20,CONFIG!$F$20,CONFIG!$F$19)))</f>
        <v/>
      </c>
      <c r="N20" s="19" t="str">
        <f aca="false">IF(I20="","",IF(I20&lt;=M20,"OK","ALTA"))</f>
        <v/>
      </c>
      <c r="O20" s="13"/>
    </row>
    <row r="21" customFormat="false" ht="15" hidden="false" customHeight="false" outlineLevel="0" collapsed="false">
      <c r="A21" s="11" t="str">
        <f aca="false">IF(C21="","",ROW()-4)</f>
        <v/>
      </c>
      <c r="B21" s="12"/>
      <c r="C21" s="13"/>
      <c r="D21" s="11" t="str">
        <f aca="false">IF(C21="","",IFERROR(INDEX(LOTES!$D$5:$D$1004,MATCH(C21,LOTES!$F$5:$F$1004,0)),"¿Lote?"))</f>
        <v/>
      </c>
      <c r="E21" s="11" t="str">
        <f aca="false">IF(C21="","",IFERROR(INDEX(LOTES!$C$5:$C$1004,MATCH(C21,LOTES!$F$5:$F$1004,0)),""))</f>
        <v/>
      </c>
      <c r="F21" s="27"/>
      <c r="G21" s="27"/>
      <c r="H21" s="27"/>
      <c r="I21" s="20" t="str">
        <f aca="false">IF(AND(ISNUMBER(F21),ISNUMBER(G21),ISNUMBER(H21),F21&gt;G21,H21&gt;0),(F21-H21)/(F21-G21)*1000,"")</f>
        <v/>
      </c>
      <c r="J21" s="17" t="str">
        <f aca="false">IF(AND(ISNUMBER(F21),ISNUMBER(G21),ISNUMBER(H21),F21&gt;G21,H21&gt;0),(F21-H21)/H21,"")</f>
        <v/>
      </c>
      <c r="K21" s="20" t="str">
        <f aca="false">IF(AND(ISNUMBER(F21),ISNUMBER(G21),ISNUMBER(H21),F21&gt;G21,H21&gt;0),H21/(F21-G21)*1000,"")</f>
        <v/>
      </c>
      <c r="L21" s="11" t="str">
        <f aca="false">IF(K21="","",IF(K21&gt;=CONFIG!$E$21,CONFIG!$D$21,IF(K21&gt;=CONFIG!$E$20,CONFIG!$D$20,CONFIG!$D$19)))</f>
        <v/>
      </c>
      <c r="M21" s="20" t="str">
        <f aca="false">IF(K21="","",IF(K21&gt;=CONFIG!$E$21,CONFIG!$F$21,IF(K21&gt;=CONFIG!$E$20,CONFIG!$F$20,CONFIG!$F$19)))</f>
        <v/>
      </c>
      <c r="N21" s="19" t="str">
        <f aca="false">IF(I21="","",IF(I21&lt;=M21,"OK","ALTA"))</f>
        <v/>
      </c>
      <c r="O21" s="13"/>
    </row>
    <row r="22" customFormat="false" ht="15" hidden="false" customHeight="false" outlineLevel="0" collapsed="false">
      <c r="A22" s="11" t="str">
        <f aca="false">IF(C22="","",ROW()-4)</f>
        <v/>
      </c>
      <c r="B22" s="12"/>
      <c r="C22" s="13"/>
      <c r="D22" s="11" t="str">
        <f aca="false">IF(C22="","",IFERROR(INDEX(LOTES!$D$5:$D$1004,MATCH(C22,LOTES!$F$5:$F$1004,0)),"¿Lote?"))</f>
        <v/>
      </c>
      <c r="E22" s="11" t="str">
        <f aca="false">IF(C22="","",IFERROR(INDEX(LOTES!$C$5:$C$1004,MATCH(C22,LOTES!$F$5:$F$1004,0)),""))</f>
        <v/>
      </c>
      <c r="F22" s="27"/>
      <c r="G22" s="27"/>
      <c r="H22" s="27"/>
      <c r="I22" s="20" t="str">
        <f aca="false">IF(AND(ISNUMBER(F22),ISNUMBER(G22),ISNUMBER(H22),F22&gt;G22,H22&gt;0),(F22-H22)/(F22-G22)*1000,"")</f>
        <v/>
      </c>
      <c r="J22" s="17" t="str">
        <f aca="false">IF(AND(ISNUMBER(F22),ISNUMBER(G22),ISNUMBER(H22),F22&gt;G22,H22&gt;0),(F22-H22)/H22,"")</f>
        <v/>
      </c>
      <c r="K22" s="20" t="str">
        <f aca="false">IF(AND(ISNUMBER(F22),ISNUMBER(G22),ISNUMBER(H22),F22&gt;G22,H22&gt;0),H22/(F22-G22)*1000,"")</f>
        <v/>
      </c>
      <c r="L22" s="11" t="str">
        <f aca="false">IF(K22="","",IF(K22&gt;=CONFIG!$E$21,CONFIG!$D$21,IF(K22&gt;=CONFIG!$E$20,CONFIG!$D$20,CONFIG!$D$19)))</f>
        <v/>
      </c>
      <c r="M22" s="20" t="str">
        <f aca="false">IF(K22="","",IF(K22&gt;=CONFIG!$E$21,CONFIG!$F$21,IF(K22&gt;=CONFIG!$E$20,CONFIG!$F$20,CONFIG!$F$19)))</f>
        <v/>
      </c>
      <c r="N22" s="19" t="str">
        <f aca="false">IF(I22="","",IF(I22&lt;=M22,"OK","ALTA"))</f>
        <v/>
      </c>
      <c r="O22" s="13"/>
    </row>
    <row r="23" customFormat="false" ht="15" hidden="false" customHeight="false" outlineLevel="0" collapsed="false">
      <c r="A23" s="11" t="str">
        <f aca="false">IF(C23="","",ROW()-4)</f>
        <v/>
      </c>
      <c r="B23" s="12"/>
      <c r="C23" s="13"/>
      <c r="D23" s="11" t="str">
        <f aca="false">IF(C23="","",IFERROR(INDEX(LOTES!$D$5:$D$1004,MATCH(C23,LOTES!$F$5:$F$1004,0)),"¿Lote?"))</f>
        <v/>
      </c>
      <c r="E23" s="11" t="str">
        <f aca="false">IF(C23="","",IFERROR(INDEX(LOTES!$C$5:$C$1004,MATCH(C23,LOTES!$F$5:$F$1004,0)),""))</f>
        <v/>
      </c>
      <c r="F23" s="27"/>
      <c r="G23" s="27"/>
      <c r="H23" s="27"/>
      <c r="I23" s="20" t="str">
        <f aca="false">IF(AND(ISNUMBER(F23),ISNUMBER(G23),ISNUMBER(H23),F23&gt;G23,H23&gt;0),(F23-H23)/(F23-G23)*1000,"")</f>
        <v/>
      </c>
      <c r="J23" s="17" t="str">
        <f aca="false">IF(AND(ISNUMBER(F23),ISNUMBER(G23),ISNUMBER(H23),F23&gt;G23,H23&gt;0),(F23-H23)/H23,"")</f>
        <v/>
      </c>
      <c r="K23" s="20" t="str">
        <f aca="false">IF(AND(ISNUMBER(F23),ISNUMBER(G23),ISNUMBER(H23),F23&gt;G23,H23&gt;0),H23/(F23-G23)*1000,"")</f>
        <v/>
      </c>
      <c r="L23" s="11" t="str">
        <f aca="false">IF(K23="","",IF(K23&gt;=CONFIG!$E$21,CONFIG!$D$21,IF(K23&gt;=CONFIG!$E$20,CONFIG!$D$20,CONFIG!$D$19)))</f>
        <v/>
      </c>
      <c r="M23" s="20" t="str">
        <f aca="false">IF(K23="","",IF(K23&gt;=CONFIG!$E$21,CONFIG!$F$21,IF(K23&gt;=CONFIG!$E$20,CONFIG!$F$20,CONFIG!$F$19)))</f>
        <v/>
      </c>
      <c r="N23" s="19" t="str">
        <f aca="false">IF(I23="","",IF(I23&lt;=M23,"OK","ALTA"))</f>
        <v/>
      </c>
      <c r="O23" s="13"/>
    </row>
    <row r="24" customFormat="false" ht="15" hidden="false" customHeight="false" outlineLevel="0" collapsed="false">
      <c r="A24" s="11" t="str">
        <f aca="false">IF(C24="","",ROW()-4)</f>
        <v/>
      </c>
      <c r="B24" s="12"/>
      <c r="C24" s="13"/>
      <c r="D24" s="11" t="str">
        <f aca="false">IF(C24="","",IFERROR(INDEX(LOTES!$D$5:$D$1004,MATCH(C24,LOTES!$F$5:$F$1004,0)),"¿Lote?"))</f>
        <v/>
      </c>
      <c r="E24" s="11" t="str">
        <f aca="false">IF(C24="","",IFERROR(INDEX(LOTES!$C$5:$C$1004,MATCH(C24,LOTES!$F$5:$F$1004,0)),""))</f>
        <v/>
      </c>
      <c r="F24" s="27"/>
      <c r="G24" s="27"/>
      <c r="H24" s="27"/>
      <c r="I24" s="20" t="str">
        <f aca="false">IF(AND(ISNUMBER(F24),ISNUMBER(G24),ISNUMBER(H24),F24&gt;G24,H24&gt;0),(F24-H24)/(F24-G24)*1000,"")</f>
        <v/>
      </c>
      <c r="J24" s="17" t="str">
        <f aca="false">IF(AND(ISNUMBER(F24),ISNUMBER(G24),ISNUMBER(H24),F24&gt;G24,H24&gt;0),(F24-H24)/H24,"")</f>
        <v/>
      </c>
      <c r="K24" s="20" t="str">
        <f aca="false">IF(AND(ISNUMBER(F24),ISNUMBER(G24),ISNUMBER(H24),F24&gt;G24,H24&gt;0),H24/(F24-G24)*1000,"")</f>
        <v/>
      </c>
      <c r="L24" s="11" t="str">
        <f aca="false">IF(K24="","",IF(K24&gt;=CONFIG!$E$21,CONFIG!$D$21,IF(K24&gt;=CONFIG!$E$20,CONFIG!$D$20,CONFIG!$D$19)))</f>
        <v/>
      </c>
      <c r="M24" s="20" t="str">
        <f aca="false">IF(K24="","",IF(K24&gt;=CONFIG!$E$21,CONFIG!$F$21,IF(K24&gt;=CONFIG!$E$20,CONFIG!$F$20,CONFIG!$F$19)))</f>
        <v/>
      </c>
      <c r="N24" s="19" t="str">
        <f aca="false">IF(I24="","",IF(I24&lt;=M24,"OK","ALTA"))</f>
        <v/>
      </c>
      <c r="O24" s="13"/>
    </row>
    <row r="25" customFormat="false" ht="15" hidden="false" customHeight="false" outlineLevel="0" collapsed="false">
      <c r="A25" s="11" t="str">
        <f aca="false">IF(C25="","",ROW()-4)</f>
        <v/>
      </c>
      <c r="B25" s="12"/>
      <c r="C25" s="13"/>
      <c r="D25" s="11" t="str">
        <f aca="false">IF(C25="","",IFERROR(INDEX(LOTES!$D$5:$D$1004,MATCH(C25,LOTES!$F$5:$F$1004,0)),"¿Lote?"))</f>
        <v/>
      </c>
      <c r="E25" s="11" t="str">
        <f aca="false">IF(C25="","",IFERROR(INDEX(LOTES!$C$5:$C$1004,MATCH(C25,LOTES!$F$5:$F$1004,0)),""))</f>
        <v/>
      </c>
      <c r="F25" s="27"/>
      <c r="G25" s="27"/>
      <c r="H25" s="27"/>
      <c r="I25" s="20" t="str">
        <f aca="false">IF(AND(ISNUMBER(F25),ISNUMBER(G25),ISNUMBER(H25),F25&gt;G25,H25&gt;0),(F25-H25)/(F25-G25)*1000,"")</f>
        <v/>
      </c>
      <c r="J25" s="17" t="str">
        <f aca="false">IF(AND(ISNUMBER(F25),ISNUMBER(G25),ISNUMBER(H25),F25&gt;G25,H25&gt;0),(F25-H25)/H25,"")</f>
        <v/>
      </c>
      <c r="K25" s="20" t="str">
        <f aca="false">IF(AND(ISNUMBER(F25),ISNUMBER(G25),ISNUMBER(H25),F25&gt;G25,H25&gt;0),H25/(F25-G25)*1000,"")</f>
        <v/>
      </c>
      <c r="L25" s="11" t="str">
        <f aca="false">IF(K25="","",IF(K25&gt;=CONFIG!$E$21,CONFIG!$D$21,IF(K25&gt;=CONFIG!$E$20,CONFIG!$D$20,CONFIG!$D$19)))</f>
        <v/>
      </c>
      <c r="M25" s="20" t="str">
        <f aca="false">IF(K25="","",IF(K25&gt;=CONFIG!$E$21,CONFIG!$F$21,IF(K25&gt;=CONFIG!$E$20,CONFIG!$F$20,CONFIG!$F$19)))</f>
        <v/>
      </c>
      <c r="N25" s="19" t="str">
        <f aca="false">IF(I25="","",IF(I25&lt;=M25,"OK","ALTA"))</f>
        <v/>
      </c>
      <c r="O25" s="13"/>
    </row>
    <row r="26" customFormat="false" ht="15" hidden="false" customHeight="false" outlineLevel="0" collapsed="false">
      <c r="A26" s="11" t="str">
        <f aca="false">IF(C26="","",ROW()-4)</f>
        <v/>
      </c>
      <c r="B26" s="12"/>
      <c r="C26" s="13"/>
      <c r="D26" s="11" t="str">
        <f aca="false">IF(C26="","",IFERROR(INDEX(LOTES!$D$5:$D$1004,MATCH(C26,LOTES!$F$5:$F$1004,0)),"¿Lote?"))</f>
        <v/>
      </c>
      <c r="E26" s="11" t="str">
        <f aca="false">IF(C26="","",IFERROR(INDEX(LOTES!$C$5:$C$1004,MATCH(C26,LOTES!$F$5:$F$1004,0)),""))</f>
        <v/>
      </c>
      <c r="F26" s="27"/>
      <c r="G26" s="27"/>
      <c r="H26" s="27"/>
      <c r="I26" s="20" t="str">
        <f aca="false">IF(AND(ISNUMBER(F26),ISNUMBER(G26),ISNUMBER(H26),F26&gt;G26,H26&gt;0),(F26-H26)/(F26-G26)*1000,"")</f>
        <v/>
      </c>
      <c r="J26" s="17" t="str">
        <f aca="false">IF(AND(ISNUMBER(F26),ISNUMBER(G26),ISNUMBER(H26),F26&gt;G26,H26&gt;0),(F26-H26)/H26,"")</f>
        <v/>
      </c>
      <c r="K26" s="20" t="str">
        <f aca="false">IF(AND(ISNUMBER(F26),ISNUMBER(G26),ISNUMBER(H26),F26&gt;G26,H26&gt;0),H26/(F26-G26)*1000,"")</f>
        <v/>
      </c>
      <c r="L26" s="11" t="str">
        <f aca="false">IF(K26="","",IF(K26&gt;=CONFIG!$E$21,CONFIG!$D$21,IF(K26&gt;=CONFIG!$E$20,CONFIG!$D$20,CONFIG!$D$19)))</f>
        <v/>
      </c>
      <c r="M26" s="20" t="str">
        <f aca="false">IF(K26="","",IF(K26&gt;=CONFIG!$E$21,CONFIG!$F$21,IF(K26&gt;=CONFIG!$E$20,CONFIG!$F$20,CONFIG!$F$19)))</f>
        <v/>
      </c>
      <c r="N26" s="19" t="str">
        <f aca="false">IF(I26="","",IF(I26&lt;=M26,"OK","ALTA"))</f>
        <v/>
      </c>
      <c r="O26" s="13"/>
    </row>
    <row r="27" customFormat="false" ht="15" hidden="false" customHeight="false" outlineLevel="0" collapsed="false">
      <c r="A27" s="11" t="str">
        <f aca="false">IF(C27="","",ROW()-4)</f>
        <v/>
      </c>
      <c r="B27" s="12"/>
      <c r="C27" s="13"/>
      <c r="D27" s="11" t="str">
        <f aca="false">IF(C27="","",IFERROR(INDEX(LOTES!$D$5:$D$1004,MATCH(C27,LOTES!$F$5:$F$1004,0)),"¿Lote?"))</f>
        <v/>
      </c>
      <c r="E27" s="11" t="str">
        <f aca="false">IF(C27="","",IFERROR(INDEX(LOTES!$C$5:$C$1004,MATCH(C27,LOTES!$F$5:$F$1004,0)),""))</f>
        <v/>
      </c>
      <c r="F27" s="27"/>
      <c r="G27" s="27"/>
      <c r="H27" s="27"/>
      <c r="I27" s="20" t="str">
        <f aca="false">IF(AND(ISNUMBER(F27),ISNUMBER(G27),ISNUMBER(H27),F27&gt;G27,H27&gt;0),(F27-H27)/(F27-G27)*1000,"")</f>
        <v/>
      </c>
      <c r="J27" s="17" t="str">
        <f aca="false">IF(AND(ISNUMBER(F27),ISNUMBER(G27),ISNUMBER(H27),F27&gt;G27,H27&gt;0),(F27-H27)/H27,"")</f>
        <v/>
      </c>
      <c r="K27" s="20" t="str">
        <f aca="false">IF(AND(ISNUMBER(F27),ISNUMBER(G27),ISNUMBER(H27),F27&gt;G27,H27&gt;0),H27/(F27-G27)*1000,"")</f>
        <v/>
      </c>
      <c r="L27" s="11" t="str">
        <f aca="false">IF(K27="","",IF(K27&gt;=CONFIG!$E$21,CONFIG!$D$21,IF(K27&gt;=CONFIG!$E$20,CONFIG!$D$20,CONFIG!$D$19)))</f>
        <v/>
      </c>
      <c r="M27" s="20" t="str">
        <f aca="false">IF(K27="","",IF(K27&gt;=CONFIG!$E$21,CONFIG!$F$21,IF(K27&gt;=CONFIG!$E$20,CONFIG!$F$20,CONFIG!$F$19)))</f>
        <v/>
      </c>
      <c r="N27" s="19" t="str">
        <f aca="false">IF(I27="","",IF(I27&lt;=M27,"OK","ALTA"))</f>
        <v/>
      </c>
      <c r="O27" s="13"/>
    </row>
    <row r="28" customFormat="false" ht="15" hidden="false" customHeight="false" outlineLevel="0" collapsed="false">
      <c r="A28" s="11" t="str">
        <f aca="false">IF(C28="","",ROW()-4)</f>
        <v/>
      </c>
      <c r="B28" s="12"/>
      <c r="C28" s="13"/>
      <c r="D28" s="11" t="str">
        <f aca="false">IF(C28="","",IFERROR(INDEX(LOTES!$D$5:$D$1004,MATCH(C28,LOTES!$F$5:$F$1004,0)),"¿Lote?"))</f>
        <v/>
      </c>
      <c r="E28" s="11" t="str">
        <f aca="false">IF(C28="","",IFERROR(INDEX(LOTES!$C$5:$C$1004,MATCH(C28,LOTES!$F$5:$F$1004,0)),""))</f>
        <v/>
      </c>
      <c r="F28" s="27"/>
      <c r="G28" s="27"/>
      <c r="H28" s="27"/>
      <c r="I28" s="20" t="str">
        <f aca="false">IF(AND(ISNUMBER(F28),ISNUMBER(G28),ISNUMBER(H28),F28&gt;G28,H28&gt;0),(F28-H28)/(F28-G28)*1000,"")</f>
        <v/>
      </c>
      <c r="J28" s="17" t="str">
        <f aca="false">IF(AND(ISNUMBER(F28),ISNUMBER(G28),ISNUMBER(H28),F28&gt;G28,H28&gt;0),(F28-H28)/H28,"")</f>
        <v/>
      </c>
      <c r="K28" s="20" t="str">
        <f aca="false">IF(AND(ISNUMBER(F28),ISNUMBER(G28),ISNUMBER(H28),F28&gt;G28,H28&gt;0),H28/(F28-G28)*1000,"")</f>
        <v/>
      </c>
      <c r="L28" s="11" t="str">
        <f aca="false">IF(K28="","",IF(K28&gt;=CONFIG!$E$21,CONFIG!$D$21,IF(K28&gt;=CONFIG!$E$20,CONFIG!$D$20,CONFIG!$D$19)))</f>
        <v/>
      </c>
      <c r="M28" s="20" t="str">
        <f aca="false">IF(K28="","",IF(K28&gt;=CONFIG!$E$21,CONFIG!$F$21,IF(K28&gt;=CONFIG!$E$20,CONFIG!$F$20,CONFIG!$F$19)))</f>
        <v/>
      </c>
      <c r="N28" s="19" t="str">
        <f aca="false">IF(I28="","",IF(I28&lt;=M28,"OK","ALTA"))</f>
        <v/>
      </c>
      <c r="O28" s="13"/>
    </row>
    <row r="29" customFormat="false" ht="15" hidden="false" customHeight="false" outlineLevel="0" collapsed="false">
      <c r="A29" s="11" t="str">
        <f aca="false">IF(C29="","",ROW()-4)</f>
        <v/>
      </c>
      <c r="B29" s="12"/>
      <c r="C29" s="13"/>
      <c r="D29" s="11" t="str">
        <f aca="false">IF(C29="","",IFERROR(INDEX(LOTES!$D$5:$D$1004,MATCH(C29,LOTES!$F$5:$F$1004,0)),"¿Lote?"))</f>
        <v/>
      </c>
      <c r="E29" s="11" t="str">
        <f aca="false">IF(C29="","",IFERROR(INDEX(LOTES!$C$5:$C$1004,MATCH(C29,LOTES!$F$5:$F$1004,0)),""))</f>
        <v/>
      </c>
      <c r="F29" s="27"/>
      <c r="G29" s="27"/>
      <c r="H29" s="27"/>
      <c r="I29" s="20" t="str">
        <f aca="false">IF(AND(ISNUMBER(F29),ISNUMBER(G29),ISNUMBER(H29),F29&gt;G29,H29&gt;0),(F29-H29)/(F29-G29)*1000,"")</f>
        <v/>
      </c>
      <c r="J29" s="17" t="str">
        <f aca="false">IF(AND(ISNUMBER(F29),ISNUMBER(G29),ISNUMBER(H29),F29&gt;G29,H29&gt;0),(F29-H29)/H29,"")</f>
        <v/>
      </c>
      <c r="K29" s="20" t="str">
        <f aca="false">IF(AND(ISNUMBER(F29),ISNUMBER(G29),ISNUMBER(H29),F29&gt;G29,H29&gt;0),H29/(F29-G29)*1000,"")</f>
        <v/>
      </c>
      <c r="L29" s="11" t="str">
        <f aca="false">IF(K29="","",IF(K29&gt;=CONFIG!$E$21,CONFIG!$D$21,IF(K29&gt;=CONFIG!$E$20,CONFIG!$D$20,CONFIG!$D$19)))</f>
        <v/>
      </c>
      <c r="M29" s="20" t="str">
        <f aca="false">IF(K29="","",IF(K29&gt;=CONFIG!$E$21,CONFIG!$F$21,IF(K29&gt;=CONFIG!$E$20,CONFIG!$F$20,CONFIG!$F$19)))</f>
        <v/>
      </c>
      <c r="N29" s="19" t="str">
        <f aca="false">IF(I29="","",IF(I29&lt;=M29,"OK","ALTA"))</f>
        <v/>
      </c>
      <c r="O29" s="13"/>
    </row>
    <row r="30" customFormat="false" ht="15" hidden="false" customHeight="false" outlineLevel="0" collapsed="false">
      <c r="A30" s="11" t="str">
        <f aca="false">IF(C30="","",ROW()-4)</f>
        <v/>
      </c>
      <c r="B30" s="12"/>
      <c r="C30" s="13"/>
      <c r="D30" s="11" t="str">
        <f aca="false">IF(C30="","",IFERROR(INDEX(LOTES!$D$5:$D$1004,MATCH(C30,LOTES!$F$5:$F$1004,0)),"¿Lote?"))</f>
        <v/>
      </c>
      <c r="E30" s="11" t="str">
        <f aca="false">IF(C30="","",IFERROR(INDEX(LOTES!$C$5:$C$1004,MATCH(C30,LOTES!$F$5:$F$1004,0)),""))</f>
        <v/>
      </c>
      <c r="F30" s="27"/>
      <c r="G30" s="27"/>
      <c r="H30" s="27"/>
      <c r="I30" s="20" t="str">
        <f aca="false">IF(AND(ISNUMBER(F30),ISNUMBER(G30),ISNUMBER(H30),F30&gt;G30,H30&gt;0),(F30-H30)/(F30-G30)*1000,"")</f>
        <v/>
      </c>
      <c r="J30" s="17" t="str">
        <f aca="false">IF(AND(ISNUMBER(F30),ISNUMBER(G30),ISNUMBER(H30),F30&gt;G30,H30&gt;0),(F30-H30)/H30,"")</f>
        <v/>
      </c>
      <c r="K30" s="20" t="str">
        <f aca="false">IF(AND(ISNUMBER(F30),ISNUMBER(G30),ISNUMBER(H30),F30&gt;G30,H30&gt;0),H30/(F30-G30)*1000,"")</f>
        <v/>
      </c>
      <c r="L30" s="11" t="str">
        <f aca="false">IF(K30="","",IF(K30&gt;=CONFIG!$E$21,CONFIG!$D$21,IF(K30&gt;=CONFIG!$E$20,CONFIG!$D$20,CONFIG!$D$19)))</f>
        <v/>
      </c>
      <c r="M30" s="20" t="str">
        <f aca="false">IF(K30="","",IF(K30&gt;=CONFIG!$E$21,CONFIG!$F$21,IF(K30&gt;=CONFIG!$E$20,CONFIG!$F$20,CONFIG!$F$19)))</f>
        <v/>
      </c>
      <c r="N30" s="19" t="str">
        <f aca="false">IF(I30="","",IF(I30&lt;=M30,"OK","ALTA"))</f>
        <v/>
      </c>
      <c r="O30" s="13"/>
    </row>
    <row r="31" customFormat="false" ht="15" hidden="false" customHeight="false" outlineLevel="0" collapsed="false">
      <c r="A31" s="11" t="str">
        <f aca="false">IF(C31="","",ROW()-4)</f>
        <v/>
      </c>
      <c r="B31" s="12"/>
      <c r="C31" s="13"/>
      <c r="D31" s="11" t="str">
        <f aca="false">IF(C31="","",IFERROR(INDEX(LOTES!$D$5:$D$1004,MATCH(C31,LOTES!$F$5:$F$1004,0)),"¿Lote?"))</f>
        <v/>
      </c>
      <c r="E31" s="11" t="str">
        <f aca="false">IF(C31="","",IFERROR(INDEX(LOTES!$C$5:$C$1004,MATCH(C31,LOTES!$F$5:$F$1004,0)),""))</f>
        <v/>
      </c>
      <c r="F31" s="27"/>
      <c r="G31" s="27"/>
      <c r="H31" s="27"/>
      <c r="I31" s="20" t="str">
        <f aca="false">IF(AND(ISNUMBER(F31),ISNUMBER(G31),ISNUMBER(H31),F31&gt;G31,H31&gt;0),(F31-H31)/(F31-G31)*1000,"")</f>
        <v/>
      </c>
      <c r="J31" s="17" t="str">
        <f aca="false">IF(AND(ISNUMBER(F31),ISNUMBER(G31),ISNUMBER(H31),F31&gt;G31,H31&gt;0),(F31-H31)/H31,"")</f>
        <v/>
      </c>
      <c r="K31" s="20" t="str">
        <f aca="false">IF(AND(ISNUMBER(F31),ISNUMBER(G31),ISNUMBER(H31),F31&gt;G31,H31&gt;0),H31/(F31-G31)*1000,"")</f>
        <v/>
      </c>
      <c r="L31" s="11" t="str">
        <f aca="false">IF(K31="","",IF(K31&gt;=CONFIG!$E$21,CONFIG!$D$21,IF(K31&gt;=CONFIG!$E$20,CONFIG!$D$20,CONFIG!$D$19)))</f>
        <v/>
      </c>
      <c r="M31" s="20" t="str">
        <f aca="false">IF(K31="","",IF(K31&gt;=CONFIG!$E$21,CONFIG!$F$21,IF(K31&gt;=CONFIG!$E$20,CONFIG!$F$20,CONFIG!$F$19)))</f>
        <v/>
      </c>
      <c r="N31" s="19" t="str">
        <f aca="false">IF(I31="","",IF(I31&lt;=M31,"OK","ALTA"))</f>
        <v/>
      </c>
      <c r="O31" s="13"/>
    </row>
    <row r="32" customFormat="false" ht="15" hidden="false" customHeight="false" outlineLevel="0" collapsed="false">
      <c r="A32" s="11" t="str">
        <f aca="false">IF(C32="","",ROW()-4)</f>
        <v/>
      </c>
      <c r="B32" s="12"/>
      <c r="C32" s="13"/>
      <c r="D32" s="11" t="str">
        <f aca="false">IF(C32="","",IFERROR(INDEX(LOTES!$D$5:$D$1004,MATCH(C32,LOTES!$F$5:$F$1004,0)),"¿Lote?"))</f>
        <v/>
      </c>
      <c r="E32" s="11" t="str">
        <f aca="false">IF(C32="","",IFERROR(INDEX(LOTES!$C$5:$C$1004,MATCH(C32,LOTES!$F$5:$F$1004,0)),""))</f>
        <v/>
      </c>
      <c r="F32" s="27"/>
      <c r="G32" s="27"/>
      <c r="H32" s="27"/>
      <c r="I32" s="20" t="str">
        <f aca="false">IF(AND(ISNUMBER(F32),ISNUMBER(G32),ISNUMBER(H32),F32&gt;G32,H32&gt;0),(F32-H32)/(F32-G32)*1000,"")</f>
        <v/>
      </c>
      <c r="J32" s="17" t="str">
        <f aca="false">IF(AND(ISNUMBER(F32),ISNUMBER(G32),ISNUMBER(H32),F32&gt;G32,H32&gt;0),(F32-H32)/H32,"")</f>
        <v/>
      </c>
      <c r="K32" s="20" t="str">
        <f aca="false">IF(AND(ISNUMBER(F32),ISNUMBER(G32),ISNUMBER(H32),F32&gt;G32,H32&gt;0),H32/(F32-G32)*1000,"")</f>
        <v/>
      </c>
      <c r="L32" s="11" t="str">
        <f aca="false">IF(K32="","",IF(K32&gt;=CONFIG!$E$21,CONFIG!$D$21,IF(K32&gt;=CONFIG!$E$20,CONFIG!$D$20,CONFIG!$D$19)))</f>
        <v/>
      </c>
      <c r="M32" s="20" t="str">
        <f aca="false">IF(K32="","",IF(K32&gt;=CONFIG!$E$21,CONFIG!$F$21,IF(K32&gt;=CONFIG!$E$20,CONFIG!$F$20,CONFIG!$F$19)))</f>
        <v/>
      </c>
      <c r="N32" s="19" t="str">
        <f aca="false">IF(I32="","",IF(I32&lt;=M32,"OK","ALTA"))</f>
        <v/>
      </c>
      <c r="O32" s="13"/>
    </row>
    <row r="33" customFormat="false" ht="15" hidden="false" customHeight="false" outlineLevel="0" collapsed="false">
      <c r="A33" s="11" t="str">
        <f aca="false">IF(C33="","",ROW()-4)</f>
        <v/>
      </c>
      <c r="B33" s="12"/>
      <c r="C33" s="13"/>
      <c r="D33" s="11" t="str">
        <f aca="false">IF(C33="","",IFERROR(INDEX(LOTES!$D$5:$D$1004,MATCH(C33,LOTES!$F$5:$F$1004,0)),"¿Lote?"))</f>
        <v/>
      </c>
      <c r="E33" s="11" t="str">
        <f aca="false">IF(C33="","",IFERROR(INDEX(LOTES!$C$5:$C$1004,MATCH(C33,LOTES!$F$5:$F$1004,0)),""))</f>
        <v/>
      </c>
      <c r="F33" s="27"/>
      <c r="G33" s="27"/>
      <c r="H33" s="27"/>
      <c r="I33" s="20" t="str">
        <f aca="false">IF(AND(ISNUMBER(F33),ISNUMBER(G33),ISNUMBER(H33),F33&gt;G33,H33&gt;0),(F33-H33)/(F33-G33)*1000,"")</f>
        <v/>
      </c>
      <c r="J33" s="17" t="str">
        <f aca="false">IF(AND(ISNUMBER(F33),ISNUMBER(G33),ISNUMBER(H33),F33&gt;G33,H33&gt;0),(F33-H33)/H33,"")</f>
        <v/>
      </c>
      <c r="K33" s="20" t="str">
        <f aca="false">IF(AND(ISNUMBER(F33),ISNUMBER(G33),ISNUMBER(H33),F33&gt;G33,H33&gt;0),H33/(F33-G33)*1000,"")</f>
        <v/>
      </c>
      <c r="L33" s="11" t="str">
        <f aca="false">IF(K33="","",IF(K33&gt;=CONFIG!$E$21,CONFIG!$D$21,IF(K33&gt;=CONFIG!$E$20,CONFIG!$D$20,CONFIG!$D$19)))</f>
        <v/>
      </c>
      <c r="M33" s="20" t="str">
        <f aca="false">IF(K33="","",IF(K33&gt;=CONFIG!$E$21,CONFIG!$F$21,IF(K33&gt;=CONFIG!$E$20,CONFIG!$F$20,CONFIG!$F$19)))</f>
        <v/>
      </c>
      <c r="N33" s="19" t="str">
        <f aca="false">IF(I33="","",IF(I33&lt;=M33,"OK","ALTA"))</f>
        <v/>
      </c>
      <c r="O33" s="13"/>
    </row>
    <row r="34" customFormat="false" ht="15" hidden="false" customHeight="false" outlineLevel="0" collapsed="false">
      <c r="A34" s="11" t="str">
        <f aca="false">IF(C34="","",ROW()-4)</f>
        <v/>
      </c>
      <c r="B34" s="12"/>
      <c r="C34" s="13"/>
      <c r="D34" s="11" t="str">
        <f aca="false">IF(C34="","",IFERROR(INDEX(LOTES!$D$5:$D$1004,MATCH(C34,LOTES!$F$5:$F$1004,0)),"¿Lote?"))</f>
        <v/>
      </c>
      <c r="E34" s="11" t="str">
        <f aca="false">IF(C34="","",IFERROR(INDEX(LOTES!$C$5:$C$1004,MATCH(C34,LOTES!$F$5:$F$1004,0)),""))</f>
        <v/>
      </c>
      <c r="F34" s="27"/>
      <c r="G34" s="27"/>
      <c r="H34" s="27"/>
      <c r="I34" s="20" t="str">
        <f aca="false">IF(AND(ISNUMBER(F34),ISNUMBER(G34),ISNUMBER(H34),F34&gt;G34,H34&gt;0),(F34-H34)/(F34-G34)*1000,"")</f>
        <v/>
      </c>
      <c r="J34" s="17" t="str">
        <f aca="false">IF(AND(ISNUMBER(F34),ISNUMBER(G34),ISNUMBER(H34),F34&gt;G34,H34&gt;0),(F34-H34)/H34,"")</f>
        <v/>
      </c>
      <c r="K34" s="20" t="str">
        <f aca="false">IF(AND(ISNUMBER(F34),ISNUMBER(G34),ISNUMBER(H34),F34&gt;G34,H34&gt;0),H34/(F34-G34)*1000,"")</f>
        <v/>
      </c>
      <c r="L34" s="11" t="str">
        <f aca="false">IF(K34="","",IF(K34&gt;=CONFIG!$E$21,CONFIG!$D$21,IF(K34&gt;=CONFIG!$E$20,CONFIG!$D$20,CONFIG!$D$19)))</f>
        <v/>
      </c>
      <c r="M34" s="20" t="str">
        <f aca="false">IF(K34="","",IF(K34&gt;=CONFIG!$E$21,CONFIG!$F$21,IF(K34&gt;=CONFIG!$E$20,CONFIG!$F$20,CONFIG!$F$19)))</f>
        <v/>
      </c>
      <c r="N34" s="19" t="str">
        <f aca="false">IF(I34="","",IF(I34&lt;=M34,"OK","ALTA"))</f>
        <v/>
      </c>
      <c r="O34" s="13"/>
    </row>
    <row r="35" customFormat="false" ht="15" hidden="false" customHeight="false" outlineLevel="0" collapsed="false">
      <c r="A35" s="11" t="str">
        <f aca="false">IF(C35="","",ROW()-4)</f>
        <v/>
      </c>
      <c r="B35" s="12"/>
      <c r="C35" s="13"/>
      <c r="D35" s="11" t="str">
        <f aca="false">IF(C35="","",IFERROR(INDEX(LOTES!$D$5:$D$1004,MATCH(C35,LOTES!$F$5:$F$1004,0)),"¿Lote?"))</f>
        <v/>
      </c>
      <c r="E35" s="11" t="str">
        <f aca="false">IF(C35="","",IFERROR(INDEX(LOTES!$C$5:$C$1004,MATCH(C35,LOTES!$F$5:$F$1004,0)),""))</f>
        <v/>
      </c>
      <c r="F35" s="27"/>
      <c r="G35" s="27"/>
      <c r="H35" s="27"/>
      <c r="I35" s="20" t="str">
        <f aca="false">IF(AND(ISNUMBER(F35),ISNUMBER(G35),ISNUMBER(H35),F35&gt;G35,H35&gt;0),(F35-H35)/(F35-G35)*1000,"")</f>
        <v/>
      </c>
      <c r="J35" s="17" t="str">
        <f aca="false">IF(AND(ISNUMBER(F35),ISNUMBER(G35),ISNUMBER(H35),F35&gt;G35,H35&gt;0),(F35-H35)/H35,"")</f>
        <v/>
      </c>
      <c r="K35" s="20" t="str">
        <f aca="false">IF(AND(ISNUMBER(F35),ISNUMBER(G35),ISNUMBER(H35),F35&gt;G35,H35&gt;0),H35/(F35-G35)*1000,"")</f>
        <v/>
      </c>
      <c r="L35" s="11" t="str">
        <f aca="false">IF(K35="","",IF(K35&gt;=CONFIG!$E$21,CONFIG!$D$21,IF(K35&gt;=CONFIG!$E$20,CONFIG!$D$20,CONFIG!$D$19)))</f>
        <v/>
      </c>
      <c r="M35" s="20" t="str">
        <f aca="false">IF(K35="","",IF(K35&gt;=CONFIG!$E$21,CONFIG!$F$21,IF(K35&gt;=CONFIG!$E$20,CONFIG!$F$20,CONFIG!$F$19)))</f>
        <v/>
      </c>
      <c r="N35" s="19" t="str">
        <f aca="false">IF(I35="","",IF(I35&lt;=M35,"OK","ALTA"))</f>
        <v/>
      </c>
      <c r="O35" s="13"/>
    </row>
    <row r="36" customFormat="false" ht="15" hidden="false" customHeight="false" outlineLevel="0" collapsed="false">
      <c r="A36" s="11" t="str">
        <f aca="false">IF(C36="","",ROW()-4)</f>
        <v/>
      </c>
      <c r="B36" s="12"/>
      <c r="C36" s="13"/>
      <c r="D36" s="11" t="str">
        <f aca="false">IF(C36="","",IFERROR(INDEX(LOTES!$D$5:$D$1004,MATCH(C36,LOTES!$F$5:$F$1004,0)),"¿Lote?"))</f>
        <v/>
      </c>
      <c r="E36" s="11" t="str">
        <f aca="false">IF(C36="","",IFERROR(INDEX(LOTES!$C$5:$C$1004,MATCH(C36,LOTES!$F$5:$F$1004,0)),""))</f>
        <v/>
      </c>
      <c r="F36" s="27"/>
      <c r="G36" s="27"/>
      <c r="H36" s="27"/>
      <c r="I36" s="20" t="str">
        <f aca="false">IF(AND(ISNUMBER(F36),ISNUMBER(G36),ISNUMBER(H36),F36&gt;G36,H36&gt;0),(F36-H36)/(F36-G36)*1000,"")</f>
        <v/>
      </c>
      <c r="J36" s="17" t="str">
        <f aca="false">IF(AND(ISNUMBER(F36),ISNUMBER(G36),ISNUMBER(H36),F36&gt;G36,H36&gt;0),(F36-H36)/H36,"")</f>
        <v/>
      </c>
      <c r="K36" s="20" t="str">
        <f aca="false">IF(AND(ISNUMBER(F36),ISNUMBER(G36),ISNUMBER(H36),F36&gt;G36,H36&gt;0),H36/(F36-G36)*1000,"")</f>
        <v/>
      </c>
      <c r="L36" s="11" t="str">
        <f aca="false">IF(K36="","",IF(K36&gt;=CONFIG!$E$21,CONFIG!$D$21,IF(K36&gt;=CONFIG!$E$20,CONFIG!$D$20,CONFIG!$D$19)))</f>
        <v/>
      </c>
      <c r="M36" s="20" t="str">
        <f aca="false">IF(K36="","",IF(K36&gt;=CONFIG!$E$21,CONFIG!$F$21,IF(K36&gt;=CONFIG!$E$20,CONFIG!$F$20,CONFIG!$F$19)))</f>
        <v/>
      </c>
      <c r="N36" s="19" t="str">
        <f aca="false">IF(I36="","",IF(I36&lt;=M36,"OK","ALTA"))</f>
        <v/>
      </c>
      <c r="O36" s="13"/>
    </row>
    <row r="37" customFormat="false" ht="15" hidden="false" customHeight="false" outlineLevel="0" collapsed="false">
      <c r="A37" s="11" t="str">
        <f aca="false">IF(C37="","",ROW()-4)</f>
        <v/>
      </c>
      <c r="B37" s="12"/>
      <c r="C37" s="13"/>
      <c r="D37" s="11" t="str">
        <f aca="false">IF(C37="","",IFERROR(INDEX(LOTES!$D$5:$D$1004,MATCH(C37,LOTES!$F$5:$F$1004,0)),"¿Lote?"))</f>
        <v/>
      </c>
      <c r="E37" s="11" t="str">
        <f aca="false">IF(C37="","",IFERROR(INDEX(LOTES!$C$5:$C$1004,MATCH(C37,LOTES!$F$5:$F$1004,0)),""))</f>
        <v/>
      </c>
      <c r="F37" s="27"/>
      <c r="G37" s="27"/>
      <c r="H37" s="27"/>
      <c r="I37" s="20" t="str">
        <f aca="false">IF(AND(ISNUMBER(F37),ISNUMBER(G37),ISNUMBER(H37),F37&gt;G37,H37&gt;0),(F37-H37)/(F37-G37)*1000,"")</f>
        <v/>
      </c>
      <c r="J37" s="17" t="str">
        <f aca="false">IF(AND(ISNUMBER(F37),ISNUMBER(G37),ISNUMBER(H37),F37&gt;G37,H37&gt;0),(F37-H37)/H37,"")</f>
        <v/>
      </c>
      <c r="K37" s="20" t="str">
        <f aca="false">IF(AND(ISNUMBER(F37),ISNUMBER(G37),ISNUMBER(H37),F37&gt;G37,H37&gt;0),H37/(F37-G37)*1000,"")</f>
        <v/>
      </c>
      <c r="L37" s="11" t="str">
        <f aca="false">IF(K37="","",IF(K37&gt;=CONFIG!$E$21,CONFIG!$D$21,IF(K37&gt;=CONFIG!$E$20,CONFIG!$D$20,CONFIG!$D$19)))</f>
        <v/>
      </c>
      <c r="M37" s="20" t="str">
        <f aca="false">IF(K37="","",IF(K37&gt;=CONFIG!$E$21,CONFIG!$F$21,IF(K37&gt;=CONFIG!$E$20,CONFIG!$F$20,CONFIG!$F$19)))</f>
        <v/>
      </c>
      <c r="N37" s="19" t="str">
        <f aca="false">IF(I37="","",IF(I37&lt;=M37,"OK","ALTA"))</f>
        <v/>
      </c>
      <c r="O37" s="13"/>
    </row>
    <row r="38" customFormat="false" ht="15" hidden="false" customHeight="false" outlineLevel="0" collapsed="false">
      <c r="A38" s="11" t="str">
        <f aca="false">IF(C38="","",ROW()-4)</f>
        <v/>
      </c>
      <c r="B38" s="12"/>
      <c r="C38" s="13"/>
      <c r="D38" s="11" t="str">
        <f aca="false">IF(C38="","",IFERROR(INDEX(LOTES!$D$5:$D$1004,MATCH(C38,LOTES!$F$5:$F$1004,0)),"¿Lote?"))</f>
        <v/>
      </c>
      <c r="E38" s="11" t="str">
        <f aca="false">IF(C38="","",IFERROR(INDEX(LOTES!$C$5:$C$1004,MATCH(C38,LOTES!$F$5:$F$1004,0)),""))</f>
        <v/>
      </c>
      <c r="F38" s="27"/>
      <c r="G38" s="27"/>
      <c r="H38" s="27"/>
      <c r="I38" s="20" t="str">
        <f aca="false">IF(AND(ISNUMBER(F38),ISNUMBER(G38),ISNUMBER(H38),F38&gt;G38,H38&gt;0),(F38-H38)/(F38-G38)*1000,"")</f>
        <v/>
      </c>
      <c r="J38" s="17" t="str">
        <f aca="false">IF(AND(ISNUMBER(F38),ISNUMBER(G38),ISNUMBER(H38),F38&gt;G38,H38&gt;0),(F38-H38)/H38,"")</f>
        <v/>
      </c>
      <c r="K38" s="20" t="str">
        <f aca="false">IF(AND(ISNUMBER(F38),ISNUMBER(G38),ISNUMBER(H38),F38&gt;G38,H38&gt;0),H38/(F38-G38)*1000,"")</f>
        <v/>
      </c>
      <c r="L38" s="11" t="str">
        <f aca="false">IF(K38="","",IF(K38&gt;=CONFIG!$E$21,CONFIG!$D$21,IF(K38&gt;=CONFIG!$E$20,CONFIG!$D$20,CONFIG!$D$19)))</f>
        <v/>
      </c>
      <c r="M38" s="20" t="str">
        <f aca="false">IF(K38="","",IF(K38&gt;=CONFIG!$E$21,CONFIG!$F$21,IF(K38&gt;=CONFIG!$E$20,CONFIG!$F$20,CONFIG!$F$19)))</f>
        <v/>
      </c>
      <c r="N38" s="19" t="str">
        <f aca="false">IF(I38="","",IF(I38&lt;=M38,"OK","ALTA"))</f>
        <v/>
      </c>
      <c r="O38" s="13"/>
    </row>
    <row r="39" customFormat="false" ht="15" hidden="false" customHeight="false" outlineLevel="0" collapsed="false">
      <c r="A39" s="11" t="str">
        <f aca="false">IF(C39="","",ROW()-4)</f>
        <v/>
      </c>
      <c r="B39" s="12"/>
      <c r="C39" s="13"/>
      <c r="D39" s="11" t="str">
        <f aca="false">IF(C39="","",IFERROR(INDEX(LOTES!$D$5:$D$1004,MATCH(C39,LOTES!$F$5:$F$1004,0)),"¿Lote?"))</f>
        <v/>
      </c>
      <c r="E39" s="11" t="str">
        <f aca="false">IF(C39="","",IFERROR(INDEX(LOTES!$C$5:$C$1004,MATCH(C39,LOTES!$F$5:$F$1004,0)),""))</f>
        <v/>
      </c>
      <c r="F39" s="27"/>
      <c r="G39" s="27"/>
      <c r="H39" s="27"/>
      <c r="I39" s="20" t="str">
        <f aca="false">IF(AND(ISNUMBER(F39),ISNUMBER(G39),ISNUMBER(H39),F39&gt;G39,H39&gt;0),(F39-H39)/(F39-G39)*1000,"")</f>
        <v/>
      </c>
      <c r="J39" s="17" t="str">
        <f aca="false">IF(AND(ISNUMBER(F39),ISNUMBER(G39),ISNUMBER(H39),F39&gt;G39,H39&gt;0),(F39-H39)/H39,"")</f>
        <v/>
      </c>
      <c r="K39" s="20" t="str">
        <f aca="false">IF(AND(ISNUMBER(F39),ISNUMBER(G39),ISNUMBER(H39),F39&gt;G39,H39&gt;0),H39/(F39-G39)*1000,"")</f>
        <v/>
      </c>
      <c r="L39" s="11" t="str">
        <f aca="false">IF(K39="","",IF(K39&gt;=CONFIG!$E$21,CONFIG!$D$21,IF(K39&gt;=CONFIG!$E$20,CONFIG!$D$20,CONFIG!$D$19)))</f>
        <v/>
      </c>
      <c r="M39" s="20" t="str">
        <f aca="false">IF(K39="","",IF(K39&gt;=CONFIG!$E$21,CONFIG!$F$21,IF(K39&gt;=CONFIG!$E$20,CONFIG!$F$20,CONFIG!$F$19)))</f>
        <v/>
      </c>
      <c r="N39" s="19" t="str">
        <f aca="false">IF(I39="","",IF(I39&lt;=M39,"OK","ALTA"))</f>
        <v/>
      </c>
      <c r="O39" s="13"/>
    </row>
    <row r="40" customFormat="false" ht="15" hidden="false" customHeight="false" outlineLevel="0" collapsed="false">
      <c r="A40" s="11" t="str">
        <f aca="false">IF(C40="","",ROW()-4)</f>
        <v/>
      </c>
      <c r="B40" s="12"/>
      <c r="C40" s="13"/>
      <c r="D40" s="11" t="str">
        <f aca="false">IF(C40="","",IFERROR(INDEX(LOTES!$D$5:$D$1004,MATCH(C40,LOTES!$F$5:$F$1004,0)),"¿Lote?"))</f>
        <v/>
      </c>
      <c r="E40" s="11" t="str">
        <f aca="false">IF(C40="","",IFERROR(INDEX(LOTES!$C$5:$C$1004,MATCH(C40,LOTES!$F$5:$F$1004,0)),""))</f>
        <v/>
      </c>
      <c r="F40" s="27"/>
      <c r="G40" s="27"/>
      <c r="H40" s="27"/>
      <c r="I40" s="20" t="str">
        <f aca="false">IF(AND(ISNUMBER(F40),ISNUMBER(G40),ISNUMBER(H40),F40&gt;G40,H40&gt;0),(F40-H40)/(F40-G40)*1000,"")</f>
        <v/>
      </c>
      <c r="J40" s="17" t="str">
        <f aca="false">IF(AND(ISNUMBER(F40),ISNUMBER(G40),ISNUMBER(H40),F40&gt;G40,H40&gt;0),(F40-H40)/H40,"")</f>
        <v/>
      </c>
      <c r="K40" s="20" t="str">
        <f aca="false">IF(AND(ISNUMBER(F40),ISNUMBER(G40),ISNUMBER(H40),F40&gt;G40,H40&gt;0),H40/(F40-G40)*1000,"")</f>
        <v/>
      </c>
      <c r="L40" s="11" t="str">
        <f aca="false">IF(K40="","",IF(K40&gt;=CONFIG!$E$21,CONFIG!$D$21,IF(K40&gt;=CONFIG!$E$20,CONFIG!$D$20,CONFIG!$D$19)))</f>
        <v/>
      </c>
      <c r="M40" s="20" t="str">
        <f aca="false">IF(K40="","",IF(K40&gt;=CONFIG!$E$21,CONFIG!$F$21,IF(K40&gt;=CONFIG!$E$20,CONFIG!$F$20,CONFIG!$F$19)))</f>
        <v/>
      </c>
      <c r="N40" s="19" t="str">
        <f aca="false">IF(I40="","",IF(I40&lt;=M40,"OK","ALTA"))</f>
        <v/>
      </c>
      <c r="O40" s="13"/>
    </row>
    <row r="41" customFormat="false" ht="15" hidden="false" customHeight="false" outlineLevel="0" collapsed="false">
      <c r="A41" s="11" t="str">
        <f aca="false">IF(C41="","",ROW()-4)</f>
        <v/>
      </c>
      <c r="B41" s="12"/>
      <c r="C41" s="13"/>
      <c r="D41" s="11" t="str">
        <f aca="false">IF(C41="","",IFERROR(INDEX(LOTES!$D$5:$D$1004,MATCH(C41,LOTES!$F$5:$F$1004,0)),"¿Lote?"))</f>
        <v/>
      </c>
      <c r="E41" s="11" t="str">
        <f aca="false">IF(C41="","",IFERROR(INDEX(LOTES!$C$5:$C$1004,MATCH(C41,LOTES!$F$5:$F$1004,0)),""))</f>
        <v/>
      </c>
      <c r="F41" s="27"/>
      <c r="G41" s="27"/>
      <c r="H41" s="27"/>
      <c r="I41" s="20" t="str">
        <f aca="false">IF(AND(ISNUMBER(F41),ISNUMBER(G41),ISNUMBER(H41),F41&gt;G41,H41&gt;0),(F41-H41)/(F41-G41)*1000,"")</f>
        <v/>
      </c>
      <c r="J41" s="17" t="str">
        <f aca="false">IF(AND(ISNUMBER(F41),ISNUMBER(G41),ISNUMBER(H41),F41&gt;G41,H41&gt;0),(F41-H41)/H41,"")</f>
        <v/>
      </c>
      <c r="K41" s="20" t="str">
        <f aca="false">IF(AND(ISNUMBER(F41),ISNUMBER(G41),ISNUMBER(H41),F41&gt;G41,H41&gt;0),H41/(F41-G41)*1000,"")</f>
        <v/>
      </c>
      <c r="L41" s="11" t="str">
        <f aca="false">IF(K41="","",IF(K41&gt;=CONFIG!$E$21,CONFIG!$D$21,IF(K41&gt;=CONFIG!$E$20,CONFIG!$D$20,CONFIG!$D$19)))</f>
        <v/>
      </c>
      <c r="M41" s="20" t="str">
        <f aca="false">IF(K41="","",IF(K41&gt;=CONFIG!$E$21,CONFIG!$F$21,IF(K41&gt;=CONFIG!$E$20,CONFIG!$F$20,CONFIG!$F$19)))</f>
        <v/>
      </c>
      <c r="N41" s="19" t="str">
        <f aca="false">IF(I41="","",IF(I41&lt;=M41,"OK","ALTA"))</f>
        <v/>
      </c>
      <c r="O41" s="13"/>
    </row>
    <row r="42" customFormat="false" ht="15" hidden="false" customHeight="false" outlineLevel="0" collapsed="false">
      <c r="A42" s="11" t="str">
        <f aca="false">IF(C42="","",ROW()-4)</f>
        <v/>
      </c>
      <c r="B42" s="12"/>
      <c r="C42" s="13"/>
      <c r="D42" s="11" t="str">
        <f aca="false">IF(C42="","",IFERROR(INDEX(LOTES!$D$5:$D$1004,MATCH(C42,LOTES!$F$5:$F$1004,0)),"¿Lote?"))</f>
        <v/>
      </c>
      <c r="E42" s="11" t="str">
        <f aca="false">IF(C42="","",IFERROR(INDEX(LOTES!$C$5:$C$1004,MATCH(C42,LOTES!$F$5:$F$1004,0)),""))</f>
        <v/>
      </c>
      <c r="F42" s="27"/>
      <c r="G42" s="27"/>
      <c r="H42" s="27"/>
      <c r="I42" s="20" t="str">
        <f aca="false">IF(AND(ISNUMBER(F42),ISNUMBER(G42),ISNUMBER(H42),F42&gt;G42,H42&gt;0),(F42-H42)/(F42-G42)*1000,"")</f>
        <v/>
      </c>
      <c r="J42" s="17" t="str">
        <f aca="false">IF(AND(ISNUMBER(F42),ISNUMBER(G42),ISNUMBER(H42),F42&gt;G42,H42&gt;0),(F42-H42)/H42,"")</f>
        <v/>
      </c>
      <c r="K42" s="20" t="str">
        <f aca="false">IF(AND(ISNUMBER(F42),ISNUMBER(G42),ISNUMBER(H42),F42&gt;G42,H42&gt;0),H42/(F42-G42)*1000,"")</f>
        <v/>
      </c>
      <c r="L42" s="11" t="str">
        <f aca="false">IF(K42="","",IF(K42&gt;=CONFIG!$E$21,CONFIG!$D$21,IF(K42&gt;=CONFIG!$E$20,CONFIG!$D$20,CONFIG!$D$19)))</f>
        <v/>
      </c>
      <c r="M42" s="20" t="str">
        <f aca="false">IF(K42="","",IF(K42&gt;=CONFIG!$E$21,CONFIG!$F$21,IF(K42&gt;=CONFIG!$E$20,CONFIG!$F$20,CONFIG!$F$19)))</f>
        <v/>
      </c>
      <c r="N42" s="19" t="str">
        <f aca="false">IF(I42="","",IF(I42&lt;=M42,"OK","ALTA"))</f>
        <v/>
      </c>
      <c r="O42" s="13"/>
    </row>
    <row r="43" customFormat="false" ht="15" hidden="false" customHeight="false" outlineLevel="0" collapsed="false">
      <c r="A43" s="11" t="str">
        <f aca="false">IF(C43="","",ROW()-4)</f>
        <v/>
      </c>
      <c r="B43" s="12"/>
      <c r="C43" s="13"/>
      <c r="D43" s="11" t="str">
        <f aca="false">IF(C43="","",IFERROR(INDEX(LOTES!$D$5:$D$1004,MATCH(C43,LOTES!$F$5:$F$1004,0)),"¿Lote?"))</f>
        <v/>
      </c>
      <c r="E43" s="11" t="str">
        <f aca="false">IF(C43="","",IFERROR(INDEX(LOTES!$C$5:$C$1004,MATCH(C43,LOTES!$F$5:$F$1004,0)),""))</f>
        <v/>
      </c>
      <c r="F43" s="27"/>
      <c r="G43" s="27"/>
      <c r="H43" s="27"/>
      <c r="I43" s="20" t="str">
        <f aca="false">IF(AND(ISNUMBER(F43),ISNUMBER(G43),ISNUMBER(H43),F43&gt;G43,H43&gt;0),(F43-H43)/(F43-G43)*1000,"")</f>
        <v/>
      </c>
      <c r="J43" s="17" t="str">
        <f aca="false">IF(AND(ISNUMBER(F43),ISNUMBER(G43),ISNUMBER(H43),F43&gt;G43,H43&gt;0),(F43-H43)/H43,"")</f>
        <v/>
      </c>
      <c r="K43" s="20" t="str">
        <f aca="false">IF(AND(ISNUMBER(F43),ISNUMBER(G43),ISNUMBER(H43),F43&gt;G43,H43&gt;0),H43/(F43-G43)*1000,"")</f>
        <v/>
      </c>
      <c r="L43" s="11" t="str">
        <f aca="false">IF(K43="","",IF(K43&gt;=CONFIG!$E$21,CONFIG!$D$21,IF(K43&gt;=CONFIG!$E$20,CONFIG!$D$20,CONFIG!$D$19)))</f>
        <v/>
      </c>
      <c r="M43" s="20" t="str">
        <f aca="false">IF(K43="","",IF(K43&gt;=CONFIG!$E$21,CONFIG!$F$21,IF(K43&gt;=CONFIG!$E$20,CONFIG!$F$20,CONFIG!$F$19)))</f>
        <v/>
      </c>
      <c r="N43" s="19" t="str">
        <f aca="false">IF(I43="","",IF(I43&lt;=M43,"OK","ALTA"))</f>
        <v/>
      </c>
      <c r="O43" s="13"/>
    </row>
    <row r="44" customFormat="false" ht="15" hidden="false" customHeight="false" outlineLevel="0" collapsed="false">
      <c r="A44" s="11" t="str">
        <f aca="false">IF(C44="","",ROW()-4)</f>
        <v/>
      </c>
      <c r="B44" s="12"/>
      <c r="C44" s="13"/>
      <c r="D44" s="11" t="str">
        <f aca="false">IF(C44="","",IFERROR(INDEX(LOTES!$D$5:$D$1004,MATCH(C44,LOTES!$F$5:$F$1004,0)),"¿Lote?"))</f>
        <v/>
      </c>
      <c r="E44" s="11" t="str">
        <f aca="false">IF(C44="","",IFERROR(INDEX(LOTES!$C$5:$C$1004,MATCH(C44,LOTES!$F$5:$F$1004,0)),""))</f>
        <v/>
      </c>
      <c r="F44" s="27"/>
      <c r="G44" s="27"/>
      <c r="H44" s="27"/>
      <c r="I44" s="20" t="str">
        <f aca="false">IF(AND(ISNUMBER(F44),ISNUMBER(G44),ISNUMBER(H44),F44&gt;G44,H44&gt;0),(F44-H44)/(F44-G44)*1000,"")</f>
        <v/>
      </c>
      <c r="J44" s="17" t="str">
        <f aca="false">IF(AND(ISNUMBER(F44),ISNUMBER(G44),ISNUMBER(H44),F44&gt;G44,H44&gt;0),(F44-H44)/H44,"")</f>
        <v/>
      </c>
      <c r="K44" s="20" t="str">
        <f aca="false">IF(AND(ISNUMBER(F44),ISNUMBER(G44),ISNUMBER(H44),F44&gt;G44,H44&gt;0),H44/(F44-G44)*1000,"")</f>
        <v/>
      </c>
      <c r="L44" s="11" t="str">
        <f aca="false">IF(K44="","",IF(K44&gt;=CONFIG!$E$21,CONFIG!$D$21,IF(K44&gt;=CONFIG!$E$20,CONFIG!$D$20,CONFIG!$D$19)))</f>
        <v/>
      </c>
      <c r="M44" s="20" t="str">
        <f aca="false">IF(K44="","",IF(K44&gt;=CONFIG!$E$21,CONFIG!$F$21,IF(K44&gt;=CONFIG!$E$20,CONFIG!$F$20,CONFIG!$F$19)))</f>
        <v/>
      </c>
      <c r="N44" s="19" t="str">
        <f aca="false">IF(I44="","",IF(I44&lt;=M44,"OK","ALTA"))</f>
        <v/>
      </c>
      <c r="O44" s="13"/>
    </row>
    <row r="45" customFormat="false" ht="15" hidden="false" customHeight="false" outlineLevel="0" collapsed="false">
      <c r="A45" s="11" t="str">
        <f aca="false">IF(C45="","",ROW()-4)</f>
        <v/>
      </c>
      <c r="B45" s="12"/>
      <c r="C45" s="13"/>
      <c r="D45" s="11" t="str">
        <f aca="false">IF(C45="","",IFERROR(INDEX(LOTES!$D$5:$D$1004,MATCH(C45,LOTES!$F$5:$F$1004,0)),"¿Lote?"))</f>
        <v/>
      </c>
      <c r="E45" s="11" t="str">
        <f aca="false">IF(C45="","",IFERROR(INDEX(LOTES!$C$5:$C$1004,MATCH(C45,LOTES!$F$5:$F$1004,0)),""))</f>
        <v/>
      </c>
      <c r="F45" s="27"/>
      <c r="G45" s="27"/>
      <c r="H45" s="27"/>
      <c r="I45" s="20" t="str">
        <f aca="false">IF(AND(ISNUMBER(F45),ISNUMBER(G45),ISNUMBER(H45),F45&gt;G45,H45&gt;0),(F45-H45)/(F45-G45)*1000,"")</f>
        <v/>
      </c>
      <c r="J45" s="17" t="str">
        <f aca="false">IF(AND(ISNUMBER(F45),ISNUMBER(G45),ISNUMBER(H45),F45&gt;G45,H45&gt;0),(F45-H45)/H45,"")</f>
        <v/>
      </c>
      <c r="K45" s="20" t="str">
        <f aca="false">IF(AND(ISNUMBER(F45),ISNUMBER(G45),ISNUMBER(H45),F45&gt;G45,H45&gt;0),H45/(F45-G45)*1000,"")</f>
        <v/>
      </c>
      <c r="L45" s="11" t="str">
        <f aca="false">IF(K45="","",IF(K45&gt;=CONFIG!$E$21,CONFIG!$D$21,IF(K45&gt;=CONFIG!$E$20,CONFIG!$D$20,CONFIG!$D$19)))</f>
        <v/>
      </c>
      <c r="M45" s="20" t="str">
        <f aca="false">IF(K45="","",IF(K45&gt;=CONFIG!$E$21,CONFIG!$F$21,IF(K45&gt;=CONFIG!$E$20,CONFIG!$F$20,CONFIG!$F$19)))</f>
        <v/>
      </c>
      <c r="N45" s="19" t="str">
        <f aca="false">IF(I45="","",IF(I45&lt;=M45,"OK","ALTA"))</f>
        <v/>
      </c>
      <c r="O45" s="13"/>
    </row>
    <row r="46" customFormat="false" ht="15" hidden="false" customHeight="false" outlineLevel="0" collapsed="false">
      <c r="A46" s="11" t="str">
        <f aca="false">IF(C46="","",ROW()-4)</f>
        <v/>
      </c>
      <c r="B46" s="12"/>
      <c r="C46" s="13"/>
      <c r="D46" s="11" t="str">
        <f aca="false">IF(C46="","",IFERROR(INDEX(LOTES!$D$5:$D$1004,MATCH(C46,LOTES!$F$5:$F$1004,0)),"¿Lote?"))</f>
        <v/>
      </c>
      <c r="E46" s="11" t="str">
        <f aca="false">IF(C46="","",IFERROR(INDEX(LOTES!$C$5:$C$1004,MATCH(C46,LOTES!$F$5:$F$1004,0)),""))</f>
        <v/>
      </c>
      <c r="F46" s="27"/>
      <c r="G46" s="27"/>
      <c r="H46" s="27"/>
      <c r="I46" s="20" t="str">
        <f aca="false">IF(AND(ISNUMBER(F46),ISNUMBER(G46),ISNUMBER(H46),F46&gt;G46,H46&gt;0),(F46-H46)/(F46-G46)*1000,"")</f>
        <v/>
      </c>
      <c r="J46" s="17" t="str">
        <f aca="false">IF(AND(ISNUMBER(F46),ISNUMBER(G46),ISNUMBER(H46),F46&gt;G46,H46&gt;0),(F46-H46)/H46,"")</f>
        <v/>
      </c>
      <c r="K46" s="20" t="str">
        <f aca="false">IF(AND(ISNUMBER(F46),ISNUMBER(G46),ISNUMBER(H46),F46&gt;G46,H46&gt;0),H46/(F46-G46)*1000,"")</f>
        <v/>
      </c>
      <c r="L46" s="11" t="str">
        <f aca="false">IF(K46="","",IF(K46&gt;=CONFIG!$E$21,CONFIG!$D$21,IF(K46&gt;=CONFIG!$E$20,CONFIG!$D$20,CONFIG!$D$19)))</f>
        <v/>
      </c>
      <c r="M46" s="20" t="str">
        <f aca="false">IF(K46="","",IF(K46&gt;=CONFIG!$E$21,CONFIG!$F$21,IF(K46&gt;=CONFIG!$E$20,CONFIG!$F$20,CONFIG!$F$19)))</f>
        <v/>
      </c>
      <c r="N46" s="19" t="str">
        <f aca="false">IF(I46="","",IF(I46&lt;=M46,"OK","ALTA"))</f>
        <v/>
      </c>
      <c r="O46" s="13"/>
    </row>
    <row r="47" customFormat="false" ht="15" hidden="false" customHeight="false" outlineLevel="0" collapsed="false">
      <c r="A47" s="11" t="str">
        <f aca="false">IF(C47="","",ROW()-4)</f>
        <v/>
      </c>
      <c r="B47" s="12"/>
      <c r="C47" s="13"/>
      <c r="D47" s="11" t="str">
        <f aca="false">IF(C47="","",IFERROR(INDEX(LOTES!$D$5:$D$1004,MATCH(C47,LOTES!$F$5:$F$1004,0)),"¿Lote?"))</f>
        <v/>
      </c>
      <c r="E47" s="11" t="str">
        <f aca="false">IF(C47="","",IFERROR(INDEX(LOTES!$C$5:$C$1004,MATCH(C47,LOTES!$F$5:$F$1004,0)),""))</f>
        <v/>
      </c>
      <c r="F47" s="27"/>
      <c r="G47" s="27"/>
      <c r="H47" s="27"/>
      <c r="I47" s="20" t="str">
        <f aca="false">IF(AND(ISNUMBER(F47),ISNUMBER(G47),ISNUMBER(H47),F47&gt;G47,H47&gt;0),(F47-H47)/(F47-G47)*1000,"")</f>
        <v/>
      </c>
      <c r="J47" s="17" t="str">
        <f aca="false">IF(AND(ISNUMBER(F47),ISNUMBER(G47),ISNUMBER(H47),F47&gt;G47,H47&gt;0),(F47-H47)/H47,"")</f>
        <v/>
      </c>
      <c r="K47" s="20" t="str">
        <f aca="false">IF(AND(ISNUMBER(F47),ISNUMBER(G47),ISNUMBER(H47),F47&gt;G47,H47&gt;0),H47/(F47-G47)*1000,"")</f>
        <v/>
      </c>
      <c r="L47" s="11" t="str">
        <f aca="false">IF(K47="","",IF(K47&gt;=CONFIG!$E$21,CONFIG!$D$21,IF(K47&gt;=CONFIG!$E$20,CONFIG!$D$20,CONFIG!$D$19)))</f>
        <v/>
      </c>
      <c r="M47" s="20" t="str">
        <f aca="false">IF(K47="","",IF(K47&gt;=CONFIG!$E$21,CONFIG!$F$21,IF(K47&gt;=CONFIG!$E$20,CONFIG!$F$20,CONFIG!$F$19)))</f>
        <v/>
      </c>
      <c r="N47" s="19" t="str">
        <f aca="false">IF(I47="","",IF(I47&lt;=M47,"OK","ALTA"))</f>
        <v/>
      </c>
      <c r="O47" s="13"/>
    </row>
    <row r="48" customFormat="false" ht="15" hidden="false" customHeight="false" outlineLevel="0" collapsed="false">
      <c r="A48" s="11" t="str">
        <f aca="false">IF(C48="","",ROW()-4)</f>
        <v/>
      </c>
      <c r="B48" s="12"/>
      <c r="C48" s="13"/>
      <c r="D48" s="11" t="str">
        <f aca="false">IF(C48="","",IFERROR(INDEX(LOTES!$D$5:$D$1004,MATCH(C48,LOTES!$F$5:$F$1004,0)),"¿Lote?"))</f>
        <v/>
      </c>
      <c r="E48" s="11" t="str">
        <f aca="false">IF(C48="","",IFERROR(INDEX(LOTES!$C$5:$C$1004,MATCH(C48,LOTES!$F$5:$F$1004,0)),""))</f>
        <v/>
      </c>
      <c r="F48" s="27"/>
      <c r="G48" s="27"/>
      <c r="H48" s="27"/>
      <c r="I48" s="20" t="str">
        <f aca="false">IF(AND(ISNUMBER(F48),ISNUMBER(G48),ISNUMBER(H48),F48&gt;G48,H48&gt;0),(F48-H48)/(F48-G48)*1000,"")</f>
        <v/>
      </c>
      <c r="J48" s="17" t="str">
        <f aca="false">IF(AND(ISNUMBER(F48),ISNUMBER(G48),ISNUMBER(H48),F48&gt;G48,H48&gt;0),(F48-H48)/H48,"")</f>
        <v/>
      </c>
      <c r="K48" s="20" t="str">
        <f aca="false">IF(AND(ISNUMBER(F48),ISNUMBER(G48),ISNUMBER(H48),F48&gt;G48,H48&gt;0),H48/(F48-G48)*1000,"")</f>
        <v/>
      </c>
      <c r="L48" s="11" t="str">
        <f aca="false">IF(K48="","",IF(K48&gt;=CONFIG!$E$21,CONFIG!$D$21,IF(K48&gt;=CONFIG!$E$20,CONFIG!$D$20,CONFIG!$D$19)))</f>
        <v/>
      </c>
      <c r="M48" s="20" t="str">
        <f aca="false">IF(K48="","",IF(K48&gt;=CONFIG!$E$21,CONFIG!$F$21,IF(K48&gt;=CONFIG!$E$20,CONFIG!$F$20,CONFIG!$F$19)))</f>
        <v/>
      </c>
      <c r="N48" s="19" t="str">
        <f aca="false">IF(I48="","",IF(I48&lt;=M48,"OK","ALTA"))</f>
        <v/>
      </c>
      <c r="O48" s="13"/>
    </row>
    <row r="49" customFormat="false" ht="15" hidden="false" customHeight="false" outlineLevel="0" collapsed="false">
      <c r="A49" s="11" t="str">
        <f aca="false">IF(C49="","",ROW()-4)</f>
        <v/>
      </c>
      <c r="B49" s="12"/>
      <c r="C49" s="13"/>
      <c r="D49" s="11" t="str">
        <f aca="false">IF(C49="","",IFERROR(INDEX(LOTES!$D$5:$D$1004,MATCH(C49,LOTES!$F$5:$F$1004,0)),"¿Lote?"))</f>
        <v/>
      </c>
      <c r="E49" s="11" t="str">
        <f aca="false">IF(C49="","",IFERROR(INDEX(LOTES!$C$5:$C$1004,MATCH(C49,LOTES!$F$5:$F$1004,0)),""))</f>
        <v/>
      </c>
      <c r="F49" s="27"/>
      <c r="G49" s="27"/>
      <c r="H49" s="27"/>
      <c r="I49" s="20" t="str">
        <f aca="false">IF(AND(ISNUMBER(F49),ISNUMBER(G49),ISNUMBER(H49),F49&gt;G49,H49&gt;0),(F49-H49)/(F49-G49)*1000,"")</f>
        <v/>
      </c>
      <c r="J49" s="17" t="str">
        <f aca="false">IF(AND(ISNUMBER(F49),ISNUMBER(G49),ISNUMBER(H49),F49&gt;G49,H49&gt;0),(F49-H49)/H49,"")</f>
        <v/>
      </c>
      <c r="K49" s="20" t="str">
        <f aca="false">IF(AND(ISNUMBER(F49),ISNUMBER(G49),ISNUMBER(H49),F49&gt;G49,H49&gt;0),H49/(F49-G49)*1000,"")</f>
        <v/>
      </c>
      <c r="L49" s="11" t="str">
        <f aca="false">IF(K49="","",IF(K49&gt;=CONFIG!$E$21,CONFIG!$D$21,IF(K49&gt;=CONFIG!$E$20,CONFIG!$D$20,CONFIG!$D$19)))</f>
        <v/>
      </c>
      <c r="M49" s="20" t="str">
        <f aca="false">IF(K49="","",IF(K49&gt;=CONFIG!$E$21,CONFIG!$F$21,IF(K49&gt;=CONFIG!$E$20,CONFIG!$F$20,CONFIG!$F$19)))</f>
        <v/>
      </c>
      <c r="N49" s="19" t="str">
        <f aca="false">IF(I49="","",IF(I49&lt;=M49,"OK","ALTA"))</f>
        <v/>
      </c>
      <c r="O49" s="13"/>
    </row>
    <row r="50" customFormat="false" ht="15" hidden="false" customHeight="false" outlineLevel="0" collapsed="false">
      <c r="A50" s="11" t="str">
        <f aca="false">IF(C50="","",ROW()-4)</f>
        <v/>
      </c>
      <c r="B50" s="12"/>
      <c r="C50" s="13"/>
      <c r="D50" s="11" t="str">
        <f aca="false">IF(C50="","",IFERROR(INDEX(LOTES!$D$5:$D$1004,MATCH(C50,LOTES!$F$5:$F$1004,0)),"¿Lote?"))</f>
        <v/>
      </c>
      <c r="E50" s="11" t="str">
        <f aca="false">IF(C50="","",IFERROR(INDEX(LOTES!$C$5:$C$1004,MATCH(C50,LOTES!$F$5:$F$1004,0)),""))</f>
        <v/>
      </c>
      <c r="F50" s="27"/>
      <c r="G50" s="27"/>
      <c r="H50" s="27"/>
      <c r="I50" s="20" t="str">
        <f aca="false">IF(AND(ISNUMBER(F50),ISNUMBER(G50),ISNUMBER(H50),F50&gt;G50,H50&gt;0),(F50-H50)/(F50-G50)*1000,"")</f>
        <v/>
      </c>
      <c r="J50" s="17" t="str">
        <f aca="false">IF(AND(ISNUMBER(F50),ISNUMBER(G50),ISNUMBER(H50),F50&gt;G50,H50&gt;0),(F50-H50)/H50,"")</f>
        <v/>
      </c>
      <c r="K50" s="20" t="str">
        <f aca="false">IF(AND(ISNUMBER(F50),ISNUMBER(G50),ISNUMBER(H50),F50&gt;G50,H50&gt;0),H50/(F50-G50)*1000,"")</f>
        <v/>
      </c>
      <c r="L50" s="11" t="str">
        <f aca="false">IF(K50="","",IF(K50&gt;=CONFIG!$E$21,CONFIG!$D$21,IF(K50&gt;=CONFIG!$E$20,CONFIG!$D$20,CONFIG!$D$19)))</f>
        <v/>
      </c>
      <c r="M50" s="20" t="str">
        <f aca="false">IF(K50="","",IF(K50&gt;=CONFIG!$E$21,CONFIG!$F$21,IF(K50&gt;=CONFIG!$E$20,CONFIG!$F$20,CONFIG!$F$19)))</f>
        <v/>
      </c>
      <c r="N50" s="19" t="str">
        <f aca="false">IF(I50="","",IF(I50&lt;=M50,"OK","ALTA"))</f>
        <v/>
      </c>
      <c r="O50" s="13"/>
    </row>
    <row r="51" customFormat="false" ht="15" hidden="false" customHeight="false" outlineLevel="0" collapsed="false">
      <c r="A51" s="11" t="str">
        <f aca="false">IF(C51="","",ROW()-4)</f>
        <v/>
      </c>
      <c r="B51" s="12"/>
      <c r="C51" s="13"/>
      <c r="D51" s="11" t="str">
        <f aca="false">IF(C51="","",IFERROR(INDEX(LOTES!$D$5:$D$1004,MATCH(C51,LOTES!$F$5:$F$1004,0)),"¿Lote?"))</f>
        <v/>
      </c>
      <c r="E51" s="11" t="str">
        <f aca="false">IF(C51="","",IFERROR(INDEX(LOTES!$C$5:$C$1004,MATCH(C51,LOTES!$F$5:$F$1004,0)),""))</f>
        <v/>
      </c>
      <c r="F51" s="27"/>
      <c r="G51" s="27"/>
      <c r="H51" s="27"/>
      <c r="I51" s="20" t="str">
        <f aca="false">IF(AND(ISNUMBER(F51),ISNUMBER(G51),ISNUMBER(H51),F51&gt;G51,H51&gt;0),(F51-H51)/(F51-G51)*1000,"")</f>
        <v/>
      </c>
      <c r="J51" s="17" t="str">
        <f aca="false">IF(AND(ISNUMBER(F51),ISNUMBER(G51),ISNUMBER(H51),F51&gt;G51,H51&gt;0),(F51-H51)/H51,"")</f>
        <v/>
      </c>
      <c r="K51" s="20" t="str">
        <f aca="false">IF(AND(ISNUMBER(F51),ISNUMBER(G51),ISNUMBER(H51),F51&gt;G51,H51&gt;0),H51/(F51-G51)*1000,"")</f>
        <v/>
      </c>
      <c r="L51" s="11" t="str">
        <f aca="false">IF(K51="","",IF(K51&gt;=CONFIG!$E$21,CONFIG!$D$21,IF(K51&gt;=CONFIG!$E$20,CONFIG!$D$20,CONFIG!$D$19)))</f>
        <v/>
      </c>
      <c r="M51" s="20" t="str">
        <f aca="false">IF(K51="","",IF(K51&gt;=CONFIG!$E$21,CONFIG!$F$21,IF(K51&gt;=CONFIG!$E$20,CONFIG!$F$20,CONFIG!$F$19)))</f>
        <v/>
      </c>
      <c r="N51" s="19" t="str">
        <f aca="false">IF(I51="","",IF(I51&lt;=M51,"OK","ALTA"))</f>
        <v/>
      </c>
      <c r="O51" s="13"/>
    </row>
    <row r="52" customFormat="false" ht="15" hidden="false" customHeight="false" outlineLevel="0" collapsed="false">
      <c r="A52" s="11" t="str">
        <f aca="false">IF(C52="","",ROW()-4)</f>
        <v/>
      </c>
      <c r="B52" s="12"/>
      <c r="C52" s="13"/>
      <c r="D52" s="11" t="str">
        <f aca="false">IF(C52="","",IFERROR(INDEX(LOTES!$D$5:$D$1004,MATCH(C52,LOTES!$F$5:$F$1004,0)),"¿Lote?"))</f>
        <v/>
      </c>
      <c r="E52" s="11" t="str">
        <f aca="false">IF(C52="","",IFERROR(INDEX(LOTES!$C$5:$C$1004,MATCH(C52,LOTES!$F$5:$F$1004,0)),""))</f>
        <v/>
      </c>
      <c r="F52" s="27"/>
      <c r="G52" s="27"/>
      <c r="H52" s="27"/>
      <c r="I52" s="20" t="str">
        <f aca="false">IF(AND(ISNUMBER(F52),ISNUMBER(G52),ISNUMBER(H52),F52&gt;G52,H52&gt;0),(F52-H52)/(F52-G52)*1000,"")</f>
        <v/>
      </c>
      <c r="J52" s="17" t="str">
        <f aca="false">IF(AND(ISNUMBER(F52),ISNUMBER(G52),ISNUMBER(H52),F52&gt;G52,H52&gt;0),(F52-H52)/H52,"")</f>
        <v/>
      </c>
      <c r="K52" s="20" t="str">
        <f aca="false">IF(AND(ISNUMBER(F52),ISNUMBER(G52),ISNUMBER(H52),F52&gt;G52,H52&gt;0),H52/(F52-G52)*1000,"")</f>
        <v/>
      </c>
      <c r="L52" s="11" t="str">
        <f aca="false">IF(K52="","",IF(K52&gt;=CONFIG!$E$21,CONFIG!$D$21,IF(K52&gt;=CONFIG!$E$20,CONFIG!$D$20,CONFIG!$D$19)))</f>
        <v/>
      </c>
      <c r="M52" s="20" t="str">
        <f aca="false">IF(K52="","",IF(K52&gt;=CONFIG!$E$21,CONFIG!$F$21,IF(K52&gt;=CONFIG!$E$20,CONFIG!$F$20,CONFIG!$F$19)))</f>
        <v/>
      </c>
      <c r="N52" s="19" t="str">
        <f aca="false">IF(I52="","",IF(I52&lt;=M52,"OK","ALTA"))</f>
        <v/>
      </c>
      <c r="O52" s="13"/>
    </row>
    <row r="53" customFormat="false" ht="15" hidden="false" customHeight="false" outlineLevel="0" collapsed="false">
      <c r="A53" s="11" t="str">
        <f aca="false">IF(C53="","",ROW()-4)</f>
        <v/>
      </c>
      <c r="B53" s="12"/>
      <c r="C53" s="13"/>
      <c r="D53" s="11" t="str">
        <f aca="false">IF(C53="","",IFERROR(INDEX(LOTES!$D$5:$D$1004,MATCH(C53,LOTES!$F$5:$F$1004,0)),"¿Lote?"))</f>
        <v/>
      </c>
      <c r="E53" s="11" t="str">
        <f aca="false">IF(C53="","",IFERROR(INDEX(LOTES!$C$5:$C$1004,MATCH(C53,LOTES!$F$5:$F$1004,0)),""))</f>
        <v/>
      </c>
      <c r="F53" s="27"/>
      <c r="G53" s="27"/>
      <c r="H53" s="27"/>
      <c r="I53" s="20" t="str">
        <f aca="false">IF(AND(ISNUMBER(F53),ISNUMBER(G53),ISNUMBER(H53),F53&gt;G53,H53&gt;0),(F53-H53)/(F53-G53)*1000,"")</f>
        <v/>
      </c>
      <c r="J53" s="17" t="str">
        <f aca="false">IF(AND(ISNUMBER(F53),ISNUMBER(G53),ISNUMBER(H53),F53&gt;G53,H53&gt;0),(F53-H53)/H53,"")</f>
        <v/>
      </c>
      <c r="K53" s="20" t="str">
        <f aca="false">IF(AND(ISNUMBER(F53),ISNUMBER(G53),ISNUMBER(H53),F53&gt;G53,H53&gt;0),H53/(F53-G53)*1000,"")</f>
        <v/>
      </c>
      <c r="L53" s="11" t="str">
        <f aca="false">IF(K53="","",IF(K53&gt;=CONFIG!$E$21,CONFIG!$D$21,IF(K53&gt;=CONFIG!$E$20,CONFIG!$D$20,CONFIG!$D$19)))</f>
        <v/>
      </c>
      <c r="M53" s="20" t="str">
        <f aca="false">IF(K53="","",IF(K53&gt;=CONFIG!$E$21,CONFIG!$F$21,IF(K53&gt;=CONFIG!$E$20,CONFIG!$F$20,CONFIG!$F$19)))</f>
        <v/>
      </c>
      <c r="N53" s="19" t="str">
        <f aca="false">IF(I53="","",IF(I53&lt;=M53,"OK","ALTA"))</f>
        <v/>
      </c>
      <c r="O53" s="13"/>
    </row>
    <row r="54" customFormat="false" ht="15" hidden="false" customHeight="false" outlineLevel="0" collapsed="false">
      <c r="A54" s="11" t="str">
        <f aca="false">IF(C54="","",ROW()-4)</f>
        <v/>
      </c>
      <c r="B54" s="12"/>
      <c r="C54" s="13"/>
      <c r="D54" s="11" t="str">
        <f aca="false">IF(C54="","",IFERROR(INDEX(LOTES!$D$5:$D$1004,MATCH(C54,LOTES!$F$5:$F$1004,0)),"¿Lote?"))</f>
        <v/>
      </c>
      <c r="E54" s="11" t="str">
        <f aca="false">IF(C54="","",IFERROR(INDEX(LOTES!$C$5:$C$1004,MATCH(C54,LOTES!$F$5:$F$1004,0)),""))</f>
        <v/>
      </c>
      <c r="F54" s="27"/>
      <c r="G54" s="27"/>
      <c r="H54" s="27"/>
      <c r="I54" s="20" t="str">
        <f aca="false">IF(AND(ISNUMBER(F54),ISNUMBER(G54),ISNUMBER(H54),F54&gt;G54,H54&gt;0),(F54-H54)/(F54-G54)*1000,"")</f>
        <v/>
      </c>
      <c r="J54" s="17" t="str">
        <f aca="false">IF(AND(ISNUMBER(F54),ISNUMBER(G54),ISNUMBER(H54),F54&gt;G54,H54&gt;0),(F54-H54)/H54,"")</f>
        <v/>
      </c>
      <c r="K54" s="20" t="str">
        <f aca="false">IF(AND(ISNUMBER(F54),ISNUMBER(G54),ISNUMBER(H54),F54&gt;G54,H54&gt;0),H54/(F54-G54)*1000,"")</f>
        <v/>
      </c>
      <c r="L54" s="11" t="str">
        <f aca="false">IF(K54="","",IF(K54&gt;=CONFIG!$E$21,CONFIG!$D$21,IF(K54&gt;=CONFIG!$E$20,CONFIG!$D$20,CONFIG!$D$19)))</f>
        <v/>
      </c>
      <c r="M54" s="20" t="str">
        <f aca="false">IF(K54="","",IF(K54&gt;=CONFIG!$E$21,CONFIG!$F$21,IF(K54&gt;=CONFIG!$E$20,CONFIG!$F$20,CONFIG!$F$19)))</f>
        <v/>
      </c>
      <c r="N54" s="19" t="str">
        <f aca="false">IF(I54="","",IF(I54&lt;=M54,"OK","ALTA"))</f>
        <v/>
      </c>
      <c r="O54" s="13"/>
    </row>
    <row r="55" customFormat="false" ht="15" hidden="false" customHeight="false" outlineLevel="0" collapsed="false">
      <c r="A55" s="11" t="str">
        <f aca="false">IF(C55="","",ROW()-4)</f>
        <v/>
      </c>
      <c r="B55" s="12"/>
      <c r="C55" s="13"/>
      <c r="D55" s="11" t="str">
        <f aca="false">IF(C55="","",IFERROR(INDEX(LOTES!$D$5:$D$1004,MATCH(C55,LOTES!$F$5:$F$1004,0)),"¿Lote?"))</f>
        <v/>
      </c>
      <c r="E55" s="11" t="str">
        <f aca="false">IF(C55="","",IFERROR(INDEX(LOTES!$C$5:$C$1004,MATCH(C55,LOTES!$F$5:$F$1004,0)),""))</f>
        <v/>
      </c>
      <c r="F55" s="27"/>
      <c r="G55" s="27"/>
      <c r="H55" s="27"/>
      <c r="I55" s="20" t="str">
        <f aca="false">IF(AND(ISNUMBER(F55),ISNUMBER(G55),ISNUMBER(H55),F55&gt;G55,H55&gt;0),(F55-H55)/(F55-G55)*1000,"")</f>
        <v/>
      </c>
      <c r="J55" s="17" t="str">
        <f aca="false">IF(AND(ISNUMBER(F55),ISNUMBER(G55),ISNUMBER(H55),F55&gt;G55,H55&gt;0),(F55-H55)/H55,"")</f>
        <v/>
      </c>
      <c r="K55" s="20" t="str">
        <f aca="false">IF(AND(ISNUMBER(F55),ISNUMBER(G55),ISNUMBER(H55),F55&gt;G55,H55&gt;0),H55/(F55-G55)*1000,"")</f>
        <v/>
      </c>
      <c r="L55" s="11" t="str">
        <f aca="false">IF(K55="","",IF(K55&gt;=CONFIG!$E$21,CONFIG!$D$21,IF(K55&gt;=CONFIG!$E$20,CONFIG!$D$20,CONFIG!$D$19)))</f>
        <v/>
      </c>
      <c r="M55" s="20" t="str">
        <f aca="false">IF(K55="","",IF(K55&gt;=CONFIG!$E$21,CONFIG!$F$21,IF(K55&gt;=CONFIG!$E$20,CONFIG!$F$20,CONFIG!$F$19)))</f>
        <v/>
      </c>
      <c r="N55" s="19" t="str">
        <f aca="false">IF(I55="","",IF(I55&lt;=M55,"OK","ALTA"))</f>
        <v/>
      </c>
      <c r="O55" s="13"/>
    </row>
    <row r="56" customFormat="false" ht="15" hidden="false" customHeight="false" outlineLevel="0" collapsed="false">
      <c r="A56" s="11" t="str">
        <f aca="false">IF(C56="","",ROW()-4)</f>
        <v/>
      </c>
      <c r="B56" s="12"/>
      <c r="C56" s="13"/>
      <c r="D56" s="11" t="str">
        <f aca="false">IF(C56="","",IFERROR(INDEX(LOTES!$D$5:$D$1004,MATCH(C56,LOTES!$F$5:$F$1004,0)),"¿Lote?"))</f>
        <v/>
      </c>
      <c r="E56" s="11" t="str">
        <f aca="false">IF(C56="","",IFERROR(INDEX(LOTES!$C$5:$C$1004,MATCH(C56,LOTES!$F$5:$F$1004,0)),""))</f>
        <v/>
      </c>
      <c r="F56" s="27"/>
      <c r="G56" s="27"/>
      <c r="H56" s="27"/>
      <c r="I56" s="20" t="str">
        <f aca="false">IF(AND(ISNUMBER(F56),ISNUMBER(G56),ISNUMBER(H56),F56&gt;G56,H56&gt;0),(F56-H56)/(F56-G56)*1000,"")</f>
        <v/>
      </c>
      <c r="J56" s="17" t="str">
        <f aca="false">IF(AND(ISNUMBER(F56),ISNUMBER(G56),ISNUMBER(H56),F56&gt;G56,H56&gt;0),(F56-H56)/H56,"")</f>
        <v/>
      </c>
      <c r="K56" s="20" t="str">
        <f aca="false">IF(AND(ISNUMBER(F56),ISNUMBER(G56),ISNUMBER(H56),F56&gt;G56,H56&gt;0),H56/(F56-G56)*1000,"")</f>
        <v/>
      </c>
      <c r="L56" s="11" t="str">
        <f aca="false">IF(K56="","",IF(K56&gt;=CONFIG!$E$21,CONFIG!$D$21,IF(K56&gt;=CONFIG!$E$20,CONFIG!$D$20,CONFIG!$D$19)))</f>
        <v/>
      </c>
      <c r="M56" s="20" t="str">
        <f aca="false">IF(K56="","",IF(K56&gt;=CONFIG!$E$21,CONFIG!$F$21,IF(K56&gt;=CONFIG!$E$20,CONFIG!$F$20,CONFIG!$F$19)))</f>
        <v/>
      </c>
      <c r="N56" s="19" t="str">
        <f aca="false">IF(I56="","",IF(I56&lt;=M56,"OK","ALTA"))</f>
        <v/>
      </c>
      <c r="O56" s="13"/>
    </row>
    <row r="57" customFormat="false" ht="15" hidden="false" customHeight="false" outlineLevel="0" collapsed="false">
      <c r="A57" s="11" t="str">
        <f aca="false">IF(C57="","",ROW()-4)</f>
        <v/>
      </c>
      <c r="B57" s="12"/>
      <c r="C57" s="13"/>
      <c r="D57" s="11" t="str">
        <f aca="false">IF(C57="","",IFERROR(INDEX(LOTES!$D$5:$D$1004,MATCH(C57,LOTES!$F$5:$F$1004,0)),"¿Lote?"))</f>
        <v/>
      </c>
      <c r="E57" s="11" t="str">
        <f aca="false">IF(C57="","",IFERROR(INDEX(LOTES!$C$5:$C$1004,MATCH(C57,LOTES!$F$5:$F$1004,0)),""))</f>
        <v/>
      </c>
      <c r="F57" s="27"/>
      <c r="G57" s="27"/>
      <c r="H57" s="27"/>
      <c r="I57" s="20" t="str">
        <f aca="false">IF(AND(ISNUMBER(F57),ISNUMBER(G57),ISNUMBER(H57),F57&gt;G57,H57&gt;0),(F57-H57)/(F57-G57)*1000,"")</f>
        <v/>
      </c>
      <c r="J57" s="17" t="str">
        <f aca="false">IF(AND(ISNUMBER(F57),ISNUMBER(G57),ISNUMBER(H57),F57&gt;G57,H57&gt;0),(F57-H57)/H57,"")</f>
        <v/>
      </c>
      <c r="K57" s="20" t="str">
        <f aca="false">IF(AND(ISNUMBER(F57),ISNUMBER(G57),ISNUMBER(H57),F57&gt;G57,H57&gt;0),H57/(F57-G57)*1000,"")</f>
        <v/>
      </c>
      <c r="L57" s="11" t="str">
        <f aca="false">IF(K57="","",IF(K57&gt;=CONFIG!$E$21,CONFIG!$D$21,IF(K57&gt;=CONFIG!$E$20,CONFIG!$D$20,CONFIG!$D$19)))</f>
        <v/>
      </c>
      <c r="M57" s="20" t="str">
        <f aca="false">IF(K57="","",IF(K57&gt;=CONFIG!$E$21,CONFIG!$F$21,IF(K57&gt;=CONFIG!$E$20,CONFIG!$F$20,CONFIG!$F$19)))</f>
        <v/>
      </c>
      <c r="N57" s="19" t="str">
        <f aca="false">IF(I57="","",IF(I57&lt;=M57,"OK","ALTA"))</f>
        <v/>
      </c>
      <c r="O57" s="13"/>
    </row>
    <row r="58" customFormat="false" ht="15" hidden="false" customHeight="false" outlineLevel="0" collapsed="false">
      <c r="A58" s="11" t="str">
        <f aca="false">IF(C58="","",ROW()-4)</f>
        <v/>
      </c>
      <c r="B58" s="12"/>
      <c r="C58" s="13"/>
      <c r="D58" s="11" t="str">
        <f aca="false">IF(C58="","",IFERROR(INDEX(LOTES!$D$5:$D$1004,MATCH(C58,LOTES!$F$5:$F$1004,0)),"¿Lote?"))</f>
        <v/>
      </c>
      <c r="E58" s="11" t="str">
        <f aca="false">IF(C58="","",IFERROR(INDEX(LOTES!$C$5:$C$1004,MATCH(C58,LOTES!$F$5:$F$1004,0)),""))</f>
        <v/>
      </c>
      <c r="F58" s="27"/>
      <c r="G58" s="27"/>
      <c r="H58" s="27"/>
      <c r="I58" s="20" t="str">
        <f aca="false">IF(AND(ISNUMBER(F58),ISNUMBER(G58),ISNUMBER(H58),F58&gt;G58,H58&gt;0),(F58-H58)/(F58-G58)*1000,"")</f>
        <v/>
      </c>
      <c r="J58" s="17" t="str">
        <f aca="false">IF(AND(ISNUMBER(F58),ISNUMBER(G58),ISNUMBER(H58),F58&gt;G58,H58&gt;0),(F58-H58)/H58,"")</f>
        <v/>
      </c>
      <c r="K58" s="20" t="str">
        <f aca="false">IF(AND(ISNUMBER(F58),ISNUMBER(G58),ISNUMBER(H58),F58&gt;G58,H58&gt;0),H58/(F58-G58)*1000,"")</f>
        <v/>
      </c>
      <c r="L58" s="11" t="str">
        <f aca="false">IF(K58="","",IF(K58&gt;=CONFIG!$E$21,CONFIG!$D$21,IF(K58&gt;=CONFIG!$E$20,CONFIG!$D$20,CONFIG!$D$19)))</f>
        <v/>
      </c>
      <c r="M58" s="20" t="str">
        <f aca="false">IF(K58="","",IF(K58&gt;=CONFIG!$E$21,CONFIG!$F$21,IF(K58&gt;=CONFIG!$E$20,CONFIG!$F$20,CONFIG!$F$19)))</f>
        <v/>
      </c>
      <c r="N58" s="19" t="str">
        <f aca="false">IF(I58="","",IF(I58&lt;=M58,"OK","ALTA"))</f>
        <v/>
      </c>
      <c r="O58" s="13"/>
    </row>
    <row r="59" customFormat="false" ht="15" hidden="false" customHeight="false" outlineLevel="0" collapsed="false">
      <c r="A59" s="11" t="str">
        <f aca="false">IF(C59="","",ROW()-4)</f>
        <v/>
      </c>
      <c r="B59" s="12"/>
      <c r="C59" s="13"/>
      <c r="D59" s="11" t="str">
        <f aca="false">IF(C59="","",IFERROR(INDEX(LOTES!$D$5:$D$1004,MATCH(C59,LOTES!$F$5:$F$1004,0)),"¿Lote?"))</f>
        <v/>
      </c>
      <c r="E59" s="11" t="str">
        <f aca="false">IF(C59="","",IFERROR(INDEX(LOTES!$C$5:$C$1004,MATCH(C59,LOTES!$F$5:$F$1004,0)),""))</f>
        <v/>
      </c>
      <c r="F59" s="27"/>
      <c r="G59" s="27"/>
      <c r="H59" s="27"/>
      <c r="I59" s="20" t="str">
        <f aca="false">IF(AND(ISNUMBER(F59),ISNUMBER(G59),ISNUMBER(H59),F59&gt;G59,H59&gt;0),(F59-H59)/(F59-G59)*1000,"")</f>
        <v/>
      </c>
      <c r="J59" s="17" t="str">
        <f aca="false">IF(AND(ISNUMBER(F59),ISNUMBER(G59),ISNUMBER(H59),F59&gt;G59,H59&gt;0),(F59-H59)/H59,"")</f>
        <v/>
      </c>
      <c r="K59" s="20" t="str">
        <f aca="false">IF(AND(ISNUMBER(F59),ISNUMBER(G59),ISNUMBER(H59),F59&gt;G59,H59&gt;0),H59/(F59-G59)*1000,"")</f>
        <v/>
      </c>
      <c r="L59" s="11" t="str">
        <f aca="false">IF(K59="","",IF(K59&gt;=CONFIG!$E$21,CONFIG!$D$21,IF(K59&gt;=CONFIG!$E$20,CONFIG!$D$20,CONFIG!$D$19)))</f>
        <v/>
      </c>
      <c r="M59" s="20" t="str">
        <f aca="false">IF(K59="","",IF(K59&gt;=CONFIG!$E$21,CONFIG!$F$21,IF(K59&gt;=CONFIG!$E$20,CONFIG!$F$20,CONFIG!$F$19)))</f>
        <v/>
      </c>
      <c r="N59" s="19" t="str">
        <f aca="false">IF(I59="","",IF(I59&lt;=M59,"OK","ALTA"))</f>
        <v/>
      </c>
      <c r="O59" s="13"/>
    </row>
    <row r="60" customFormat="false" ht="15" hidden="false" customHeight="false" outlineLevel="0" collapsed="false">
      <c r="A60" s="11" t="str">
        <f aca="false">IF(C60="","",ROW()-4)</f>
        <v/>
      </c>
      <c r="B60" s="12"/>
      <c r="C60" s="13"/>
      <c r="D60" s="11" t="str">
        <f aca="false">IF(C60="","",IFERROR(INDEX(LOTES!$D$5:$D$1004,MATCH(C60,LOTES!$F$5:$F$1004,0)),"¿Lote?"))</f>
        <v/>
      </c>
      <c r="E60" s="11" t="str">
        <f aca="false">IF(C60="","",IFERROR(INDEX(LOTES!$C$5:$C$1004,MATCH(C60,LOTES!$F$5:$F$1004,0)),""))</f>
        <v/>
      </c>
      <c r="F60" s="27"/>
      <c r="G60" s="27"/>
      <c r="H60" s="27"/>
      <c r="I60" s="20" t="str">
        <f aca="false">IF(AND(ISNUMBER(F60),ISNUMBER(G60),ISNUMBER(H60),F60&gt;G60,H60&gt;0),(F60-H60)/(F60-G60)*1000,"")</f>
        <v/>
      </c>
      <c r="J60" s="17" t="str">
        <f aca="false">IF(AND(ISNUMBER(F60),ISNUMBER(G60),ISNUMBER(H60),F60&gt;G60,H60&gt;0),(F60-H60)/H60,"")</f>
        <v/>
      </c>
      <c r="K60" s="20" t="str">
        <f aca="false">IF(AND(ISNUMBER(F60),ISNUMBER(G60),ISNUMBER(H60),F60&gt;G60,H60&gt;0),H60/(F60-G60)*1000,"")</f>
        <v/>
      </c>
      <c r="L60" s="11" t="str">
        <f aca="false">IF(K60="","",IF(K60&gt;=CONFIG!$E$21,CONFIG!$D$21,IF(K60&gt;=CONFIG!$E$20,CONFIG!$D$20,CONFIG!$D$19)))</f>
        <v/>
      </c>
      <c r="M60" s="20" t="str">
        <f aca="false">IF(K60="","",IF(K60&gt;=CONFIG!$E$21,CONFIG!$F$21,IF(K60&gt;=CONFIG!$E$20,CONFIG!$F$20,CONFIG!$F$19)))</f>
        <v/>
      </c>
      <c r="N60" s="19" t="str">
        <f aca="false">IF(I60="","",IF(I60&lt;=M60,"OK","ALTA"))</f>
        <v/>
      </c>
      <c r="O60" s="13"/>
    </row>
    <row r="61" customFormat="false" ht="15" hidden="false" customHeight="false" outlineLevel="0" collapsed="false">
      <c r="A61" s="11" t="str">
        <f aca="false">IF(C61="","",ROW()-4)</f>
        <v/>
      </c>
      <c r="B61" s="12"/>
      <c r="C61" s="13"/>
      <c r="D61" s="11" t="str">
        <f aca="false">IF(C61="","",IFERROR(INDEX(LOTES!$D$5:$D$1004,MATCH(C61,LOTES!$F$5:$F$1004,0)),"¿Lote?"))</f>
        <v/>
      </c>
      <c r="E61" s="11" t="str">
        <f aca="false">IF(C61="","",IFERROR(INDEX(LOTES!$C$5:$C$1004,MATCH(C61,LOTES!$F$5:$F$1004,0)),""))</f>
        <v/>
      </c>
      <c r="F61" s="27"/>
      <c r="G61" s="27"/>
      <c r="H61" s="27"/>
      <c r="I61" s="20" t="str">
        <f aca="false">IF(AND(ISNUMBER(F61),ISNUMBER(G61),ISNUMBER(H61),F61&gt;G61,H61&gt;0),(F61-H61)/(F61-G61)*1000,"")</f>
        <v/>
      </c>
      <c r="J61" s="17" t="str">
        <f aca="false">IF(AND(ISNUMBER(F61),ISNUMBER(G61),ISNUMBER(H61),F61&gt;G61,H61&gt;0),(F61-H61)/H61,"")</f>
        <v/>
      </c>
      <c r="K61" s="20" t="str">
        <f aca="false">IF(AND(ISNUMBER(F61),ISNUMBER(G61),ISNUMBER(H61),F61&gt;G61,H61&gt;0),H61/(F61-G61)*1000,"")</f>
        <v/>
      </c>
      <c r="L61" s="11" t="str">
        <f aca="false">IF(K61="","",IF(K61&gt;=CONFIG!$E$21,CONFIG!$D$21,IF(K61&gt;=CONFIG!$E$20,CONFIG!$D$20,CONFIG!$D$19)))</f>
        <v/>
      </c>
      <c r="M61" s="20" t="str">
        <f aca="false">IF(K61="","",IF(K61&gt;=CONFIG!$E$21,CONFIG!$F$21,IF(K61&gt;=CONFIG!$E$20,CONFIG!$F$20,CONFIG!$F$19)))</f>
        <v/>
      </c>
      <c r="N61" s="19" t="str">
        <f aca="false">IF(I61="","",IF(I61&lt;=M61,"OK","ALTA"))</f>
        <v/>
      </c>
      <c r="O61" s="13"/>
    </row>
    <row r="62" customFormat="false" ht="15" hidden="false" customHeight="false" outlineLevel="0" collapsed="false">
      <c r="A62" s="11" t="str">
        <f aca="false">IF(C62="","",ROW()-4)</f>
        <v/>
      </c>
      <c r="B62" s="12"/>
      <c r="C62" s="13"/>
      <c r="D62" s="11" t="str">
        <f aca="false">IF(C62="","",IFERROR(INDEX(LOTES!$D$5:$D$1004,MATCH(C62,LOTES!$F$5:$F$1004,0)),"¿Lote?"))</f>
        <v/>
      </c>
      <c r="E62" s="11" t="str">
        <f aca="false">IF(C62="","",IFERROR(INDEX(LOTES!$C$5:$C$1004,MATCH(C62,LOTES!$F$5:$F$1004,0)),""))</f>
        <v/>
      </c>
      <c r="F62" s="27"/>
      <c r="G62" s="27"/>
      <c r="H62" s="27"/>
      <c r="I62" s="20" t="str">
        <f aca="false">IF(AND(ISNUMBER(F62),ISNUMBER(G62),ISNUMBER(H62),F62&gt;G62,H62&gt;0),(F62-H62)/(F62-G62)*1000,"")</f>
        <v/>
      </c>
      <c r="J62" s="17" t="str">
        <f aca="false">IF(AND(ISNUMBER(F62),ISNUMBER(G62),ISNUMBER(H62),F62&gt;G62,H62&gt;0),(F62-H62)/H62,"")</f>
        <v/>
      </c>
      <c r="K62" s="20" t="str">
        <f aca="false">IF(AND(ISNUMBER(F62),ISNUMBER(G62),ISNUMBER(H62),F62&gt;G62,H62&gt;0),H62/(F62-G62)*1000,"")</f>
        <v/>
      </c>
      <c r="L62" s="11" t="str">
        <f aca="false">IF(K62="","",IF(K62&gt;=CONFIG!$E$21,CONFIG!$D$21,IF(K62&gt;=CONFIG!$E$20,CONFIG!$D$20,CONFIG!$D$19)))</f>
        <v/>
      </c>
      <c r="M62" s="20" t="str">
        <f aca="false">IF(K62="","",IF(K62&gt;=CONFIG!$E$21,CONFIG!$F$21,IF(K62&gt;=CONFIG!$E$20,CONFIG!$F$20,CONFIG!$F$19)))</f>
        <v/>
      </c>
      <c r="N62" s="19" t="str">
        <f aca="false">IF(I62="","",IF(I62&lt;=M62,"OK","ALTA"))</f>
        <v/>
      </c>
      <c r="O62" s="13"/>
    </row>
    <row r="63" customFormat="false" ht="15" hidden="false" customHeight="false" outlineLevel="0" collapsed="false">
      <c r="A63" s="11" t="str">
        <f aca="false">IF(C63="","",ROW()-4)</f>
        <v/>
      </c>
      <c r="B63" s="12"/>
      <c r="C63" s="13"/>
      <c r="D63" s="11" t="str">
        <f aca="false">IF(C63="","",IFERROR(INDEX(LOTES!$D$5:$D$1004,MATCH(C63,LOTES!$F$5:$F$1004,0)),"¿Lote?"))</f>
        <v/>
      </c>
      <c r="E63" s="11" t="str">
        <f aca="false">IF(C63="","",IFERROR(INDEX(LOTES!$C$5:$C$1004,MATCH(C63,LOTES!$F$5:$F$1004,0)),""))</f>
        <v/>
      </c>
      <c r="F63" s="27"/>
      <c r="G63" s="27"/>
      <c r="H63" s="27"/>
      <c r="I63" s="20" t="str">
        <f aca="false">IF(AND(ISNUMBER(F63),ISNUMBER(G63),ISNUMBER(H63),F63&gt;G63,H63&gt;0),(F63-H63)/(F63-G63)*1000,"")</f>
        <v/>
      </c>
      <c r="J63" s="17" t="str">
        <f aca="false">IF(AND(ISNUMBER(F63),ISNUMBER(G63),ISNUMBER(H63),F63&gt;G63,H63&gt;0),(F63-H63)/H63,"")</f>
        <v/>
      </c>
      <c r="K63" s="20" t="str">
        <f aca="false">IF(AND(ISNUMBER(F63),ISNUMBER(G63),ISNUMBER(H63),F63&gt;G63,H63&gt;0),H63/(F63-G63)*1000,"")</f>
        <v/>
      </c>
      <c r="L63" s="11" t="str">
        <f aca="false">IF(K63="","",IF(K63&gt;=CONFIG!$E$21,CONFIG!$D$21,IF(K63&gt;=CONFIG!$E$20,CONFIG!$D$20,CONFIG!$D$19)))</f>
        <v/>
      </c>
      <c r="M63" s="20" t="str">
        <f aca="false">IF(K63="","",IF(K63&gt;=CONFIG!$E$21,CONFIG!$F$21,IF(K63&gt;=CONFIG!$E$20,CONFIG!$F$20,CONFIG!$F$19)))</f>
        <v/>
      </c>
      <c r="N63" s="19" t="str">
        <f aca="false">IF(I63="","",IF(I63&lt;=M63,"OK","ALTA"))</f>
        <v/>
      </c>
      <c r="O63" s="13"/>
    </row>
    <row r="64" customFormat="false" ht="15" hidden="false" customHeight="false" outlineLevel="0" collapsed="false">
      <c r="A64" s="11" t="str">
        <f aca="false">IF(C64="","",ROW()-4)</f>
        <v/>
      </c>
      <c r="B64" s="12"/>
      <c r="C64" s="13"/>
      <c r="D64" s="11" t="str">
        <f aca="false">IF(C64="","",IFERROR(INDEX(LOTES!$D$5:$D$1004,MATCH(C64,LOTES!$F$5:$F$1004,0)),"¿Lote?"))</f>
        <v/>
      </c>
      <c r="E64" s="11" t="str">
        <f aca="false">IF(C64="","",IFERROR(INDEX(LOTES!$C$5:$C$1004,MATCH(C64,LOTES!$F$5:$F$1004,0)),""))</f>
        <v/>
      </c>
      <c r="F64" s="27"/>
      <c r="G64" s="27"/>
      <c r="H64" s="27"/>
      <c r="I64" s="20" t="str">
        <f aca="false">IF(AND(ISNUMBER(F64),ISNUMBER(G64),ISNUMBER(H64),F64&gt;G64,H64&gt;0),(F64-H64)/(F64-G64)*1000,"")</f>
        <v/>
      </c>
      <c r="J64" s="17" t="str">
        <f aca="false">IF(AND(ISNUMBER(F64),ISNUMBER(G64),ISNUMBER(H64),F64&gt;G64,H64&gt;0),(F64-H64)/H64,"")</f>
        <v/>
      </c>
      <c r="K64" s="20" t="str">
        <f aca="false">IF(AND(ISNUMBER(F64),ISNUMBER(G64),ISNUMBER(H64),F64&gt;G64,H64&gt;0),H64/(F64-G64)*1000,"")</f>
        <v/>
      </c>
      <c r="L64" s="11" t="str">
        <f aca="false">IF(K64="","",IF(K64&gt;=CONFIG!$E$21,CONFIG!$D$21,IF(K64&gt;=CONFIG!$E$20,CONFIG!$D$20,CONFIG!$D$19)))</f>
        <v/>
      </c>
      <c r="M64" s="20" t="str">
        <f aca="false">IF(K64="","",IF(K64&gt;=CONFIG!$E$21,CONFIG!$F$21,IF(K64&gt;=CONFIG!$E$20,CONFIG!$F$20,CONFIG!$F$19)))</f>
        <v/>
      </c>
      <c r="N64" s="19" t="str">
        <f aca="false">IF(I64="","",IF(I64&lt;=M64,"OK","ALTA"))</f>
        <v/>
      </c>
      <c r="O64" s="13"/>
    </row>
    <row r="65" customFormat="false" ht="15" hidden="false" customHeight="false" outlineLevel="0" collapsed="false">
      <c r="A65" s="11" t="str">
        <f aca="false">IF(C65="","",ROW()-4)</f>
        <v/>
      </c>
      <c r="B65" s="12"/>
      <c r="C65" s="13"/>
      <c r="D65" s="11" t="str">
        <f aca="false">IF(C65="","",IFERROR(INDEX(LOTES!$D$5:$D$1004,MATCH(C65,LOTES!$F$5:$F$1004,0)),"¿Lote?"))</f>
        <v/>
      </c>
      <c r="E65" s="11" t="str">
        <f aca="false">IF(C65="","",IFERROR(INDEX(LOTES!$C$5:$C$1004,MATCH(C65,LOTES!$F$5:$F$1004,0)),""))</f>
        <v/>
      </c>
      <c r="F65" s="27"/>
      <c r="G65" s="27"/>
      <c r="H65" s="27"/>
      <c r="I65" s="20" t="str">
        <f aca="false">IF(AND(ISNUMBER(F65),ISNUMBER(G65),ISNUMBER(H65),F65&gt;G65,H65&gt;0),(F65-H65)/(F65-G65)*1000,"")</f>
        <v/>
      </c>
      <c r="J65" s="17" t="str">
        <f aca="false">IF(AND(ISNUMBER(F65),ISNUMBER(G65),ISNUMBER(H65),F65&gt;G65,H65&gt;0),(F65-H65)/H65,"")</f>
        <v/>
      </c>
      <c r="K65" s="20" t="str">
        <f aca="false">IF(AND(ISNUMBER(F65),ISNUMBER(G65),ISNUMBER(H65),F65&gt;G65,H65&gt;0),H65/(F65-G65)*1000,"")</f>
        <v/>
      </c>
      <c r="L65" s="11" t="str">
        <f aca="false">IF(K65="","",IF(K65&gt;=CONFIG!$E$21,CONFIG!$D$21,IF(K65&gt;=CONFIG!$E$20,CONFIG!$D$20,CONFIG!$D$19)))</f>
        <v/>
      </c>
      <c r="M65" s="20" t="str">
        <f aca="false">IF(K65="","",IF(K65&gt;=CONFIG!$E$21,CONFIG!$F$21,IF(K65&gt;=CONFIG!$E$20,CONFIG!$F$20,CONFIG!$F$19)))</f>
        <v/>
      </c>
      <c r="N65" s="19" t="str">
        <f aca="false">IF(I65="","",IF(I65&lt;=M65,"OK","ALTA"))</f>
        <v/>
      </c>
      <c r="O65" s="13"/>
    </row>
    <row r="66" customFormat="false" ht="15" hidden="false" customHeight="false" outlineLevel="0" collapsed="false">
      <c r="A66" s="11" t="str">
        <f aca="false">IF(C66="","",ROW()-4)</f>
        <v/>
      </c>
      <c r="B66" s="12"/>
      <c r="C66" s="13"/>
      <c r="D66" s="11" t="str">
        <f aca="false">IF(C66="","",IFERROR(INDEX(LOTES!$D$5:$D$1004,MATCH(C66,LOTES!$F$5:$F$1004,0)),"¿Lote?"))</f>
        <v/>
      </c>
      <c r="E66" s="11" t="str">
        <f aca="false">IF(C66="","",IFERROR(INDEX(LOTES!$C$5:$C$1004,MATCH(C66,LOTES!$F$5:$F$1004,0)),""))</f>
        <v/>
      </c>
      <c r="F66" s="27"/>
      <c r="G66" s="27"/>
      <c r="H66" s="27"/>
      <c r="I66" s="20" t="str">
        <f aca="false">IF(AND(ISNUMBER(F66),ISNUMBER(G66),ISNUMBER(H66),F66&gt;G66,H66&gt;0),(F66-H66)/(F66-G66)*1000,"")</f>
        <v/>
      </c>
      <c r="J66" s="17" t="str">
        <f aca="false">IF(AND(ISNUMBER(F66),ISNUMBER(G66),ISNUMBER(H66),F66&gt;G66,H66&gt;0),(F66-H66)/H66,"")</f>
        <v/>
      </c>
      <c r="K66" s="20" t="str">
        <f aca="false">IF(AND(ISNUMBER(F66),ISNUMBER(G66),ISNUMBER(H66),F66&gt;G66,H66&gt;0),H66/(F66-G66)*1000,"")</f>
        <v/>
      </c>
      <c r="L66" s="11" t="str">
        <f aca="false">IF(K66="","",IF(K66&gt;=CONFIG!$E$21,CONFIG!$D$21,IF(K66&gt;=CONFIG!$E$20,CONFIG!$D$20,CONFIG!$D$19)))</f>
        <v/>
      </c>
      <c r="M66" s="20" t="str">
        <f aca="false">IF(K66="","",IF(K66&gt;=CONFIG!$E$21,CONFIG!$F$21,IF(K66&gt;=CONFIG!$E$20,CONFIG!$F$20,CONFIG!$F$19)))</f>
        <v/>
      </c>
      <c r="N66" s="19" t="str">
        <f aca="false">IF(I66="","",IF(I66&lt;=M66,"OK","ALTA"))</f>
        <v/>
      </c>
      <c r="O66" s="13"/>
    </row>
    <row r="67" customFormat="false" ht="15" hidden="false" customHeight="false" outlineLevel="0" collapsed="false">
      <c r="A67" s="11" t="str">
        <f aca="false">IF(C67="","",ROW()-4)</f>
        <v/>
      </c>
      <c r="B67" s="12"/>
      <c r="C67" s="13"/>
      <c r="D67" s="11" t="str">
        <f aca="false">IF(C67="","",IFERROR(INDEX(LOTES!$D$5:$D$1004,MATCH(C67,LOTES!$F$5:$F$1004,0)),"¿Lote?"))</f>
        <v/>
      </c>
      <c r="E67" s="11" t="str">
        <f aca="false">IF(C67="","",IFERROR(INDEX(LOTES!$C$5:$C$1004,MATCH(C67,LOTES!$F$5:$F$1004,0)),""))</f>
        <v/>
      </c>
      <c r="F67" s="27"/>
      <c r="G67" s="27"/>
      <c r="H67" s="27"/>
      <c r="I67" s="20" t="str">
        <f aca="false">IF(AND(ISNUMBER(F67),ISNUMBER(G67),ISNUMBER(H67),F67&gt;G67,H67&gt;0),(F67-H67)/(F67-G67)*1000,"")</f>
        <v/>
      </c>
      <c r="J67" s="17" t="str">
        <f aca="false">IF(AND(ISNUMBER(F67),ISNUMBER(G67),ISNUMBER(H67),F67&gt;G67,H67&gt;0),(F67-H67)/H67,"")</f>
        <v/>
      </c>
      <c r="K67" s="20" t="str">
        <f aca="false">IF(AND(ISNUMBER(F67),ISNUMBER(G67),ISNUMBER(H67),F67&gt;G67,H67&gt;0),H67/(F67-G67)*1000,"")</f>
        <v/>
      </c>
      <c r="L67" s="11" t="str">
        <f aca="false">IF(K67="","",IF(K67&gt;=CONFIG!$E$21,CONFIG!$D$21,IF(K67&gt;=CONFIG!$E$20,CONFIG!$D$20,CONFIG!$D$19)))</f>
        <v/>
      </c>
      <c r="M67" s="20" t="str">
        <f aca="false">IF(K67="","",IF(K67&gt;=CONFIG!$E$21,CONFIG!$F$21,IF(K67&gt;=CONFIG!$E$20,CONFIG!$F$20,CONFIG!$F$19)))</f>
        <v/>
      </c>
      <c r="N67" s="19" t="str">
        <f aca="false">IF(I67="","",IF(I67&lt;=M67,"OK","ALTA"))</f>
        <v/>
      </c>
      <c r="O67" s="13"/>
    </row>
    <row r="68" customFormat="false" ht="15" hidden="false" customHeight="false" outlineLevel="0" collapsed="false">
      <c r="A68" s="11" t="str">
        <f aca="false">IF(C68="","",ROW()-4)</f>
        <v/>
      </c>
      <c r="B68" s="12"/>
      <c r="C68" s="13"/>
      <c r="D68" s="11" t="str">
        <f aca="false">IF(C68="","",IFERROR(INDEX(LOTES!$D$5:$D$1004,MATCH(C68,LOTES!$F$5:$F$1004,0)),"¿Lote?"))</f>
        <v/>
      </c>
      <c r="E68" s="11" t="str">
        <f aca="false">IF(C68="","",IFERROR(INDEX(LOTES!$C$5:$C$1004,MATCH(C68,LOTES!$F$5:$F$1004,0)),""))</f>
        <v/>
      </c>
      <c r="F68" s="27"/>
      <c r="G68" s="27"/>
      <c r="H68" s="27"/>
      <c r="I68" s="20" t="str">
        <f aca="false">IF(AND(ISNUMBER(F68),ISNUMBER(G68),ISNUMBER(H68),F68&gt;G68,H68&gt;0),(F68-H68)/(F68-G68)*1000,"")</f>
        <v/>
      </c>
      <c r="J68" s="17" t="str">
        <f aca="false">IF(AND(ISNUMBER(F68),ISNUMBER(G68),ISNUMBER(H68),F68&gt;G68,H68&gt;0),(F68-H68)/H68,"")</f>
        <v/>
      </c>
      <c r="K68" s="20" t="str">
        <f aca="false">IF(AND(ISNUMBER(F68),ISNUMBER(G68),ISNUMBER(H68),F68&gt;G68,H68&gt;0),H68/(F68-G68)*1000,"")</f>
        <v/>
      </c>
      <c r="L68" s="11" t="str">
        <f aca="false">IF(K68="","",IF(K68&gt;=CONFIG!$E$21,CONFIG!$D$21,IF(K68&gt;=CONFIG!$E$20,CONFIG!$D$20,CONFIG!$D$19)))</f>
        <v/>
      </c>
      <c r="M68" s="20" t="str">
        <f aca="false">IF(K68="","",IF(K68&gt;=CONFIG!$E$21,CONFIG!$F$21,IF(K68&gt;=CONFIG!$E$20,CONFIG!$F$20,CONFIG!$F$19)))</f>
        <v/>
      </c>
      <c r="N68" s="19" t="str">
        <f aca="false">IF(I68="","",IF(I68&lt;=M68,"OK","ALTA"))</f>
        <v/>
      </c>
      <c r="O68" s="13"/>
    </row>
    <row r="69" customFormat="false" ht="15" hidden="false" customHeight="false" outlineLevel="0" collapsed="false">
      <c r="A69" s="11" t="str">
        <f aca="false">IF(C69="","",ROW()-4)</f>
        <v/>
      </c>
      <c r="B69" s="12"/>
      <c r="C69" s="13"/>
      <c r="D69" s="11" t="str">
        <f aca="false">IF(C69="","",IFERROR(INDEX(LOTES!$D$5:$D$1004,MATCH(C69,LOTES!$F$5:$F$1004,0)),"¿Lote?"))</f>
        <v/>
      </c>
      <c r="E69" s="11" t="str">
        <f aca="false">IF(C69="","",IFERROR(INDEX(LOTES!$C$5:$C$1004,MATCH(C69,LOTES!$F$5:$F$1004,0)),""))</f>
        <v/>
      </c>
      <c r="F69" s="27"/>
      <c r="G69" s="27"/>
      <c r="H69" s="27"/>
      <c r="I69" s="20" t="str">
        <f aca="false">IF(AND(ISNUMBER(F69),ISNUMBER(G69),ISNUMBER(H69),F69&gt;G69,H69&gt;0),(F69-H69)/(F69-G69)*1000,"")</f>
        <v/>
      </c>
      <c r="J69" s="17" t="str">
        <f aca="false">IF(AND(ISNUMBER(F69),ISNUMBER(G69),ISNUMBER(H69),F69&gt;G69,H69&gt;0),(F69-H69)/H69,"")</f>
        <v/>
      </c>
      <c r="K69" s="20" t="str">
        <f aca="false">IF(AND(ISNUMBER(F69),ISNUMBER(G69),ISNUMBER(H69),F69&gt;G69,H69&gt;0),H69/(F69-G69)*1000,"")</f>
        <v/>
      </c>
      <c r="L69" s="11" t="str">
        <f aca="false">IF(K69="","",IF(K69&gt;=CONFIG!$E$21,CONFIG!$D$21,IF(K69&gt;=CONFIG!$E$20,CONFIG!$D$20,CONFIG!$D$19)))</f>
        <v/>
      </c>
      <c r="M69" s="20" t="str">
        <f aca="false">IF(K69="","",IF(K69&gt;=CONFIG!$E$21,CONFIG!$F$21,IF(K69&gt;=CONFIG!$E$20,CONFIG!$F$20,CONFIG!$F$19)))</f>
        <v/>
      </c>
      <c r="N69" s="19" t="str">
        <f aca="false">IF(I69="","",IF(I69&lt;=M69,"OK","ALTA"))</f>
        <v/>
      </c>
      <c r="O69" s="13"/>
    </row>
    <row r="70" customFormat="false" ht="15" hidden="false" customHeight="false" outlineLevel="0" collapsed="false">
      <c r="A70" s="11" t="str">
        <f aca="false">IF(C70="","",ROW()-4)</f>
        <v/>
      </c>
      <c r="B70" s="12"/>
      <c r="C70" s="13"/>
      <c r="D70" s="11" t="str">
        <f aca="false">IF(C70="","",IFERROR(INDEX(LOTES!$D$5:$D$1004,MATCH(C70,LOTES!$F$5:$F$1004,0)),"¿Lote?"))</f>
        <v/>
      </c>
      <c r="E70" s="11" t="str">
        <f aca="false">IF(C70="","",IFERROR(INDEX(LOTES!$C$5:$C$1004,MATCH(C70,LOTES!$F$5:$F$1004,0)),""))</f>
        <v/>
      </c>
      <c r="F70" s="27"/>
      <c r="G70" s="27"/>
      <c r="H70" s="27"/>
      <c r="I70" s="20" t="str">
        <f aca="false">IF(AND(ISNUMBER(F70),ISNUMBER(G70),ISNUMBER(H70),F70&gt;G70,H70&gt;0),(F70-H70)/(F70-G70)*1000,"")</f>
        <v/>
      </c>
      <c r="J70" s="17" t="str">
        <f aca="false">IF(AND(ISNUMBER(F70),ISNUMBER(G70),ISNUMBER(H70),F70&gt;G70,H70&gt;0),(F70-H70)/H70,"")</f>
        <v/>
      </c>
      <c r="K70" s="20" t="str">
        <f aca="false">IF(AND(ISNUMBER(F70),ISNUMBER(G70),ISNUMBER(H70),F70&gt;G70,H70&gt;0),H70/(F70-G70)*1000,"")</f>
        <v/>
      </c>
      <c r="L70" s="11" t="str">
        <f aca="false">IF(K70="","",IF(K70&gt;=CONFIG!$E$21,CONFIG!$D$21,IF(K70&gt;=CONFIG!$E$20,CONFIG!$D$20,CONFIG!$D$19)))</f>
        <v/>
      </c>
      <c r="M70" s="20" t="str">
        <f aca="false">IF(K70="","",IF(K70&gt;=CONFIG!$E$21,CONFIG!$F$21,IF(K70&gt;=CONFIG!$E$20,CONFIG!$F$20,CONFIG!$F$19)))</f>
        <v/>
      </c>
      <c r="N70" s="19" t="str">
        <f aca="false">IF(I70="","",IF(I70&lt;=M70,"OK","ALTA"))</f>
        <v/>
      </c>
      <c r="O70" s="13"/>
    </row>
    <row r="71" customFormat="false" ht="15" hidden="false" customHeight="false" outlineLevel="0" collapsed="false">
      <c r="A71" s="11" t="str">
        <f aca="false">IF(C71="","",ROW()-4)</f>
        <v/>
      </c>
      <c r="B71" s="12"/>
      <c r="C71" s="13"/>
      <c r="D71" s="11" t="str">
        <f aca="false">IF(C71="","",IFERROR(INDEX(LOTES!$D$5:$D$1004,MATCH(C71,LOTES!$F$5:$F$1004,0)),"¿Lote?"))</f>
        <v/>
      </c>
      <c r="E71" s="11" t="str">
        <f aca="false">IF(C71="","",IFERROR(INDEX(LOTES!$C$5:$C$1004,MATCH(C71,LOTES!$F$5:$F$1004,0)),""))</f>
        <v/>
      </c>
      <c r="F71" s="27"/>
      <c r="G71" s="27"/>
      <c r="H71" s="27"/>
      <c r="I71" s="20" t="str">
        <f aca="false">IF(AND(ISNUMBER(F71),ISNUMBER(G71),ISNUMBER(H71),F71&gt;G71,H71&gt;0),(F71-H71)/(F71-G71)*1000,"")</f>
        <v/>
      </c>
      <c r="J71" s="17" t="str">
        <f aca="false">IF(AND(ISNUMBER(F71),ISNUMBER(G71),ISNUMBER(H71),F71&gt;G71,H71&gt;0),(F71-H71)/H71,"")</f>
        <v/>
      </c>
      <c r="K71" s="20" t="str">
        <f aca="false">IF(AND(ISNUMBER(F71),ISNUMBER(G71),ISNUMBER(H71),F71&gt;G71,H71&gt;0),H71/(F71-G71)*1000,"")</f>
        <v/>
      </c>
      <c r="L71" s="11" t="str">
        <f aca="false">IF(K71="","",IF(K71&gt;=CONFIG!$E$21,CONFIG!$D$21,IF(K71&gt;=CONFIG!$E$20,CONFIG!$D$20,CONFIG!$D$19)))</f>
        <v/>
      </c>
      <c r="M71" s="20" t="str">
        <f aca="false">IF(K71="","",IF(K71&gt;=CONFIG!$E$21,CONFIG!$F$21,IF(K71&gt;=CONFIG!$E$20,CONFIG!$F$20,CONFIG!$F$19)))</f>
        <v/>
      </c>
      <c r="N71" s="19" t="str">
        <f aca="false">IF(I71="","",IF(I71&lt;=M71,"OK","ALTA"))</f>
        <v/>
      </c>
      <c r="O71" s="13"/>
    </row>
    <row r="72" customFormat="false" ht="15" hidden="false" customHeight="false" outlineLevel="0" collapsed="false">
      <c r="A72" s="11" t="str">
        <f aca="false">IF(C72="","",ROW()-4)</f>
        <v/>
      </c>
      <c r="B72" s="12"/>
      <c r="C72" s="13"/>
      <c r="D72" s="11" t="str">
        <f aca="false">IF(C72="","",IFERROR(INDEX(LOTES!$D$5:$D$1004,MATCH(C72,LOTES!$F$5:$F$1004,0)),"¿Lote?"))</f>
        <v/>
      </c>
      <c r="E72" s="11" t="str">
        <f aca="false">IF(C72="","",IFERROR(INDEX(LOTES!$C$5:$C$1004,MATCH(C72,LOTES!$F$5:$F$1004,0)),""))</f>
        <v/>
      </c>
      <c r="F72" s="27"/>
      <c r="G72" s="27"/>
      <c r="H72" s="27"/>
      <c r="I72" s="20" t="str">
        <f aca="false">IF(AND(ISNUMBER(F72),ISNUMBER(G72),ISNUMBER(H72),F72&gt;G72,H72&gt;0),(F72-H72)/(F72-G72)*1000,"")</f>
        <v/>
      </c>
      <c r="J72" s="17" t="str">
        <f aca="false">IF(AND(ISNUMBER(F72),ISNUMBER(G72),ISNUMBER(H72),F72&gt;G72,H72&gt;0),(F72-H72)/H72,"")</f>
        <v/>
      </c>
      <c r="K72" s="20" t="str">
        <f aca="false">IF(AND(ISNUMBER(F72),ISNUMBER(G72),ISNUMBER(H72),F72&gt;G72,H72&gt;0),H72/(F72-G72)*1000,"")</f>
        <v/>
      </c>
      <c r="L72" s="11" t="str">
        <f aca="false">IF(K72="","",IF(K72&gt;=CONFIG!$E$21,CONFIG!$D$21,IF(K72&gt;=CONFIG!$E$20,CONFIG!$D$20,CONFIG!$D$19)))</f>
        <v/>
      </c>
      <c r="M72" s="20" t="str">
        <f aca="false">IF(K72="","",IF(K72&gt;=CONFIG!$E$21,CONFIG!$F$21,IF(K72&gt;=CONFIG!$E$20,CONFIG!$F$20,CONFIG!$F$19)))</f>
        <v/>
      </c>
      <c r="N72" s="19" t="str">
        <f aca="false">IF(I72="","",IF(I72&lt;=M72,"OK","ALTA"))</f>
        <v/>
      </c>
      <c r="O72" s="13"/>
    </row>
    <row r="73" customFormat="false" ht="15" hidden="false" customHeight="false" outlineLevel="0" collapsed="false">
      <c r="A73" s="11" t="str">
        <f aca="false">IF(C73="","",ROW()-4)</f>
        <v/>
      </c>
      <c r="B73" s="12"/>
      <c r="C73" s="13"/>
      <c r="D73" s="11" t="str">
        <f aca="false">IF(C73="","",IFERROR(INDEX(LOTES!$D$5:$D$1004,MATCH(C73,LOTES!$F$5:$F$1004,0)),"¿Lote?"))</f>
        <v/>
      </c>
      <c r="E73" s="11" t="str">
        <f aca="false">IF(C73="","",IFERROR(INDEX(LOTES!$C$5:$C$1004,MATCH(C73,LOTES!$F$5:$F$1004,0)),""))</f>
        <v/>
      </c>
      <c r="F73" s="27"/>
      <c r="G73" s="27"/>
      <c r="H73" s="27"/>
      <c r="I73" s="20" t="str">
        <f aca="false">IF(AND(ISNUMBER(F73),ISNUMBER(G73),ISNUMBER(H73),F73&gt;G73,H73&gt;0),(F73-H73)/(F73-G73)*1000,"")</f>
        <v/>
      </c>
      <c r="J73" s="17" t="str">
        <f aca="false">IF(AND(ISNUMBER(F73),ISNUMBER(G73),ISNUMBER(H73),F73&gt;G73,H73&gt;0),(F73-H73)/H73,"")</f>
        <v/>
      </c>
      <c r="K73" s="20" t="str">
        <f aca="false">IF(AND(ISNUMBER(F73),ISNUMBER(G73),ISNUMBER(H73),F73&gt;G73,H73&gt;0),H73/(F73-G73)*1000,"")</f>
        <v/>
      </c>
      <c r="L73" s="11" t="str">
        <f aca="false">IF(K73="","",IF(K73&gt;=CONFIG!$E$21,CONFIG!$D$21,IF(K73&gt;=CONFIG!$E$20,CONFIG!$D$20,CONFIG!$D$19)))</f>
        <v/>
      </c>
      <c r="M73" s="20" t="str">
        <f aca="false">IF(K73="","",IF(K73&gt;=CONFIG!$E$21,CONFIG!$F$21,IF(K73&gt;=CONFIG!$E$20,CONFIG!$F$20,CONFIG!$F$19)))</f>
        <v/>
      </c>
      <c r="N73" s="19" t="str">
        <f aca="false">IF(I73="","",IF(I73&lt;=M73,"OK","ALTA"))</f>
        <v/>
      </c>
      <c r="O73" s="13"/>
    </row>
    <row r="74" customFormat="false" ht="15" hidden="false" customHeight="false" outlineLevel="0" collapsed="false">
      <c r="A74" s="11" t="str">
        <f aca="false">IF(C74="","",ROW()-4)</f>
        <v/>
      </c>
      <c r="B74" s="12"/>
      <c r="C74" s="13"/>
      <c r="D74" s="11" t="str">
        <f aca="false">IF(C74="","",IFERROR(INDEX(LOTES!$D$5:$D$1004,MATCH(C74,LOTES!$F$5:$F$1004,0)),"¿Lote?"))</f>
        <v/>
      </c>
      <c r="E74" s="11" t="str">
        <f aca="false">IF(C74="","",IFERROR(INDEX(LOTES!$C$5:$C$1004,MATCH(C74,LOTES!$F$5:$F$1004,0)),""))</f>
        <v/>
      </c>
      <c r="F74" s="27"/>
      <c r="G74" s="27"/>
      <c r="H74" s="27"/>
      <c r="I74" s="20" t="str">
        <f aca="false">IF(AND(ISNUMBER(F74),ISNUMBER(G74),ISNUMBER(H74),F74&gt;G74,H74&gt;0),(F74-H74)/(F74-G74)*1000,"")</f>
        <v/>
      </c>
      <c r="J74" s="17" t="str">
        <f aca="false">IF(AND(ISNUMBER(F74),ISNUMBER(G74),ISNUMBER(H74),F74&gt;G74,H74&gt;0),(F74-H74)/H74,"")</f>
        <v/>
      </c>
      <c r="K74" s="20" t="str">
        <f aca="false">IF(AND(ISNUMBER(F74),ISNUMBER(G74),ISNUMBER(H74),F74&gt;G74,H74&gt;0),H74/(F74-G74)*1000,"")</f>
        <v/>
      </c>
      <c r="L74" s="11" t="str">
        <f aca="false">IF(K74="","",IF(K74&gt;=CONFIG!$E$21,CONFIG!$D$21,IF(K74&gt;=CONFIG!$E$20,CONFIG!$D$20,CONFIG!$D$19)))</f>
        <v/>
      </c>
      <c r="M74" s="20" t="str">
        <f aca="false">IF(K74="","",IF(K74&gt;=CONFIG!$E$21,CONFIG!$F$21,IF(K74&gt;=CONFIG!$E$20,CONFIG!$F$20,CONFIG!$F$19)))</f>
        <v/>
      </c>
      <c r="N74" s="19" t="str">
        <f aca="false">IF(I74="","",IF(I74&lt;=M74,"OK","ALTA"))</f>
        <v/>
      </c>
      <c r="O74" s="13"/>
    </row>
    <row r="75" customFormat="false" ht="15" hidden="false" customHeight="false" outlineLevel="0" collapsed="false">
      <c r="A75" s="11" t="str">
        <f aca="false">IF(C75="","",ROW()-4)</f>
        <v/>
      </c>
      <c r="B75" s="12"/>
      <c r="C75" s="13"/>
      <c r="D75" s="11" t="str">
        <f aca="false">IF(C75="","",IFERROR(INDEX(LOTES!$D$5:$D$1004,MATCH(C75,LOTES!$F$5:$F$1004,0)),"¿Lote?"))</f>
        <v/>
      </c>
      <c r="E75" s="11" t="str">
        <f aca="false">IF(C75="","",IFERROR(INDEX(LOTES!$C$5:$C$1004,MATCH(C75,LOTES!$F$5:$F$1004,0)),""))</f>
        <v/>
      </c>
      <c r="F75" s="27"/>
      <c r="G75" s="27"/>
      <c r="H75" s="27"/>
      <c r="I75" s="20" t="str">
        <f aca="false">IF(AND(ISNUMBER(F75),ISNUMBER(G75),ISNUMBER(H75),F75&gt;G75,H75&gt;0),(F75-H75)/(F75-G75)*1000,"")</f>
        <v/>
      </c>
      <c r="J75" s="17" t="str">
        <f aca="false">IF(AND(ISNUMBER(F75),ISNUMBER(G75),ISNUMBER(H75),F75&gt;G75,H75&gt;0),(F75-H75)/H75,"")</f>
        <v/>
      </c>
      <c r="K75" s="20" t="str">
        <f aca="false">IF(AND(ISNUMBER(F75),ISNUMBER(G75),ISNUMBER(H75),F75&gt;G75,H75&gt;0),H75/(F75-G75)*1000,"")</f>
        <v/>
      </c>
      <c r="L75" s="11" t="str">
        <f aca="false">IF(K75="","",IF(K75&gt;=CONFIG!$E$21,CONFIG!$D$21,IF(K75&gt;=CONFIG!$E$20,CONFIG!$D$20,CONFIG!$D$19)))</f>
        <v/>
      </c>
      <c r="M75" s="20" t="str">
        <f aca="false">IF(K75="","",IF(K75&gt;=CONFIG!$E$21,CONFIG!$F$21,IF(K75&gt;=CONFIG!$E$20,CONFIG!$F$20,CONFIG!$F$19)))</f>
        <v/>
      </c>
      <c r="N75" s="19" t="str">
        <f aca="false">IF(I75="","",IF(I75&lt;=M75,"OK","ALTA"))</f>
        <v/>
      </c>
      <c r="O75" s="13"/>
    </row>
    <row r="76" customFormat="false" ht="15" hidden="false" customHeight="false" outlineLevel="0" collapsed="false">
      <c r="A76" s="11" t="str">
        <f aca="false">IF(C76="","",ROW()-4)</f>
        <v/>
      </c>
      <c r="B76" s="12"/>
      <c r="C76" s="13"/>
      <c r="D76" s="11" t="str">
        <f aca="false">IF(C76="","",IFERROR(INDEX(LOTES!$D$5:$D$1004,MATCH(C76,LOTES!$F$5:$F$1004,0)),"¿Lote?"))</f>
        <v/>
      </c>
      <c r="E76" s="11" t="str">
        <f aca="false">IF(C76="","",IFERROR(INDEX(LOTES!$C$5:$C$1004,MATCH(C76,LOTES!$F$5:$F$1004,0)),""))</f>
        <v/>
      </c>
      <c r="F76" s="27"/>
      <c r="G76" s="27"/>
      <c r="H76" s="27"/>
      <c r="I76" s="20" t="str">
        <f aca="false">IF(AND(ISNUMBER(F76),ISNUMBER(G76),ISNUMBER(H76),F76&gt;G76,H76&gt;0),(F76-H76)/(F76-G76)*1000,"")</f>
        <v/>
      </c>
      <c r="J76" s="17" t="str">
        <f aca="false">IF(AND(ISNUMBER(F76),ISNUMBER(G76),ISNUMBER(H76),F76&gt;G76,H76&gt;0),(F76-H76)/H76,"")</f>
        <v/>
      </c>
      <c r="K76" s="20" t="str">
        <f aca="false">IF(AND(ISNUMBER(F76),ISNUMBER(G76),ISNUMBER(H76),F76&gt;G76,H76&gt;0),H76/(F76-G76)*1000,"")</f>
        <v/>
      </c>
      <c r="L76" s="11" t="str">
        <f aca="false">IF(K76="","",IF(K76&gt;=CONFIG!$E$21,CONFIG!$D$21,IF(K76&gt;=CONFIG!$E$20,CONFIG!$D$20,CONFIG!$D$19)))</f>
        <v/>
      </c>
      <c r="M76" s="20" t="str">
        <f aca="false">IF(K76="","",IF(K76&gt;=CONFIG!$E$21,CONFIG!$F$21,IF(K76&gt;=CONFIG!$E$20,CONFIG!$F$20,CONFIG!$F$19)))</f>
        <v/>
      </c>
      <c r="N76" s="19" t="str">
        <f aca="false">IF(I76="","",IF(I76&lt;=M76,"OK","ALTA"))</f>
        <v/>
      </c>
      <c r="O76" s="13"/>
    </row>
    <row r="77" customFormat="false" ht="15" hidden="false" customHeight="false" outlineLevel="0" collapsed="false">
      <c r="A77" s="11" t="str">
        <f aca="false">IF(C77="","",ROW()-4)</f>
        <v/>
      </c>
      <c r="B77" s="12"/>
      <c r="C77" s="13"/>
      <c r="D77" s="11" t="str">
        <f aca="false">IF(C77="","",IFERROR(INDEX(LOTES!$D$5:$D$1004,MATCH(C77,LOTES!$F$5:$F$1004,0)),"¿Lote?"))</f>
        <v/>
      </c>
      <c r="E77" s="11" t="str">
        <f aca="false">IF(C77="","",IFERROR(INDEX(LOTES!$C$5:$C$1004,MATCH(C77,LOTES!$F$5:$F$1004,0)),""))</f>
        <v/>
      </c>
      <c r="F77" s="27"/>
      <c r="G77" s="27"/>
      <c r="H77" s="27"/>
      <c r="I77" s="20" t="str">
        <f aca="false">IF(AND(ISNUMBER(F77),ISNUMBER(G77),ISNUMBER(H77),F77&gt;G77,H77&gt;0),(F77-H77)/(F77-G77)*1000,"")</f>
        <v/>
      </c>
      <c r="J77" s="17" t="str">
        <f aca="false">IF(AND(ISNUMBER(F77),ISNUMBER(G77),ISNUMBER(H77),F77&gt;G77,H77&gt;0),(F77-H77)/H77,"")</f>
        <v/>
      </c>
      <c r="K77" s="20" t="str">
        <f aca="false">IF(AND(ISNUMBER(F77),ISNUMBER(G77),ISNUMBER(H77),F77&gt;G77,H77&gt;0),H77/(F77-G77)*1000,"")</f>
        <v/>
      </c>
      <c r="L77" s="11" t="str">
        <f aca="false">IF(K77="","",IF(K77&gt;=CONFIG!$E$21,CONFIG!$D$21,IF(K77&gt;=CONFIG!$E$20,CONFIG!$D$20,CONFIG!$D$19)))</f>
        <v/>
      </c>
      <c r="M77" s="20" t="str">
        <f aca="false">IF(K77="","",IF(K77&gt;=CONFIG!$E$21,CONFIG!$F$21,IF(K77&gt;=CONFIG!$E$20,CONFIG!$F$20,CONFIG!$F$19)))</f>
        <v/>
      </c>
      <c r="N77" s="19" t="str">
        <f aca="false">IF(I77="","",IF(I77&lt;=M77,"OK","ALTA"))</f>
        <v/>
      </c>
      <c r="O77" s="13"/>
    </row>
    <row r="78" customFormat="false" ht="15" hidden="false" customHeight="false" outlineLevel="0" collapsed="false">
      <c r="A78" s="11" t="str">
        <f aca="false">IF(C78="","",ROW()-4)</f>
        <v/>
      </c>
      <c r="B78" s="12"/>
      <c r="C78" s="13"/>
      <c r="D78" s="11" t="str">
        <f aca="false">IF(C78="","",IFERROR(INDEX(LOTES!$D$5:$D$1004,MATCH(C78,LOTES!$F$5:$F$1004,0)),"¿Lote?"))</f>
        <v/>
      </c>
      <c r="E78" s="11" t="str">
        <f aca="false">IF(C78="","",IFERROR(INDEX(LOTES!$C$5:$C$1004,MATCH(C78,LOTES!$F$5:$F$1004,0)),""))</f>
        <v/>
      </c>
      <c r="F78" s="27"/>
      <c r="G78" s="27"/>
      <c r="H78" s="27"/>
      <c r="I78" s="20" t="str">
        <f aca="false">IF(AND(ISNUMBER(F78),ISNUMBER(G78),ISNUMBER(H78),F78&gt;G78,H78&gt;0),(F78-H78)/(F78-G78)*1000,"")</f>
        <v/>
      </c>
      <c r="J78" s="17" t="str">
        <f aca="false">IF(AND(ISNUMBER(F78),ISNUMBER(G78),ISNUMBER(H78),F78&gt;G78,H78&gt;0),(F78-H78)/H78,"")</f>
        <v/>
      </c>
      <c r="K78" s="20" t="str">
        <f aca="false">IF(AND(ISNUMBER(F78),ISNUMBER(G78),ISNUMBER(H78),F78&gt;G78,H78&gt;0),H78/(F78-G78)*1000,"")</f>
        <v/>
      </c>
      <c r="L78" s="11" t="str">
        <f aca="false">IF(K78="","",IF(K78&gt;=CONFIG!$E$21,CONFIG!$D$21,IF(K78&gt;=CONFIG!$E$20,CONFIG!$D$20,CONFIG!$D$19)))</f>
        <v/>
      </c>
      <c r="M78" s="20" t="str">
        <f aca="false">IF(K78="","",IF(K78&gt;=CONFIG!$E$21,CONFIG!$F$21,IF(K78&gt;=CONFIG!$E$20,CONFIG!$F$20,CONFIG!$F$19)))</f>
        <v/>
      </c>
      <c r="N78" s="19" t="str">
        <f aca="false">IF(I78="","",IF(I78&lt;=M78,"OK","ALTA"))</f>
        <v/>
      </c>
      <c r="O78" s="13"/>
    </row>
    <row r="79" customFormat="false" ht="15" hidden="false" customHeight="false" outlineLevel="0" collapsed="false">
      <c r="A79" s="11" t="str">
        <f aca="false">IF(C79="","",ROW()-4)</f>
        <v/>
      </c>
      <c r="B79" s="12"/>
      <c r="C79" s="13"/>
      <c r="D79" s="11" t="str">
        <f aca="false">IF(C79="","",IFERROR(INDEX(LOTES!$D$5:$D$1004,MATCH(C79,LOTES!$F$5:$F$1004,0)),"¿Lote?"))</f>
        <v/>
      </c>
      <c r="E79" s="11" t="str">
        <f aca="false">IF(C79="","",IFERROR(INDEX(LOTES!$C$5:$C$1004,MATCH(C79,LOTES!$F$5:$F$1004,0)),""))</f>
        <v/>
      </c>
      <c r="F79" s="27"/>
      <c r="G79" s="27"/>
      <c r="H79" s="27"/>
      <c r="I79" s="20" t="str">
        <f aca="false">IF(AND(ISNUMBER(F79),ISNUMBER(G79),ISNUMBER(H79),F79&gt;G79,H79&gt;0),(F79-H79)/(F79-G79)*1000,"")</f>
        <v/>
      </c>
      <c r="J79" s="17" t="str">
        <f aca="false">IF(AND(ISNUMBER(F79),ISNUMBER(G79),ISNUMBER(H79),F79&gt;G79,H79&gt;0),(F79-H79)/H79,"")</f>
        <v/>
      </c>
      <c r="K79" s="20" t="str">
        <f aca="false">IF(AND(ISNUMBER(F79),ISNUMBER(G79),ISNUMBER(H79),F79&gt;G79,H79&gt;0),H79/(F79-G79)*1000,"")</f>
        <v/>
      </c>
      <c r="L79" s="11" t="str">
        <f aca="false">IF(K79="","",IF(K79&gt;=CONFIG!$E$21,CONFIG!$D$21,IF(K79&gt;=CONFIG!$E$20,CONFIG!$D$20,CONFIG!$D$19)))</f>
        <v/>
      </c>
      <c r="M79" s="20" t="str">
        <f aca="false">IF(K79="","",IF(K79&gt;=CONFIG!$E$21,CONFIG!$F$21,IF(K79&gt;=CONFIG!$E$20,CONFIG!$F$20,CONFIG!$F$19)))</f>
        <v/>
      </c>
      <c r="N79" s="19" t="str">
        <f aca="false">IF(I79="","",IF(I79&lt;=M79,"OK","ALTA"))</f>
        <v/>
      </c>
      <c r="O79" s="13"/>
    </row>
    <row r="80" customFormat="false" ht="15" hidden="false" customHeight="false" outlineLevel="0" collapsed="false">
      <c r="A80" s="11" t="str">
        <f aca="false">IF(C80="","",ROW()-4)</f>
        <v/>
      </c>
      <c r="B80" s="12"/>
      <c r="C80" s="13"/>
      <c r="D80" s="11" t="str">
        <f aca="false">IF(C80="","",IFERROR(INDEX(LOTES!$D$5:$D$1004,MATCH(C80,LOTES!$F$5:$F$1004,0)),"¿Lote?"))</f>
        <v/>
      </c>
      <c r="E80" s="11" t="str">
        <f aca="false">IF(C80="","",IFERROR(INDEX(LOTES!$C$5:$C$1004,MATCH(C80,LOTES!$F$5:$F$1004,0)),""))</f>
        <v/>
      </c>
      <c r="F80" s="27"/>
      <c r="G80" s="27"/>
      <c r="H80" s="27"/>
      <c r="I80" s="20" t="str">
        <f aca="false">IF(AND(ISNUMBER(F80),ISNUMBER(G80),ISNUMBER(H80),F80&gt;G80,H80&gt;0),(F80-H80)/(F80-G80)*1000,"")</f>
        <v/>
      </c>
      <c r="J80" s="17" t="str">
        <f aca="false">IF(AND(ISNUMBER(F80),ISNUMBER(G80),ISNUMBER(H80),F80&gt;G80,H80&gt;0),(F80-H80)/H80,"")</f>
        <v/>
      </c>
      <c r="K80" s="20" t="str">
        <f aca="false">IF(AND(ISNUMBER(F80),ISNUMBER(G80),ISNUMBER(H80),F80&gt;G80,H80&gt;0),H80/(F80-G80)*1000,"")</f>
        <v/>
      </c>
      <c r="L80" s="11" t="str">
        <f aca="false">IF(K80="","",IF(K80&gt;=CONFIG!$E$21,CONFIG!$D$21,IF(K80&gt;=CONFIG!$E$20,CONFIG!$D$20,CONFIG!$D$19)))</f>
        <v/>
      </c>
      <c r="M80" s="20" t="str">
        <f aca="false">IF(K80="","",IF(K80&gt;=CONFIG!$E$21,CONFIG!$F$21,IF(K80&gt;=CONFIG!$E$20,CONFIG!$F$20,CONFIG!$F$19)))</f>
        <v/>
      </c>
      <c r="N80" s="19" t="str">
        <f aca="false">IF(I80="","",IF(I80&lt;=M80,"OK","ALTA"))</f>
        <v/>
      </c>
      <c r="O80" s="13"/>
    </row>
    <row r="81" customFormat="false" ht="15" hidden="false" customHeight="false" outlineLevel="0" collapsed="false">
      <c r="A81" s="11" t="str">
        <f aca="false">IF(C81="","",ROW()-4)</f>
        <v/>
      </c>
      <c r="B81" s="12"/>
      <c r="C81" s="13"/>
      <c r="D81" s="11" t="str">
        <f aca="false">IF(C81="","",IFERROR(INDEX(LOTES!$D$5:$D$1004,MATCH(C81,LOTES!$F$5:$F$1004,0)),"¿Lote?"))</f>
        <v/>
      </c>
      <c r="E81" s="11" t="str">
        <f aca="false">IF(C81="","",IFERROR(INDEX(LOTES!$C$5:$C$1004,MATCH(C81,LOTES!$F$5:$F$1004,0)),""))</f>
        <v/>
      </c>
      <c r="F81" s="27"/>
      <c r="G81" s="27"/>
      <c r="H81" s="27"/>
      <c r="I81" s="20" t="str">
        <f aca="false">IF(AND(ISNUMBER(F81),ISNUMBER(G81),ISNUMBER(H81),F81&gt;G81,H81&gt;0),(F81-H81)/(F81-G81)*1000,"")</f>
        <v/>
      </c>
      <c r="J81" s="17" t="str">
        <f aca="false">IF(AND(ISNUMBER(F81),ISNUMBER(G81),ISNUMBER(H81),F81&gt;G81,H81&gt;0),(F81-H81)/H81,"")</f>
        <v/>
      </c>
      <c r="K81" s="20" t="str">
        <f aca="false">IF(AND(ISNUMBER(F81),ISNUMBER(G81),ISNUMBER(H81),F81&gt;G81,H81&gt;0),H81/(F81-G81)*1000,"")</f>
        <v/>
      </c>
      <c r="L81" s="11" t="str">
        <f aca="false">IF(K81="","",IF(K81&gt;=CONFIG!$E$21,CONFIG!$D$21,IF(K81&gt;=CONFIG!$E$20,CONFIG!$D$20,CONFIG!$D$19)))</f>
        <v/>
      </c>
      <c r="M81" s="20" t="str">
        <f aca="false">IF(K81="","",IF(K81&gt;=CONFIG!$E$21,CONFIG!$F$21,IF(K81&gt;=CONFIG!$E$20,CONFIG!$F$20,CONFIG!$F$19)))</f>
        <v/>
      </c>
      <c r="N81" s="19" t="str">
        <f aca="false">IF(I81="","",IF(I81&lt;=M81,"OK","ALTA"))</f>
        <v/>
      </c>
      <c r="O81" s="13"/>
    </row>
    <row r="82" customFormat="false" ht="15" hidden="false" customHeight="false" outlineLevel="0" collapsed="false">
      <c r="A82" s="11" t="str">
        <f aca="false">IF(C82="","",ROW()-4)</f>
        <v/>
      </c>
      <c r="B82" s="12"/>
      <c r="C82" s="13"/>
      <c r="D82" s="11" t="str">
        <f aca="false">IF(C82="","",IFERROR(INDEX(LOTES!$D$5:$D$1004,MATCH(C82,LOTES!$F$5:$F$1004,0)),"¿Lote?"))</f>
        <v/>
      </c>
      <c r="E82" s="11" t="str">
        <f aca="false">IF(C82="","",IFERROR(INDEX(LOTES!$C$5:$C$1004,MATCH(C82,LOTES!$F$5:$F$1004,0)),""))</f>
        <v/>
      </c>
      <c r="F82" s="27"/>
      <c r="G82" s="27"/>
      <c r="H82" s="27"/>
      <c r="I82" s="20" t="str">
        <f aca="false">IF(AND(ISNUMBER(F82),ISNUMBER(G82),ISNUMBER(H82),F82&gt;G82,H82&gt;0),(F82-H82)/(F82-G82)*1000,"")</f>
        <v/>
      </c>
      <c r="J82" s="17" t="str">
        <f aca="false">IF(AND(ISNUMBER(F82),ISNUMBER(G82),ISNUMBER(H82),F82&gt;G82,H82&gt;0),(F82-H82)/H82,"")</f>
        <v/>
      </c>
      <c r="K82" s="20" t="str">
        <f aca="false">IF(AND(ISNUMBER(F82),ISNUMBER(G82),ISNUMBER(H82),F82&gt;G82,H82&gt;0),H82/(F82-G82)*1000,"")</f>
        <v/>
      </c>
      <c r="L82" s="11" t="str">
        <f aca="false">IF(K82="","",IF(K82&gt;=CONFIG!$E$21,CONFIG!$D$21,IF(K82&gt;=CONFIG!$E$20,CONFIG!$D$20,CONFIG!$D$19)))</f>
        <v/>
      </c>
      <c r="M82" s="20" t="str">
        <f aca="false">IF(K82="","",IF(K82&gt;=CONFIG!$E$21,CONFIG!$F$21,IF(K82&gt;=CONFIG!$E$20,CONFIG!$F$20,CONFIG!$F$19)))</f>
        <v/>
      </c>
      <c r="N82" s="19" t="str">
        <f aca="false">IF(I82="","",IF(I82&lt;=M82,"OK","ALTA"))</f>
        <v/>
      </c>
      <c r="O82" s="13"/>
    </row>
    <row r="83" customFormat="false" ht="15" hidden="false" customHeight="false" outlineLevel="0" collapsed="false">
      <c r="A83" s="11" t="str">
        <f aca="false">IF(C83="","",ROW()-4)</f>
        <v/>
      </c>
      <c r="B83" s="12"/>
      <c r="C83" s="13"/>
      <c r="D83" s="11" t="str">
        <f aca="false">IF(C83="","",IFERROR(INDEX(LOTES!$D$5:$D$1004,MATCH(C83,LOTES!$F$5:$F$1004,0)),"¿Lote?"))</f>
        <v/>
      </c>
      <c r="E83" s="11" t="str">
        <f aca="false">IF(C83="","",IFERROR(INDEX(LOTES!$C$5:$C$1004,MATCH(C83,LOTES!$F$5:$F$1004,0)),""))</f>
        <v/>
      </c>
      <c r="F83" s="27"/>
      <c r="G83" s="27"/>
      <c r="H83" s="27"/>
      <c r="I83" s="20" t="str">
        <f aca="false">IF(AND(ISNUMBER(F83),ISNUMBER(G83),ISNUMBER(H83),F83&gt;G83,H83&gt;0),(F83-H83)/(F83-G83)*1000,"")</f>
        <v/>
      </c>
      <c r="J83" s="17" t="str">
        <f aca="false">IF(AND(ISNUMBER(F83),ISNUMBER(G83),ISNUMBER(H83),F83&gt;G83,H83&gt;0),(F83-H83)/H83,"")</f>
        <v/>
      </c>
      <c r="K83" s="20" t="str">
        <f aca="false">IF(AND(ISNUMBER(F83),ISNUMBER(G83),ISNUMBER(H83),F83&gt;G83,H83&gt;0),H83/(F83-G83)*1000,"")</f>
        <v/>
      </c>
      <c r="L83" s="11" t="str">
        <f aca="false">IF(K83="","",IF(K83&gt;=CONFIG!$E$21,CONFIG!$D$21,IF(K83&gt;=CONFIG!$E$20,CONFIG!$D$20,CONFIG!$D$19)))</f>
        <v/>
      </c>
      <c r="M83" s="20" t="str">
        <f aca="false">IF(K83="","",IF(K83&gt;=CONFIG!$E$21,CONFIG!$F$21,IF(K83&gt;=CONFIG!$E$20,CONFIG!$F$20,CONFIG!$F$19)))</f>
        <v/>
      </c>
      <c r="N83" s="19" t="str">
        <f aca="false">IF(I83="","",IF(I83&lt;=M83,"OK","ALTA"))</f>
        <v/>
      </c>
      <c r="O83" s="13"/>
    </row>
    <row r="84" customFormat="false" ht="15" hidden="false" customHeight="false" outlineLevel="0" collapsed="false">
      <c r="A84" s="11" t="str">
        <f aca="false">IF(C84="","",ROW()-4)</f>
        <v/>
      </c>
      <c r="B84" s="12"/>
      <c r="C84" s="13"/>
      <c r="D84" s="11" t="str">
        <f aca="false">IF(C84="","",IFERROR(INDEX(LOTES!$D$5:$D$1004,MATCH(C84,LOTES!$F$5:$F$1004,0)),"¿Lote?"))</f>
        <v/>
      </c>
      <c r="E84" s="11" t="str">
        <f aca="false">IF(C84="","",IFERROR(INDEX(LOTES!$C$5:$C$1004,MATCH(C84,LOTES!$F$5:$F$1004,0)),""))</f>
        <v/>
      </c>
      <c r="F84" s="27"/>
      <c r="G84" s="27"/>
      <c r="H84" s="27"/>
      <c r="I84" s="20" t="str">
        <f aca="false">IF(AND(ISNUMBER(F84),ISNUMBER(G84),ISNUMBER(H84),F84&gt;G84,H84&gt;0),(F84-H84)/(F84-G84)*1000,"")</f>
        <v/>
      </c>
      <c r="J84" s="17" t="str">
        <f aca="false">IF(AND(ISNUMBER(F84),ISNUMBER(G84),ISNUMBER(H84),F84&gt;G84,H84&gt;0),(F84-H84)/H84,"")</f>
        <v/>
      </c>
      <c r="K84" s="20" t="str">
        <f aca="false">IF(AND(ISNUMBER(F84),ISNUMBER(G84),ISNUMBER(H84),F84&gt;G84,H84&gt;0),H84/(F84-G84)*1000,"")</f>
        <v/>
      </c>
      <c r="L84" s="11" t="str">
        <f aca="false">IF(K84="","",IF(K84&gt;=CONFIG!$E$21,CONFIG!$D$21,IF(K84&gt;=CONFIG!$E$20,CONFIG!$D$20,CONFIG!$D$19)))</f>
        <v/>
      </c>
      <c r="M84" s="20" t="str">
        <f aca="false">IF(K84="","",IF(K84&gt;=CONFIG!$E$21,CONFIG!$F$21,IF(K84&gt;=CONFIG!$E$20,CONFIG!$F$20,CONFIG!$F$19)))</f>
        <v/>
      </c>
      <c r="N84" s="19" t="str">
        <f aca="false">IF(I84="","",IF(I84&lt;=M84,"OK","ALTA"))</f>
        <v/>
      </c>
      <c r="O84" s="13"/>
    </row>
    <row r="85" customFormat="false" ht="15" hidden="false" customHeight="false" outlineLevel="0" collapsed="false">
      <c r="A85" s="11" t="str">
        <f aca="false">IF(C85="","",ROW()-4)</f>
        <v/>
      </c>
      <c r="B85" s="12"/>
      <c r="C85" s="13"/>
      <c r="D85" s="11" t="str">
        <f aca="false">IF(C85="","",IFERROR(INDEX(LOTES!$D$5:$D$1004,MATCH(C85,LOTES!$F$5:$F$1004,0)),"¿Lote?"))</f>
        <v/>
      </c>
      <c r="E85" s="11" t="str">
        <f aca="false">IF(C85="","",IFERROR(INDEX(LOTES!$C$5:$C$1004,MATCH(C85,LOTES!$F$5:$F$1004,0)),""))</f>
        <v/>
      </c>
      <c r="F85" s="27"/>
      <c r="G85" s="27"/>
      <c r="H85" s="27"/>
      <c r="I85" s="20" t="str">
        <f aca="false">IF(AND(ISNUMBER(F85),ISNUMBER(G85),ISNUMBER(H85),F85&gt;G85,H85&gt;0),(F85-H85)/(F85-G85)*1000,"")</f>
        <v/>
      </c>
      <c r="J85" s="17" t="str">
        <f aca="false">IF(AND(ISNUMBER(F85),ISNUMBER(G85),ISNUMBER(H85),F85&gt;G85,H85&gt;0),(F85-H85)/H85,"")</f>
        <v/>
      </c>
      <c r="K85" s="20" t="str">
        <f aca="false">IF(AND(ISNUMBER(F85),ISNUMBER(G85),ISNUMBER(H85),F85&gt;G85,H85&gt;0),H85/(F85-G85)*1000,"")</f>
        <v/>
      </c>
      <c r="L85" s="11" t="str">
        <f aca="false">IF(K85="","",IF(K85&gt;=CONFIG!$E$21,CONFIG!$D$21,IF(K85&gt;=CONFIG!$E$20,CONFIG!$D$20,CONFIG!$D$19)))</f>
        <v/>
      </c>
      <c r="M85" s="20" t="str">
        <f aca="false">IF(K85="","",IF(K85&gt;=CONFIG!$E$21,CONFIG!$F$21,IF(K85&gt;=CONFIG!$E$20,CONFIG!$F$20,CONFIG!$F$19)))</f>
        <v/>
      </c>
      <c r="N85" s="19" t="str">
        <f aca="false">IF(I85="","",IF(I85&lt;=M85,"OK","ALTA"))</f>
        <v/>
      </c>
      <c r="O85" s="13"/>
    </row>
    <row r="86" customFormat="false" ht="15" hidden="false" customHeight="false" outlineLevel="0" collapsed="false">
      <c r="A86" s="11" t="str">
        <f aca="false">IF(C86="","",ROW()-4)</f>
        <v/>
      </c>
      <c r="B86" s="12"/>
      <c r="C86" s="13"/>
      <c r="D86" s="11" t="str">
        <f aca="false">IF(C86="","",IFERROR(INDEX(LOTES!$D$5:$D$1004,MATCH(C86,LOTES!$F$5:$F$1004,0)),"¿Lote?"))</f>
        <v/>
      </c>
      <c r="E86" s="11" t="str">
        <f aca="false">IF(C86="","",IFERROR(INDEX(LOTES!$C$5:$C$1004,MATCH(C86,LOTES!$F$5:$F$1004,0)),""))</f>
        <v/>
      </c>
      <c r="F86" s="27"/>
      <c r="G86" s="27"/>
      <c r="H86" s="27"/>
      <c r="I86" s="20" t="str">
        <f aca="false">IF(AND(ISNUMBER(F86),ISNUMBER(G86),ISNUMBER(H86),F86&gt;G86,H86&gt;0),(F86-H86)/(F86-G86)*1000,"")</f>
        <v/>
      </c>
      <c r="J86" s="17" t="str">
        <f aca="false">IF(AND(ISNUMBER(F86),ISNUMBER(G86),ISNUMBER(H86),F86&gt;G86,H86&gt;0),(F86-H86)/H86,"")</f>
        <v/>
      </c>
      <c r="K86" s="20" t="str">
        <f aca="false">IF(AND(ISNUMBER(F86),ISNUMBER(G86),ISNUMBER(H86),F86&gt;G86,H86&gt;0),H86/(F86-G86)*1000,"")</f>
        <v/>
      </c>
      <c r="L86" s="11" t="str">
        <f aca="false">IF(K86="","",IF(K86&gt;=CONFIG!$E$21,CONFIG!$D$21,IF(K86&gt;=CONFIG!$E$20,CONFIG!$D$20,CONFIG!$D$19)))</f>
        <v/>
      </c>
      <c r="M86" s="20" t="str">
        <f aca="false">IF(K86="","",IF(K86&gt;=CONFIG!$E$21,CONFIG!$F$21,IF(K86&gt;=CONFIG!$E$20,CONFIG!$F$20,CONFIG!$F$19)))</f>
        <v/>
      </c>
      <c r="N86" s="19" t="str">
        <f aca="false">IF(I86="","",IF(I86&lt;=M86,"OK","ALTA"))</f>
        <v/>
      </c>
      <c r="O86" s="13"/>
    </row>
    <row r="87" customFormat="false" ht="15" hidden="false" customHeight="false" outlineLevel="0" collapsed="false">
      <c r="A87" s="11" t="str">
        <f aca="false">IF(C87="","",ROW()-4)</f>
        <v/>
      </c>
      <c r="B87" s="12"/>
      <c r="C87" s="13"/>
      <c r="D87" s="11" t="str">
        <f aca="false">IF(C87="","",IFERROR(INDEX(LOTES!$D$5:$D$1004,MATCH(C87,LOTES!$F$5:$F$1004,0)),"¿Lote?"))</f>
        <v/>
      </c>
      <c r="E87" s="11" t="str">
        <f aca="false">IF(C87="","",IFERROR(INDEX(LOTES!$C$5:$C$1004,MATCH(C87,LOTES!$F$5:$F$1004,0)),""))</f>
        <v/>
      </c>
      <c r="F87" s="27"/>
      <c r="G87" s="27"/>
      <c r="H87" s="27"/>
      <c r="I87" s="20" t="str">
        <f aca="false">IF(AND(ISNUMBER(F87),ISNUMBER(G87),ISNUMBER(H87),F87&gt;G87,H87&gt;0),(F87-H87)/(F87-G87)*1000,"")</f>
        <v/>
      </c>
      <c r="J87" s="17" t="str">
        <f aca="false">IF(AND(ISNUMBER(F87),ISNUMBER(G87),ISNUMBER(H87),F87&gt;G87,H87&gt;0),(F87-H87)/H87,"")</f>
        <v/>
      </c>
      <c r="K87" s="20" t="str">
        <f aca="false">IF(AND(ISNUMBER(F87),ISNUMBER(G87),ISNUMBER(H87),F87&gt;G87,H87&gt;0),H87/(F87-G87)*1000,"")</f>
        <v/>
      </c>
      <c r="L87" s="11" t="str">
        <f aca="false">IF(K87="","",IF(K87&gt;=CONFIG!$E$21,CONFIG!$D$21,IF(K87&gt;=CONFIG!$E$20,CONFIG!$D$20,CONFIG!$D$19)))</f>
        <v/>
      </c>
      <c r="M87" s="20" t="str">
        <f aca="false">IF(K87="","",IF(K87&gt;=CONFIG!$E$21,CONFIG!$F$21,IF(K87&gt;=CONFIG!$E$20,CONFIG!$F$20,CONFIG!$F$19)))</f>
        <v/>
      </c>
      <c r="N87" s="19" t="str">
        <f aca="false">IF(I87="","",IF(I87&lt;=M87,"OK","ALTA"))</f>
        <v/>
      </c>
      <c r="O87" s="13"/>
    </row>
    <row r="88" customFormat="false" ht="15" hidden="false" customHeight="false" outlineLevel="0" collapsed="false">
      <c r="A88" s="11" t="str">
        <f aca="false">IF(C88="","",ROW()-4)</f>
        <v/>
      </c>
      <c r="B88" s="12"/>
      <c r="C88" s="13"/>
      <c r="D88" s="11" t="str">
        <f aca="false">IF(C88="","",IFERROR(INDEX(LOTES!$D$5:$D$1004,MATCH(C88,LOTES!$F$5:$F$1004,0)),"¿Lote?"))</f>
        <v/>
      </c>
      <c r="E88" s="11" t="str">
        <f aca="false">IF(C88="","",IFERROR(INDEX(LOTES!$C$5:$C$1004,MATCH(C88,LOTES!$F$5:$F$1004,0)),""))</f>
        <v/>
      </c>
      <c r="F88" s="27"/>
      <c r="G88" s="27"/>
      <c r="H88" s="27"/>
      <c r="I88" s="20" t="str">
        <f aca="false">IF(AND(ISNUMBER(F88),ISNUMBER(G88),ISNUMBER(H88),F88&gt;G88,H88&gt;0),(F88-H88)/(F88-G88)*1000,"")</f>
        <v/>
      </c>
      <c r="J88" s="17" t="str">
        <f aca="false">IF(AND(ISNUMBER(F88),ISNUMBER(G88),ISNUMBER(H88),F88&gt;G88,H88&gt;0),(F88-H88)/H88,"")</f>
        <v/>
      </c>
      <c r="K88" s="20" t="str">
        <f aca="false">IF(AND(ISNUMBER(F88),ISNUMBER(G88),ISNUMBER(H88),F88&gt;G88,H88&gt;0),H88/(F88-G88)*1000,"")</f>
        <v/>
      </c>
      <c r="L88" s="11" t="str">
        <f aca="false">IF(K88="","",IF(K88&gt;=CONFIG!$E$21,CONFIG!$D$21,IF(K88&gt;=CONFIG!$E$20,CONFIG!$D$20,CONFIG!$D$19)))</f>
        <v/>
      </c>
      <c r="M88" s="20" t="str">
        <f aca="false">IF(K88="","",IF(K88&gt;=CONFIG!$E$21,CONFIG!$F$21,IF(K88&gt;=CONFIG!$E$20,CONFIG!$F$20,CONFIG!$F$19)))</f>
        <v/>
      </c>
      <c r="N88" s="19" t="str">
        <f aca="false">IF(I88="","",IF(I88&lt;=M88,"OK","ALTA"))</f>
        <v/>
      </c>
      <c r="O88" s="13"/>
    </row>
    <row r="89" customFormat="false" ht="15" hidden="false" customHeight="false" outlineLevel="0" collapsed="false">
      <c r="A89" s="11" t="str">
        <f aca="false">IF(C89="","",ROW()-4)</f>
        <v/>
      </c>
      <c r="B89" s="12"/>
      <c r="C89" s="13"/>
      <c r="D89" s="11" t="str">
        <f aca="false">IF(C89="","",IFERROR(INDEX(LOTES!$D$5:$D$1004,MATCH(C89,LOTES!$F$5:$F$1004,0)),"¿Lote?"))</f>
        <v/>
      </c>
      <c r="E89" s="11" t="str">
        <f aca="false">IF(C89="","",IFERROR(INDEX(LOTES!$C$5:$C$1004,MATCH(C89,LOTES!$F$5:$F$1004,0)),""))</f>
        <v/>
      </c>
      <c r="F89" s="27"/>
      <c r="G89" s="27"/>
      <c r="H89" s="27"/>
      <c r="I89" s="20" t="str">
        <f aca="false">IF(AND(ISNUMBER(F89),ISNUMBER(G89),ISNUMBER(H89),F89&gt;G89,H89&gt;0),(F89-H89)/(F89-G89)*1000,"")</f>
        <v/>
      </c>
      <c r="J89" s="17" t="str">
        <f aca="false">IF(AND(ISNUMBER(F89),ISNUMBER(G89),ISNUMBER(H89),F89&gt;G89,H89&gt;0),(F89-H89)/H89,"")</f>
        <v/>
      </c>
      <c r="K89" s="20" t="str">
        <f aca="false">IF(AND(ISNUMBER(F89),ISNUMBER(G89),ISNUMBER(H89),F89&gt;G89,H89&gt;0),H89/(F89-G89)*1000,"")</f>
        <v/>
      </c>
      <c r="L89" s="11" t="str">
        <f aca="false">IF(K89="","",IF(K89&gt;=CONFIG!$E$21,CONFIG!$D$21,IF(K89&gt;=CONFIG!$E$20,CONFIG!$D$20,CONFIG!$D$19)))</f>
        <v/>
      </c>
      <c r="M89" s="20" t="str">
        <f aca="false">IF(K89="","",IF(K89&gt;=CONFIG!$E$21,CONFIG!$F$21,IF(K89&gt;=CONFIG!$E$20,CONFIG!$F$20,CONFIG!$F$19)))</f>
        <v/>
      </c>
      <c r="N89" s="19" t="str">
        <f aca="false">IF(I89="","",IF(I89&lt;=M89,"OK","ALTA"))</f>
        <v/>
      </c>
      <c r="O89" s="13"/>
    </row>
    <row r="90" customFormat="false" ht="15" hidden="false" customHeight="false" outlineLevel="0" collapsed="false">
      <c r="A90" s="11" t="str">
        <f aca="false">IF(C90="","",ROW()-4)</f>
        <v/>
      </c>
      <c r="B90" s="12"/>
      <c r="C90" s="13"/>
      <c r="D90" s="11" t="str">
        <f aca="false">IF(C90="","",IFERROR(INDEX(LOTES!$D$5:$D$1004,MATCH(C90,LOTES!$F$5:$F$1004,0)),"¿Lote?"))</f>
        <v/>
      </c>
      <c r="E90" s="11" t="str">
        <f aca="false">IF(C90="","",IFERROR(INDEX(LOTES!$C$5:$C$1004,MATCH(C90,LOTES!$F$5:$F$1004,0)),""))</f>
        <v/>
      </c>
      <c r="F90" s="27"/>
      <c r="G90" s="27"/>
      <c r="H90" s="27"/>
      <c r="I90" s="20" t="str">
        <f aca="false">IF(AND(ISNUMBER(F90),ISNUMBER(G90),ISNUMBER(H90),F90&gt;G90,H90&gt;0),(F90-H90)/(F90-G90)*1000,"")</f>
        <v/>
      </c>
      <c r="J90" s="17" t="str">
        <f aca="false">IF(AND(ISNUMBER(F90),ISNUMBER(G90),ISNUMBER(H90),F90&gt;G90,H90&gt;0),(F90-H90)/H90,"")</f>
        <v/>
      </c>
      <c r="K90" s="20" t="str">
        <f aca="false">IF(AND(ISNUMBER(F90),ISNUMBER(G90),ISNUMBER(H90),F90&gt;G90,H90&gt;0),H90/(F90-G90)*1000,"")</f>
        <v/>
      </c>
      <c r="L90" s="11" t="str">
        <f aca="false">IF(K90="","",IF(K90&gt;=CONFIG!$E$21,CONFIG!$D$21,IF(K90&gt;=CONFIG!$E$20,CONFIG!$D$20,CONFIG!$D$19)))</f>
        <v/>
      </c>
      <c r="M90" s="20" t="str">
        <f aca="false">IF(K90="","",IF(K90&gt;=CONFIG!$E$21,CONFIG!$F$21,IF(K90&gt;=CONFIG!$E$20,CONFIG!$F$20,CONFIG!$F$19)))</f>
        <v/>
      </c>
      <c r="N90" s="19" t="str">
        <f aca="false">IF(I90="","",IF(I90&lt;=M90,"OK","ALTA"))</f>
        <v/>
      </c>
      <c r="O90" s="13"/>
    </row>
    <row r="91" customFormat="false" ht="15" hidden="false" customHeight="false" outlineLevel="0" collapsed="false">
      <c r="A91" s="11" t="str">
        <f aca="false">IF(C91="","",ROW()-4)</f>
        <v/>
      </c>
      <c r="B91" s="12"/>
      <c r="C91" s="13"/>
      <c r="D91" s="11" t="str">
        <f aca="false">IF(C91="","",IFERROR(INDEX(LOTES!$D$5:$D$1004,MATCH(C91,LOTES!$F$5:$F$1004,0)),"¿Lote?"))</f>
        <v/>
      </c>
      <c r="E91" s="11" t="str">
        <f aca="false">IF(C91="","",IFERROR(INDEX(LOTES!$C$5:$C$1004,MATCH(C91,LOTES!$F$5:$F$1004,0)),""))</f>
        <v/>
      </c>
      <c r="F91" s="27"/>
      <c r="G91" s="27"/>
      <c r="H91" s="27"/>
      <c r="I91" s="20" t="str">
        <f aca="false">IF(AND(ISNUMBER(F91),ISNUMBER(G91),ISNUMBER(H91),F91&gt;G91,H91&gt;0),(F91-H91)/(F91-G91)*1000,"")</f>
        <v/>
      </c>
      <c r="J91" s="17" t="str">
        <f aca="false">IF(AND(ISNUMBER(F91),ISNUMBER(G91),ISNUMBER(H91),F91&gt;G91,H91&gt;0),(F91-H91)/H91,"")</f>
        <v/>
      </c>
      <c r="K91" s="20" t="str">
        <f aca="false">IF(AND(ISNUMBER(F91),ISNUMBER(G91),ISNUMBER(H91),F91&gt;G91,H91&gt;0),H91/(F91-G91)*1000,"")</f>
        <v/>
      </c>
      <c r="L91" s="11" t="str">
        <f aca="false">IF(K91="","",IF(K91&gt;=CONFIG!$E$21,CONFIG!$D$21,IF(K91&gt;=CONFIG!$E$20,CONFIG!$D$20,CONFIG!$D$19)))</f>
        <v/>
      </c>
      <c r="M91" s="20" t="str">
        <f aca="false">IF(K91="","",IF(K91&gt;=CONFIG!$E$21,CONFIG!$F$21,IF(K91&gt;=CONFIG!$E$20,CONFIG!$F$20,CONFIG!$F$19)))</f>
        <v/>
      </c>
      <c r="N91" s="19" t="str">
        <f aca="false">IF(I91="","",IF(I91&lt;=M91,"OK","ALTA"))</f>
        <v/>
      </c>
      <c r="O91" s="13"/>
    </row>
    <row r="92" customFormat="false" ht="15" hidden="false" customHeight="false" outlineLevel="0" collapsed="false">
      <c r="A92" s="11" t="str">
        <f aca="false">IF(C92="","",ROW()-4)</f>
        <v/>
      </c>
      <c r="B92" s="12"/>
      <c r="C92" s="13"/>
      <c r="D92" s="11" t="str">
        <f aca="false">IF(C92="","",IFERROR(INDEX(LOTES!$D$5:$D$1004,MATCH(C92,LOTES!$F$5:$F$1004,0)),"¿Lote?"))</f>
        <v/>
      </c>
      <c r="E92" s="11" t="str">
        <f aca="false">IF(C92="","",IFERROR(INDEX(LOTES!$C$5:$C$1004,MATCH(C92,LOTES!$F$5:$F$1004,0)),""))</f>
        <v/>
      </c>
      <c r="F92" s="27"/>
      <c r="G92" s="27"/>
      <c r="H92" s="27"/>
      <c r="I92" s="20" t="str">
        <f aca="false">IF(AND(ISNUMBER(F92),ISNUMBER(G92),ISNUMBER(H92),F92&gt;G92,H92&gt;0),(F92-H92)/(F92-G92)*1000,"")</f>
        <v/>
      </c>
      <c r="J92" s="17" t="str">
        <f aca="false">IF(AND(ISNUMBER(F92),ISNUMBER(G92),ISNUMBER(H92),F92&gt;G92,H92&gt;0),(F92-H92)/H92,"")</f>
        <v/>
      </c>
      <c r="K92" s="20" t="str">
        <f aca="false">IF(AND(ISNUMBER(F92),ISNUMBER(G92),ISNUMBER(H92),F92&gt;G92,H92&gt;0),H92/(F92-G92)*1000,"")</f>
        <v/>
      </c>
      <c r="L92" s="11" t="str">
        <f aca="false">IF(K92="","",IF(K92&gt;=CONFIG!$E$21,CONFIG!$D$21,IF(K92&gt;=CONFIG!$E$20,CONFIG!$D$20,CONFIG!$D$19)))</f>
        <v/>
      </c>
      <c r="M92" s="20" t="str">
        <f aca="false">IF(K92="","",IF(K92&gt;=CONFIG!$E$21,CONFIG!$F$21,IF(K92&gt;=CONFIG!$E$20,CONFIG!$F$20,CONFIG!$F$19)))</f>
        <v/>
      </c>
      <c r="N92" s="19" t="str">
        <f aca="false">IF(I92="","",IF(I92&lt;=M92,"OK","ALTA"))</f>
        <v/>
      </c>
      <c r="O92" s="13"/>
    </row>
    <row r="93" customFormat="false" ht="15" hidden="false" customHeight="false" outlineLevel="0" collapsed="false">
      <c r="A93" s="11" t="str">
        <f aca="false">IF(C93="","",ROW()-4)</f>
        <v/>
      </c>
      <c r="B93" s="12"/>
      <c r="C93" s="13"/>
      <c r="D93" s="11" t="str">
        <f aca="false">IF(C93="","",IFERROR(INDEX(LOTES!$D$5:$D$1004,MATCH(C93,LOTES!$F$5:$F$1004,0)),"¿Lote?"))</f>
        <v/>
      </c>
      <c r="E93" s="11" t="str">
        <f aca="false">IF(C93="","",IFERROR(INDEX(LOTES!$C$5:$C$1004,MATCH(C93,LOTES!$F$5:$F$1004,0)),""))</f>
        <v/>
      </c>
      <c r="F93" s="27"/>
      <c r="G93" s="27"/>
      <c r="H93" s="27"/>
      <c r="I93" s="20" t="str">
        <f aca="false">IF(AND(ISNUMBER(F93),ISNUMBER(G93),ISNUMBER(H93),F93&gt;G93,H93&gt;0),(F93-H93)/(F93-G93)*1000,"")</f>
        <v/>
      </c>
      <c r="J93" s="17" t="str">
        <f aca="false">IF(AND(ISNUMBER(F93),ISNUMBER(G93),ISNUMBER(H93),F93&gt;G93,H93&gt;0),(F93-H93)/H93,"")</f>
        <v/>
      </c>
      <c r="K93" s="20" t="str">
        <f aca="false">IF(AND(ISNUMBER(F93),ISNUMBER(G93),ISNUMBER(H93),F93&gt;G93,H93&gt;0),H93/(F93-G93)*1000,"")</f>
        <v/>
      </c>
      <c r="L93" s="11" t="str">
        <f aca="false">IF(K93="","",IF(K93&gt;=CONFIG!$E$21,CONFIG!$D$21,IF(K93&gt;=CONFIG!$E$20,CONFIG!$D$20,CONFIG!$D$19)))</f>
        <v/>
      </c>
      <c r="M93" s="20" t="str">
        <f aca="false">IF(K93="","",IF(K93&gt;=CONFIG!$E$21,CONFIG!$F$21,IF(K93&gt;=CONFIG!$E$20,CONFIG!$F$20,CONFIG!$F$19)))</f>
        <v/>
      </c>
      <c r="N93" s="19" t="str">
        <f aca="false">IF(I93="","",IF(I93&lt;=M93,"OK","ALTA"))</f>
        <v/>
      </c>
      <c r="O93" s="13"/>
    </row>
    <row r="94" customFormat="false" ht="15" hidden="false" customHeight="false" outlineLevel="0" collapsed="false">
      <c r="A94" s="11" t="str">
        <f aca="false">IF(C94="","",ROW()-4)</f>
        <v/>
      </c>
      <c r="B94" s="12"/>
      <c r="C94" s="13"/>
      <c r="D94" s="11" t="str">
        <f aca="false">IF(C94="","",IFERROR(INDEX(LOTES!$D$5:$D$1004,MATCH(C94,LOTES!$F$5:$F$1004,0)),"¿Lote?"))</f>
        <v/>
      </c>
      <c r="E94" s="11" t="str">
        <f aca="false">IF(C94="","",IFERROR(INDEX(LOTES!$C$5:$C$1004,MATCH(C94,LOTES!$F$5:$F$1004,0)),""))</f>
        <v/>
      </c>
      <c r="F94" s="27"/>
      <c r="G94" s="27"/>
      <c r="H94" s="27"/>
      <c r="I94" s="20" t="str">
        <f aca="false">IF(AND(ISNUMBER(F94),ISNUMBER(G94),ISNUMBER(H94),F94&gt;G94,H94&gt;0),(F94-H94)/(F94-G94)*1000,"")</f>
        <v/>
      </c>
      <c r="J94" s="17" t="str">
        <f aca="false">IF(AND(ISNUMBER(F94),ISNUMBER(G94),ISNUMBER(H94),F94&gt;G94,H94&gt;0),(F94-H94)/H94,"")</f>
        <v/>
      </c>
      <c r="K94" s="20" t="str">
        <f aca="false">IF(AND(ISNUMBER(F94),ISNUMBER(G94),ISNUMBER(H94),F94&gt;G94,H94&gt;0),H94/(F94-G94)*1000,"")</f>
        <v/>
      </c>
      <c r="L94" s="11" t="str">
        <f aca="false">IF(K94="","",IF(K94&gt;=CONFIG!$E$21,CONFIG!$D$21,IF(K94&gt;=CONFIG!$E$20,CONFIG!$D$20,CONFIG!$D$19)))</f>
        <v/>
      </c>
      <c r="M94" s="20" t="str">
        <f aca="false">IF(K94="","",IF(K94&gt;=CONFIG!$E$21,CONFIG!$F$21,IF(K94&gt;=CONFIG!$E$20,CONFIG!$F$20,CONFIG!$F$19)))</f>
        <v/>
      </c>
      <c r="N94" s="19" t="str">
        <f aca="false">IF(I94="","",IF(I94&lt;=M94,"OK","ALTA"))</f>
        <v/>
      </c>
      <c r="O94" s="13"/>
    </row>
    <row r="95" customFormat="false" ht="15" hidden="false" customHeight="false" outlineLevel="0" collapsed="false">
      <c r="A95" s="11" t="str">
        <f aca="false">IF(C95="","",ROW()-4)</f>
        <v/>
      </c>
      <c r="B95" s="12"/>
      <c r="C95" s="13"/>
      <c r="D95" s="11" t="str">
        <f aca="false">IF(C95="","",IFERROR(INDEX(LOTES!$D$5:$D$1004,MATCH(C95,LOTES!$F$5:$F$1004,0)),"¿Lote?"))</f>
        <v/>
      </c>
      <c r="E95" s="11" t="str">
        <f aca="false">IF(C95="","",IFERROR(INDEX(LOTES!$C$5:$C$1004,MATCH(C95,LOTES!$F$5:$F$1004,0)),""))</f>
        <v/>
      </c>
      <c r="F95" s="27"/>
      <c r="G95" s="27"/>
      <c r="H95" s="27"/>
      <c r="I95" s="20" t="str">
        <f aca="false">IF(AND(ISNUMBER(F95),ISNUMBER(G95),ISNUMBER(H95),F95&gt;G95,H95&gt;0),(F95-H95)/(F95-G95)*1000,"")</f>
        <v/>
      </c>
      <c r="J95" s="17" t="str">
        <f aca="false">IF(AND(ISNUMBER(F95),ISNUMBER(G95),ISNUMBER(H95),F95&gt;G95,H95&gt;0),(F95-H95)/H95,"")</f>
        <v/>
      </c>
      <c r="K95" s="20" t="str">
        <f aca="false">IF(AND(ISNUMBER(F95),ISNUMBER(G95),ISNUMBER(H95),F95&gt;G95,H95&gt;0),H95/(F95-G95)*1000,"")</f>
        <v/>
      </c>
      <c r="L95" s="11" t="str">
        <f aca="false">IF(K95="","",IF(K95&gt;=CONFIG!$E$21,CONFIG!$D$21,IF(K95&gt;=CONFIG!$E$20,CONFIG!$D$20,CONFIG!$D$19)))</f>
        <v/>
      </c>
      <c r="M95" s="20" t="str">
        <f aca="false">IF(K95="","",IF(K95&gt;=CONFIG!$E$21,CONFIG!$F$21,IF(K95&gt;=CONFIG!$E$20,CONFIG!$F$20,CONFIG!$F$19)))</f>
        <v/>
      </c>
      <c r="N95" s="19" t="str">
        <f aca="false">IF(I95="","",IF(I95&lt;=M95,"OK","ALTA"))</f>
        <v/>
      </c>
      <c r="O95" s="13"/>
    </row>
    <row r="96" customFormat="false" ht="15" hidden="false" customHeight="false" outlineLevel="0" collapsed="false">
      <c r="A96" s="11" t="str">
        <f aca="false">IF(C96="","",ROW()-4)</f>
        <v/>
      </c>
      <c r="B96" s="12"/>
      <c r="C96" s="13"/>
      <c r="D96" s="11" t="str">
        <f aca="false">IF(C96="","",IFERROR(INDEX(LOTES!$D$5:$D$1004,MATCH(C96,LOTES!$F$5:$F$1004,0)),"¿Lote?"))</f>
        <v/>
      </c>
      <c r="E96" s="11" t="str">
        <f aca="false">IF(C96="","",IFERROR(INDEX(LOTES!$C$5:$C$1004,MATCH(C96,LOTES!$F$5:$F$1004,0)),""))</f>
        <v/>
      </c>
      <c r="F96" s="27"/>
      <c r="G96" s="27"/>
      <c r="H96" s="27"/>
      <c r="I96" s="20" t="str">
        <f aca="false">IF(AND(ISNUMBER(F96),ISNUMBER(G96),ISNUMBER(H96),F96&gt;G96,H96&gt;0),(F96-H96)/(F96-G96)*1000,"")</f>
        <v/>
      </c>
      <c r="J96" s="17" t="str">
        <f aca="false">IF(AND(ISNUMBER(F96),ISNUMBER(G96),ISNUMBER(H96),F96&gt;G96,H96&gt;0),(F96-H96)/H96,"")</f>
        <v/>
      </c>
      <c r="K96" s="20" t="str">
        <f aca="false">IF(AND(ISNUMBER(F96),ISNUMBER(G96),ISNUMBER(H96),F96&gt;G96,H96&gt;0),H96/(F96-G96)*1000,"")</f>
        <v/>
      </c>
      <c r="L96" s="11" t="str">
        <f aca="false">IF(K96="","",IF(K96&gt;=CONFIG!$E$21,CONFIG!$D$21,IF(K96&gt;=CONFIG!$E$20,CONFIG!$D$20,CONFIG!$D$19)))</f>
        <v/>
      </c>
      <c r="M96" s="20" t="str">
        <f aca="false">IF(K96="","",IF(K96&gt;=CONFIG!$E$21,CONFIG!$F$21,IF(K96&gt;=CONFIG!$E$20,CONFIG!$F$20,CONFIG!$F$19)))</f>
        <v/>
      </c>
      <c r="N96" s="19" t="str">
        <f aca="false">IF(I96="","",IF(I96&lt;=M96,"OK","ALTA"))</f>
        <v/>
      </c>
      <c r="O96" s="13"/>
    </row>
    <row r="97" customFormat="false" ht="15" hidden="false" customHeight="false" outlineLevel="0" collapsed="false">
      <c r="A97" s="11" t="str">
        <f aca="false">IF(C97="","",ROW()-4)</f>
        <v/>
      </c>
      <c r="B97" s="12"/>
      <c r="C97" s="13"/>
      <c r="D97" s="11" t="str">
        <f aca="false">IF(C97="","",IFERROR(INDEX(LOTES!$D$5:$D$1004,MATCH(C97,LOTES!$F$5:$F$1004,0)),"¿Lote?"))</f>
        <v/>
      </c>
      <c r="E97" s="11" t="str">
        <f aca="false">IF(C97="","",IFERROR(INDEX(LOTES!$C$5:$C$1004,MATCH(C97,LOTES!$F$5:$F$1004,0)),""))</f>
        <v/>
      </c>
      <c r="F97" s="27"/>
      <c r="G97" s="27"/>
      <c r="H97" s="27"/>
      <c r="I97" s="20" t="str">
        <f aca="false">IF(AND(ISNUMBER(F97),ISNUMBER(G97),ISNUMBER(H97),F97&gt;G97,H97&gt;0),(F97-H97)/(F97-G97)*1000,"")</f>
        <v/>
      </c>
      <c r="J97" s="17" t="str">
        <f aca="false">IF(AND(ISNUMBER(F97),ISNUMBER(G97),ISNUMBER(H97),F97&gt;G97,H97&gt;0),(F97-H97)/H97,"")</f>
        <v/>
      </c>
      <c r="K97" s="20" t="str">
        <f aca="false">IF(AND(ISNUMBER(F97),ISNUMBER(G97),ISNUMBER(H97),F97&gt;G97,H97&gt;0),H97/(F97-G97)*1000,"")</f>
        <v/>
      </c>
      <c r="L97" s="11" t="str">
        <f aca="false">IF(K97="","",IF(K97&gt;=CONFIG!$E$21,CONFIG!$D$21,IF(K97&gt;=CONFIG!$E$20,CONFIG!$D$20,CONFIG!$D$19)))</f>
        <v/>
      </c>
      <c r="M97" s="20" t="str">
        <f aca="false">IF(K97="","",IF(K97&gt;=CONFIG!$E$21,CONFIG!$F$21,IF(K97&gt;=CONFIG!$E$20,CONFIG!$F$20,CONFIG!$F$19)))</f>
        <v/>
      </c>
      <c r="N97" s="19" t="str">
        <f aca="false">IF(I97="","",IF(I97&lt;=M97,"OK","ALTA"))</f>
        <v/>
      </c>
      <c r="O97" s="13"/>
    </row>
    <row r="98" customFormat="false" ht="15" hidden="false" customHeight="false" outlineLevel="0" collapsed="false">
      <c r="A98" s="11" t="str">
        <f aca="false">IF(C98="","",ROW()-4)</f>
        <v/>
      </c>
      <c r="B98" s="12"/>
      <c r="C98" s="13"/>
      <c r="D98" s="11" t="str">
        <f aca="false">IF(C98="","",IFERROR(INDEX(LOTES!$D$5:$D$1004,MATCH(C98,LOTES!$F$5:$F$1004,0)),"¿Lote?"))</f>
        <v/>
      </c>
      <c r="E98" s="11" t="str">
        <f aca="false">IF(C98="","",IFERROR(INDEX(LOTES!$C$5:$C$1004,MATCH(C98,LOTES!$F$5:$F$1004,0)),""))</f>
        <v/>
      </c>
      <c r="F98" s="27"/>
      <c r="G98" s="27"/>
      <c r="H98" s="27"/>
      <c r="I98" s="20" t="str">
        <f aca="false">IF(AND(ISNUMBER(F98),ISNUMBER(G98),ISNUMBER(H98),F98&gt;G98,H98&gt;0),(F98-H98)/(F98-G98)*1000,"")</f>
        <v/>
      </c>
      <c r="J98" s="17" t="str">
        <f aca="false">IF(AND(ISNUMBER(F98),ISNUMBER(G98),ISNUMBER(H98),F98&gt;G98,H98&gt;0),(F98-H98)/H98,"")</f>
        <v/>
      </c>
      <c r="K98" s="20" t="str">
        <f aca="false">IF(AND(ISNUMBER(F98),ISNUMBER(G98),ISNUMBER(H98),F98&gt;G98,H98&gt;0),H98/(F98-G98)*1000,"")</f>
        <v/>
      </c>
      <c r="L98" s="11" t="str">
        <f aca="false">IF(K98="","",IF(K98&gt;=CONFIG!$E$21,CONFIG!$D$21,IF(K98&gt;=CONFIG!$E$20,CONFIG!$D$20,CONFIG!$D$19)))</f>
        <v/>
      </c>
      <c r="M98" s="20" t="str">
        <f aca="false">IF(K98="","",IF(K98&gt;=CONFIG!$E$21,CONFIG!$F$21,IF(K98&gt;=CONFIG!$E$20,CONFIG!$F$20,CONFIG!$F$19)))</f>
        <v/>
      </c>
      <c r="N98" s="19" t="str">
        <f aca="false">IF(I98="","",IF(I98&lt;=M98,"OK","ALTA"))</f>
        <v/>
      </c>
      <c r="O98" s="13"/>
    </row>
    <row r="99" customFormat="false" ht="15" hidden="false" customHeight="false" outlineLevel="0" collapsed="false">
      <c r="A99" s="11" t="str">
        <f aca="false">IF(C99="","",ROW()-4)</f>
        <v/>
      </c>
      <c r="B99" s="12"/>
      <c r="C99" s="13"/>
      <c r="D99" s="11" t="str">
        <f aca="false">IF(C99="","",IFERROR(INDEX(LOTES!$D$5:$D$1004,MATCH(C99,LOTES!$F$5:$F$1004,0)),"¿Lote?"))</f>
        <v/>
      </c>
      <c r="E99" s="11" t="str">
        <f aca="false">IF(C99="","",IFERROR(INDEX(LOTES!$C$5:$C$1004,MATCH(C99,LOTES!$F$5:$F$1004,0)),""))</f>
        <v/>
      </c>
      <c r="F99" s="27"/>
      <c r="G99" s="27"/>
      <c r="H99" s="27"/>
      <c r="I99" s="20" t="str">
        <f aca="false">IF(AND(ISNUMBER(F99),ISNUMBER(G99),ISNUMBER(H99),F99&gt;G99,H99&gt;0),(F99-H99)/(F99-G99)*1000,"")</f>
        <v/>
      </c>
      <c r="J99" s="17" t="str">
        <f aca="false">IF(AND(ISNUMBER(F99),ISNUMBER(G99),ISNUMBER(H99),F99&gt;G99,H99&gt;0),(F99-H99)/H99,"")</f>
        <v/>
      </c>
      <c r="K99" s="20" t="str">
        <f aca="false">IF(AND(ISNUMBER(F99),ISNUMBER(G99),ISNUMBER(H99),F99&gt;G99,H99&gt;0),H99/(F99-G99)*1000,"")</f>
        <v/>
      </c>
      <c r="L99" s="11" t="str">
        <f aca="false">IF(K99="","",IF(K99&gt;=CONFIG!$E$21,CONFIG!$D$21,IF(K99&gt;=CONFIG!$E$20,CONFIG!$D$20,CONFIG!$D$19)))</f>
        <v/>
      </c>
      <c r="M99" s="20" t="str">
        <f aca="false">IF(K99="","",IF(K99&gt;=CONFIG!$E$21,CONFIG!$F$21,IF(K99&gt;=CONFIG!$E$20,CONFIG!$F$20,CONFIG!$F$19)))</f>
        <v/>
      </c>
      <c r="N99" s="19" t="str">
        <f aca="false">IF(I99="","",IF(I99&lt;=M99,"OK","ALTA"))</f>
        <v/>
      </c>
      <c r="O99" s="13"/>
    </row>
    <row r="100" customFormat="false" ht="15" hidden="false" customHeight="false" outlineLevel="0" collapsed="false">
      <c r="A100" s="11" t="str">
        <f aca="false">IF(C100="","",ROW()-4)</f>
        <v/>
      </c>
      <c r="B100" s="12"/>
      <c r="C100" s="13"/>
      <c r="D100" s="11" t="str">
        <f aca="false">IF(C100="","",IFERROR(INDEX(LOTES!$D$5:$D$1004,MATCH(C100,LOTES!$F$5:$F$1004,0)),"¿Lote?"))</f>
        <v/>
      </c>
      <c r="E100" s="11" t="str">
        <f aca="false">IF(C100="","",IFERROR(INDEX(LOTES!$C$5:$C$1004,MATCH(C100,LOTES!$F$5:$F$1004,0)),""))</f>
        <v/>
      </c>
      <c r="F100" s="27"/>
      <c r="G100" s="27"/>
      <c r="H100" s="27"/>
      <c r="I100" s="20" t="str">
        <f aca="false">IF(AND(ISNUMBER(F100),ISNUMBER(G100),ISNUMBER(H100),F100&gt;G100,H100&gt;0),(F100-H100)/(F100-G100)*1000,"")</f>
        <v/>
      </c>
      <c r="J100" s="17" t="str">
        <f aca="false">IF(AND(ISNUMBER(F100),ISNUMBER(G100),ISNUMBER(H100),F100&gt;G100,H100&gt;0),(F100-H100)/H100,"")</f>
        <v/>
      </c>
      <c r="K100" s="20" t="str">
        <f aca="false">IF(AND(ISNUMBER(F100),ISNUMBER(G100),ISNUMBER(H100),F100&gt;G100,H100&gt;0),H100/(F100-G100)*1000,"")</f>
        <v/>
      </c>
      <c r="L100" s="11" t="str">
        <f aca="false">IF(K100="","",IF(K100&gt;=CONFIG!$E$21,CONFIG!$D$21,IF(K100&gt;=CONFIG!$E$20,CONFIG!$D$20,CONFIG!$D$19)))</f>
        <v/>
      </c>
      <c r="M100" s="20" t="str">
        <f aca="false">IF(K100="","",IF(K100&gt;=CONFIG!$E$21,CONFIG!$F$21,IF(K100&gt;=CONFIG!$E$20,CONFIG!$F$20,CONFIG!$F$19)))</f>
        <v/>
      </c>
      <c r="N100" s="19" t="str">
        <f aca="false">IF(I100="","",IF(I100&lt;=M100,"OK","ALTA"))</f>
        <v/>
      </c>
      <c r="O100" s="13"/>
    </row>
    <row r="101" customFormat="false" ht="15" hidden="false" customHeight="false" outlineLevel="0" collapsed="false">
      <c r="A101" s="11" t="str">
        <f aca="false">IF(C101="","",ROW()-4)</f>
        <v/>
      </c>
      <c r="B101" s="12"/>
      <c r="C101" s="13"/>
      <c r="D101" s="11" t="str">
        <f aca="false">IF(C101="","",IFERROR(INDEX(LOTES!$D$5:$D$1004,MATCH(C101,LOTES!$F$5:$F$1004,0)),"¿Lote?"))</f>
        <v/>
      </c>
      <c r="E101" s="11" t="str">
        <f aca="false">IF(C101="","",IFERROR(INDEX(LOTES!$C$5:$C$1004,MATCH(C101,LOTES!$F$5:$F$1004,0)),""))</f>
        <v/>
      </c>
      <c r="F101" s="27"/>
      <c r="G101" s="27"/>
      <c r="H101" s="27"/>
      <c r="I101" s="20" t="str">
        <f aca="false">IF(AND(ISNUMBER(F101),ISNUMBER(G101),ISNUMBER(H101),F101&gt;G101,H101&gt;0),(F101-H101)/(F101-G101)*1000,"")</f>
        <v/>
      </c>
      <c r="J101" s="17" t="str">
        <f aca="false">IF(AND(ISNUMBER(F101),ISNUMBER(G101),ISNUMBER(H101),F101&gt;G101,H101&gt;0),(F101-H101)/H101,"")</f>
        <v/>
      </c>
      <c r="K101" s="20" t="str">
        <f aca="false">IF(AND(ISNUMBER(F101),ISNUMBER(G101),ISNUMBER(H101),F101&gt;G101,H101&gt;0),H101/(F101-G101)*1000,"")</f>
        <v/>
      </c>
      <c r="L101" s="11" t="str">
        <f aca="false">IF(K101="","",IF(K101&gt;=CONFIG!$E$21,CONFIG!$D$21,IF(K101&gt;=CONFIG!$E$20,CONFIG!$D$20,CONFIG!$D$19)))</f>
        <v/>
      </c>
      <c r="M101" s="20" t="str">
        <f aca="false">IF(K101="","",IF(K101&gt;=CONFIG!$E$21,CONFIG!$F$21,IF(K101&gt;=CONFIG!$E$20,CONFIG!$F$20,CONFIG!$F$19)))</f>
        <v/>
      </c>
      <c r="N101" s="19" t="str">
        <f aca="false">IF(I101="","",IF(I101&lt;=M101,"OK","ALTA"))</f>
        <v/>
      </c>
      <c r="O101" s="13"/>
    </row>
    <row r="102" customFormat="false" ht="15" hidden="false" customHeight="false" outlineLevel="0" collapsed="false">
      <c r="A102" s="11" t="str">
        <f aca="false">IF(C102="","",ROW()-4)</f>
        <v/>
      </c>
      <c r="B102" s="12"/>
      <c r="C102" s="13"/>
      <c r="D102" s="11" t="str">
        <f aca="false">IF(C102="","",IFERROR(INDEX(LOTES!$D$5:$D$1004,MATCH(C102,LOTES!$F$5:$F$1004,0)),"¿Lote?"))</f>
        <v/>
      </c>
      <c r="E102" s="11" t="str">
        <f aca="false">IF(C102="","",IFERROR(INDEX(LOTES!$C$5:$C$1004,MATCH(C102,LOTES!$F$5:$F$1004,0)),""))</f>
        <v/>
      </c>
      <c r="F102" s="27"/>
      <c r="G102" s="27"/>
      <c r="H102" s="27"/>
      <c r="I102" s="20" t="str">
        <f aca="false">IF(AND(ISNUMBER(F102),ISNUMBER(G102),ISNUMBER(H102),F102&gt;G102,H102&gt;0),(F102-H102)/(F102-G102)*1000,"")</f>
        <v/>
      </c>
      <c r="J102" s="17" t="str">
        <f aca="false">IF(AND(ISNUMBER(F102),ISNUMBER(G102),ISNUMBER(H102),F102&gt;G102,H102&gt;0),(F102-H102)/H102,"")</f>
        <v/>
      </c>
      <c r="K102" s="20" t="str">
        <f aca="false">IF(AND(ISNUMBER(F102),ISNUMBER(G102),ISNUMBER(H102),F102&gt;G102,H102&gt;0),H102/(F102-G102)*1000,"")</f>
        <v/>
      </c>
      <c r="L102" s="11" t="str">
        <f aca="false">IF(K102="","",IF(K102&gt;=CONFIG!$E$21,CONFIG!$D$21,IF(K102&gt;=CONFIG!$E$20,CONFIG!$D$20,CONFIG!$D$19)))</f>
        <v/>
      </c>
      <c r="M102" s="20" t="str">
        <f aca="false">IF(K102="","",IF(K102&gt;=CONFIG!$E$21,CONFIG!$F$21,IF(K102&gt;=CONFIG!$E$20,CONFIG!$F$20,CONFIG!$F$19)))</f>
        <v/>
      </c>
      <c r="N102" s="19" t="str">
        <f aca="false">IF(I102="","",IF(I102&lt;=M102,"OK","ALTA"))</f>
        <v/>
      </c>
      <c r="O102" s="13"/>
    </row>
    <row r="103" customFormat="false" ht="15" hidden="false" customHeight="false" outlineLevel="0" collapsed="false">
      <c r="A103" s="11" t="str">
        <f aca="false">IF(C103="","",ROW()-4)</f>
        <v/>
      </c>
      <c r="B103" s="12"/>
      <c r="C103" s="13"/>
      <c r="D103" s="11" t="str">
        <f aca="false">IF(C103="","",IFERROR(INDEX(LOTES!$D$5:$D$1004,MATCH(C103,LOTES!$F$5:$F$1004,0)),"¿Lote?"))</f>
        <v/>
      </c>
      <c r="E103" s="11" t="str">
        <f aca="false">IF(C103="","",IFERROR(INDEX(LOTES!$C$5:$C$1004,MATCH(C103,LOTES!$F$5:$F$1004,0)),""))</f>
        <v/>
      </c>
      <c r="F103" s="27"/>
      <c r="G103" s="27"/>
      <c r="H103" s="27"/>
      <c r="I103" s="20" t="str">
        <f aca="false">IF(AND(ISNUMBER(F103),ISNUMBER(G103),ISNUMBER(H103),F103&gt;G103,H103&gt;0),(F103-H103)/(F103-G103)*1000,"")</f>
        <v/>
      </c>
      <c r="J103" s="17" t="str">
        <f aca="false">IF(AND(ISNUMBER(F103),ISNUMBER(G103),ISNUMBER(H103),F103&gt;G103,H103&gt;0),(F103-H103)/H103,"")</f>
        <v/>
      </c>
      <c r="K103" s="20" t="str">
        <f aca="false">IF(AND(ISNUMBER(F103),ISNUMBER(G103),ISNUMBER(H103),F103&gt;G103,H103&gt;0),H103/(F103-G103)*1000,"")</f>
        <v/>
      </c>
      <c r="L103" s="11" t="str">
        <f aca="false">IF(K103="","",IF(K103&gt;=CONFIG!$E$21,CONFIG!$D$21,IF(K103&gt;=CONFIG!$E$20,CONFIG!$D$20,CONFIG!$D$19)))</f>
        <v/>
      </c>
      <c r="M103" s="20" t="str">
        <f aca="false">IF(K103="","",IF(K103&gt;=CONFIG!$E$21,CONFIG!$F$21,IF(K103&gt;=CONFIG!$E$20,CONFIG!$F$20,CONFIG!$F$19)))</f>
        <v/>
      </c>
      <c r="N103" s="19" t="str">
        <f aca="false">IF(I103="","",IF(I103&lt;=M103,"OK","ALTA"))</f>
        <v/>
      </c>
      <c r="O103" s="13"/>
    </row>
    <row r="104" customFormat="false" ht="15" hidden="false" customHeight="false" outlineLevel="0" collapsed="false">
      <c r="A104" s="11" t="str">
        <f aca="false">IF(C104="","",ROW()-4)</f>
        <v/>
      </c>
      <c r="B104" s="12"/>
      <c r="C104" s="13"/>
      <c r="D104" s="11" t="str">
        <f aca="false">IF(C104="","",IFERROR(INDEX(LOTES!$D$5:$D$1004,MATCH(C104,LOTES!$F$5:$F$1004,0)),"¿Lote?"))</f>
        <v/>
      </c>
      <c r="E104" s="11" t="str">
        <f aca="false">IF(C104="","",IFERROR(INDEX(LOTES!$C$5:$C$1004,MATCH(C104,LOTES!$F$5:$F$1004,0)),""))</f>
        <v/>
      </c>
      <c r="F104" s="27"/>
      <c r="G104" s="27"/>
      <c r="H104" s="27"/>
      <c r="I104" s="20" t="str">
        <f aca="false">IF(AND(ISNUMBER(F104),ISNUMBER(G104),ISNUMBER(H104),F104&gt;G104,H104&gt;0),(F104-H104)/(F104-G104)*1000,"")</f>
        <v/>
      </c>
      <c r="J104" s="17" t="str">
        <f aca="false">IF(AND(ISNUMBER(F104),ISNUMBER(G104),ISNUMBER(H104),F104&gt;G104,H104&gt;0),(F104-H104)/H104,"")</f>
        <v/>
      </c>
      <c r="K104" s="20" t="str">
        <f aca="false">IF(AND(ISNUMBER(F104),ISNUMBER(G104),ISNUMBER(H104),F104&gt;G104,H104&gt;0),H104/(F104-G104)*1000,"")</f>
        <v/>
      </c>
      <c r="L104" s="11" t="str">
        <f aca="false">IF(K104="","",IF(K104&gt;=CONFIG!$E$21,CONFIG!$D$21,IF(K104&gt;=CONFIG!$E$20,CONFIG!$D$20,CONFIG!$D$19)))</f>
        <v/>
      </c>
      <c r="M104" s="20" t="str">
        <f aca="false">IF(K104="","",IF(K104&gt;=CONFIG!$E$21,CONFIG!$F$21,IF(K104&gt;=CONFIG!$E$20,CONFIG!$F$20,CONFIG!$F$19)))</f>
        <v/>
      </c>
      <c r="N104" s="19" t="str">
        <f aca="false">IF(I104="","",IF(I104&lt;=M104,"OK","ALTA"))</f>
        <v/>
      </c>
      <c r="O104" s="13"/>
    </row>
    <row r="105" customFormat="false" ht="15" hidden="false" customHeight="false" outlineLevel="0" collapsed="false">
      <c r="A105" s="11" t="str">
        <f aca="false">IF(C105="","",ROW()-4)</f>
        <v/>
      </c>
      <c r="B105" s="12"/>
      <c r="C105" s="13"/>
      <c r="D105" s="11" t="str">
        <f aca="false">IF(C105="","",IFERROR(INDEX(LOTES!$D$5:$D$1004,MATCH(C105,LOTES!$F$5:$F$1004,0)),"¿Lote?"))</f>
        <v/>
      </c>
      <c r="E105" s="11" t="str">
        <f aca="false">IF(C105="","",IFERROR(INDEX(LOTES!$C$5:$C$1004,MATCH(C105,LOTES!$F$5:$F$1004,0)),""))</f>
        <v/>
      </c>
      <c r="F105" s="27"/>
      <c r="G105" s="27"/>
      <c r="H105" s="27"/>
      <c r="I105" s="20" t="str">
        <f aca="false">IF(AND(ISNUMBER(F105),ISNUMBER(G105),ISNUMBER(H105),F105&gt;G105,H105&gt;0),(F105-H105)/(F105-G105)*1000,"")</f>
        <v/>
      </c>
      <c r="J105" s="17" t="str">
        <f aca="false">IF(AND(ISNUMBER(F105),ISNUMBER(G105),ISNUMBER(H105),F105&gt;G105,H105&gt;0),(F105-H105)/H105,"")</f>
        <v/>
      </c>
      <c r="K105" s="20" t="str">
        <f aca="false">IF(AND(ISNUMBER(F105),ISNUMBER(G105),ISNUMBER(H105),F105&gt;G105,H105&gt;0),H105/(F105-G105)*1000,"")</f>
        <v/>
      </c>
      <c r="L105" s="11" t="str">
        <f aca="false">IF(K105="","",IF(K105&gt;=CONFIG!$E$21,CONFIG!$D$21,IF(K105&gt;=CONFIG!$E$20,CONFIG!$D$20,CONFIG!$D$19)))</f>
        <v/>
      </c>
      <c r="M105" s="20" t="str">
        <f aca="false">IF(K105="","",IF(K105&gt;=CONFIG!$E$21,CONFIG!$F$21,IF(K105&gt;=CONFIG!$E$20,CONFIG!$F$20,CONFIG!$F$19)))</f>
        <v/>
      </c>
      <c r="N105" s="19" t="str">
        <f aca="false">IF(I105="","",IF(I105&lt;=M105,"OK","ALTA"))</f>
        <v/>
      </c>
      <c r="O105" s="13"/>
    </row>
    <row r="106" customFormat="false" ht="15" hidden="false" customHeight="false" outlineLevel="0" collapsed="false">
      <c r="A106" s="11" t="str">
        <f aca="false">IF(C106="","",ROW()-4)</f>
        <v/>
      </c>
      <c r="B106" s="12"/>
      <c r="C106" s="13"/>
      <c r="D106" s="11" t="str">
        <f aca="false">IF(C106="","",IFERROR(INDEX(LOTES!$D$5:$D$1004,MATCH(C106,LOTES!$F$5:$F$1004,0)),"¿Lote?"))</f>
        <v/>
      </c>
      <c r="E106" s="11" t="str">
        <f aca="false">IF(C106="","",IFERROR(INDEX(LOTES!$C$5:$C$1004,MATCH(C106,LOTES!$F$5:$F$1004,0)),""))</f>
        <v/>
      </c>
      <c r="F106" s="27"/>
      <c r="G106" s="27"/>
      <c r="H106" s="27"/>
      <c r="I106" s="20" t="str">
        <f aca="false">IF(AND(ISNUMBER(F106),ISNUMBER(G106),ISNUMBER(H106),F106&gt;G106,H106&gt;0),(F106-H106)/(F106-G106)*1000,"")</f>
        <v/>
      </c>
      <c r="J106" s="17" t="str">
        <f aca="false">IF(AND(ISNUMBER(F106),ISNUMBER(G106),ISNUMBER(H106),F106&gt;G106,H106&gt;0),(F106-H106)/H106,"")</f>
        <v/>
      </c>
      <c r="K106" s="20" t="str">
        <f aca="false">IF(AND(ISNUMBER(F106),ISNUMBER(G106),ISNUMBER(H106),F106&gt;G106,H106&gt;0),H106/(F106-G106)*1000,"")</f>
        <v/>
      </c>
      <c r="L106" s="11" t="str">
        <f aca="false">IF(K106="","",IF(K106&gt;=CONFIG!$E$21,CONFIG!$D$21,IF(K106&gt;=CONFIG!$E$20,CONFIG!$D$20,CONFIG!$D$19)))</f>
        <v/>
      </c>
      <c r="M106" s="20" t="str">
        <f aca="false">IF(K106="","",IF(K106&gt;=CONFIG!$E$21,CONFIG!$F$21,IF(K106&gt;=CONFIG!$E$20,CONFIG!$F$20,CONFIG!$F$19)))</f>
        <v/>
      </c>
      <c r="N106" s="19" t="str">
        <f aca="false">IF(I106="","",IF(I106&lt;=M106,"OK","ALTA"))</f>
        <v/>
      </c>
      <c r="O106" s="13"/>
    </row>
    <row r="107" customFormat="false" ht="15" hidden="false" customHeight="false" outlineLevel="0" collapsed="false">
      <c r="A107" s="11" t="str">
        <f aca="false">IF(C107="","",ROW()-4)</f>
        <v/>
      </c>
      <c r="B107" s="12"/>
      <c r="C107" s="13"/>
      <c r="D107" s="11" t="str">
        <f aca="false">IF(C107="","",IFERROR(INDEX(LOTES!$D$5:$D$1004,MATCH(C107,LOTES!$F$5:$F$1004,0)),"¿Lote?"))</f>
        <v/>
      </c>
      <c r="E107" s="11" t="str">
        <f aca="false">IF(C107="","",IFERROR(INDEX(LOTES!$C$5:$C$1004,MATCH(C107,LOTES!$F$5:$F$1004,0)),""))</f>
        <v/>
      </c>
      <c r="F107" s="27"/>
      <c r="G107" s="27"/>
      <c r="H107" s="27"/>
      <c r="I107" s="20" t="str">
        <f aca="false">IF(AND(ISNUMBER(F107),ISNUMBER(G107),ISNUMBER(H107),F107&gt;G107,H107&gt;0),(F107-H107)/(F107-G107)*1000,"")</f>
        <v/>
      </c>
      <c r="J107" s="17" t="str">
        <f aca="false">IF(AND(ISNUMBER(F107),ISNUMBER(G107),ISNUMBER(H107),F107&gt;G107,H107&gt;0),(F107-H107)/H107,"")</f>
        <v/>
      </c>
      <c r="K107" s="20" t="str">
        <f aca="false">IF(AND(ISNUMBER(F107),ISNUMBER(G107),ISNUMBER(H107),F107&gt;G107,H107&gt;0),H107/(F107-G107)*1000,"")</f>
        <v/>
      </c>
      <c r="L107" s="11" t="str">
        <f aca="false">IF(K107="","",IF(K107&gt;=CONFIG!$E$21,CONFIG!$D$21,IF(K107&gt;=CONFIG!$E$20,CONFIG!$D$20,CONFIG!$D$19)))</f>
        <v/>
      </c>
      <c r="M107" s="20" t="str">
        <f aca="false">IF(K107="","",IF(K107&gt;=CONFIG!$E$21,CONFIG!$F$21,IF(K107&gt;=CONFIG!$E$20,CONFIG!$F$20,CONFIG!$F$19)))</f>
        <v/>
      </c>
      <c r="N107" s="19" t="str">
        <f aca="false">IF(I107="","",IF(I107&lt;=M107,"OK","ALTA"))</f>
        <v/>
      </c>
      <c r="O107" s="13"/>
    </row>
    <row r="108" customFormat="false" ht="15" hidden="false" customHeight="false" outlineLevel="0" collapsed="false">
      <c r="A108" s="11" t="str">
        <f aca="false">IF(C108="","",ROW()-4)</f>
        <v/>
      </c>
      <c r="B108" s="12"/>
      <c r="C108" s="13"/>
      <c r="D108" s="11" t="str">
        <f aca="false">IF(C108="","",IFERROR(INDEX(LOTES!$D$5:$D$1004,MATCH(C108,LOTES!$F$5:$F$1004,0)),"¿Lote?"))</f>
        <v/>
      </c>
      <c r="E108" s="11" t="str">
        <f aca="false">IF(C108="","",IFERROR(INDEX(LOTES!$C$5:$C$1004,MATCH(C108,LOTES!$F$5:$F$1004,0)),""))</f>
        <v/>
      </c>
      <c r="F108" s="27"/>
      <c r="G108" s="27"/>
      <c r="H108" s="27"/>
      <c r="I108" s="20" t="str">
        <f aca="false">IF(AND(ISNUMBER(F108),ISNUMBER(G108),ISNUMBER(H108),F108&gt;G108,H108&gt;0),(F108-H108)/(F108-G108)*1000,"")</f>
        <v/>
      </c>
      <c r="J108" s="17" t="str">
        <f aca="false">IF(AND(ISNUMBER(F108),ISNUMBER(G108),ISNUMBER(H108),F108&gt;G108,H108&gt;0),(F108-H108)/H108,"")</f>
        <v/>
      </c>
      <c r="K108" s="20" t="str">
        <f aca="false">IF(AND(ISNUMBER(F108),ISNUMBER(G108),ISNUMBER(H108),F108&gt;G108,H108&gt;0),H108/(F108-G108)*1000,"")</f>
        <v/>
      </c>
      <c r="L108" s="11" t="str">
        <f aca="false">IF(K108="","",IF(K108&gt;=CONFIG!$E$21,CONFIG!$D$21,IF(K108&gt;=CONFIG!$E$20,CONFIG!$D$20,CONFIG!$D$19)))</f>
        <v/>
      </c>
      <c r="M108" s="20" t="str">
        <f aca="false">IF(K108="","",IF(K108&gt;=CONFIG!$E$21,CONFIG!$F$21,IF(K108&gt;=CONFIG!$E$20,CONFIG!$F$20,CONFIG!$F$19)))</f>
        <v/>
      </c>
      <c r="N108" s="19" t="str">
        <f aca="false">IF(I108="","",IF(I108&lt;=M108,"OK","ALTA"))</f>
        <v/>
      </c>
      <c r="O108" s="13"/>
    </row>
    <row r="109" customFormat="false" ht="15" hidden="false" customHeight="false" outlineLevel="0" collapsed="false">
      <c r="A109" s="11" t="str">
        <f aca="false">IF(C109="","",ROW()-4)</f>
        <v/>
      </c>
      <c r="B109" s="12"/>
      <c r="C109" s="13"/>
      <c r="D109" s="11" t="str">
        <f aca="false">IF(C109="","",IFERROR(INDEX(LOTES!$D$5:$D$1004,MATCH(C109,LOTES!$F$5:$F$1004,0)),"¿Lote?"))</f>
        <v/>
      </c>
      <c r="E109" s="11" t="str">
        <f aca="false">IF(C109="","",IFERROR(INDEX(LOTES!$C$5:$C$1004,MATCH(C109,LOTES!$F$5:$F$1004,0)),""))</f>
        <v/>
      </c>
      <c r="F109" s="27"/>
      <c r="G109" s="27"/>
      <c r="H109" s="27"/>
      <c r="I109" s="20" t="str">
        <f aca="false">IF(AND(ISNUMBER(F109),ISNUMBER(G109),ISNUMBER(H109),F109&gt;G109,H109&gt;0),(F109-H109)/(F109-G109)*1000,"")</f>
        <v/>
      </c>
      <c r="J109" s="17" t="str">
        <f aca="false">IF(AND(ISNUMBER(F109),ISNUMBER(G109),ISNUMBER(H109),F109&gt;G109,H109&gt;0),(F109-H109)/H109,"")</f>
        <v/>
      </c>
      <c r="K109" s="20" t="str">
        <f aca="false">IF(AND(ISNUMBER(F109),ISNUMBER(G109),ISNUMBER(H109),F109&gt;G109,H109&gt;0),H109/(F109-G109)*1000,"")</f>
        <v/>
      </c>
      <c r="L109" s="11" t="str">
        <f aca="false">IF(K109="","",IF(K109&gt;=CONFIG!$E$21,CONFIG!$D$21,IF(K109&gt;=CONFIG!$E$20,CONFIG!$D$20,CONFIG!$D$19)))</f>
        <v/>
      </c>
      <c r="M109" s="20" t="str">
        <f aca="false">IF(K109="","",IF(K109&gt;=CONFIG!$E$21,CONFIG!$F$21,IF(K109&gt;=CONFIG!$E$20,CONFIG!$F$20,CONFIG!$F$19)))</f>
        <v/>
      </c>
      <c r="N109" s="19" t="str">
        <f aca="false">IF(I109="","",IF(I109&lt;=M109,"OK","ALTA"))</f>
        <v/>
      </c>
      <c r="O109" s="13"/>
    </row>
    <row r="110" customFormat="false" ht="15" hidden="false" customHeight="false" outlineLevel="0" collapsed="false">
      <c r="A110" s="11" t="str">
        <f aca="false">IF(C110="","",ROW()-4)</f>
        <v/>
      </c>
      <c r="B110" s="12"/>
      <c r="C110" s="13"/>
      <c r="D110" s="11" t="str">
        <f aca="false">IF(C110="","",IFERROR(INDEX(LOTES!$D$5:$D$1004,MATCH(C110,LOTES!$F$5:$F$1004,0)),"¿Lote?"))</f>
        <v/>
      </c>
      <c r="E110" s="11" t="str">
        <f aca="false">IF(C110="","",IFERROR(INDEX(LOTES!$C$5:$C$1004,MATCH(C110,LOTES!$F$5:$F$1004,0)),""))</f>
        <v/>
      </c>
      <c r="F110" s="27"/>
      <c r="G110" s="27"/>
      <c r="H110" s="27"/>
      <c r="I110" s="20" t="str">
        <f aca="false">IF(AND(ISNUMBER(F110),ISNUMBER(G110),ISNUMBER(H110),F110&gt;G110,H110&gt;0),(F110-H110)/(F110-G110)*1000,"")</f>
        <v/>
      </c>
      <c r="J110" s="17" t="str">
        <f aca="false">IF(AND(ISNUMBER(F110),ISNUMBER(G110),ISNUMBER(H110),F110&gt;G110,H110&gt;0),(F110-H110)/H110,"")</f>
        <v/>
      </c>
      <c r="K110" s="20" t="str">
        <f aca="false">IF(AND(ISNUMBER(F110),ISNUMBER(G110),ISNUMBER(H110),F110&gt;G110,H110&gt;0),H110/(F110-G110)*1000,"")</f>
        <v/>
      </c>
      <c r="L110" s="11" t="str">
        <f aca="false">IF(K110="","",IF(K110&gt;=CONFIG!$E$21,CONFIG!$D$21,IF(K110&gt;=CONFIG!$E$20,CONFIG!$D$20,CONFIG!$D$19)))</f>
        <v/>
      </c>
      <c r="M110" s="20" t="str">
        <f aca="false">IF(K110="","",IF(K110&gt;=CONFIG!$E$21,CONFIG!$F$21,IF(K110&gt;=CONFIG!$E$20,CONFIG!$F$20,CONFIG!$F$19)))</f>
        <v/>
      </c>
      <c r="N110" s="19" t="str">
        <f aca="false">IF(I110="","",IF(I110&lt;=M110,"OK","ALTA"))</f>
        <v/>
      </c>
      <c r="O110" s="13"/>
    </row>
    <row r="111" customFormat="false" ht="15" hidden="false" customHeight="false" outlineLevel="0" collapsed="false">
      <c r="A111" s="11" t="str">
        <f aca="false">IF(C111="","",ROW()-4)</f>
        <v/>
      </c>
      <c r="B111" s="12"/>
      <c r="C111" s="13"/>
      <c r="D111" s="11" t="str">
        <f aca="false">IF(C111="","",IFERROR(INDEX(LOTES!$D$5:$D$1004,MATCH(C111,LOTES!$F$5:$F$1004,0)),"¿Lote?"))</f>
        <v/>
      </c>
      <c r="E111" s="11" t="str">
        <f aca="false">IF(C111="","",IFERROR(INDEX(LOTES!$C$5:$C$1004,MATCH(C111,LOTES!$F$5:$F$1004,0)),""))</f>
        <v/>
      </c>
      <c r="F111" s="27"/>
      <c r="G111" s="27"/>
      <c r="H111" s="27"/>
      <c r="I111" s="20" t="str">
        <f aca="false">IF(AND(ISNUMBER(F111),ISNUMBER(G111),ISNUMBER(H111),F111&gt;G111,H111&gt;0),(F111-H111)/(F111-G111)*1000,"")</f>
        <v/>
      </c>
      <c r="J111" s="17" t="str">
        <f aca="false">IF(AND(ISNUMBER(F111),ISNUMBER(G111),ISNUMBER(H111),F111&gt;G111,H111&gt;0),(F111-H111)/H111,"")</f>
        <v/>
      </c>
      <c r="K111" s="20" t="str">
        <f aca="false">IF(AND(ISNUMBER(F111),ISNUMBER(G111),ISNUMBER(H111),F111&gt;G111,H111&gt;0),H111/(F111-G111)*1000,"")</f>
        <v/>
      </c>
      <c r="L111" s="11" t="str">
        <f aca="false">IF(K111="","",IF(K111&gt;=CONFIG!$E$21,CONFIG!$D$21,IF(K111&gt;=CONFIG!$E$20,CONFIG!$D$20,CONFIG!$D$19)))</f>
        <v/>
      </c>
      <c r="M111" s="20" t="str">
        <f aca="false">IF(K111="","",IF(K111&gt;=CONFIG!$E$21,CONFIG!$F$21,IF(K111&gt;=CONFIG!$E$20,CONFIG!$F$20,CONFIG!$F$19)))</f>
        <v/>
      </c>
      <c r="N111" s="19" t="str">
        <f aca="false">IF(I111="","",IF(I111&lt;=M111,"OK","ALTA"))</f>
        <v/>
      </c>
      <c r="O111" s="13"/>
    </row>
    <row r="112" customFormat="false" ht="15" hidden="false" customHeight="false" outlineLevel="0" collapsed="false">
      <c r="A112" s="11" t="str">
        <f aca="false">IF(C112="","",ROW()-4)</f>
        <v/>
      </c>
      <c r="B112" s="12"/>
      <c r="C112" s="13"/>
      <c r="D112" s="11" t="str">
        <f aca="false">IF(C112="","",IFERROR(INDEX(LOTES!$D$5:$D$1004,MATCH(C112,LOTES!$F$5:$F$1004,0)),"¿Lote?"))</f>
        <v/>
      </c>
      <c r="E112" s="11" t="str">
        <f aca="false">IF(C112="","",IFERROR(INDEX(LOTES!$C$5:$C$1004,MATCH(C112,LOTES!$F$5:$F$1004,0)),""))</f>
        <v/>
      </c>
      <c r="F112" s="27"/>
      <c r="G112" s="27"/>
      <c r="H112" s="27"/>
      <c r="I112" s="20" t="str">
        <f aca="false">IF(AND(ISNUMBER(F112),ISNUMBER(G112),ISNUMBER(H112),F112&gt;G112,H112&gt;0),(F112-H112)/(F112-G112)*1000,"")</f>
        <v/>
      </c>
      <c r="J112" s="17" t="str">
        <f aca="false">IF(AND(ISNUMBER(F112),ISNUMBER(G112),ISNUMBER(H112),F112&gt;G112,H112&gt;0),(F112-H112)/H112,"")</f>
        <v/>
      </c>
      <c r="K112" s="20" t="str">
        <f aca="false">IF(AND(ISNUMBER(F112),ISNUMBER(G112),ISNUMBER(H112),F112&gt;G112,H112&gt;0),H112/(F112-G112)*1000,"")</f>
        <v/>
      </c>
      <c r="L112" s="11" t="str">
        <f aca="false">IF(K112="","",IF(K112&gt;=CONFIG!$E$21,CONFIG!$D$21,IF(K112&gt;=CONFIG!$E$20,CONFIG!$D$20,CONFIG!$D$19)))</f>
        <v/>
      </c>
      <c r="M112" s="20" t="str">
        <f aca="false">IF(K112="","",IF(K112&gt;=CONFIG!$E$21,CONFIG!$F$21,IF(K112&gt;=CONFIG!$E$20,CONFIG!$F$20,CONFIG!$F$19)))</f>
        <v/>
      </c>
      <c r="N112" s="19" t="str">
        <f aca="false">IF(I112="","",IF(I112&lt;=M112,"OK","ALTA"))</f>
        <v/>
      </c>
      <c r="O112" s="13"/>
    </row>
    <row r="113" customFormat="false" ht="15" hidden="false" customHeight="false" outlineLevel="0" collapsed="false">
      <c r="A113" s="11" t="str">
        <f aca="false">IF(C113="","",ROW()-4)</f>
        <v/>
      </c>
      <c r="B113" s="12"/>
      <c r="C113" s="13"/>
      <c r="D113" s="11" t="str">
        <f aca="false">IF(C113="","",IFERROR(INDEX(LOTES!$D$5:$D$1004,MATCH(C113,LOTES!$F$5:$F$1004,0)),"¿Lote?"))</f>
        <v/>
      </c>
      <c r="E113" s="11" t="str">
        <f aca="false">IF(C113="","",IFERROR(INDEX(LOTES!$C$5:$C$1004,MATCH(C113,LOTES!$F$5:$F$1004,0)),""))</f>
        <v/>
      </c>
      <c r="F113" s="27"/>
      <c r="G113" s="27"/>
      <c r="H113" s="27"/>
      <c r="I113" s="20" t="str">
        <f aca="false">IF(AND(ISNUMBER(F113),ISNUMBER(G113),ISNUMBER(H113),F113&gt;G113,H113&gt;0),(F113-H113)/(F113-G113)*1000,"")</f>
        <v/>
      </c>
      <c r="J113" s="17" t="str">
        <f aca="false">IF(AND(ISNUMBER(F113),ISNUMBER(G113),ISNUMBER(H113),F113&gt;G113,H113&gt;0),(F113-H113)/H113,"")</f>
        <v/>
      </c>
      <c r="K113" s="20" t="str">
        <f aca="false">IF(AND(ISNUMBER(F113),ISNUMBER(G113),ISNUMBER(H113),F113&gt;G113,H113&gt;0),H113/(F113-G113)*1000,"")</f>
        <v/>
      </c>
      <c r="L113" s="11" t="str">
        <f aca="false">IF(K113="","",IF(K113&gt;=CONFIG!$E$21,CONFIG!$D$21,IF(K113&gt;=CONFIG!$E$20,CONFIG!$D$20,CONFIG!$D$19)))</f>
        <v/>
      </c>
      <c r="M113" s="20" t="str">
        <f aca="false">IF(K113="","",IF(K113&gt;=CONFIG!$E$21,CONFIG!$F$21,IF(K113&gt;=CONFIG!$E$20,CONFIG!$F$20,CONFIG!$F$19)))</f>
        <v/>
      </c>
      <c r="N113" s="19" t="str">
        <f aca="false">IF(I113="","",IF(I113&lt;=M113,"OK","ALTA"))</f>
        <v/>
      </c>
      <c r="O113" s="13"/>
    </row>
    <row r="114" customFormat="false" ht="15" hidden="false" customHeight="false" outlineLevel="0" collapsed="false">
      <c r="A114" s="11" t="str">
        <f aca="false">IF(C114="","",ROW()-4)</f>
        <v/>
      </c>
      <c r="B114" s="12"/>
      <c r="C114" s="13"/>
      <c r="D114" s="11" t="str">
        <f aca="false">IF(C114="","",IFERROR(INDEX(LOTES!$D$5:$D$1004,MATCH(C114,LOTES!$F$5:$F$1004,0)),"¿Lote?"))</f>
        <v/>
      </c>
      <c r="E114" s="11" t="str">
        <f aca="false">IF(C114="","",IFERROR(INDEX(LOTES!$C$5:$C$1004,MATCH(C114,LOTES!$F$5:$F$1004,0)),""))</f>
        <v/>
      </c>
      <c r="F114" s="27"/>
      <c r="G114" s="27"/>
      <c r="H114" s="27"/>
      <c r="I114" s="20" t="str">
        <f aca="false">IF(AND(ISNUMBER(F114),ISNUMBER(G114),ISNUMBER(H114),F114&gt;G114,H114&gt;0),(F114-H114)/(F114-G114)*1000,"")</f>
        <v/>
      </c>
      <c r="J114" s="17" t="str">
        <f aca="false">IF(AND(ISNUMBER(F114),ISNUMBER(G114),ISNUMBER(H114),F114&gt;G114,H114&gt;0),(F114-H114)/H114,"")</f>
        <v/>
      </c>
      <c r="K114" s="20" t="str">
        <f aca="false">IF(AND(ISNUMBER(F114),ISNUMBER(G114),ISNUMBER(H114),F114&gt;G114,H114&gt;0),H114/(F114-G114)*1000,"")</f>
        <v/>
      </c>
      <c r="L114" s="11" t="str">
        <f aca="false">IF(K114="","",IF(K114&gt;=CONFIG!$E$21,CONFIG!$D$21,IF(K114&gt;=CONFIG!$E$20,CONFIG!$D$20,CONFIG!$D$19)))</f>
        <v/>
      </c>
      <c r="M114" s="20" t="str">
        <f aca="false">IF(K114="","",IF(K114&gt;=CONFIG!$E$21,CONFIG!$F$21,IF(K114&gt;=CONFIG!$E$20,CONFIG!$F$20,CONFIG!$F$19)))</f>
        <v/>
      </c>
      <c r="N114" s="19" t="str">
        <f aca="false">IF(I114="","",IF(I114&lt;=M114,"OK","ALTA"))</f>
        <v/>
      </c>
      <c r="O114" s="13"/>
    </row>
    <row r="115" customFormat="false" ht="15" hidden="false" customHeight="false" outlineLevel="0" collapsed="false">
      <c r="A115" s="11" t="str">
        <f aca="false">IF(C115="","",ROW()-4)</f>
        <v/>
      </c>
      <c r="B115" s="12"/>
      <c r="C115" s="13"/>
      <c r="D115" s="11" t="str">
        <f aca="false">IF(C115="","",IFERROR(INDEX(LOTES!$D$5:$D$1004,MATCH(C115,LOTES!$F$5:$F$1004,0)),"¿Lote?"))</f>
        <v/>
      </c>
      <c r="E115" s="11" t="str">
        <f aca="false">IF(C115="","",IFERROR(INDEX(LOTES!$C$5:$C$1004,MATCH(C115,LOTES!$F$5:$F$1004,0)),""))</f>
        <v/>
      </c>
      <c r="F115" s="27"/>
      <c r="G115" s="27"/>
      <c r="H115" s="27"/>
      <c r="I115" s="20" t="str">
        <f aca="false">IF(AND(ISNUMBER(F115),ISNUMBER(G115),ISNUMBER(H115),F115&gt;G115,H115&gt;0),(F115-H115)/(F115-G115)*1000,"")</f>
        <v/>
      </c>
      <c r="J115" s="17" t="str">
        <f aca="false">IF(AND(ISNUMBER(F115),ISNUMBER(G115),ISNUMBER(H115),F115&gt;G115,H115&gt;0),(F115-H115)/H115,"")</f>
        <v/>
      </c>
      <c r="K115" s="20" t="str">
        <f aca="false">IF(AND(ISNUMBER(F115),ISNUMBER(G115),ISNUMBER(H115),F115&gt;G115,H115&gt;0),H115/(F115-G115)*1000,"")</f>
        <v/>
      </c>
      <c r="L115" s="11" t="str">
        <f aca="false">IF(K115="","",IF(K115&gt;=CONFIG!$E$21,CONFIG!$D$21,IF(K115&gt;=CONFIG!$E$20,CONFIG!$D$20,CONFIG!$D$19)))</f>
        <v/>
      </c>
      <c r="M115" s="20" t="str">
        <f aca="false">IF(K115="","",IF(K115&gt;=CONFIG!$E$21,CONFIG!$F$21,IF(K115&gt;=CONFIG!$E$20,CONFIG!$F$20,CONFIG!$F$19)))</f>
        <v/>
      </c>
      <c r="N115" s="19" t="str">
        <f aca="false">IF(I115="","",IF(I115&lt;=M115,"OK","ALTA"))</f>
        <v/>
      </c>
      <c r="O115" s="13"/>
    </row>
    <row r="116" customFormat="false" ht="15" hidden="false" customHeight="false" outlineLevel="0" collapsed="false">
      <c r="A116" s="11" t="str">
        <f aca="false">IF(C116="","",ROW()-4)</f>
        <v/>
      </c>
      <c r="B116" s="12"/>
      <c r="C116" s="13"/>
      <c r="D116" s="11" t="str">
        <f aca="false">IF(C116="","",IFERROR(INDEX(LOTES!$D$5:$D$1004,MATCH(C116,LOTES!$F$5:$F$1004,0)),"¿Lote?"))</f>
        <v/>
      </c>
      <c r="E116" s="11" t="str">
        <f aca="false">IF(C116="","",IFERROR(INDEX(LOTES!$C$5:$C$1004,MATCH(C116,LOTES!$F$5:$F$1004,0)),""))</f>
        <v/>
      </c>
      <c r="F116" s="27"/>
      <c r="G116" s="27"/>
      <c r="H116" s="27"/>
      <c r="I116" s="20" t="str">
        <f aca="false">IF(AND(ISNUMBER(F116),ISNUMBER(G116),ISNUMBER(H116),F116&gt;G116,H116&gt;0),(F116-H116)/(F116-G116)*1000,"")</f>
        <v/>
      </c>
      <c r="J116" s="17" t="str">
        <f aca="false">IF(AND(ISNUMBER(F116),ISNUMBER(G116),ISNUMBER(H116),F116&gt;G116,H116&gt;0),(F116-H116)/H116,"")</f>
        <v/>
      </c>
      <c r="K116" s="20" t="str">
        <f aca="false">IF(AND(ISNUMBER(F116),ISNUMBER(G116),ISNUMBER(H116),F116&gt;G116,H116&gt;0),H116/(F116-G116)*1000,"")</f>
        <v/>
      </c>
      <c r="L116" s="11" t="str">
        <f aca="false">IF(K116="","",IF(K116&gt;=CONFIG!$E$21,CONFIG!$D$21,IF(K116&gt;=CONFIG!$E$20,CONFIG!$D$20,CONFIG!$D$19)))</f>
        <v/>
      </c>
      <c r="M116" s="20" t="str">
        <f aca="false">IF(K116="","",IF(K116&gt;=CONFIG!$E$21,CONFIG!$F$21,IF(K116&gt;=CONFIG!$E$20,CONFIG!$F$20,CONFIG!$F$19)))</f>
        <v/>
      </c>
      <c r="N116" s="19" t="str">
        <f aca="false">IF(I116="","",IF(I116&lt;=M116,"OK","ALTA"))</f>
        <v/>
      </c>
      <c r="O116" s="13"/>
    </row>
    <row r="117" customFormat="false" ht="15" hidden="false" customHeight="false" outlineLevel="0" collapsed="false">
      <c r="A117" s="11" t="str">
        <f aca="false">IF(C117="","",ROW()-4)</f>
        <v/>
      </c>
      <c r="B117" s="12"/>
      <c r="C117" s="13"/>
      <c r="D117" s="11" t="str">
        <f aca="false">IF(C117="","",IFERROR(INDEX(LOTES!$D$5:$D$1004,MATCH(C117,LOTES!$F$5:$F$1004,0)),"¿Lote?"))</f>
        <v/>
      </c>
      <c r="E117" s="11" t="str">
        <f aca="false">IF(C117="","",IFERROR(INDEX(LOTES!$C$5:$C$1004,MATCH(C117,LOTES!$F$5:$F$1004,0)),""))</f>
        <v/>
      </c>
      <c r="F117" s="27"/>
      <c r="G117" s="27"/>
      <c r="H117" s="27"/>
      <c r="I117" s="20" t="str">
        <f aca="false">IF(AND(ISNUMBER(F117),ISNUMBER(G117),ISNUMBER(H117),F117&gt;G117,H117&gt;0),(F117-H117)/(F117-G117)*1000,"")</f>
        <v/>
      </c>
      <c r="J117" s="17" t="str">
        <f aca="false">IF(AND(ISNUMBER(F117),ISNUMBER(G117),ISNUMBER(H117),F117&gt;G117,H117&gt;0),(F117-H117)/H117,"")</f>
        <v/>
      </c>
      <c r="K117" s="20" t="str">
        <f aca="false">IF(AND(ISNUMBER(F117),ISNUMBER(G117),ISNUMBER(H117),F117&gt;G117,H117&gt;0),H117/(F117-G117)*1000,"")</f>
        <v/>
      </c>
      <c r="L117" s="11" t="str">
        <f aca="false">IF(K117="","",IF(K117&gt;=CONFIG!$E$21,CONFIG!$D$21,IF(K117&gt;=CONFIG!$E$20,CONFIG!$D$20,CONFIG!$D$19)))</f>
        <v/>
      </c>
      <c r="M117" s="20" t="str">
        <f aca="false">IF(K117="","",IF(K117&gt;=CONFIG!$E$21,CONFIG!$F$21,IF(K117&gt;=CONFIG!$E$20,CONFIG!$F$20,CONFIG!$F$19)))</f>
        <v/>
      </c>
      <c r="N117" s="19" t="str">
        <f aca="false">IF(I117="","",IF(I117&lt;=M117,"OK","ALTA"))</f>
        <v/>
      </c>
      <c r="O117" s="13"/>
    </row>
    <row r="118" customFormat="false" ht="15" hidden="false" customHeight="false" outlineLevel="0" collapsed="false">
      <c r="A118" s="11" t="str">
        <f aca="false">IF(C118="","",ROW()-4)</f>
        <v/>
      </c>
      <c r="B118" s="12"/>
      <c r="C118" s="13"/>
      <c r="D118" s="11" t="str">
        <f aca="false">IF(C118="","",IFERROR(INDEX(LOTES!$D$5:$D$1004,MATCH(C118,LOTES!$F$5:$F$1004,0)),"¿Lote?"))</f>
        <v/>
      </c>
      <c r="E118" s="11" t="str">
        <f aca="false">IF(C118="","",IFERROR(INDEX(LOTES!$C$5:$C$1004,MATCH(C118,LOTES!$F$5:$F$1004,0)),""))</f>
        <v/>
      </c>
      <c r="F118" s="27"/>
      <c r="G118" s="27"/>
      <c r="H118" s="27"/>
      <c r="I118" s="20" t="str">
        <f aca="false">IF(AND(ISNUMBER(F118),ISNUMBER(G118),ISNUMBER(H118),F118&gt;G118,H118&gt;0),(F118-H118)/(F118-G118)*1000,"")</f>
        <v/>
      </c>
      <c r="J118" s="17" t="str">
        <f aca="false">IF(AND(ISNUMBER(F118),ISNUMBER(G118),ISNUMBER(H118),F118&gt;G118,H118&gt;0),(F118-H118)/H118,"")</f>
        <v/>
      </c>
      <c r="K118" s="20" t="str">
        <f aca="false">IF(AND(ISNUMBER(F118),ISNUMBER(G118),ISNUMBER(H118),F118&gt;G118,H118&gt;0),H118/(F118-G118)*1000,"")</f>
        <v/>
      </c>
      <c r="L118" s="11" t="str">
        <f aca="false">IF(K118="","",IF(K118&gt;=CONFIG!$E$21,CONFIG!$D$21,IF(K118&gt;=CONFIG!$E$20,CONFIG!$D$20,CONFIG!$D$19)))</f>
        <v/>
      </c>
      <c r="M118" s="20" t="str">
        <f aca="false">IF(K118="","",IF(K118&gt;=CONFIG!$E$21,CONFIG!$F$21,IF(K118&gt;=CONFIG!$E$20,CONFIG!$F$20,CONFIG!$F$19)))</f>
        <v/>
      </c>
      <c r="N118" s="19" t="str">
        <f aca="false">IF(I118="","",IF(I118&lt;=M118,"OK","ALTA"))</f>
        <v/>
      </c>
      <c r="O118" s="13"/>
    </row>
    <row r="119" customFormat="false" ht="15" hidden="false" customHeight="false" outlineLevel="0" collapsed="false">
      <c r="A119" s="11" t="str">
        <f aca="false">IF(C119="","",ROW()-4)</f>
        <v/>
      </c>
      <c r="B119" s="12"/>
      <c r="C119" s="13"/>
      <c r="D119" s="11" t="str">
        <f aca="false">IF(C119="","",IFERROR(INDEX(LOTES!$D$5:$D$1004,MATCH(C119,LOTES!$F$5:$F$1004,0)),"¿Lote?"))</f>
        <v/>
      </c>
      <c r="E119" s="11" t="str">
        <f aca="false">IF(C119="","",IFERROR(INDEX(LOTES!$C$5:$C$1004,MATCH(C119,LOTES!$F$5:$F$1004,0)),""))</f>
        <v/>
      </c>
      <c r="F119" s="27"/>
      <c r="G119" s="27"/>
      <c r="H119" s="27"/>
      <c r="I119" s="20" t="str">
        <f aca="false">IF(AND(ISNUMBER(F119),ISNUMBER(G119),ISNUMBER(H119),F119&gt;G119,H119&gt;0),(F119-H119)/(F119-G119)*1000,"")</f>
        <v/>
      </c>
      <c r="J119" s="17" t="str">
        <f aca="false">IF(AND(ISNUMBER(F119),ISNUMBER(G119),ISNUMBER(H119),F119&gt;G119,H119&gt;0),(F119-H119)/H119,"")</f>
        <v/>
      </c>
      <c r="K119" s="20" t="str">
        <f aca="false">IF(AND(ISNUMBER(F119),ISNUMBER(G119),ISNUMBER(H119),F119&gt;G119,H119&gt;0),H119/(F119-G119)*1000,"")</f>
        <v/>
      </c>
      <c r="L119" s="11" t="str">
        <f aca="false">IF(K119="","",IF(K119&gt;=CONFIG!$E$21,CONFIG!$D$21,IF(K119&gt;=CONFIG!$E$20,CONFIG!$D$20,CONFIG!$D$19)))</f>
        <v/>
      </c>
      <c r="M119" s="20" t="str">
        <f aca="false">IF(K119="","",IF(K119&gt;=CONFIG!$E$21,CONFIG!$F$21,IF(K119&gt;=CONFIG!$E$20,CONFIG!$F$20,CONFIG!$F$19)))</f>
        <v/>
      </c>
      <c r="N119" s="19" t="str">
        <f aca="false">IF(I119="","",IF(I119&lt;=M119,"OK","ALTA"))</f>
        <v/>
      </c>
      <c r="O119" s="13"/>
    </row>
    <row r="120" customFormat="false" ht="15" hidden="false" customHeight="false" outlineLevel="0" collapsed="false">
      <c r="A120" s="11" t="str">
        <f aca="false">IF(C120="","",ROW()-4)</f>
        <v/>
      </c>
      <c r="B120" s="12"/>
      <c r="C120" s="13"/>
      <c r="D120" s="11" t="str">
        <f aca="false">IF(C120="","",IFERROR(INDEX(LOTES!$D$5:$D$1004,MATCH(C120,LOTES!$F$5:$F$1004,0)),"¿Lote?"))</f>
        <v/>
      </c>
      <c r="E120" s="11" t="str">
        <f aca="false">IF(C120="","",IFERROR(INDEX(LOTES!$C$5:$C$1004,MATCH(C120,LOTES!$F$5:$F$1004,0)),""))</f>
        <v/>
      </c>
      <c r="F120" s="27"/>
      <c r="G120" s="27"/>
      <c r="H120" s="27"/>
      <c r="I120" s="20" t="str">
        <f aca="false">IF(AND(ISNUMBER(F120),ISNUMBER(G120),ISNUMBER(H120),F120&gt;G120,H120&gt;0),(F120-H120)/(F120-G120)*1000,"")</f>
        <v/>
      </c>
      <c r="J120" s="17" t="str">
        <f aca="false">IF(AND(ISNUMBER(F120),ISNUMBER(G120),ISNUMBER(H120),F120&gt;G120,H120&gt;0),(F120-H120)/H120,"")</f>
        <v/>
      </c>
      <c r="K120" s="20" t="str">
        <f aca="false">IF(AND(ISNUMBER(F120),ISNUMBER(G120),ISNUMBER(H120),F120&gt;G120,H120&gt;0),H120/(F120-G120)*1000,"")</f>
        <v/>
      </c>
      <c r="L120" s="11" t="str">
        <f aca="false">IF(K120="","",IF(K120&gt;=CONFIG!$E$21,CONFIG!$D$21,IF(K120&gt;=CONFIG!$E$20,CONFIG!$D$20,CONFIG!$D$19)))</f>
        <v/>
      </c>
      <c r="M120" s="20" t="str">
        <f aca="false">IF(K120="","",IF(K120&gt;=CONFIG!$E$21,CONFIG!$F$21,IF(K120&gt;=CONFIG!$E$20,CONFIG!$F$20,CONFIG!$F$19)))</f>
        <v/>
      </c>
      <c r="N120" s="19" t="str">
        <f aca="false">IF(I120="","",IF(I120&lt;=M120,"OK","ALTA"))</f>
        <v/>
      </c>
      <c r="O120" s="13"/>
    </row>
    <row r="121" customFormat="false" ht="15" hidden="false" customHeight="false" outlineLevel="0" collapsed="false">
      <c r="A121" s="11" t="str">
        <f aca="false">IF(C121="","",ROW()-4)</f>
        <v/>
      </c>
      <c r="B121" s="12"/>
      <c r="C121" s="13"/>
      <c r="D121" s="11" t="str">
        <f aca="false">IF(C121="","",IFERROR(INDEX(LOTES!$D$5:$D$1004,MATCH(C121,LOTES!$F$5:$F$1004,0)),"¿Lote?"))</f>
        <v/>
      </c>
      <c r="E121" s="11" t="str">
        <f aca="false">IF(C121="","",IFERROR(INDEX(LOTES!$C$5:$C$1004,MATCH(C121,LOTES!$F$5:$F$1004,0)),""))</f>
        <v/>
      </c>
      <c r="F121" s="27"/>
      <c r="G121" s="27"/>
      <c r="H121" s="27"/>
      <c r="I121" s="20" t="str">
        <f aca="false">IF(AND(ISNUMBER(F121),ISNUMBER(G121),ISNUMBER(H121),F121&gt;G121,H121&gt;0),(F121-H121)/(F121-G121)*1000,"")</f>
        <v/>
      </c>
      <c r="J121" s="17" t="str">
        <f aca="false">IF(AND(ISNUMBER(F121),ISNUMBER(G121),ISNUMBER(H121),F121&gt;G121,H121&gt;0),(F121-H121)/H121,"")</f>
        <v/>
      </c>
      <c r="K121" s="20" t="str">
        <f aca="false">IF(AND(ISNUMBER(F121),ISNUMBER(G121),ISNUMBER(H121),F121&gt;G121,H121&gt;0),H121/(F121-G121)*1000,"")</f>
        <v/>
      </c>
      <c r="L121" s="11" t="str">
        <f aca="false">IF(K121="","",IF(K121&gt;=CONFIG!$E$21,CONFIG!$D$21,IF(K121&gt;=CONFIG!$E$20,CONFIG!$D$20,CONFIG!$D$19)))</f>
        <v/>
      </c>
      <c r="M121" s="20" t="str">
        <f aca="false">IF(K121="","",IF(K121&gt;=CONFIG!$E$21,CONFIG!$F$21,IF(K121&gt;=CONFIG!$E$20,CONFIG!$F$20,CONFIG!$F$19)))</f>
        <v/>
      </c>
      <c r="N121" s="19" t="str">
        <f aca="false">IF(I121="","",IF(I121&lt;=M121,"OK","ALTA"))</f>
        <v/>
      </c>
      <c r="O121" s="13"/>
    </row>
    <row r="122" customFormat="false" ht="15" hidden="false" customHeight="false" outlineLevel="0" collapsed="false">
      <c r="A122" s="11" t="str">
        <f aca="false">IF(C122="","",ROW()-4)</f>
        <v/>
      </c>
      <c r="B122" s="12"/>
      <c r="C122" s="13"/>
      <c r="D122" s="11" t="str">
        <f aca="false">IF(C122="","",IFERROR(INDEX(LOTES!$D$5:$D$1004,MATCH(C122,LOTES!$F$5:$F$1004,0)),"¿Lote?"))</f>
        <v/>
      </c>
      <c r="E122" s="11" t="str">
        <f aca="false">IF(C122="","",IFERROR(INDEX(LOTES!$C$5:$C$1004,MATCH(C122,LOTES!$F$5:$F$1004,0)),""))</f>
        <v/>
      </c>
      <c r="F122" s="27"/>
      <c r="G122" s="27"/>
      <c r="H122" s="27"/>
      <c r="I122" s="20" t="str">
        <f aca="false">IF(AND(ISNUMBER(F122),ISNUMBER(G122),ISNUMBER(H122),F122&gt;G122,H122&gt;0),(F122-H122)/(F122-G122)*1000,"")</f>
        <v/>
      </c>
      <c r="J122" s="17" t="str">
        <f aca="false">IF(AND(ISNUMBER(F122),ISNUMBER(G122),ISNUMBER(H122),F122&gt;G122,H122&gt;0),(F122-H122)/H122,"")</f>
        <v/>
      </c>
      <c r="K122" s="20" t="str">
        <f aca="false">IF(AND(ISNUMBER(F122),ISNUMBER(G122),ISNUMBER(H122),F122&gt;G122,H122&gt;0),H122/(F122-G122)*1000,"")</f>
        <v/>
      </c>
      <c r="L122" s="11" t="str">
        <f aca="false">IF(K122="","",IF(K122&gt;=CONFIG!$E$21,CONFIG!$D$21,IF(K122&gt;=CONFIG!$E$20,CONFIG!$D$20,CONFIG!$D$19)))</f>
        <v/>
      </c>
      <c r="M122" s="20" t="str">
        <f aca="false">IF(K122="","",IF(K122&gt;=CONFIG!$E$21,CONFIG!$F$21,IF(K122&gt;=CONFIG!$E$20,CONFIG!$F$20,CONFIG!$F$19)))</f>
        <v/>
      </c>
      <c r="N122" s="19" t="str">
        <f aca="false">IF(I122="","",IF(I122&lt;=M122,"OK","ALTA"))</f>
        <v/>
      </c>
      <c r="O122" s="13"/>
    </row>
    <row r="123" customFormat="false" ht="15" hidden="false" customHeight="false" outlineLevel="0" collapsed="false">
      <c r="A123" s="11" t="str">
        <f aca="false">IF(C123="","",ROW()-4)</f>
        <v/>
      </c>
      <c r="B123" s="12"/>
      <c r="C123" s="13"/>
      <c r="D123" s="11" t="str">
        <f aca="false">IF(C123="","",IFERROR(INDEX(LOTES!$D$5:$D$1004,MATCH(C123,LOTES!$F$5:$F$1004,0)),"¿Lote?"))</f>
        <v/>
      </c>
      <c r="E123" s="11" t="str">
        <f aca="false">IF(C123="","",IFERROR(INDEX(LOTES!$C$5:$C$1004,MATCH(C123,LOTES!$F$5:$F$1004,0)),""))</f>
        <v/>
      </c>
      <c r="F123" s="27"/>
      <c r="G123" s="27"/>
      <c r="H123" s="27"/>
      <c r="I123" s="20" t="str">
        <f aca="false">IF(AND(ISNUMBER(F123),ISNUMBER(G123),ISNUMBER(H123),F123&gt;G123,H123&gt;0),(F123-H123)/(F123-G123)*1000,"")</f>
        <v/>
      </c>
      <c r="J123" s="17" t="str">
        <f aca="false">IF(AND(ISNUMBER(F123),ISNUMBER(G123),ISNUMBER(H123),F123&gt;G123,H123&gt;0),(F123-H123)/H123,"")</f>
        <v/>
      </c>
      <c r="K123" s="20" t="str">
        <f aca="false">IF(AND(ISNUMBER(F123),ISNUMBER(G123),ISNUMBER(H123),F123&gt;G123,H123&gt;0),H123/(F123-G123)*1000,"")</f>
        <v/>
      </c>
      <c r="L123" s="11" t="str">
        <f aca="false">IF(K123="","",IF(K123&gt;=CONFIG!$E$21,CONFIG!$D$21,IF(K123&gt;=CONFIG!$E$20,CONFIG!$D$20,CONFIG!$D$19)))</f>
        <v/>
      </c>
      <c r="M123" s="20" t="str">
        <f aca="false">IF(K123="","",IF(K123&gt;=CONFIG!$E$21,CONFIG!$F$21,IF(K123&gt;=CONFIG!$E$20,CONFIG!$F$20,CONFIG!$F$19)))</f>
        <v/>
      </c>
      <c r="N123" s="19" t="str">
        <f aca="false">IF(I123="","",IF(I123&lt;=M123,"OK","ALTA"))</f>
        <v/>
      </c>
      <c r="O123" s="13"/>
    </row>
    <row r="124" customFormat="false" ht="15" hidden="false" customHeight="false" outlineLevel="0" collapsed="false">
      <c r="A124" s="11" t="str">
        <f aca="false">IF(C124="","",ROW()-4)</f>
        <v/>
      </c>
      <c r="B124" s="12"/>
      <c r="C124" s="13"/>
      <c r="D124" s="11" t="str">
        <f aca="false">IF(C124="","",IFERROR(INDEX(LOTES!$D$5:$D$1004,MATCH(C124,LOTES!$F$5:$F$1004,0)),"¿Lote?"))</f>
        <v/>
      </c>
      <c r="E124" s="11" t="str">
        <f aca="false">IF(C124="","",IFERROR(INDEX(LOTES!$C$5:$C$1004,MATCH(C124,LOTES!$F$5:$F$1004,0)),""))</f>
        <v/>
      </c>
      <c r="F124" s="27"/>
      <c r="G124" s="27"/>
      <c r="H124" s="27"/>
      <c r="I124" s="20" t="str">
        <f aca="false">IF(AND(ISNUMBER(F124),ISNUMBER(G124),ISNUMBER(H124),F124&gt;G124,H124&gt;0),(F124-H124)/(F124-G124)*1000,"")</f>
        <v/>
      </c>
      <c r="J124" s="17" t="str">
        <f aca="false">IF(AND(ISNUMBER(F124),ISNUMBER(G124),ISNUMBER(H124),F124&gt;G124,H124&gt;0),(F124-H124)/H124,"")</f>
        <v/>
      </c>
      <c r="K124" s="20" t="str">
        <f aca="false">IF(AND(ISNUMBER(F124),ISNUMBER(G124),ISNUMBER(H124),F124&gt;G124,H124&gt;0),H124/(F124-G124)*1000,"")</f>
        <v/>
      </c>
      <c r="L124" s="11" t="str">
        <f aca="false">IF(K124="","",IF(K124&gt;=CONFIG!$E$21,CONFIG!$D$21,IF(K124&gt;=CONFIG!$E$20,CONFIG!$D$20,CONFIG!$D$19)))</f>
        <v/>
      </c>
      <c r="M124" s="20" t="str">
        <f aca="false">IF(K124="","",IF(K124&gt;=CONFIG!$E$21,CONFIG!$F$21,IF(K124&gt;=CONFIG!$E$20,CONFIG!$F$20,CONFIG!$F$19)))</f>
        <v/>
      </c>
      <c r="N124" s="19" t="str">
        <f aca="false">IF(I124="","",IF(I124&lt;=M124,"OK","ALTA"))</f>
        <v/>
      </c>
      <c r="O124" s="13"/>
    </row>
    <row r="125" customFormat="false" ht="15" hidden="false" customHeight="false" outlineLevel="0" collapsed="false">
      <c r="A125" s="11" t="str">
        <f aca="false">IF(C125="","",ROW()-4)</f>
        <v/>
      </c>
      <c r="B125" s="12"/>
      <c r="C125" s="13"/>
      <c r="D125" s="11" t="str">
        <f aca="false">IF(C125="","",IFERROR(INDEX(LOTES!$D$5:$D$1004,MATCH(C125,LOTES!$F$5:$F$1004,0)),"¿Lote?"))</f>
        <v/>
      </c>
      <c r="E125" s="11" t="str">
        <f aca="false">IF(C125="","",IFERROR(INDEX(LOTES!$C$5:$C$1004,MATCH(C125,LOTES!$F$5:$F$1004,0)),""))</f>
        <v/>
      </c>
      <c r="F125" s="27"/>
      <c r="G125" s="27"/>
      <c r="H125" s="27"/>
      <c r="I125" s="20" t="str">
        <f aca="false">IF(AND(ISNUMBER(F125),ISNUMBER(G125),ISNUMBER(H125),F125&gt;G125,H125&gt;0),(F125-H125)/(F125-G125)*1000,"")</f>
        <v/>
      </c>
      <c r="J125" s="17" t="str">
        <f aca="false">IF(AND(ISNUMBER(F125),ISNUMBER(G125),ISNUMBER(H125),F125&gt;G125,H125&gt;0),(F125-H125)/H125,"")</f>
        <v/>
      </c>
      <c r="K125" s="20" t="str">
        <f aca="false">IF(AND(ISNUMBER(F125),ISNUMBER(G125),ISNUMBER(H125),F125&gt;G125,H125&gt;0),H125/(F125-G125)*1000,"")</f>
        <v/>
      </c>
      <c r="L125" s="11" t="str">
        <f aca="false">IF(K125="","",IF(K125&gt;=CONFIG!$E$21,CONFIG!$D$21,IF(K125&gt;=CONFIG!$E$20,CONFIG!$D$20,CONFIG!$D$19)))</f>
        <v/>
      </c>
      <c r="M125" s="20" t="str">
        <f aca="false">IF(K125="","",IF(K125&gt;=CONFIG!$E$21,CONFIG!$F$21,IF(K125&gt;=CONFIG!$E$20,CONFIG!$F$20,CONFIG!$F$19)))</f>
        <v/>
      </c>
      <c r="N125" s="19" t="str">
        <f aca="false">IF(I125="","",IF(I125&lt;=M125,"OK","ALTA"))</f>
        <v/>
      </c>
      <c r="O125" s="13"/>
    </row>
    <row r="126" customFormat="false" ht="15" hidden="false" customHeight="false" outlineLevel="0" collapsed="false">
      <c r="A126" s="11" t="str">
        <f aca="false">IF(C126="","",ROW()-4)</f>
        <v/>
      </c>
      <c r="B126" s="12"/>
      <c r="C126" s="13"/>
      <c r="D126" s="11" t="str">
        <f aca="false">IF(C126="","",IFERROR(INDEX(LOTES!$D$5:$D$1004,MATCH(C126,LOTES!$F$5:$F$1004,0)),"¿Lote?"))</f>
        <v/>
      </c>
      <c r="E126" s="11" t="str">
        <f aca="false">IF(C126="","",IFERROR(INDEX(LOTES!$C$5:$C$1004,MATCH(C126,LOTES!$F$5:$F$1004,0)),""))</f>
        <v/>
      </c>
      <c r="F126" s="27"/>
      <c r="G126" s="27"/>
      <c r="H126" s="27"/>
      <c r="I126" s="20" t="str">
        <f aca="false">IF(AND(ISNUMBER(F126),ISNUMBER(G126),ISNUMBER(H126),F126&gt;G126,H126&gt;0),(F126-H126)/(F126-G126)*1000,"")</f>
        <v/>
      </c>
      <c r="J126" s="17" t="str">
        <f aca="false">IF(AND(ISNUMBER(F126),ISNUMBER(G126),ISNUMBER(H126),F126&gt;G126,H126&gt;0),(F126-H126)/H126,"")</f>
        <v/>
      </c>
      <c r="K126" s="20" t="str">
        <f aca="false">IF(AND(ISNUMBER(F126),ISNUMBER(G126),ISNUMBER(H126),F126&gt;G126,H126&gt;0),H126/(F126-G126)*1000,"")</f>
        <v/>
      </c>
      <c r="L126" s="11" t="str">
        <f aca="false">IF(K126="","",IF(K126&gt;=CONFIG!$E$21,CONFIG!$D$21,IF(K126&gt;=CONFIG!$E$20,CONFIG!$D$20,CONFIG!$D$19)))</f>
        <v/>
      </c>
      <c r="M126" s="20" t="str">
        <f aca="false">IF(K126="","",IF(K126&gt;=CONFIG!$E$21,CONFIG!$F$21,IF(K126&gt;=CONFIG!$E$20,CONFIG!$F$20,CONFIG!$F$19)))</f>
        <v/>
      </c>
      <c r="N126" s="19" t="str">
        <f aca="false">IF(I126="","",IF(I126&lt;=M126,"OK","ALTA"))</f>
        <v/>
      </c>
      <c r="O126" s="13"/>
    </row>
    <row r="127" customFormat="false" ht="15" hidden="false" customHeight="false" outlineLevel="0" collapsed="false">
      <c r="A127" s="11" t="str">
        <f aca="false">IF(C127="","",ROW()-4)</f>
        <v/>
      </c>
      <c r="B127" s="12"/>
      <c r="C127" s="13"/>
      <c r="D127" s="11" t="str">
        <f aca="false">IF(C127="","",IFERROR(INDEX(LOTES!$D$5:$D$1004,MATCH(C127,LOTES!$F$5:$F$1004,0)),"¿Lote?"))</f>
        <v/>
      </c>
      <c r="E127" s="11" t="str">
        <f aca="false">IF(C127="","",IFERROR(INDEX(LOTES!$C$5:$C$1004,MATCH(C127,LOTES!$F$5:$F$1004,0)),""))</f>
        <v/>
      </c>
      <c r="F127" s="27"/>
      <c r="G127" s="27"/>
      <c r="H127" s="27"/>
      <c r="I127" s="20" t="str">
        <f aca="false">IF(AND(ISNUMBER(F127),ISNUMBER(G127),ISNUMBER(H127),F127&gt;G127,H127&gt;0),(F127-H127)/(F127-G127)*1000,"")</f>
        <v/>
      </c>
      <c r="J127" s="17" t="str">
        <f aca="false">IF(AND(ISNUMBER(F127),ISNUMBER(G127),ISNUMBER(H127),F127&gt;G127,H127&gt;0),(F127-H127)/H127,"")</f>
        <v/>
      </c>
      <c r="K127" s="20" t="str">
        <f aca="false">IF(AND(ISNUMBER(F127),ISNUMBER(G127),ISNUMBER(H127),F127&gt;G127,H127&gt;0),H127/(F127-G127)*1000,"")</f>
        <v/>
      </c>
      <c r="L127" s="11" t="str">
        <f aca="false">IF(K127="","",IF(K127&gt;=CONFIG!$E$21,CONFIG!$D$21,IF(K127&gt;=CONFIG!$E$20,CONFIG!$D$20,CONFIG!$D$19)))</f>
        <v/>
      </c>
      <c r="M127" s="20" t="str">
        <f aca="false">IF(K127="","",IF(K127&gt;=CONFIG!$E$21,CONFIG!$F$21,IF(K127&gt;=CONFIG!$E$20,CONFIG!$F$20,CONFIG!$F$19)))</f>
        <v/>
      </c>
      <c r="N127" s="19" t="str">
        <f aca="false">IF(I127="","",IF(I127&lt;=M127,"OK","ALTA"))</f>
        <v/>
      </c>
      <c r="O127" s="13"/>
    </row>
    <row r="128" customFormat="false" ht="15" hidden="false" customHeight="false" outlineLevel="0" collapsed="false">
      <c r="A128" s="11" t="str">
        <f aca="false">IF(C128="","",ROW()-4)</f>
        <v/>
      </c>
      <c r="B128" s="12"/>
      <c r="C128" s="13"/>
      <c r="D128" s="11" t="str">
        <f aca="false">IF(C128="","",IFERROR(INDEX(LOTES!$D$5:$D$1004,MATCH(C128,LOTES!$F$5:$F$1004,0)),"¿Lote?"))</f>
        <v/>
      </c>
      <c r="E128" s="11" t="str">
        <f aca="false">IF(C128="","",IFERROR(INDEX(LOTES!$C$5:$C$1004,MATCH(C128,LOTES!$F$5:$F$1004,0)),""))</f>
        <v/>
      </c>
      <c r="F128" s="27"/>
      <c r="G128" s="27"/>
      <c r="H128" s="27"/>
      <c r="I128" s="20" t="str">
        <f aca="false">IF(AND(ISNUMBER(F128),ISNUMBER(G128),ISNUMBER(H128),F128&gt;G128,H128&gt;0),(F128-H128)/(F128-G128)*1000,"")</f>
        <v/>
      </c>
      <c r="J128" s="17" t="str">
        <f aca="false">IF(AND(ISNUMBER(F128),ISNUMBER(G128),ISNUMBER(H128),F128&gt;G128,H128&gt;0),(F128-H128)/H128,"")</f>
        <v/>
      </c>
      <c r="K128" s="20" t="str">
        <f aca="false">IF(AND(ISNUMBER(F128),ISNUMBER(G128),ISNUMBER(H128),F128&gt;G128,H128&gt;0),H128/(F128-G128)*1000,"")</f>
        <v/>
      </c>
      <c r="L128" s="11" t="str">
        <f aca="false">IF(K128="","",IF(K128&gt;=CONFIG!$E$21,CONFIG!$D$21,IF(K128&gt;=CONFIG!$E$20,CONFIG!$D$20,CONFIG!$D$19)))</f>
        <v/>
      </c>
      <c r="M128" s="20" t="str">
        <f aca="false">IF(K128="","",IF(K128&gt;=CONFIG!$E$21,CONFIG!$F$21,IF(K128&gt;=CONFIG!$E$20,CONFIG!$F$20,CONFIG!$F$19)))</f>
        <v/>
      </c>
      <c r="N128" s="19" t="str">
        <f aca="false">IF(I128="","",IF(I128&lt;=M128,"OK","ALTA"))</f>
        <v/>
      </c>
      <c r="O128" s="13"/>
    </row>
    <row r="129" customFormat="false" ht="15" hidden="false" customHeight="false" outlineLevel="0" collapsed="false">
      <c r="A129" s="11" t="str">
        <f aca="false">IF(C129="","",ROW()-4)</f>
        <v/>
      </c>
      <c r="B129" s="12"/>
      <c r="C129" s="13"/>
      <c r="D129" s="11" t="str">
        <f aca="false">IF(C129="","",IFERROR(INDEX(LOTES!$D$5:$D$1004,MATCH(C129,LOTES!$F$5:$F$1004,0)),"¿Lote?"))</f>
        <v/>
      </c>
      <c r="E129" s="11" t="str">
        <f aca="false">IF(C129="","",IFERROR(INDEX(LOTES!$C$5:$C$1004,MATCH(C129,LOTES!$F$5:$F$1004,0)),""))</f>
        <v/>
      </c>
      <c r="F129" s="27"/>
      <c r="G129" s="27"/>
      <c r="H129" s="27"/>
      <c r="I129" s="20" t="str">
        <f aca="false">IF(AND(ISNUMBER(F129),ISNUMBER(G129),ISNUMBER(H129),F129&gt;G129,H129&gt;0),(F129-H129)/(F129-G129)*1000,"")</f>
        <v/>
      </c>
      <c r="J129" s="17" t="str">
        <f aca="false">IF(AND(ISNUMBER(F129),ISNUMBER(G129),ISNUMBER(H129),F129&gt;G129,H129&gt;0),(F129-H129)/H129,"")</f>
        <v/>
      </c>
      <c r="K129" s="20" t="str">
        <f aca="false">IF(AND(ISNUMBER(F129),ISNUMBER(G129),ISNUMBER(H129),F129&gt;G129,H129&gt;0),H129/(F129-G129)*1000,"")</f>
        <v/>
      </c>
      <c r="L129" s="11" t="str">
        <f aca="false">IF(K129="","",IF(K129&gt;=CONFIG!$E$21,CONFIG!$D$21,IF(K129&gt;=CONFIG!$E$20,CONFIG!$D$20,CONFIG!$D$19)))</f>
        <v/>
      </c>
      <c r="M129" s="20" t="str">
        <f aca="false">IF(K129="","",IF(K129&gt;=CONFIG!$E$21,CONFIG!$F$21,IF(K129&gt;=CONFIG!$E$20,CONFIG!$F$20,CONFIG!$F$19)))</f>
        <v/>
      </c>
      <c r="N129" s="19" t="str">
        <f aca="false">IF(I129="","",IF(I129&lt;=M129,"OK","ALTA"))</f>
        <v/>
      </c>
      <c r="O129" s="13"/>
    </row>
    <row r="130" customFormat="false" ht="15" hidden="false" customHeight="false" outlineLevel="0" collapsed="false">
      <c r="A130" s="11" t="str">
        <f aca="false">IF(C130="","",ROW()-4)</f>
        <v/>
      </c>
      <c r="B130" s="12"/>
      <c r="C130" s="13"/>
      <c r="D130" s="11" t="str">
        <f aca="false">IF(C130="","",IFERROR(INDEX(LOTES!$D$5:$D$1004,MATCH(C130,LOTES!$F$5:$F$1004,0)),"¿Lote?"))</f>
        <v/>
      </c>
      <c r="E130" s="11" t="str">
        <f aca="false">IF(C130="","",IFERROR(INDEX(LOTES!$C$5:$C$1004,MATCH(C130,LOTES!$F$5:$F$1004,0)),""))</f>
        <v/>
      </c>
      <c r="F130" s="27"/>
      <c r="G130" s="27"/>
      <c r="H130" s="27"/>
      <c r="I130" s="20" t="str">
        <f aca="false">IF(AND(ISNUMBER(F130),ISNUMBER(G130),ISNUMBER(H130),F130&gt;G130,H130&gt;0),(F130-H130)/(F130-G130)*1000,"")</f>
        <v/>
      </c>
      <c r="J130" s="17" t="str">
        <f aca="false">IF(AND(ISNUMBER(F130),ISNUMBER(G130),ISNUMBER(H130),F130&gt;G130,H130&gt;0),(F130-H130)/H130,"")</f>
        <v/>
      </c>
      <c r="K130" s="20" t="str">
        <f aca="false">IF(AND(ISNUMBER(F130),ISNUMBER(G130),ISNUMBER(H130),F130&gt;G130,H130&gt;0),H130/(F130-G130)*1000,"")</f>
        <v/>
      </c>
      <c r="L130" s="11" t="str">
        <f aca="false">IF(K130="","",IF(K130&gt;=CONFIG!$E$21,CONFIG!$D$21,IF(K130&gt;=CONFIG!$E$20,CONFIG!$D$20,CONFIG!$D$19)))</f>
        <v/>
      </c>
      <c r="M130" s="20" t="str">
        <f aca="false">IF(K130="","",IF(K130&gt;=CONFIG!$E$21,CONFIG!$F$21,IF(K130&gt;=CONFIG!$E$20,CONFIG!$F$20,CONFIG!$F$19)))</f>
        <v/>
      </c>
      <c r="N130" s="19" t="str">
        <f aca="false">IF(I130="","",IF(I130&lt;=M130,"OK","ALTA"))</f>
        <v/>
      </c>
      <c r="O130" s="13"/>
    </row>
    <row r="131" customFormat="false" ht="15" hidden="false" customHeight="false" outlineLevel="0" collapsed="false">
      <c r="A131" s="11" t="str">
        <f aca="false">IF(C131="","",ROW()-4)</f>
        <v/>
      </c>
      <c r="B131" s="12"/>
      <c r="C131" s="13"/>
      <c r="D131" s="11" t="str">
        <f aca="false">IF(C131="","",IFERROR(INDEX(LOTES!$D$5:$D$1004,MATCH(C131,LOTES!$F$5:$F$1004,0)),"¿Lote?"))</f>
        <v/>
      </c>
      <c r="E131" s="11" t="str">
        <f aca="false">IF(C131="","",IFERROR(INDEX(LOTES!$C$5:$C$1004,MATCH(C131,LOTES!$F$5:$F$1004,0)),""))</f>
        <v/>
      </c>
      <c r="F131" s="27"/>
      <c r="G131" s="27"/>
      <c r="H131" s="27"/>
      <c r="I131" s="20" t="str">
        <f aca="false">IF(AND(ISNUMBER(F131),ISNUMBER(G131),ISNUMBER(H131),F131&gt;G131,H131&gt;0),(F131-H131)/(F131-G131)*1000,"")</f>
        <v/>
      </c>
      <c r="J131" s="17" t="str">
        <f aca="false">IF(AND(ISNUMBER(F131),ISNUMBER(G131),ISNUMBER(H131),F131&gt;G131,H131&gt;0),(F131-H131)/H131,"")</f>
        <v/>
      </c>
      <c r="K131" s="20" t="str">
        <f aca="false">IF(AND(ISNUMBER(F131),ISNUMBER(G131),ISNUMBER(H131),F131&gt;G131,H131&gt;0),H131/(F131-G131)*1000,"")</f>
        <v/>
      </c>
      <c r="L131" s="11" t="str">
        <f aca="false">IF(K131="","",IF(K131&gt;=CONFIG!$E$21,CONFIG!$D$21,IF(K131&gt;=CONFIG!$E$20,CONFIG!$D$20,CONFIG!$D$19)))</f>
        <v/>
      </c>
      <c r="M131" s="20" t="str">
        <f aca="false">IF(K131="","",IF(K131&gt;=CONFIG!$E$21,CONFIG!$F$21,IF(K131&gt;=CONFIG!$E$20,CONFIG!$F$20,CONFIG!$F$19)))</f>
        <v/>
      </c>
      <c r="N131" s="19" t="str">
        <f aca="false">IF(I131="","",IF(I131&lt;=M131,"OK","ALTA"))</f>
        <v/>
      </c>
      <c r="O131" s="13"/>
    </row>
    <row r="132" customFormat="false" ht="15" hidden="false" customHeight="false" outlineLevel="0" collapsed="false">
      <c r="A132" s="11" t="str">
        <f aca="false">IF(C132="","",ROW()-4)</f>
        <v/>
      </c>
      <c r="B132" s="12"/>
      <c r="C132" s="13"/>
      <c r="D132" s="11" t="str">
        <f aca="false">IF(C132="","",IFERROR(INDEX(LOTES!$D$5:$D$1004,MATCH(C132,LOTES!$F$5:$F$1004,0)),"¿Lote?"))</f>
        <v/>
      </c>
      <c r="E132" s="11" t="str">
        <f aca="false">IF(C132="","",IFERROR(INDEX(LOTES!$C$5:$C$1004,MATCH(C132,LOTES!$F$5:$F$1004,0)),""))</f>
        <v/>
      </c>
      <c r="F132" s="27"/>
      <c r="G132" s="27"/>
      <c r="H132" s="27"/>
      <c r="I132" s="20" t="str">
        <f aca="false">IF(AND(ISNUMBER(F132),ISNUMBER(G132),ISNUMBER(H132),F132&gt;G132,H132&gt;0),(F132-H132)/(F132-G132)*1000,"")</f>
        <v/>
      </c>
      <c r="J132" s="17" t="str">
        <f aca="false">IF(AND(ISNUMBER(F132),ISNUMBER(G132),ISNUMBER(H132),F132&gt;G132,H132&gt;0),(F132-H132)/H132,"")</f>
        <v/>
      </c>
      <c r="K132" s="20" t="str">
        <f aca="false">IF(AND(ISNUMBER(F132),ISNUMBER(G132),ISNUMBER(H132),F132&gt;G132,H132&gt;0),H132/(F132-G132)*1000,"")</f>
        <v/>
      </c>
      <c r="L132" s="11" t="str">
        <f aca="false">IF(K132="","",IF(K132&gt;=CONFIG!$E$21,CONFIG!$D$21,IF(K132&gt;=CONFIG!$E$20,CONFIG!$D$20,CONFIG!$D$19)))</f>
        <v/>
      </c>
      <c r="M132" s="20" t="str">
        <f aca="false">IF(K132="","",IF(K132&gt;=CONFIG!$E$21,CONFIG!$F$21,IF(K132&gt;=CONFIG!$E$20,CONFIG!$F$20,CONFIG!$F$19)))</f>
        <v/>
      </c>
      <c r="N132" s="19" t="str">
        <f aca="false">IF(I132="","",IF(I132&lt;=M132,"OK","ALTA"))</f>
        <v/>
      </c>
      <c r="O132" s="13"/>
    </row>
    <row r="133" customFormat="false" ht="15" hidden="false" customHeight="false" outlineLevel="0" collapsed="false">
      <c r="A133" s="11" t="str">
        <f aca="false">IF(C133="","",ROW()-4)</f>
        <v/>
      </c>
      <c r="B133" s="12"/>
      <c r="C133" s="13"/>
      <c r="D133" s="11" t="str">
        <f aca="false">IF(C133="","",IFERROR(INDEX(LOTES!$D$5:$D$1004,MATCH(C133,LOTES!$F$5:$F$1004,0)),"¿Lote?"))</f>
        <v/>
      </c>
      <c r="E133" s="11" t="str">
        <f aca="false">IF(C133="","",IFERROR(INDEX(LOTES!$C$5:$C$1004,MATCH(C133,LOTES!$F$5:$F$1004,0)),""))</f>
        <v/>
      </c>
      <c r="F133" s="27"/>
      <c r="G133" s="27"/>
      <c r="H133" s="27"/>
      <c r="I133" s="20" t="str">
        <f aca="false">IF(AND(ISNUMBER(F133),ISNUMBER(G133),ISNUMBER(H133),F133&gt;G133,H133&gt;0),(F133-H133)/(F133-G133)*1000,"")</f>
        <v/>
      </c>
      <c r="J133" s="17" t="str">
        <f aca="false">IF(AND(ISNUMBER(F133),ISNUMBER(G133),ISNUMBER(H133),F133&gt;G133,H133&gt;0),(F133-H133)/H133,"")</f>
        <v/>
      </c>
      <c r="K133" s="20" t="str">
        <f aca="false">IF(AND(ISNUMBER(F133),ISNUMBER(G133),ISNUMBER(H133),F133&gt;G133,H133&gt;0),H133/(F133-G133)*1000,"")</f>
        <v/>
      </c>
      <c r="L133" s="11" t="str">
        <f aca="false">IF(K133="","",IF(K133&gt;=CONFIG!$E$21,CONFIG!$D$21,IF(K133&gt;=CONFIG!$E$20,CONFIG!$D$20,CONFIG!$D$19)))</f>
        <v/>
      </c>
      <c r="M133" s="20" t="str">
        <f aca="false">IF(K133="","",IF(K133&gt;=CONFIG!$E$21,CONFIG!$F$21,IF(K133&gt;=CONFIG!$E$20,CONFIG!$F$20,CONFIG!$F$19)))</f>
        <v/>
      </c>
      <c r="N133" s="19" t="str">
        <f aca="false">IF(I133="","",IF(I133&lt;=M133,"OK","ALTA"))</f>
        <v/>
      </c>
      <c r="O133" s="13"/>
    </row>
    <row r="134" customFormat="false" ht="15" hidden="false" customHeight="false" outlineLevel="0" collapsed="false">
      <c r="A134" s="11" t="str">
        <f aca="false">IF(C134="","",ROW()-4)</f>
        <v/>
      </c>
      <c r="B134" s="12"/>
      <c r="C134" s="13"/>
      <c r="D134" s="11" t="str">
        <f aca="false">IF(C134="","",IFERROR(INDEX(LOTES!$D$5:$D$1004,MATCH(C134,LOTES!$F$5:$F$1004,0)),"¿Lote?"))</f>
        <v/>
      </c>
      <c r="E134" s="11" t="str">
        <f aca="false">IF(C134="","",IFERROR(INDEX(LOTES!$C$5:$C$1004,MATCH(C134,LOTES!$F$5:$F$1004,0)),""))</f>
        <v/>
      </c>
      <c r="F134" s="27"/>
      <c r="G134" s="27"/>
      <c r="H134" s="27"/>
      <c r="I134" s="20" t="str">
        <f aca="false">IF(AND(ISNUMBER(F134),ISNUMBER(G134),ISNUMBER(H134),F134&gt;G134,H134&gt;0),(F134-H134)/(F134-G134)*1000,"")</f>
        <v/>
      </c>
      <c r="J134" s="17" t="str">
        <f aca="false">IF(AND(ISNUMBER(F134),ISNUMBER(G134),ISNUMBER(H134),F134&gt;G134,H134&gt;0),(F134-H134)/H134,"")</f>
        <v/>
      </c>
      <c r="K134" s="20" t="str">
        <f aca="false">IF(AND(ISNUMBER(F134),ISNUMBER(G134),ISNUMBER(H134),F134&gt;G134,H134&gt;0),H134/(F134-G134)*1000,"")</f>
        <v/>
      </c>
      <c r="L134" s="11" t="str">
        <f aca="false">IF(K134="","",IF(K134&gt;=CONFIG!$E$21,CONFIG!$D$21,IF(K134&gt;=CONFIG!$E$20,CONFIG!$D$20,CONFIG!$D$19)))</f>
        <v/>
      </c>
      <c r="M134" s="20" t="str">
        <f aca="false">IF(K134="","",IF(K134&gt;=CONFIG!$E$21,CONFIG!$F$21,IF(K134&gt;=CONFIG!$E$20,CONFIG!$F$20,CONFIG!$F$19)))</f>
        <v/>
      </c>
      <c r="N134" s="19" t="str">
        <f aca="false">IF(I134="","",IF(I134&lt;=M134,"OK","ALTA"))</f>
        <v/>
      </c>
      <c r="O134" s="13"/>
    </row>
    <row r="135" customFormat="false" ht="15" hidden="false" customHeight="false" outlineLevel="0" collapsed="false">
      <c r="A135" s="11" t="str">
        <f aca="false">IF(C135="","",ROW()-4)</f>
        <v/>
      </c>
      <c r="B135" s="12"/>
      <c r="C135" s="13"/>
      <c r="D135" s="11" t="str">
        <f aca="false">IF(C135="","",IFERROR(INDEX(LOTES!$D$5:$D$1004,MATCH(C135,LOTES!$F$5:$F$1004,0)),"¿Lote?"))</f>
        <v/>
      </c>
      <c r="E135" s="11" t="str">
        <f aca="false">IF(C135="","",IFERROR(INDEX(LOTES!$C$5:$C$1004,MATCH(C135,LOTES!$F$5:$F$1004,0)),""))</f>
        <v/>
      </c>
      <c r="F135" s="27"/>
      <c r="G135" s="27"/>
      <c r="H135" s="27"/>
      <c r="I135" s="20" t="str">
        <f aca="false">IF(AND(ISNUMBER(F135),ISNUMBER(G135),ISNUMBER(H135),F135&gt;G135,H135&gt;0),(F135-H135)/(F135-G135)*1000,"")</f>
        <v/>
      </c>
      <c r="J135" s="17" t="str">
        <f aca="false">IF(AND(ISNUMBER(F135),ISNUMBER(G135),ISNUMBER(H135),F135&gt;G135,H135&gt;0),(F135-H135)/H135,"")</f>
        <v/>
      </c>
      <c r="K135" s="20" t="str">
        <f aca="false">IF(AND(ISNUMBER(F135),ISNUMBER(G135),ISNUMBER(H135),F135&gt;G135,H135&gt;0),H135/(F135-G135)*1000,"")</f>
        <v/>
      </c>
      <c r="L135" s="11" t="str">
        <f aca="false">IF(K135="","",IF(K135&gt;=CONFIG!$E$21,CONFIG!$D$21,IF(K135&gt;=CONFIG!$E$20,CONFIG!$D$20,CONFIG!$D$19)))</f>
        <v/>
      </c>
      <c r="M135" s="20" t="str">
        <f aca="false">IF(K135="","",IF(K135&gt;=CONFIG!$E$21,CONFIG!$F$21,IF(K135&gt;=CONFIG!$E$20,CONFIG!$F$20,CONFIG!$F$19)))</f>
        <v/>
      </c>
      <c r="N135" s="19" t="str">
        <f aca="false">IF(I135="","",IF(I135&lt;=M135,"OK","ALTA"))</f>
        <v/>
      </c>
      <c r="O135" s="13"/>
    </row>
    <row r="136" customFormat="false" ht="15" hidden="false" customHeight="false" outlineLevel="0" collapsed="false">
      <c r="A136" s="11" t="str">
        <f aca="false">IF(C136="","",ROW()-4)</f>
        <v/>
      </c>
      <c r="B136" s="12"/>
      <c r="C136" s="13"/>
      <c r="D136" s="11" t="str">
        <f aca="false">IF(C136="","",IFERROR(INDEX(LOTES!$D$5:$D$1004,MATCH(C136,LOTES!$F$5:$F$1004,0)),"¿Lote?"))</f>
        <v/>
      </c>
      <c r="E136" s="11" t="str">
        <f aca="false">IF(C136="","",IFERROR(INDEX(LOTES!$C$5:$C$1004,MATCH(C136,LOTES!$F$5:$F$1004,0)),""))</f>
        <v/>
      </c>
      <c r="F136" s="27"/>
      <c r="G136" s="27"/>
      <c r="H136" s="27"/>
      <c r="I136" s="20" t="str">
        <f aca="false">IF(AND(ISNUMBER(F136),ISNUMBER(G136),ISNUMBER(H136),F136&gt;G136,H136&gt;0),(F136-H136)/(F136-G136)*1000,"")</f>
        <v/>
      </c>
      <c r="J136" s="17" t="str">
        <f aca="false">IF(AND(ISNUMBER(F136),ISNUMBER(G136),ISNUMBER(H136),F136&gt;G136,H136&gt;0),(F136-H136)/H136,"")</f>
        <v/>
      </c>
      <c r="K136" s="20" t="str">
        <f aca="false">IF(AND(ISNUMBER(F136),ISNUMBER(G136),ISNUMBER(H136),F136&gt;G136,H136&gt;0),H136/(F136-G136)*1000,"")</f>
        <v/>
      </c>
      <c r="L136" s="11" t="str">
        <f aca="false">IF(K136="","",IF(K136&gt;=CONFIG!$E$21,CONFIG!$D$21,IF(K136&gt;=CONFIG!$E$20,CONFIG!$D$20,CONFIG!$D$19)))</f>
        <v/>
      </c>
      <c r="M136" s="20" t="str">
        <f aca="false">IF(K136="","",IF(K136&gt;=CONFIG!$E$21,CONFIG!$F$21,IF(K136&gt;=CONFIG!$E$20,CONFIG!$F$20,CONFIG!$F$19)))</f>
        <v/>
      </c>
      <c r="N136" s="19" t="str">
        <f aca="false">IF(I136="","",IF(I136&lt;=M136,"OK","ALTA"))</f>
        <v/>
      </c>
      <c r="O136" s="13"/>
    </row>
    <row r="137" customFormat="false" ht="15" hidden="false" customHeight="false" outlineLevel="0" collapsed="false">
      <c r="A137" s="11" t="str">
        <f aca="false">IF(C137="","",ROW()-4)</f>
        <v/>
      </c>
      <c r="B137" s="12"/>
      <c r="C137" s="13"/>
      <c r="D137" s="11" t="str">
        <f aca="false">IF(C137="","",IFERROR(INDEX(LOTES!$D$5:$D$1004,MATCH(C137,LOTES!$F$5:$F$1004,0)),"¿Lote?"))</f>
        <v/>
      </c>
      <c r="E137" s="11" t="str">
        <f aca="false">IF(C137="","",IFERROR(INDEX(LOTES!$C$5:$C$1004,MATCH(C137,LOTES!$F$5:$F$1004,0)),""))</f>
        <v/>
      </c>
      <c r="F137" s="27"/>
      <c r="G137" s="27"/>
      <c r="H137" s="27"/>
      <c r="I137" s="20" t="str">
        <f aca="false">IF(AND(ISNUMBER(F137),ISNUMBER(G137),ISNUMBER(H137),F137&gt;G137,H137&gt;0),(F137-H137)/(F137-G137)*1000,"")</f>
        <v/>
      </c>
      <c r="J137" s="17" t="str">
        <f aca="false">IF(AND(ISNUMBER(F137),ISNUMBER(G137),ISNUMBER(H137),F137&gt;G137,H137&gt;0),(F137-H137)/H137,"")</f>
        <v/>
      </c>
      <c r="K137" s="20" t="str">
        <f aca="false">IF(AND(ISNUMBER(F137),ISNUMBER(G137),ISNUMBER(H137),F137&gt;G137,H137&gt;0),H137/(F137-G137)*1000,"")</f>
        <v/>
      </c>
      <c r="L137" s="11" t="str">
        <f aca="false">IF(K137="","",IF(K137&gt;=CONFIG!$E$21,CONFIG!$D$21,IF(K137&gt;=CONFIG!$E$20,CONFIG!$D$20,CONFIG!$D$19)))</f>
        <v/>
      </c>
      <c r="M137" s="20" t="str">
        <f aca="false">IF(K137="","",IF(K137&gt;=CONFIG!$E$21,CONFIG!$F$21,IF(K137&gt;=CONFIG!$E$20,CONFIG!$F$20,CONFIG!$F$19)))</f>
        <v/>
      </c>
      <c r="N137" s="19" t="str">
        <f aca="false">IF(I137="","",IF(I137&lt;=M137,"OK","ALTA"))</f>
        <v/>
      </c>
      <c r="O137" s="13"/>
    </row>
    <row r="138" customFormat="false" ht="15" hidden="false" customHeight="false" outlineLevel="0" collapsed="false">
      <c r="A138" s="11" t="str">
        <f aca="false">IF(C138="","",ROW()-4)</f>
        <v/>
      </c>
      <c r="B138" s="12"/>
      <c r="C138" s="13"/>
      <c r="D138" s="11" t="str">
        <f aca="false">IF(C138="","",IFERROR(INDEX(LOTES!$D$5:$D$1004,MATCH(C138,LOTES!$F$5:$F$1004,0)),"¿Lote?"))</f>
        <v/>
      </c>
      <c r="E138" s="11" t="str">
        <f aca="false">IF(C138="","",IFERROR(INDEX(LOTES!$C$5:$C$1004,MATCH(C138,LOTES!$F$5:$F$1004,0)),""))</f>
        <v/>
      </c>
      <c r="F138" s="27"/>
      <c r="G138" s="27"/>
      <c r="H138" s="27"/>
      <c r="I138" s="20" t="str">
        <f aca="false">IF(AND(ISNUMBER(F138),ISNUMBER(G138),ISNUMBER(H138),F138&gt;G138,H138&gt;0),(F138-H138)/(F138-G138)*1000,"")</f>
        <v/>
      </c>
      <c r="J138" s="17" t="str">
        <f aca="false">IF(AND(ISNUMBER(F138),ISNUMBER(G138),ISNUMBER(H138),F138&gt;G138,H138&gt;0),(F138-H138)/H138,"")</f>
        <v/>
      </c>
      <c r="K138" s="20" t="str">
        <f aca="false">IF(AND(ISNUMBER(F138),ISNUMBER(G138),ISNUMBER(H138),F138&gt;G138,H138&gt;0),H138/(F138-G138)*1000,"")</f>
        <v/>
      </c>
      <c r="L138" s="11" t="str">
        <f aca="false">IF(K138="","",IF(K138&gt;=CONFIG!$E$21,CONFIG!$D$21,IF(K138&gt;=CONFIG!$E$20,CONFIG!$D$20,CONFIG!$D$19)))</f>
        <v/>
      </c>
      <c r="M138" s="20" t="str">
        <f aca="false">IF(K138="","",IF(K138&gt;=CONFIG!$E$21,CONFIG!$F$21,IF(K138&gt;=CONFIG!$E$20,CONFIG!$F$20,CONFIG!$F$19)))</f>
        <v/>
      </c>
      <c r="N138" s="19" t="str">
        <f aca="false">IF(I138="","",IF(I138&lt;=M138,"OK","ALTA"))</f>
        <v/>
      </c>
      <c r="O138" s="13"/>
    </row>
    <row r="139" customFormat="false" ht="15" hidden="false" customHeight="false" outlineLevel="0" collapsed="false">
      <c r="A139" s="11" t="str">
        <f aca="false">IF(C139="","",ROW()-4)</f>
        <v/>
      </c>
      <c r="B139" s="12"/>
      <c r="C139" s="13"/>
      <c r="D139" s="11" t="str">
        <f aca="false">IF(C139="","",IFERROR(INDEX(LOTES!$D$5:$D$1004,MATCH(C139,LOTES!$F$5:$F$1004,0)),"¿Lote?"))</f>
        <v/>
      </c>
      <c r="E139" s="11" t="str">
        <f aca="false">IF(C139="","",IFERROR(INDEX(LOTES!$C$5:$C$1004,MATCH(C139,LOTES!$F$5:$F$1004,0)),""))</f>
        <v/>
      </c>
      <c r="F139" s="27"/>
      <c r="G139" s="27"/>
      <c r="H139" s="27"/>
      <c r="I139" s="20" t="str">
        <f aca="false">IF(AND(ISNUMBER(F139),ISNUMBER(G139),ISNUMBER(H139),F139&gt;G139,H139&gt;0),(F139-H139)/(F139-G139)*1000,"")</f>
        <v/>
      </c>
      <c r="J139" s="17" t="str">
        <f aca="false">IF(AND(ISNUMBER(F139),ISNUMBER(G139),ISNUMBER(H139),F139&gt;G139,H139&gt;0),(F139-H139)/H139,"")</f>
        <v/>
      </c>
      <c r="K139" s="20" t="str">
        <f aca="false">IF(AND(ISNUMBER(F139),ISNUMBER(G139),ISNUMBER(H139),F139&gt;G139,H139&gt;0),H139/(F139-G139)*1000,"")</f>
        <v/>
      </c>
      <c r="L139" s="11" t="str">
        <f aca="false">IF(K139="","",IF(K139&gt;=CONFIG!$E$21,CONFIG!$D$21,IF(K139&gt;=CONFIG!$E$20,CONFIG!$D$20,CONFIG!$D$19)))</f>
        <v/>
      </c>
      <c r="M139" s="20" t="str">
        <f aca="false">IF(K139="","",IF(K139&gt;=CONFIG!$E$21,CONFIG!$F$21,IF(K139&gt;=CONFIG!$E$20,CONFIG!$F$20,CONFIG!$F$19)))</f>
        <v/>
      </c>
      <c r="N139" s="19" t="str">
        <f aca="false">IF(I139="","",IF(I139&lt;=M139,"OK","ALTA"))</f>
        <v/>
      </c>
      <c r="O139" s="13"/>
    </row>
    <row r="140" customFormat="false" ht="15" hidden="false" customHeight="false" outlineLevel="0" collapsed="false">
      <c r="A140" s="11" t="str">
        <f aca="false">IF(C140="","",ROW()-4)</f>
        <v/>
      </c>
      <c r="B140" s="12"/>
      <c r="C140" s="13"/>
      <c r="D140" s="11" t="str">
        <f aca="false">IF(C140="","",IFERROR(INDEX(LOTES!$D$5:$D$1004,MATCH(C140,LOTES!$F$5:$F$1004,0)),"¿Lote?"))</f>
        <v/>
      </c>
      <c r="E140" s="11" t="str">
        <f aca="false">IF(C140="","",IFERROR(INDEX(LOTES!$C$5:$C$1004,MATCH(C140,LOTES!$F$5:$F$1004,0)),""))</f>
        <v/>
      </c>
      <c r="F140" s="27"/>
      <c r="G140" s="27"/>
      <c r="H140" s="27"/>
      <c r="I140" s="20" t="str">
        <f aca="false">IF(AND(ISNUMBER(F140),ISNUMBER(G140),ISNUMBER(H140),F140&gt;G140,H140&gt;0),(F140-H140)/(F140-G140)*1000,"")</f>
        <v/>
      </c>
      <c r="J140" s="17" t="str">
        <f aca="false">IF(AND(ISNUMBER(F140),ISNUMBER(G140),ISNUMBER(H140),F140&gt;G140,H140&gt;0),(F140-H140)/H140,"")</f>
        <v/>
      </c>
      <c r="K140" s="20" t="str">
        <f aca="false">IF(AND(ISNUMBER(F140),ISNUMBER(G140),ISNUMBER(H140),F140&gt;G140,H140&gt;0),H140/(F140-G140)*1000,"")</f>
        <v/>
      </c>
      <c r="L140" s="11" t="str">
        <f aca="false">IF(K140="","",IF(K140&gt;=CONFIG!$E$21,CONFIG!$D$21,IF(K140&gt;=CONFIG!$E$20,CONFIG!$D$20,CONFIG!$D$19)))</f>
        <v/>
      </c>
      <c r="M140" s="20" t="str">
        <f aca="false">IF(K140="","",IF(K140&gt;=CONFIG!$E$21,CONFIG!$F$21,IF(K140&gt;=CONFIG!$E$20,CONFIG!$F$20,CONFIG!$F$19)))</f>
        <v/>
      </c>
      <c r="N140" s="19" t="str">
        <f aca="false">IF(I140="","",IF(I140&lt;=M140,"OK","ALTA"))</f>
        <v/>
      </c>
      <c r="O140" s="13"/>
    </row>
    <row r="141" customFormat="false" ht="15" hidden="false" customHeight="false" outlineLevel="0" collapsed="false">
      <c r="A141" s="11" t="str">
        <f aca="false">IF(C141="","",ROW()-4)</f>
        <v/>
      </c>
      <c r="B141" s="12"/>
      <c r="C141" s="13"/>
      <c r="D141" s="11" t="str">
        <f aca="false">IF(C141="","",IFERROR(INDEX(LOTES!$D$5:$D$1004,MATCH(C141,LOTES!$F$5:$F$1004,0)),"¿Lote?"))</f>
        <v/>
      </c>
      <c r="E141" s="11" t="str">
        <f aca="false">IF(C141="","",IFERROR(INDEX(LOTES!$C$5:$C$1004,MATCH(C141,LOTES!$F$5:$F$1004,0)),""))</f>
        <v/>
      </c>
      <c r="F141" s="27"/>
      <c r="G141" s="27"/>
      <c r="H141" s="27"/>
      <c r="I141" s="20" t="str">
        <f aca="false">IF(AND(ISNUMBER(F141),ISNUMBER(G141),ISNUMBER(H141),F141&gt;G141,H141&gt;0),(F141-H141)/(F141-G141)*1000,"")</f>
        <v/>
      </c>
      <c r="J141" s="17" t="str">
        <f aca="false">IF(AND(ISNUMBER(F141),ISNUMBER(G141),ISNUMBER(H141),F141&gt;G141,H141&gt;0),(F141-H141)/H141,"")</f>
        <v/>
      </c>
      <c r="K141" s="20" t="str">
        <f aca="false">IF(AND(ISNUMBER(F141),ISNUMBER(G141),ISNUMBER(H141),F141&gt;G141,H141&gt;0),H141/(F141-G141)*1000,"")</f>
        <v/>
      </c>
      <c r="L141" s="11" t="str">
        <f aca="false">IF(K141="","",IF(K141&gt;=CONFIG!$E$21,CONFIG!$D$21,IF(K141&gt;=CONFIG!$E$20,CONFIG!$D$20,CONFIG!$D$19)))</f>
        <v/>
      </c>
      <c r="M141" s="20" t="str">
        <f aca="false">IF(K141="","",IF(K141&gt;=CONFIG!$E$21,CONFIG!$F$21,IF(K141&gt;=CONFIG!$E$20,CONFIG!$F$20,CONFIG!$F$19)))</f>
        <v/>
      </c>
      <c r="N141" s="19" t="str">
        <f aca="false">IF(I141="","",IF(I141&lt;=M141,"OK","ALTA"))</f>
        <v/>
      </c>
      <c r="O141" s="13"/>
    </row>
    <row r="142" customFormat="false" ht="15" hidden="false" customHeight="false" outlineLevel="0" collapsed="false">
      <c r="A142" s="11" t="str">
        <f aca="false">IF(C142="","",ROW()-4)</f>
        <v/>
      </c>
      <c r="B142" s="12"/>
      <c r="C142" s="13"/>
      <c r="D142" s="11" t="str">
        <f aca="false">IF(C142="","",IFERROR(INDEX(LOTES!$D$5:$D$1004,MATCH(C142,LOTES!$F$5:$F$1004,0)),"¿Lote?"))</f>
        <v/>
      </c>
      <c r="E142" s="11" t="str">
        <f aca="false">IF(C142="","",IFERROR(INDEX(LOTES!$C$5:$C$1004,MATCH(C142,LOTES!$F$5:$F$1004,0)),""))</f>
        <v/>
      </c>
      <c r="F142" s="27"/>
      <c r="G142" s="27"/>
      <c r="H142" s="27"/>
      <c r="I142" s="20" t="str">
        <f aca="false">IF(AND(ISNUMBER(F142),ISNUMBER(G142),ISNUMBER(H142),F142&gt;G142,H142&gt;0),(F142-H142)/(F142-G142)*1000,"")</f>
        <v/>
      </c>
      <c r="J142" s="17" t="str">
        <f aca="false">IF(AND(ISNUMBER(F142),ISNUMBER(G142),ISNUMBER(H142),F142&gt;G142,H142&gt;0),(F142-H142)/H142,"")</f>
        <v/>
      </c>
      <c r="K142" s="20" t="str">
        <f aca="false">IF(AND(ISNUMBER(F142),ISNUMBER(G142),ISNUMBER(H142),F142&gt;G142,H142&gt;0),H142/(F142-G142)*1000,"")</f>
        <v/>
      </c>
      <c r="L142" s="11" t="str">
        <f aca="false">IF(K142="","",IF(K142&gt;=CONFIG!$E$21,CONFIG!$D$21,IF(K142&gt;=CONFIG!$E$20,CONFIG!$D$20,CONFIG!$D$19)))</f>
        <v/>
      </c>
      <c r="M142" s="20" t="str">
        <f aca="false">IF(K142="","",IF(K142&gt;=CONFIG!$E$21,CONFIG!$F$21,IF(K142&gt;=CONFIG!$E$20,CONFIG!$F$20,CONFIG!$F$19)))</f>
        <v/>
      </c>
      <c r="N142" s="19" t="str">
        <f aca="false">IF(I142="","",IF(I142&lt;=M142,"OK","ALTA"))</f>
        <v/>
      </c>
      <c r="O142" s="13"/>
    </row>
    <row r="143" customFormat="false" ht="15" hidden="false" customHeight="false" outlineLevel="0" collapsed="false">
      <c r="A143" s="11" t="str">
        <f aca="false">IF(C143="","",ROW()-4)</f>
        <v/>
      </c>
      <c r="B143" s="12"/>
      <c r="C143" s="13"/>
      <c r="D143" s="11" t="str">
        <f aca="false">IF(C143="","",IFERROR(INDEX(LOTES!$D$5:$D$1004,MATCH(C143,LOTES!$F$5:$F$1004,0)),"¿Lote?"))</f>
        <v/>
      </c>
      <c r="E143" s="11" t="str">
        <f aca="false">IF(C143="","",IFERROR(INDEX(LOTES!$C$5:$C$1004,MATCH(C143,LOTES!$F$5:$F$1004,0)),""))</f>
        <v/>
      </c>
      <c r="F143" s="27"/>
      <c r="G143" s="27"/>
      <c r="H143" s="27"/>
      <c r="I143" s="20" t="str">
        <f aca="false">IF(AND(ISNUMBER(F143),ISNUMBER(G143),ISNUMBER(H143),F143&gt;G143,H143&gt;0),(F143-H143)/(F143-G143)*1000,"")</f>
        <v/>
      </c>
      <c r="J143" s="17" t="str">
        <f aca="false">IF(AND(ISNUMBER(F143),ISNUMBER(G143),ISNUMBER(H143),F143&gt;G143,H143&gt;0),(F143-H143)/H143,"")</f>
        <v/>
      </c>
      <c r="K143" s="20" t="str">
        <f aca="false">IF(AND(ISNUMBER(F143),ISNUMBER(G143),ISNUMBER(H143),F143&gt;G143,H143&gt;0),H143/(F143-G143)*1000,"")</f>
        <v/>
      </c>
      <c r="L143" s="11" t="str">
        <f aca="false">IF(K143="","",IF(K143&gt;=CONFIG!$E$21,CONFIG!$D$21,IF(K143&gt;=CONFIG!$E$20,CONFIG!$D$20,CONFIG!$D$19)))</f>
        <v/>
      </c>
      <c r="M143" s="20" t="str">
        <f aca="false">IF(K143="","",IF(K143&gt;=CONFIG!$E$21,CONFIG!$F$21,IF(K143&gt;=CONFIG!$E$20,CONFIG!$F$20,CONFIG!$F$19)))</f>
        <v/>
      </c>
      <c r="N143" s="19" t="str">
        <f aca="false">IF(I143="","",IF(I143&lt;=M143,"OK","ALTA"))</f>
        <v/>
      </c>
      <c r="O143" s="13"/>
    </row>
    <row r="144" customFormat="false" ht="15" hidden="false" customHeight="false" outlineLevel="0" collapsed="false">
      <c r="A144" s="11" t="str">
        <f aca="false">IF(C144="","",ROW()-4)</f>
        <v/>
      </c>
      <c r="B144" s="12"/>
      <c r="C144" s="13"/>
      <c r="D144" s="11" t="str">
        <f aca="false">IF(C144="","",IFERROR(INDEX(LOTES!$D$5:$D$1004,MATCH(C144,LOTES!$F$5:$F$1004,0)),"¿Lote?"))</f>
        <v/>
      </c>
      <c r="E144" s="11" t="str">
        <f aca="false">IF(C144="","",IFERROR(INDEX(LOTES!$C$5:$C$1004,MATCH(C144,LOTES!$F$5:$F$1004,0)),""))</f>
        <v/>
      </c>
      <c r="F144" s="27"/>
      <c r="G144" s="27"/>
      <c r="H144" s="27"/>
      <c r="I144" s="20" t="str">
        <f aca="false">IF(AND(ISNUMBER(F144),ISNUMBER(G144),ISNUMBER(H144),F144&gt;G144,H144&gt;0),(F144-H144)/(F144-G144)*1000,"")</f>
        <v/>
      </c>
      <c r="J144" s="17" t="str">
        <f aca="false">IF(AND(ISNUMBER(F144),ISNUMBER(G144),ISNUMBER(H144),F144&gt;G144,H144&gt;0),(F144-H144)/H144,"")</f>
        <v/>
      </c>
      <c r="K144" s="20" t="str">
        <f aca="false">IF(AND(ISNUMBER(F144),ISNUMBER(G144),ISNUMBER(H144),F144&gt;G144,H144&gt;0),H144/(F144-G144)*1000,"")</f>
        <v/>
      </c>
      <c r="L144" s="11" t="str">
        <f aca="false">IF(K144="","",IF(K144&gt;=CONFIG!$E$21,CONFIG!$D$21,IF(K144&gt;=CONFIG!$E$20,CONFIG!$D$20,CONFIG!$D$19)))</f>
        <v/>
      </c>
      <c r="M144" s="20" t="str">
        <f aca="false">IF(K144="","",IF(K144&gt;=CONFIG!$E$21,CONFIG!$F$21,IF(K144&gt;=CONFIG!$E$20,CONFIG!$F$20,CONFIG!$F$19)))</f>
        <v/>
      </c>
      <c r="N144" s="19" t="str">
        <f aca="false">IF(I144="","",IF(I144&lt;=M144,"OK","ALTA"))</f>
        <v/>
      </c>
      <c r="O144" s="13"/>
    </row>
    <row r="145" customFormat="false" ht="15" hidden="false" customHeight="false" outlineLevel="0" collapsed="false">
      <c r="A145" s="11" t="str">
        <f aca="false">IF(C145="","",ROW()-4)</f>
        <v/>
      </c>
      <c r="B145" s="12"/>
      <c r="C145" s="13"/>
      <c r="D145" s="11" t="str">
        <f aca="false">IF(C145="","",IFERROR(INDEX(LOTES!$D$5:$D$1004,MATCH(C145,LOTES!$F$5:$F$1004,0)),"¿Lote?"))</f>
        <v/>
      </c>
      <c r="E145" s="11" t="str">
        <f aca="false">IF(C145="","",IFERROR(INDEX(LOTES!$C$5:$C$1004,MATCH(C145,LOTES!$F$5:$F$1004,0)),""))</f>
        <v/>
      </c>
      <c r="F145" s="27"/>
      <c r="G145" s="27"/>
      <c r="H145" s="27"/>
      <c r="I145" s="20" t="str">
        <f aca="false">IF(AND(ISNUMBER(F145),ISNUMBER(G145),ISNUMBER(H145),F145&gt;G145,H145&gt;0),(F145-H145)/(F145-G145)*1000,"")</f>
        <v/>
      </c>
      <c r="J145" s="17" t="str">
        <f aca="false">IF(AND(ISNUMBER(F145),ISNUMBER(G145),ISNUMBER(H145),F145&gt;G145,H145&gt;0),(F145-H145)/H145,"")</f>
        <v/>
      </c>
      <c r="K145" s="20" t="str">
        <f aca="false">IF(AND(ISNUMBER(F145),ISNUMBER(G145),ISNUMBER(H145),F145&gt;G145,H145&gt;0),H145/(F145-G145)*1000,"")</f>
        <v/>
      </c>
      <c r="L145" s="11" t="str">
        <f aca="false">IF(K145="","",IF(K145&gt;=CONFIG!$E$21,CONFIG!$D$21,IF(K145&gt;=CONFIG!$E$20,CONFIG!$D$20,CONFIG!$D$19)))</f>
        <v/>
      </c>
      <c r="M145" s="20" t="str">
        <f aca="false">IF(K145="","",IF(K145&gt;=CONFIG!$E$21,CONFIG!$F$21,IF(K145&gt;=CONFIG!$E$20,CONFIG!$F$20,CONFIG!$F$19)))</f>
        <v/>
      </c>
      <c r="N145" s="19" t="str">
        <f aca="false">IF(I145="","",IF(I145&lt;=M145,"OK","ALTA"))</f>
        <v/>
      </c>
      <c r="O145" s="13"/>
    </row>
    <row r="146" customFormat="false" ht="15" hidden="false" customHeight="false" outlineLevel="0" collapsed="false">
      <c r="A146" s="11" t="str">
        <f aca="false">IF(C146="","",ROW()-4)</f>
        <v/>
      </c>
      <c r="B146" s="12"/>
      <c r="C146" s="13"/>
      <c r="D146" s="11" t="str">
        <f aca="false">IF(C146="","",IFERROR(INDEX(LOTES!$D$5:$D$1004,MATCH(C146,LOTES!$F$5:$F$1004,0)),"¿Lote?"))</f>
        <v/>
      </c>
      <c r="E146" s="11" t="str">
        <f aca="false">IF(C146="","",IFERROR(INDEX(LOTES!$C$5:$C$1004,MATCH(C146,LOTES!$F$5:$F$1004,0)),""))</f>
        <v/>
      </c>
      <c r="F146" s="27"/>
      <c r="G146" s="27"/>
      <c r="H146" s="27"/>
      <c r="I146" s="20" t="str">
        <f aca="false">IF(AND(ISNUMBER(F146),ISNUMBER(G146),ISNUMBER(H146),F146&gt;G146,H146&gt;0),(F146-H146)/(F146-G146)*1000,"")</f>
        <v/>
      </c>
      <c r="J146" s="17" t="str">
        <f aca="false">IF(AND(ISNUMBER(F146),ISNUMBER(G146),ISNUMBER(H146),F146&gt;G146,H146&gt;0),(F146-H146)/H146,"")</f>
        <v/>
      </c>
      <c r="K146" s="20" t="str">
        <f aca="false">IF(AND(ISNUMBER(F146),ISNUMBER(G146),ISNUMBER(H146),F146&gt;G146,H146&gt;0),H146/(F146-G146)*1000,"")</f>
        <v/>
      </c>
      <c r="L146" s="11" t="str">
        <f aca="false">IF(K146="","",IF(K146&gt;=CONFIG!$E$21,CONFIG!$D$21,IF(K146&gt;=CONFIG!$E$20,CONFIG!$D$20,CONFIG!$D$19)))</f>
        <v/>
      </c>
      <c r="M146" s="20" t="str">
        <f aca="false">IF(K146="","",IF(K146&gt;=CONFIG!$E$21,CONFIG!$F$21,IF(K146&gt;=CONFIG!$E$20,CONFIG!$F$20,CONFIG!$F$19)))</f>
        <v/>
      </c>
      <c r="N146" s="19" t="str">
        <f aca="false">IF(I146="","",IF(I146&lt;=M146,"OK","ALTA"))</f>
        <v/>
      </c>
      <c r="O146" s="13"/>
    </row>
    <row r="147" customFormat="false" ht="15" hidden="false" customHeight="false" outlineLevel="0" collapsed="false">
      <c r="A147" s="11" t="str">
        <f aca="false">IF(C147="","",ROW()-4)</f>
        <v/>
      </c>
      <c r="B147" s="12"/>
      <c r="C147" s="13"/>
      <c r="D147" s="11" t="str">
        <f aca="false">IF(C147="","",IFERROR(INDEX(LOTES!$D$5:$D$1004,MATCH(C147,LOTES!$F$5:$F$1004,0)),"¿Lote?"))</f>
        <v/>
      </c>
      <c r="E147" s="11" t="str">
        <f aca="false">IF(C147="","",IFERROR(INDEX(LOTES!$C$5:$C$1004,MATCH(C147,LOTES!$F$5:$F$1004,0)),""))</f>
        <v/>
      </c>
      <c r="F147" s="27"/>
      <c r="G147" s="27"/>
      <c r="H147" s="27"/>
      <c r="I147" s="20" t="str">
        <f aca="false">IF(AND(ISNUMBER(F147),ISNUMBER(G147),ISNUMBER(H147),F147&gt;G147,H147&gt;0),(F147-H147)/(F147-G147)*1000,"")</f>
        <v/>
      </c>
      <c r="J147" s="17" t="str">
        <f aca="false">IF(AND(ISNUMBER(F147),ISNUMBER(G147),ISNUMBER(H147),F147&gt;G147,H147&gt;0),(F147-H147)/H147,"")</f>
        <v/>
      </c>
      <c r="K147" s="20" t="str">
        <f aca="false">IF(AND(ISNUMBER(F147),ISNUMBER(G147),ISNUMBER(H147),F147&gt;G147,H147&gt;0),H147/(F147-G147)*1000,"")</f>
        <v/>
      </c>
      <c r="L147" s="11" t="str">
        <f aca="false">IF(K147="","",IF(K147&gt;=CONFIG!$E$21,CONFIG!$D$21,IF(K147&gt;=CONFIG!$E$20,CONFIG!$D$20,CONFIG!$D$19)))</f>
        <v/>
      </c>
      <c r="M147" s="20" t="str">
        <f aca="false">IF(K147="","",IF(K147&gt;=CONFIG!$E$21,CONFIG!$F$21,IF(K147&gt;=CONFIG!$E$20,CONFIG!$F$20,CONFIG!$F$19)))</f>
        <v/>
      </c>
      <c r="N147" s="19" t="str">
        <f aca="false">IF(I147="","",IF(I147&lt;=M147,"OK","ALTA"))</f>
        <v/>
      </c>
      <c r="O147" s="13"/>
    </row>
    <row r="148" customFormat="false" ht="15" hidden="false" customHeight="false" outlineLevel="0" collapsed="false">
      <c r="A148" s="11" t="str">
        <f aca="false">IF(C148="","",ROW()-4)</f>
        <v/>
      </c>
      <c r="B148" s="12"/>
      <c r="C148" s="13"/>
      <c r="D148" s="11" t="str">
        <f aca="false">IF(C148="","",IFERROR(INDEX(LOTES!$D$5:$D$1004,MATCH(C148,LOTES!$F$5:$F$1004,0)),"¿Lote?"))</f>
        <v/>
      </c>
      <c r="E148" s="11" t="str">
        <f aca="false">IF(C148="","",IFERROR(INDEX(LOTES!$C$5:$C$1004,MATCH(C148,LOTES!$F$5:$F$1004,0)),""))</f>
        <v/>
      </c>
      <c r="F148" s="27"/>
      <c r="G148" s="27"/>
      <c r="H148" s="27"/>
      <c r="I148" s="20" t="str">
        <f aca="false">IF(AND(ISNUMBER(F148),ISNUMBER(G148),ISNUMBER(H148),F148&gt;G148,H148&gt;0),(F148-H148)/(F148-G148)*1000,"")</f>
        <v/>
      </c>
      <c r="J148" s="17" t="str">
        <f aca="false">IF(AND(ISNUMBER(F148),ISNUMBER(G148),ISNUMBER(H148),F148&gt;G148,H148&gt;0),(F148-H148)/H148,"")</f>
        <v/>
      </c>
      <c r="K148" s="20" t="str">
        <f aca="false">IF(AND(ISNUMBER(F148),ISNUMBER(G148),ISNUMBER(H148),F148&gt;G148,H148&gt;0),H148/(F148-G148)*1000,"")</f>
        <v/>
      </c>
      <c r="L148" s="11" t="str">
        <f aca="false">IF(K148="","",IF(K148&gt;=CONFIG!$E$21,CONFIG!$D$21,IF(K148&gt;=CONFIG!$E$20,CONFIG!$D$20,CONFIG!$D$19)))</f>
        <v/>
      </c>
      <c r="M148" s="20" t="str">
        <f aca="false">IF(K148="","",IF(K148&gt;=CONFIG!$E$21,CONFIG!$F$21,IF(K148&gt;=CONFIG!$E$20,CONFIG!$F$20,CONFIG!$F$19)))</f>
        <v/>
      </c>
      <c r="N148" s="19" t="str">
        <f aca="false">IF(I148="","",IF(I148&lt;=M148,"OK","ALTA"))</f>
        <v/>
      </c>
      <c r="O148" s="13"/>
    </row>
    <row r="149" customFormat="false" ht="15" hidden="false" customHeight="false" outlineLevel="0" collapsed="false">
      <c r="A149" s="11" t="str">
        <f aca="false">IF(C149="","",ROW()-4)</f>
        <v/>
      </c>
      <c r="B149" s="12"/>
      <c r="C149" s="13"/>
      <c r="D149" s="11" t="str">
        <f aca="false">IF(C149="","",IFERROR(INDEX(LOTES!$D$5:$D$1004,MATCH(C149,LOTES!$F$5:$F$1004,0)),"¿Lote?"))</f>
        <v/>
      </c>
      <c r="E149" s="11" t="str">
        <f aca="false">IF(C149="","",IFERROR(INDEX(LOTES!$C$5:$C$1004,MATCH(C149,LOTES!$F$5:$F$1004,0)),""))</f>
        <v/>
      </c>
      <c r="F149" s="27"/>
      <c r="G149" s="27"/>
      <c r="H149" s="27"/>
      <c r="I149" s="20" t="str">
        <f aca="false">IF(AND(ISNUMBER(F149),ISNUMBER(G149),ISNUMBER(H149),F149&gt;G149,H149&gt;0),(F149-H149)/(F149-G149)*1000,"")</f>
        <v/>
      </c>
      <c r="J149" s="17" t="str">
        <f aca="false">IF(AND(ISNUMBER(F149),ISNUMBER(G149),ISNUMBER(H149),F149&gt;G149,H149&gt;0),(F149-H149)/H149,"")</f>
        <v/>
      </c>
      <c r="K149" s="20" t="str">
        <f aca="false">IF(AND(ISNUMBER(F149),ISNUMBER(G149),ISNUMBER(H149),F149&gt;G149,H149&gt;0),H149/(F149-G149)*1000,"")</f>
        <v/>
      </c>
      <c r="L149" s="11" t="str">
        <f aca="false">IF(K149="","",IF(K149&gt;=CONFIG!$E$21,CONFIG!$D$21,IF(K149&gt;=CONFIG!$E$20,CONFIG!$D$20,CONFIG!$D$19)))</f>
        <v/>
      </c>
      <c r="M149" s="20" t="str">
        <f aca="false">IF(K149="","",IF(K149&gt;=CONFIG!$E$21,CONFIG!$F$21,IF(K149&gt;=CONFIG!$E$20,CONFIG!$F$20,CONFIG!$F$19)))</f>
        <v/>
      </c>
      <c r="N149" s="19" t="str">
        <f aca="false">IF(I149="","",IF(I149&lt;=M149,"OK","ALTA"))</f>
        <v/>
      </c>
      <c r="O149" s="13"/>
    </row>
    <row r="150" customFormat="false" ht="15" hidden="false" customHeight="false" outlineLevel="0" collapsed="false">
      <c r="A150" s="11" t="str">
        <f aca="false">IF(C150="","",ROW()-4)</f>
        <v/>
      </c>
      <c r="B150" s="12"/>
      <c r="C150" s="13"/>
      <c r="D150" s="11" t="str">
        <f aca="false">IF(C150="","",IFERROR(INDEX(LOTES!$D$5:$D$1004,MATCH(C150,LOTES!$F$5:$F$1004,0)),"¿Lote?"))</f>
        <v/>
      </c>
      <c r="E150" s="11" t="str">
        <f aca="false">IF(C150="","",IFERROR(INDEX(LOTES!$C$5:$C$1004,MATCH(C150,LOTES!$F$5:$F$1004,0)),""))</f>
        <v/>
      </c>
      <c r="F150" s="27"/>
      <c r="G150" s="27"/>
      <c r="H150" s="27"/>
      <c r="I150" s="20" t="str">
        <f aca="false">IF(AND(ISNUMBER(F150),ISNUMBER(G150),ISNUMBER(H150),F150&gt;G150,H150&gt;0),(F150-H150)/(F150-G150)*1000,"")</f>
        <v/>
      </c>
      <c r="J150" s="17" t="str">
        <f aca="false">IF(AND(ISNUMBER(F150),ISNUMBER(G150),ISNUMBER(H150),F150&gt;G150,H150&gt;0),(F150-H150)/H150,"")</f>
        <v/>
      </c>
      <c r="K150" s="20" t="str">
        <f aca="false">IF(AND(ISNUMBER(F150),ISNUMBER(G150),ISNUMBER(H150),F150&gt;G150,H150&gt;0),H150/(F150-G150)*1000,"")</f>
        <v/>
      </c>
      <c r="L150" s="11" t="str">
        <f aca="false">IF(K150="","",IF(K150&gt;=CONFIG!$E$21,CONFIG!$D$21,IF(K150&gt;=CONFIG!$E$20,CONFIG!$D$20,CONFIG!$D$19)))</f>
        <v/>
      </c>
      <c r="M150" s="20" t="str">
        <f aca="false">IF(K150="","",IF(K150&gt;=CONFIG!$E$21,CONFIG!$F$21,IF(K150&gt;=CONFIG!$E$20,CONFIG!$F$20,CONFIG!$F$19)))</f>
        <v/>
      </c>
      <c r="N150" s="19" t="str">
        <f aca="false">IF(I150="","",IF(I150&lt;=M150,"OK","ALTA"))</f>
        <v/>
      </c>
      <c r="O150" s="13"/>
    </row>
    <row r="151" customFormat="false" ht="15" hidden="false" customHeight="false" outlineLevel="0" collapsed="false">
      <c r="A151" s="11" t="str">
        <f aca="false">IF(C151="","",ROW()-4)</f>
        <v/>
      </c>
      <c r="B151" s="12"/>
      <c r="C151" s="13"/>
      <c r="D151" s="11" t="str">
        <f aca="false">IF(C151="","",IFERROR(INDEX(LOTES!$D$5:$D$1004,MATCH(C151,LOTES!$F$5:$F$1004,0)),"¿Lote?"))</f>
        <v/>
      </c>
      <c r="E151" s="11" t="str">
        <f aca="false">IF(C151="","",IFERROR(INDEX(LOTES!$C$5:$C$1004,MATCH(C151,LOTES!$F$5:$F$1004,0)),""))</f>
        <v/>
      </c>
      <c r="F151" s="27"/>
      <c r="G151" s="27"/>
      <c r="H151" s="27"/>
      <c r="I151" s="20" t="str">
        <f aca="false">IF(AND(ISNUMBER(F151),ISNUMBER(G151),ISNUMBER(H151),F151&gt;G151,H151&gt;0),(F151-H151)/(F151-G151)*1000,"")</f>
        <v/>
      </c>
      <c r="J151" s="17" t="str">
        <f aca="false">IF(AND(ISNUMBER(F151),ISNUMBER(G151),ISNUMBER(H151),F151&gt;G151,H151&gt;0),(F151-H151)/H151,"")</f>
        <v/>
      </c>
      <c r="K151" s="20" t="str">
        <f aca="false">IF(AND(ISNUMBER(F151),ISNUMBER(G151),ISNUMBER(H151),F151&gt;G151,H151&gt;0),H151/(F151-G151)*1000,"")</f>
        <v/>
      </c>
      <c r="L151" s="11" t="str">
        <f aca="false">IF(K151="","",IF(K151&gt;=CONFIG!$E$21,CONFIG!$D$21,IF(K151&gt;=CONFIG!$E$20,CONFIG!$D$20,CONFIG!$D$19)))</f>
        <v/>
      </c>
      <c r="M151" s="20" t="str">
        <f aca="false">IF(K151="","",IF(K151&gt;=CONFIG!$E$21,CONFIG!$F$21,IF(K151&gt;=CONFIG!$E$20,CONFIG!$F$20,CONFIG!$F$19)))</f>
        <v/>
      </c>
      <c r="N151" s="19" t="str">
        <f aca="false">IF(I151="","",IF(I151&lt;=M151,"OK","ALTA"))</f>
        <v/>
      </c>
      <c r="O151" s="13"/>
    </row>
    <row r="152" customFormat="false" ht="15" hidden="false" customHeight="false" outlineLevel="0" collapsed="false">
      <c r="A152" s="11" t="str">
        <f aca="false">IF(C152="","",ROW()-4)</f>
        <v/>
      </c>
      <c r="B152" s="12"/>
      <c r="C152" s="13"/>
      <c r="D152" s="11" t="str">
        <f aca="false">IF(C152="","",IFERROR(INDEX(LOTES!$D$5:$D$1004,MATCH(C152,LOTES!$F$5:$F$1004,0)),"¿Lote?"))</f>
        <v/>
      </c>
      <c r="E152" s="11" t="str">
        <f aca="false">IF(C152="","",IFERROR(INDEX(LOTES!$C$5:$C$1004,MATCH(C152,LOTES!$F$5:$F$1004,0)),""))</f>
        <v/>
      </c>
      <c r="F152" s="27"/>
      <c r="G152" s="27"/>
      <c r="H152" s="27"/>
      <c r="I152" s="20" t="str">
        <f aca="false">IF(AND(ISNUMBER(F152),ISNUMBER(G152),ISNUMBER(H152),F152&gt;G152,H152&gt;0),(F152-H152)/(F152-G152)*1000,"")</f>
        <v/>
      </c>
      <c r="J152" s="17" t="str">
        <f aca="false">IF(AND(ISNUMBER(F152),ISNUMBER(G152),ISNUMBER(H152),F152&gt;G152,H152&gt;0),(F152-H152)/H152,"")</f>
        <v/>
      </c>
      <c r="K152" s="20" t="str">
        <f aca="false">IF(AND(ISNUMBER(F152),ISNUMBER(G152),ISNUMBER(H152),F152&gt;G152,H152&gt;0),H152/(F152-G152)*1000,"")</f>
        <v/>
      </c>
      <c r="L152" s="11" t="str">
        <f aca="false">IF(K152="","",IF(K152&gt;=CONFIG!$E$21,CONFIG!$D$21,IF(K152&gt;=CONFIG!$E$20,CONFIG!$D$20,CONFIG!$D$19)))</f>
        <v/>
      </c>
      <c r="M152" s="20" t="str">
        <f aca="false">IF(K152="","",IF(K152&gt;=CONFIG!$E$21,CONFIG!$F$21,IF(K152&gt;=CONFIG!$E$20,CONFIG!$F$20,CONFIG!$F$19)))</f>
        <v/>
      </c>
      <c r="N152" s="19" t="str">
        <f aca="false">IF(I152="","",IF(I152&lt;=M152,"OK","ALTA"))</f>
        <v/>
      </c>
      <c r="O152" s="13"/>
    </row>
    <row r="153" customFormat="false" ht="15" hidden="false" customHeight="false" outlineLevel="0" collapsed="false">
      <c r="A153" s="11" t="str">
        <f aca="false">IF(C153="","",ROW()-4)</f>
        <v/>
      </c>
      <c r="B153" s="12"/>
      <c r="C153" s="13"/>
      <c r="D153" s="11" t="str">
        <f aca="false">IF(C153="","",IFERROR(INDEX(LOTES!$D$5:$D$1004,MATCH(C153,LOTES!$F$5:$F$1004,0)),"¿Lote?"))</f>
        <v/>
      </c>
      <c r="E153" s="11" t="str">
        <f aca="false">IF(C153="","",IFERROR(INDEX(LOTES!$C$5:$C$1004,MATCH(C153,LOTES!$F$5:$F$1004,0)),""))</f>
        <v/>
      </c>
      <c r="F153" s="27"/>
      <c r="G153" s="27"/>
      <c r="H153" s="27"/>
      <c r="I153" s="20" t="str">
        <f aca="false">IF(AND(ISNUMBER(F153),ISNUMBER(G153),ISNUMBER(H153),F153&gt;G153,H153&gt;0),(F153-H153)/(F153-G153)*1000,"")</f>
        <v/>
      </c>
      <c r="J153" s="17" t="str">
        <f aca="false">IF(AND(ISNUMBER(F153),ISNUMBER(G153),ISNUMBER(H153),F153&gt;G153,H153&gt;0),(F153-H153)/H153,"")</f>
        <v/>
      </c>
      <c r="K153" s="20" t="str">
        <f aca="false">IF(AND(ISNUMBER(F153),ISNUMBER(G153),ISNUMBER(H153),F153&gt;G153,H153&gt;0),H153/(F153-G153)*1000,"")</f>
        <v/>
      </c>
      <c r="L153" s="11" t="str">
        <f aca="false">IF(K153="","",IF(K153&gt;=CONFIG!$E$21,CONFIG!$D$21,IF(K153&gt;=CONFIG!$E$20,CONFIG!$D$20,CONFIG!$D$19)))</f>
        <v/>
      </c>
      <c r="M153" s="20" t="str">
        <f aca="false">IF(K153="","",IF(K153&gt;=CONFIG!$E$21,CONFIG!$F$21,IF(K153&gt;=CONFIG!$E$20,CONFIG!$F$20,CONFIG!$F$19)))</f>
        <v/>
      </c>
      <c r="N153" s="19" t="str">
        <f aca="false">IF(I153="","",IF(I153&lt;=M153,"OK","ALTA"))</f>
        <v/>
      </c>
      <c r="O153" s="13"/>
    </row>
    <row r="154" customFormat="false" ht="15" hidden="false" customHeight="false" outlineLevel="0" collapsed="false">
      <c r="A154" s="11" t="str">
        <f aca="false">IF(C154="","",ROW()-4)</f>
        <v/>
      </c>
      <c r="B154" s="12"/>
      <c r="C154" s="13"/>
      <c r="D154" s="11" t="str">
        <f aca="false">IF(C154="","",IFERROR(INDEX(LOTES!$D$5:$D$1004,MATCH(C154,LOTES!$F$5:$F$1004,0)),"¿Lote?"))</f>
        <v/>
      </c>
      <c r="E154" s="11" t="str">
        <f aca="false">IF(C154="","",IFERROR(INDEX(LOTES!$C$5:$C$1004,MATCH(C154,LOTES!$F$5:$F$1004,0)),""))</f>
        <v/>
      </c>
      <c r="F154" s="27"/>
      <c r="G154" s="27"/>
      <c r="H154" s="27"/>
      <c r="I154" s="20" t="str">
        <f aca="false">IF(AND(ISNUMBER(F154),ISNUMBER(G154),ISNUMBER(H154),F154&gt;G154,H154&gt;0),(F154-H154)/(F154-G154)*1000,"")</f>
        <v/>
      </c>
      <c r="J154" s="17" t="str">
        <f aca="false">IF(AND(ISNUMBER(F154),ISNUMBER(G154),ISNUMBER(H154),F154&gt;G154,H154&gt;0),(F154-H154)/H154,"")</f>
        <v/>
      </c>
      <c r="K154" s="20" t="str">
        <f aca="false">IF(AND(ISNUMBER(F154),ISNUMBER(G154),ISNUMBER(H154),F154&gt;G154,H154&gt;0),H154/(F154-G154)*1000,"")</f>
        <v/>
      </c>
      <c r="L154" s="11" t="str">
        <f aca="false">IF(K154="","",IF(K154&gt;=CONFIG!$E$21,CONFIG!$D$21,IF(K154&gt;=CONFIG!$E$20,CONFIG!$D$20,CONFIG!$D$19)))</f>
        <v/>
      </c>
      <c r="M154" s="20" t="str">
        <f aca="false">IF(K154="","",IF(K154&gt;=CONFIG!$E$21,CONFIG!$F$21,IF(K154&gt;=CONFIG!$E$20,CONFIG!$F$20,CONFIG!$F$19)))</f>
        <v/>
      </c>
      <c r="N154" s="19" t="str">
        <f aca="false">IF(I154="","",IF(I154&lt;=M154,"OK","ALTA"))</f>
        <v/>
      </c>
      <c r="O154" s="13"/>
    </row>
    <row r="155" customFormat="false" ht="15" hidden="false" customHeight="false" outlineLevel="0" collapsed="false">
      <c r="A155" s="11" t="str">
        <f aca="false">IF(C155="","",ROW()-4)</f>
        <v/>
      </c>
      <c r="B155" s="12"/>
      <c r="C155" s="13"/>
      <c r="D155" s="11" t="str">
        <f aca="false">IF(C155="","",IFERROR(INDEX(LOTES!$D$5:$D$1004,MATCH(C155,LOTES!$F$5:$F$1004,0)),"¿Lote?"))</f>
        <v/>
      </c>
      <c r="E155" s="11" t="str">
        <f aca="false">IF(C155="","",IFERROR(INDEX(LOTES!$C$5:$C$1004,MATCH(C155,LOTES!$F$5:$F$1004,0)),""))</f>
        <v/>
      </c>
      <c r="F155" s="27"/>
      <c r="G155" s="27"/>
      <c r="H155" s="27"/>
      <c r="I155" s="20" t="str">
        <f aca="false">IF(AND(ISNUMBER(F155),ISNUMBER(G155),ISNUMBER(H155),F155&gt;G155,H155&gt;0),(F155-H155)/(F155-G155)*1000,"")</f>
        <v/>
      </c>
      <c r="J155" s="17" t="str">
        <f aca="false">IF(AND(ISNUMBER(F155),ISNUMBER(G155),ISNUMBER(H155),F155&gt;G155,H155&gt;0),(F155-H155)/H155,"")</f>
        <v/>
      </c>
      <c r="K155" s="20" t="str">
        <f aca="false">IF(AND(ISNUMBER(F155),ISNUMBER(G155),ISNUMBER(H155),F155&gt;G155,H155&gt;0),H155/(F155-G155)*1000,"")</f>
        <v/>
      </c>
      <c r="L155" s="11" t="str">
        <f aca="false">IF(K155="","",IF(K155&gt;=CONFIG!$E$21,CONFIG!$D$21,IF(K155&gt;=CONFIG!$E$20,CONFIG!$D$20,CONFIG!$D$19)))</f>
        <v/>
      </c>
      <c r="M155" s="20" t="str">
        <f aca="false">IF(K155="","",IF(K155&gt;=CONFIG!$E$21,CONFIG!$F$21,IF(K155&gt;=CONFIG!$E$20,CONFIG!$F$20,CONFIG!$F$19)))</f>
        <v/>
      </c>
      <c r="N155" s="19" t="str">
        <f aca="false">IF(I155="","",IF(I155&lt;=M155,"OK","ALTA"))</f>
        <v/>
      </c>
      <c r="O155" s="13"/>
    </row>
    <row r="156" customFormat="false" ht="15" hidden="false" customHeight="false" outlineLevel="0" collapsed="false">
      <c r="A156" s="11" t="str">
        <f aca="false">IF(C156="","",ROW()-4)</f>
        <v/>
      </c>
      <c r="B156" s="12"/>
      <c r="C156" s="13"/>
      <c r="D156" s="11" t="str">
        <f aca="false">IF(C156="","",IFERROR(INDEX(LOTES!$D$5:$D$1004,MATCH(C156,LOTES!$F$5:$F$1004,0)),"¿Lote?"))</f>
        <v/>
      </c>
      <c r="E156" s="11" t="str">
        <f aca="false">IF(C156="","",IFERROR(INDEX(LOTES!$C$5:$C$1004,MATCH(C156,LOTES!$F$5:$F$1004,0)),""))</f>
        <v/>
      </c>
      <c r="F156" s="27"/>
      <c r="G156" s="27"/>
      <c r="H156" s="27"/>
      <c r="I156" s="20" t="str">
        <f aca="false">IF(AND(ISNUMBER(F156),ISNUMBER(G156),ISNUMBER(H156),F156&gt;G156,H156&gt;0),(F156-H156)/(F156-G156)*1000,"")</f>
        <v/>
      </c>
      <c r="J156" s="17" t="str">
        <f aca="false">IF(AND(ISNUMBER(F156),ISNUMBER(G156),ISNUMBER(H156),F156&gt;G156,H156&gt;0),(F156-H156)/H156,"")</f>
        <v/>
      </c>
      <c r="K156" s="20" t="str">
        <f aca="false">IF(AND(ISNUMBER(F156),ISNUMBER(G156),ISNUMBER(H156),F156&gt;G156,H156&gt;0),H156/(F156-G156)*1000,"")</f>
        <v/>
      </c>
      <c r="L156" s="11" t="str">
        <f aca="false">IF(K156="","",IF(K156&gt;=CONFIG!$E$21,CONFIG!$D$21,IF(K156&gt;=CONFIG!$E$20,CONFIG!$D$20,CONFIG!$D$19)))</f>
        <v/>
      </c>
      <c r="M156" s="20" t="str">
        <f aca="false">IF(K156="","",IF(K156&gt;=CONFIG!$E$21,CONFIG!$F$21,IF(K156&gt;=CONFIG!$E$20,CONFIG!$F$20,CONFIG!$F$19)))</f>
        <v/>
      </c>
      <c r="N156" s="19" t="str">
        <f aca="false">IF(I156="","",IF(I156&lt;=M156,"OK","ALTA"))</f>
        <v/>
      </c>
      <c r="O156" s="13"/>
    </row>
    <row r="157" customFormat="false" ht="15" hidden="false" customHeight="false" outlineLevel="0" collapsed="false">
      <c r="A157" s="11" t="str">
        <f aca="false">IF(C157="","",ROW()-4)</f>
        <v/>
      </c>
      <c r="B157" s="12"/>
      <c r="C157" s="13"/>
      <c r="D157" s="11" t="str">
        <f aca="false">IF(C157="","",IFERROR(INDEX(LOTES!$D$5:$D$1004,MATCH(C157,LOTES!$F$5:$F$1004,0)),"¿Lote?"))</f>
        <v/>
      </c>
      <c r="E157" s="11" t="str">
        <f aca="false">IF(C157="","",IFERROR(INDEX(LOTES!$C$5:$C$1004,MATCH(C157,LOTES!$F$5:$F$1004,0)),""))</f>
        <v/>
      </c>
      <c r="F157" s="27"/>
      <c r="G157" s="27"/>
      <c r="H157" s="27"/>
      <c r="I157" s="20" t="str">
        <f aca="false">IF(AND(ISNUMBER(F157),ISNUMBER(G157),ISNUMBER(H157),F157&gt;G157,H157&gt;0),(F157-H157)/(F157-G157)*1000,"")</f>
        <v/>
      </c>
      <c r="J157" s="17" t="str">
        <f aca="false">IF(AND(ISNUMBER(F157),ISNUMBER(G157),ISNUMBER(H157),F157&gt;G157,H157&gt;0),(F157-H157)/H157,"")</f>
        <v/>
      </c>
      <c r="K157" s="20" t="str">
        <f aca="false">IF(AND(ISNUMBER(F157),ISNUMBER(G157),ISNUMBER(H157),F157&gt;G157,H157&gt;0),H157/(F157-G157)*1000,"")</f>
        <v/>
      </c>
      <c r="L157" s="11" t="str">
        <f aca="false">IF(K157="","",IF(K157&gt;=CONFIG!$E$21,CONFIG!$D$21,IF(K157&gt;=CONFIG!$E$20,CONFIG!$D$20,CONFIG!$D$19)))</f>
        <v/>
      </c>
      <c r="M157" s="20" t="str">
        <f aca="false">IF(K157="","",IF(K157&gt;=CONFIG!$E$21,CONFIG!$F$21,IF(K157&gt;=CONFIG!$E$20,CONFIG!$F$20,CONFIG!$F$19)))</f>
        <v/>
      </c>
      <c r="N157" s="19" t="str">
        <f aca="false">IF(I157="","",IF(I157&lt;=M157,"OK","ALTA"))</f>
        <v/>
      </c>
      <c r="O157" s="13"/>
    </row>
    <row r="158" customFormat="false" ht="15" hidden="false" customHeight="false" outlineLevel="0" collapsed="false">
      <c r="A158" s="11" t="str">
        <f aca="false">IF(C158="","",ROW()-4)</f>
        <v/>
      </c>
      <c r="B158" s="12"/>
      <c r="C158" s="13"/>
      <c r="D158" s="11" t="str">
        <f aca="false">IF(C158="","",IFERROR(INDEX(LOTES!$D$5:$D$1004,MATCH(C158,LOTES!$F$5:$F$1004,0)),"¿Lote?"))</f>
        <v/>
      </c>
      <c r="E158" s="11" t="str">
        <f aca="false">IF(C158="","",IFERROR(INDEX(LOTES!$C$5:$C$1004,MATCH(C158,LOTES!$F$5:$F$1004,0)),""))</f>
        <v/>
      </c>
      <c r="F158" s="27"/>
      <c r="G158" s="27"/>
      <c r="H158" s="27"/>
      <c r="I158" s="20" t="str">
        <f aca="false">IF(AND(ISNUMBER(F158),ISNUMBER(G158),ISNUMBER(H158),F158&gt;G158,H158&gt;0),(F158-H158)/(F158-G158)*1000,"")</f>
        <v/>
      </c>
      <c r="J158" s="17" t="str">
        <f aca="false">IF(AND(ISNUMBER(F158),ISNUMBER(G158),ISNUMBER(H158),F158&gt;G158,H158&gt;0),(F158-H158)/H158,"")</f>
        <v/>
      </c>
      <c r="K158" s="20" t="str">
        <f aca="false">IF(AND(ISNUMBER(F158),ISNUMBER(G158),ISNUMBER(H158),F158&gt;G158,H158&gt;0),H158/(F158-G158)*1000,"")</f>
        <v/>
      </c>
      <c r="L158" s="11" t="str">
        <f aca="false">IF(K158="","",IF(K158&gt;=CONFIG!$E$21,CONFIG!$D$21,IF(K158&gt;=CONFIG!$E$20,CONFIG!$D$20,CONFIG!$D$19)))</f>
        <v/>
      </c>
      <c r="M158" s="20" t="str">
        <f aca="false">IF(K158="","",IF(K158&gt;=CONFIG!$E$21,CONFIG!$F$21,IF(K158&gt;=CONFIG!$E$20,CONFIG!$F$20,CONFIG!$F$19)))</f>
        <v/>
      </c>
      <c r="N158" s="19" t="str">
        <f aca="false">IF(I158="","",IF(I158&lt;=M158,"OK","ALTA"))</f>
        <v/>
      </c>
      <c r="O158" s="13"/>
    </row>
    <row r="159" customFormat="false" ht="15" hidden="false" customHeight="false" outlineLevel="0" collapsed="false">
      <c r="A159" s="11" t="str">
        <f aca="false">IF(C159="","",ROW()-4)</f>
        <v/>
      </c>
      <c r="B159" s="12"/>
      <c r="C159" s="13"/>
      <c r="D159" s="11" t="str">
        <f aca="false">IF(C159="","",IFERROR(INDEX(LOTES!$D$5:$D$1004,MATCH(C159,LOTES!$F$5:$F$1004,0)),"¿Lote?"))</f>
        <v/>
      </c>
      <c r="E159" s="11" t="str">
        <f aca="false">IF(C159="","",IFERROR(INDEX(LOTES!$C$5:$C$1004,MATCH(C159,LOTES!$F$5:$F$1004,0)),""))</f>
        <v/>
      </c>
      <c r="F159" s="27"/>
      <c r="G159" s="27"/>
      <c r="H159" s="27"/>
      <c r="I159" s="20" t="str">
        <f aca="false">IF(AND(ISNUMBER(F159),ISNUMBER(G159),ISNUMBER(H159),F159&gt;G159,H159&gt;0),(F159-H159)/(F159-G159)*1000,"")</f>
        <v/>
      </c>
      <c r="J159" s="17" t="str">
        <f aca="false">IF(AND(ISNUMBER(F159),ISNUMBER(G159),ISNUMBER(H159),F159&gt;G159,H159&gt;0),(F159-H159)/H159,"")</f>
        <v/>
      </c>
      <c r="K159" s="20" t="str">
        <f aca="false">IF(AND(ISNUMBER(F159),ISNUMBER(G159),ISNUMBER(H159),F159&gt;G159,H159&gt;0),H159/(F159-G159)*1000,"")</f>
        <v/>
      </c>
      <c r="L159" s="11" t="str">
        <f aca="false">IF(K159="","",IF(K159&gt;=CONFIG!$E$21,CONFIG!$D$21,IF(K159&gt;=CONFIG!$E$20,CONFIG!$D$20,CONFIG!$D$19)))</f>
        <v/>
      </c>
      <c r="M159" s="20" t="str">
        <f aca="false">IF(K159="","",IF(K159&gt;=CONFIG!$E$21,CONFIG!$F$21,IF(K159&gt;=CONFIG!$E$20,CONFIG!$F$20,CONFIG!$F$19)))</f>
        <v/>
      </c>
      <c r="N159" s="19" t="str">
        <f aca="false">IF(I159="","",IF(I159&lt;=M159,"OK","ALTA"))</f>
        <v/>
      </c>
      <c r="O159" s="13"/>
    </row>
    <row r="160" customFormat="false" ht="15" hidden="false" customHeight="false" outlineLevel="0" collapsed="false">
      <c r="A160" s="11" t="str">
        <f aca="false">IF(C160="","",ROW()-4)</f>
        <v/>
      </c>
      <c r="B160" s="12"/>
      <c r="C160" s="13"/>
      <c r="D160" s="11" t="str">
        <f aca="false">IF(C160="","",IFERROR(INDEX(LOTES!$D$5:$D$1004,MATCH(C160,LOTES!$F$5:$F$1004,0)),"¿Lote?"))</f>
        <v/>
      </c>
      <c r="E160" s="11" t="str">
        <f aca="false">IF(C160="","",IFERROR(INDEX(LOTES!$C$5:$C$1004,MATCH(C160,LOTES!$F$5:$F$1004,0)),""))</f>
        <v/>
      </c>
      <c r="F160" s="27"/>
      <c r="G160" s="27"/>
      <c r="H160" s="27"/>
      <c r="I160" s="20" t="str">
        <f aca="false">IF(AND(ISNUMBER(F160),ISNUMBER(G160),ISNUMBER(H160),F160&gt;G160,H160&gt;0),(F160-H160)/(F160-G160)*1000,"")</f>
        <v/>
      </c>
      <c r="J160" s="17" t="str">
        <f aca="false">IF(AND(ISNUMBER(F160),ISNUMBER(G160),ISNUMBER(H160),F160&gt;G160,H160&gt;0),(F160-H160)/H160,"")</f>
        <v/>
      </c>
      <c r="K160" s="20" t="str">
        <f aca="false">IF(AND(ISNUMBER(F160),ISNUMBER(G160),ISNUMBER(H160),F160&gt;G160,H160&gt;0),H160/(F160-G160)*1000,"")</f>
        <v/>
      </c>
      <c r="L160" s="11" t="str">
        <f aca="false">IF(K160="","",IF(K160&gt;=CONFIG!$E$21,CONFIG!$D$21,IF(K160&gt;=CONFIG!$E$20,CONFIG!$D$20,CONFIG!$D$19)))</f>
        <v/>
      </c>
      <c r="M160" s="20" t="str">
        <f aca="false">IF(K160="","",IF(K160&gt;=CONFIG!$E$21,CONFIG!$F$21,IF(K160&gt;=CONFIG!$E$20,CONFIG!$F$20,CONFIG!$F$19)))</f>
        <v/>
      </c>
      <c r="N160" s="19" t="str">
        <f aca="false">IF(I160="","",IF(I160&lt;=M160,"OK","ALTA"))</f>
        <v/>
      </c>
      <c r="O160" s="13"/>
    </row>
    <row r="161" customFormat="false" ht="15" hidden="false" customHeight="false" outlineLevel="0" collapsed="false">
      <c r="A161" s="11" t="str">
        <f aca="false">IF(C161="","",ROW()-4)</f>
        <v/>
      </c>
      <c r="B161" s="12"/>
      <c r="C161" s="13"/>
      <c r="D161" s="11" t="str">
        <f aca="false">IF(C161="","",IFERROR(INDEX(LOTES!$D$5:$D$1004,MATCH(C161,LOTES!$F$5:$F$1004,0)),"¿Lote?"))</f>
        <v/>
      </c>
      <c r="E161" s="11" t="str">
        <f aca="false">IF(C161="","",IFERROR(INDEX(LOTES!$C$5:$C$1004,MATCH(C161,LOTES!$F$5:$F$1004,0)),""))</f>
        <v/>
      </c>
      <c r="F161" s="27"/>
      <c r="G161" s="27"/>
      <c r="H161" s="27"/>
      <c r="I161" s="20" t="str">
        <f aca="false">IF(AND(ISNUMBER(F161),ISNUMBER(G161),ISNUMBER(H161),F161&gt;G161,H161&gt;0),(F161-H161)/(F161-G161)*1000,"")</f>
        <v/>
      </c>
      <c r="J161" s="17" t="str">
        <f aca="false">IF(AND(ISNUMBER(F161),ISNUMBER(G161),ISNUMBER(H161),F161&gt;G161,H161&gt;0),(F161-H161)/H161,"")</f>
        <v/>
      </c>
      <c r="K161" s="20" t="str">
        <f aca="false">IF(AND(ISNUMBER(F161),ISNUMBER(G161),ISNUMBER(H161),F161&gt;G161,H161&gt;0),H161/(F161-G161)*1000,"")</f>
        <v/>
      </c>
      <c r="L161" s="11" t="str">
        <f aca="false">IF(K161="","",IF(K161&gt;=CONFIG!$E$21,CONFIG!$D$21,IF(K161&gt;=CONFIG!$E$20,CONFIG!$D$20,CONFIG!$D$19)))</f>
        <v/>
      </c>
      <c r="M161" s="20" t="str">
        <f aca="false">IF(K161="","",IF(K161&gt;=CONFIG!$E$21,CONFIG!$F$21,IF(K161&gt;=CONFIG!$E$20,CONFIG!$F$20,CONFIG!$F$19)))</f>
        <v/>
      </c>
      <c r="N161" s="19" t="str">
        <f aca="false">IF(I161="","",IF(I161&lt;=M161,"OK","ALTA"))</f>
        <v/>
      </c>
      <c r="O161" s="13"/>
    </row>
    <row r="162" customFormat="false" ht="15" hidden="false" customHeight="false" outlineLevel="0" collapsed="false">
      <c r="A162" s="11" t="str">
        <f aca="false">IF(C162="","",ROW()-4)</f>
        <v/>
      </c>
      <c r="B162" s="12"/>
      <c r="C162" s="13"/>
      <c r="D162" s="11" t="str">
        <f aca="false">IF(C162="","",IFERROR(INDEX(LOTES!$D$5:$D$1004,MATCH(C162,LOTES!$F$5:$F$1004,0)),"¿Lote?"))</f>
        <v/>
      </c>
      <c r="E162" s="11" t="str">
        <f aca="false">IF(C162="","",IFERROR(INDEX(LOTES!$C$5:$C$1004,MATCH(C162,LOTES!$F$5:$F$1004,0)),""))</f>
        <v/>
      </c>
      <c r="F162" s="27"/>
      <c r="G162" s="27"/>
      <c r="H162" s="27"/>
      <c r="I162" s="20" t="str">
        <f aca="false">IF(AND(ISNUMBER(F162),ISNUMBER(G162),ISNUMBER(H162),F162&gt;G162,H162&gt;0),(F162-H162)/(F162-G162)*1000,"")</f>
        <v/>
      </c>
      <c r="J162" s="17" t="str">
        <f aca="false">IF(AND(ISNUMBER(F162),ISNUMBER(G162),ISNUMBER(H162),F162&gt;G162,H162&gt;0),(F162-H162)/H162,"")</f>
        <v/>
      </c>
      <c r="K162" s="20" t="str">
        <f aca="false">IF(AND(ISNUMBER(F162),ISNUMBER(G162),ISNUMBER(H162),F162&gt;G162,H162&gt;0),H162/(F162-G162)*1000,"")</f>
        <v/>
      </c>
      <c r="L162" s="11" t="str">
        <f aca="false">IF(K162="","",IF(K162&gt;=CONFIG!$E$21,CONFIG!$D$21,IF(K162&gt;=CONFIG!$E$20,CONFIG!$D$20,CONFIG!$D$19)))</f>
        <v/>
      </c>
      <c r="M162" s="20" t="str">
        <f aca="false">IF(K162="","",IF(K162&gt;=CONFIG!$E$21,CONFIG!$F$21,IF(K162&gt;=CONFIG!$E$20,CONFIG!$F$20,CONFIG!$F$19)))</f>
        <v/>
      </c>
      <c r="N162" s="19" t="str">
        <f aca="false">IF(I162="","",IF(I162&lt;=M162,"OK","ALTA"))</f>
        <v/>
      </c>
      <c r="O162" s="13"/>
    </row>
    <row r="163" customFormat="false" ht="15" hidden="false" customHeight="false" outlineLevel="0" collapsed="false">
      <c r="A163" s="11" t="str">
        <f aca="false">IF(C163="","",ROW()-4)</f>
        <v/>
      </c>
      <c r="B163" s="12"/>
      <c r="C163" s="13"/>
      <c r="D163" s="11" t="str">
        <f aca="false">IF(C163="","",IFERROR(INDEX(LOTES!$D$5:$D$1004,MATCH(C163,LOTES!$F$5:$F$1004,0)),"¿Lote?"))</f>
        <v/>
      </c>
      <c r="E163" s="11" t="str">
        <f aca="false">IF(C163="","",IFERROR(INDEX(LOTES!$C$5:$C$1004,MATCH(C163,LOTES!$F$5:$F$1004,0)),""))</f>
        <v/>
      </c>
      <c r="F163" s="27"/>
      <c r="G163" s="27"/>
      <c r="H163" s="27"/>
      <c r="I163" s="20" t="str">
        <f aca="false">IF(AND(ISNUMBER(F163),ISNUMBER(G163),ISNUMBER(H163),F163&gt;G163,H163&gt;0),(F163-H163)/(F163-G163)*1000,"")</f>
        <v/>
      </c>
      <c r="J163" s="17" t="str">
        <f aca="false">IF(AND(ISNUMBER(F163),ISNUMBER(G163),ISNUMBER(H163),F163&gt;G163,H163&gt;0),(F163-H163)/H163,"")</f>
        <v/>
      </c>
      <c r="K163" s="20" t="str">
        <f aca="false">IF(AND(ISNUMBER(F163),ISNUMBER(G163),ISNUMBER(H163),F163&gt;G163,H163&gt;0),H163/(F163-G163)*1000,"")</f>
        <v/>
      </c>
      <c r="L163" s="11" t="str">
        <f aca="false">IF(K163="","",IF(K163&gt;=CONFIG!$E$21,CONFIG!$D$21,IF(K163&gt;=CONFIG!$E$20,CONFIG!$D$20,CONFIG!$D$19)))</f>
        <v/>
      </c>
      <c r="M163" s="20" t="str">
        <f aca="false">IF(K163="","",IF(K163&gt;=CONFIG!$E$21,CONFIG!$F$21,IF(K163&gt;=CONFIG!$E$20,CONFIG!$F$20,CONFIG!$F$19)))</f>
        <v/>
      </c>
      <c r="N163" s="19" t="str">
        <f aca="false">IF(I163="","",IF(I163&lt;=M163,"OK","ALTA"))</f>
        <v/>
      </c>
      <c r="O163" s="13"/>
    </row>
    <row r="164" customFormat="false" ht="15" hidden="false" customHeight="false" outlineLevel="0" collapsed="false">
      <c r="A164" s="11" t="str">
        <f aca="false">IF(C164="","",ROW()-4)</f>
        <v/>
      </c>
      <c r="B164" s="12"/>
      <c r="C164" s="13"/>
      <c r="D164" s="11" t="str">
        <f aca="false">IF(C164="","",IFERROR(INDEX(LOTES!$D$5:$D$1004,MATCH(C164,LOTES!$F$5:$F$1004,0)),"¿Lote?"))</f>
        <v/>
      </c>
      <c r="E164" s="11" t="str">
        <f aca="false">IF(C164="","",IFERROR(INDEX(LOTES!$C$5:$C$1004,MATCH(C164,LOTES!$F$5:$F$1004,0)),""))</f>
        <v/>
      </c>
      <c r="F164" s="27"/>
      <c r="G164" s="27"/>
      <c r="H164" s="27"/>
      <c r="I164" s="20" t="str">
        <f aca="false">IF(AND(ISNUMBER(F164),ISNUMBER(G164),ISNUMBER(H164),F164&gt;G164,H164&gt;0),(F164-H164)/(F164-G164)*1000,"")</f>
        <v/>
      </c>
      <c r="J164" s="17" t="str">
        <f aca="false">IF(AND(ISNUMBER(F164),ISNUMBER(G164),ISNUMBER(H164),F164&gt;G164,H164&gt;0),(F164-H164)/H164,"")</f>
        <v/>
      </c>
      <c r="K164" s="20" t="str">
        <f aca="false">IF(AND(ISNUMBER(F164),ISNUMBER(G164),ISNUMBER(H164),F164&gt;G164,H164&gt;0),H164/(F164-G164)*1000,"")</f>
        <v/>
      </c>
      <c r="L164" s="11" t="str">
        <f aca="false">IF(K164="","",IF(K164&gt;=CONFIG!$E$21,CONFIG!$D$21,IF(K164&gt;=CONFIG!$E$20,CONFIG!$D$20,CONFIG!$D$19)))</f>
        <v/>
      </c>
      <c r="M164" s="20" t="str">
        <f aca="false">IF(K164="","",IF(K164&gt;=CONFIG!$E$21,CONFIG!$F$21,IF(K164&gt;=CONFIG!$E$20,CONFIG!$F$20,CONFIG!$F$19)))</f>
        <v/>
      </c>
      <c r="N164" s="19" t="str">
        <f aca="false">IF(I164="","",IF(I164&lt;=M164,"OK","ALTA"))</f>
        <v/>
      </c>
      <c r="O164" s="13"/>
    </row>
    <row r="165" customFormat="false" ht="15" hidden="false" customHeight="false" outlineLevel="0" collapsed="false">
      <c r="A165" s="11" t="str">
        <f aca="false">IF(C165="","",ROW()-4)</f>
        <v/>
      </c>
      <c r="B165" s="12"/>
      <c r="C165" s="13"/>
      <c r="D165" s="11" t="str">
        <f aca="false">IF(C165="","",IFERROR(INDEX(LOTES!$D$5:$D$1004,MATCH(C165,LOTES!$F$5:$F$1004,0)),"¿Lote?"))</f>
        <v/>
      </c>
      <c r="E165" s="11" t="str">
        <f aca="false">IF(C165="","",IFERROR(INDEX(LOTES!$C$5:$C$1004,MATCH(C165,LOTES!$F$5:$F$1004,0)),""))</f>
        <v/>
      </c>
      <c r="F165" s="27"/>
      <c r="G165" s="27"/>
      <c r="H165" s="27"/>
      <c r="I165" s="20" t="str">
        <f aca="false">IF(AND(ISNUMBER(F165),ISNUMBER(G165),ISNUMBER(H165),F165&gt;G165,H165&gt;0),(F165-H165)/(F165-G165)*1000,"")</f>
        <v/>
      </c>
      <c r="J165" s="17" t="str">
        <f aca="false">IF(AND(ISNUMBER(F165),ISNUMBER(G165),ISNUMBER(H165),F165&gt;G165,H165&gt;0),(F165-H165)/H165,"")</f>
        <v/>
      </c>
      <c r="K165" s="20" t="str">
        <f aca="false">IF(AND(ISNUMBER(F165),ISNUMBER(G165),ISNUMBER(H165),F165&gt;G165,H165&gt;0),H165/(F165-G165)*1000,"")</f>
        <v/>
      </c>
      <c r="L165" s="11" t="str">
        <f aca="false">IF(K165="","",IF(K165&gt;=CONFIG!$E$21,CONFIG!$D$21,IF(K165&gt;=CONFIG!$E$20,CONFIG!$D$20,CONFIG!$D$19)))</f>
        <v/>
      </c>
      <c r="M165" s="20" t="str">
        <f aca="false">IF(K165="","",IF(K165&gt;=CONFIG!$E$21,CONFIG!$F$21,IF(K165&gt;=CONFIG!$E$20,CONFIG!$F$20,CONFIG!$F$19)))</f>
        <v/>
      </c>
      <c r="N165" s="19" t="str">
        <f aca="false">IF(I165="","",IF(I165&lt;=M165,"OK","ALTA"))</f>
        <v/>
      </c>
      <c r="O165" s="13"/>
    </row>
    <row r="166" customFormat="false" ht="15" hidden="false" customHeight="false" outlineLevel="0" collapsed="false">
      <c r="A166" s="11" t="str">
        <f aca="false">IF(C166="","",ROW()-4)</f>
        <v/>
      </c>
      <c r="B166" s="12"/>
      <c r="C166" s="13"/>
      <c r="D166" s="11" t="str">
        <f aca="false">IF(C166="","",IFERROR(INDEX(LOTES!$D$5:$D$1004,MATCH(C166,LOTES!$F$5:$F$1004,0)),"¿Lote?"))</f>
        <v/>
      </c>
      <c r="E166" s="11" t="str">
        <f aca="false">IF(C166="","",IFERROR(INDEX(LOTES!$C$5:$C$1004,MATCH(C166,LOTES!$F$5:$F$1004,0)),""))</f>
        <v/>
      </c>
      <c r="F166" s="27"/>
      <c r="G166" s="27"/>
      <c r="H166" s="27"/>
      <c r="I166" s="20" t="str">
        <f aca="false">IF(AND(ISNUMBER(F166),ISNUMBER(G166),ISNUMBER(H166),F166&gt;G166,H166&gt;0),(F166-H166)/(F166-G166)*1000,"")</f>
        <v/>
      </c>
      <c r="J166" s="17" t="str">
        <f aca="false">IF(AND(ISNUMBER(F166),ISNUMBER(G166),ISNUMBER(H166),F166&gt;G166,H166&gt;0),(F166-H166)/H166,"")</f>
        <v/>
      </c>
      <c r="K166" s="20" t="str">
        <f aca="false">IF(AND(ISNUMBER(F166),ISNUMBER(G166),ISNUMBER(H166),F166&gt;G166,H166&gt;0),H166/(F166-G166)*1000,"")</f>
        <v/>
      </c>
      <c r="L166" s="11" t="str">
        <f aca="false">IF(K166="","",IF(K166&gt;=CONFIG!$E$21,CONFIG!$D$21,IF(K166&gt;=CONFIG!$E$20,CONFIG!$D$20,CONFIG!$D$19)))</f>
        <v/>
      </c>
      <c r="M166" s="20" t="str">
        <f aca="false">IF(K166="","",IF(K166&gt;=CONFIG!$E$21,CONFIG!$F$21,IF(K166&gt;=CONFIG!$E$20,CONFIG!$F$20,CONFIG!$F$19)))</f>
        <v/>
      </c>
      <c r="N166" s="19" t="str">
        <f aca="false">IF(I166="","",IF(I166&lt;=M166,"OK","ALTA"))</f>
        <v/>
      </c>
      <c r="O166" s="13"/>
    </row>
    <row r="167" customFormat="false" ht="15" hidden="false" customHeight="false" outlineLevel="0" collapsed="false">
      <c r="A167" s="11" t="str">
        <f aca="false">IF(C167="","",ROW()-4)</f>
        <v/>
      </c>
      <c r="B167" s="12"/>
      <c r="C167" s="13"/>
      <c r="D167" s="11" t="str">
        <f aca="false">IF(C167="","",IFERROR(INDEX(LOTES!$D$5:$D$1004,MATCH(C167,LOTES!$F$5:$F$1004,0)),"¿Lote?"))</f>
        <v/>
      </c>
      <c r="E167" s="11" t="str">
        <f aca="false">IF(C167="","",IFERROR(INDEX(LOTES!$C$5:$C$1004,MATCH(C167,LOTES!$F$5:$F$1004,0)),""))</f>
        <v/>
      </c>
      <c r="F167" s="27"/>
      <c r="G167" s="27"/>
      <c r="H167" s="27"/>
      <c r="I167" s="20" t="str">
        <f aca="false">IF(AND(ISNUMBER(F167),ISNUMBER(G167),ISNUMBER(H167),F167&gt;G167,H167&gt;0),(F167-H167)/(F167-G167)*1000,"")</f>
        <v/>
      </c>
      <c r="J167" s="17" t="str">
        <f aca="false">IF(AND(ISNUMBER(F167),ISNUMBER(G167),ISNUMBER(H167),F167&gt;G167,H167&gt;0),(F167-H167)/H167,"")</f>
        <v/>
      </c>
      <c r="K167" s="20" t="str">
        <f aca="false">IF(AND(ISNUMBER(F167),ISNUMBER(G167),ISNUMBER(H167),F167&gt;G167,H167&gt;0),H167/(F167-G167)*1000,"")</f>
        <v/>
      </c>
      <c r="L167" s="11" t="str">
        <f aca="false">IF(K167="","",IF(K167&gt;=CONFIG!$E$21,CONFIG!$D$21,IF(K167&gt;=CONFIG!$E$20,CONFIG!$D$20,CONFIG!$D$19)))</f>
        <v/>
      </c>
      <c r="M167" s="20" t="str">
        <f aca="false">IF(K167="","",IF(K167&gt;=CONFIG!$E$21,CONFIG!$F$21,IF(K167&gt;=CONFIG!$E$20,CONFIG!$F$20,CONFIG!$F$19)))</f>
        <v/>
      </c>
      <c r="N167" s="19" t="str">
        <f aca="false">IF(I167="","",IF(I167&lt;=M167,"OK","ALTA"))</f>
        <v/>
      </c>
      <c r="O167" s="13"/>
    </row>
    <row r="168" customFormat="false" ht="15" hidden="false" customHeight="false" outlineLevel="0" collapsed="false">
      <c r="A168" s="11" t="str">
        <f aca="false">IF(C168="","",ROW()-4)</f>
        <v/>
      </c>
      <c r="B168" s="12"/>
      <c r="C168" s="13"/>
      <c r="D168" s="11" t="str">
        <f aca="false">IF(C168="","",IFERROR(INDEX(LOTES!$D$5:$D$1004,MATCH(C168,LOTES!$F$5:$F$1004,0)),"¿Lote?"))</f>
        <v/>
      </c>
      <c r="E168" s="11" t="str">
        <f aca="false">IF(C168="","",IFERROR(INDEX(LOTES!$C$5:$C$1004,MATCH(C168,LOTES!$F$5:$F$1004,0)),""))</f>
        <v/>
      </c>
      <c r="F168" s="27"/>
      <c r="G168" s="27"/>
      <c r="H168" s="27"/>
      <c r="I168" s="20" t="str">
        <f aca="false">IF(AND(ISNUMBER(F168),ISNUMBER(G168),ISNUMBER(H168),F168&gt;G168,H168&gt;0),(F168-H168)/(F168-G168)*1000,"")</f>
        <v/>
      </c>
      <c r="J168" s="17" t="str">
        <f aca="false">IF(AND(ISNUMBER(F168),ISNUMBER(G168),ISNUMBER(H168),F168&gt;G168,H168&gt;0),(F168-H168)/H168,"")</f>
        <v/>
      </c>
      <c r="K168" s="20" t="str">
        <f aca="false">IF(AND(ISNUMBER(F168),ISNUMBER(G168),ISNUMBER(H168),F168&gt;G168,H168&gt;0),H168/(F168-G168)*1000,"")</f>
        <v/>
      </c>
      <c r="L168" s="11" t="str">
        <f aca="false">IF(K168="","",IF(K168&gt;=CONFIG!$E$21,CONFIG!$D$21,IF(K168&gt;=CONFIG!$E$20,CONFIG!$D$20,CONFIG!$D$19)))</f>
        <v/>
      </c>
      <c r="M168" s="20" t="str">
        <f aca="false">IF(K168="","",IF(K168&gt;=CONFIG!$E$21,CONFIG!$F$21,IF(K168&gt;=CONFIG!$E$20,CONFIG!$F$20,CONFIG!$F$19)))</f>
        <v/>
      </c>
      <c r="N168" s="19" t="str">
        <f aca="false">IF(I168="","",IF(I168&lt;=M168,"OK","ALTA"))</f>
        <v/>
      </c>
      <c r="O168" s="13"/>
    </row>
    <row r="169" customFormat="false" ht="15" hidden="false" customHeight="false" outlineLevel="0" collapsed="false">
      <c r="A169" s="11" t="str">
        <f aca="false">IF(C169="","",ROW()-4)</f>
        <v/>
      </c>
      <c r="B169" s="12"/>
      <c r="C169" s="13"/>
      <c r="D169" s="11" t="str">
        <f aca="false">IF(C169="","",IFERROR(INDEX(LOTES!$D$5:$D$1004,MATCH(C169,LOTES!$F$5:$F$1004,0)),"¿Lote?"))</f>
        <v/>
      </c>
      <c r="E169" s="11" t="str">
        <f aca="false">IF(C169="","",IFERROR(INDEX(LOTES!$C$5:$C$1004,MATCH(C169,LOTES!$F$5:$F$1004,0)),""))</f>
        <v/>
      </c>
      <c r="F169" s="27"/>
      <c r="G169" s="27"/>
      <c r="H169" s="27"/>
      <c r="I169" s="20" t="str">
        <f aca="false">IF(AND(ISNUMBER(F169),ISNUMBER(G169),ISNUMBER(H169),F169&gt;G169,H169&gt;0),(F169-H169)/(F169-G169)*1000,"")</f>
        <v/>
      </c>
      <c r="J169" s="17" t="str">
        <f aca="false">IF(AND(ISNUMBER(F169),ISNUMBER(G169),ISNUMBER(H169),F169&gt;G169,H169&gt;0),(F169-H169)/H169,"")</f>
        <v/>
      </c>
      <c r="K169" s="20" t="str">
        <f aca="false">IF(AND(ISNUMBER(F169),ISNUMBER(G169),ISNUMBER(H169),F169&gt;G169,H169&gt;0),H169/(F169-G169)*1000,"")</f>
        <v/>
      </c>
      <c r="L169" s="11" t="str">
        <f aca="false">IF(K169="","",IF(K169&gt;=CONFIG!$E$21,CONFIG!$D$21,IF(K169&gt;=CONFIG!$E$20,CONFIG!$D$20,CONFIG!$D$19)))</f>
        <v/>
      </c>
      <c r="M169" s="20" t="str">
        <f aca="false">IF(K169="","",IF(K169&gt;=CONFIG!$E$21,CONFIG!$F$21,IF(K169&gt;=CONFIG!$E$20,CONFIG!$F$20,CONFIG!$F$19)))</f>
        <v/>
      </c>
      <c r="N169" s="19" t="str">
        <f aca="false">IF(I169="","",IF(I169&lt;=M169,"OK","ALTA"))</f>
        <v/>
      </c>
      <c r="O169" s="13"/>
    </row>
    <row r="170" customFormat="false" ht="15" hidden="false" customHeight="false" outlineLevel="0" collapsed="false">
      <c r="A170" s="11" t="str">
        <f aca="false">IF(C170="","",ROW()-4)</f>
        <v/>
      </c>
      <c r="B170" s="12"/>
      <c r="C170" s="13"/>
      <c r="D170" s="11" t="str">
        <f aca="false">IF(C170="","",IFERROR(INDEX(LOTES!$D$5:$D$1004,MATCH(C170,LOTES!$F$5:$F$1004,0)),"¿Lote?"))</f>
        <v/>
      </c>
      <c r="E170" s="11" t="str">
        <f aca="false">IF(C170="","",IFERROR(INDEX(LOTES!$C$5:$C$1004,MATCH(C170,LOTES!$F$5:$F$1004,0)),""))</f>
        <v/>
      </c>
      <c r="F170" s="27"/>
      <c r="G170" s="27"/>
      <c r="H170" s="27"/>
      <c r="I170" s="20" t="str">
        <f aca="false">IF(AND(ISNUMBER(F170),ISNUMBER(G170),ISNUMBER(H170),F170&gt;G170,H170&gt;0),(F170-H170)/(F170-G170)*1000,"")</f>
        <v/>
      </c>
      <c r="J170" s="17" t="str">
        <f aca="false">IF(AND(ISNUMBER(F170),ISNUMBER(G170),ISNUMBER(H170),F170&gt;G170,H170&gt;0),(F170-H170)/H170,"")</f>
        <v/>
      </c>
      <c r="K170" s="20" t="str">
        <f aca="false">IF(AND(ISNUMBER(F170),ISNUMBER(G170),ISNUMBER(H170),F170&gt;G170,H170&gt;0),H170/(F170-G170)*1000,"")</f>
        <v/>
      </c>
      <c r="L170" s="11" t="str">
        <f aca="false">IF(K170="","",IF(K170&gt;=CONFIG!$E$21,CONFIG!$D$21,IF(K170&gt;=CONFIG!$E$20,CONFIG!$D$20,CONFIG!$D$19)))</f>
        <v/>
      </c>
      <c r="M170" s="20" t="str">
        <f aca="false">IF(K170="","",IF(K170&gt;=CONFIG!$E$21,CONFIG!$F$21,IF(K170&gt;=CONFIG!$E$20,CONFIG!$F$20,CONFIG!$F$19)))</f>
        <v/>
      </c>
      <c r="N170" s="19" t="str">
        <f aca="false">IF(I170="","",IF(I170&lt;=M170,"OK","ALTA"))</f>
        <v/>
      </c>
      <c r="O170" s="13"/>
    </row>
    <row r="171" customFormat="false" ht="15" hidden="false" customHeight="false" outlineLevel="0" collapsed="false">
      <c r="A171" s="11" t="str">
        <f aca="false">IF(C171="","",ROW()-4)</f>
        <v/>
      </c>
      <c r="B171" s="12"/>
      <c r="C171" s="13"/>
      <c r="D171" s="11" t="str">
        <f aca="false">IF(C171="","",IFERROR(INDEX(LOTES!$D$5:$D$1004,MATCH(C171,LOTES!$F$5:$F$1004,0)),"¿Lote?"))</f>
        <v/>
      </c>
      <c r="E171" s="11" t="str">
        <f aca="false">IF(C171="","",IFERROR(INDEX(LOTES!$C$5:$C$1004,MATCH(C171,LOTES!$F$5:$F$1004,0)),""))</f>
        <v/>
      </c>
      <c r="F171" s="27"/>
      <c r="G171" s="27"/>
      <c r="H171" s="27"/>
      <c r="I171" s="20" t="str">
        <f aca="false">IF(AND(ISNUMBER(F171),ISNUMBER(G171),ISNUMBER(H171),F171&gt;G171,H171&gt;0),(F171-H171)/(F171-G171)*1000,"")</f>
        <v/>
      </c>
      <c r="J171" s="17" t="str">
        <f aca="false">IF(AND(ISNUMBER(F171),ISNUMBER(G171),ISNUMBER(H171),F171&gt;G171,H171&gt;0),(F171-H171)/H171,"")</f>
        <v/>
      </c>
      <c r="K171" s="20" t="str">
        <f aca="false">IF(AND(ISNUMBER(F171),ISNUMBER(G171),ISNUMBER(H171),F171&gt;G171,H171&gt;0),H171/(F171-G171)*1000,"")</f>
        <v/>
      </c>
      <c r="L171" s="11" t="str">
        <f aca="false">IF(K171="","",IF(K171&gt;=CONFIG!$E$21,CONFIG!$D$21,IF(K171&gt;=CONFIG!$E$20,CONFIG!$D$20,CONFIG!$D$19)))</f>
        <v/>
      </c>
      <c r="M171" s="20" t="str">
        <f aca="false">IF(K171="","",IF(K171&gt;=CONFIG!$E$21,CONFIG!$F$21,IF(K171&gt;=CONFIG!$E$20,CONFIG!$F$20,CONFIG!$F$19)))</f>
        <v/>
      </c>
      <c r="N171" s="19" t="str">
        <f aca="false">IF(I171="","",IF(I171&lt;=M171,"OK","ALTA"))</f>
        <v/>
      </c>
      <c r="O171" s="13"/>
    </row>
    <row r="172" customFormat="false" ht="15" hidden="false" customHeight="false" outlineLevel="0" collapsed="false">
      <c r="A172" s="11" t="str">
        <f aca="false">IF(C172="","",ROW()-4)</f>
        <v/>
      </c>
      <c r="B172" s="12"/>
      <c r="C172" s="13"/>
      <c r="D172" s="11" t="str">
        <f aca="false">IF(C172="","",IFERROR(INDEX(LOTES!$D$5:$D$1004,MATCH(C172,LOTES!$F$5:$F$1004,0)),"¿Lote?"))</f>
        <v/>
      </c>
      <c r="E172" s="11" t="str">
        <f aca="false">IF(C172="","",IFERROR(INDEX(LOTES!$C$5:$C$1004,MATCH(C172,LOTES!$F$5:$F$1004,0)),""))</f>
        <v/>
      </c>
      <c r="F172" s="27"/>
      <c r="G172" s="27"/>
      <c r="H172" s="27"/>
      <c r="I172" s="20" t="str">
        <f aca="false">IF(AND(ISNUMBER(F172),ISNUMBER(G172),ISNUMBER(H172),F172&gt;G172,H172&gt;0),(F172-H172)/(F172-G172)*1000,"")</f>
        <v/>
      </c>
      <c r="J172" s="17" t="str">
        <f aca="false">IF(AND(ISNUMBER(F172),ISNUMBER(G172),ISNUMBER(H172),F172&gt;G172,H172&gt;0),(F172-H172)/H172,"")</f>
        <v/>
      </c>
      <c r="K172" s="20" t="str">
        <f aca="false">IF(AND(ISNUMBER(F172),ISNUMBER(G172),ISNUMBER(H172),F172&gt;G172,H172&gt;0),H172/(F172-G172)*1000,"")</f>
        <v/>
      </c>
      <c r="L172" s="11" t="str">
        <f aca="false">IF(K172="","",IF(K172&gt;=CONFIG!$E$21,CONFIG!$D$21,IF(K172&gt;=CONFIG!$E$20,CONFIG!$D$20,CONFIG!$D$19)))</f>
        <v/>
      </c>
      <c r="M172" s="20" t="str">
        <f aca="false">IF(K172="","",IF(K172&gt;=CONFIG!$E$21,CONFIG!$F$21,IF(K172&gt;=CONFIG!$E$20,CONFIG!$F$20,CONFIG!$F$19)))</f>
        <v/>
      </c>
      <c r="N172" s="19" t="str">
        <f aca="false">IF(I172="","",IF(I172&lt;=M172,"OK","ALTA"))</f>
        <v/>
      </c>
      <c r="O172" s="13"/>
    </row>
    <row r="173" customFormat="false" ht="15" hidden="false" customHeight="false" outlineLevel="0" collapsed="false">
      <c r="A173" s="11" t="str">
        <f aca="false">IF(C173="","",ROW()-4)</f>
        <v/>
      </c>
      <c r="B173" s="12"/>
      <c r="C173" s="13"/>
      <c r="D173" s="11" t="str">
        <f aca="false">IF(C173="","",IFERROR(INDEX(LOTES!$D$5:$D$1004,MATCH(C173,LOTES!$F$5:$F$1004,0)),"¿Lote?"))</f>
        <v/>
      </c>
      <c r="E173" s="11" t="str">
        <f aca="false">IF(C173="","",IFERROR(INDEX(LOTES!$C$5:$C$1004,MATCH(C173,LOTES!$F$5:$F$1004,0)),""))</f>
        <v/>
      </c>
      <c r="F173" s="27"/>
      <c r="G173" s="27"/>
      <c r="H173" s="27"/>
      <c r="I173" s="20" t="str">
        <f aca="false">IF(AND(ISNUMBER(F173),ISNUMBER(G173),ISNUMBER(H173),F173&gt;G173,H173&gt;0),(F173-H173)/(F173-G173)*1000,"")</f>
        <v/>
      </c>
      <c r="J173" s="17" t="str">
        <f aca="false">IF(AND(ISNUMBER(F173),ISNUMBER(G173),ISNUMBER(H173),F173&gt;G173,H173&gt;0),(F173-H173)/H173,"")</f>
        <v/>
      </c>
      <c r="K173" s="20" t="str">
        <f aca="false">IF(AND(ISNUMBER(F173),ISNUMBER(G173),ISNUMBER(H173),F173&gt;G173,H173&gt;0),H173/(F173-G173)*1000,"")</f>
        <v/>
      </c>
      <c r="L173" s="11" t="str">
        <f aca="false">IF(K173="","",IF(K173&gt;=CONFIG!$E$21,CONFIG!$D$21,IF(K173&gt;=CONFIG!$E$20,CONFIG!$D$20,CONFIG!$D$19)))</f>
        <v/>
      </c>
      <c r="M173" s="20" t="str">
        <f aca="false">IF(K173="","",IF(K173&gt;=CONFIG!$E$21,CONFIG!$F$21,IF(K173&gt;=CONFIG!$E$20,CONFIG!$F$20,CONFIG!$F$19)))</f>
        <v/>
      </c>
      <c r="N173" s="19" t="str">
        <f aca="false">IF(I173="","",IF(I173&lt;=M173,"OK","ALTA"))</f>
        <v/>
      </c>
      <c r="O173" s="13"/>
    </row>
    <row r="174" customFormat="false" ht="15" hidden="false" customHeight="false" outlineLevel="0" collapsed="false">
      <c r="A174" s="11" t="str">
        <f aca="false">IF(C174="","",ROW()-4)</f>
        <v/>
      </c>
      <c r="B174" s="12"/>
      <c r="C174" s="13"/>
      <c r="D174" s="11" t="str">
        <f aca="false">IF(C174="","",IFERROR(INDEX(LOTES!$D$5:$D$1004,MATCH(C174,LOTES!$F$5:$F$1004,0)),"¿Lote?"))</f>
        <v/>
      </c>
      <c r="E174" s="11" t="str">
        <f aca="false">IF(C174="","",IFERROR(INDEX(LOTES!$C$5:$C$1004,MATCH(C174,LOTES!$F$5:$F$1004,0)),""))</f>
        <v/>
      </c>
      <c r="F174" s="27"/>
      <c r="G174" s="27"/>
      <c r="H174" s="27"/>
      <c r="I174" s="20" t="str">
        <f aca="false">IF(AND(ISNUMBER(F174),ISNUMBER(G174),ISNUMBER(H174),F174&gt;G174,H174&gt;0),(F174-H174)/(F174-G174)*1000,"")</f>
        <v/>
      </c>
      <c r="J174" s="17" t="str">
        <f aca="false">IF(AND(ISNUMBER(F174),ISNUMBER(G174),ISNUMBER(H174),F174&gt;G174,H174&gt;0),(F174-H174)/H174,"")</f>
        <v/>
      </c>
      <c r="K174" s="20" t="str">
        <f aca="false">IF(AND(ISNUMBER(F174),ISNUMBER(G174),ISNUMBER(H174),F174&gt;G174,H174&gt;0),H174/(F174-G174)*1000,"")</f>
        <v/>
      </c>
      <c r="L174" s="11" t="str">
        <f aca="false">IF(K174="","",IF(K174&gt;=CONFIG!$E$21,CONFIG!$D$21,IF(K174&gt;=CONFIG!$E$20,CONFIG!$D$20,CONFIG!$D$19)))</f>
        <v/>
      </c>
      <c r="M174" s="20" t="str">
        <f aca="false">IF(K174="","",IF(K174&gt;=CONFIG!$E$21,CONFIG!$F$21,IF(K174&gt;=CONFIG!$E$20,CONFIG!$F$20,CONFIG!$F$19)))</f>
        <v/>
      </c>
      <c r="N174" s="19" t="str">
        <f aca="false">IF(I174="","",IF(I174&lt;=M174,"OK","ALTA"))</f>
        <v/>
      </c>
      <c r="O174" s="13"/>
    </row>
    <row r="175" customFormat="false" ht="15" hidden="false" customHeight="false" outlineLevel="0" collapsed="false">
      <c r="A175" s="11" t="str">
        <f aca="false">IF(C175="","",ROW()-4)</f>
        <v/>
      </c>
      <c r="B175" s="12"/>
      <c r="C175" s="13"/>
      <c r="D175" s="11" t="str">
        <f aca="false">IF(C175="","",IFERROR(INDEX(LOTES!$D$5:$D$1004,MATCH(C175,LOTES!$F$5:$F$1004,0)),"¿Lote?"))</f>
        <v/>
      </c>
      <c r="E175" s="11" t="str">
        <f aca="false">IF(C175="","",IFERROR(INDEX(LOTES!$C$5:$C$1004,MATCH(C175,LOTES!$F$5:$F$1004,0)),""))</f>
        <v/>
      </c>
      <c r="F175" s="27"/>
      <c r="G175" s="27"/>
      <c r="H175" s="27"/>
      <c r="I175" s="20" t="str">
        <f aca="false">IF(AND(ISNUMBER(F175),ISNUMBER(G175),ISNUMBER(H175),F175&gt;G175,H175&gt;0),(F175-H175)/(F175-G175)*1000,"")</f>
        <v/>
      </c>
      <c r="J175" s="17" t="str">
        <f aca="false">IF(AND(ISNUMBER(F175),ISNUMBER(G175),ISNUMBER(H175),F175&gt;G175,H175&gt;0),(F175-H175)/H175,"")</f>
        <v/>
      </c>
      <c r="K175" s="20" t="str">
        <f aca="false">IF(AND(ISNUMBER(F175),ISNUMBER(G175),ISNUMBER(H175),F175&gt;G175,H175&gt;0),H175/(F175-G175)*1000,"")</f>
        <v/>
      </c>
      <c r="L175" s="11" t="str">
        <f aca="false">IF(K175="","",IF(K175&gt;=CONFIG!$E$21,CONFIG!$D$21,IF(K175&gt;=CONFIG!$E$20,CONFIG!$D$20,CONFIG!$D$19)))</f>
        <v/>
      </c>
      <c r="M175" s="20" t="str">
        <f aca="false">IF(K175="","",IF(K175&gt;=CONFIG!$E$21,CONFIG!$F$21,IF(K175&gt;=CONFIG!$E$20,CONFIG!$F$20,CONFIG!$F$19)))</f>
        <v/>
      </c>
      <c r="N175" s="19" t="str">
        <f aca="false">IF(I175="","",IF(I175&lt;=M175,"OK","ALTA"))</f>
        <v/>
      </c>
      <c r="O175" s="13"/>
    </row>
    <row r="176" customFormat="false" ht="15" hidden="false" customHeight="false" outlineLevel="0" collapsed="false">
      <c r="A176" s="11" t="str">
        <f aca="false">IF(C176="","",ROW()-4)</f>
        <v/>
      </c>
      <c r="B176" s="12"/>
      <c r="C176" s="13"/>
      <c r="D176" s="11" t="str">
        <f aca="false">IF(C176="","",IFERROR(INDEX(LOTES!$D$5:$D$1004,MATCH(C176,LOTES!$F$5:$F$1004,0)),"¿Lote?"))</f>
        <v/>
      </c>
      <c r="E176" s="11" t="str">
        <f aca="false">IF(C176="","",IFERROR(INDEX(LOTES!$C$5:$C$1004,MATCH(C176,LOTES!$F$5:$F$1004,0)),""))</f>
        <v/>
      </c>
      <c r="F176" s="27"/>
      <c r="G176" s="27"/>
      <c r="H176" s="27"/>
      <c r="I176" s="20" t="str">
        <f aca="false">IF(AND(ISNUMBER(F176),ISNUMBER(G176),ISNUMBER(H176),F176&gt;G176,H176&gt;0),(F176-H176)/(F176-G176)*1000,"")</f>
        <v/>
      </c>
      <c r="J176" s="17" t="str">
        <f aca="false">IF(AND(ISNUMBER(F176),ISNUMBER(G176),ISNUMBER(H176),F176&gt;G176,H176&gt;0),(F176-H176)/H176,"")</f>
        <v/>
      </c>
      <c r="K176" s="20" t="str">
        <f aca="false">IF(AND(ISNUMBER(F176),ISNUMBER(G176),ISNUMBER(H176),F176&gt;G176,H176&gt;0),H176/(F176-G176)*1000,"")</f>
        <v/>
      </c>
      <c r="L176" s="11" t="str">
        <f aca="false">IF(K176="","",IF(K176&gt;=CONFIG!$E$21,CONFIG!$D$21,IF(K176&gt;=CONFIG!$E$20,CONFIG!$D$20,CONFIG!$D$19)))</f>
        <v/>
      </c>
      <c r="M176" s="20" t="str">
        <f aca="false">IF(K176="","",IF(K176&gt;=CONFIG!$E$21,CONFIG!$F$21,IF(K176&gt;=CONFIG!$E$20,CONFIG!$F$20,CONFIG!$F$19)))</f>
        <v/>
      </c>
      <c r="N176" s="19" t="str">
        <f aca="false">IF(I176="","",IF(I176&lt;=M176,"OK","ALTA"))</f>
        <v/>
      </c>
      <c r="O176" s="13"/>
    </row>
    <row r="177" customFormat="false" ht="15" hidden="false" customHeight="false" outlineLevel="0" collapsed="false">
      <c r="A177" s="11" t="str">
        <f aca="false">IF(C177="","",ROW()-4)</f>
        <v/>
      </c>
      <c r="B177" s="12"/>
      <c r="C177" s="13"/>
      <c r="D177" s="11" t="str">
        <f aca="false">IF(C177="","",IFERROR(INDEX(LOTES!$D$5:$D$1004,MATCH(C177,LOTES!$F$5:$F$1004,0)),"¿Lote?"))</f>
        <v/>
      </c>
      <c r="E177" s="11" t="str">
        <f aca="false">IF(C177="","",IFERROR(INDEX(LOTES!$C$5:$C$1004,MATCH(C177,LOTES!$F$5:$F$1004,0)),""))</f>
        <v/>
      </c>
      <c r="F177" s="27"/>
      <c r="G177" s="27"/>
      <c r="H177" s="27"/>
      <c r="I177" s="20" t="str">
        <f aca="false">IF(AND(ISNUMBER(F177),ISNUMBER(G177),ISNUMBER(H177),F177&gt;G177,H177&gt;0),(F177-H177)/(F177-G177)*1000,"")</f>
        <v/>
      </c>
      <c r="J177" s="17" t="str">
        <f aca="false">IF(AND(ISNUMBER(F177),ISNUMBER(G177),ISNUMBER(H177),F177&gt;G177,H177&gt;0),(F177-H177)/H177,"")</f>
        <v/>
      </c>
      <c r="K177" s="20" t="str">
        <f aca="false">IF(AND(ISNUMBER(F177),ISNUMBER(G177),ISNUMBER(H177),F177&gt;G177,H177&gt;0),H177/(F177-G177)*1000,"")</f>
        <v/>
      </c>
      <c r="L177" s="11" t="str">
        <f aca="false">IF(K177="","",IF(K177&gt;=CONFIG!$E$21,CONFIG!$D$21,IF(K177&gt;=CONFIG!$E$20,CONFIG!$D$20,CONFIG!$D$19)))</f>
        <v/>
      </c>
      <c r="M177" s="20" t="str">
        <f aca="false">IF(K177="","",IF(K177&gt;=CONFIG!$E$21,CONFIG!$F$21,IF(K177&gt;=CONFIG!$E$20,CONFIG!$F$20,CONFIG!$F$19)))</f>
        <v/>
      </c>
      <c r="N177" s="19" t="str">
        <f aca="false">IF(I177="","",IF(I177&lt;=M177,"OK","ALTA"))</f>
        <v/>
      </c>
      <c r="O177" s="13"/>
    </row>
    <row r="178" customFormat="false" ht="15" hidden="false" customHeight="false" outlineLevel="0" collapsed="false">
      <c r="A178" s="11" t="str">
        <f aca="false">IF(C178="","",ROW()-4)</f>
        <v/>
      </c>
      <c r="B178" s="12"/>
      <c r="C178" s="13"/>
      <c r="D178" s="11" t="str">
        <f aca="false">IF(C178="","",IFERROR(INDEX(LOTES!$D$5:$D$1004,MATCH(C178,LOTES!$F$5:$F$1004,0)),"¿Lote?"))</f>
        <v/>
      </c>
      <c r="E178" s="11" t="str">
        <f aca="false">IF(C178="","",IFERROR(INDEX(LOTES!$C$5:$C$1004,MATCH(C178,LOTES!$F$5:$F$1004,0)),""))</f>
        <v/>
      </c>
      <c r="F178" s="27"/>
      <c r="G178" s="27"/>
      <c r="H178" s="27"/>
      <c r="I178" s="20" t="str">
        <f aca="false">IF(AND(ISNUMBER(F178),ISNUMBER(G178),ISNUMBER(H178),F178&gt;G178,H178&gt;0),(F178-H178)/(F178-G178)*1000,"")</f>
        <v/>
      </c>
      <c r="J178" s="17" t="str">
        <f aca="false">IF(AND(ISNUMBER(F178),ISNUMBER(G178),ISNUMBER(H178),F178&gt;G178,H178&gt;0),(F178-H178)/H178,"")</f>
        <v/>
      </c>
      <c r="K178" s="20" t="str">
        <f aca="false">IF(AND(ISNUMBER(F178),ISNUMBER(G178),ISNUMBER(H178),F178&gt;G178,H178&gt;0),H178/(F178-G178)*1000,"")</f>
        <v/>
      </c>
      <c r="L178" s="11" t="str">
        <f aca="false">IF(K178="","",IF(K178&gt;=CONFIG!$E$21,CONFIG!$D$21,IF(K178&gt;=CONFIG!$E$20,CONFIG!$D$20,CONFIG!$D$19)))</f>
        <v/>
      </c>
      <c r="M178" s="20" t="str">
        <f aca="false">IF(K178="","",IF(K178&gt;=CONFIG!$E$21,CONFIG!$F$21,IF(K178&gt;=CONFIG!$E$20,CONFIG!$F$20,CONFIG!$F$19)))</f>
        <v/>
      </c>
      <c r="N178" s="19" t="str">
        <f aca="false">IF(I178="","",IF(I178&lt;=M178,"OK","ALTA"))</f>
        <v/>
      </c>
      <c r="O178" s="13"/>
    </row>
    <row r="179" customFormat="false" ht="15" hidden="false" customHeight="false" outlineLevel="0" collapsed="false">
      <c r="A179" s="11" t="str">
        <f aca="false">IF(C179="","",ROW()-4)</f>
        <v/>
      </c>
      <c r="B179" s="12"/>
      <c r="C179" s="13"/>
      <c r="D179" s="11" t="str">
        <f aca="false">IF(C179="","",IFERROR(INDEX(LOTES!$D$5:$D$1004,MATCH(C179,LOTES!$F$5:$F$1004,0)),"¿Lote?"))</f>
        <v/>
      </c>
      <c r="E179" s="11" t="str">
        <f aca="false">IF(C179="","",IFERROR(INDEX(LOTES!$C$5:$C$1004,MATCH(C179,LOTES!$F$5:$F$1004,0)),""))</f>
        <v/>
      </c>
      <c r="F179" s="27"/>
      <c r="G179" s="27"/>
      <c r="H179" s="27"/>
      <c r="I179" s="20" t="str">
        <f aca="false">IF(AND(ISNUMBER(F179),ISNUMBER(G179),ISNUMBER(H179),F179&gt;G179,H179&gt;0),(F179-H179)/(F179-G179)*1000,"")</f>
        <v/>
      </c>
      <c r="J179" s="17" t="str">
        <f aca="false">IF(AND(ISNUMBER(F179),ISNUMBER(G179),ISNUMBER(H179),F179&gt;G179,H179&gt;0),(F179-H179)/H179,"")</f>
        <v/>
      </c>
      <c r="K179" s="20" t="str">
        <f aca="false">IF(AND(ISNUMBER(F179),ISNUMBER(G179),ISNUMBER(H179),F179&gt;G179,H179&gt;0),H179/(F179-G179)*1000,"")</f>
        <v/>
      </c>
      <c r="L179" s="11" t="str">
        <f aca="false">IF(K179="","",IF(K179&gt;=CONFIG!$E$21,CONFIG!$D$21,IF(K179&gt;=CONFIG!$E$20,CONFIG!$D$20,CONFIG!$D$19)))</f>
        <v/>
      </c>
      <c r="M179" s="20" t="str">
        <f aca="false">IF(K179="","",IF(K179&gt;=CONFIG!$E$21,CONFIG!$F$21,IF(K179&gt;=CONFIG!$E$20,CONFIG!$F$20,CONFIG!$F$19)))</f>
        <v/>
      </c>
      <c r="N179" s="19" t="str">
        <f aca="false">IF(I179="","",IF(I179&lt;=M179,"OK","ALTA"))</f>
        <v/>
      </c>
      <c r="O179" s="13"/>
    </row>
    <row r="180" customFormat="false" ht="15" hidden="false" customHeight="false" outlineLevel="0" collapsed="false">
      <c r="A180" s="11" t="str">
        <f aca="false">IF(C180="","",ROW()-4)</f>
        <v/>
      </c>
      <c r="B180" s="12"/>
      <c r="C180" s="13"/>
      <c r="D180" s="11" t="str">
        <f aca="false">IF(C180="","",IFERROR(INDEX(LOTES!$D$5:$D$1004,MATCH(C180,LOTES!$F$5:$F$1004,0)),"¿Lote?"))</f>
        <v/>
      </c>
      <c r="E180" s="11" t="str">
        <f aca="false">IF(C180="","",IFERROR(INDEX(LOTES!$C$5:$C$1004,MATCH(C180,LOTES!$F$5:$F$1004,0)),""))</f>
        <v/>
      </c>
      <c r="F180" s="27"/>
      <c r="G180" s="27"/>
      <c r="H180" s="27"/>
      <c r="I180" s="20" t="str">
        <f aca="false">IF(AND(ISNUMBER(F180),ISNUMBER(G180),ISNUMBER(H180),F180&gt;G180,H180&gt;0),(F180-H180)/(F180-G180)*1000,"")</f>
        <v/>
      </c>
      <c r="J180" s="17" t="str">
        <f aca="false">IF(AND(ISNUMBER(F180),ISNUMBER(G180),ISNUMBER(H180),F180&gt;G180,H180&gt;0),(F180-H180)/H180,"")</f>
        <v/>
      </c>
      <c r="K180" s="20" t="str">
        <f aca="false">IF(AND(ISNUMBER(F180),ISNUMBER(G180),ISNUMBER(H180),F180&gt;G180,H180&gt;0),H180/(F180-G180)*1000,"")</f>
        <v/>
      </c>
      <c r="L180" s="11" t="str">
        <f aca="false">IF(K180="","",IF(K180&gt;=CONFIG!$E$21,CONFIG!$D$21,IF(K180&gt;=CONFIG!$E$20,CONFIG!$D$20,CONFIG!$D$19)))</f>
        <v/>
      </c>
      <c r="M180" s="20" t="str">
        <f aca="false">IF(K180="","",IF(K180&gt;=CONFIG!$E$21,CONFIG!$F$21,IF(K180&gt;=CONFIG!$E$20,CONFIG!$F$20,CONFIG!$F$19)))</f>
        <v/>
      </c>
      <c r="N180" s="19" t="str">
        <f aca="false">IF(I180="","",IF(I180&lt;=M180,"OK","ALTA"))</f>
        <v/>
      </c>
      <c r="O180" s="13"/>
    </row>
    <row r="181" customFormat="false" ht="15" hidden="false" customHeight="false" outlineLevel="0" collapsed="false">
      <c r="A181" s="11" t="str">
        <f aca="false">IF(C181="","",ROW()-4)</f>
        <v/>
      </c>
      <c r="B181" s="12"/>
      <c r="C181" s="13"/>
      <c r="D181" s="11" t="str">
        <f aca="false">IF(C181="","",IFERROR(INDEX(LOTES!$D$5:$D$1004,MATCH(C181,LOTES!$F$5:$F$1004,0)),"¿Lote?"))</f>
        <v/>
      </c>
      <c r="E181" s="11" t="str">
        <f aca="false">IF(C181="","",IFERROR(INDEX(LOTES!$C$5:$C$1004,MATCH(C181,LOTES!$F$5:$F$1004,0)),""))</f>
        <v/>
      </c>
      <c r="F181" s="27"/>
      <c r="G181" s="27"/>
      <c r="H181" s="27"/>
      <c r="I181" s="20" t="str">
        <f aca="false">IF(AND(ISNUMBER(F181),ISNUMBER(G181),ISNUMBER(H181),F181&gt;G181,H181&gt;0),(F181-H181)/(F181-G181)*1000,"")</f>
        <v/>
      </c>
      <c r="J181" s="17" t="str">
        <f aca="false">IF(AND(ISNUMBER(F181),ISNUMBER(G181),ISNUMBER(H181),F181&gt;G181,H181&gt;0),(F181-H181)/H181,"")</f>
        <v/>
      </c>
      <c r="K181" s="20" t="str">
        <f aca="false">IF(AND(ISNUMBER(F181),ISNUMBER(G181),ISNUMBER(H181),F181&gt;G181,H181&gt;0),H181/(F181-G181)*1000,"")</f>
        <v/>
      </c>
      <c r="L181" s="11" t="str">
        <f aca="false">IF(K181="","",IF(K181&gt;=CONFIG!$E$21,CONFIG!$D$21,IF(K181&gt;=CONFIG!$E$20,CONFIG!$D$20,CONFIG!$D$19)))</f>
        <v/>
      </c>
      <c r="M181" s="20" t="str">
        <f aca="false">IF(K181="","",IF(K181&gt;=CONFIG!$E$21,CONFIG!$F$21,IF(K181&gt;=CONFIG!$E$20,CONFIG!$F$20,CONFIG!$F$19)))</f>
        <v/>
      </c>
      <c r="N181" s="19" t="str">
        <f aca="false">IF(I181="","",IF(I181&lt;=M181,"OK","ALTA"))</f>
        <v/>
      </c>
      <c r="O181" s="13"/>
    </row>
    <row r="182" customFormat="false" ht="15" hidden="false" customHeight="false" outlineLevel="0" collapsed="false">
      <c r="A182" s="11" t="str">
        <f aca="false">IF(C182="","",ROW()-4)</f>
        <v/>
      </c>
      <c r="B182" s="12"/>
      <c r="C182" s="13"/>
      <c r="D182" s="11" t="str">
        <f aca="false">IF(C182="","",IFERROR(INDEX(LOTES!$D$5:$D$1004,MATCH(C182,LOTES!$F$5:$F$1004,0)),"¿Lote?"))</f>
        <v/>
      </c>
      <c r="E182" s="11" t="str">
        <f aca="false">IF(C182="","",IFERROR(INDEX(LOTES!$C$5:$C$1004,MATCH(C182,LOTES!$F$5:$F$1004,0)),""))</f>
        <v/>
      </c>
      <c r="F182" s="27"/>
      <c r="G182" s="27"/>
      <c r="H182" s="27"/>
      <c r="I182" s="20" t="str">
        <f aca="false">IF(AND(ISNUMBER(F182),ISNUMBER(G182),ISNUMBER(H182),F182&gt;G182,H182&gt;0),(F182-H182)/(F182-G182)*1000,"")</f>
        <v/>
      </c>
      <c r="J182" s="17" t="str">
        <f aca="false">IF(AND(ISNUMBER(F182),ISNUMBER(G182),ISNUMBER(H182),F182&gt;G182,H182&gt;0),(F182-H182)/H182,"")</f>
        <v/>
      </c>
      <c r="K182" s="20" t="str">
        <f aca="false">IF(AND(ISNUMBER(F182),ISNUMBER(G182),ISNUMBER(H182),F182&gt;G182,H182&gt;0),H182/(F182-G182)*1000,"")</f>
        <v/>
      </c>
      <c r="L182" s="11" t="str">
        <f aca="false">IF(K182="","",IF(K182&gt;=CONFIG!$E$21,CONFIG!$D$21,IF(K182&gt;=CONFIG!$E$20,CONFIG!$D$20,CONFIG!$D$19)))</f>
        <v/>
      </c>
      <c r="M182" s="20" t="str">
        <f aca="false">IF(K182="","",IF(K182&gt;=CONFIG!$E$21,CONFIG!$F$21,IF(K182&gt;=CONFIG!$E$20,CONFIG!$F$20,CONFIG!$F$19)))</f>
        <v/>
      </c>
      <c r="N182" s="19" t="str">
        <f aca="false">IF(I182="","",IF(I182&lt;=M182,"OK","ALTA"))</f>
        <v/>
      </c>
      <c r="O182" s="13"/>
    </row>
    <row r="183" customFormat="false" ht="15" hidden="false" customHeight="false" outlineLevel="0" collapsed="false">
      <c r="A183" s="11" t="str">
        <f aca="false">IF(C183="","",ROW()-4)</f>
        <v/>
      </c>
      <c r="B183" s="12"/>
      <c r="C183" s="13"/>
      <c r="D183" s="11" t="str">
        <f aca="false">IF(C183="","",IFERROR(INDEX(LOTES!$D$5:$D$1004,MATCH(C183,LOTES!$F$5:$F$1004,0)),"¿Lote?"))</f>
        <v/>
      </c>
      <c r="E183" s="11" t="str">
        <f aca="false">IF(C183="","",IFERROR(INDEX(LOTES!$C$5:$C$1004,MATCH(C183,LOTES!$F$5:$F$1004,0)),""))</f>
        <v/>
      </c>
      <c r="F183" s="27"/>
      <c r="G183" s="27"/>
      <c r="H183" s="27"/>
      <c r="I183" s="20" t="str">
        <f aca="false">IF(AND(ISNUMBER(F183),ISNUMBER(G183),ISNUMBER(H183),F183&gt;G183,H183&gt;0),(F183-H183)/(F183-G183)*1000,"")</f>
        <v/>
      </c>
      <c r="J183" s="17" t="str">
        <f aca="false">IF(AND(ISNUMBER(F183),ISNUMBER(G183),ISNUMBER(H183),F183&gt;G183,H183&gt;0),(F183-H183)/H183,"")</f>
        <v/>
      </c>
      <c r="K183" s="20" t="str">
        <f aca="false">IF(AND(ISNUMBER(F183),ISNUMBER(G183),ISNUMBER(H183),F183&gt;G183,H183&gt;0),H183/(F183-G183)*1000,"")</f>
        <v/>
      </c>
      <c r="L183" s="11" t="str">
        <f aca="false">IF(K183="","",IF(K183&gt;=CONFIG!$E$21,CONFIG!$D$21,IF(K183&gt;=CONFIG!$E$20,CONFIG!$D$20,CONFIG!$D$19)))</f>
        <v/>
      </c>
      <c r="M183" s="20" t="str">
        <f aca="false">IF(K183="","",IF(K183&gt;=CONFIG!$E$21,CONFIG!$F$21,IF(K183&gt;=CONFIG!$E$20,CONFIG!$F$20,CONFIG!$F$19)))</f>
        <v/>
      </c>
      <c r="N183" s="19" t="str">
        <f aca="false">IF(I183="","",IF(I183&lt;=M183,"OK","ALTA"))</f>
        <v/>
      </c>
      <c r="O183" s="13"/>
    </row>
    <row r="184" customFormat="false" ht="15" hidden="false" customHeight="false" outlineLevel="0" collapsed="false">
      <c r="A184" s="11" t="str">
        <f aca="false">IF(C184="","",ROW()-4)</f>
        <v/>
      </c>
      <c r="B184" s="12"/>
      <c r="C184" s="13"/>
      <c r="D184" s="11" t="str">
        <f aca="false">IF(C184="","",IFERROR(INDEX(LOTES!$D$5:$D$1004,MATCH(C184,LOTES!$F$5:$F$1004,0)),"¿Lote?"))</f>
        <v/>
      </c>
      <c r="E184" s="11" t="str">
        <f aca="false">IF(C184="","",IFERROR(INDEX(LOTES!$C$5:$C$1004,MATCH(C184,LOTES!$F$5:$F$1004,0)),""))</f>
        <v/>
      </c>
      <c r="F184" s="27"/>
      <c r="G184" s="27"/>
      <c r="H184" s="27"/>
      <c r="I184" s="20" t="str">
        <f aca="false">IF(AND(ISNUMBER(F184),ISNUMBER(G184),ISNUMBER(H184),F184&gt;G184,H184&gt;0),(F184-H184)/(F184-G184)*1000,"")</f>
        <v/>
      </c>
      <c r="J184" s="17" t="str">
        <f aca="false">IF(AND(ISNUMBER(F184),ISNUMBER(G184),ISNUMBER(H184),F184&gt;G184,H184&gt;0),(F184-H184)/H184,"")</f>
        <v/>
      </c>
      <c r="K184" s="20" t="str">
        <f aca="false">IF(AND(ISNUMBER(F184),ISNUMBER(G184),ISNUMBER(H184),F184&gt;G184,H184&gt;0),H184/(F184-G184)*1000,"")</f>
        <v/>
      </c>
      <c r="L184" s="11" t="str">
        <f aca="false">IF(K184="","",IF(K184&gt;=CONFIG!$E$21,CONFIG!$D$21,IF(K184&gt;=CONFIG!$E$20,CONFIG!$D$20,CONFIG!$D$19)))</f>
        <v/>
      </c>
      <c r="M184" s="20" t="str">
        <f aca="false">IF(K184="","",IF(K184&gt;=CONFIG!$E$21,CONFIG!$F$21,IF(K184&gt;=CONFIG!$E$20,CONFIG!$F$20,CONFIG!$F$19)))</f>
        <v/>
      </c>
      <c r="N184" s="19" t="str">
        <f aca="false">IF(I184="","",IF(I184&lt;=M184,"OK","ALTA"))</f>
        <v/>
      </c>
      <c r="O184" s="13"/>
    </row>
    <row r="185" customFormat="false" ht="15" hidden="false" customHeight="false" outlineLevel="0" collapsed="false">
      <c r="A185" s="11" t="str">
        <f aca="false">IF(C185="","",ROW()-4)</f>
        <v/>
      </c>
      <c r="B185" s="12"/>
      <c r="C185" s="13"/>
      <c r="D185" s="11" t="str">
        <f aca="false">IF(C185="","",IFERROR(INDEX(LOTES!$D$5:$D$1004,MATCH(C185,LOTES!$F$5:$F$1004,0)),"¿Lote?"))</f>
        <v/>
      </c>
      <c r="E185" s="11" t="str">
        <f aca="false">IF(C185="","",IFERROR(INDEX(LOTES!$C$5:$C$1004,MATCH(C185,LOTES!$F$5:$F$1004,0)),""))</f>
        <v/>
      </c>
      <c r="F185" s="27"/>
      <c r="G185" s="27"/>
      <c r="H185" s="27"/>
      <c r="I185" s="20" t="str">
        <f aca="false">IF(AND(ISNUMBER(F185),ISNUMBER(G185),ISNUMBER(H185),F185&gt;G185,H185&gt;0),(F185-H185)/(F185-G185)*1000,"")</f>
        <v/>
      </c>
      <c r="J185" s="17" t="str">
        <f aca="false">IF(AND(ISNUMBER(F185),ISNUMBER(G185),ISNUMBER(H185),F185&gt;G185,H185&gt;0),(F185-H185)/H185,"")</f>
        <v/>
      </c>
      <c r="K185" s="20" t="str">
        <f aca="false">IF(AND(ISNUMBER(F185),ISNUMBER(G185),ISNUMBER(H185),F185&gt;G185,H185&gt;0),H185/(F185-G185)*1000,"")</f>
        <v/>
      </c>
      <c r="L185" s="11" t="str">
        <f aca="false">IF(K185="","",IF(K185&gt;=CONFIG!$E$21,CONFIG!$D$21,IF(K185&gt;=CONFIG!$E$20,CONFIG!$D$20,CONFIG!$D$19)))</f>
        <v/>
      </c>
      <c r="M185" s="20" t="str">
        <f aca="false">IF(K185="","",IF(K185&gt;=CONFIG!$E$21,CONFIG!$F$21,IF(K185&gt;=CONFIG!$E$20,CONFIG!$F$20,CONFIG!$F$19)))</f>
        <v/>
      </c>
      <c r="N185" s="19" t="str">
        <f aca="false">IF(I185="","",IF(I185&lt;=M185,"OK","ALTA"))</f>
        <v/>
      </c>
      <c r="O185" s="13"/>
    </row>
    <row r="186" customFormat="false" ht="15" hidden="false" customHeight="false" outlineLevel="0" collapsed="false">
      <c r="A186" s="11" t="str">
        <f aca="false">IF(C186="","",ROW()-4)</f>
        <v/>
      </c>
      <c r="B186" s="12"/>
      <c r="C186" s="13"/>
      <c r="D186" s="11" t="str">
        <f aca="false">IF(C186="","",IFERROR(INDEX(LOTES!$D$5:$D$1004,MATCH(C186,LOTES!$F$5:$F$1004,0)),"¿Lote?"))</f>
        <v/>
      </c>
      <c r="E186" s="11" t="str">
        <f aca="false">IF(C186="","",IFERROR(INDEX(LOTES!$C$5:$C$1004,MATCH(C186,LOTES!$F$5:$F$1004,0)),""))</f>
        <v/>
      </c>
      <c r="F186" s="27"/>
      <c r="G186" s="27"/>
      <c r="H186" s="27"/>
      <c r="I186" s="20" t="str">
        <f aca="false">IF(AND(ISNUMBER(F186),ISNUMBER(G186),ISNUMBER(H186),F186&gt;G186,H186&gt;0),(F186-H186)/(F186-G186)*1000,"")</f>
        <v/>
      </c>
      <c r="J186" s="17" t="str">
        <f aca="false">IF(AND(ISNUMBER(F186),ISNUMBER(G186),ISNUMBER(H186),F186&gt;G186,H186&gt;0),(F186-H186)/H186,"")</f>
        <v/>
      </c>
      <c r="K186" s="20" t="str">
        <f aca="false">IF(AND(ISNUMBER(F186),ISNUMBER(G186),ISNUMBER(H186),F186&gt;G186,H186&gt;0),H186/(F186-G186)*1000,"")</f>
        <v/>
      </c>
      <c r="L186" s="11" t="str">
        <f aca="false">IF(K186="","",IF(K186&gt;=CONFIG!$E$21,CONFIG!$D$21,IF(K186&gt;=CONFIG!$E$20,CONFIG!$D$20,CONFIG!$D$19)))</f>
        <v/>
      </c>
      <c r="M186" s="20" t="str">
        <f aca="false">IF(K186="","",IF(K186&gt;=CONFIG!$E$21,CONFIG!$F$21,IF(K186&gt;=CONFIG!$E$20,CONFIG!$F$20,CONFIG!$F$19)))</f>
        <v/>
      </c>
      <c r="N186" s="19" t="str">
        <f aca="false">IF(I186="","",IF(I186&lt;=M186,"OK","ALTA"))</f>
        <v/>
      </c>
      <c r="O186" s="13"/>
    </row>
    <row r="187" customFormat="false" ht="15" hidden="false" customHeight="false" outlineLevel="0" collapsed="false">
      <c r="A187" s="11" t="str">
        <f aca="false">IF(C187="","",ROW()-4)</f>
        <v/>
      </c>
      <c r="B187" s="12"/>
      <c r="C187" s="13"/>
      <c r="D187" s="11" t="str">
        <f aca="false">IF(C187="","",IFERROR(INDEX(LOTES!$D$5:$D$1004,MATCH(C187,LOTES!$F$5:$F$1004,0)),"¿Lote?"))</f>
        <v/>
      </c>
      <c r="E187" s="11" t="str">
        <f aca="false">IF(C187="","",IFERROR(INDEX(LOTES!$C$5:$C$1004,MATCH(C187,LOTES!$F$5:$F$1004,0)),""))</f>
        <v/>
      </c>
      <c r="F187" s="27"/>
      <c r="G187" s="27"/>
      <c r="H187" s="27"/>
      <c r="I187" s="20" t="str">
        <f aca="false">IF(AND(ISNUMBER(F187),ISNUMBER(G187),ISNUMBER(H187),F187&gt;G187,H187&gt;0),(F187-H187)/(F187-G187)*1000,"")</f>
        <v/>
      </c>
      <c r="J187" s="17" t="str">
        <f aca="false">IF(AND(ISNUMBER(F187),ISNUMBER(G187),ISNUMBER(H187),F187&gt;G187,H187&gt;0),(F187-H187)/H187,"")</f>
        <v/>
      </c>
      <c r="K187" s="20" t="str">
        <f aca="false">IF(AND(ISNUMBER(F187),ISNUMBER(G187),ISNUMBER(H187),F187&gt;G187,H187&gt;0),H187/(F187-G187)*1000,"")</f>
        <v/>
      </c>
      <c r="L187" s="11" t="str">
        <f aca="false">IF(K187="","",IF(K187&gt;=CONFIG!$E$21,CONFIG!$D$21,IF(K187&gt;=CONFIG!$E$20,CONFIG!$D$20,CONFIG!$D$19)))</f>
        <v/>
      </c>
      <c r="M187" s="20" t="str">
        <f aca="false">IF(K187="","",IF(K187&gt;=CONFIG!$E$21,CONFIG!$F$21,IF(K187&gt;=CONFIG!$E$20,CONFIG!$F$20,CONFIG!$F$19)))</f>
        <v/>
      </c>
      <c r="N187" s="19" t="str">
        <f aca="false">IF(I187="","",IF(I187&lt;=M187,"OK","ALTA"))</f>
        <v/>
      </c>
      <c r="O187" s="13"/>
    </row>
    <row r="188" customFormat="false" ht="15" hidden="false" customHeight="false" outlineLevel="0" collapsed="false">
      <c r="A188" s="11" t="str">
        <f aca="false">IF(C188="","",ROW()-4)</f>
        <v/>
      </c>
      <c r="B188" s="12"/>
      <c r="C188" s="13"/>
      <c r="D188" s="11" t="str">
        <f aca="false">IF(C188="","",IFERROR(INDEX(LOTES!$D$5:$D$1004,MATCH(C188,LOTES!$F$5:$F$1004,0)),"¿Lote?"))</f>
        <v/>
      </c>
      <c r="E188" s="11" t="str">
        <f aca="false">IF(C188="","",IFERROR(INDEX(LOTES!$C$5:$C$1004,MATCH(C188,LOTES!$F$5:$F$1004,0)),""))</f>
        <v/>
      </c>
      <c r="F188" s="27"/>
      <c r="G188" s="27"/>
      <c r="H188" s="27"/>
      <c r="I188" s="20" t="str">
        <f aca="false">IF(AND(ISNUMBER(F188),ISNUMBER(G188),ISNUMBER(H188),F188&gt;G188,H188&gt;0),(F188-H188)/(F188-G188)*1000,"")</f>
        <v/>
      </c>
      <c r="J188" s="17" t="str">
        <f aca="false">IF(AND(ISNUMBER(F188),ISNUMBER(G188),ISNUMBER(H188),F188&gt;G188,H188&gt;0),(F188-H188)/H188,"")</f>
        <v/>
      </c>
      <c r="K188" s="20" t="str">
        <f aca="false">IF(AND(ISNUMBER(F188),ISNUMBER(G188),ISNUMBER(H188),F188&gt;G188,H188&gt;0),H188/(F188-G188)*1000,"")</f>
        <v/>
      </c>
      <c r="L188" s="11" t="str">
        <f aca="false">IF(K188="","",IF(K188&gt;=CONFIG!$E$21,CONFIG!$D$21,IF(K188&gt;=CONFIG!$E$20,CONFIG!$D$20,CONFIG!$D$19)))</f>
        <v/>
      </c>
      <c r="M188" s="20" t="str">
        <f aca="false">IF(K188="","",IF(K188&gt;=CONFIG!$E$21,CONFIG!$F$21,IF(K188&gt;=CONFIG!$E$20,CONFIG!$F$20,CONFIG!$F$19)))</f>
        <v/>
      </c>
      <c r="N188" s="19" t="str">
        <f aca="false">IF(I188="","",IF(I188&lt;=M188,"OK","ALTA"))</f>
        <v/>
      </c>
      <c r="O188" s="13"/>
    </row>
    <row r="189" customFormat="false" ht="15" hidden="false" customHeight="false" outlineLevel="0" collapsed="false">
      <c r="A189" s="11" t="str">
        <f aca="false">IF(C189="","",ROW()-4)</f>
        <v/>
      </c>
      <c r="B189" s="12"/>
      <c r="C189" s="13"/>
      <c r="D189" s="11" t="str">
        <f aca="false">IF(C189="","",IFERROR(INDEX(LOTES!$D$5:$D$1004,MATCH(C189,LOTES!$F$5:$F$1004,0)),"¿Lote?"))</f>
        <v/>
      </c>
      <c r="E189" s="11" t="str">
        <f aca="false">IF(C189="","",IFERROR(INDEX(LOTES!$C$5:$C$1004,MATCH(C189,LOTES!$F$5:$F$1004,0)),""))</f>
        <v/>
      </c>
      <c r="F189" s="27"/>
      <c r="G189" s="27"/>
      <c r="H189" s="27"/>
      <c r="I189" s="20" t="str">
        <f aca="false">IF(AND(ISNUMBER(F189),ISNUMBER(G189),ISNUMBER(H189),F189&gt;G189,H189&gt;0),(F189-H189)/(F189-G189)*1000,"")</f>
        <v/>
      </c>
      <c r="J189" s="17" t="str">
        <f aca="false">IF(AND(ISNUMBER(F189),ISNUMBER(G189),ISNUMBER(H189),F189&gt;G189,H189&gt;0),(F189-H189)/H189,"")</f>
        <v/>
      </c>
      <c r="K189" s="20" t="str">
        <f aca="false">IF(AND(ISNUMBER(F189),ISNUMBER(G189),ISNUMBER(H189),F189&gt;G189,H189&gt;0),H189/(F189-G189)*1000,"")</f>
        <v/>
      </c>
      <c r="L189" s="11" t="str">
        <f aca="false">IF(K189="","",IF(K189&gt;=CONFIG!$E$21,CONFIG!$D$21,IF(K189&gt;=CONFIG!$E$20,CONFIG!$D$20,CONFIG!$D$19)))</f>
        <v/>
      </c>
      <c r="M189" s="20" t="str">
        <f aca="false">IF(K189="","",IF(K189&gt;=CONFIG!$E$21,CONFIG!$F$21,IF(K189&gt;=CONFIG!$E$20,CONFIG!$F$20,CONFIG!$F$19)))</f>
        <v/>
      </c>
      <c r="N189" s="19" t="str">
        <f aca="false">IF(I189="","",IF(I189&lt;=M189,"OK","ALTA"))</f>
        <v/>
      </c>
      <c r="O189" s="13"/>
    </row>
    <row r="190" customFormat="false" ht="15" hidden="false" customHeight="false" outlineLevel="0" collapsed="false">
      <c r="A190" s="11" t="str">
        <f aca="false">IF(C190="","",ROW()-4)</f>
        <v/>
      </c>
      <c r="B190" s="12"/>
      <c r="C190" s="13"/>
      <c r="D190" s="11" t="str">
        <f aca="false">IF(C190="","",IFERROR(INDEX(LOTES!$D$5:$D$1004,MATCH(C190,LOTES!$F$5:$F$1004,0)),"¿Lote?"))</f>
        <v/>
      </c>
      <c r="E190" s="11" t="str">
        <f aca="false">IF(C190="","",IFERROR(INDEX(LOTES!$C$5:$C$1004,MATCH(C190,LOTES!$F$5:$F$1004,0)),""))</f>
        <v/>
      </c>
      <c r="F190" s="27"/>
      <c r="G190" s="27"/>
      <c r="H190" s="27"/>
      <c r="I190" s="20" t="str">
        <f aca="false">IF(AND(ISNUMBER(F190),ISNUMBER(G190),ISNUMBER(H190),F190&gt;G190,H190&gt;0),(F190-H190)/(F190-G190)*1000,"")</f>
        <v/>
      </c>
      <c r="J190" s="17" t="str">
        <f aca="false">IF(AND(ISNUMBER(F190),ISNUMBER(G190),ISNUMBER(H190),F190&gt;G190,H190&gt;0),(F190-H190)/H190,"")</f>
        <v/>
      </c>
      <c r="K190" s="20" t="str">
        <f aca="false">IF(AND(ISNUMBER(F190),ISNUMBER(G190),ISNUMBER(H190),F190&gt;G190,H190&gt;0),H190/(F190-G190)*1000,"")</f>
        <v/>
      </c>
      <c r="L190" s="11" t="str">
        <f aca="false">IF(K190="","",IF(K190&gt;=CONFIG!$E$21,CONFIG!$D$21,IF(K190&gt;=CONFIG!$E$20,CONFIG!$D$20,CONFIG!$D$19)))</f>
        <v/>
      </c>
      <c r="M190" s="20" t="str">
        <f aca="false">IF(K190="","",IF(K190&gt;=CONFIG!$E$21,CONFIG!$F$21,IF(K190&gt;=CONFIG!$E$20,CONFIG!$F$20,CONFIG!$F$19)))</f>
        <v/>
      </c>
      <c r="N190" s="19" t="str">
        <f aca="false">IF(I190="","",IF(I190&lt;=M190,"OK","ALTA"))</f>
        <v/>
      </c>
      <c r="O190" s="13"/>
    </row>
    <row r="191" customFormat="false" ht="15" hidden="false" customHeight="false" outlineLevel="0" collapsed="false">
      <c r="A191" s="11" t="str">
        <f aca="false">IF(C191="","",ROW()-4)</f>
        <v/>
      </c>
      <c r="B191" s="12"/>
      <c r="C191" s="13"/>
      <c r="D191" s="11" t="str">
        <f aca="false">IF(C191="","",IFERROR(INDEX(LOTES!$D$5:$D$1004,MATCH(C191,LOTES!$F$5:$F$1004,0)),"¿Lote?"))</f>
        <v/>
      </c>
      <c r="E191" s="11" t="str">
        <f aca="false">IF(C191="","",IFERROR(INDEX(LOTES!$C$5:$C$1004,MATCH(C191,LOTES!$F$5:$F$1004,0)),""))</f>
        <v/>
      </c>
      <c r="F191" s="27"/>
      <c r="G191" s="27"/>
      <c r="H191" s="27"/>
      <c r="I191" s="20" t="str">
        <f aca="false">IF(AND(ISNUMBER(F191),ISNUMBER(G191),ISNUMBER(H191),F191&gt;G191,H191&gt;0),(F191-H191)/(F191-G191)*1000,"")</f>
        <v/>
      </c>
      <c r="J191" s="17" t="str">
        <f aca="false">IF(AND(ISNUMBER(F191),ISNUMBER(G191),ISNUMBER(H191),F191&gt;G191,H191&gt;0),(F191-H191)/H191,"")</f>
        <v/>
      </c>
      <c r="K191" s="20" t="str">
        <f aca="false">IF(AND(ISNUMBER(F191),ISNUMBER(G191),ISNUMBER(H191),F191&gt;G191,H191&gt;0),H191/(F191-G191)*1000,"")</f>
        <v/>
      </c>
      <c r="L191" s="11" t="str">
        <f aca="false">IF(K191="","",IF(K191&gt;=CONFIG!$E$21,CONFIG!$D$21,IF(K191&gt;=CONFIG!$E$20,CONFIG!$D$20,CONFIG!$D$19)))</f>
        <v/>
      </c>
      <c r="M191" s="20" t="str">
        <f aca="false">IF(K191="","",IF(K191&gt;=CONFIG!$E$21,CONFIG!$F$21,IF(K191&gt;=CONFIG!$E$20,CONFIG!$F$20,CONFIG!$F$19)))</f>
        <v/>
      </c>
      <c r="N191" s="19" t="str">
        <f aca="false">IF(I191="","",IF(I191&lt;=M191,"OK","ALTA"))</f>
        <v/>
      </c>
      <c r="O191" s="13"/>
    </row>
    <row r="192" customFormat="false" ht="15" hidden="false" customHeight="false" outlineLevel="0" collapsed="false">
      <c r="A192" s="11" t="str">
        <f aca="false">IF(C192="","",ROW()-4)</f>
        <v/>
      </c>
      <c r="B192" s="12"/>
      <c r="C192" s="13"/>
      <c r="D192" s="11" t="str">
        <f aca="false">IF(C192="","",IFERROR(INDEX(LOTES!$D$5:$D$1004,MATCH(C192,LOTES!$F$5:$F$1004,0)),"¿Lote?"))</f>
        <v/>
      </c>
      <c r="E192" s="11" t="str">
        <f aca="false">IF(C192="","",IFERROR(INDEX(LOTES!$C$5:$C$1004,MATCH(C192,LOTES!$F$5:$F$1004,0)),""))</f>
        <v/>
      </c>
      <c r="F192" s="27"/>
      <c r="G192" s="27"/>
      <c r="H192" s="27"/>
      <c r="I192" s="20" t="str">
        <f aca="false">IF(AND(ISNUMBER(F192),ISNUMBER(G192),ISNUMBER(H192),F192&gt;G192,H192&gt;0),(F192-H192)/(F192-G192)*1000,"")</f>
        <v/>
      </c>
      <c r="J192" s="17" t="str">
        <f aca="false">IF(AND(ISNUMBER(F192),ISNUMBER(G192),ISNUMBER(H192),F192&gt;G192,H192&gt;0),(F192-H192)/H192,"")</f>
        <v/>
      </c>
      <c r="K192" s="20" t="str">
        <f aca="false">IF(AND(ISNUMBER(F192),ISNUMBER(G192),ISNUMBER(H192),F192&gt;G192,H192&gt;0),H192/(F192-G192)*1000,"")</f>
        <v/>
      </c>
      <c r="L192" s="11" t="str">
        <f aca="false">IF(K192="","",IF(K192&gt;=CONFIG!$E$21,CONFIG!$D$21,IF(K192&gt;=CONFIG!$E$20,CONFIG!$D$20,CONFIG!$D$19)))</f>
        <v/>
      </c>
      <c r="M192" s="20" t="str">
        <f aca="false">IF(K192="","",IF(K192&gt;=CONFIG!$E$21,CONFIG!$F$21,IF(K192&gt;=CONFIG!$E$20,CONFIG!$F$20,CONFIG!$F$19)))</f>
        <v/>
      </c>
      <c r="N192" s="19" t="str">
        <f aca="false">IF(I192="","",IF(I192&lt;=M192,"OK","ALTA"))</f>
        <v/>
      </c>
      <c r="O192" s="13"/>
    </row>
    <row r="193" customFormat="false" ht="15" hidden="false" customHeight="false" outlineLevel="0" collapsed="false">
      <c r="A193" s="11" t="str">
        <f aca="false">IF(C193="","",ROW()-4)</f>
        <v/>
      </c>
      <c r="B193" s="12"/>
      <c r="C193" s="13"/>
      <c r="D193" s="11" t="str">
        <f aca="false">IF(C193="","",IFERROR(INDEX(LOTES!$D$5:$D$1004,MATCH(C193,LOTES!$F$5:$F$1004,0)),"¿Lote?"))</f>
        <v/>
      </c>
      <c r="E193" s="11" t="str">
        <f aca="false">IF(C193="","",IFERROR(INDEX(LOTES!$C$5:$C$1004,MATCH(C193,LOTES!$F$5:$F$1004,0)),""))</f>
        <v/>
      </c>
      <c r="F193" s="27"/>
      <c r="G193" s="27"/>
      <c r="H193" s="27"/>
      <c r="I193" s="20" t="str">
        <f aca="false">IF(AND(ISNUMBER(F193),ISNUMBER(G193),ISNUMBER(H193),F193&gt;G193,H193&gt;0),(F193-H193)/(F193-G193)*1000,"")</f>
        <v/>
      </c>
      <c r="J193" s="17" t="str">
        <f aca="false">IF(AND(ISNUMBER(F193),ISNUMBER(G193),ISNUMBER(H193),F193&gt;G193,H193&gt;0),(F193-H193)/H193,"")</f>
        <v/>
      </c>
      <c r="K193" s="20" t="str">
        <f aca="false">IF(AND(ISNUMBER(F193),ISNUMBER(G193),ISNUMBER(H193),F193&gt;G193,H193&gt;0),H193/(F193-G193)*1000,"")</f>
        <v/>
      </c>
      <c r="L193" s="11" t="str">
        <f aca="false">IF(K193="","",IF(K193&gt;=CONFIG!$E$21,CONFIG!$D$21,IF(K193&gt;=CONFIG!$E$20,CONFIG!$D$20,CONFIG!$D$19)))</f>
        <v/>
      </c>
      <c r="M193" s="20" t="str">
        <f aca="false">IF(K193="","",IF(K193&gt;=CONFIG!$E$21,CONFIG!$F$21,IF(K193&gt;=CONFIG!$E$20,CONFIG!$F$20,CONFIG!$F$19)))</f>
        <v/>
      </c>
      <c r="N193" s="19" t="str">
        <f aca="false">IF(I193="","",IF(I193&lt;=M193,"OK","ALTA"))</f>
        <v/>
      </c>
      <c r="O193" s="13"/>
    </row>
    <row r="194" customFormat="false" ht="15" hidden="false" customHeight="false" outlineLevel="0" collapsed="false">
      <c r="A194" s="11" t="str">
        <f aca="false">IF(C194="","",ROW()-4)</f>
        <v/>
      </c>
      <c r="B194" s="12"/>
      <c r="C194" s="13"/>
      <c r="D194" s="11" t="str">
        <f aca="false">IF(C194="","",IFERROR(INDEX(LOTES!$D$5:$D$1004,MATCH(C194,LOTES!$F$5:$F$1004,0)),"¿Lote?"))</f>
        <v/>
      </c>
      <c r="E194" s="11" t="str">
        <f aca="false">IF(C194="","",IFERROR(INDEX(LOTES!$C$5:$C$1004,MATCH(C194,LOTES!$F$5:$F$1004,0)),""))</f>
        <v/>
      </c>
      <c r="F194" s="27"/>
      <c r="G194" s="27"/>
      <c r="H194" s="27"/>
      <c r="I194" s="20" t="str">
        <f aca="false">IF(AND(ISNUMBER(F194),ISNUMBER(G194),ISNUMBER(H194),F194&gt;G194,H194&gt;0),(F194-H194)/(F194-G194)*1000,"")</f>
        <v/>
      </c>
      <c r="J194" s="17" t="str">
        <f aca="false">IF(AND(ISNUMBER(F194),ISNUMBER(G194),ISNUMBER(H194),F194&gt;G194,H194&gt;0),(F194-H194)/H194,"")</f>
        <v/>
      </c>
      <c r="K194" s="20" t="str">
        <f aca="false">IF(AND(ISNUMBER(F194),ISNUMBER(G194),ISNUMBER(H194),F194&gt;G194,H194&gt;0),H194/(F194-G194)*1000,"")</f>
        <v/>
      </c>
      <c r="L194" s="11" t="str">
        <f aca="false">IF(K194="","",IF(K194&gt;=CONFIG!$E$21,CONFIG!$D$21,IF(K194&gt;=CONFIG!$E$20,CONFIG!$D$20,CONFIG!$D$19)))</f>
        <v/>
      </c>
      <c r="M194" s="20" t="str">
        <f aca="false">IF(K194="","",IF(K194&gt;=CONFIG!$E$21,CONFIG!$F$21,IF(K194&gt;=CONFIG!$E$20,CONFIG!$F$20,CONFIG!$F$19)))</f>
        <v/>
      </c>
      <c r="N194" s="19" t="str">
        <f aca="false">IF(I194="","",IF(I194&lt;=M194,"OK","ALTA"))</f>
        <v/>
      </c>
      <c r="O194" s="13"/>
    </row>
    <row r="195" customFormat="false" ht="15" hidden="false" customHeight="false" outlineLevel="0" collapsed="false">
      <c r="A195" s="11" t="str">
        <f aca="false">IF(C195="","",ROW()-4)</f>
        <v/>
      </c>
      <c r="B195" s="12"/>
      <c r="C195" s="13"/>
      <c r="D195" s="11" t="str">
        <f aca="false">IF(C195="","",IFERROR(INDEX(LOTES!$D$5:$D$1004,MATCH(C195,LOTES!$F$5:$F$1004,0)),"¿Lote?"))</f>
        <v/>
      </c>
      <c r="E195" s="11" t="str">
        <f aca="false">IF(C195="","",IFERROR(INDEX(LOTES!$C$5:$C$1004,MATCH(C195,LOTES!$F$5:$F$1004,0)),""))</f>
        <v/>
      </c>
      <c r="F195" s="27"/>
      <c r="G195" s="27"/>
      <c r="H195" s="27"/>
      <c r="I195" s="20" t="str">
        <f aca="false">IF(AND(ISNUMBER(F195),ISNUMBER(G195),ISNUMBER(H195),F195&gt;G195,H195&gt;0),(F195-H195)/(F195-G195)*1000,"")</f>
        <v/>
      </c>
      <c r="J195" s="17" t="str">
        <f aca="false">IF(AND(ISNUMBER(F195),ISNUMBER(G195),ISNUMBER(H195),F195&gt;G195,H195&gt;0),(F195-H195)/H195,"")</f>
        <v/>
      </c>
      <c r="K195" s="20" t="str">
        <f aca="false">IF(AND(ISNUMBER(F195),ISNUMBER(G195),ISNUMBER(H195),F195&gt;G195,H195&gt;0),H195/(F195-G195)*1000,"")</f>
        <v/>
      </c>
      <c r="L195" s="11" t="str">
        <f aca="false">IF(K195="","",IF(K195&gt;=CONFIG!$E$21,CONFIG!$D$21,IF(K195&gt;=CONFIG!$E$20,CONFIG!$D$20,CONFIG!$D$19)))</f>
        <v/>
      </c>
      <c r="M195" s="20" t="str">
        <f aca="false">IF(K195="","",IF(K195&gt;=CONFIG!$E$21,CONFIG!$F$21,IF(K195&gt;=CONFIG!$E$20,CONFIG!$F$20,CONFIG!$F$19)))</f>
        <v/>
      </c>
      <c r="N195" s="19" t="str">
        <f aca="false">IF(I195="","",IF(I195&lt;=M195,"OK","ALTA"))</f>
        <v/>
      </c>
      <c r="O195" s="13"/>
    </row>
    <row r="196" customFormat="false" ht="15" hidden="false" customHeight="false" outlineLevel="0" collapsed="false">
      <c r="A196" s="11" t="str">
        <f aca="false">IF(C196="","",ROW()-4)</f>
        <v/>
      </c>
      <c r="B196" s="12"/>
      <c r="C196" s="13"/>
      <c r="D196" s="11" t="str">
        <f aca="false">IF(C196="","",IFERROR(INDEX(LOTES!$D$5:$D$1004,MATCH(C196,LOTES!$F$5:$F$1004,0)),"¿Lote?"))</f>
        <v/>
      </c>
      <c r="E196" s="11" t="str">
        <f aca="false">IF(C196="","",IFERROR(INDEX(LOTES!$C$5:$C$1004,MATCH(C196,LOTES!$F$5:$F$1004,0)),""))</f>
        <v/>
      </c>
      <c r="F196" s="27"/>
      <c r="G196" s="27"/>
      <c r="H196" s="27"/>
      <c r="I196" s="20" t="str">
        <f aca="false">IF(AND(ISNUMBER(F196),ISNUMBER(G196),ISNUMBER(H196),F196&gt;G196,H196&gt;0),(F196-H196)/(F196-G196)*1000,"")</f>
        <v/>
      </c>
      <c r="J196" s="17" t="str">
        <f aca="false">IF(AND(ISNUMBER(F196),ISNUMBER(G196),ISNUMBER(H196),F196&gt;G196,H196&gt;0),(F196-H196)/H196,"")</f>
        <v/>
      </c>
      <c r="K196" s="20" t="str">
        <f aca="false">IF(AND(ISNUMBER(F196),ISNUMBER(G196),ISNUMBER(H196),F196&gt;G196,H196&gt;0),H196/(F196-G196)*1000,"")</f>
        <v/>
      </c>
      <c r="L196" s="11" t="str">
        <f aca="false">IF(K196="","",IF(K196&gt;=CONFIG!$E$21,CONFIG!$D$21,IF(K196&gt;=CONFIG!$E$20,CONFIG!$D$20,CONFIG!$D$19)))</f>
        <v/>
      </c>
      <c r="M196" s="20" t="str">
        <f aca="false">IF(K196="","",IF(K196&gt;=CONFIG!$E$21,CONFIG!$F$21,IF(K196&gt;=CONFIG!$E$20,CONFIG!$F$20,CONFIG!$F$19)))</f>
        <v/>
      </c>
      <c r="N196" s="19" t="str">
        <f aca="false">IF(I196="","",IF(I196&lt;=M196,"OK","ALTA"))</f>
        <v/>
      </c>
      <c r="O196" s="13"/>
    </row>
    <row r="197" customFormat="false" ht="15" hidden="false" customHeight="false" outlineLevel="0" collapsed="false">
      <c r="A197" s="11" t="str">
        <f aca="false">IF(C197="","",ROW()-4)</f>
        <v/>
      </c>
      <c r="B197" s="12"/>
      <c r="C197" s="13"/>
      <c r="D197" s="11" t="str">
        <f aca="false">IF(C197="","",IFERROR(INDEX(LOTES!$D$5:$D$1004,MATCH(C197,LOTES!$F$5:$F$1004,0)),"¿Lote?"))</f>
        <v/>
      </c>
      <c r="E197" s="11" t="str">
        <f aca="false">IF(C197="","",IFERROR(INDEX(LOTES!$C$5:$C$1004,MATCH(C197,LOTES!$F$5:$F$1004,0)),""))</f>
        <v/>
      </c>
      <c r="F197" s="27"/>
      <c r="G197" s="27"/>
      <c r="H197" s="27"/>
      <c r="I197" s="20" t="str">
        <f aca="false">IF(AND(ISNUMBER(F197),ISNUMBER(G197),ISNUMBER(H197),F197&gt;G197,H197&gt;0),(F197-H197)/(F197-G197)*1000,"")</f>
        <v/>
      </c>
      <c r="J197" s="17" t="str">
        <f aca="false">IF(AND(ISNUMBER(F197),ISNUMBER(G197),ISNUMBER(H197),F197&gt;G197,H197&gt;0),(F197-H197)/H197,"")</f>
        <v/>
      </c>
      <c r="K197" s="20" t="str">
        <f aca="false">IF(AND(ISNUMBER(F197),ISNUMBER(G197),ISNUMBER(H197),F197&gt;G197,H197&gt;0),H197/(F197-G197)*1000,"")</f>
        <v/>
      </c>
      <c r="L197" s="11" t="str">
        <f aca="false">IF(K197="","",IF(K197&gt;=CONFIG!$E$21,CONFIG!$D$21,IF(K197&gt;=CONFIG!$E$20,CONFIG!$D$20,CONFIG!$D$19)))</f>
        <v/>
      </c>
      <c r="M197" s="20" t="str">
        <f aca="false">IF(K197="","",IF(K197&gt;=CONFIG!$E$21,CONFIG!$F$21,IF(K197&gt;=CONFIG!$E$20,CONFIG!$F$20,CONFIG!$F$19)))</f>
        <v/>
      </c>
      <c r="N197" s="19" t="str">
        <f aca="false">IF(I197="","",IF(I197&lt;=M197,"OK","ALTA"))</f>
        <v/>
      </c>
      <c r="O197" s="13"/>
    </row>
    <row r="198" customFormat="false" ht="15" hidden="false" customHeight="false" outlineLevel="0" collapsed="false">
      <c r="A198" s="11" t="str">
        <f aca="false">IF(C198="","",ROW()-4)</f>
        <v/>
      </c>
      <c r="B198" s="12"/>
      <c r="C198" s="13"/>
      <c r="D198" s="11" t="str">
        <f aca="false">IF(C198="","",IFERROR(INDEX(LOTES!$D$5:$D$1004,MATCH(C198,LOTES!$F$5:$F$1004,0)),"¿Lote?"))</f>
        <v/>
      </c>
      <c r="E198" s="11" t="str">
        <f aca="false">IF(C198="","",IFERROR(INDEX(LOTES!$C$5:$C$1004,MATCH(C198,LOTES!$F$5:$F$1004,0)),""))</f>
        <v/>
      </c>
      <c r="F198" s="27"/>
      <c r="G198" s="27"/>
      <c r="H198" s="27"/>
      <c r="I198" s="20" t="str">
        <f aca="false">IF(AND(ISNUMBER(F198),ISNUMBER(G198),ISNUMBER(H198),F198&gt;G198,H198&gt;0),(F198-H198)/(F198-G198)*1000,"")</f>
        <v/>
      </c>
      <c r="J198" s="17" t="str">
        <f aca="false">IF(AND(ISNUMBER(F198),ISNUMBER(G198),ISNUMBER(H198),F198&gt;G198,H198&gt;0),(F198-H198)/H198,"")</f>
        <v/>
      </c>
      <c r="K198" s="20" t="str">
        <f aca="false">IF(AND(ISNUMBER(F198),ISNUMBER(G198),ISNUMBER(H198),F198&gt;G198,H198&gt;0),H198/(F198-G198)*1000,"")</f>
        <v/>
      </c>
      <c r="L198" s="11" t="str">
        <f aca="false">IF(K198="","",IF(K198&gt;=CONFIG!$E$21,CONFIG!$D$21,IF(K198&gt;=CONFIG!$E$20,CONFIG!$D$20,CONFIG!$D$19)))</f>
        <v/>
      </c>
      <c r="M198" s="20" t="str">
        <f aca="false">IF(K198="","",IF(K198&gt;=CONFIG!$E$21,CONFIG!$F$21,IF(K198&gt;=CONFIG!$E$20,CONFIG!$F$20,CONFIG!$F$19)))</f>
        <v/>
      </c>
      <c r="N198" s="19" t="str">
        <f aca="false">IF(I198="","",IF(I198&lt;=M198,"OK","ALTA"))</f>
        <v/>
      </c>
      <c r="O198" s="13"/>
    </row>
    <row r="199" customFormat="false" ht="15" hidden="false" customHeight="false" outlineLevel="0" collapsed="false">
      <c r="A199" s="11" t="str">
        <f aca="false">IF(C199="","",ROW()-4)</f>
        <v/>
      </c>
      <c r="B199" s="12"/>
      <c r="C199" s="13"/>
      <c r="D199" s="11" t="str">
        <f aca="false">IF(C199="","",IFERROR(INDEX(LOTES!$D$5:$D$1004,MATCH(C199,LOTES!$F$5:$F$1004,0)),"¿Lote?"))</f>
        <v/>
      </c>
      <c r="E199" s="11" t="str">
        <f aca="false">IF(C199="","",IFERROR(INDEX(LOTES!$C$5:$C$1004,MATCH(C199,LOTES!$F$5:$F$1004,0)),""))</f>
        <v/>
      </c>
      <c r="F199" s="27"/>
      <c r="G199" s="27"/>
      <c r="H199" s="27"/>
      <c r="I199" s="20" t="str">
        <f aca="false">IF(AND(ISNUMBER(F199),ISNUMBER(G199),ISNUMBER(H199),F199&gt;G199,H199&gt;0),(F199-H199)/(F199-G199)*1000,"")</f>
        <v/>
      </c>
      <c r="J199" s="17" t="str">
        <f aca="false">IF(AND(ISNUMBER(F199),ISNUMBER(G199),ISNUMBER(H199),F199&gt;G199,H199&gt;0),(F199-H199)/H199,"")</f>
        <v/>
      </c>
      <c r="K199" s="20" t="str">
        <f aca="false">IF(AND(ISNUMBER(F199),ISNUMBER(G199),ISNUMBER(H199),F199&gt;G199,H199&gt;0),H199/(F199-G199)*1000,"")</f>
        <v/>
      </c>
      <c r="L199" s="11" t="str">
        <f aca="false">IF(K199="","",IF(K199&gt;=CONFIG!$E$21,CONFIG!$D$21,IF(K199&gt;=CONFIG!$E$20,CONFIG!$D$20,CONFIG!$D$19)))</f>
        <v/>
      </c>
      <c r="M199" s="20" t="str">
        <f aca="false">IF(K199="","",IF(K199&gt;=CONFIG!$E$21,CONFIG!$F$21,IF(K199&gt;=CONFIG!$E$20,CONFIG!$F$20,CONFIG!$F$19)))</f>
        <v/>
      </c>
      <c r="N199" s="19" t="str">
        <f aca="false">IF(I199="","",IF(I199&lt;=M199,"OK","ALTA"))</f>
        <v/>
      </c>
      <c r="O199" s="13"/>
    </row>
    <row r="200" customFormat="false" ht="15" hidden="false" customHeight="false" outlineLevel="0" collapsed="false">
      <c r="A200" s="11" t="str">
        <f aca="false">IF(C200="","",ROW()-4)</f>
        <v/>
      </c>
      <c r="B200" s="12"/>
      <c r="C200" s="13"/>
      <c r="D200" s="11" t="str">
        <f aca="false">IF(C200="","",IFERROR(INDEX(LOTES!$D$5:$D$1004,MATCH(C200,LOTES!$F$5:$F$1004,0)),"¿Lote?"))</f>
        <v/>
      </c>
      <c r="E200" s="11" t="str">
        <f aca="false">IF(C200="","",IFERROR(INDEX(LOTES!$C$5:$C$1004,MATCH(C200,LOTES!$F$5:$F$1004,0)),""))</f>
        <v/>
      </c>
      <c r="F200" s="27"/>
      <c r="G200" s="27"/>
      <c r="H200" s="27"/>
      <c r="I200" s="20" t="str">
        <f aca="false">IF(AND(ISNUMBER(F200),ISNUMBER(G200),ISNUMBER(H200),F200&gt;G200,H200&gt;0),(F200-H200)/(F200-G200)*1000,"")</f>
        <v/>
      </c>
      <c r="J200" s="17" t="str">
        <f aca="false">IF(AND(ISNUMBER(F200),ISNUMBER(G200),ISNUMBER(H200),F200&gt;G200,H200&gt;0),(F200-H200)/H200,"")</f>
        <v/>
      </c>
      <c r="K200" s="20" t="str">
        <f aca="false">IF(AND(ISNUMBER(F200),ISNUMBER(G200),ISNUMBER(H200),F200&gt;G200,H200&gt;0),H200/(F200-G200)*1000,"")</f>
        <v/>
      </c>
      <c r="L200" s="11" t="str">
        <f aca="false">IF(K200="","",IF(K200&gt;=CONFIG!$E$21,CONFIG!$D$21,IF(K200&gt;=CONFIG!$E$20,CONFIG!$D$20,CONFIG!$D$19)))</f>
        <v/>
      </c>
      <c r="M200" s="20" t="str">
        <f aca="false">IF(K200="","",IF(K200&gt;=CONFIG!$E$21,CONFIG!$F$21,IF(K200&gt;=CONFIG!$E$20,CONFIG!$F$20,CONFIG!$F$19)))</f>
        <v/>
      </c>
      <c r="N200" s="19" t="str">
        <f aca="false">IF(I200="","",IF(I200&lt;=M200,"OK","ALTA"))</f>
        <v/>
      </c>
      <c r="O200" s="13"/>
    </row>
    <row r="201" customFormat="false" ht="15" hidden="false" customHeight="false" outlineLevel="0" collapsed="false">
      <c r="A201" s="11" t="str">
        <f aca="false">IF(C201="","",ROW()-4)</f>
        <v/>
      </c>
      <c r="B201" s="12"/>
      <c r="C201" s="13"/>
      <c r="D201" s="11" t="str">
        <f aca="false">IF(C201="","",IFERROR(INDEX(LOTES!$D$5:$D$1004,MATCH(C201,LOTES!$F$5:$F$1004,0)),"¿Lote?"))</f>
        <v/>
      </c>
      <c r="E201" s="11" t="str">
        <f aca="false">IF(C201="","",IFERROR(INDEX(LOTES!$C$5:$C$1004,MATCH(C201,LOTES!$F$5:$F$1004,0)),""))</f>
        <v/>
      </c>
      <c r="F201" s="27"/>
      <c r="G201" s="27"/>
      <c r="H201" s="27"/>
      <c r="I201" s="20" t="str">
        <f aca="false">IF(AND(ISNUMBER(F201),ISNUMBER(G201),ISNUMBER(H201),F201&gt;G201,H201&gt;0),(F201-H201)/(F201-G201)*1000,"")</f>
        <v/>
      </c>
      <c r="J201" s="17" t="str">
        <f aca="false">IF(AND(ISNUMBER(F201),ISNUMBER(G201),ISNUMBER(H201),F201&gt;G201,H201&gt;0),(F201-H201)/H201,"")</f>
        <v/>
      </c>
      <c r="K201" s="20" t="str">
        <f aca="false">IF(AND(ISNUMBER(F201),ISNUMBER(G201),ISNUMBER(H201),F201&gt;G201,H201&gt;0),H201/(F201-G201)*1000,"")</f>
        <v/>
      </c>
      <c r="L201" s="11" t="str">
        <f aca="false">IF(K201="","",IF(K201&gt;=CONFIG!$E$21,CONFIG!$D$21,IF(K201&gt;=CONFIG!$E$20,CONFIG!$D$20,CONFIG!$D$19)))</f>
        <v/>
      </c>
      <c r="M201" s="20" t="str">
        <f aca="false">IF(K201="","",IF(K201&gt;=CONFIG!$E$21,CONFIG!$F$21,IF(K201&gt;=CONFIG!$E$20,CONFIG!$F$20,CONFIG!$F$19)))</f>
        <v/>
      </c>
      <c r="N201" s="19" t="str">
        <f aca="false">IF(I201="","",IF(I201&lt;=M201,"OK","ALTA"))</f>
        <v/>
      </c>
      <c r="O201" s="13"/>
    </row>
    <row r="202" customFormat="false" ht="15" hidden="false" customHeight="false" outlineLevel="0" collapsed="false">
      <c r="A202" s="11" t="str">
        <f aca="false">IF(C202="","",ROW()-4)</f>
        <v/>
      </c>
      <c r="B202" s="12"/>
      <c r="C202" s="13"/>
      <c r="D202" s="11" t="str">
        <f aca="false">IF(C202="","",IFERROR(INDEX(LOTES!$D$5:$D$1004,MATCH(C202,LOTES!$F$5:$F$1004,0)),"¿Lote?"))</f>
        <v/>
      </c>
      <c r="E202" s="11" t="str">
        <f aca="false">IF(C202="","",IFERROR(INDEX(LOTES!$C$5:$C$1004,MATCH(C202,LOTES!$F$5:$F$1004,0)),""))</f>
        <v/>
      </c>
      <c r="F202" s="27"/>
      <c r="G202" s="27"/>
      <c r="H202" s="27"/>
      <c r="I202" s="20" t="str">
        <f aca="false">IF(AND(ISNUMBER(F202),ISNUMBER(G202),ISNUMBER(H202),F202&gt;G202,H202&gt;0),(F202-H202)/(F202-G202)*1000,"")</f>
        <v/>
      </c>
      <c r="J202" s="17" t="str">
        <f aca="false">IF(AND(ISNUMBER(F202),ISNUMBER(G202),ISNUMBER(H202),F202&gt;G202,H202&gt;0),(F202-H202)/H202,"")</f>
        <v/>
      </c>
      <c r="K202" s="20" t="str">
        <f aca="false">IF(AND(ISNUMBER(F202),ISNUMBER(G202),ISNUMBER(H202),F202&gt;G202,H202&gt;0),H202/(F202-G202)*1000,"")</f>
        <v/>
      </c>
      <c r="L202" s="11" t="str">
        <f aca="false">IF(K202="","",IF(K202&gt;=CONFIG!$E$21,CONFIG!$D$21,IF(K202&gt;=CONFIG!$E$20,CONFIG!$D$20,CONFIG!$D$19)))</f>
        <v/>
      </c>
      <c r="M202" s="20" t="str">
        <f aca="false">IF(K202="","",IF(K202&gt;=CONFIG!$E$21,CONFIG!$F$21,IF(K202&gt;=CONFIG!$E$20,CONFIG!$F$20,CONFIG!$F$19)))</f>
        <v/>
      </c>
      <c r="N202" s="19" t="str">
        <f aca="false">IF(I202="","",IF(I202&lt;=M202,"OK","ALTA"))</f>
        <v/>
      </c>
      <c r="O202" s="13"/>
    </row>
    <row r="203" customFormat="false" ht="15" hidden="false" customHeight="false" outlineLevel="0" collapsed="false">
      <c r="A203" s="11" t="str">
        <f aca="false">IF(C203="","",ROW()-4)</f>
        <v/>
      </c>
      <c r="B203" s="12"/>
      <c r="C203" s="13"/>
      <c r="D203" s="11" t="str">
        <f aca="false">IF(C203="","",IFERROR(INDEX(LOTES!$D$5:$D$1004,MATCH(C203,LOTES!$F$5:$F$1004,0)),"¿Lote?"))</f>
        <v/>
      </c>
      <c r="E203" s="11" t="str">
        <f aca="false">IF(C203="","",IFERROR(INDEX(LOTES!$C$5:$C$1004,MATCH(C203,LOTES!$F$5:$F$1004,0)),""))</f>
        <v/>
      </c>
      <c r="F203" s="27"/>
      <c r="G203" s="27"/>
      <c r="H203" s="27"/>
      <c r="I203" s="20" t="str">
        <f aca="false">IF(AND(ISNUMBER(F203),ISNUMBER(G203),ISNUMBER(H203),F203&gt;G203,H203&gt;0),(F203-H203)/(F203-G203)*1000,"")</f>
        <v/>
      </c>
      <c r="J203" s="17" t="str">
        <f aca="false">IF(AND(ISNUMBER(F203),ISNUMBER(G203),ISNUMBER(H203),F203&gt;G203,H203&gt;0),(F203-H203)/H203,"")</f>
        <v/>
      </c>
      <c r="K203" s="20" t="str">
        <f aca="false">IF(AND(ISNUMBER(F203),ISNUMBER(G203),ISNUMBER(H203),F203&gt;G203,H203&gt;0),H203/(F203-G203)*1000,"")</f>
        <v/>
      </c>
      <c r="L203" s="11" t="str">
        <f aca="false">IF(K203="","",IF(K203&gt;=CONFIG!$E$21,CONFIG!$D$21,IF(K203&gt;=CONFIG!$E$20,CONFIG!$D$20,CONFIG!$D$19)))</f>
        <v/>
      </c>
      <c r="M203" s="20" t="str">
        <f aca="false">IF(K203="","",IF(K203&gt;=CONFIG!$E$21,CONFIG!$F$21,IF(K203&gt;=CONFIG!$E$20,CONFIG!$F$20,CONFIG!$F$19)))</f>
        <v/>
      </c>
      <c r="N203" s="19" t="str">
        <f aca="false">IF(I203="","",IF(I203&lt;=M203,"OK","ALTA"))</f>
        <v/>
      </c>
      <c r="O203" s="13"/>
    </row>
    <row r="204" customFormat="false" ht="15" hidden="false" customHeight="false" outlineLevel="0" collapsed="false">
      <c r="A204" s="11" t="str">
        <f aca="false">IF(C204="","",ROW()-4)</f>
        <v/>
      </c>
      <c r="B204" s="12"/>
      <c r="C204" s="13"/>
      <c r="D204" s="11" t="str">
        <f aca="false">IF(C204="","",IFERROR(INDEX(LOTES!$D$5:$D$1004,MATCH(C204,LOTES!$F$5:$F$1004,0)),"¿Lote?"))</f>
        <v/>
      </c>
      <c r="E204" s="11" t="str">
        <f aca="false">IF(C204="","",IFERROR(INDEX(LOTES!$C$5:$C$1004,MATCH(C204,LOTES!$F$5:$F$1004,0)),""))</f>
        <v/>
      </c>
      <c r="F204" s="27"/>
      <c r="G204" s="27"/>
      <c r="H204" s="27"/>
      <c r="I204" s="20" t="str">
        <f aca="false">IF(AND(ISNUMBER(F204),ISNUMBER(G204),ISNUMBER(H204),F204&gt;G204,H204&gt;0),(F204-H204)/(F204-G204)*1000,"")</f>
        <v/>
      </c>
      <c r="J204" s="17" t="str">
        <f aca="false">IF(AND(ISNUMBER(F204),ISNUMBER(G204),ISNUMBER(H204),F204&gt;G204,H204&gt;0),(F204-H204)/H204,"")</f>
        <v/>
      </c>
      <c r="K204" s="20" t="str">
        <f aca="false">IF(AND(ISNUMBER(F204),ISNUMBER(G204),ISNUMBER(H204),F204&gt;G204,H204&gt;0),H204/(F204-G204)*1000,"")</f>
        <v/>
      </c>
      <c r="L204" s="11" t="str">
        <f aca="false">IF(K204="","",IF(K204&gt;=CONFIG!$E$21,CONFIG!$D$21,IF(K204&gt;=CONFIG!$E$20,CONFIG!$D$20,CONFIG!$D$19)))</f>
        <v/>
      </c>
      <c r="M204" s="20" t="str">
        <f aca="false">IF(K204="","",IF(K204&gt;=CONFIG!$E$21,CONFIG!$F$21,IF(K204&gt;=CONFIG!$E$20,CONFIG!$F$20,CONFIG!$F$19)))</f>
        <v/>
      </c>
      <c r="N204" s="19" t="str">
        <f aca="false">IF(I204="","",IF(I204&lt;=M204,"OK","ALTA"))</f>
        <v/>
      </c>
      <c r="O204" s="13"/>
    </row>
    <row r="205" customFormat="false" ht="15" hidden="false" customHeight="false" outlineLevel="0" collapsed="false">
      <c r="A205" s="11" t="str">
        <f aca="false">IF(C205="","",ROW()-4)</f>
        <v/>
      </c>
      <c r="B205" s="12"/>
      <c r="C205" s="13"/>
      <c r="D205" s="11" t="str">
        <f aca="false">IF(C205="","",IFERROR(INDEX(LOTES!$D$5:$D$1004,MATCH(C205,LOTES!$F$5:$F$1004,0)),"¿Lote?"))</f>
        <v/>
      </c>
      <c r="E205" s="11" t="str">
        <f aca="false">IF(C205="","",IFERROR(INDEX(LOTES!$C$5:$C$1004,MATCH(C205,LOTES!$F$5:$F$1004,0)),""))</f>
        <v/>
      </c>
      <c r="F205" s="27"/>
      <c r="G205" s="27"/>
      <c r="H205" s="27"/>
      <c r="I205" s="20" t="str">
        <f aca="false">IF(AND(ISNUMBER(F205),ISNUMBER(G205),ISNUMBER(H205),F205&gt;G205,H205&gt;0),(F205-H205)/(F205-G205)*1000,"")</f>
        <v/>
      </c>
      <c r="J205" s="17" t="str">
        <f aca="false">IF(AND(ISNUMBER(F205),ISNUMBER(G205),ISNUMBER(H205),F205&gt;G205,H205&gt;0),(F205-H205)/H205,"")</f>
        <v/>
      </c>
      <c r="K205" s="20" t="str">
        <f aca="false">IF(AND(ISNUMBER(F205),ISNUMBER(G205),ISNUMBER(H205),F205&gt;G205,H205&gt;0),H205/(F205-G205)*1000,"")</f>
        <v/>
      </c>
      <c r="L205" s="11" t="str">
        <f aca="false">IF(K205="","",IF(K205&gt;=CONFIG!$E$21,CONFIG!$D$21,IF(K205&gt;=CONFIG!$E$20,CONFIG!$D$20,CONFIG!$D$19)))</f>
        <v/>
      </c>
      <c r="M205" s="20" t="str">
        <f aca="false">IF(K205="","",IF(K205&gt;=CONFIG!$E$21,CONFIG!$F$21,IF(K205&gt;=CONFIG!$E$20,CONFIG!$F$20,CONFIG!$F$19)))</f>
        <v/>
      </c>
      <c r="N205" s="19" t="str">
        <f aca="false">IF(I205="","",IF(I205&lt;=M205,"OK","ALTA"))</f>
        <v/>
      </c>
      <c r="O205" s="13"/>
    </row>
    <row r="206" customFormat="false" ht="15" hidden="false" customHeight="false" outlineLevel="0" collapsed="false">
      <c r="A206" s="11" t="str">
        <f aca="false">IF(C206="","",ROW()-4)</f>
        <v/>
      </c>
      <c r="B206" s="12"/>
      <c r="C206" s="13"/>
      <c r="D206" s="11" t="str">
        <f aca="false">IF(C206="","",IFERROR(INDEX(LOTES!$D$5:$D$1004,MATCH(C206,LOTES!$F$5:$F$1004,0)),"¿Lote?"))</f>
        <v/>
      </c>
      <c r="E206" s="11" t="str">
        <f aca="false">IF(C206="","",IFERROR(INDEX(LOTES!$C$5:$C$1004,MATCH(C206,LOTES!$F$5:$F$1004,0)),""))</f>
        <v/>
      </c>
      <c r="F206" s="27"/>
      <c r="G206" s="27"/>
      <c r="H206" s="27"/>
      <c r="I206" s="20" t="str">
        <f aca="false">IF(AND(ISNUMBER(F206),ISNUMBER(G206),ISNUMBER(H206),F206&gt;G206,H206&gt;0),(F206-H206)/(F206-G206)*1000,"")</f>
        <v/>
      </c>
      <c r="J206" s="17" t="str">
        <f aca="false">IF(AND(ISNUMBER(F206),ISNUMBER(G206),ISNUMBER(H206),F206&gt;G206,H206&gt;0),(F206-H206)/H206,"")</f>
        <v/>
      </c>
      <c r="K206" s="20" t="str">
        <f aca="false">IF(AND(ISNUMBER(F206),ISNUMBER(G206),ISNUMBER(H206),F206&gt;G206,H206&gt;0),H206/(F206-G206)*1000,"")</f>
        <v/>
      </c>
      <c r="L206" s="11" t="str">
        <f aca="false">IF(K206="","",IF(K206&gt;=CONFIG!$E$21,CONFIG!$D$21,IF(K206&gt;=CONFIG!$E$20,CONFIG!$D$20,CONFIG!$D$19)))</f>
        <v/>
      </c>
      <c r="M206" s="20" t="str">
        <f aca="false">IF(K206="","",IF(K206&gt;=CONFIG!$E$21,CONFIG!$F$21,IF(K206&gt;=CONFIG!$E$20,CONFIG!$F$20,CONFIG!$F$19)))</f>
        <v/>
      </c>
      <c r="N206" s="19" t="str">
        <f aca="false">IF(I206="","",IF(I206&lt;=M206,"OK","ALTA"))</f>
        <v/>
      </c>
      <c r="O206" s="13"/>
    </row>
    <row r="207" customFormat="false" ht="15" hidden="false" customHeight="false" outlineLevel="0" collapsed="false">
      <c r="A207" s="11" t="str">
        <f aca="false">IF(C207="","",ROW()-4)</f>
        <v/>
      </c>
      <c r="B207" s="12"/>
      <c r="C207" s="13"/>
      <c r="D207" s="11" t="str">
        <f aca="false">IF(C207="","",IFERROR(INDEX(LOTES!$D$5:$D$1004,MATCH(C207,LOTES!$F$5:$F$1004,0)),"¿Lote?"))</f>
        <v/>
      </c>
      <c r="E207" s="11" t="str">
        <f aca="false">IF(C207="","",IFERROR(INDEX(LOTES!$C$5:$C$1004,MATCH(C207,LOTES!$F$5:$F$1004,0)),""))</f>
        <v/>
      </c>
      <c r="F207" s="27"/>
      <c r="G207" s="27"/>
      <c r="H207" s="27"/>
      <c r="I207" s="20" t="str">
        <f aca="false">IF(AND(ISNUMBER(F207),ISNUMBER(G207),ISNUMBER(H207),F207&gt;G207,H207&gt;0),(F207-H207)/(F207-G207)*1000,"")</f>
        <v/>
      </c>
      <c r="J207" s="17" t="str">
        <f aca="false">IF(AND(ISNUMBER(F207),ISNUMBER(G207),ISNUMBER(H207),F207&gt;G207,H207&gt;0),(F207-H207)/H207,"")</f>
        <v/>
      </c>
      <c r="K207" s="20" t="str">
        <f aca="false">IF(AND(ISNUMBER(F207),ISNUMBER(G207),ISNUMBER(H207),F207&gt;G207,H207&gt;0),H207/(F207-G207)*1000,"")</f>
        <v/>
      </c>
      <c r="L207" s="11" t="str">
        <f aca="false">IF(K207="","",IF(K207&gt;=CONFIG!$E$21,CONFIG!$D$21,IF(K207&gt;=CONFIG!$E$20,CONFIG!$D$20,CONFIG!$D$19)))</f>
        <v/>
      </c>
      <c r="M207" s="20" t="str">
        <f aca="false">IF(K207="","",IF(K207&gt;=CONFIG!$E$21,CONFIG!$F$21,IF(K207&gt;=CONFIG!$E$20,CONFIG!$F$20,CONFIG!$F$19)))</f>
        <v/>
      </c>
      <c r="N207" s="19" t="str">
        <f aca="false">IF(I207="","",IF(I207&lt;=M207,"OK","ALTA"))</f>
        <v/>
      </c>
      <c r="O207" s="13"/>
    </row>
    <row r="208" customFormat="false" ht="15" hidden="false" customHeight="false" outlineLevel="0" collapsed="false">
      <c r="A208" s="11" t="str">
        <f aca="false">IF(C208="","",ROW()-4)</f>
        <v/>
      </c>
      <c r="B208" s="12"/>
      <c r="C208" s="13"/>
      <c r="D208" s="11" t="str">
        <f aca="false">IF(C208="","",IFERROR(INDEX(LOTES!$D$5:$D$1004,MATCH(C208,LOTES!$F$5:$F$1004,0)),"¿Lote?"))</f>
        <v/>
      </c>
      <c r="E208" s="11" t="str">
        <f aca="false">IF(C208="","",IFERROR(INDEX(LOTES!$C$5:$C$1004,MATCH(C208,LOTES!$F$5:$F$1004,0)),""))</f>
        <v/>
      </c>
      <c r="F208" s="27"/>
      <c r="G208" s="27"/>
      <c r="H208" s="27"/>
      <c r="I208" s="20" t="str">
        <f aca="false">IF(AND(ISNUMBER(F208),ISNUMBER(G208),ISNUMBER(H208),F208&gt;G208,H208&gt;0),(F208-H208)/(F208-G208)*1000,"")</f>
        <v/>
      </c>
      <c r="J208" s="17" t="str">
        <f aca="false">IF(AND(ISNUMBER(F208),ISNUMBER(G208),ISNUMBER(H208),F208&gt;G208,H208&gt;0),(F208-H208)/H208,"")</f>
        <v/>
      </c>
      <c r="K208" s="20" t="str">
        <f aca="false">IF(AND(ISNUMBER(F208),ISNUMBER(G208),ISNUMBER(H208),F208&gt;G208,H208&gt;0),H208/(F208-G208)*1000,"")</f>
        <v/>
      </c>
      <c r="L208" s="11" t="str">
        <f aca="false">IF(K208="","",IF(K208&gt;=CONFIG!$E$21,CONFIG!$D$21,IF(K208&gt;=CONFIG!$E$20,CONFIG!$D$20,CONFIG!$D$19)))</f>
        <v/>
      </c>
      <c r="M208" s="20" t="str">
        <f aca="false">IF(K208="","",IF(K208&gt;=CONFIG!$E$21,CONFIG!$F$21,IF(K208&gt;=CONFIG!$E$20,CONFIG!$F$20,CONFIG!$F$19)))</f>
        <v/>
      </c>
      <c r="N208" s="19" t="str">
        <f aca="false">IF(I208="","",IF(I208&lt;=M208,"OK","ALTA"))</f>
        <v/>
      </c>
      <c r="O208" s="13"/>
    </row>
    <row r="209" customFormat="false" ht="15" hidden="false" customHeight="false" outlineLevel="0" collapsed="false">
      <c r="A209" s="11" t="str">
        <f aca="false">IF(C209="","",ROW()-4)</f>
        <v/>
      </c>
      <c r="B209" s="12"/>
      <c r="C209" s="13"/>
      <c r="D209" s="11" t="str">
        <f aca="false">IF(C209="","",IFERROR(INDEX(LOTES!$D$5:$D$1004,MATCH(C209,LOTES!$F$5:$F$1004,0)),"¿Lote?"))</f>
        <v/>
      </c>
      <c r="E209" s="11" t="str">
        <f aca="false">IF(C209="","",IFERROR(INDEX(LOTES!$C$5:$C$1004,MATCH(C209,LOTES!$F$5:$F$1004,0)),""))</f>
        <v/>
      </c>
      <c r="F209" s="27"/>
      <c r="G209" s="27"/>
      <c r="H209" s="27"/>
      <c r="I209" s="20" t="str">
        <f aca="false">IF(AND(ISNUMBER(F209),ISNUMBER(G209),ISNUMBER(H209),F209&gt;G209,H209&gt;0),(F209-H209)/(F209-G209)*1000,"")</f>
        <v/>
      </c>
      <c r="J209" s="17" t="str">
        <f aca="false">IF(AND(ISNUMBER(F209),ISNUMBER(G209),ISNUMBER(H209),F209&gt;G209,H209&gt;0),(F209-H209)/H209,"")</f>
        <v/>
      </c>
      <c r="K209" s="20" t="str">
        <f aca="false">IF(AND(ISNUMBER(F209),ISNUMBER(G209),ISNUMBER(H209),F209&gt;G209,H209&gt;0),H209/(F209-G209)*1000,"")</f>
        <v/>
      </c>
      <c r="L209" s="11" t="str">
        <f aca="false">IF(K209="","",IF(K209&gt;=CONFIG!$E$21,CONFIG!$D$21,IF(K209&gt;=CONFIG!$E$20,CONFIG!$D$20,CONFIG!$D$19)))</f>
        <v/>
      </c>
      <c r="M209" s="20" t="str">
        <f aca="false">IF(K209="","",IF(K209&gt;=CONFIG!$E$21,CONFIG!$F$21,IF(K209&gt;=CONFIG!$E$20,CONFIG!$F$20,CONFIG!$F$19)))</f>
        <v/>
      </c>
      <c r="N209" s="19" t="str">
        <f aca="false">IF(I209="","",IF(I209&lt;=M209,"OK","ALTA"))</f>
        <v/>
      </c>
      <c r="O209" s="13"/>
    </row>
    <row r="210" customFormat="false" ht="15" hidden="false" customHeight="false" outlineLevel="0" collapsed="false">
      <c r="A210" s="11" t="str">
        <f aca="false">IF(C210="","",ROW()-4)</f>
        <v/>
      </c>
      <c r="B210" s="12"/>
      <c r="C210" s="13"/>
      <c r="D210" s="11" t="str">
        <f aca="false">IF(C210="","",IFERROR(INDEX(LOTES!$D$5:$D$1004,MATCH(C210,LOTES!$F$5:$F$1004,0)),"¿Lote?"))</f>
        <v/>
      </c>
      <c r="E210" s="11" t="str">
        <f aca="false">IF(C210="","",IFERROR(INDEX(LOTES!$C$5:$C$1004,MATCH(C210,LOTES!$F$5:$F$1004,0)),""))</f>
        <v/>
      </c>
      <c r="F210" s="27"/>
      <c r="G210" s="27"/>
      <c r="H210" s="27"/>
      <c r="I210" s="20" t="str">
        <f aca="false">IF(AND(ISNUMBER(F210),ISNUMBER(G210),ISNUMBER(H210),F210&gt;G210,H210&gt;0),(F210-H210)/(F210-G210)*1000,"")</f>
        <v/>
      </c>
      <c r="J210" s="17" t="str">
        <f aca="false">IF(AND(ISNUMBER(F210),ISNUMBER(G210),ISNUMBER(H210),F210&gt;G210,H210&gt;0),(F210-H210)/H210,"")</f>
        <v/>
      </c>
      <c r="K210" s="20" t="str">
        <f aca="false">IF(AND(ISNUMBER(F210),ISNUMBER(G210),ISNUMBER(H210),F210&gt;G210,H210&gt;0),H210/(F210-G210)*1000,"")</f>
        <v/>
      </c>
      <c r="L210" s="11" t="str">
        <f aca="false">IF(K210="","",IF(K210&gt;=CONFIG!$E$21,CONFIG!$D$21,IF(K210&gt;=CONFIG!$E$20,CONFIG!$D$20,CONFIG!$D$19)))</f>
        <v/>
      </c>
      <c r="M210" s="20" t="str">
        <f aca="false">IF(K210="","",IF(K210&gt;=CONFIG!$E$21,CONFIG!$F$21,IF(K210&gt;=CONFIG!$E$20,CONFIG!$F$20,CONFIG!$F$19)))</f>
        <v/>
      </c>
      <c r="N210" s="19" t="str">
        <f aca="false">IF(I210="","",IF(I210&lt;=M210,"OK","ALTA"))</f>
        <v/>
      </c>
      <c r="O210" s="13"/>
    </row>
    <row r="211" customFormat="false" ht="15" hidden="false" customHeight="false" outlineLevel="0" collapsed="false">
      <c r="A211" s="11" t="str">
        <f aca="false">IF(C211="","",ROW()-4)</f>
        <v/>
      </c>
      <c r="B211" s="12"/>
      <c r="C211" s="13"/>
      <c r="D211" s="11" t="str">
        <f aca="false">IF(C211="","",IFERROR(INDEX(LOTES!$D$5:$D$1004,MATCH(C211,LOTES!$F$5:$F$1004,0)),"¿Lote?"))</f>
        <v/>
      </c>
      <c r="E211" s="11" t="str">
        <f aca="false">IF(C211="","",IFERROR(INDEX(LOTES!$C$5:$C$1004,MATCH(C211,LOTES!$F$5:$F$1004,0)),""))</f>
        <v/>
      </c>
      <c r="F211" s="27"/>
      <c r="G211" s="27"/>
      <c r="H211" s="27"/>
      <c r="I211" s="20" t="str">
        <f aca="false">IF(AND(ISNUMBER(F211),ISNUMBER(G211),ISNUMBER(H211),F211&gt;G211,H211&gt;0),(F211-H211)/(F211-G211)*1000,"")</f>
        <v/>
      </c>
      <c r="J211" s="17" t="str">
        <f aca="false">IF(AND(ISNUMBER(F211),ISNUMBER(G211),ISNUMBER(H211),F211&gt;G211,H211&gt;0),(F211-H211)/H211,"")</f>
        <v/>
      </c>
      <c r="K211" s="20" t="str">
        <f aca="false">IF(AND(ISNUMBER(F211),ISNUMBER(G211),ISNUMBER(H211),F211&gt;G211,H211&gt;0),H211/(F211-G211)*1000,"")</f>
        <v/>
      </c>
      <c r="L211" s="11" t="str">
        <f aca="false">IF(K211="","",IF(K211&gt;=CONFIG!$E$21,CONFIG!$D$21,IF(K211&gt;=CONFIG!$E$20,CONFIG!$D$20,CONFIG!$D$19)))</f>
        <v/>
      </c>
      <c r="M211" s="20" t="str">
        <f aca="false">IF(K211="","",IF(K211&gt;=CONFIG!$E$21,CONFIG!$F$21,IF(K211&gt;=CONFIG!$E$20,CONFIG!$F$20,CONFIG!$F$19)))</f>
        <v/>
      </c>
      <c r="N211" s="19" t="str">
        <f aca="false">IF(I211="","",IF(I211&lt;=M211,"OK","ALTA"))</f>
        <v/>
      </c>
      <c r="O211" s="13"/>
    </row>
    <row r="212" customFormat="false" ht="15" hidden="false" customHeight="false" outlineLevel="0" collapsed="false">
      <c r="A212" s="11" t="str">
        <f aca="false">IF(C212="","",ROW()-4)</f>
        <v/>
      </c>
      <c r="B212" s="12"/>
      <c r="C212" s="13"/>
      <c r="D212" s="11" t="str">
        <f aca="false">IF(C212="","",IFERROR(INDEX(LOTES!$D$5:$D$1004,MATCH(C212,LOTES!$F$5:$F$1004,0)),"¿Lote?"))</f>
        <v/>
      </c>
      <c r="E212" s="11" t="str">
        <f aca="false">IF(C212="","",IFERROR(INDEX(LOTES!$C$5:$C$1004,MATCH(C212,LOTES!$F$5:$F$1004,0)),""))</f>
        <v/>
      </c>
      <c r="F212" s="27"/>
      <c r="G212" s="27"/>
      <c r="H212" s="27"/>
      <c r="I212" s="20" t="str">
        <f aca="false">IF(AND(ISNUMBER(F212),ISNUMBER(G212),ISNUMBER(H212),F212&gt;G212,H212&gt;0),(F212-H212)/(F212-G212)*1000,"")</f>
        <v/>
      </c>
      <c r="J212" s="17" t="str">
        <f aca="false">IF(AND(ISNUMBER(F212),ISNUMBER(G212),ISNUMBER(H212),F212&gt;G212,H212&gt;0),(F212-H212)/H212,"")</f>
        <v/>
      </c>
      <c r="K212" s="20" t="str">
        <f aca="false">IF(AND(ISNUMBER(F212),ISNUMBER(G212),ISNUMBER(H212),F212&gt;G212,H212&gt;0),H212/(F212-G212)*1000,"")</f>
        <v/>
      </c>
      <c r="L212" s="11" t="str">
        <f aca="false">IF(K212="","",IF(K212&gt;=CONFIG!$E$21,CONFIG!$D$21,IF(K212&gt;=CONFIG!$E$20,CONFIG!$D$20,CONFIG!$D$19)))</f>
        <v/>
      </c>
      <c r="M212" s="20" t="str">
        <f aca="false">IF(K212="","",IF(K212&gt;=CONFIG!$E$21,CONFIG!$F$21,IF(K212&gt;=CONFIG!$E$20,CONFIG!$F$20,CONFIG!$F$19)))</f>
        <v/>
      </c>
      <c r="N212" s="19" t="str">
        <f aca="false">IF(I212="","",IF(I212&lt;=M212,"OK","ALTA"))</f>
        <v/>
      </c>
      <c r="O212" s="13"/>
    </row>
    <row r="213" customFormat="false" ht="15" hidden="false" customHeight="false" outlineLevel="0" collapsed="false">
      <c r="A213" s="11" t="str">
        <f aca="false">IF(C213="","",ROW()-4)</f>
        <v/>
      </c>
      <c r="B213" s="12"/>
      <c r="C213" s="13"/>
      <c r="D213" s="11" t="str">
        <f aca="false">IF(C213="","",IFERROR(INDEX(LOTES!$D$5:$D$1004,MATCH(C213,LOTES!$F$5:$F$1004,0)),"¿Lote?"))</f>
        <v/>
      </c>
      <c r="E213" s="11" t="str">
        <f aca="false">IF(C213="","",IFERROR(INDEX(LOTES!$C$5:$C$1004,MATCH(C213,LOTES!$F$5:$F$1004,0)),""))</f>
        <v/>
      </c>
      <c r="F213" s="27"/>
      <c r="G213" s="27"/>
      <c r="H213" s="27"/>
      <c r="I213" s="20" t="str">
        <f aca="false">IF(AND(ISNUMBER(F213),ISNUMBER(G213),ISNUMBER(H213),F213&gt;G213,H213&gt;0),(F213-H213)/(F213-G213)*1000,"")</f>
        <v/>
      </c>
      <c r="J213" s="17" t="str">
        <f aca="false">IF(AND(ISNUMBER(F213),ISNUMBER(G213),ISNUMBER(H213),F213&gt;G213,H213&gt;0),(F213-H213)/H213,"")</f>
        <v/>
      </c>
      <c r="K213" s="20" t="str">
        <f aca="false">IF(AND(ISNUMBER(F213),ISNUMBER(G213),ISNUMBER(H213),F213&gt;G213,H213&gt;0),H213/(F213-G213)*1000,"")</f>
        <v/>
      </c>
      <c r="L213" s="11" t="str">
        <f aca="false">IF(K213="","",IF(K213&gt;=CONFIG!$E$21,CONFIG!$D$21,IF(K213&gt;=CONFIG!$E$20,CONFIG!$D$20,CONFIG!$D$19)))</f>
        <v/>
      </c>
      <c r="M213" s="20" t="str">
        <f aca="false">IF(K213="","",IF(K213&gt;=CONFIG!$E$21,CONFIG!$F$21,IF(K213&gt;=CONFIG!$E$20,CONFIG!$F$20,CONFIG!$F$19)))</f>
        <v/>
      </c>
      <c r="N213" s="19" t="str">
        <f aca="false">IF(I213="","",IF(I213&lt;=M213,"OK","ALTA"))</f>
        <v/>
      </c>
      <c r="O213" s="13"/>
    </row>
    <row r="214" customFormat="false" ht="15" hidden="false" customHeight="false" outlineLevel="0" collapsed="false">
      <c r="A214" s="11" t="str">
        <f aca="false">IF(C214="","",ROW()-4)</f>
        <v/>
      </c>
      <c r="B214" s="12"/>
      <c r="C214" s="13"/>
      <c r="D214" s="11" t="str">
        <f aca="false">IF(C214="","",IFERROR(INDEX(LOTES!$D$5:$D$1004,MATCH(C214,LOTES!$F$5:$F$1004,0)),"¿Lote?"))</f>
        <v/>
      </c>
      <c r="E214" s="11" t="str">
        <f aca="false">IF(C214="","",IFERROR(INDEX(LOTES!$C$5:$C$1004,MATCH(C214,LOTES!$F$5:$F$1004,0)),""))</f>
        <v/>
      </c>
      <c r="F214" s="27"/>
      <c r="G214" s="27"/>
      <c r="H214" s="27"/>
      <c r="I214" s="20" t="str">
        <f aca="false">IF(AND(ISNUMBER(F214),ISNUMBER(G214),ISNUMBER(H214),F214&gt;G214,H214&gt;0),(F214-H214)/(F214-G214)*1000,"")</f>
        <v/>
      </c>
      <c r="J214" s="17" t="str">
        <f aca="false">IF(AND(ISNUMBER(F214),ISNUMBER(G214),ISNUMBER(H214),F214&gt;G214,H214&gt;0),(F214-H214)/H214,"")</f>
        <v/>
      </c>
      <c r="K214" s="20" t="str">
        <f aca="false">IF(AND(ISNUMBER(F214),ISNUMBER(G214),ISNUMBER(H214),F214&gt;G214,H214&gt;0),H214/(F214-G214)*1000,"")</f>
        <v/>
      </c>
      <c r="L214" s="11" t="str">
        <f aca="false">IF(K214="","",IF(K214&gt;=CONFIG!$E$21,CONFIG!$D$21,IF(K214&gt;=CONFIG!$E$20,CONFIG!$D$20,CONFIG!$D$19)))</f>
        <v/>
      </c>
      <c r="M214" s="20" t="str">
        <f aca="false">IF(K214="","",IF(K214&gt;=CONFIG!$E$21,CONFIG!$F$21,IF(K214&gt;=CONFIG!$E$20,CONFIG!$F$20,CONFIG!$F$19)))</f>
        <v/>
      </c>
      <c r="N214" s="19" t="str">
        <f aca="false">IF(I214="","",IF(I214&lt;=M214,"OK","ALTA"))</f>
        <v/>
      </c>
      <c r="O214" s="13"/>
    </row>
    <row r="215" customFormat="false" ht="15" hidden="false" customHeight="false" outlineLevel="0" collapsed="false">
      <c r="A215" s="11" t="str">
        <f aca="false">IF(C215="","",ROW()-4)</f>
        <v/>
      </c>
      <c r="B215" s="12"/>
      <c r="C215" s="13"/>
      <c r="D215" s="11" t="str">
        <f aca="false">IF(C215="","",IFERROR(INDEX(LOTES!$D$5:$D$1004,MATCH(C215,LOTES!$F$5:$F$1004,0)),"¿Lote?"))</f>
        <v/>
      </c>
      <c r="E215" s="11" t="str">
        <f aca="false">IF(C215="","",IFERROR(INDEX(LOTES!$C$5:$C$1004,MATCH(C215,LOTES!$F$5:$F$1004,0)),""))</f>
        <v/>
      </c>
      <c r="F215" s="27"/>
      <c r="G215" s="27"/>
      <c r="H215" s="27"/>
      <c r="I215" s="20" t="str">
        <f aca="false">IF(AND(ISNUMBER(F215),ISNUMBER(G215),ISNUMBER(H215),F215&gt;G215,H215&gt;0),(F215-H215)/(F215-G215)*1000,"")</f>
        <v/>
      </c>
      <c r="J215" s="17" t="str">
        <f aca="false">IF(AND(ISNUMBER(F215),ISNUMBER(G215),ISNUMBER(H215),F215&gt;G215,H215&gt;0),(F215-H215)/H215,"")</f>
        <v/>
      </c>
      <c r="K215" s="20" t="str">
        <f aca="false">IF(AND(ISNUMBER(F215),ISNUMBER(G215),ISNUMBER(H215),F215&gt;G215,H215&gt;0),H215/(F215-G215)*1000,"")</f>
        <v/>
      </c>
      <c r="L215" s="11" t="str">
        <f aca="false">IF(K215="","",IF(K215&gt;=CONFIG!$E$21,CONFIG!$D$21,IF(K215&gt;=CONFIG!$E$20,CONFIG!$D$20,CONFIG!$D$19)))</f>
        <v/>
      </c>
      <c r="M215" s="20" t="str">
        <f aca="false">IF(K215="","",IF(K215&gt;=CONFIG!$E$21,CONFIG!$F$21,IF(K215&gt;=CONFIG!$E$20,CONFIG!$F$20,CONFIG!$F$19)))</f>
        <v/>
      </c>
      <c r="N215" s="19" t="str">
        <f aca="false">IF(I215="","",IF(I215&lt;=M215,"OK","ALTA"))</f>
        <v/>
      </c>
      <c r="O215" s="13"/>
    </row>
    <row r="216" customFormat="false" ht="15" hidden="false" customHeight="false" outlineLevel="0" collapsed="false">
      <c r="A216" s="11" t="str">
        <f aca="false">IF(C216="","",ROW()-4)</f>
        <v/>
      </c>
      <c r="B216" s="12"/>
      <c r="C216" s="13"/>
      <c r="D216" s="11" t="str">
        <f aca="false">IF(C216="","",IFERROR(INDEX(LOTES!$D$5:$D$1004,MATCH(C216,LOTES!$F$5:$F$1004,0)),"¿Lote?"))</f>
        <v/>
      </c>
      <c r="E216" s="11" t="str">
        <f aca="false">IF(C216="","",IFERROR(INDEX(LOTES!$C$5:$C$1004,MATCH(C216,LOTES!$F$5:$F$1004,0)),""))</f>
        <v/>
      </c>
      <c r="F216" s="27"/>
      <c r="G216" s="27"/>
      <c r="H216" s="27"/>
      <c r="I216" s="20" t="str">
        <f aca="false">IF(AND(ISNUMBER(F216),ISNUMBER(G216),ISNUMBER(H216),F216&gt;G216,H216&gt;0),(F216-H216)/(F216-G216)*1000,"")</f>
        <v/>
      </c>
      <c r="J216" s="17" t="str">
        <f aca="false">IF(AND(ISNUMBER(F216),ISNUMBER(G216),ISNUMBER(H216),F216&gt;G216,H216&gt;0),(F216-H216)/H216,"")</f>
        <v/>
      </c>
      <c r="K216" s="20" t="str">
        <f aca="false">IF(AND(ISNUMBER(F216),ISNUMBER(G216),ISNUMBER(H216),F216&gt;G216,H216&gt;0),H216/(F216-G216)*1000,"")</f>
        <v/>
      </c>
      <c r="L216" s="11" t="str">
        <f aca="false">IF(K216="","",IF(K216&gt;=CONFIG!$E$21,CONFIG!$D$21,IF(K216&gt;=CONFIG!$E$20,CONFIG!$D$20,CONFIG!$D$19)))</f>
        <v/>
      </c>
      <c r="M216" s="20" t="str">
        <f aca="false">IF(K216="","",IF(K216&gt;=CONFIG!$E$21,CONFIG!$F$21,IF(K216&gt;=CONFIG!$E$20,CONFIG!$F$20,CONFIG!$F$19)))</f>
        <v/>
      </c>
      <c r="N216" s="19" t="str">
        <f aca="false">IF(I216="","",IF(I216&lt;=M216,"OK","ALTA"))</f>
        <v/>
      </c>
      <c r="O216" s="13"/>
    </row>
    <row r="217" customFormat="false" ht="15" hidden="false" customHeight="false" outlineLevel="0" collapsed="false">
      <c r="A217" s="11" t="str">
        <f aca="false">IF(C217="","",ROW()-4)</f>
        <v/>
      </c>
      <c r="B217" s="12"/>
      <c r="C217" s="13"/>
      <c r="D217" s="11" t="str">
        <f aca="false">IF(C217="","",IFERROR(INDEX(LOTES!$D$5:$D$1004,MATCH(C217,LOTES!$F$5:$F$1004,0)),"¿Lote?"))</f>
        <v/>
      </c>
      <c r="E217" s="11" t="str">
        <f aca="false">IF(C217="","",IFERROR(INDEX(LOTES!$C$5:$C$1004,MATCH(C217,LOTES!$F$5:$F$1004,0)),""))</f>
        <v/>
      </c>
      <c r="F217" s="27"/>
      <c r="G217" s="27"/>
      <c r="H217" s="27"/>
      <c r="I217" s="20" t="str">
        <f aca="false">IF(AND(ISNUMBER(F217),ISNUMBER(G217),ISNUMBER(H217),F217&gt;G217,H217&gt;0),(F217-H217)/(F217-G217)*1000,"")</f>
        <v/>
      </c>
      <c r="J217" s="17" t="str">
        <f aca="false">IF(AND(ISNUMBER(F217),ISNUMBER(G217),ISNUMBER(H217),F217&gt;G217,H217&gt;0),(F217-H217)/H217,"")</f>
        <v/>
      </c>
      <c r="K217" s="20" t="str">
        <f aca="false">IF(AND(ISNUMBER(F217),ISNUMBER(G217),ISNUMBER(H217),F217&gt;G217,H217&gt;0),H217/(F217-G217)*1000,"")</f>
        <v/>
      </c>
      <c r="L217" s="11" t="str">
        <f aca="false">IF(K217="","",IF(K217&gt;=CONFIG!$E$21,CONFIG!$D$21,IF(K217&gt;=CONFIG!$E$20,CONFIG!$D$20,CONFIG!$D$19)))</f>
        <v/>
      </c>
      <c r="M217" s="20" t="str">
        <f aca="false">IF(K217="","",IF(K217&gt;=CONFIG!$E$21,CONFIG!$F$21,IF(K217&gt;=CONFIG!$E$20,CONFIG!$F$20,CONFIG!$F$19)))</f>
        <v/>
      </c>
      <c r="N217" s="19" t="str">
        <f aca="false">IF(I217="","",IF(I217&lt;=M217,"OK","ALTA"))</f>
        <v/>
      </c>
      <c r="O217" s="13"/>
    </row>
    <row r="218" customFormat="false" ht="15" hidden="false" customHeight="false" outlineLevel="0" collapsed="false">
      <c r="A218" s="11" t="str">
        <f aca="false">IF(C218="","",ROW()-4)</f>
        <v/>
      </c>
      <c r="B218" s="12"/>
      <c r="C218" s="13"/>
      <c r="D218" s="11" t="str">
        <f aca="false">IF(C218="","",IFERROR(INDEX(LOTES!$D$5:$D$1004,MATCH(C218,LOTES!$F$5:$F$1004,0)),"¿Lote?"))</f>
        <v/>
      </c>
      <c r="E218" s="11" t="str">
        <f aca="false">IF(C218="","",IFERROR(INDEX(LOTES!$C$5:$C$1004,MATCH(C218,LOTES!$F$5:$F$1004,0)),""))</f>
        <v/>
      </c>
      <c r="F218" s="27"/>
      <c r="G218" s="27"/>
      <c r="H218" s="27"/>
      <c r="I218" s="20" t="str">
        <f aca="false">IF(AND(ISNUMBER(F218),ISNUMBER(G218),ISNUMBER(H218),F218&gt;G218,H218&gt;0),(F218-H218)/(F218-G218)*1000,"")</f>
        <v/>
      </c>
      <c r="J218" s="17" t="str">
        <f aca="false">IF(AND(ISNUMBER(F218),ISNUMBER(G218),ISNUMBER(H218),F218&gt;G218,H218&gt;0),(F218-H218)/H218,"")</f>
        <v/>
      </c>
      <c r="K218" s="20" t="str">
        <f aca="false">IF(AND(ISNUMBER(F218),ISNUMBER(G218),ISNUMBER(H218),F218&gt;G218,H218&gt;0),H218/(F218-G218)*1000,"")</f>
        <v/>
      </c>
      <c r="L218" s="11" t="str">
        <f aca="false">IF(K218="","",IF(K218&gt;=CONFIG!$E$21,CONFIG!$D$21,IF(K218&gt;=CONFIG!$E$20,CONFIG!$D$20,CONFIG!$D$19)))</f>
        <v/>
      </c>
      <c r="M218" s="20" t="str">
        <f aca="false">IF(K218="","",IF(K218&gt;=CONFIG!$E$21,CONFIG!$F$21,IF(K218&gt;=CONFIG!$E$20,CONFIG!$F$20,CONFIG!$F$19)))</f>
        <v/>
      </c>
      <c r="N218" s="19" t="str">
        <f aca="false">IF(I218="","",IF(I218&lt;=M218,"OK","ALTA"))</f>
        <v/>
      </c>
      <c r="O218" s="13"/>
    </row>
    <row r="219" customFormat="false" ht="15" hidden="false" customHeight="false" outlineLevel="0" collapsed="false">
      <c r="A219" s="11" t="str">
        <f aca="false">IF(C219="","",ROW()-4)</f>
        <v/>
      </c>
      <c r="B219" s="12"/>
      <c r="C219" s="13"/>
      <c r="D219" s="11" t="str">
        <f aca="false">IF(C219="","",IFERROR(INDEX(LOTES!$D$5:$D$1004,MATCH(C219,LOTES!$F$5:$F$1004,0)),"¿Lote?"))</f>
        <v/>
      </c>
      <c r="E219" s="11" t="str">
        <f aca="false">IF(C219="","",IFERROR(INDEX(LOTES!$C$5:$C$1004,MATCH(C219,LOTES!$F$5:$F$1004,0)),""))</f>
        <v/>
      </c>
      <c r="F219" s="27"/>
      <c r="G219" s="27"/>
      <c r="H219" s="27"/>
      <c r="I219" s="20" t="str">
        <f aca="false">IF(AND(ISNUMBER(F219),ISNUMBER(G219),ISNUMBER(H219),F219&gt;G219,H219&gt;0),(F219-H219)/(F219-G219)*1000,"")</f>
        <v/>
      </c>
      <c r="J219" s="17" t="str">
        <f aca="false">IF(AND(ISNUMBER(F219),ISNUMBER(G219),ISNUMBER(H219),F219&gt;G219,H219&gt;0),(F219-H219)/H219,"")</f>
        <v/>
      </c>
      <c r="K219" s="20" t="str">
        <f aca="false">IF(AND(ISNUMBER(F219),ISNUMBER(G219),ISNUMBER(H219),F219&gt;G219,H219&gt;0),H219/(F219-G219)*1000,"")</f>
        <v/>
      </c>
      <c r="L219" s="11" t="str">
        <f aca="false">IF(K219="","",IF(K219&gt;=CONFIG!$E$21,CONFIG!$D$21,IF(K219&gt;=CONFIG!$E$20,CONFIG!$D$20,CONFIG!$D$19)))</f>
        <v/>
      </c>
      <c r="M219" s="20" t="str">
        <f aca="false">IF(K219="","",IF(K219&gt;=CONFIG!$E$21,CONFIG!$F$21,IF(K219&gt;=CONFIG!$E$20,CONFIG!$F$20,CONFIG!$F$19)))</f>
        <v/>
      </c>
      <c r="N219" s="19" t="str">
        <f aca="false">IF(I219="","",IF(I219&lt;=M219,"OK","ALTA"))</f>
        <v/>
      </c>
      <c r="O219" s="13"/>
    </row>
    <row r="220" customFormat="false" ht="15" hidden="false" customHeight="false" outlineLevel="0" collapsed="false">
      <c r="A220" s="11" t="str">
        <f aca="false">IF(C220="","",ROW()-4)</f>
        <v/>
      </c>
      <c r="B220" s="12"/>
      <c r="C220" s="13"/>
      <c r="D220" s="11" t="str">
        <f aca="false">IF(C220="","",IFERROR(INDEX(LOTES!$D$5:$D$1004,MATCH(C220,LOTES!$F$5:$F$1004,0)),"¿Lote?"))</f>
        <v/>
      </c>
      <c r="E220" s="11" t="str">
        <f aca="false">IF(C220="","",IFERROR(INDEX(LOTES!$C$5:$C$1004,MATCH(C220,LOTES!$F$5:$F$1004,0)),""))</f>
        <v/>
      </c>
      <c r="F220" s="27"/>
      <c r="G220" s="27"/>
      <c r="H220" s="27"/>
      <c r="I220" s="20" t="str">
        <f aca="false">IF(AND(ISNUMBER(F220),ISNUMBER(G220),ISNUMBER(H220),F220&gt;G220,H220&gt;0),(F220-H220)/(F220-G220)*1000,"")</f>
        <v/>
      </c>
      <c r="J220" s="17" t="str">
        <f aca="false">IF(AND(ISNUMBER(F220),ISNUMBER(G220),ISNUMBER(H220),F220&gt;G220,H220&gt;0),(F220-H220)/H220,"")</f>
        <v/>
      </c>
      <c r="K220" s="20" t="str">
        <f aca="false">IF(AND(ISNUMBER(F220),ISNUMBER(G220),ISNUMBER(H220),F220&gt;G220,H220&gt;0),H220/(F220-G220)*1000,"")</f>
        <v/>
      </c>
      <c r="L220" s="11" t="str">
        <f aca="false">IF(K220="","",IF(K220&gt;=CONFIG!$E$21,CONFIG!$D$21,IF(K220&gt;=CONFIG!$E$20,CONFIG!$D$20,CONFIG!$D$19)))</f>
        <v/>
      </c>
      <c r="M220" s="20" t="str">
        <f aca="false">IF(K220="","",IF(K220&gt;=CONFIG!$E$21,CONFIG!$F$21,IF(K220&gt;=CONFIG!$E$20,CONFIG!$F$20,CONFIG!$F$19)))</f>
        <v/>
      </c>
      <c r="N220" s="19" t="str">
        <f aca="false">IF(I220="","",IF(I220&lt;=M220,"OK","ALTA"))</f>
        <v/>
      </c>
      <c r="O220" s="13"/>
    </row>
    <row r="221" customFormat="false" ht="15" hidden="false" customHeight="false" outlineLevel="0" collapsed="false">
      <c r="A221" s="11" t="str">
        <f aca="false">IF(C221="","",ROW()-4)</f>
        <v/>
      </c>
      <c r="B221" s="12"/>
      <c r="C221" s="13"/>
      <c r="D221" s="11" t="str">
        <f aca="false">IF(C221="","",IFERROR(INDEX(LOTES!$D$5:$D$1004,MATCH(C221,LOTES!$F$5:$F$1004,0)),"¿Lote?"))</f>
        <v/>
      </c>
      <c r="E221" s="11" t="str">
        <f aca="false">IF(C221="","",IFERROR(INDEX(LOTES!$C$5:$C$1004,MATCH(C221,LOTES!$F$5:$F$1004,0)),""))</f>
        <v/>
      </c>
      <c r="F221" s="27"/>
      <c r="G221" s="27"/>
      <c r="H221" s="27"/>
      <c r="I221" s="20" t="str">
        <f aca="false">IF(AND(ISNUMBER(F221),ISNUMBER(G221),ISNUMBER(H221),F221&gt;G221,H221&gt;0),(F221-H221)/(F221-G221)*1000,"")</f>
        <v/>
      </c>
      <c r="J221" s="17" t="str">
        <f aca="false">IF(AND(ISNUMBER(F221),ISNUMBER(G221),ISNUMBER(H221),F221&gt;G221,H221&gt;0),(F221-H221)/H221,"")</f>
        <v/>
      </c>
      <c r="K221" s="20" t="str">
        <f aca="false">IF(AND(ISNUMBER(F221),ISNUMBER(G221),ISNUMBER(H221),F221&gt;G221,H221&gt;0),H221/(F221-G221)*1000,"")</f>
        <v/>
      </c>
      <c r="L221" s="11" t="str">
        <f aca="false">IF(K221="","",IF(K221&gt;=CONFIG!$E$21,CONFIG!$D$21,IF(K221&gt;=CONFIG!$E$20,CONFIG!$D$20,CONFIG!$D$19)))</f>
        <v/>
      </c>
      <c r="M221" s="20" t="str">
        <f aca="false">IF(K221="","",IF(K221&gt;=CONFIG!$E$21,CONFIG!$F$21,IF(K221&gt;=CONFIG!$E$20,CONFIG!$F$20,CONFIG!$F$19)))</f>
        <v/>
      </c>
      <c r="N221" s="19" t="str">
        <f aca="false">IF(I221="","",IF(I221&lt;=M221,"OK","ALTA"))</f>
        <v/>
      </c>
      <c r="O221" s="13"/>
    </row>
    <row r="222" customFormat="false" ht="15" hidden="false" customHeight="false" outlineLevel="0" collapsed="false">
      <c r="A222" s="11" t="str">
        <f aca="false">IF(C222="","",ROW()-4)</f>
        <v/>
      </c>
      <c r="B222" s="12"/>
      <c r="C222" s="13"/>
      <c r="D222" s="11" t="str">
        <f aca="false">IF(C222="","",IFERROR(INDEX(LOTES!$D$5:$D$1004,MATCH(C222,LOTES!$F$5:$F$1004,0)),"¿Lote?"))</f>
        <v/>
      </c>
      <c r="E222" s="11" t="str">
        <f aca="false">IF(C222="","",IFERROR(INDEX(LOTES!$C$5:$C$1004,MATCH(C222,LOTES!$F$5:$F$1004,0)),""))</f>
        <v/>
      </c>
      <c r="F222" s="27"/>
      <c r="G222" s="27"/>
      <c r="H222" s="27"/>
      <c r="I222" s="20" t="str">
        <f aca="false">IF(AND(ISNUMBER(F222),ISNUMBER(G222),ISNUMBER(H222),F222&gt;G222,H222&gt;0),(F222-H222)/(F222-G222)*1000,"")</f>
        <v/>
      </c>
      <c r="J222" s="17" t="str">
        <f aca="false">IF(AND(ISNUMBER(F222),ISNUMBER(G222),ISNUMBER(H222),F222&gt;G222,H222&gt;0),(F222-H222)/H222,"")</f>
        <v/>
      </c>
      <c r="K222" s="20" t="str">
        <f aca="false">IF(AND(ISNUMBER(F222),ISNUMBER(G222),ISNUMBER(H222),F222&gt;G222,H222&gt;0),H222/(F222-G222)*1000,"")</f>
        <v/>
      </c>
      <c r="L222" s="11" t="str">
        <f aca="false">IF(K222="","",IF(K222&gt;=CONFIG!$E$21,CONFIG!$D$21,IF(K222&gt;=CONFIG!$E$20,CONFIG!$D$20,CONFIG!$D$19)))</f>
        <v/>
      </c>
      <c r="M222" s="20" t="str">
        <f aca="false">IF(K222="","",IF(K222&gt;=CONFIG!$E$21,CONFIG!$F$21,IF(K222&gt;=CONFIG!$E$20,CONFIG!$F$20,CONFIG!$F$19)))</f>
        <v/>
      </c>
      <c r="N222" s="19" t="str">
        <f aca="false">IF(I222="","",IF(I222&lt;=M222,"OK","ALTA"))</f>
        <v/>
      </c>
      <c r="O222" s="13"/>
    </row>
    <row r="223" customFormat="false" ht="15" hidden="false" customHeight="false" outlineLevel="0" collapsed="false">
      <c r="A223" s="11" t="str">
        <f aca="false">IF(C223="","",ROW()-4)</f>
        <v/>
      </c>
      <c r="B223" s="12"/>
      <c r="C223" s="13"/>
      <c r="D223" s="11" t="str">
        <f aca="false">IF(C223="","",IFERROR(INDEX(LOTES!$D$5:$D$1004,MATCH(C223,LOTES!$F$5:$F$1004,0)),"¿Lote?"))</f>
        <v/>
      </c>
      <c r="E223" s="11" t="str">
        <f aca="false">IF(C223="","",IFERROR(INDEX(LOTES!$C$5:$C$1004,MATCH(C223,LOTES!$F$5:$F$1004,0)),""))</f>
        <v/>
      </c>
      <c r="F223" s="27"/>
      <c r="G223" s="27"/>
      <c r="H223" s="27"/>
      <c r="I223" s="20" t="str">
        <f aca="false">IF(AND(ISNUMBER(F223),ISNUMBER(G223),ISNUMBER(H223),F223&gt;G223,H223&gt;0),(F223-H223)/(F223-G223)*1000,"")</f>
        <v/>
      </c>
      <c r="J223" s="17" t="str">
        <f aca="false">IF(AND(ISNUMBER(F223),ISNUMBER(G223),ISNUMBER(H223),F223&gt;G223,H223&gt;0),(F223-H223)/H223,"")</f>
        <v/>
      </c>
      <c r="K223" s="20" t="str">
        <f aca="false">IF(AND(ISNUMBER(F223),ISNUMBER(G223),ISNUMBER(H223),F223&gt;G223,H223&gt;0),H223/(F223-G223)*1000,"")</f>
        <v/>
      </c>
      <c r="L223" s="11" t="str">
        <f aca="false">IF(K223="","",IF(K223&gt;=CONFIG!$E$21,CONFIG!$D$21,IF(K223&gt;=CONFIG!$E$20,CONFIG!$D$20,CONFIG!$D$19)))</f>
        <v/>
      </c>
      <c r="M223" s="20" t="str">
        <f aca="false">IF(K223="","",IF(K223&gt;=CONFIG!$E$21,CONFIG!$F$21,IF(K223&gt;=CONFIG!$E$20,CONFIG!$F$20,CONFIG!$F$19)))</f>
        <v/>
      </c>
      <c r="N223" s="19" t="str">
        <f aca="false">IF(I223="","",IF(I223&lt;=M223,"OK","ALTA"))</f>
        <v/>
      </c>
      <c r="O223" s="13"/>
    </row>
    <row r="224" customFormat="false" ht="15" hidden="false" customHeight="false" outlineLevel="0" collapsed="false">
      <c r="A224" s="11" t="str">
        <f aca="false">IF(C224="","",ROW()-4)</f>
        <v/>
      </c>
      <c r="B224" s="12"/>
      <c r="C224" s="13"/>
      <c r="D224" s="11" t="str">
        <f aca="false">IF(C224="","",IFERROR(INDEX(LOTES!$D$5:$D$1004,MATCH(C224,LOTES!$F$5:$F$1004,0)),"¿Lote?"))</f>
        <v/>
      </c>
      <c r="E224" s="11" t="str">
        <f aca="false">IF(C224="","",IFERROR(INDEX(LOTES!$C$5:$C$1004,MATCH(C224,LOTES!$F$5:$F$1004,0)),""))</f>
        <v/>
      </c>
      <c r="F224" s="27"/>
      <c r="G224" s="27"/>
      <c r="H224" s="27"/>
      <c r="I224" s="20" t="str">
        <f aca="false">IF(AND(ISNUMBER(F224),ISNUMBER(G224),ISNUMBER(H224),F224&gt;G224,H224&gt;0),(F224-H224)/(F224-G224)*1000,"")</f>
        <v/>
      </c>
      <c r="J224" s="17" t="str">
        <f aca="false">IF(AND(ISNUMBER(F224),ISNUMBER(G224),ISNUMBER(H224),F224&gt;G224,H224&gt;0),(F224-H224)/H224,"")</f>
        <v/>
      </c>
      <c r="K224" s="20" t="str">
        <f aca="false">IF(AND(ISNUMBER(F224),ISNUMBER(G224),ISNUMBER(H224),F224&gt;G224,H224&gt;0),H224/(F224-G224)*1000,"")</f>
        <v/>
      </c>
      <c r="L224" s="11" t="str">
        <f aca="false">IF(K224="","",IF(K224&gt;=CONFIG!$E$21,CONFIG!$D$21,IF(K224&gt;=CONFIG!$E$20,CONFIG!$D$20,CONFIG!$D$19)))</f>
        <v/>
      </c>
      <c r="M224" s="20" t="str">
        <f aca="false">IF(K224="","",IF(K224&gt;=CONFIG!$E$21,CONFIG!$F$21,IF(K224&gt;=CONFIG!$E$20,CONFIG!$F$20,CONFIG!$F$19)))</f>
        <v/>
      </c>
      <c r="N224" s="19" t="str">
        <f aca="false">IF(I224="","",IF(I224&lt;=M224,"OK","ALTA"))</f>
        <v/>
      </c>
      <c r="O224" s="13"/>
    </row>
    <row r="225" customFormat="false" ht="15" hidden="false" customHeight="false" outlineLevel="0" collapsed="false">
      <c r="A225" s="11" t="str">
        <f aca="false">IF(C225="","",ROW()-4)</f>
        <v/>
      </c>
      <c r="B225" s="12"/>
      <c r="C225" s="13"/>
      <c r="D225" s="11" t="str">
        <f aca="false">IF(C225="","",IFERROR(INDEX(LOTES!$D$5:$D$1004,MATCH(C225,LOTES!$F$5:$F$1004,0)),"¿Lote?"))</f>
        <v/>
      </c>
      <c r="E225" s="11" t="str">
        <f aca="false">IF(C225="","",IFERROR(INDEX(LOTES!$C$5:$C$1004,MATCH(C225,LOTES!$F$5:$F$1004,0)),""))</f>
        <v/>
      </c>
      <c r="F225" s="27"/>
      <c r="G225" s="27"/>
      <c r="H225" s="27"/>
      <c r="I225" s="20" t="str">
        <f aca="false">IF(AND(ISNUMBER(F225),ISNUMBER(G225),ISNUMBER(H225),F225&gt;G225,H225&gt;0),(F225-H225)/(F225-G225)*1000,"")</f>
        <v/>
      </c>
      <c r="J225" s="17" t="str">
        <f aca="false">IF(AND(ISNUMBER(F225),ISNUMBER(G225),ISNUMBER(H225),F225&gt;G225,H225&gt;0),(F225-H225)/H225,"")</f>
        <v/>
      </c>
      <c r="K225" s="20" t="str">
        <f aca="false">IF(AND(ISNUMBER(F225),ISNUMBER(G225),ISNUMBER(H225),F225&gt;G225,H225&gt;0),H225/(F225-G225)*1000,"")</f>
        <v/>
      </c>
      <c r="L225" s="11" t="str">
        <f aca="false">IF(K225="","",IF(K225&gt;=CONFIG!$E$21,CONFIG!$D$21,IF(K225&gt;=CONFIG!$E$20,CONFIG!$D$20,CONFIG!$D$19)))</f>
        <v/>
      </c>
      <c r="M225" s="20" t="str">
        <f aca="false">IF(K225="","",IF(K225&gt;=CONFIG!$E$21,CONFIG!$F$21,IF(K225&gt;=CONFIG!$E$20,CONFIG!$F$20,CONFIG!$F$19)))</f>
        <v/>
      </c>
      <c r="N225" s="19" t="str">
        <f aca="false">IF(I225="","",IF(I225&lt;=M225,"OK","ALTA"))</f>
        <v/>
      </c>
      <c r="O225" s="13"/>
    </row>
    <row r="226" customFormat="false" ht="15" hidden="false" customHeight="false" outlineLevel="0" collapsed="false">
      <c r="A226" s="11" t="str">
        <f aca="false">IF(C226="","",ROW()-4)</f>
        <v/>
      </c>
      <c r="B226" s="12"/>
      <c r="C226" s="13"/>
      <c r="D226" s="11" t="str">
        <f aca="false">IF(C226="","",IFERROR(INDEX(LOTES!$D$5:$D$1004,MATCH(C226,LOTES!$F$5:$F$1004,0)),"¿Lote?"))</f>
        <v/>
      </c>
      <c r="E226" s="11" t="str">
        <f aca="false">IF(C226="","",IFERROR(INDEX(LOTES!$C$5:$C$1004,MATCH(C226,LOTES!$F$5:$F$1004,0)),""))</f>
        <v/>
      </c>
      <c r="F226" s="27"/>
      <c r="G226" s="27"/>
      <c r="H226" s="27"/>
      <c r="I226" s="20" t="str">
        <f aca="false">IF(AND(ISNUMBER(F226),ISNUMBER(G226),ISNUMBER(H226),F226&gt;G226,H226&gt;0),(F226-H226)/(F226-G226)*1000,"")</f>
        <v/>
      </c>
      <c r="J226" s="17" t="str">
        <f aca="false">IF(AND(ISNUMBER(F226),ISNUMBER(G226),ISNUMBER(H226),F226&gt;G226,H226&gt;0),(F226-H226)/H226,"")</f>
        <v/>
      </c>
      <c r="K226" s="20" t="str">
        <f aca="false">IF(AND(ISNUMBER(F226),ISNUMBER(G226),ISNUMBER(H226),F226&gt;G226,H226&gt;0),H226/(F226-G226)*1000,"")</f>
        <v/>
      </c>
      <c r="L226" s="11" t="str">
        <f aca="false">IF(K226="","",IF(K226&gt;=CONFIG!$E$21,CONFIG!$D$21,IF(K226&gt;=CONFIG!$E$20,CONFIG!$D$20,CONFIG!$D$19)))</f>
        <v/>
      </c>
      <c r="M226" s="20" t="str">
        <f aca="false">IF(K226="","",IF(K226&gt;=CONFIG!$E$21,CONFIG!$F$21,IF(K226&gt;=CONFIG!$E$20,CONFIG!$F$20,CONFIG!$F$19)))</f>
        <v/>
      </c>
      <c r="N226" s="19" t="str">
        <f aca="false">IF(I226="","",IF(I226&lt;=M226,"OK","ALTA"))</f>
        <v/>
      </c>
      <c r="O226" s="13"/>
    </row>
    <row r="227" customFormat="false" ht="15" hidden="false" customHeight="false" outlineLevel="0" collapsed="false">
      <c r="A227" s="11" t="str">
        <f aca="false">IF(C227="","",ROW()-4)</f>
        <v/>
      </c>
      <c r="B227" s="12"/>
      <c r="C227" s="13"/>
      <c r="D227" s="11" t="str">
        <f aca="false">IF(C227="","",IFERROR(INDEX(LOTES!$D$5:$D$1004,MATCH(C227,LOTES!$F$5:$F$1004,0)),"¿Lote?"))</f>
        <v/>
      </c>
      <c r="E227" s="11" t="str">
        <f aca="false">IF(C227="","",IFERROR(INDEX(LOTES!$C$5:$C$1004,MATCH(C227,LOTES!$F$5:$F$1004,0)),""))</f>
        <v/>
      </c>
      <c r="F227" s="27"/>
      <c r="G227" s="27"/>
      <c r="H227" s="27"/>
      <c r="I227" s="20" t="str">
        <f aca="false">IF(AND(ISNUMBER(F227),ISNUMBER(G227),ISNUMBER(H227),F227&gt;G227,H227&gt;0),(F227-H227)/(F227-G227)*1000,"")</f>
        <v/>
      </c>
      <c r="J227" s="17" t="str">
        <f aca="false">IF(AND(ISNUMBER(F227),ISNUMBER(G227),ISNUMBER(H227),F227&gt;G227,H227&gt;0),(F227-H227)/H227,"")</f>
        <v/>
      </c>
      <c r="K227" s="20" t="str">
        <f aca="false">IF(AND(ISNUMBER(F227),ISNUMBER(G227),ISNUMBER(H227),F227&gt;G227,H227&gt;0),H227/(F227-G227)*1000,"")</f>
        <v/>
      </c>
      <c r="L227" s="11" t="str">
        <f aca="false">IF(K227="","",IF(K227&gt;=CONFIG!$E$21,CONFIG!$D$21,IF(K227&gt;=CONFIG!$E$20,CONFIG!$D$20,CONFIG!$D$19)))</f>
        <v/>
      </c>
      <c r="M227" s="20" t="str">
        <f aca="false">IF(K227="","",IF(K227&gt;=CONFIG!$E$21,CONFIG!$F$21,IF(K227&gt;=CONFIG!$E$20,CONFIG!$F$20,CONFIG!$F$19)))</f>
        <v/>
      </c>
      <c r="N227" s="19" t="str">
        <f aca="false">IF(I227="","",IF(I227&lt;=M227,"OK","ALTA"))</f>
        <v/>
      </c>
      <c r="O227" s="13"/>
    </row>
    <row r="228" customFormat="false" ht="15" hidden="false" customHeight="false" outlineLevel="0" collapsed="false">
      <c r="A228" s="11" t="str">
        <f aca="false">IF(C228="","",ROW()-4)</f>
        <v/>
      </c>
      <c r="B228" s="12"/>
      <c r="C228" s="13"/>
      <c r="D228" s="11" t="str">
        <f aca="false">IF(C228="","",IFERROR(INDEX(LOTES!$D$5:$D$1004,MATCH(C228,LOTES!$F$5:$F$1004,0)),"¿Lote?"))</f>
        <v/>
      </c>
      <c r="E228" s="11" t="str">
        <f aca="false">IF(C228="","",IFERROR(INDEX(LOTES!$C$5:$C$1004,MATCH(C228,LOTES!$F$5:$F$1004,0)),""))</f>
        <v/>
      </c>
      <c r="F228" s="27"/>
      <c r="G228" s="27"/>
      <c r="H228" s="27"/>
      <c r="I228" s="20" t="str">
        <f aca="false">IF(AND(ISNUMBER(F228),ISNUMBER(G228),ISNUMBER(H228),F228&gt;G228,H228&gt;0),(F228-H228)/(F228-G228)*1000,"")</f>
        <v/>
      </c>
      <c r="J228" s="17" t="str">
        <f aca="false">IF(AND(ISNUMBER(F228),ISNUMBER(G228),ISNUMBER(H228),F228&gt;G228,H228&gt;0),(F228-H228)/H228,"")</f>
        <v/>
      </c>
      <c r="K228" s="20" t="str">
        <f aca="false">IF(AND(ISNUMBER(F228),ISNUMBER(G228),ISNUMBER(H228),F228&gt;G228,H228&gt;0),H228/(F228-G228)*1000,"")</f>
        <v/>
      </c>
      <c r="L228" s="11" t="str">
        <f aca="false">IF(K228="","",IF(K228&gt;=CONFIG!$E$21,CONFIG!$D$21,IF(K228&gt;=CONFIG!$E$20,CONFIG!$D$20,CONFIG!$D$19)))</f>
        <v/>
      </c>
      <c r="M228" s="20" t="str">
        <f aca="false">IF(K228="","",IF(K228&gt;=CONFIG!$E$21,CONFIG!$F$21,IF(K228&gt;=CONFIG!$E$20,CONFIG!$F$20,CONFIG!$F$19)))</f>
        <v/>
      </c>
      <c r="N228" s="19" t="str">
        <f aca="false">IF(I228="","",IF(I228&lt;=M228,"OK","ALTA"))</f>
        <v/>
      </c>
      <c r="O228" s="13"/>
    </row>
    <row r="229" customFormat="false" ht="15" hidden="false" customHeight="false" outlineLevel="0" collapsed="false">
      <c r="A229" s="11" t="str">
        <f aca="false">IF(C229="","",ROW()-4)</f>
        <v/>
      </c>
      <c r="B229" s="12"/>
      <c r="C229" s="13"/>
      <c r="D229" s="11" t="str">
        <f aca="false">IF(C229="","",IFERROR(INDEX(LOTES!$D$5:$D$1004,MATCH(C229,LOTES!$F$5:$F$1004,0)),"¿Lote?"))</f>
        <v/>
      </c>
      <c r="E229" s="11" t="str">
        <f aca="false">IF(C229="","",IFERROR(INDEX(LOTES!$C$5:$C$1004,MATCH(C229,LOTES!$F$5:$F$1004,0)),""))</f>
        <v/>
      </c>
      <c r="F229" s="27"/>
      <c r="G229" s="27"/>
      <c r="H229" s="27"/>
      <c r="I229" s="20" t="str">
        <f aca="false">IF(AND(ISNUMBER(F229),ISNUMBER(G229),ISNUMBER(H229),F229&gt;G229,H229&gt;0),(F229-H229)/(F229-G229)*1000,"")</f>
        <v/>
      </c>
      <c r="J229" s="17" t="str">
        <f aca="false">IF(AND(ISNUMBER(F229),ISNUMBER(G229),ISNUMBER(H229),F229&gt;G229,H229&gt;0),(F229-H229)/H229,"")</f>
        <v/>
      </c>
      <c r="K229" s="20" t="str">
        <f aca="false">IF(AND(ISNUMBER(F229),ISNUMBER(G229),ISNUMBER(H229),F229&gt;G229,H229&gt;0),H229/(F229-G229)*1000,"")</f>
        <v/>
      </c>
      <c r="L229" s="11" t="str">
        <f aca="false">IF(K229="","",IF(K229&gt;=CONFIG!$E$21,CONFIG!$D$21,IF(K229&gt;=CONFIG!$E$20,CONFIG!$D$20,CONFIG!$D$19)))</f>
        <v/>
      </c>
      <c r="M229" s="20" t="str">
        <f aca="false">IF(K229="","",IF(K229&gt;=CONFIG!$E$21,CONFIG!$F$21,IF(K229&gt;=CONFIG!$E$20,CONFIG!$F$20,CONFIG!$F$19)))</f>
        <v/>
      </c>
      <c r="N229" s="19" t="str">
        <f aca="false">IF(I229="","",IF(I229&lt;=M229,"OK","ALTA"))</f>
        <v/>
      </c>
      <c r="O229" s="13"/>
    </row>
    <row r="230" customFormat="false" ht="15" hidden="false" customHeight="false" outlineLevel="0" collapsed="false">
      <c r="A230" s="11" t="str">
        <f aca="false">IF(C230="","",ROW()-4)</f>
        <v/>
      </c>
      <c r="B230" s="12"/>
      <c r="C230" s="13"/>
      <c r="D230" s="11" t="str">
        <f aca="false">IF(C230="","",IFERROR(INDEX(LOTES!$D$5:$D$1004,MATCH(C230,LOTES!$F$5:$F$1004,0)),"¿Lote?"))</f>
        <v/>
      </c>
      <c r="E230" s="11" t="str">
        <f aca="false">IF(C230="","",IFERROR(INDEX(LOTES!$C$5:$C$1004,MATCH(C230,LOTES!$F$5:$F$1004,0)),""))</f>
        <v/>
      </c>
      <c r="F230" s="27"/>
      <c r="G230" s="27"/>
      <c r="H230" s="27"/>
      <c r="I230" s="20" t="str">
        <f aca="false">IF(AND(ISNUMBER(F230),ISNUMBER(G230),ISNUMBER(H230),F230&gt;G230,H230&gt;0),(F230-H230)/(F230-G230)*1000,"")</f>
        <v/>
      </c>
      <c r="J230" s="17" t="str">
        <f aca="false">IF(AND(ISNUMBER(F230),ISNUMBER(G230),ISNUMBER(H230),F230&gt;G230,H230&gt;0),(F230-H230)/H230,"")</f>
        <v/>
      </c>
      <c r="K230" s="20" t="str">
        <f aca="false">IF(AND(ISNUMBER(F230),ISNUMBER(G230),ISNUMBER(H230),F230&gt;G230,H230&gt;0),H230/(F230-G230)*1000,"")</f>
        <v/>
      </c>
      <c r="L230" s="11" t="str">
        <f aca="false">IF(K230="","",IF(K230&gt;=CONFIG!$E$21,CONFIG!$D$21,IF(K230&gt;=CONFIG!$E$20,CONFIG!$D$20,CONFIG!$D$19)))</f>
        <v/>
      </c>
      <c r="M230" s="20" t="str">
        <f aca="false">IF(K230="","",IF(K230&gt;=CONFIG!$E$21,CONFIG!$F$21,IF(K230&gt;=CONFIG!$E$20,CONFIG!$F$20,CONFIG!$F$19)))</f>
        <v/>
      </c>
      <c r="N230" s="19" t="str">
        <f aca="false">IF(I230="","",IF(I230&lt;=M230,"OK","ALTA"))</f>
        <v/>
      </c>
      <c r="O230" s="13"/>
    </row>
    <row r="231" customFormat="false" ht="15" hidden="false" customHeight="false" outlineLevel="0" collapsed="false">
      <c r="A231" s="11" t="str">
        <f aca="false">IF(C231="","",ROW()-4)</f>
        <v/>
      </c>
      <c r="B231" s="12"/>
      <c r="C231" s="13"/>
      <c r="D231" s="11" t="str">
        <f aca="false">IF(C231="","",IFERROR(INDEX(LOTES!$D$5:$D$1004,MATCH(C231,LOTES!$F$5:$F$1004,0)),"¿Lote?"))</f>
        <v/>
      </c>
      <c r="E231" s="11" t="str">
        <f aca="false">IF(C231="","",IFERROR(INDEX(LOTES!$C$5:$C$1004,MATCH(C231,LOTES!$F$5:$F$1004,0)),""))</f>
        <v/>
      </c>
      <c r="F231" s="27"/>
      <c r="G231" s="27"/>
      <c r="H231" s="27"/>
      <c r="I231" s="20" t="str">
        <f aca="false">IF(AND(ISNUMBER(F231),ISNUMBER(G231),ISNUMBER(H231),F231&gt;G231,H231&gt;0),(F231-H231)/(F231-G231)*1000,"")</f>
        <v/>
      </c>
      <c r="J231" s="17" t="str">
        <f aca="false">IF(AND(ISNUMBER(F231),ISNUMBER(G231),ISNUMBER(H231),F231&gt;G231,H231&gt;0),(F231-H231)/H231,"")</f>
        <v/>
      </c>
      <c r="K231" s="20" t="str">
        <f aca="false">IF(AND(ISNUMBER(F231),ISNUMBER(G231),ISNUMBER(H231),F231&gt;G231,H231&gt;0),H231/(F231-G231)*1000,"")</f>
        <v/>
      </c>
      <c r="L231" s="11" t="str">
        <f aca="false">IF(K231="","",IF(K231&gt;=CONFIG!$E$21,CONFIG!$D$21,IF(K231&gt;=CONFIG!$E$20,CONFIG!$D$20,CONFIG!$D$19)))</f>
        <v/>
      </c>
      <c r="M231" s="20" t="str">
        <f aca="false">IF(K231="","",IF(K231&gt;=CONFIG!$E$21,CONFIG!$F$21,IF(K231&gt;=CONFIG!$E$20,CONFIG!$F$20,CONFIG!$F$19)))</f>
        <v/>
      </c>
      <c r="N231" s="19" t="str">
        <f aca="false">IF(I231="","",IF(I231&lt;=M231,"OK","ALTA"))</f>
        <v/>
      </c>
      <c r="O231" s="13"/>
    </row>
    <row r="232" customFormat="false" ht="15" hidden="false" customHeight="false" outlineLevel="0" collapsed="false">
      <c r="A232" s="11" t="str">
        <f aca="false">IF(C232="","",ROW()-4)</f>
        <v/>
      </c>
      <c r="B232" s="12"/>
      <c r="C232" s="13"/>
      <c r="D232" s="11" t="str">
        <f aca="false">IF(C232="","",IFERROR(INDEX(LOTES!$D$5:$D$1004,MATCH(C232,LOTES!$F$5:$F$1004,0)),"¿Lote?"))</f>
        <v/>
      </c>
      <c r="E232" s="11" t="str">
        <f aca="false">IF(C232="","",IFERROR(INDEX(LOTES!$C$5:$C$1004,MATCH(C232,LOTES!$F$5:$F$1004,0)),""))</f>
        <v/>
      </c>
      <c r="F232" s="27"/>
      <c r="G232" s="27"/>
      <c r="H232" s="27"/>
      <c r="I232" s="20" t="str">
        <f aca="false">IF(AND(ISNUMBER(F232),ISNUMBER(G232),ISNUMBER(H232),F232&gt;G232,H232&gt;0),(F232-H232)/(F232-G232)*1000,"")</f>
        <v/>
      </c>
      <c r="J232" s="17" t="str">
        <f aca="false">IF(AND(ISNUMBER(F232),ISNUMBER(G232),ISNUMBER(H232),F232&gt;G232,H232&gt;0),(F232-H232)/H232,"")</f>
        <v/>
      </c>
      <c r="K232" s="20" t="str">
        <f aca="false">IF(AND(ISNUMBER(F232),ISNUMBER(G232),ISNUMBER(H232),F232&gt;G232,H232&gt;0),H232/(F232-G232)*1000,"")</f>
        <v/>
      </c>
      <c r="L232" s="11" t="str">
        <f aca="false">IF(K232="","",IF(K232&gt;=CONFIG!$E$21,CONFIG!$D$21,IF(K232&gt;=CONFIG!$E$20,CONFIG!$D$20,CONFIG!$D$19)))</f>
        <v/>
      </c>
      <c r="M232" s="20" t="str">
        <f aca="false">IF(K232="","",IF(K232&gt;=CONFIG!$E$21,CONFIG!$F$21,IF(K232&gt;=CONFIG!$E$20,CONFIG!$F$20,CONFIG!$F$19)))</f>
        <v/>
      </c>
      <c r="N232" s="19" t="str">
        <f aca="false">IF(I232="","",IF(I232&lt;=M232,"OK","ALTA"))</f>
        <v/>
      </c>
      <c r="O232" s="13"/>
    </row>
    <row r="233" customFormat="false" ht="15" hidden="false" customHeight="false" outlineLevel="0" collapsed="false">
      <c r="A233" s="11" t="str">
        <f aca="false">IF(C233="","",ROW()-4)</f>
        <v/>
      </c>
      <c r="B233" s="12"/>
      <c r="C233" s="13"/>
      <c r="D233" s="11" t="str">
        <f aca="false">IF(C233="","",IFERROR(INDEX(LOTES!$D$5:$D$1004,MATCH(C233,LOTES!$F$5:$F$1004,0)),"¿Lote?"))</f>
        <v/>
      </c>
      <c r="E233" s="11" t="str">
        <f aca="false">IF(C233="","",IFERROR(INDEX(LOTES!$C$5:$C$1004,MATCH(C233,LOTES!$F$5:$F$1004,0)),""))</f>
        <v/>
      </c>
      <c r="F233" s="27"/>
      <c r="G233" s="27"/>
      <c r="H233" s="27"/>
      <c r="I233" s="20" t="str">
        <f aca="false">IF(AND(ISNUMBER(F233),ISNUMBER(G233),ISNUMBER(H233),F233&gt;G233,H233&gt;0),(F233-H233)/(F233-G233)*1000,"")</f>
        <v/>
      </c>
      <c r="J233" s="17" t="str">
        <f aca="false">IF(AND(ISNUMBER(F233),ISNUMBER(G233),ISNUMBER(H233),F233&gt;G233,H233&gt;0),(F233-H233)/H233,"")</f>
        <v/>
      </c>
      <c r="K233" s="20" t="str">
        <f aca="false">IF(AND(ISNUMBER(F233),ISNUMBER(G233),ISNUMBER(H233),F233&gt;G233,H233&gt;0),H233/(F233-G233)*1000,"")</f>
        <v/>
      </c>
      <c r="L233" s="11" t="str">
        <f aca="false">IF(K233="","",IF(K233&gt;=CONFIG!$E$21,CONFIG!$D$21,IF(K233&gt;=CONFIG!$E$20,CONFIG!$D$20,CONFIG!$D$19)))</f>
        <v/>
      </c>
      <c r="M233" s="20" t="str">
        <f aca="false">IF(K233="","",IF(K233&gt;=CONFIG!$E$21,CONFIG!$F$21,IF(K233&gt;=CONFIG!$E$20,CONFIG!$F$20,CONFIG!$F$19)))</f>
        <v/>
      </c>
      <c r="N233" s="19" t="str">
        <f aca="false">IF(I233="","",IF(I233&lt;=M233,"OK","ALTA"))</f>
        <v/>
      </c>
      <c r="O233" s="13"/>
    </row>
    <row r="234" customFormat="false" ht="15" hidden="false" customHeight="false" outlineLevel="0" collapsed="false">
      <c r="A234" s="11" t="str">
        <f aca="false">IF(C234="","",ROW()-4)</f>
        <v/>
      </c>
      <c r="B234" s="12"/>
      <c r="C234" s="13"/>
      <c r="D234" s="11" t="str">
        <f aca="false">IF(C234="","",IFERROR(INDEX(LOTES!$D$5:$D$1004,MATCH(C234,LOTES!$F$5:$F$1004,0)),"¿Lote?"))</f>
        <v/>
      </c>
      <c r="E234" s="11" t="str">
        <f aca="false">IF(C234="","",IFERROR(INDEX(LOTES!$C$5:$C$1004,MATCH(C234,LOTES!$F$5:$F$1004,0)),""))</f>
        <v/>
      </c>
      <c r="F234" s="27"/>
      <c r="G234" s="27"/>
      <c r="H234" s="27"/>
      <c r="I234" s="20" t="str">
        <f aca="false">IF(AND(ISNUMBER(F234),ISNUMBER(G234),ISNUMBER(H234),F234&gt;G234,H234&gt;0),(F234-H234)/(F234-G234)*1000,"")</f>
        <v/>
      </c>
      <c r="J234" s="17" t="str">
        <f aca="false">IF(AND(ISNUMBER(F234),ISNUMBER(G234),ISNUMBER(H234),F234&gt;G234,H234&gt;0),(F234-H234)/H234,"")</f>
        <v/>
      </c>
      <c r="K234" s="20" t="str">
        <f aca="false">IF(AND(ISNUMBER(F234),ISNUMBER(G234),ISNUMBER(H234),F234&gt;G234,H234&gt;0),H234/(F234-G234)*1000,"")</f>
        <v/>
      </c>
      <c r="L234" s="11" t="str">
        <f aca="false">IF(K234="","",IF(K234&gt;=CONFIG!$E$21,CONFIG!$D$21,IF(K234&gt;=CONFIG!$E$20,CONFIG!$D$20,CONFIG!$D$19)))</f>
        <v/>
      </c>
      <c r="M234" s="20" t="str">
        <f aca="false">IF(K234="","",IF(K234&gt;=CONFIG!$E$21,CONFIG!$F$21,IF(K234&gt;=CONFIG!$E$20,CONFIG!$F$20,CONFIG!$F$19)))</f>
        <v/>
      </c>
      <c r="N234" s="19" t="str">
        <f aca="false">IF(I234="","",IF(I234&lt;=M234,"OK","ALTA"))</f>
        <v/>
      </c>
      <c r="O234" s="13"/>
    </row>
    <row r="235" customFormat="false" ht="15" hidden="false" customHeight="false" outlineLevel="0" collapsed="false">
      <c r="A235" s="11" t="str">
        <f aca="false">IF(C235="","",ROW()-4)</f>
        <v/>
      </c>
      <c r="B235" s="12"/>
      <c r="C235" s="13"/>
      <c r="D235" s="11" t="str">
        <f aca="false">IF(C235="","",IFERROR(INDEX(LOTES!$D$5:$D$1004,MATCH(C235,LOTES!$F$5:$F$1004,0)),"¿Lote?"))</f>
        <v/>
      </c>
      <c r="E235" s="11" t="str">
        <f aca="false">IF(C235="","",IFERROR(INDEX(LOTES!$C$5:$C$1004,MATCH(C235,LOTES!$F$5:$F$1004,0)),""))</f>
        <v/>
      </c>
      <c r="F235" s="27"/>
      <c r="G235" s="27"/>
      <c r="H235" s="27"/>
      <c r="I235" s="20" t="str">
        <f aca="false">IF(AND(ISNUMBER(F235),ISNUMBER(G235),ISNUMBER(H235),F235&gt;G235,H235&gt;0),(F235-H235)/(F235-G235)*1000,"")</f>
        <v/>
      </c>
      <c r="J235" s="17" t="str">
        <f aca="false">IF(AND(ISNUMBER(F235),ISNUMBER(G235),ISNUMBER(H235),F235&gt;G235,H235&gt;0),(F235-H235)/H235,"")</f>
        <v/>
      </c>
      <c r="K235" s="20" t="str">
        <f aca="false">IF(AND(ISNUMBER(F235),ISNUMBER(G235),ISNUMBER(H235),F235&gt;G235,H235&gt;0),H235/(F235-G235)*1000,"")</f>
        <v/>
      </c>
      <c r="L235" s="11" t="str">
        <f aca="false">IF(K235="","",IF(K235&gt;=CONFIG!$E$21,CONFIG!$D$21,IF(K235&gt;=CONFIG!$E$20,CONFIG!$D$20,CONFIG!$D$19)))</f>
        <v/>
      </c>
      <c r="M235" s="20" t="str">
        <f aca="false">IF(K235="","",IF(K235&gt;=CONFIG!$E$21,CONFIG!$F$21,IF(K235&gt;=CONFIG!$E$20,CONFIG!$F$20,CONFIG!$F$19)))</f>
        <v/>
      </c>
      <c r="N235" s="19" t="str">
        <f aca="false">IF(I235="","",IF(I235&lt;=M235,"OK","ALTA"))</f>
        <v/>
      </c>
      <c r="O235" s="13"/>
    </row>
    <row r="236" customFormat="false" ht="15" hidden="false" customHeight="false" outlineLevel="0" collapsed="false">
      <c r="A236" s="11" t="str">
        <f aca="false">IF(C236="","",ROW()-4)</f>
        <v/>
      </c>
      <c r="B236" s="12"/>
      <c r="C236" s="13"/>
      <c r="D236" s="11" t="str">
        <f aca="false">IF(C236="","",IFERROR(INDEX(LOTES!$D$5:$D$1004,MATCH(C236,LOTES!$F$5:$F$1004,0)),"¿Lote?"))</f>
        <v/>
      </c>
      <c r="E236" s="11" t="str">
        <f aca="false">IF(C236="","",IFERROR(INDEX(LOTES!$C$5:$C$1004,MATCH(C236,LOTES!$F$5:$F$1004,0)),""))</f>
        <v/>
      </c>
      <c r="F236" s="27"/>
      <c r="G236" s="27"/>
      <c r="H236" s="27"/>
      <c r="I236" s="20" t="str">
        <f aca="false">IF(AND(ISNUMBER(F236),ISNUMBER(G236),ISNUMBER(H236),F236&gt;G236,H236&gt;0),(F236-H236)/(F236-G236)*1000,"")</f>
        <v/>
      </c>
      <c r="J236" s="17" t="str">
        <f aca="false">IF(AND(ISNUMBER(F236),ISNUMBER(G236),ISNUMBER(H236),F236&gt;G236,H236&gt;0),(F236-H236)/H236,"")</f>
        <v/>
      </c>
      <c r="K236" s="20" t="str">
        <f aca="false">IF(AND(ISNUMBER(F236),ISNUMBER(G236),ISNUMBER(H236),F236&gt;G236,H236&gt;0),H236/(F236-G236)*1000,"")</f>
        <v/>
      </c>
      <c r="L236" s="11" t="str">
        <f aca="false">IF(K236="","",IF(K236&gt;=CONFIG!$E$21,CONFIG!$D$21,IF(K236&gt;=CONFIG!$E$20,CONFIG!$D$20,CONFIG!$D$19)))</f>
        <v/>
      </c>
      <c r="M236" s="20" t="str">
        <f aca="false">IF(K236="","",IF(K236&gt;=CONFIG!$E$21,CONFIG!$F$21,IF(K236&gt;=CONFIG!$E$20,CONFIG!$F$20,CONFIG!$F$19)))</f>
        <v/>
      </c>
      <c r="N236" s="19" t="str">
        <f aca="false">IF(I236="","",IF(I236&lt;=M236,"OK","ALTA"))</f>
        <v/>
      </c>
      <c r="O236" s="13"/>
    </row>
    <row r="237" customFormat="false" ht="15" hidden="false" customHeight="false" outlineLevel="0" collapsed="false">
      <c r="A237" s="11" t="str">
        <f aca="false">IF(C237="","",ROW()-4)</f>
        <v/>
      </c>
      <c r="B237" s="12"/>
      <c r="C237" s="13"/>
      <c r="D237" s="11" t="str">
        <f aca="false">IF(C237="","",IFERROR(INDEX(LOTES!$D$5:$D$1004,MATCH(C237,LOTES!$F$5:$F$1004,0)),"¿Lote?"))</f>
        <v/>
      </c>
      <c r="E237" s="11" t="str">
        <f aca="false">IF(C237="","",IFERROR(INDEX(LOTES!$C$5:$C$1004,MATCH(C237,LOTES!$F$5:$F$1004,0)),""))</f>
        <v/>
      </c>
      <c r="F237" s="27"/>
      <c r="G237" s="27"/>
      <c r="H237" s="27"/>
      <c r="I237" s="20" t="str">
        <f aca="false">IF(AND(ISNUMBER(F237),ISNUMBER(G237),ISNUMBER(H237),F237&gt;G237,H237&gt;0),(F237-H237)/(F237-G237)*1000,"")</f>
        <v/>
      </c>
      <c r="J237" s="17" t="str">
        <f aca="false">IF(AND(ISNUMBER(F237),ISNUMBER(G237),ISNUMBER(H237),F237&gt;G237,H237&gt;0),(F237-H237)/H237,"")</f>
        <v/>
      </c>
      <c r="K237" s="20" t="str">
        <f aca="false">IF(AND(ISNUMBER(F237),ISNUMBER(G237),ISNUMBER(H237),F237&gt;G237,H237&gt;0),H237/(F237-G237)*1000,"")</f>
        <v/>
      </c>
      <c r="L237" s="11" t="str">
        <f aca="false">IF(K237="","",IF(K237&gt;=CONFIG!$E$21,CONFIG!$D$21,IF(K237&gt;=CONFIG!$E$20,CONFIG!$D$20,CONFIG!$D$19)))</f>
        <v/>
      </c>
      <c r="M237" s="20" t="str">
        <f aca="false">IF(K237="","",IF(K237&gt;=CONFIG!$E$21,CONFIG!$F$21,IF(K237&gt;=CONFIG!$E$20,CONFIG!$F$20,CONFIG!$F$19)))</f>
        <v/>
      </c>
      <c r="N237" s="19" t="str">
        <f aca="false">IF(I237="","",IF(I237&lt;=M237,"OK","ALTA"))</f>
        <v/>
      </c>
      <c r="O237" s="13"/>
    </row>
    <row r="238" customFormat="false" ht="15" hidden="false" customHeight="false" outlineLevel="0" collapsed="false">
      <c r="A238" s="11" t="str">
        <f aca="false">IF(C238="","",ROW()-4)</f>
        <v/>
      </c>
      <c r="B238" s="12"/>
      <c r="C238" s="13"/>
      <c r="D238" s="11" t="str">
        <f aca="false">IF(C238="","",IFERROR(INDEX(LOTES!$D$5:$D$1004,MATCH(C238,LOTES!$F$5:$F$1004,0)),"¿Lote?"))</f>
        <v/>
      </c>
      <c r="E238" s="11" t="str">
        <f aca="false">IF(C238="","",IFERROR(INDEX(LOTES!$C$5:$C$1004,MATCH(C238,LOTES!$F$5:$F$1004,0)),""))</f>
        <v/>
      </c>
      <c r="F238" s="27"/>
      <c r="G238" s="27"/>
      <c r="H238" s="27"/>
      <c r="I238" s="20" t="str">
        <f aca="false">IF(AND(ISNUMBER(F238),ISNUMBER(G238),ISNUMBER(H238),F238&gt;G238,H238&gt;0),(F238-H238)/(F238-G238)*1000,"")</f>
        <v/>
      </c>
      <c r="J238" s="17" t="str">
        <f aca="false">IF(AND(ISNUMBER(F238),ISNUMBER(G238),ISNUMBER(H238),F238&gt;G238,H238&gt;0),(F238-H238)/H238,"")</f>
        <v/>
      </c>
      <c r="K238" s="20" t="str">
        <f aca="false">IF(AND(ISNUMBER(F238),ISNUMBER(G238),ISNUMBER(H238),F238&gt;G238,H238&gt;0),H238/(F238-G238)*1000,"")</f>
        <v/>
      </c>
      <c r="L238" s="11" t="str">
        <f aca="false">IF(K238="","",IF(K238&gt;=CONFIG!$E$21,CONFIG!$D$21,IF(K238&gt;=CONFIG!$E$20,CONFIG!$D$20,CONFIG!$D$19)))</f>
        <v/>
      </c>
      <c r="M238" s="20" t="str">
        <f aca="false">IF(K238="","",IF(K238&gt;=CONFIG!$E$21,CONFIG!$F$21,IF(K238&gt;=CONFIG!$E$20,CONFIG!$F$20,CONFIG!$F$19)))</f>
        <v/>
      </c>
      <c r="N238" s="19" t="str">
        <f aca="false">IF(I238="","",IF(I238&lt;=M238,"OK","ALTA"))</f>
        <v/>
      </c>
      <c r="O238" s="13"/>
    </row>
    <row r="239" customFormat="false" ht="15" hidden="false" customHeight="false" outlineLevel="0" collapsed="false">
      <c r="A239" s="11" t="str">
        <f aca="false">IF(C239="","",ROW()-4)</f>
        <v/>
      </c>
      <c r="B239" s="12"/>
      <c r="C239" s="13"/>
      <c r="D239" s="11" t="str">
        <f aca="false">IF(C239="","",IFERROR(INDEX(LOTES!$D$5:$D$1004,MATCH(C239,LOTES!$F$5:$F$1004,0)),"¿Lote?"))</f>
        <v/>
      </c>
      <c r="E239" s="11" t="str">
        <f aca="false">IF(C239="","",IFERROR(INDEX(LOTES!$C$5:$C$1004,MATCH(C239,LOTES!$F$5:$F$1004,0)),""))</f>
        <v/>
      </c>
      <c r="F239" s="27"/>
      <c r="G239" s="27"/>
      <c r="H239" s="27"/>
      <c r="I239" s="20" t="str">
        <f aca="false">IF(AND(ISNUMBER(F239),ISNUMBER(G239),ISNUMBER(H239),F239&gt;G239,H239&gt;0),(F239-H239)/(F239-G239)*1000,"")</f>
        <v/>
      </c>
      <c r="J239" s="17" t="str">
        <f aca="false">IF(AND(ISNUMBER(F239),ISNUMBER(G239),ISNUMBER(H239),F239&gt;G239,H239&gt;0),(F239-H239)/H239,"")</f>
        <v/>
      </c>
      <c r="K239" s="20" t="str">
        <f aca="false">IF(AND(ISNUMBER(F239),ISNUMBER(G239),ISNUMBER(H239),F239&gt;G239,H239&gt;0),H239/(F239-G239)*1000,"")</f>
        <v/>
      </c>
      <c r="L239" s="11" t="str">
        <f aca="false">IF(K239="","",IF(K239&gt;=CONFIG!$E$21,CONFIG!$D$21,IF(K239&gt;=CONFIG!$E$20,CONFIG!$D$20,CONFIG!$D$19)))</f>
        <v/>
      </c>
      <c r="M239" s="20" t="str">
        <f aca="false">IF(K239="","",IF(K239&gt;=CONFIG!$E$21,CONFIG!$F$21,IF(K239&gt;=CONFIG!$E$20,CONFIG!$F$20,CONFIG!$F$19)))</f>
        <v/>
      </c>
      <c r="N239" s="19" t="str">
        <f aca="false">IF(I239="","",IF(I239&lt;=M239,"OK","ALTA"))</f>
        <v/>
      </c>
      <c r="O239" s="13"/>
    </row>
    <row r="240" customFormat="false" ht="15" hidden="false" customHeight="false" outlineLevel="0" collapsed="false">
      <c r="A240" s="11" t="str">
        <f aca="false">IF(C240="","",ROW()-4)</f>
        <v/>
      </c>
      <c r="B240" s="12"/>
      <c r="C240" s="13"/>
      <c r="D240" s="11" t="str">
        <f aca="false">IF(C240="","",IFERROR(INDEX(LOTES!$D$5:$D$1004,MATCH(C240,LOTES!$F$5:$F$1004,0)),"¿Lote?"))</f>
        <v/>
      </c>
      <c r="E240" s="11" t="str">
        <f aca="false">IF(C240="","",IFERROR(INDEX(LOTES!$C$5:$C$1004,MATCH(C240,LOTES!$F$5:$F$1004,0)),""))</f>
        <v/>
      </c>
      <c r="F240" s="27"/>
      <c r="G240" s="27"/>
      <c r="H240" s="27"/>
      <c r="I240" s="20" t="str">
        <f aca="false">IF(AND(ISNUMBER(F240),ISNUMBER(G240),ISNUMBER(H240),F240&gt;G240,H240&gt;0),(F240-H240)/(F240-G240)*1000,"")</f>
        <v/>
      </c>
      <c r="J240" s="17" t="str">
        <f aca="false">IF(AND(ISNUMBER(F240),ISNUMBER(G240),ISNUMBER(H240),F240&gt;G240,H240&gt;0),(F240-H240)/H240,"")</f>
        <v/>
      </c>
      <c r="K240" s="20" t="str">
        <f aca="false">IF(AND(ISNUMBER(F240),ISNUMBER(G240),ISNUMBER(H240),F240&gt;G240,H240&gt;0),H240/(F240-G240)*1000,"")</f>
        <v/>
      </c>
      <c r="L240" s="11" t="str">
        <f aca="false">IF(K240="","",IF(K240&gt;=CONFIG!$E$21,CONFIG!$D$21,IF(K240&gt;=CONFIG!$E$20,CONFIG!$D$20,CONFIG!$D$19)))</f>
        <v/>
      </c>
      <c r="M240" s="20" t="str">
        <f aca="false">IF(K240="","",IF(K240&gt;=CONFIG!$E$21,CONFIG!$F$21,IF(K240&gt;=CONFIG!$E$20,CONFIG!$F$20,CONFIG!$F$19)))</f>
        <v/>
      </c>
      <c r="N240" s="19" t="str">
        <f aca="false">IF(I240="","",IF(I240&lt;=M240,"OK","ALTA"))</f>
        <v/>
      </c>
      <c r="O240" s="13"/>
    </row>
    <row r="241" customFormat="false" ht="15" hidden="false" customHeight="false" outlineLevel="0" collapsed="false">
      <c r="A241" s="11" t="str">
        <f aca="false">IF(C241="","",ROW()-4)</f>
        <v/>
      </c>
      <c r="B241" s="12"/>
      <c r="C241" s="13"/>
      <c r="D241" s="11" t="str">
        <f aca="false">IF(C241="","",IFERROR(INDEX(LOTES!$D$5:$D$1004,MATCH(C241,LOTES!$F$5:$F$1004,0)),"¿Lote?"))</f>
        <v/>
      </c>
      <c r="E241" s="11" t="str">
        <f aca="false">IF(C241="","",IFERROR(INDEX(LOTES!$C$5:$C$1004,MATCH(C241,LOTES!$F$5:$F$1004,0)),""))</f>
        <v/>
      </c>
      <c r="F241" s="27"/>
      <c r="G241" s="27"/>
      <c r="H241" s="27"/>
      <c r="I241" s="20" t="str">
        <f aca="false">IF(AND(ISNUMBER(F241),ISNUMBER(G241),ISNUMBER(H241),F241&gt;G241,H241&gt;0),(F241-H241)/(F241-G241)*1000,"")</f>
        <v/>
      </c>
      <c r="J241" s="17" t="str">
        <f aca="false">IF(AND(ISNUMBER(F241),ISNUMBER(G241),ISNUMBER(H241),F241&gt;G241,H241&gt;0),(F241-H241)/H241,"")</f>
        <v/>
      </c>
      <c r="K241" s="20" t="str">
        <f aca="false">IF(AND(ISNUMBER(F241),ISNUMBER(G241),ISNUMBER(H241),F241&gt;G241,H241&gt;0),H241/(F241-G241)*1000,"")</f>
        <v/>
      </c>
      <c r="L241" s="11" t="str">
        <f aca="false">IF(K241="","",IF(K241&gt;=CONFIG!$E$21,CONFIG!$D$21,IF(K241&gt;=CONFIG!$E$20,CONFIG!$D$20,CONFIG!$D$19)))</f>
        <v/>
      </c>
      <c r="M241" s="20" t="str">
        <f aca="false">IF(K241="","",IF(K241&gt;=CONFIG!$E$21,CONFIG!$F$21,IF(K241&gt;=CONFIG!$E$20,CONFIG!$F$20,CONFIG!$F$19)))</f>
        <v/>
      </c>
      <c r="N241" s="19" t="str">
        <f aca="false">IF(I241="","",IF(I241&lt;=M241,"OK","ALTA"))</f>
        <v/>
      </c>
      <c r="O241" s="13"/>
    </row>
    <row r="242" customFormat="false" ht="15" hidden="false" customHeight="false" outlineLevel="0" collapsed="false">
      <c r="A242" s="11" t="str">
        <f aca="false">IF(C242="","",ROW()-4)</f>
        <v/>
      </c>
      <c r="B242" s="12"/>
      <c r="C242" s="13"/>
      <c r="D242" s="11" t="str">
        <f aca="false">IF(C242="","",IFERROR(INDEX(LOTES!$D$5:$D$1004,MATCH(C242,LOTES!$F$5:$F$1004,0)),"¿Lote?"))</f>
        <v/>
      </c>
      <c r="E242" s="11" t="str">
        <f aca="false">IF(C242="","",IFERROR(INDEX(LOTES!$C$5:$C$1004,MATCH(C242,LOTES!$F$5:$F$1004,0)),""))</f>
        <v/>
      </c>
      <c r="F242" s="27"/>
      <c r="G242" s="27"/>
      <c r="H242" s="27"/>
      <c r="I242" s="20" t="str">
        <f aca="false">IF(AND(ISNUMBER(F242),ISNUMBER(G242),ISNUMBER(H242),F242&gt;G242,H242&gt;0),(F242-H242)/(F242-G242)*1000,"")</f>
        <v/>
      </c>
      <c r="J242" s="17" t="str">
        <f aca="false">IF(AND(ISNUMBER(F242),ISNUMBER(G242),ISNUMBER(H242),F242&gt;G242,H242&gt;0),(F242-H242)/H242,"")</f>
        <v/>
      </c>
      <c r="K242" s="20" t="str">
        <f aca="false">IF(AND(ISNUMBER(F242),ISNUMBER(G242),ISNUMBER(H242),F242&gt;G242,H242&gt;0),H242/(F242-G242)*1000,"")</f>
        <v/>
      </c>
      <c r="L242" s="11" t="str">
        <f aca="false">IF(K242="","",IF(K242&gt;=CONFIG!$E$21,CONFIG!$D$21,IF(K242&gt;=CONFIG!$E$20,CONFIG!$D$20,CONFIG!$D$19)))</f>
        <v/>
      </c>
      <c r="M242" s="20" t="str">
        <f aca="false">IF(K242="","",IF(K242&gt;=CONFIG!$E$21,CONFIG!$F$21,IF(K242&gt;=CONFIG!$E$20,CONFIG!$F$20,CONFIG!$F$19)))</f>
        <v/>
      </c>
      <c r="N242" s="19" t="str">
        <f aca="false">IF(I242="","",IF(I242&lt;=M242,"OK","ALTA"))</f>
        <v/>
      </c>
      <c r="O242" s="13"/>
    </row>
    <row r="243" customFormat="false" ht="15" hidden="false" customHeight="false" outlineLevel="0" collapsed="false">
      <c r="A243" s="11" t="str">
        <f aca="false">IF(C243="","",ROW()-4)</f>
        <v/>
      </c>
      <c r="B243" s="12"/>
      <c r="C243" s="13"/>
      <c r="D243" s="11" t="str">
        <f aca="false">IF(C243="","",IFERROR(INDEX(LOTES!$D$5:$D$1004,MATCH(C243,LOTES!$F$5:$F$1004,0)),"¿Lote?"))</f>
        <v/>
      </c>
      <c r="E243" s="11" t="str">
        <f aca="false">IF(C243="","",IFERROR(INDEX(LOTES!$C$5:$C$1004,MATCH(C243,LOTES!$F$5:$F$1004,0)),""))</f>
        <v/>
      </c>
      <c r="F243" s="27"/>
      <c r="G243" s="27"/>
      <c r="H243" s="27"/>
      <c r="I243" s="20" t="str">
        <f aca="false">IF(AND(ISNUMBER(F243),ISNUMBER(G243),ISNUMBER(H243),F243&gt;G243,H243&gt;0),(F243-H243)/(F243-G243)*1000,"")</f>
        <v/>
      </c>
      <c r="J243" s="17" t="str">
        <f aca="false">IF(AND(ISNUMBER(F243),ISNUMBER(G243),ISNUMBER(H243),F243&gt;G243,H243&gt;0),(F243-H243)/H243,"")</f>
        <v/>
      </c>
      <c r="K243" s="20" t="str">
        <f aca="false">IF(AND(ISNUMBER(F243),ISNUMBER(G243),ISNUMBER(H243),F243&gt;G243,H243&gt;0),H243/(F243-G243)*1000,"")</f>
        <v/>
      </c>
      <c r="L243" s="11" t="str">
        <f aca="false">IF(K243="","",IF(K243&gt;=CONFIG!$E$21,CONFIG!$D$21,IF(K243&gt;=CONFIG!$E$20,CONFIG!$D$20,CONFIG!$D$19)))</f>
        <v/>
      </c>
      <c r="M243" s="20" t="str">
        <f aca="false">IF(K243="","",IF(K243&gt;=CONFIG!$E$21,CONFIG!$F$21,IF(K243&gt;=CONFIG!$E$20,CONFIG!$F$20,CONFIG!$F$19)))</f>
        <v/>
      </c>
      <c r="N243" s="19" t="str">
        <f aca="false">IF(I243="","",IF(I243&lt;=M243,"OK","ALTA"))</f>
        <v/>
      </c>
      <c r="O243" s="13"/>
    </row>
    <row r="244" customFormat="false" ht="15" hidden="false" customHeight="false" outlineLevel="0" collapsed="false">
      <c r="A244" s="11" t="str">
        <f aca="false">IF(C244="","",ROW()-4)</f>
        <v/>
      </c>
      <c r="B244" s="12"/>
      <c r="C244" s="13"/>
      <c r="D244" s="11" t="str">
        <f aca="false">IF(C244="","",IFERROR(INDEX(LOTES!$D$5:$D$1004,MATCH(C244,LOTES!$F$5:$F$1004,0)),"¿Lote?"))</f>
        <v/>
      </c>
      <c r="E244" s="11" t="str">
        <f aca="false">IF(C244="","",IFERROR(INDEX(LOTES!$C$5:$C$1004,MATCH(C244,LOTES!$F$5:$F$1004,0)),""))</f>
        <v/>
      </c>
      <c r="F244" s="27"/>
      <c r="G244" s="27"/>
      <c r="H244" s="27"/>
      <c r="I244" s="20" t="str">
        <f aca="false">IF(AND(ISNUMBER(F244),ISNUMBER(G244),ISNUMBER(H244),F244&gt;G244,H244&gt;0),(F244-H244)/(F244-G244)*1000,"")</f>
        <v/>
      </c>
      <c r="J244" s="17" t="str">
        <f aca="false">IF(AND(ISNUMBER(F244),ISNUMBER(G244),ISNUMBER(H244),F244&gt;G244,H244&gt;0),(F244-H244)/H244,"")</f>
        <v/>
      </c>
      <c r="K244" s="20" t="str">
        <f aca="false">IF(AND(ISNUMBER(F244),ISNUMBER(G244),ISNUMBER(H244),F244&gt;G244,H244&gt;0),H244/(F244-G244)*1000,"")</f>
        <v/>
      </c>
      <c r="L244" s="11" t="str">
        <f aca="false">IF(K244="","",IF(K244&gt;=CONFIG!$E$21,CONFIG!$D$21,IF(K244&gt;=CONFIG!$E$20,CONFIG!$D$20,CONFIG!$D$19)))</f>
        <v/>
      </c>
      <c r="M244" s="20" t="str">
        <f aca="false">IF(K244="","",IF(K244&gt;=CONFIG!$E$21,CONFIG!$F$21,IF(K244&gt;=CONFIG!$E$20,CONFIG!$F$20,CONFIG!$F$19)))</f>
        <v/>
      </c>
      <c r="N244" s="19" t="str">
        <f aca="false">IF(I244="","",IF(I244&lt;=M244,"OK","ALTA"))</f>
        <v/>
      </c>
      <c r="O244" s="13"/>
    </row>
    <row r="245" customFormat="false" ht="15" hidden="false" customHeight="false" outlineLevel="0" collapsed="false">
      <c r="A245" s="11" t="str">
        <f aca="false">IF(C245="","",ROW()-4)</f>
        <v/>
      </c>
      <c r="B245" s="12"/>
      <c r="C245" s="13"/>
      <c r="D245" s="11" t="str">
        <f aca="false">IF(C245="","",IFERROR(INDEX(LOTES!$D$5:$D$1004,MATCH(C245,LOTES!$F$5:$F$1004,0)),"¿Lote?"))</f>
        <v/>
      </c>
      <c r="E245" s="11" t="str">
        <f aca="false">IF(C245="","",IFERROR(INDEX(LOTES!$C$5:$C$1004,MATCH(C245,LOTES!$F$5:$F$1004,0)),""))</f>
        <v/>
      </c>
      <c r="F245" s="27"/>
      <c r="G245" s="27"/>
      <c r="H245" s="27"/>
      <c r="I245" s="20" t="str">
        <f aca="false">IF(AND(ISNUMBER(F245),ISNUMBER(G245),ISNUMBER(H245),F245&gt;G245,H245&gt;0),(F245-H245)/(F245-G245)*1000,"")</f>
        <v/>
      </c>
      <c r="J245" s="17" t="str">
        <f aca="false">IF(AND(ISNUMBER(F245),ISNUMBER(G245),ISNUMBER(H245),F245&gt;G245,H245&gt;0),(F245-H245)/H245,"")</f>
        <v/>
      </c>
      <c r="K245" s="20" t="str">
        <f aca="false">IF(AND(ISNUMBER(F245),ISNUMBER(G245),ISNUMBER(H245),F245&gt;G245,H245&gt;0),H245/(F245-G245)*1000,"")</f>
        <v/>
      </c>
      <c r="L245" s="11" t="str">
        <f aca="false">IF(K245="","",IF(K245&gt;=CONFIG!$E$21,CONFIG!$D$21,IF(K245&gt;=CONFIG!$E$20,CONFIG!$D$20,CONFIG!$D$19)))</f>
        <v/>
      </c>
      <c r="M245" s="20" t="str">
        <f aca="false">IF(K245="","",IF(K245&gt;=CONFIG!$E$21,CONFIG!$F$21,IF(K245&gt;=CONFIG!$E$20,CONFIG!$F$20,CONFIG!$F$19)))</f>
        <v/>
      </c>
      <c r="N245" s="19" t="str">
        <f aca="false">IF(I245="","",IF(I245&lt;=M245,"OK","ALTA"))</f>
        <v/>
      </c>
      <c r="O245" s="13"/>
    </row>
    <row r="246" customFormat="false" ht="15" hidden="false" customHeight="false" outlineLevel="0" collapsed="false">
      <c r="A246" s="11" t="str">
        <f aca="false">IF(C246="","",ROW()-4)</f>
        <v/>
      </c>
      <c r="B246" s="12"/>
      <c r="C246" s="13"/>
      <c r="D246" s="11" t="str">
        <f aca="false">IF(C246="","",IFERROR(INDEX(LOTES!$D$5:$D$1004,MATCH(C246,LOTES!$F$5:$F$1004,0)),"¿Lote?"))</f>
        <v/>
      </c>
      <c r="E246" s="11" t="str">
        <f aca="false">IF(C246="","",IFERROR(INDEX(LOTES!$C$5:$C$1004,MATCH(C246,LOTES!$F$5:$F$1004,0)),""))</f>
        <v/>
      </c>
      <c r="F246" s="27"/>
      <c r="G246" s="27"/>
      <c r="H246" s="27"/>
      <c r="I246" s="20" t="str">
        <f aca="false">IF(AND(ISNUMBER(F246),ISNUMBER(G246),ISNUMBER(H246),F246&gt;G246,H246&gt;0),(F246-H246)/(F246-G246)*1000,"")</f>
        <v/>
      </c>
      <c r="J246" s="17" t="str">
        <f aca="false">IF(AND(ISNUMBER(F246),ISNUMBER(G246),ISNUMBER(H246),F246&gt;G246,H246&gt;0),(F246-H246)/H246,"")</f>
        <v/>
      </c>
      <c r="K246" s="20" t="str">
        <f aca="false">IF(AND(ISNUMBER(F246),ISNUMBER(G246),ISNUMBER(H246),F246&gt;G246,H246&gt;0),H246/(F246-G246)*1000,"")</f>
        <v/>
      </c>
      <c r="L246" s="11" t="str">
        <f aca="false">IF(K246="","",IF(K246&gt;=CONFIG!$E$21,CONFIG!$D$21,IF(K246&gt;=CONFIG!$E$20,CONFIG!$D$20,CONFIG!$D$19)))</f>
        <v/>
      </c>
      <c r="M246" s="20" t="str">
        <f aca="false">IF(K246="","",IF(K246&gt;=CONFIG!$E$21,CONFIG!$F$21,IF(K246&gt;=CONFIG!$E$20,CONFIG!$F$20,CONFIG!$F$19)))</f>
        <v/>
      </c>
      <c r="N246" s="19" t="str">
        <f aca="false">IF(I246="","",IF(I246&lt;=M246,"OK","ALTA"))</f>
        <v/>
      </c>
      <c r="O246" s="13"/>
    </row>
    <row r="247" customFormat="false" ht="15" hidden="false" customHeight="false" outlineLevel="0" collapsed="false">
      <c r="A247" s="11" t="str">
        <f aca="false">IF(C247="","",ROW()-4)</f>
        <v/>
      </c>
      <c r="B247" s="12"/>
      <c r="C247" s="13"/>
      <c r="D247" s="11" t="str">
        <f aca="false">IF(C247="","",IFERROR(INDEX(LOTES!$D$5:$D$1004,MATCH(C247,LOTES!$F$5:$F$1004,0)),"¿Lote?"))</f>
        <v/>
      </c>
      <c r="E247" s="11" t="str">
        <f aca="false">IF(C247="","",IFERROR(INDEX(LOTES!$C$5:$C$1004,MATCH(C247,LOTES!$F$5:$F$1004,0)),""))</f>
        <v/>
      </c>
      <c r="F247" s="27"/>
      <c r="G247" s="27"/>
      <c r="H247" s="27"/>
      <c r="I247" s="20" t="str">
        <f aca="false">IF(AND(ISNUMBER(F247),ISNUMBER(G247),ISNUMBER(H247),F247&gt;G247,H247&gt;0),(F247-H247)/(F247-G247)*1000,"")</f>
        <v/>
      </c>
      <c r="J247" s="17" t="str">
        <f aca="false">IF(AND(ISNUMBER(F247),ISNUMBER(G247),ISNUMBER(H247),F247&gt;G247,H247&gt;0),(F247-H247)/H247,"")</f>
        <v/>
      </c>
      <c r="K247" s="20" t="str">
        <f aca="false">IF(AND(ISNUMBER(F247),ISNUMBER(G247),ISNUMBER(H247),F247&gt;G247,H247&gt;0),H247/(F247-G247)*1000,"")</f>
        <v/>
      </c>
      <c r="L247" s="11" t="str">
        <f aca="false">IF(K247="","",IF(K247&gt;=CONFIG!$E$21,CONFIG!$D$21,IF(K247&gt;=CONFIG!$E$20,CONFIG!$D$20,CONFIG!$D$19)))</f>
        <v/>
      </c>
      <c r="M247" s="20" t="str">
        <f aca="false">IF(K247="","",IF(K247&gt;=CONFIG!$E$21,CONFIG!$F$21,IF(K247&gt;=CONFIG!$E$20,CONFIG!$F$20,CONFIG!$F$19)))</f>
        <v/>
      </c>
      <c r="N247" s="19" t="str">
        <f aca="false">IF(I247="","",IF(I247&lt;=M247,"OK","ALTA"))</f>
        <v/>
      </c>
      <c r="O247" s="13"/>
    </row>
    <row r="248" customFormat="false" ht="15" hidden="false" customHeight="false" outlineLevel="0" collapsed="false">
      <c r="A248" s="11" t="str">
        <f aca="false">IF(C248="","",ROW()-4)</f>
        <v/>
      </c>
      <c r="B248" s="12"/>
      <c r="C248" s="13"/>
      <c r="D248" s="11" t="str">
        <f aca="false">IF(C248="","",IFERROR(INDEX(LOTES!$D$5:$D$1004,MATCH(C248,LOTES!$F$5:$F$1004,0)),"¿Lote?"))</f>
        <v/>
      </c>
      <c r="E248" s="11" t="str">
        <f aca="false">IF(C248="","",IFERROR(INDEX(LOTES!$C$5:$C$1004,MATCH(C248,LOTES!$F$5:$F$1004,0)),""))</f>
        <v/>
      </c>
      <c r="F248" s="27"/>
      <c r="G248" s="27"/>
      <c r="H248" s="27"/>
      <c r="I248" s="20" t="str">
        <f aca="false">IF(AND(ISNUMBER(F248),ISNUMBER(G248),ISNUMBER(H248),F248&gt;G248,H248&gt;0),(F248-H248)/(F248-G248)*1000,"")</f>
        <v/>
      </c>
      <c r="J248" s="17" t="str">
        <f aca="false">IF(AND(ISNUMBER(F248),ISNUMBER(G248),ISNUMBER(H248),F248&gt;G248,H248&gt;0),(F248-H248)/H248,"")</f>
        <v/>
      </c>
      <c r="K248" s="20" t="str">
        <f aca="false">IF(AND(ISNUMBER(F248),ISNUMBER(G248),ISNUMBER(H248),F248&gt;G248,H248&gt;0),H248/(F248-G248)*1000,"")</f>
        <v/>
      </c>
      <c r="L248" s="11" t="str">
        <f aca="false">IF(K248="","",IF(K248&gt;=CONFIG!$E$21,CONFIG!$D$21,IF(K248&gt;=CONFIG!$E$20,CONFIG!$D$20,CONFIG!$D$19)))</f>
        <v/>
      </c>
      <c r="M248" s="20" t="str">
        <f aca="false">IF(K248="","",IF(K248&gt;=CONFIG!$E$21,CONFIG!$F$21,IF(K248&gt;=CONFIG!$E$20,CONFIG!$F$20,CONFIG!$F$19)))</f>
        <v/>
      </c>
      <c r="N248" s="19" t="str">
        <f aca="false">IF(I248="","",IF(I248&lt;=M248,"OK","ALTA"))</f>
        <v/>
      </c>
      <c r="O248" s="13"/>
    </row>
    <row r="249" customFormat="false" ht="15" hidden="false" customHeight="false" outlineLevel="0" collapsed="false">
      <c r="A249" s="11" t="str">
        <f aca="false">IF(C249="","",ROW()-4)</f>
        <v/>
      </c>
      <c r="B249" s="12"/>
      <c r="C249" s="13"/>
      <c r="D249" s="11" t="str">
        <f aca="false">IF(C249="","",IFERROR(INDEX(LOTES!$D$5:$D$1004,MATCH(C249,LOTES!$F$5:$F$1004,0)),"¿Lote?"))</f>
        <v/>
      </c>
      <c r="E249" s="11" t="str">
        <f aca="false">IF(C249="","",IFERROR(INDEX(LOTES!$C$5:$C$1004,MATCH(C249,LOTES!$F$5:$F$1004,0)),""))</f>
        <v/>
      </c>
      <c r="F249" s="27"/>
      <c r="G249" s="27"/>
      <c r="H249" s="27"/>
      <c r="I249" s="20" t="str">
        <f aca="false">IF(AND(ISNUMBER(F249),ISNUMBER(G249),ISNUMBER(H249),F249&gt;G249,H249&gt;0),(F249-H249)/(F249-G249)*1000,"")</f>
        <v/>
      </c>
      <c r="J249" s="17" t="str">
        <f aca="false">IF(AND(ISNUMBER(F249),ISNUMBER(G249),ISNUMBER(H249),F249&gt;G249,H249&gt;0),(F249-H249)/H249,"")</f>
        <v/>
      </c>
      <c r="K249" s="20" t="str">
        <f aca="false">IF(AND(ISNUMBER(F249),ISNUMBER(G249),ISNUMBER(H249),F249&gt;G249,H249&gt;0),H249/(F249-G249)*1000,"")</f>
        <v/>
      </c>
      <c r="L249" s="11" t="str">
        <f aca="false">IF(K249="","",IF(K249&gt;=CONFIG!$E$21,CONFIG!$D$21,IF(K249&gt;=CONFIG!$E$20,CONFIG!$D$20,CONFIG!$D$19)))</f>
        <v/>
      </c>
      <c r="M249" s="20" t="str">
        <f aca="false">IF(K249="","",IF(K249&gt;=CONFIG!$E$21,CONFIG!$F$21,IF(K249&gt;=CONFIG!$E$20,CONFIG!$F$20,CONFIG!$F$19)))</f>
        <v/>
      </c>
      <c r="N249" s="19" t="str">
        <f aca="false">IF(I249="","",IF(I249&lt;=M249,"OK","ALTA"))</f>
        <v/>
      </c>
      <c r="O249" s="13"/>
    </row>
    <row r="250" customFormat="false" ht="15" hidden="false" customHeight="false" outlineLevel="0" collapsed="false">
      <c r="A250" s="11" t="str">
        <f aca="false">IF(C250="","",ROW()-4)</f>
        <v/>
      </c>
      <c r="B250" s="12"/>
      <c r="C250" s="13"/>
      <c r="D250" s="11" t="str">
        <f aca="false">IF(C250="","",IFERROR(INDEX(LOTES!$D$5:$D$1004,MATCH(C250,LOTES!$F$5:$F$1004,0)),"¿Lote?"))</f>
        <v/>
      </c>
      <c r="E250" s="11" t="str">
        <f aca="false">IF(C250="","",IFERROR(INDEX(LOTES!$C$5:$C$1004,MATCH(C250,LOTES!$F$5:$F$1004,0)),""))</f>
        <v/>
      </c>
      <c r="F250" s="27"/>
      <c r="G250" s="27"/>
      <c r="H250" s="27"/>
      <c r="I250" s="20" t="str">
        <f aca="false">IF(AND(ISNUMBER(F250),ISNUMBER(G250),ISNUMBER(H250),F250&gt;G250,H250&gt;0),(F250-H250)/(F250-G250)*1000,"")</f>
        <v/>
      </c>
      <c r="J250" s="17" t="str">
        <f aca="false">IF(AND(ISNUMBER(F250),ISNUMBER(G250),ISNUMBER(H250),F250&gt;G250,H250&gt;0),(F250-H250)/H250,"")</f>
        <v/>
      </c>
      <c r="K250" s="20" t="str">
        <f aca="false">IF(AND(ISNUMBER(F250),ISNUMBER(G250),ISNUMBER(H250),F250&gt;G250,H250&gt;0),H250/(F250-G250)*1000,"")</f>
        <v/>
      </c>
      <c r="L250" s="11" t="str">
        <f aca="false">IF(K250="","",IF(K250&gt;=CONFIG!$E$21,CONFIG!$D$21,IF(K250&gt;=CONFIG!$E$20,CONFIG!$D$20,CONFIG!$D$19)))</f>
        <v/>
      </c>
      <c r="M250" s="20" t="str">
        <f aca="false">IF(K250="","",IF(K250&gt;=CONFIG!$E$21,CONFIG!$F$21,IF(K250&gt;=CONFIG!$E$20,CONFIG!$F$20,CONFIG!$F$19)))</f>
        <v/>
      </c>
      <c r="N250" s="19" t="str">
        <f aca="false">IF(I250="","",IF(I250&lt;=M250,"OK","ALTA"))</f>
        <v/>
      </c>
      <c r="O250" s="13"/>
    </row>
    <row r="251" customFormat="false" ht="15" hidden="false" customHeight="false" outlineLevel="0" collapsed="false">
      <c r="A251" s="11" t="str">
        <f aca="false">IF(C251="","",ROW()-4)</f>
        <v/>
      </c>
      <c r="B251" s="12"/>
      <c r="C251" s="13"/>
      <c r="D251" s="11" t="str">
        <f aca="false">IF(C251="","",IFERROR(INDEX(LOTES!$D$5:$D$1004,MATCH(C251,LOTES!$F$5:$F$1004,0)),"¿Lote?"))</f>
        <v/>
      </c>
      <c r="E251" s="11" t="str">
        <f aca="false">IF(C251="","",IFERROR(INDEX(LOTES!$C$5:$C$1004,MATCH(C251,LOTES!$F$5:$F$1004,0)),""))</f>
        <v/>
      </c>
      <c r="F251" s="27"/>
      <c r="G251" s="27"/>
      <c r="H251" s="27"/>
      <c r="I251" s="20" t="str">
        <f aca="false">IF(AND(ISNUMBER(F251),ISNUMBER(G251),ISNUMBER(H251),F251&gt;G251,H251&gt;0),(F251-H251)/(F251-G251)*1000,"")</f>
        <v/>
      </c>
      <c r="J251" s="17" t="str">
        <f aca="false">IF(AND(ISNUMBER(F251),ISNUMBER(G251),ISNUMBER(H251),F251&gt;G251,H251&gt;0),(F251-H251)/H251,"")</f>
        <v/>
      </c>
      <c r="K251" s="20" t="str">
        <f aca="false">IF(AND(ISNUMBER(F251),ISNUMBER(G251),ISNUMBER(H251),F251&gt;G251,H251&gt;0),H251/(F251-G251)*1000,"")</f>
        <v/>
      </c>
      <c r="L251" s="11" t="str">
        <f aca="false">IF(K251="","",IF(K251&gt;=CONFIG!$E$21,CONFIG!$D$21,IF(K251&gt;=CONFIG!$E$20,CONFIG!$D$20,CONFIG!$D$19)))</f>
        <v/>
      </c>
      <c r="M251" s="20" t="str">
        <f aca="false">IF(K251="","",IF(K251&gt;=CONFIG!$E$21,CONFIG!$F$21,IF(K251&gt;=CONFIG!$E$20,CONFIG!$F$20,CONFIG!$F$19)))</f>
        <v/>
      </c>
      <c r="N251" s="19" t="str">
        <f aca="false">IF(I251="","",IF(I251&lt;=M251,"OK","ALTA"))</f>
        <v/>
      </c>
      <c r="O251" s="13"/>
    </row>
    <row r="252" customFormat="false" ht="15" hidden="false" customHeight="false" outlineLevel="0" collapsed="false">
      <c r="A252" s="11" t="str">
        <f aca="false">IF(C252="","",ROW()-4)</f>
        <v/>
      </c>
      <c r="B252" s="12"/>
      <c r="C252" s="13"/>
      <c r="D252" s="11" t="str">
        <f aca="false">IF(C252="","",IFERROR(INDEX(LOTES!$D$5:$D$1004,MATCH(C252,LOTES!$F$5:$F$1004,0)),"¿Lote?"))</f>
        <v/>
      </c>
      <c r="E252" s="11" t="str">
        <f aca="false">IF(C252="","",IFERROR(INDEX(LOTES!$C$5:$C$1004,MATCH(C252,LOTES!$F$5:$F$1004,0)),""))</f>
        <v/>
      </c>
      <c r="F252" s="27"/>
      <c r="G252" s="27"/>
      <c r="H252" s="27"/>
      <c r="I252" s="20" t="str">
        <f aca="false">IF(AND(ISNUMBER(F252),ISNUMBER(G252),ISNUMBER(H252),F252&gt;G252,H252&gt;0),(F252-H252)/(F252-G252)*1000,"")</f>
        <v/>
      </c>
      <c r="J252" s="17" t="str">
        <f aca="false">IF(AND(ISNUMBER(F252),ISNUMBER(G252),ISNUMBER(H252),F252&gt;G252,H252&gt;0),(F252-H252)/H252,"")</f>
        <v/>
      </c>
      <c r="K252" s="20" t="str">
        <f aca="false">IF(AND(ISNUMBER(F252),ISNUMBER(G252),ISNUMBER(H252),F252&gt;G252,H252&gt;0),H252/(F252-G252)*1000,"")</f>
        <v/>
      </c>
      <c r="L252" s="11" t="str">
        <f aca="false">IF(K252="","",IF(K252&gt;=CONFIG!$E$21,CONFIG!$D$21,IF(K252&gt;=CONFIG!$E$20,CONFIG!$D$20,CONFIG!$D$19)))</f>
        <v/>
      </c>
      <c r="M252" s="20" t="str">
        <f aca="false">IF(K252="","",IF(K252&gt;=CONFIG!$E$21,CONFIG!$F$21,IF(K252&gt;=CONFIG!$E$20,CONFIG!$F$20,CONFIG!$F$19)))</f>
        <v/>
      </c>
      <c r="N252" s="19" t="str">
        <f aca="false">IF(I252="","",IF(I252&lt;=M252,"OK","ALTA"))</f>
        <v/>
      </c>
      <c r="O252" s="13"/>
    </row>
    <row r="253" customFormat="false" ht="15" hidden="false" customHeight="false" outlineLevel="0" collapsed="false">
      <c r="A253" s="11" t="str">
        <f aca="false">IF(C253="","",ROW()-4)</f>
        <v/>
      </c>
      <c r="B253" s="12"/>
      <c r="C253" s="13"/>
      <c r="D253" s="11" t="str">
        <f aca="false">IF(C253="","",IFERROR(INDEX(LOTES!$D$5:$D$1004,MATCH(C253,LOTES!$F$5:$F$1004,0)),"¿Lote?"))</f>
        <v/>
      </c>
      <c r="E253" s="11" t="str">
        <f aca="false">IF(C253="","",IFERROR(INDEX(LOTES!$C$5:$C$1004,MATCH(C253,LOTES!$F$5:$F$1004,0)),""))</f>
        <v/>
      </c>
      <c r="F253" s="27"/>
      <c r="G253" s="27"/>
      <c r="H253" s="27"/>
      <c r="I253" s="20" t="str">
        <f aca="false">IF(AND(ISNUMBER(F253),ISNUMBER(G253),ISNUMBER(H253),F253&gt;G253,H253&gt;0),(F253-H253)/(F253-G253)*1000,"")</f>
        <v/>
      </c>
      <c r="J253" s="17" t="str">
        <f aca="false">IF(AND(ISNUMBER(F253),ISNUMBER(G253),ISNUMBER(H253),F253&gt;G253,H253&gt;0),(F253-H253)/H253,"")</f>
        <v/>
      </c>
      <c r="K253" s="20" t="str">
        <f aca="false">IF(AND(ISNUMBER(F253),ISNUMBER(G253),ISNUMBER(H253),F253&gt;G253,H253&gt;0),H253/(F253-G253)*1000,"")</f>
        <v/>
      </c>
      <c r="L253" s="11" t="str">
        <f aca="false">IF(K253="","",IF(K253&gt;=CONFIG!$E$21,CONFIG!$D$21,IF(K253&gt;=CONFIG!$E$20,CONFIG!$D$20,CONFIG!$D$19)))</f>
        <v/>
      </c>
      <c r="M253" s="20" t="str">
        <f aca="false">IF(K253="","",IF(K253&gt;=CONFIG!$E$21,CONFIG!$F$21,IF(K253&gt;=CONFIG!$E$20,CONFIG!$F$20,CONFIG!$F$19)))</f>
        <v/>
      </c>
      <c r="N253" s="19" t="str">
        <f aca="false">IF(I253="","",IF(I253&lt;=M253,"OK","ALTA"))</f>
        <v/>
      </c>
      <c r="O253" s="13"/>
    </row>
    <row r="254" customFormat="false" ht="15" hidden="false" customHeight="false" outlineLevel="0" collapsed="false">
      <c r="A254" s="11" t="str">
        <f aca="false">IF(C254="","",ROW()-4)</f>
        <v/>
      </c>
      <c r="B254" s="12"/>
      <c r="C254" s="13"/>
      <c r="D254" s="11" t="str">
        <f aca="false">IF(C254="","",IFERROR(INDEX(LOTES!$D$5:$D$1004,MATCH(C254,LOTES!$F$5:$F$1004,0)),"¿Lote?"))</f>
        <v/>
      </c>
      <c r="E254" s="11" t="str">
        <f aca="false">IF(C254="","",IFERROR(INDEX(LOTES!$C$5:$C$1004,MATCH(C254,LOTES!$F$5:$F$1004,0)),""))</f>
        <v/>
      </c>
      <c r="F254" s="27"/>
      <c r="G254" s="27"/>
      <c r="H254" s="27"/>
      <c r="I254" s="20" t="str">
        <f aca="false">IF(AND(ISNUMBER(F254),ISNUMBER(G254),ISNUMBER(H254),F254&gt;G254,H254&gt;0),(F254-H254)/(F254-G254)*1000,"")</f>
        <v/>
      </c>
      <c r="J254" s="17" t="str">
        <f aca="false">IF(AND(ISNUMBER(F254),ISNUMBER(G254),ISNUMBER(H254),F254&gt;G254,H254&gt;0),(F254-H254)/H254,"")</f>
        <v/>
      </c>
      <c r="K254" s="20" t="str">
        <f aca="false">IF(AND(ISNUMBER(F254),ISNUMBER(G254),ISNUMBER(H254),F254&gt;G254,H254&gt;0),H254/(F254-G254)*1000,"")</f>
        <v/>
      </c>
      <c r="L254" s="11" t="str">
        <f aca="false">IF(K254="","",IF(K254&gt;=CONFIG!$E$21,CONFIG!$D$21,IF(K254&gt;=CONFIG!$E$20,CONFIG!$D$20,CONFIG!$D$19)))</f>
        <v/>
      </c>
      <c r="M254" s="20" t="str">
        <f aca="false">IF(K254="","",IF(K254&gt;=CONFIG!$E$21,CONFIG!$F$21,IF(K254&gt;=CONFIG!$E$20,CONFIG!$F$20,CONFIG!$F$19)))</f>
        <v/>
      </c>
      <c r="N254" s="19" t="str">
        <f aca="false">IF(I254="","",IF(I254&lt;=M254,"OK","ALTA"))</f>
        <v/>
      </c>
      <c r="O254" s="13"/>
    </row>
    <row r="255" customFormat="false" ht="15" hidden="false" customHeight="false" outlineLevel="0" collapsed="false">
      <c r="A255" s="11" t="str">
        <f aca="false">IF(C255="","",ROW()-4)</f>
        <v/>
      </c>
      <c r="B255" s="12"/>
      <c r="C255" s="13"/>
      <c r="D255" s="11" t="str">
        <f aca="false">IF(C255="","",IFERROR(INDEX(LOTES!$D$5:$D$1004,MATCH(C255,LOTES!$F$5:$F$1004,0)),"¿Lote?"))</f>
        <v/>
      </c>
      <c r="E255" s="11" t="str">
        <f aca="false">IF(C255="","",IFERROR(INDEX(LOTES!$C$5:$C$1004,MATCH(C255,LOTES!$F$5:$F$1004,0)),""))</f>
        <v/>
      </c>
      <c r="F255" s="27"/>
      <c r="G255" s="27"/>
      <c r="H255" s="27"/>
      <c r="I255" s="20" t="str">
        <f aca="false">IF(AND(ISNUMBER(F255),ISNUMBER(G255),ISNUMBER(H255),F255&gt;G255,H255&gt;0),(F255-H255)/(F255-G255)*1000,"")</f>
        <v/>
      </c>
      <c r="J255" s="17" t="str">
        <f aca="false">IF(AND(ISNUMBER(F255),ISNUMBER(G255),ISNUMBER(H255),F255&gt;G255,H255&gt;0),(F255-H255)/H255,"")</f>
        <v/>
      </c>
      <c r="K255" s="20" t="str">
        <f aca="false">IF(AND(ISNUMBER(F255),ISNUMBER(G255),ISNUMBER(H255),F255&gt;G255,H255&gt;0),H255/(F255-G255)*1000,"")</f>
        <v/>
      </c>
      <c r="L255" s="11" t="str">
        <f aca="false">IF(K255="","",IF(K255&gt;=CONFIG!$E$21,CONFIG!$D$21,IF(K255&gt;=CONFIG!$E$20,CONFIG!$D$20,CONFIG!$D$19)))</f>
        <v/>
      </c>
      <c r="M255" s="20" t="str">
        <f aca="false">IF(K255="","",IF(K255&gt;=CONFIG!$E$21,CONFIG!$F$21,IF(K255&gt;=CONFIG!$E$20,CONFIG!$F$20,CONFIG!$F$19)))</f>
        <v/>
      </c>
      <c r="N255" s="19" t="str">
        <f aca="false">IF(I255="","",IF(I255&lt;=M255,"OK","ALTA"))</f>
        <v/>
      </c>
      <c r="O255" s="13"/>
    </row>
    <row r="256" customFormat="false" ht="15" hidden="false" customHeight="false" outlineLevel="0" collapsed="false">
      <c r="A256" s="11" t="str">
        <f aca="false">IF(C256="","",ROW()-4)</f>
        <v/>
      </c>
      <c r="B256" s="12"/>
      <c r="C256" s="13"/>
      <c r="D256" s="11" t="str">
        <f aca="false">IF(C256="","",IFERROR(INDEX(LOTES!$D$5:$D$1004,MATCH(C256,LOTES!$F$5:$F$1004,0)),"¿Lote?"))</f>
        <v/>
      </c>
      <c r="E256" s="11" t="str">
        <f aca="false">IF(C256="","",IFERROR(INDEX(LOTES!$C$5:$C$1004,MATCH(C256,LOTES!$F$5:$F$1004,0)),""))</f>
        <v/>
      </c>
      <c r="F256" s="27"/>
      <c r="G256" s="27"/>
      <c r="H256" s="27"/>
      <c r="I256" s="20" t="str">
        <f aca="false">IF(AND(ISNUMBER(F256),ISNUMBER(G256),ISNUMBER(H256),F256&gt;G256,H256&gt;0),(F256-H256)/(F256-G256)*1000,"")</f>
        <v/>
      </c>
      <c r="J256" s="17" t="str">
        <f aca="false">IF(AND(ISNUMBER(F256),ISNUMBER(G256),ISNUMBER(H256),F256&gt;G256,H256&gt;0),(F256-H256)/H256,"")</f>
        <v/>
      </c>
      <c r="K256" s="20" t="str">
        <f aca="false">IF(AND(ISNUMBER(F256),ISNUMBER(G256),ISNUMBER(H256),F256&gt;G256,H256&gt;0),H256/(F256-G256)*1000,"")</f>
        <v/>
      </c>
      <c r="L256" s="11" t="str">
        <f aca="false">IF(K256="","",IF(K256&gt;=CONFIG!$E$21,CONFIG!$D$21,IF(K256&gt;=CONFIG!$E$20,CONFIG!$D$20,CONFIG!$D$19)))</f>
        <v/>
      </c>
      <c r="M256" s="20" t="str">
        <f aca="false">IF(K256="","",IF(K256&gt;=CONFIG!$E$21,CONFIG!$F$21,IF(K256&gt;=CONFIG!$E$20,CONFIG!$F$20,CONFIG!$F$19)))</f>
        <v/>
      </c>
      <c r="N256" s="19" t="str">
        <f aca="false">IF(I256="","",IF(I256&lt;=M256,"OK","ALTA"))</f>
        <v/>
      </c>
      <c r="O256" s="13"/>
    </row>
    <row r="257" customFormat="false" ht="15" hidden="false" customHeight="false" outlineLevel="0" collapsed="false">
      <c r="A257" s="11" t="str">
        <f aca="false">IF(C257="","",ROW()-4)</f>
        <v/>
      </c>
      <c r="B257" s="12"/>
      <c r="C257" s="13"/>
      <c r="D257" s="11" t="str">
        <f aca="false">IF(C257="","",IFERROR(INDEX(LOTES!$D$5:$D$1004,MATCH(C257,LOTES!$F$5:$F$1004,0)),"¿Lote?"))</f>
        <v/>
      </c>
      <c r="E257" s="11" t="str">
        <f aca="false">IF(C257="","",IFERROR(INDEX(LOTES!$C$5:$C$1004,MATCH(C257,LOTES!$F$5:$F$1004,0)),""))</f>
        <v/>
      </c>
      <c r="F257" s="27"/>
      <c r="G257" s="27"/>
      <c r="H257" s="27"/>
      <c r="I257" s="20" t="str">
        <f aca="false">IF(AND(ISNUMBER(F257),ISNUMBER(G257),ISNUMBER(H257),F257&gt;G257,H257&gt;0),(F257-H257)/(F257-G257)*1000,"")</f>
        <v/>
      </c>
      <c r="J257" s="17" t="str">
        <f aca="false">IF(AND(ISNUMBER(F257),ISNUMBER(G257),ISNUMBER(H257),F257&gt;G257,H257&gt;0),(F257-H257)/H257,"")</f>
        <v/>
      </c>
      <c r="K257" s="20" t="str">
        <f aca="false">IF(AND(ISNUMBER(F257),ISNUMBER(G257),ISNUMBER(H257),F257&gt;G257,H257&gt;0),H257/(F257-G257)*1000,"")</f>
        <v/>
      </c>
      <c r="L257" s="11" t="str">
        <f aca="false">IF(K257="","",IF(K257&gt;=CONFIG!$E$21,CONFIG!$D$21,IF(K257&gt;=CONFIG!$E$20,CONFIG!$D$20,CONFIG!$D$19)))</f>
        <v/>
      </c>
      <c r="M257" s="20" t="str">
        <f aca="false">IF(K257="","",IF(K257&gt;=CONFIG!$E$21,CONFIG!$F$21,IF(K257&gt;=CONFIG!$E$20,CONFIG!$F$20,CONFIG!$F$19)))</f>
        <v/>
      </c>
      <c r="N257" s="19" t="str">
        <f aca="false">IF(I257="","",IF(I257&lt;=M257,"OK","ALTA"))</f>
        <v/>
      </c>
      <c r="O257" s="13"/>
    </row>
    <row r="258" customFormat="false" ht="15" hidden="false" customHeight="false" outlineLevel="0" collapsed="false">
      <c r="A258" s="11" t="str">
        <f aca="false">IF(C258="","",ROW()-4)</f>
        <v/>
      </c>
      <c r="B258" s="12"/>
      <c r="C258" s="13"/>
      <c r="D258" s="11" t="str">
        <f aca="false">IF(C258="","",IFERROR(INDEX(LOTES!$D$5:$D$1004,MATCH(C258,LOTES!$F$5:$F$1004,0)),"¿Lote?"))</f>
        <v/>
      </c>
      <c r="E258" s="11" t="str">
        <f aca="false">IF(C258="","",IFERROR(INDEX(LOTES!$C$5:$C$1004,MATCH(C258,LOTES!$F$5:$F$1004,0)),""))</f>
        <v/>
      </c>
      <c r="F258" s="27"/>
      <c r="G258" s="27"/>
      <c r="H258" s="27"/>
      <c r="I258" s="20" t="str">
        <f aca="false">IF(AND(ISNUMBER(F258),ISNUMBER(G258),ISNUMBER(H258),F258&gt;G258,H258&gt;0),(F258-H258)/(F258-G258)*1000,"")</f>
        <v/>
      </c>
      <c r="J258" s="17" t="str">
        <f aca="false">IF(AND(ISNUMBER(F258),ISNUMBER(G258),ISNUMBER(H258),F258&gt;G258,H258&gt;0),(F258-H258)/H258,"")</f>
        <v/>
      </c>
      <c r="K258" s="20" t="str">
        <f aca="false">IF(AND(ISNUMBER(F258),ISNUMBER(G258),ISNUMBER(H258),F258&gt;G258,H258&gt;0),H258/(F258-G258)*1000,"")</f>
        <v/>
      </c>
      <c r="L258" s="11" t="str">
        <f aca="false">IF(K258="","",IF(K258&gt;=CONFIG!$E$21,CONFIG!$D$21,IF(K258&gt;=CONFIG!$E$20,CONFIG!$D$20,CONFIG!$D$19)))</f>
        <v/>
      </c>
      <c r="M258" s="20" t="str">
        <f aca="false">IF(K258="","",IF(K258&gt;=CONFIG!$E$21,CONFIG!$F$21,IF(K258&gt;=CONFIG!$E$20,CONFIG!$F$20,CONFIG!$F$19)))</f>
        <v/>
      </c>
      <c r="N258" s="19" t="str">
        <f aca="false">IF(I258="","",IF(I258&lt;=M258,"OK","ALTA"))</f>
        <v/>
      </c>
      <c r="O258" s="13"/>
    </row>
    <row r="259" customFormat="false" ht="15" hidden="false" customHeight="false" outlineLevel="0" collapsed="false">
      <c r="A259" s="11" t="str">
        <f aca="false">IF(C259="","",ROW()-4)</f>
        <v/>
      </c>
      <c r="B259" s="12"/>
      <c r="C259" s="13"/>
      <c r="D259" s="11" t="str">
        <f aca="false">IF(C259="","",IFERROR(INDEX(LOTES!$D$5:$D$1004,MATCH(C259,LOTES!$F$5:$F$1004,0)),"¿Lote?"))</f>
        <v/>
      </c>
      <c r="E259" s="11" t="str">
        <f aca="false">IF(C259="","",IFERROR(INDEX(LOTES!$C$5:$C$1004,MATCH(C259,LOTES!$F$5:$F$1004,0)),""))</f>
        <v/>
      </c>
      <c r="F259" s="27"/>
      <c r="G259" s="27"/>
      <c r="H259" s="27"/>
      <c r="I259" s="20" t="str">
        <f aca="false">IF(AND(ISNUMBER(F259),ISNUMBER(G259),ISNUMBER(H259),F259&gt;G259,H259&gt;0),(F259-H259)/(F259-G259)*1000,"")</f>
        <v/>
      </c>
      <c r="J259" s="17" t="str">
        <f aca="false">IF(AND(ISNUMBER(F259),ISNUMBER(G259),ISNUMBER(H259),F259&gt;G259,H259&gt;0),(F259-H259)/H259,"")</f>
        <v/>
      </c>
      <c r="K259" s="20" t="str">
        <f aca="false">IF(AND(ISNUMBER(F259),ISNUMBER(G259),ISNUMBER(H259),F259&gt;G259,H259&gt;0),H259/(F259-G259)*1000,"")</f>
        <v/>
      </c>
      <c r="L259" s="11" t="str">
        <f aca="false">IF(K259="","",IF(K259&gt;=CONFIG!$E$21,CONFIG!$D$21,IF(K259&gt;=CONFIG!$E$20,CONFIG!$D$20,CONFIG!$D$19)))</f>
        <v/>
      </c>
      <c r="M259" s="20" t="str">
        <f aca="false">IF(K259="","",IF(K259&gt;=CONFIG!$E$21,CONFIG!$F$21,IF(K259&gt;=CONFIG!$E$20,CONFIG!$F$20,CONFIG!$F$19)))</f>
        <v/>
      </c>
      <c r="N259" s="19" t="str">
        <f aca="false">IF(I259="","",IF(I259&lt;=M259,"OK","ALTA"))</f>
        <v/>
      </c>
      <c r="O259" s="13"/>
    </row>
    <row r="260" customFormat="false" ht="15" hidden="false" customHeight="false" outlineLevel="0" collapsed="false">
      <c r="A260" s="11" t="str">
        <f aca="false">IF(C260="","",ROW()-4)</f>
        <v/>
      </c>
      <c r="B260" s="12"/>
      <c r="C260" s="13"/>
      <c r="D260" s="11" t="str">
        <f aca="false">IF(C260="","",IFERROR(INDEX(LOTES!$D$5:$D$1004,MATCH(C260,LOTES!$F$5:$F$1004,0)),"¿Lote?"))</f>
        <v/>
      </c>
      <c r="E260" s="11" t="str">
        <f aca="false">IF(C260="","",IFERROR(INDEX(LOTES!$C$5:$C$1004,MATCH(C260,LOTES!$F$5:$F$1004,0)),""))</f>
        <v/>
      </c>
      <c r="F260" s="27"/>
      <c r="G260" s="27"/>
      <c r="H260" s="27"/>
      <c r="I260" s="20" t="str">
        <f aca="false">IF(AND(ISNUMBER(F260),ISNUMBER(G260),ISNUMBER(H260),F260&gt;G260,H260&gt;0),(F260-H260)/(F260-G260)*1000,"")</f>
        <v/>
      </c>
      <c r="J260" s="17" t="str">
        <f aca="false">IF(AND(ISNUMBER(F260),ISNUMBER(G260),ISNUMBER(H260),F260&gt;G260,H260&gt;0),(F260-H260)/H260,"")</f>
        <v/>
      </c>
      <c r="K260" s="20" t="str">
        <f aca="false">IF(AND(ISNUMBER(F260),ISNUMBER(G260),ISNUMBER(H260),F260&gt;G260,H260&gt;0),H260/(F260-G260)*1000,"")</f>
        <v/>
      </c>
      <c r="L260" s="11" t="str">
        <f aca="false">IF(K260="","",IF(K260&gt;=CONFIG!$E$21,CONFIG!$D$21,IF(K260&gt;=CONFIG!$E$20,CONFIG!$D$20,CONFIG!$D$19)))</f>
        <v/>
      </c>
      <c r="M260" s="20" t="str">
        <f aca="false">IF(K260="","",IF(K260&gt;=CONFIG!$E$21,CONFIG!$F$21,IF(K260&gt;=CONFIG!$E$20,CONFIG!$F$20,CONFIG!$F$19)))</f>
        <v/>
      </c>
      <c r="N260" s="19" t="str">
        <f aca="false">IF(I260="","",IF(I260&lt;=M260,"OK","ALTA"))</f>
        <v/>
      </c>
      <c r="O260" s="13"/>
    </row>
    <row r="261" customFormat="false" ht="15" hidden="false" customHeight="false" outlineLevel="0" collapsed="false">
      <c r="A261" s="11" t="str">
        <f aca="false">IF(C261="","",ROW()-4)</f>
        <v/>
      </c>
      <c r="B261" s="12"/>
      <c r="C261" s="13"/>
      <c r="D261" s="11" t="str">
        <f aca="false">IF(C261="","",IFERROR(INDEX(LOTES!$D$5:$D$1004,MATCH(C261,LOTES!$F$5:$F$1004,0)),"¿Lote?"))</f>
        <v/>
      </c>
      <c r="E261" s="11" t="str">
        <f aca="false">IF(C261="","",IFERROR(INDEX(LOTES!$C$5:$C$1004,MATCH(C261,LOTES!$F$5:$F$1004,0)),""))</f>
        <v/>
      </c>
      <c r="F261" s="27"/>
      <c r="G261" s="27"/>
      <c r="H261" s="27"/>
      <c r="I261" s="20" t="str">
        <f aca="false">IF(AND(ISNUMBER(F261),ISNUMBER(G261),ISNUMBER(H261),F261&gt;G261,H261&gt;0),(F261-H261)/(F261-G261)*1000,"")</f>
        <v/>
      </c>
      <c r="J261" s="17" t="str">
        <f aca="false">IF(AND(ISNUMBER(F261),ISNUMBER(G261),ISNUMBER(H261),F261&gt;G261,H261&gt;0),(F261-H261)/H261,"")</f>
        <v/>
      </c>
      <c r="K261" s="20" t="str">
        <f aca="false">IF(AND(ISNUMBER(F261),ISNUMBER(G261),ISNUMBER(H261),F261&gt;G261,H261&gt;0),H261/(F261-G261)*1000,"")</f>
        <v/>
      </c>
      <c r="L261" s="11" t="str">
        <f aca="false">IF(K261="","",IF(K261&gt;=CONFIG!$E$21,CONFIG!$D$21,IF(K261&gt;=CONFIG!$E$20,CONFIG!$D$20,CONFIG!$D$19)))</f>
        <v/>
      </c>
      <c r="M261" s="20" t="str">
        <f aca="false">IF(K261="","",IF(K261&gt;=CONFIG!$E$21,CONFIG!$F$21,IF(K261&gt;=CONFIG!$E$20,CONFIG!$F$20,CONFIG!$F$19)))</f>
        <v/>
      </c>
      <c r="N261" s="19" t="str">
        <f aca="false">IF(I261="","",IF(I261&lt;=M261,"OK","ALTA"))</f>
        <v/>
      </c>
      <c r="O261" s="13"/>
    </row>
    <row r="262" customFormat="false" ht="15" hidden="false" customHeight="false" outlineLevel="0" collapsed="false">
      <c r="A262" s="11" t="str">
        <f aca="false">IF(C262="","",ROW()-4)</f>
        <v/>
      </c>
      <c r="B262" s="12"/>
      <c r="C262" s="13"/>
      <c r="D262" s="11" t="str">
        <f aca="false">IF(C262="","",IFERROR(INDEX(LOTES!$D$5:$D$1004,MATCH(C262,LOTES!$F$5:$F$1004,0)),"¿Lote?"))</f>
        <v/>
      </c>
      <c r="E262" s="11" t="str">
        <f aca="false">IF(C262="","",IFERROR(INDEX(LOTES!$C$5:$C$1004,MATCH(C262,LOTES!$F$5:$F$1004,0)),""))</f>
        <v/>
      </c>
      <c r="F262" s="27"/>
      <c r="G262" s="27"/>
      <c r="H262" s="27"/>
      <c r="I262" s="20" t="str">
        <f aca="false">IF(AND(ISNUMBER(F262),ISNUMBER(G262),ISNUMBER(H262),F262&gt;G262,H262&gt;0),(F262-H262)/(F262-G262)*1000,"")</f>
        <v/>
      </c>
      <c r="J262" s="17" t="str">
        <f aca="false">IF(AND(ISNUMBER(F262),ISNUMBER(G262),ISNUMBER(H262),F262&gt;G262,H262&gt;0),(F262-H262)/H262,"")</f>
        <v/>
      </c>
      <c r="K262" s="20" t="str">
        <f aca="false">IF(AND(ISNUMBER(F262),ISNUMBER(G262),ISNUMBER(H262),F262&gt;G262,H262&gt;0),H262/(F262-G262)*1000,"")</f>
        <v/>
      </c>
      <c r="L262" s="11" t="str">
        <f aca="false">IF(K262="","",IF(K262&gt;=CONFIG!$E$21,CONFIG!$D$21,IF(K262&gt;=CONFIG!$E$20,CONFIG!$D$20,CONFIG!$D$19)))</f>
        <v/>
      </c>
      <c r="M262" s="20" t="str">
        <f aca="false">IF(K262="","",IF(K262&gt;=CONFIG!$E$21,CONFIG!$F$21,IF(K262&gt;=CONFIG!$E$20,CONFIG!$F$20,CONFIG!$F$19)))</f>
        <v/>
      </c>
      <c r="N262" s="19" t="str">
        <f aca="false">IF(I262="","",IF(I262&lt;=M262,"OK","ALTA"))</f>
        <v/>
      </c>
      <c r="O262" s="13"/>
    </row>
    <row r="263" customFormat="false" ht="15" hidden="false" customHeight="false" outlineLevel="0" collapsed="false">
      <c r="A263" s="11" t="str">
        <f aca="false">IF(C263="","",ROW()-4)</f>
        <v/>
      </c>
      <c r="B263" s="12"/>
      <c r="C263" s="13"/>
      <c r="D263" s="11" t="str">
        <f aca="false">IF(C263="","",IFERROR(INDEX(LOTES!$D$5:$D$1004,MATCH(C263,LOTES!$F$5:$F$1004,0)),"¿Lote?"))</f>
        <v/>
      </c>
      <c r="E263" s="11" t="str">
        <f aca="false">IF(C263="","",IFERROR(INDEX(LOTES!$C$5:$C$1004,MATCH(C263,LOTES!$F$5:$F$1004,0)),""))</f>
        <v/>
      </c>
      <c r="F263" s="27"/>
      <c r="G263" s="27"/>
      <c r="H263" s="27"/>
      <c r="I263" s="20" t="str">
        <f aca="false">IF(AND(ISNUMBER(F263),ISNUMBER(G263),ISNUMBER(H263),F263&gt;G263,H263&gt;0),(F263-H263)/(F263-G263)*1000,"")</f>
        <v/>
      </c>
      <c r="J263" s="17" t="str">
        <f aca="false">IF(AND(ISNUMBER(F263),ISNUMBER(G263),ISNUMBER(H263),F263&gt;G263,H263&gt;0),(F263-H263)/H263,"")</f>
        <v/>
      </c>
      <c r="K263" s="20" t="str">
        <f aca="false">IF(AND(ISNUMBER(F263),ISNUMBER(G263),ISNUMBER(H263),F263&gt;G263,H263&gt;0),H263/(F263-G263)*1000,"")</f>
        <v/>
      </c>
      <c r="L263" s="11" t="str">
        <f aca="false">IF(K263="","",IF(K263&gt;=CONFIG!$E$21,CONFIG!$D$21,IF(K263&gt;=CONFIG!$E$20,CONFIG!$D$20,CONFIG!$D$19)))</f>
        <v/>
      </c>
      <c r="M263" s="20" t="str">
        <f aca="false">IF(K263="","",IF(K263&gt;=CONFIG!$E$21,CONFIG!$F$21,IF(K263&gt;=CONFIG!$E$20,CONFIG!$F$20,CONFIG!$F$19)))</f>
        <v/>
      </c>
      <c r="N263" s="19" t="str">
        <f aca="false">IF(I263="","",IF(I263&lt;=M263,"OK","ALTA"))</f>
        <v/>
      </c>
      <c r="O263" s="13"/>
    </row>
    <row r="264" customFormat="false" ht="15" hidden="false" customHeight="false" outlineLevel="0" collapsed="false">
      <c r="A264" s="11" t="str">
        <f aca="false">IF(C264="","",ROW()-4)</f>
        <v/>
      </c>
      <c r="B264" s="12"/>
      <c r="C264" s="13"/>
      <c r="D264" s="11" t="str">
        <f aca="false">IF(C264="","",IFERROR(INDEX(LOTES!$D$5:$D$1004,MATCH(C264,LOTES!$F$5:$F$1004,0)),"¿Lote?"))</f>
        <v/>
      </c>
      <c r="E264" s="11" t="str">
        <f aca="false">IF(C264="","",IFERROR(INDEX(LOTES!$C$5:$C$1004,MATCH(C264,LOTES!$F$5:$F$1004,0)),""))</f>
        <v/>
      </c>
      <c r="F264" s="27"/>
      <c r="G264" s="27"/>
      <c r="H264" s="27"/>
      <c r="I264" s="20" t="str">
        <f aca="false">IF(AND(ISNUMBER(F264),ISNUMBER(G264),ISNUMBER(H264),F264&gt;G264,H264&gt;0),(F264-H264)/(F264-G264)*1000,"")</f>
        <v/>
      </c>
      <c r="J264" s="17" t="str">
        <f aca="false">IF(AND(ISNUMBER(F264),ISNUMBER(G264),ISNUMBER(H264),F264&gt;G264,H264&gt;0),(F264-H264)/H264,"")</f>
        <v/>
      </c>
      <c r="K264" s="20" t="str">
        <f aca="false">IF(AND(ISNUMBER(F264),ISNUMBER(G264),ISNUMBER(H264),F264&gt;G264,H264&gt;0),H264/(F264-G264)*1000,"")</f>
        <v/>
      </c>
      <c r="L264" s="11" t="str">
        <f aca="false">IF(K264="","",IF(K264&gt;=CONFIG!$E$21,CONFIG!$D$21,IF(K264&gt;=CONFIG!$E$20,CONFIG!$D$20,CONFIG!$D$19)))</f>
        <v/>
      </c>
      <c r="M264" s="20" t="str">
        <f aca="false">IF(K264="","",IF(K264&gt;=CONFIG!$E$21,CONFIG!$F$21,IF(K264&gt;=CONFIG!$E$20,CONFIG!$F$20,CONFIG!$F$19)))</f>
        <v/>
      </c>
      <c r="N264" s="19" t="str">
        <f aca="false">IF(I264="","",IF(I264&lt;=M264,"OK","ALTA"))</f>
        <v/>
      </c>
      <c r="O264" s="13"/>
    </row>
    <row r="265" customFormat="false" ht="15" hidden="false" customHeight="false" outlineLevel="0" collapsed="false">
      <c r="A265" s="11" t="str">
        <f aca="false">IF(C265="","",ROW()-4)</f>
        <v/>
      </c>
      <c r="B265" s="12"/>
      <c r="C265" s="13"/>
      <c r="D265" s="11" t="str">
        <f aca="false">IF(C265="","",IFERROR(INDEX(LOTES!$D$5:$D$1004,MATCH(C265,LOTES!$F$5:$F$1004,0)),"¿Lote?"))</f>
        <v/>
      </c>
      <c r="E265" s="11" t="str">
        <f aca="false">IF(C265="","",IFERROR(INDEX(LOTES!$C$5:$C$1004,MATCH(C265,LOTES!$F$5:$F$1004,0)),""))</f>
        <v/>
      </c>
      <c r="F265" s="27"/>
      <c r="G265" s="27"/>
      <c r="H265" s="27"/>
      <c r="I265" s="20" t="str">
        <f aca="false">IF(AND(ISNUMBER(F265),ISNUMBER(G265),ISNUMBER(H265),F265&gt;G265,H265&gt;0),(F265-H265)/(F265-G265)*1000,"")</f>
        <v/>
      </c>
      <c r="J265" s="17" t="str">
        <f aca="false">IF(AND(ISNUMBER(F265),ISNUMBER(G265),ISNUMBER(H265),F265&gt;G265,H265&gt;0),(F265-H265)/H265,"")</f>
        <v/>
      </c>
      <c r="K265" s="20" t="str">
        <f aca="false">IF(AND(ISNUMBER(F265),ISNUMBER(G265),ISNUMBER(H265),F265&gt;G265,H265&gt;0),H265/(F265-G265)*1000,"")</f>
        <v/>
      </c>
      <c r="L265" s="11" t="str">
        <f aca="false">IF(K265="","",IF(K265&gt;=CONFIG!$E$21,CONFIG!$D$21,IF(K265&gt;=CONFIG!$E$20,CONFIG!$D$20,CONFIG!$D$19)))</f>
        <v/>
      </c>
      <c r="M265" s="20" t="str">
        <f aca="false">IF(K265="","",IF(K265&gt;=CONFIG!$E$21,CONFIG!$F$21,IF(K265&gt;=CONFIG!$E$20,CONFIG!$F$20,CONFIG!$F$19)))</f>
        <v/>
      </c>
      <c r="N265" s="19" t="str">
        <f aca="false">IF(I265="","",IF(I265&lt;=M265,"OK","ALTA"))</f>
        <v/>
      </c>
      <c r="O265" s="13"/>
    </row>
    <row r="266" customFormat="false" ht="15" hidden="false" customHeight="false" outlineLevel="0" collapsed="false">
      <c r="A266" s="11" t="str">
        <f aca="false">IF(C266="","",ROW()-4)</f>
        <v/>
      </c>
      <c r="B266" s="12"/>
      <c r="C266" s="13"/>
      <c r="D266" s="11" t="str">
        <f aca="false">IF(C266="","",IFERROR(INDEX(LOTES!$D$5:$D$1004,MATCH(C266,LOTES!$F$5:$F$1004,0)),"¿Lote?"))</f>
        <v/>
      </c>
      <c r="E266" s="11" t="str">
        <f aca="false">IF(C266="","",IFERROR(INDEX(LOTES!$C$5:$C$1004,MATCH(C266,LOTES!$F$5:$F$1004,0)),""))</f>
        <v/>
      </c>
      <c r="F266" s="27"/>
      <c r="G266" s="27"/>
      <c r="H266" s="27"/>
      <c r="I266" s="20" t="str">
        <f aca="false">IF(AND(ISNUMBER(F266),ISNUMBER(G266),ISNUMBER(H266),F266&gt;G266,H266&gt;0),(F266-H266)/(F266-G266)*1000,"")</f>
        <v/>
      </c>
      <c r="J266" s="17" t="str">
        <f aca="false">IF(AND(ISNUMBER(F266),ISNUMBER(G266),ISNUMBER(H266),F266&gt;G266,H266&gt;0),(F266-H266)/H266,"")</f>
        <v/>
      </c>
      <c r="K266" s="20" t="str">
        <f aca="false">IF(AND(ISNUMBER(F266),ISNUMBER(G266),ISNUMBER(H266),F266&gt;G266,H266&gt;0),H266/(F266-G266)*1000,"")</f>
        <v/>
      </c>
      <c r="L266" s="11" t="str">
        <f aca="false">IF(K266="","",IF(K266&gt;=CONFIG!$E$21,CONFIG!$D$21,IF(K266&gt;=CONFIG!$E$20,CONFIG!$D$20,CONFIG!$D$19)))</f>
        <v/>
      </c>
      <c r="M266" s="20" t="str">
        <f aca="false">IF(K266="","",IF(K266&gt;=CONFIG!$E$21,CONFIG!$F$21,IF(K266&gt;=CONFIG!$E$20,CONFIG!$F$20,CONFIG!$F$19)))</f>
        <v/>
      </c>
      <c r="N266" s="19" t="str">
        <f aca="false">IF(I266="","",IF(I266&lt;=M266,"OK","ALTA"))</f>
        <v/>
      </c>
      <c r="O266" s="13"/>
    </row>
    <row r="267" customFormat="false" ht="15" hidden="false" customHeight="false" outlineLevel="0" collapsed="false">
      <c r="A267" s="11" t="str">
        <f aca="false">IF(C267="","",ROW()-4)</f>
        <v/>
      </c>
      <c r="B267" s="12"/>
      <c r="C267" s="13"/>
      <c r="D267" s="11" t="str">
        <f aca="false">IF(C267="","",IFERROR(INDEX(LOTES!$D$5:$D$1004,MATCH(C267,LOTES!$F$5:$F$1004,0)),"¿Lote?"))</f>
        <v/>
      </c>
      <c r="E267" s="11" t="str">
        <f aca="false">IF(C267="","",IFERROR(INDEX(LOTES!$C$5:$C$1004,MATCH(C267,LOTES!$F$5:$F$1004,0)),""))</f>
        <v/>
      </c>
      <c r="F267" s="27"/>
      <c r="G267" s="27"/>
      <c r="H267" s="27"/>
      <c r="I267" s="20" t="str">
        <f aca="false">IF(AND(ISNUMBER(F267),ISNUMBER(G267),ISNUMBER(H267),F267&gt;G267,H267&gt;0),(F267-H267)/(F267-G267)*1000,"")</f>
        <v/>
      </c>
      <c r="J267" s="17" t="str">
        <f aca="false">IF(AND(ISNUMBER(F267),ISNUMBER(G267),ISNUMBER(H267),F267&gt;G267,H267&gt;0),(F267-H267)/H267,"")</f>
        <v/>
      </c>
      <c r="K267" s="20" t="str">
        <f aca="false">IF(AND(ISNUMBER(F267),ISNUMBER(G267),ISNUMBER(H267),F267&gt;G267,H267&gt;0),H267/(F267-G267)*1000,"")</f>
        <v/>
      </c>
      <c r="L267" s="11" t="str">
        <f aca="false">IF(K267="","",IF(K267&gt;=CONFIG!$E$21,CONFIG!$D$21,IF(K267&gt;=CONFIG!$E$20,CONFIG!$D$20,CONFIG!$D$19)))</f>
        <v/>
      </c>
      <c r="M267" s="20" t="str">
        <f aca="false">IF(K267="","",IF(K267&gt;=CONFIG!$E$21,CONFIG!$F$21,IF(K267&gt;=CONFIG!$E$20,CONFIG!$F$20,CONFIG!$F$19)))</f>
        <v/>
      </c>
      <c r="N267" s="19" t="str">
        <f aca="false">IF(I267="","",IF(I267&lt;=M267,"OK","ALTA"))</f>
        <v/>
      </c>
      <c r="O267" s="13"/>
    </row>
    <row r="268" customFormat="false" ht="15" hidden="false" customHeight="false" outlineLevel="0" collapsed="false">
      <c r="A268" s="11" t="str">
        <f aca="false">IF(C268="","",ROW()-4)</f>
        <v/>
      </c>
      <c r="B268" s="12"/>
      <c r="C268" s="13"/>
      <c r="D268" s="11" t="str">
        <f aca="false">IF(C268="","",IFERROR(INDEX(LOTES!$D$5:$D$1004,MATCH(C268,LOTES!$F$5:$F$1004,0)),"¿Lote?"))</f>
        <v/>
      </c>
      <c r="E268" s="11" t="str">
        <f aca="false">IF(C268="","",IFERROR(INDEX(LOTES!$C$5:$C$1004,MATCH(C268,LOTES!$F$5:$F$1004,0)),""))</f>
        <v/>
      </c>
      <c r="F268" s="27"/>
      <c r="G268" s="27"/>
      <c r="H268" s="27"/>
      <c r="I268" s="20" t="str">
        <f aca="false">IF(AND(ISNUMBER(F268),ISNUMBER(G268),ISNUMBER(H268),F268&gt;G268,H268&gt;0),(F268-H268)/(F268-G268)*1000,"")</f>
        <v/>
      </c>
      <c r="J268" s="17" t="str">
        <f aca="false">IF(AND(ISNUMBER(F268),ISNUMBER(G268),ISNUMBER(H268),F268&gt;G268,H268&gt;0),(F268-H268)/H268,"")</f>
        <v/>
      </c>
      <c r="K268" s="20" t="str">
        <f aca="false">IF(AND(ISNUMBER(F268),ISNUMBER(G268),ISNUMBER(H268),F268&gt;G268,H268&gt;0),H268/(F268-G268)*1000,"")</f>
        <v/>
      </c>
      <c r="L268" s="11" t="str">
        <f aca="false">IF(K268="","",IF(K268&gt;=CONFIG!$E$21,CONFIG!$D$21,IF(K268&gt;=CONFIG!$E$20,CONFIG!$D$20,CONFIG!$D$19)))</f>
        <v/>
      </c>
      <c r="M268" s="20" t="str">
        <f aca="false">IF(K268="","",IF(K268&gt;=CONFIG!$E$21,CONFIG!$F$21,IF(K268&gt;=CONFIG!$E$20,CONFIG!$F$20,CONFIG!$F$19)))</f>
        <v/>
      </c>
      <c r="N268" s="19" t="str">
        <f aca="false">IF(I268="","",IF(I268&lt;=M268,"OK","ALTA"))</f>
        <v/>
      </c>
      <c r="O268" s="13"/>
    </row>
    <row r="269" customFormat="false" ht="15" hidden="false" customHeight="false" outlineLevel="0" collapsed="false">
      <c r="A269" s="11" t="str">
        <f aca="false">IF(C269="","",ROW()-4)</f>
        <v/>
      </c>
      <c r="B269" s="12"/>
      <c r="C269" s="13"/>
      <c r="D269" s="11" t="str">
        <f aca="false">IF(C269="","",IFERROR(INDEX(LOTES!$D$5:$D$1004,MATCH(C269,LOTES!$F$5:$F$1004,0)),"¿Lote?"))</f>
        <v/>
      </c>
      <c r="E269" s="11" t="str">
        <f aca="false">IF(C269="","",IFERROR(INDEX(LOTES!$C$5:$C$1004,MATCH(C269,LOTES!$F$5:$F$1004,0)),""))</f>
        <v/>
      </c>
      <c r="F269" s="27"/>
      <c r="G269" s="27"/>
      <c r="H269" s="27"/>
      <c r="I269" s="20" t="str">
        <f aca="false">IF(AND(ISNUMBER(F269),ISNUMBER(G269),ISNUMBER(H269),F269&gt;G269,H269&gt;0),(F269-H269)/(F269-G269)*1000,"")</f>
        <v/>
      </c>
      <c r="J269" s="17" t="str">
        <f aca="false">IF(AND(ISNUMBER(F269),ISNUMBER(G269),ISNUMBER(H269),F269&gt;G269,H269&gt;0),(F269-H269)/H269,"")</f>
        <v/>
      </c>
      <c r="K269" s="20" t="str">
        <f aca="false">IF(AND(ISNUMBER(F269),ISNUMBER(G269),ISNUMBER(H269),F269&gt;G269,H269&gt;0),H269/(F269-G269)*1000,"")</f>
        <v/>
      </c>
      <c r="L269" s="11" t="str">
        <f aca="false">IF(K269="","",IF(K269&gt;=CONFIG!$E$21,CONFIG!$D$21,IF(K269&gt;=CONFIG!$E$20,CONFIG!$D$20,CONFIG!$D$19)))</f>
        <v/>
      </c>
      <c r="M269" s="20" t="str">
        <f aca="false">IF(K269="","",IF(K269&gt;=CONFIG!$E$21,CONFIG!$F$21,IF(K269&gt;=CONFIG!$E$20,CONFIG!$F$20,CONFIG!$F$19)))</f>
        <v/>
      </c>
      <c r="N269" s="19" t="str">
        <f aca="false">IF(I269="","",IF(I269&lt;=M269,"OK","ALTA"))</f>
        <v/>
      </c>
      <c r="O269" s="13"/>
    </row>
    <row r="270" customFormat="false" ht="15" hidden="false" customHeight="false" outlineLevel="0" collapsed="false">
      <c r="A270" s="11" t="str">
        <f aca="false">IF(C270="","",ROW()-4)</f>
        <v/>
      </c>
      <c r="B270" s="12"/>
      <c r="C270" s="13"/>
      <c r="D270" s="11" t="str">
        <f aca="false">IF(C270="","",IFERROR(INDEX(LOTES!$D$5:$D$1004,MATCH(C270,LOTES!$F$5:$F$1004,0)),"¿Lote?"))</f>
        <v/>
      </c>
      <c r="E270" s="11" t="str">
        <f aca="false">IF(C270="","",IFERROR(INDEX(LOTES!$C$5:$C$1004,MATCH(C270,LOTES!$F$5:$F$1004,0)),""))</f>
        <v/>
      </c>
      <c r="F270" s="27"/>
      <c r="G270" s="27"/>
      <c r="H270" s="27"/>
      <c r="I270" s="20" t="str">
        <f aca="false">IF(AND(ISNUMBER(F270),ISNUMBER(G270),ISNUMBER(H270),F270&gt;G270,H270&gt;0),(F270-H270)/(F270-G270)*1000,"")</f>
        <v/>
      </c>
      <c r="J270" s="17" t="str">
        <f aca="false">IF(AND(ISNUMBER(F270),ISNUMBER(G270),ISNUMBER(H270),F270&gt;G270,H270&gt;0),(F270-H270)/H270,"")</f>
        <v/>
      </c>
      <c r="K270" s="20" t="str">
        <f aca="false">IF(AND(ISNUMBER(F270),ISNUMBER(G270),ISNUMBER(H270),F270&gt;G270,H270&gt;0),H270/(F270-G270)*1000,"")</f>
        <v/>
      </c>
      <c r="L270" s="11" t="str">
        <f aca="false">IF(K270="","",IF(K270&gt;=CONFIG!$E$21,CONFIG!$D$21,IF(K270&gt;=CONFIG!$E$20,CONFIG!$D$20,CONFIG!$D$19)))</f>
        <v/>
      </c>
      <c r="M270" s="20" t="str">
        <f aca="false">IF(K270="","",IF(K270&gt;=CONFIG!$E$21,CONFIG!$F$21,IF(K270&gt;=CONFIG!$E$20,CONFIG!$F$20,CONFIG!$F$19)))</f>
        <v/>
      </c>
      <c r="N270" s="19" t="str">
        <f aca="false">IF(I270="","",IF(I270&lt;=M270,"OK","ALTA"))</f>
        <v/>
      </c>
      <c r="O270" s="13"/>
    </row>
    <row r="271" customFormat="false" ht="15" hidden="false" customHeight="false" outlineLevel="0" collapsed="false">
      <c r="A271" s="11" t="str">
        <f aca="false">IF(C271="","",ROW()-4)</f>
        <v/>
      </c>
      <c r="B271" s="12"/>
      <c r="C271" s="13"/>
      <c r="D271" s="11" t="str">
        <f aca="false">IF(C271="","",IFERROR(INDEX(LOTES!$D$5:$D$1004,MATCH(C271,LOTES!$F$5:$F$1004,0)),"¿Lote?"))</f>
        <v/>
      </c>
      <c r="E271" s="11" t="str">
        <f aca="false">IF(C271="","",IFERROR(INDEX(LOTES!$C$5:$C$1004,MATCH(C271,LOTES!$F$5:$F$1004,0)),""))</f>
        <v/>
      </c>
      <c r="F271" s="27"/>
      <c r="G271" s="27"/>
      <c r="H271" s="27"/>
      <c r="I271" s="20" t="str">
        <f aca="false">IF(AND(ISNUMBER(F271),ISNUMBER(G271),ISNUMBER(H271),F271&gt;G271,H271&gt;0),(F271-H271)/(F271-G271)*1000,"")</f>
        <v/>
      </c>
      <c r="J271" s="17" t="str">
        <f aca="false">IF(AND(ISNUMBER(F271),ISNUMBER(G271),ISNUMBER(H271),F271&gt;G271,H271&gt;0),(F271-H271)/H271,"")</f>
        <v/>
      </c>
      <c r="K271" s="20" t="str">
        <f aca="false">IF(AND(ISNUMBER(F271),ISNUMBER(G271),ISNUMBER(H271),F271&gt;G271,H271&gt;0),H271/(F271-G271)*1000,"")</f>
        <v/>
      </c>
      <c r="L271" s="11" t="str">
        <f aca="false">IF(K271="","",IF(K271&gt;=CONFIG!$E$21,CONFIG!$D$21,IF(K271&gt;=CONFIG!$E$20,CONFIG!$D$20,CONFIG!$D$19)))</f>
        <v/>
      </c>
      <c r="M271" s="20" t="str">
        <f aca="false">IF(K271="","",IF(K271&gt;=CONFIG!$E$21,CONFIG!$F$21,IF(K271&gt;=CONFIG!$E$20,CONFIG!$F$20,CONFIG!$F$19)))</f>
        <v/>
      </c>
      <c r="N271" s="19" t="str">
        <f aca="false">IF(I271="","",IF(I271&lt;=M271,"OK","ALTA"))</f>
        <v/>
      </c>
      <c r="O271" s="13"/>
    </row>
    <row r="272" customFormat="false" ht="15" hidden="false" customHeight="false" outlineLevel="0" collapsed="false">
      <c r="A272" s="11" t="str">
        <f aca="false">IF(C272="","",ROW()-4)</f>
        <v/>
      </c>
      <c r="B272" s="12"/>
      <c r="C272" s="13"/>
      <c r="D272" s="11" t="str">
        <f aca="false">IF(C272="","",IFERROR(INDEX(LOTES!$D$5:$D$1004,MATCH(C272,LOTES!$F$5:$F$1004,0)),"¿Lote?"))</f>
        <v/>
      </c>
      <c r="E272" s="11" t="str">
        <f aca="false">IF(C272="","",IFERROR(INDEX(LOTES!$C$5:$C$1004,MATCH(C272,LOTES!$F$5:$F$1004,0)),""))</f>
        <v/>
      </c>
      <c r="F272" s="27"/>
      <c r="G272" s="27"/>
      <c r="H272" s="27"/>
      <c r="I272" s="20" t="str">
        <f aca="false">IF(AND(ISNUMBER(F272),ISNUMBER(G272),ISNUMBER(H272),F272&gt;G272,H272&gt;0),(F272-H272)/(F272-G272)*1000,"")</f>
        <v/>
      </c>
      <c r="J272" s="17" t="str">
        <f aca="false">IF(AND(ISNUMBER(F272),ISNUMBER(G272),ISNUMBER(H272),F272&gt;G272,H272&gt;0),(F272-H272)/H272,"")</f>
        <v/>
      </c>
      <c r="K272" s="20" t="str">
        <f aca="false">IF(AND(ISNUMBER(F272),ISNUMBER(G272),ISNUMBER(H272),F272&gt;G272,H272&gt;0),H272/(F272-G272)*1000,"")</f>
        <v/>
      </c>
      <c r="L272" s="11" t="str">
        <f aca="false">IF(K272="","",IF(K272&gt;=CONFIG!$E$21,CONFIG!$D$21,IF(K272&gt;=CONFIG!$E$20,CONFIG!$D$20,CONFIG!$D$19)))</f>
        <v/>
      </c>
      <c r="M272" s="20" t="str">
        <f aca="false">IF(K272="","",IF(K272&gt;=CONFIG!$E$21,CONFIG!$F$21,IF(K272&gt;=CONFIG!$E$20,CONFIG!$F$20,CONFIG!$F$19)))</f>
        <v/>
      </c>
      <c r="N272" s="19" t="str">
        <f aca="false">IF(I272="","",IF(I272&lt;=M272,"OK","ALTA"))</f>
        <v/>
      </c>
      <c r="O272" s="13"/>
    </row>
    <row r="273" customFormat="false" ht="15" hidden="false" customHeight="false" outlineLevel="0" collapsed="false">
      <c r="A273" s="11" t="str">
        <f aca="false">IF(C273="","",ROW()-4)</f>
        <v/>
      </c>
      <c r="B273" s="12"/>
      <c r="C273" s="13"/>
      <c r="D273" s="11" t="str">
        <f aca="false">IF(C273="","",IFERROR(INDEX(LOTES!$D$5:$D$1004,MATCH(C273,LOTES!$F$5:$F$1004,0)),"¿Lote?"))</f>
        <v/>
      </c>
      <c r="E273" s="11" t="str">
        <f aca="false">IF(C273="","",IFERROR(INDEX(LOTES!$C$5:$C$1004,MATCH(C273,LOTES!$F$5:$F$1004,0)),""))</f>
        <v/>
      </c>
      <c r="F273" s="27"/>
      <c r="G273" s="27"/>
      <c r="H273" s="27"/>
      <c r="I273" s="20" t="str">
        <f aca="false">IF(AND(ISNUMBER(F273),ISNUMBER(G273),ISNUMBER(H273),F273&gt;G273,H273&gt;0),(F273-H273)/(F273-G273)*1000,"")</f>
        <v/>
      </c>
      <c r="J273" s="17" t="str">
        <f aca="false">IF(AND(ISNUMBER(F273),ISNUMBER(G273),ISNUMBER(H273),F273&gt;G273,H273&gt;0),(F273-H273)/H273,"")</f>
        <v/>
      </c>
      <c r="K273" s="20" t="str">
        <f aca="false">IF(AND(ISNUMBER(F273),ISNUMBER(G273),ISNUMBER(H273),F273&gt;G273,H273&gt;0),H273/(F273-G273)*1000,"")</f>
        <v/>
      </c>
      <c r="L273" s="11" t="str">
        <f aca="false">IF(K273="","",IF(K273&gt;=CONFIG!$E$21,CONFIG!$D$21,IF(K273&gt;=CONFIG!$E$20,CONFIG!$D$20,CONFIG!$D$19)))</f>
        <v/>
      </c>
      <c r="M273" s="20" t="str">
        <f aca="false">IF(K273="","",IF(K273&gt;=CONFIG!$E$21,CONFIG!$F$21,IF(K273&gt;=CONFIG!$E$20,CONFIG!$F$20,CONFIG!$F$19)))</f>
        <v/>
      </c>
      <c r="N273" s="19" t="str">
        <f aca="false">IF(I273="","",IF(I273&lt;=M273,"OK","ALTA"))</f>
        <v/>
      </c>
      <c r="O273" s="13"/>
    </row>
    <row r="274" customFormat="false" ht="15" hidden="false" customHeight="false" outlineLevel="0" collapsed="false">
      <c r="A274" s="11" t="str">
        <f aca="false">IF(C274="","",ROW()-4)</f>
        <v/>
      </c>
      <c r="B274" s="12"/>
      <c r="C274" s="13"/>
      <c r="D274" s="11" t="str">
        <f aca="false">IF(C274="","",IFERROR(INDEX(LOTES!$D$5:$D$1004,MATCH(C274,LOTES!$F$5:$F$1004,0)),"¿Lote?"))</f>
        <v/>
      </c>
      <c r="E274" s="11" t="str">
        <f aca="false">IF(C274="","",IFERROR(INDEX(LOTES!$C$5:$C$1004,MATCH(C274,LOTES!$F$5:$F$1004,0)),""))</f>
        <v/>
      </c>
      <c r="F274" s="27"/>
      <c r="G274" s="27"/>
      <c r="H274" s="27"/>
      <c r="I274" s="20" t="str">
        <f aca="false">IF(AND(ISNUMBER(F274),ISNUMBER(G274),ISNUMBER(H274),F274&gt;G274,H274&gt;0),(F274-H274)/(F274-G274)*1000,"")</f>
        <v/>
      </c>
      <c r="J274" s="17" t="str">
        <f aca="false">IF(AND(ISNUMBER(F274),ISNUMBER(G274),ISNUMBER(H274),F274&gt;G274,H274&gt;0),(F274-H274)/H274,"")</f>
        <v/>
      </c>
      <c r="K274" s="20" t="str">
        <f aca="false">IF(AND(ISNUMBER(F274),ISNUMBER(G274),ISNUMBER(H274),F274&gt;G274,H274&gt;0),H274/(F274-G274)*1000,"")</f>
        <v/>
      </c>
      <c r="L274" s="11" t="str">
        <f aca="false">IF(K274="","",IF(K274&gt;=CONFIG!$E$21,CONFIG!$D$21,IF(K274&gt;=CONFIG!$E$20,CONFIG!$D$20,CONFIG!$D$19)))</f>
        <v/>
      </c>
      <c r="M274" s="20" t="str">
        <f aca="false">IF(K274="","",IF(K274&gt;=CONFIG!$E$21,CONFIG!$F$21,IF(K274&gt;=CONFIG!$E$20,CONFIG!$F$20,CONFIG!$F$19)))</f>
        <v/>
      </c>
      <c r="N274" s="19" t="str">
        <f aca="false">IF(I274="","",IF(I274&lt;=M274,"OK","ALTA"))</f>
        <v/>
      </c>
      <c r="O274" s="13"/>
    </row>
    <row r="275" customFormat="false" ht="15" hidden="false" customHeight="false" outlineLevel="0" collapsed="false">
      <c r="A275" s="11" t="str">
        <f aca="false">IF(C275="","",ROW()-4)</f>
        <v/>
      </c>
      <c r="B275" s="12"/>
      <c r="C275" s="13"/>
      <c r="D275" s="11" t="str">
        <f aca="false">IF(C275="","",IFERROR(INDEX(LOTES!$D$5:$D$1004,MATCH(C275,LOTES!$F$5:$F$1004,0)),"¿Lote?"))</f>
        <v/>
      </c>
      <c r="E275" s="11" t="str">
        <f aca="false">IF(C275="","",IFERROR(INDEX(LOTES!$C$5:$C$1004,MATCH(C275,LOTES!$F$5:$F$1004,0)),""))</f>
        <v/>
      </c>
      <c r="F275" s="27"/>
      <c r="G275" s="27"/>
      <c r="H275" s="27"/>
      <c r="I275" s="20" t="str">
        <f aca="false">IF(AND(ISNUMBER(F275),ISNUMBER(G275),ISNUMBER(H275),F275&gt;G275,H275&gt;0),(F275-H275)/(F275-G275)*1000,"")</f>
        <v/>
      </c>
      <c r="J275" s="17" t="str">
        <f aca="false">IF(AND(ISNUMBER(F275),ISNUMBER(G275),ISNUMBER(H275),F275&gt;G275,H275&gt;0),(F275-H275)/H275,"")</f>
        <v/>
      </c>
      <c r="K275" s="20" t="str">
        <f aca="false">IF(AND(ISNUMBER(F275),ISNUMBER(G275),ISNUMBER(H275),F275&gt;G275,H275&gt;0),H275/(F275-G275)*1000,"")</f>
        <v/>
      </c>
      <c r="L275" s="11" t="str">
        <f aca="false">IF(K275="","",IF(K275&gt;=CONFIG!$E$21,CONFIG!$D$21,IF(K275&gt;=CONFIG!$E$20,CONFIG!$D$20,CONFIG!$D$19)))</f>
        <v/>
      </c>
      <c r="M275" s="20" t="str">
        <f aca="false">IF(K275="","",IF(K275&gt;=CONFIG!$E$21,CONFIG!$F$21,IF(K275&gt;=CONFIG!$E$20,CONFIG!$F$20,CONFIG!$F$19)))</f>
        <v/>
      </c>
      <c r="N275" s="19" t="str">
        <f aca="false">IF(I275="","",IF(I275&lt;=M275,"OK","ALTA"))</f>
        <v/>
      </c>
      <c r="O275" s="13"/>
    </row>
    <row r="276" customFormat="false" ht="15" hidden="false" customHeight="false" outlineLevel="0" collapsed="false">
      <c r="A276" s="11" t="str">
        <f aca="false">IF(C276="","",ROW()-4)</f>
        <v/>
      </c>
      <c r="B276" s="12"/>
      <c r="C276" s="13"/>
      <c r="D276" s="11" t="str">
        <f aca="false">IF(C276="","",IFERROR(INDEX(LOTES!$D$5:$D$1004,MATCH(C276,LOTES!$F$5:$F$1004,0)),"¿Lote?"))</f>
        <v/>
      </c>
      <c r="E276" s="11" t="str">
        <f aca="false">IF(C276="","",IFERROR(INDEX(LOTES!$C$5:$C$1004,MATCH(C276,LOTES!$F$5:$F$1004,0)),""))</f>
        <v/>
      </c>
      <c r="F276" s="27"/>
      <c r="G276" s="27"/>
      <c r="H276" s="27"/>
      <c r="I276" s="20" t="str">
        <f aca="false">IF(AND(ISNUMBER(F276),ISNUMBER(G276),ISNUMBER(H276),F276&gt;G276,H276&gt;0),(F276-H276)/(F276-G276)*1000,"")</f>
        <v/>
      </c>
      <c r="J276" s="17" t="str">
        <f aca="false">IF(AND(ISNUMBER(F276),ISNUMBER(G276),ISNUMBER(H276),F276&gt;G276,H276&gt;0),(F276-H276)/H276,"")</f>
        <v/>
      </c>
      <c r="K276" s="20" t="str">
        <f aca="false">IF(AND(ISNUMBER(F276),ISNUMBER(G276),ISNUMBER(H276),F276&gt;G276,H276&gt;0),H276/(F276-G276)*1000,"")</f>
        <v/>
      </c>
      <c r="L276" s="11" t="str">
        <f aca="false">IF(K276="","",IF(K276&gt;=CONFIG!$E$21,CONFIG!$D$21,IF(K276&gt;=CONFIG!$E$20,CONFIG!$D$20,CONFIG!$D$19)))</f>
        <v/>
      </c>
      <c r="M276" s="20" t="str">
        <f aca="false">IF(K276="","",IF(K276&gt;=CONFIG!$E$21,CONFIG!$F$21,IF(K276&gt;=CONFIG!$E$20,CONFIG!$F$20,CONFIG!$F$19)))</f>
        <v/>
      </c>
      <c r="N276" s="19" t="str">
        <f aca="false">IF(I276="","",IF(I276&lt;=M276,"OK","ALTA"))</f>
        <v/>
      </c>
      <c r="O276" s="13"/>
    </row>
    <row r="277" customFormat="false" ht="15" hidden="false" customHeight="false" outlineLevel="0" collapsed="false">
      <c r="A277" s="11" t="str">
        <f aca="false">IF(C277="","",ROW()-4)</f>
        <v/>
      </c>
      <c r="B277" s="12"/>
      <c r="C277" s="13"/>
      <c r="D277" s="11" t="str">
        <f aca="false">IF(C277="","",IFERROR(INDEX(LOTES!$D$5:$D$1004,MATCH(C277,LOTES!$F$5:$F$1004,0)),"¿Lote?"))</f>
        <v/>
      </c>
      <c r="E277" s="11" t="str">
        <f aca="false">IF(C277="","",IFERROR(INDEX(LOTES!$C$5:$C$1004,MATCH(C277,LOTES!$F$5:$F$1004,0)),""))</f>
        <v/>
      </c>
      <c r="F277" s="27"/>
      <c r="G277" s="27"/>
      <c r="H277" s="27"/>
      <c r="I277" s="20" t="str">
        <f aca="false">IF(AND(ISNUMBER(F277),ISNUMBER(G277),ISNUMBER(H277),F277&gt;G277,H277&gt;0),(F277-H277)/(F277-G277)*1000,"")</f>
        <v/>
      </c>
      <c r="J277" s="17" t="str">
        <f aca="false">IF(AND(ISNUMBER(F277),ISNUMBER(G277),ISNUMBER(H277),F277&gt;G277,H277&gt;0),(F277-H277)/H277,"")</f>
        <v/>
      </c>
      <c r="K277" s="20" t="str">
        <f aca="false">IF(AND(ISNUMBER(F277),ISNUMBER(G277),ISNUMBER(H277),F277&gt;G277,H277&gt;0),H277/(F277-G277)*1000,"")</f>
        <v/>
      </c>
      <c r="L277" s="11" t="str">
        <f aca="false">IF(K277="","",IF(K277&gt;=CONFIG!$E$21,CONFIG!$D$21,IF(K277&gt;=CONFIG!$E$20,CONFIG!$D$20,CONFIG!$D$19)))</f>
        <v/>
      </c>
      <c r="M277" s="20" t="str">
        <f aca="false">IF(K277="","",IF(K277&gt;=CONFIG!$E$21,CONFIG!$F$21,IF(K277&gt;=CONFIG!$E$20,CONFIG!$F$20,CONFIG!$F$19)))</f>
        <v/>
      </c>
      <c r="N277" s="19" t="str">
        <f aca="false">IF(I277="","",IF(I277&lt;=M277,"OK","ALTA"))</f>
        <v/>
      </c>
      <c r="O277" s="13"/>
    </row>
    <row r="278" customFormat="false" ht="15" hidden="false" customHeight="false" outlineLevel="0" collapsed="false">
      <c r="A278" s="11" t="str">
        <f aca="false">IF(C278="","",ROW()-4)</f>
        <v/>
      </c>
      <c r="B278" s="12"/>
      <c r="C278" s="13"/>
      <c r="D278" s="11" t="str">
        <f aca="false">IF(C278="","",IFERROR(INDEX(LOTES!$D$5:$D$1004,MATCH(C278,LOTES!$F$5:$F$1004,0)),"¿Lote?"))</f>
        <v/>
      </c>
      <c r="E278" s="11" t="str">
        <f aca="false">IF(C278="","",IFERROR(INDEX(LOTES!$C$5:$C$1004,MATCH(C278,LOTES!$F$5:$F$1004,0)),""))</f>
        <v/>
      </c>
      <c r="F278" s="27"/>
      <c r="G278" s="27"/>
      <c r="H278" s="27"/>
      <c r="I278" s="20" t="str">
        <f aca="false">IF(AND(ISNUMBER(F278),ISNUMBER(G278),ISNUMBER(H278),F278&gt;G278,H278&gt;0),(F278-H278)/(F278-G278)*1000,"")</f>
        <v/>
      </c>
      <c r="J278" s="17" t="str">
        <f aca="false">IF(AND(ISNUMBER(F278),ISNUMBER(G278),ISNUMBER(H278),F278&gt;G278,H278&gt;0),(F278-H278)/H278,"")</f>
        <v/>
      </c>
      <c r="K278" s="20" t="str">
        <f aca="false">IF(AND(ISNUMBER(F278),ISNUMBER(G278),ISNUMBER(H278),F278&gt;G278,H278&gt;0),H278/(F278-G278)*1000,"")</f>
        <v/>
      </c>
      <c r="L278" s="11" t="str">
        <f aca="false">IF(K278="","",IF(K278&gt;=CONFIG!$E$21,CONFIG!$D$21,IF(K278&gt;=CONFIG!$E$20,CONFIG!$D$20,CONFIG!$D$19)))</f>
        <v/>
      </c>
      <c r="M278" s="20" t="str">
        <f aca="false">IF(K278="","",IF(K278&gt;=CONFIG!$E$21,CONFIG!$F$21,IF(K278&gt;=CONFIG!$E$20,CONFIG!$F$20,CONFIG!$F$19)))</f>
        <v/>
      </c>
      <c r="N278" s="19" t="str">
        <f aca="false">IF(I278="","",IF(I278&lt;=M278,"OK","ALTA"))</f>
        <v/>
      </c>
      <c r="O278" s="13"/>
    </row>
    <row r="279" customFormat="false" ht="15" hidden="false" customHeight="false" outlineLevel="0" collapsed="false">
      <c r="A279" s="11" t="str">
        <f aca="false">IF(C279="","",ROW()-4)</f>
        <v/>
      </c>
      <c r="B279" s="12"/>
      <c r="C279" s="13"/>
      <c r="D279" s="11" t="str">
        <f aca="false">IF(C279="","",IFERROR(INDEX(LOTES!$D$5:$D$1004,MATCH(C279,LOTES!$F$5:$F$1004,0)),"¿Lote?"))</f>
        <v/>
      </c>
      <c r="E279" s="11" t="str">
        <f aca="false">IF(C279="","",IFERROR(INDEX(LOTES!$C$5:$C$1004,MATCH(C279,LOTES!$F$5:$F$1004,0)),""))</f>
        <v/>
      </c>
      <c r="F279" s="27"/>
      <c r="G279" s="27"/>
      <c r="H279" s="27"/>
      <c r="I279" s="20" t="str">
        <f aca="false">IF(AND(ISNUMBER(F279),ISNUMBER(G279),ISNUMBER(H279),F279&gt;G279,H279&gt;0),(F279-H279)/(F279-G279)*1000,"")</f>
        <v/>
      </c>
      <c r="J279" s="17" t="str">
        <f aca="false">IF(AND(ISNUMBER(F279),ISNUMBER(G279),ISNUMBER(H279),F279&gt;G279,H279&gt;0),(F279-H279)/H279,"")</f>
        <v/>
      </c>
      <c r="K279" s="20" t="str">
        <f aca="false">IF(AND(ISNUMBER(F279),ISNUMBER(G279),ISNUMBER(H279),F279&gt;G279,H279&gt;0),H279/(F279-G279)*1000,"")</f>
        <v/>
      </c>
      <c r="L279" s="11" t="str">
        <f aca="false">IF(K279="","",IF(K279&gt;=CONFIG!$E$21,CONFIG!$D$21,IF(K279&gt;=CONFIG!$E$20,CONFIG!$D$20,CONFIG!$D$19)))</f>
        <v/>
      </c>
      <c r="M279" s="20" t="str">
        <f aca="false">IF(K279="","",IF(K279&gt;=CONFIG!$E$21,CONFIG!$F$21,IF(K279&gt;=CONFIG!$E$20,CONFIG!$F$20,CONFIG!$F$19)))</f>
        <v/>
      </c>
      <c r="N279" s="19" t="str">
        <f aca="false">IF(I279="","",IF(I279&lt;=M279,"OK","ALTA"))</f>
        <v/>
      </c>
      <c r="O279" s="13"/>
    </row>
    <row r="280" customFormat="false" ht="15" hidden="false" customHeight="false" outlineLevel="0" collapsed="false">
      <c r="A280" s="11" t="str">
        <f aca="false">IF(C280="","",ROW()-4)</f>
        <v/>
      </c>
      <c r="B280" s="12"/>
      <c r="C280" s="13"/>
      <c r="D280" s="11" t="str">
        <f aca="false">IF(C280="","",IFERROR(INDEX(LOTES!$D$5:$D$1004,MATCH(C280,LOTES!$F$5:$F$1004,0)),"¿Lote?"))</f>
        <v/>
      </c>
      <c r="E280" s="11" t="str">
        <f aca="false">IF(C280="","",IFERROR(INDEX(LOTES!$C$5:$C$1004,MATCH(C280,LOTES!$F$5:$F$1004,0)),""))</f>
        <v/>
      </c>
      <c r="F280" s="27"/>
      <c r="G280" s="27"/>
      <c r="H280" s="27"/>
      <c r="I280" s="20" t="str">
        <f aca="false">IF(AND(ISNUMBER(F280),ISNUMBER(G280),ISNUMBER(H280),F280&gt;G280,H280&gt;0),(F280-H280)/(F280-G280)*1000,"")</f>
        <v/>
      </c>
      <c r="J280" s="17" t="str">
        <f aca="false">IF(AND(ISNUMBER(F280),ISNUMBER(G280),ISNUMBER(H280),F280&gt;G280,H280&gt;0),(F280-H280)/H280,"")</f>
        <v/>
      </c>
      <c r="K280" s="20" t="str">
        <f aca="false">IF(AND(ISNUMBER(F280),ISNUMBER(G280),ISNUMBER(H280),F280&gt;G280,H280&gt;0),H280/(F280-G280)*1000,"")</f>
        <v/>
      </c>
      <c r="L280" s="11" t="str">
        <f aca="false">IF(K280="","",IF(K280&gt;=CONFIG!$E$21,CONFIG!$D$21,IF(K280&gt;=CONFIG!$E$20,CONFIG!$D$20,CONFIG!$D$19)))</f>
        <v/>
      </c>
      <c r="M280" s="20" t="str">
        <f aca="false">IF(K280="","",IF(K280&gt;=CONFIG!$E$21,CONFIG!$F$21,IF(K280&gt;=CONFIG!$E$20,CONFIG!$F$20,CONFIG!$F$19)))</f>
        <v/>
      </c>
      <c r="N280" s="19" t="str">
        <f aca="false">IF(I280="","",IF(I280&lt;=M280,"OK","ALTA"))</f>
        <v/>
      </c>
      <c r="O280" s="13"/>
    </row>
    <row r="281" customFormat="false" ht="15" hidden="false" customHeight="false" outlineLevel="0" collapsed="false">
      <c r="A281" s="11" t="str">
        <f aca="false">IF(C281="","",ROW()-4)</f>
        <v/>
      </c>
      <c r="B281" s="12"/>
      <c r="C281" s="13"/>
      <c r="D281" s="11" t="str">
        <f aca="false">IF(C281="","",IFERROR(INDEX(LOTES!$D$5:$D$1004,MATCH(C281,LOTES!$F$5:$F$1004,0)),"¿Lote?"))</f>
        <v/>
      </c>
      <c r="E281" s="11" t="str">
        <f aca="false">IF(C281="","",IFERROR(INDEX(LOTES!$C$5:$C$1004,MATCH(C281,LOTES!$F$5:$F$1004,0)),""))</f>
        <v/>
      </c>
      <c r="F281" s="27"/>
      <c r="G281" s="27"/>
      <c r="H281" s="27"/>
      <c r="I281" s="20" t="str">
        <f aca="false">IF(AND(ISNUMBER(F281),ISNUMBER(G281),ISNUMBER(H281),F281&gt;G281,H281&gt;0),(F281-H281)/(F281-G281)*1000,"")</f>
        <v/>
      </c>
      <c r="J281" s="17" t="str">
        <f aca="false">IF(AND(ISNUMBER(F281),ISNUMBER(G281),ISNUMBER(H281),F281&gt;G281,H281&gt;0),(F281-H281)/H281,"")</f>
        <v/>
      </c>
      <c r="K281" s="20" t="str">
        <f aca="false">IF(AND(ISNUMBER(F281),ISNUMBER(G281),ISNUMBER(H281),F281&gt;G281,H281&gt;0),H281/(F281-G281)*1000,"")</f>
        <v/>
      </c>
      <c r="L281" s="11" t="str">
        <f aca="false">IF(K281="","",IF(K281&gt;=CONFIG!$E$21,CONFIG!$D$21,IF(K281&gt;=CONFIG!$E$20,CONFIG!$D$20,CONFIG!$D$19)))</f>
        <v/>
      </c>
      <c r="M281" s="20" t="str">
        <f aca="false">IF(K281="","",IF(K281&gt;=CONFIG!$E$21,CONFIG!$F$21,IF(K281&gt;=CONFIG!$E$20,CONFIG!$F$20,CONFIG!$F$19)))</f>
        <v/>
      </c>
      <c r="N281" s="19" t="str">
        <f aca="false">IF(I281="","",IF(I281&lt;=M281,"OK","ALTA"))</f>
        <v/>
      </c>
      <c r="O281" s="13"/>
    </row>
    <row r="282" customFormat="false" ht="15" hidden="false" customHeight="false" outlineLevel="0" collapsed="false">
      <c r="A282" s="11" t="str">
        <f aca="false">IF(C282="","",ROW()-4)</f>
        <v/>
      </c>
      <c r="B282" s="12"/>
      <c r="C282" s="13"/>
      <c r="D282" s="11" t="str">
        <f aca="false">IF(C282="","",IFERROR(INDEX(LOTES!$D$5:$D$1004,MATCH(C282,LOTES!$F$5:$F$1004,0)),"¿Lote?"))</f>
        <v/>
      </c>
      <c r="E282" s="11" t="str">
        <f aca="false">IF(C282="","",IFERROR(INDEX(LOTES!$C$5:$C$1004,MATCH(C282,LOTES!$F$5:$F$1004,0)),""))</f>
        <v/>
      </c>
      <c r="F282" s="27"/>
      <c r="G282" s="27"/>
      <c r="H282" s="27"/>
      <c r="I282" s="20" t="str">
        <f aca="false">IF(AND(ISNUMBER(F282),ISNUMBER(G282),ISNUMBER(H282),F282&gt;G282,H282&gt;0),(F282-H282)/(F282-G282)*1000,"")</f>
        <v/>
      </c>
      <c r="J282" s="17" t="str">
        <f aca="false">IF(AND(ISNUMBER(F282),ISNUMBER(G282),ISNUMBER(H282),F282&gt;G282,H282&gt;0),(F282-H282)/H282,"")</f>
        <v/>
      </c>
      <c r="K282" s="20" t="str">
        <f aca="false">IF(AND(ISNUMBER(F282),ISNUMBER(G282),ISNUMBER(H282),F282&gt;G282,H282&gt;0),H282/(F282-G282)*1000,"")</f>
        <v/>
      </c>
      <c r="L282" s="11" t="str">
        <f aca="false">IF(K282="","",IF(K282&gt;=CONFIG!$E$21,CONFIG!$D$21,IF(K282&gt;=CONFIG!$E$20,CONFIG!$D$20,CONFIG!$D$19)))</f>
        <v/>
      </c>
      <c r="M282" s="20" t="str">
        <f aca="false">IF(K282="","",IF(K282&gt;=CONFIG!$E$21,CONFIG!$F$21,IF(K282&gt;=CONFIG!$E$20,CONFIG!$F$20,CONFIG!$F$19)))</f>
        <v/>
      </c>
      <c r="N282" s="19" t="str">
        <f aca="false">IF(I282="","",IF(I282&lt;=M282,"OK","ALTA"))</f>
        <v/>
      </c>
      <c r="O282" s="13"/>
    </row>
    <row r="283" customFormat="false" ht="15" hidden="false" customHeight="false" outlineLevel="0" collapsed="false">
      <c r="A283" s="11" t="str">
        <f aca="false">IF(C283="","",ROW()-4)</f>
        <v/>
      </c>
      <c r="B283" s="12"/>
      <c r="C283" s="13"/>
      <c r="D283" s="11" t="str">
        <f aca="false">IF(C283="","",IFERROR(INDEX(LOTES!$D$5:$D$1004,MATCH(C283,LOTES!$F$5:$F$1004,0)),"¿Lote?"))</f>
        <v/>
      </c>
      <c r="E283" s="11" t="str">
        <f aca="false">IF(C283="","",IFERROR(INDEX(LOTES!$C$5:$C$1004,MATCH(C283,LOTES!$F$5:$F$1004,0)),""))</f>
        <v/>
      </c>
      <c r="F283" s="27"/>
      <c r="G283" s="27"/>
      <c r="H283" s="27"/>
      <c r="I283" s="20" t="str">
        <f aca="false">IF(AND(ISNUMBER(F283),ISNUMBER(G283),ISNUMBER(H283),F283&gt;G283,H283&gt;0),(F283-H283)/(F283-G283)*1000,"")</f>
        <v/>
      </c>
      <c r="J283" s="17" t="str">
        <f aca="false">IF(AND(ISNUMBER(F283),ISNUMBER(G283),ISNUMBER(H283),F283&gt;G283,H283&gt;0),(F283-H283)/H283,"")</f>
        <v/>
      </c>
      <c r="K283" s="20" t="str">
        <f aca="false">IF(AND(ISNUMBER(F283),ISNUMBER(G283),ISNUMBER(H283),F283&gt;G283,H283&gt;0),H283/(F283-G283)*1000,"")</f>
        <v/>
      </c>
      <c r="L283" s="11" t="str">
        <f aca="false">IF(K283="","",IF(K283&gt;=CONFIG!$E$21,CONFIG!$D$21,IF(K283&gt;=CONFIG!$E$20,CONFIG!$D$20,CONFIG!$D$19)))</f>
        <v/>
      </c>
      <c r="M283" s="20" t="str">
        <f aca="false">IF(K283="","",IF(K283&gt;=CONFIG!$E$21,CONFIG!$F$21,IF(K283&gt;=CONFIG!$E$20,CONFIG!$F$20,CONFIG!$F$19)))</f>
        <v/>
      </c>
      <c r="N283" s="19" t="str">
        <f aca="false">IF(I283="","",IF(I283&lt;=M283,"OK","ALTA"))</f>
        <v/>
      </c>
      <c r="O283" s="13"/>
    </row>
    <row r="284" customFormat="false" ht="15" hidden="false" customHeight="false" outlineLevel="0" collapsed="false">
      <c r="A284" s="11" t="str">
        <f aca="false">IF(C284="","",ROW()-4)</f>
        <v/>
      </c>
      <c r="B284" s="12"/>
      <c r="C284" s="13"/>
      <c r="D284" s="11" t="str">
        <f aca="false">IF(C284="","",IFERROR(INDEX(LOTES!$D$5:$D$1004,MATCH(C284,LOTES!$F$5:$F$1004,0)),"¿Lote?"))</f>
        <v/>
      </c>
      <c r="E284" s="11" t="str">
        <f aca="false">IF(C284="","",IFERROR(INDEX(LOTES!$C$5:$C$1004,MATCH(C284,LOTES!$F$5:$F$1004,0)),""))</f>
        <v/>
      </c>
      <c r="F284" s="27"/>
      <c r="G284" s="27"/>
      <c r="H284" s="27"/>
      <c r="I284" s="20" t="str">
        <f aca="false">IF(AND(ISNUMBER(F284),ISNUMBER(G284),ISNUMBER(H284),F284&gt;G284,H284&gt;0),(F284-H284)/(F284-G284)*1000,"")</f>
        <v/>
      </c>
      <c r="J284" s="17" t="str">
        <f aca="false">IF(AND(ISNUMBER(F284),ISNUMBER(G284),ISNUMBER(H284),F284&gt;G284,H284&gt;0),(F284-H284)/H284,"")</f>
        <v/>
      </c>
      <c r="K284" s="20" t="str">
        <f aca="false">IF(AND(ISNUMBER(F284),ISNUMBER(G284),ISNUMBER(H284),F284&gt;G284,H284&gt;0),H284/(F284-G284)*1000,"")</f>
        <v/>
      </c>
      <c r="L284" s="11" t="str">
        <f aca="false">IF(K284="","",IF(K284&gt;=CONFIG!$E$21,CONFIG!$D$21,IF(K284&gt;=CONFIG!$E$20,CONFIG!$D$20,CONFIG!$D$19)))</f>
        <v/>
      </c>
      <c r="M284" s="20" t="str">
        <f aca="false">IF(K284="","",IF(K284&gt;=CONFIG!$E$21,CONFIG!$F$21,IF(K284&gt;=CONFIG!$E$20,CONFIG!$F$20,CONFIG!$F$19)))</f>
        <v/>
      </c>
      <c r="N284" s="19" t="str">
        <f aca="false">IF(I284="","",IF(I284&lt;=M284,"OK","ALTA"))</f>
        <v/>
      </c>
      <c r="O284" s="13"/>
    </row>
    <row r="285" customFormat="false" ht="15" hidden="false" customHeight="false" outlineLevel="0" collapsed="false">
      <c r="A285" s="11" t="str">
        <f aca="false">IF(C285="","",ROW()-4)</f>
        <v/>
      </c>
      <c r="B285" s="12"/>
      <c r="C285" s="13"/>
      <c r="D285" s="11" t="str">
        <f aca="false">IF(C285="","",IFERROR(INDEX(LOTES!$D$5:$D$1004,MATCH(C285,LOTES!$F$5:$F$1004,0)),"¿Lote?"))</f>
        <v/>
      </c>
      <c r="E285" s="11" t="str">
        <f aca="false">IF(C285="","",IFERROR(INDEX(LOTES!$C$5:$C$1004,MATCH(C285,LOTES!$F$5:$F$1004,0)),""))</f>
        <v/>
      </c>
      <c r="F285" s="27"/>
      <c r="G285" s="27"/>
      <c r="H285" s="27"/>
      <c r="I285" s="20" t="str">
        <f aca="false">IF(AND(ISNUMBER(F285),ISNUMBER(G285),ISNUMBER(H285),F285&gt;G285,H285&gt;0),(F285-H285)/(F285-G285)*1000,"")</f>
        <v/>
      </c>
      <c r="J285" s="17" t="str">
        <f aca="false">IF(AND(ISNUMBER(F285),ISNUMBER(G285),ISNUMBER(H285),F285&gt;G285,H285&gt;0),(F285-H285)/H285,"")</f>
        <v/>
      </c>
      <c r="K285" s="20" t="str">
        <f aca="false">IF(AND(ISNUMBER(F285),ISNUMBER(G285),ISNUMBER(H285),F285&gt;G285,H285&gt;0),H285/(F285-G285)*1000,"")</f>
        <v/>
      </c>
      <c r="L285" s="11" t="str">
        <f aca="false">IF(K285="","",IF(K285&gt;=CONFIG!$E$21,CONFIG!$D$21,IF(K285&gt;=CONFIG!$E$20,CONFIG!$D$20,CONFIG!$D$19)))</f>
        <v/>
      </c>
      <c r="M285" s="20" t="str">
        <f aca="false">IF(K285="","",IF(K285&gt;=CONFIG!$E$21,CONFIG!$F$21,IF(K285&gt;=CONFIG!$E$20,CONFIG!$F$20,CONFIG!$F$19)))</f>
        <v/>
      </c>
      <c r="N285" s="19" t="str">
        <f aca="false">IF(I285="","",IF(I285&lt;=M285,"OK","ALTA"))</f>
        <v/>
      </c>
      <c r="O285" s="13"/>
    </row>
    <row r="286" customFormat="false" ht="15" hidden="false" customHeight="false" outlineLevel="0" collapsed="false">
      <c r="A286" s="11" t="str">
        <f aca="false">IF(C286="","",ROW()-4)</f>
        <v/>
      </c>
      <c r="B286" s="12"/>
      <c r="C286" s="13"/>
      <c r="D286" s="11" t="str">
        <f aca="false">IF(C286="","",IFERROR(INDEX(LOTES!$D$5:$D$1004,MATCH(C286,LOTES!$F$5:$F$1004,0)),"¿Lote?"))</f>
        <v/>
      </c>
      <c r="E286" s="11" t="str">
        <f aca="false">IF(C286="","",IFERROR(INDEX(LOTES!$C$5:$C$1004,MATCH(C286,LOTES!$F$5:$F$1004,0)),""))</f>
        <v/>
      </c>
      <c r="F286" s="27"/>
      <c r="G286" s="27"/>
      <c r="H286" s="27"/>
      <c r="I286" s="20" t="str">
        <f aca="false">IF(AND(ISNUMBER(F286),ISNUMBER(G286),ISNUMBER(H286),F286&gt;G286,H286&gt;0),(F286-H286)/(F286-G286)*1000,"")</f>
        <v/>
      </c>
      <c r="J286" s="17" t="str">
        <f aca="false">IF(AND(ISNUMBER(F286),ISNUMBER(G286),ISNUMBER(H286),F286&gt;G286,H286&gt;0),(F286-H286)/H286,"")</f>
        <v/>
      </c>
      <c r="K286" s="20" t="str">
        <f aca="false">IF(AND(ISNUMBER(F286),ISNUMBER(G286),ISNUMBER(H286),F286&gt;G286,H286&gt;0),H286/(F286-G286)*1000,"")</f>
        <v/>
      </c>
      <c r="L286" s="11" t="str">
        <f aca="false">IF(K286="","",IF(K286&gt;=CONFIG!$E$21,CONFIG!$D$21,IF(K286&gt;=CONFIG!$E$20,CONFIG!$D$20,CONFIG!$D$19)))</f>
        <v/>
      </c>
      <c r="M286" s="20" t="str">
        <f aca="false">IF(K286="","",IF(K286&gt;=CONFIG!$E$21,CONFIG!$F$21,IF(K286&gt;=CONFIG!$E$20,CONFIG!$F$20,CONFIG!$F$19)))</f>
        <v/>
      </c>
      <c r="N286" s="19" t="str">
        <f aca="false">IF(I286="","",IF(I286&lt;=M286,"OK","ALTA"))</f>
        <v/>
      </c>
      <c r="O286" s="13"/>
    </row>
    <row r="287" customFormat="false" ht="15" hidden="false" customHeight="false" outlineLevel="0" collapsed="false">
      <c r="A287" s="11" t="str">
        <f aca="false">IF(C287="","",ROW()-4)</f>
        <v/>
      </c>
      <c r="B287" s="12"/>
      <c r="C287" s="13"/>
      <c r="D287" s="11" t="str">
        <f aca="false">IF(C287="","",IFERROR(INDEX(LOTES!$D$5:$D$1004,MATCH(C287,LOTES!$F$5:$F$1004,0)),"¿Lote?"))</f>
        <v/>
      </c>
      <c r="E287" s="11" t="str">
        <f aca="false">IF(C287="","",IFERROR(INDEX(LOTES!$C$5:$C$1004,MATCH(C287,LOTES!$F$5:$F$1004,0)),""))</f>
        <v/>
      </c>
      <c r="F287" s="27"/>
      <c r="G287" s="27"/>
      <c r="H287" s="27"/>
      <c r="I287" s="20" t="str">
        <f aca="false">IF(AND(ISNUMBER(F287),ISNUMBER(G287),ISNUMBER(H287),F287&gt;G287,H287&gt;0),(F287-H287)/(F287-G287)*1000,"")</f>
        <v/>
      </c>
      <c r="J287" s="17" t="str">
        <f aca="false">IF(AND(ISNUMBER(F287),ISNUMBER(G287),ISNUMBER(H287),F287&gt;G287,H287&gt;0),(F287-H287)/H287,"")</f>
        <v/>
      </c>
      <c r="K287" s="20" t="str">
        <f aca="false">IF(AND(ISNUMBER(F287),ISNUMBER(G287),ISNUMBER(H287),F287&gt;G287,H287&gt;0),H287/(F287-G287)*1000,"")</f>
        <v/>
      </c>
      <c r="L287" s="11" t="str">
        <f aca="false">IF(K287="","",IF(K287&gt;=CONFIG!$E$21,CONFIG!$D$21,IF(K287&gt;=CONFIG!$E$20,CONFIG!$D$20,CONFIG!$D$19)))</f>
        <v/>
      </c>
      <c r="M287" s="20" t="str">
        <f aca="false">IF(K287="","",IF(K287&gt;=CONFIG!$E$21,CONFIG!$F$21,IF(K287&gt;=CONFIG!$E$20,CONFIG!$F$20,CONFIG!$F$19)))</f>
        <v/>
      </c>
      <c r="N287" s="19" t="str">
        <f aca="false">IF(I287="","",IF(I287&lt;=M287,"OK","ALTA"))</f>
        <v/>
      </c>
      <c r="O287" s="13"/>
    </row>
    <row r="288" customFormat="false" ht="15" hidden="false" customHeight="false" outlineLevel="0" collapsed="false">
      <c r="A288" s="11" t="str">
        <f aca="false">IF(C288="","",ROW()-4)</f>
        <v/>
      </c>
      <c r="B288" s="12"/>
      <c r="C288" s="13"/>
      <c r="D288" s="11" t="str">
        <f aca="false">IF(C288="","",IFERROR(INDEX(LOTES!$D$5:$D$1004,MATCH(C288,LOTES!$F$5:$F$1004,0)),"¿Lote?"))</f>
        <v/>
      </c>
      <c r="E288" s="11" t="str">
        <f aca="false">IF(C288="","",IFERROR(INDEX(LOTES!$C$5:$C$1004,MATCH(C288,LOTES!$F$5:$F$1004,0)),""))</f>
        <v/>
      </c>
      <c r="F288" s="27"/>
      <c r="G288" s="27"/>
      <c r="H288" s="27"/>
      <c r="I288" s="20" t="str">
        <f aca="false">IF(AND(ISNUMBER(F288),ISNUMBER(G288),ISNUMBER(H288),F288&gt;G288,H288&gt;0),(F288-H288)/(F288-G288)*1000,"")</f>
        <v/>
      </c>
      <c r="J288" s="17" t="str">
        <f aca="false">IF(AND(ISNUMBER(F288),ISNUMBER(G288),ISNUMBER(H288),F288&gt;G288,H288&gt;0),(F288-H288)/H288,"")</f>
        <v/>
      </c>
      <c r="K288" s="20" t="str">
        <f aca="false">IF(AND(ISNUMBER(F288),ISNUMBER(G288),ISNUMBER(H288),F288&gt;G288,H288&gt;0),H288/(F288-G288)*1000,"")</f>
        <v/>
      </c>
      <c r="L288" s="11" t="str">
        <f aca="false">IF(K288="","",IF(K288&gt;=CONFIG!$E$21,CONFIG!$D$21,IF(K288&gt;=CONFIG!$E$20,CONFIG!$D$20,CONFIG!$D$19)))</f>
        <v/>
      </c>
      <c r="M288" s="20" t="str">
        <f aca="false">IF(K288="","",IF(K288&gt;=CONFIG!$E$21,CONFIG!$F$21,IF(K288&gt;=CONFIG!$E$20,CONFIG!$F$20,CONFIG!$F$19)))</f>
        <v/>
      </c>
      <c r="N288" s="19" t="str">
        <f aca="false">IF(I288="","",IF(I288&lt;=M288,"OK","ALTA"))</f>
        <v/>
      </c>
      <c r="O288" s="13"/>
    </row>
    <row r="289" customFormat="false" ht="15" hidden="false" customHeight="false" outlineLevel="0" collapsed="false">
      <c r="A289" s="11" t="str">
        <f aca="false">IF(C289="","",ROW()-4)</f>
        <v/>
      </c>
      <c r="B289" s="12"/>
      <c r="C289" s="13"/>
      <c r="D289" s="11" t="str">
        <f aca="false">IF(C289="","",IFERROR(INDEX(LOTES!$D$5:$D$1004,MATCH(C289,LOTES!$F$5:$F$1004,0)),"¿Lote?"))</f>
        <v/>
      </c>
      <c r="E289" s="11" t="str">
        <f aca="false">IF(C289="","",IFERROR(INDEX(LOTES!$C$5:$C$1004,MATCH(C289,LOTES!$F$5:$F$1004,0)),""))</f>
        <v/>
      </c>
      <c r="F289" s="27"/>
      <c r="G289" s="27"/>
      <c r="H289" s="27"/>
      <c r="I289" s="20" t="str">
        <f aca="false">IF(AND(ISNUMBER(F289),ISNUMBER(G289),ISNUMBER(H289),F289&gt;G289,H289&gt;0),(F289-H289)/(F289-G289)*1000,"")</f>
        <v/>
      </c>
      <c r="J289" s="17" t="str">
        <f aca="false">IF(AND(ISNUMBER(F289),ISNUMBER(G289),ISNUMBER(H289),F289&gt;G289,H289&gt;0),(F289-H289)/H289,"")</f>
        <v/>
      </c>
      <c r="K289" s="20" t="str">
        <f aca="false">IF(AND(ISNUMBER(F289),ISNUMBER(G289),ISNUMBER(H289),F289&gt;G289,H289&gt;0),H289/(F289-G289)*1000,"")</f>
        <v/>
      </c>
      <c r="L289" s="11" t="str">
        <f aca="false">IF(K289="","",IF(K289&gt;=CONFIG!$E$21,CONFIG!$D$21,IF(K289&gt;=CONFIG!$E$20,CONFIG!$D$20,CONFIG!$D$19)))</f>
        <v/>
      </c>
      <c r="M289" s="20" t="str">
        <f aca="false">IF(K289="","",IF(K289&gt;=CONFIG!$E$21,CONFIG!$F$21,IF(K289&gt;=CONFIG!$E$20,CONFIG!$F$20,CONFIG!$F$19)))</f>
        <v/>
      </c>
      <c r="N289" s="19" t="str">
        <f aca="false">IF(I289="","",IF(I289&lt;=M289,"OK","ALTA"))</f>
        <v/>
      </c>
      <c r="O289" s="13"/>
    </row>
    <row r="290" customFormat="false" ht="15" hidden="false" customHeight="false" outlineLevel="0" collapsed="false">
      <c r="A290" s="11" t="str">
        <f aca="false">IF(C290="","",ROW()-4)</f>
        <v/>
      </c>
      <c r="B290" s="12"/>
      <c r="C290" s="13"/>
      <c r="D290" s="11" t="str">
        <f aca="false">IF(C290="","",IFERROR(INDEX(LOTES!$D$5:$D$1004,MATCH(C290,LOTES!$F$5:$F$1004,0)),"¿Lote?"))</f>
        <v/>
      </c>
      <c r="E290" s="11" t="str">
        <f aca="false">IF(C290="","",IFERROR(INDEX(LOTES!$C$5:$C$1004,MATCH(C290,LOTES!$F$5:$F$1004,0)),""))</f>
        <v/>
      </c>
      <c r="F290" s="27"/>
      <c r="G290" s="27"/>
      <c r="H290" s="27"/>
      <c r="I290" s="20" t="str">
        <f aca="false">IF(AND(ISNUMBER(F290),ISNUMBER(G290),ISNUMBER(H290),F290&gt;G290,H290&gt;0),(F290-H290)/(F290-G290)*1000,"")</f>
        <v/>
      </c>
      <c r="J290" s="17" t="str">
        <f aca="false">IF(AND(ISNUMBER(F290),ISNUMBER(G290),ISNUMBER(H290),F290&gt;G290,H290&gt;0),(F290-H290)/H290,"")</f>
        <v/>
      </c>
      <c r="K290" s="20" t="str">
        <f aca="false">IF(AND(ISNUMBER(F290),ISNUMBER(G290),ISNUMBER(H290),F290&gt;G290,H290&gt;0),H290/(F290-G290)*1000,"")</f>
        <v/>
      </c>
      <c r="L290" s="11" t="str">
        <f aca="false">IF(K290="","",IF(K290&gt;=CONFIG!$E$21,CONFIG!$D$21,IF(K290&gt;=CONFIG!$E$20,CONFIG!$D$20,CONFIG!$D$19)))</f>
        <v/>
      </c>
      <c r="M290" s="20" t="str">
        <f aca="false">IF(K290="","",IF(K290&gt;=CONFIG!$E$21,CONFIG!$F$21,IF(K290&gt;=CONFIG!$E$20,CONFIG!$F$20,CONFIG!$F$19)))</f>
        <v/>
      </c>
      <c r="N290" s="19" t="str">
        <f aca="false">IF(I290="","",IF(I290&lt;=M290,"OK","ALTA"))</f>
        <v/>
      </c>
      <c r="O290" s="13"/>
    </row>
    <row r="291" customFormat="false" ht="15" hidden="false" customHeight="false" outlineLevel="0" collapsed="false">
      <c r="A291" s="11" t="str">
        <f aca="false">IF(C291="","",ROW()-4)</f>
        <v/>
      </c>
      <c r="B291" s="12"/>
      <c r="C291" s="13"/>
      <c r="D291" s="11" t="str">
        <f aca="false">IF(C291="","",IFERROR(INDEX(LOTES!$D$5:$D$1004,MATCH(C291,LOTES!$F$5:$F$1004,0)),"¿Lote?"))</f>
        <v/>
      </c>
      <c r="E291" s="11" t="str">
        <f aca="false">IF(C291="","",IFERROR(INDEX(LOTES!$C$5:$C$1004,MATCH(C291,LOTES!$F$5:$F$1004,0)),""))</f>
        <v/>
      </c>
      <c r="F291" s="27"/>
      <c r="G291" s="27"/>
      <c r="H291" s="27"/>
      <c r="I291" s="20" t="str">
        <f aca="false">IF(AND(ISNUMBER(F291),ISNUMBER(G291),ISNUMBER(H291),F291&gt;G291,H291&gt;0),(F291-H291)/(F291-G291)*1000,"")</f>
        <v/>
      </c>
      <c r="J291" s="17" t="str">
        <f aca="false">IF(AND(ISNUMBER(F291),ISNUMBER(G291),ISNUMBER(H291),F291&gt;G291,H291&gt;0),(F291-H291)/H291,"")</f>
        <v/>
      </c>
      <c r="K291" s="20" t="str">
        <f aca="false">IF(AND(ISNUMBER(F291),ISNUMBER(G291),ISNUMBER(H291),F291&gt;G291,H291&gt;0),H291/(F291-G291)*1000,"")</f>
        <v/>
      </c>
      <c r="L291" s="11" t="str">
        <f aca="false">IF(K291="","",IF(K291&gt;=CONFIG!$E$21,CONFIG!$D$21,IF(K291&gt;=CONFIG!$E$20,CONFIG!$D$20,CONFIG!$D$19)))</f>
        <v/>
      </c>
      <c r="M291" s="20" t="str">
        <f aca="false">IF(K291="","",IF(K291&gt;=CONFIG!$E$21,CONFIG!$F$21,IF(K291&gt;=CONFIG!$E$20,CONFIG!$F$20,CONFIG!$F$19)))</f>
        <v/>
      </c>
      <c r="N291" s="19" t="str">
        <f aca="false">IF(I291="","",IF(I291&lt;=M291,"OK","ALTA"))</f>
        <v/>
      </c>
      <c r="O291" s="13"/>
    </row>
    <row r="292" customFormat="false" ht="15" hidden="false" customHeight="false" outlineLevel="0" collapsed="false">
      <c r="A292" s="11" t="str">
        <f aca="false">IF(C292="","",ROW()-4)</f>
        <v/>
      </c>
      <c r="B292" s="12"/>
      <c r="C292" s="13"/>
      <c r="D292" s="11" t="str">
        <f aca="false">IF(C292="","",IFERROR(INDEX(LOTES!$D$5:$D$1004,MATCH(C292,LOTES!$F$5:$F$1004,0)),"¿Lote?"))</f>
        <v/>
      </c>
      <c r="E292" s="11" t="str">
        <f aca="false">IF(C292="","",IFERROR(INDEX(LOTES!$C$5:$C$1004,MATCH(C292,LOTES!$F$5:$F$1004,0)),""))</f>
        <v/>
      </c>
      <c r="F292" s="27"/>
      <c r="G292" s="27"/>
      <c r="H292" s="27"/>
      <c r="I292" s="20" t="str">
        <f aca="false">IF(AND(ISNUMBER(F292),ISNUMBER(G292),ISNUMBER(H292),F292&gt;G292,H292&gt;0),(F292-H292)/(F292-G292)*1000,"")</f>
        <v/>
      </c>
      <c r="J292" s="17" t="str">
        <f aca="false">IF(AND(ISNUMBER(F292),ISNUMBER(G292),ISNUMBER(H292),F292&gt;G292,H292&gt;0),(F292-H292)/H292,"")</f>
        <v/>
      </c>
      <c r="K292" s="20" t="str">
        <f aca="false">IF(AND(ISNUMBER(F292),ISNUMBER(G292),ISNUMBER(H292),F292&gt;G292,H292&gt;0),H292/(F292-G292)*1000,"")</f>
        <v/>
      </c>
      <c r="L292" s="11" t="str">
        <f aca="false">IF(K292="","",IF(K292&gt;=CONFIG!$E$21,CONFIG!$D$21,IF(K292&gt;=CONFIG!$E$20,CONFIG!$D$20,CONFIG!$D$19)))</f>
        <v/>
      </c>
      <c r="M292" s="20" t="str">
        <f aca="false">IF(K292="","",IF(K292&gt;=CONFIG!$E$21,CONFIG!$F$21,IF(K292&gt;=CONFIG!$E$20,CONFIG!$F$20,CONFIG!$F$19)))</f>
        <v/>
      </c>
      <c r="N292" s="19" t="str">
        <f aca="false">IF(I292="","",IF(I292&lt;=M292,"OK","ALTA"))</f>
        <v/>
      </c>
      <c r="O292" s="13"/>
    </row>
    <row r="293" customFormat="false" ht="15" hidden="false" customHeight="false" outlineLevel="0" collapsed="false">
      <c r="A293" s="11" t="str">
        <f aca="false">IF(C293="","",ROW()-4)</f>
        <v/>
      </c>
      <c r="B293" s="12"/>
      <c r="C293" s="13"/>
      <c r="D293" s="11" t="str">
        <f aca="false">IF(C293="","",IFERROR(INDEX(LOTES!$D$5:$D$1004,MATCH(C293,LOTES!$F$5:$F$1004,0)),"¿Lote?"))</f>
        <v/>
      </c>
      <c r="E293" s="11" t="str">
        <f aca="false">IF(C293="","",IFERROR(INDEX(LOTES!$C$5:$C$1004,MATCH(C293,LOTES!$F$5:$F$1004,0)),""))</f>
        <v/>
      </c>
      <c r="F293" s="27"/>
      <c r="G293" s="27"/>
      <c r="H293" s="27"/>
      <c r="I293" s="20" t="str">
        <f aca="false">IF(AND(ISNUMBER(F293),ISNUMBER(G293),ISNUMBER(H293),F293&gt;G293,H293&gt;0),(F293-H293)/(F293-G293)*1000,"")</f>
        <v/>
      </c>
      <c r="J293" s="17" t="str">
        <f aca="false">IF(AND(ISNUMBER(F293),ISNUMBER(G293),ISNUMBER(H293),F293&gt;G293,H293&gt;0),(F293-H293)/H293,"")</f>
        <v/>
      </c>
      <c r="K293" s="20" t="str">
        <f aca="false">IF(AND(ISNUMBER(F293),ISNUMBER(G293),ISNUMBER(H293),F293&gt;G293,H293&gt;0),H293/(F293-G293)*1000,"")</f>
        <v/>
      </c>
      <c r="L293" s="11" t="str">
        <f aca="false">IF(K293="","",IF(K293&gt;=CONFIG!$E$21,CONFIG!$D$21,IF(K293&gt;=CONFIG!$E$20,CONFIG!$D$20,CONFIG!$D$19)))</f>
        <v/>
      </c>
      <c r="M293" s="20" t="str">
        <f aca="false">IF(K293="","",IF(K293&gt;=CONFIG!$E$21,CONFIG!$F$21,IF(K293&gt;=CONFIG!$E$20,CONFIG!$F$20,CONFIG!$F$19)))</f>
        <v/>
      </c>
      <c r="N293" s="19" t="str">
        <f aca="false">IF(I293="","",IF(I293&lt;=M293,"OK","ALTA"))</f>
        <v/>
      </c>
      <c r="O293" s="13"/>
    </row>
    <row r="294" customFormat="false" ht="15" hidden="false" customHeight="false" outlineLevel="0" collapsed="false">
      <c r="A294" s="11" t="str">
        <f aca="false">IF(C294="","",ROW()-4)</f>
        <v/>
      </c>
      <c r="B294" s="12"/>
      <c r="C294" s="13"/>
      <c r="D294" s="11" t="str">
        <f aca="false">IF(C294="","",IFERROR(INDEX(LOTES!$D$5:$D$1004,MATCH(C294,LOTES!$F$5:$F$1004,0)),"¿Lote?"))</f>
        <v/>
      </c>
      <c r="E294" s="11" t="str">
        <f aca="false">IF(C294="","",IFERROR(INDEX(LOTES!$C$5:$C$1004,MATCH(C294,LOTES!$F$5:$F$1004,0)),""))</f>
        <v/>
      </c>
      <c r="F294" s="27"/>
      <c r="G294" s="27"/>
      <c r="H294" s="27"/>
      <c r="I294" s="20" t="str">
        <f aca="false">IF(AND(ISNUMBER(F294),ISNUMBER(G294),ISNUMBER(H294),F294&gt;G294,H294&gt;0),(F294-H294)/(F294-G294)*1000,"")</f>
        <v/>
      </c>
      <c r="J294" s="17" t="str">
        <f aca="false">IF(AND(ISNUMBER(F294),ISNUMBER(G294),ISNUMBER(H294),F294&gt;G294,H294&gt;0),(F294-H294)/H294,"")</f>
        <v/>
      </c>
      <c r="K294" s="20" t="str">
        <f aca="false">IF(AND(ISNUMBER(F294),ISNUMBER(G294),ISNUMBER(H294),F294&gt;G294,H294&gt;0),H294/(F294-G294)*1000,"")</f>
        <v/>
      </c>
      <c r="L294" s="11" t="str">
        <f aca="false">IF(K294="","",IF(K294&gt;=CONFIG!$E$21,CONFIG!$D$21,IF(K294&gt;=CONFIG!$E$20,CONFIG!$D$20,CONFIG!$D$19)))</f>
        <v/>
      </c>
      <c r="M294" s="20" t="str">
        <f aca="false">IF(K294="","",IF(K294&gt;=CONFIG!$E$21,CONFIG!$F$21,IF(K294&gt;=CONFIG!$E$20,CONFIG!$F$20,CONFIG!$F$19)))</f>
        <v/>
      </c>
      <c r="N294" s="19" t="str">
        <f aca="false">IF(I294="","",IF(I294&lt;=M294,"OK","ALTA"))</f>
        <v/>
      </c>
      <c r="O294" s="13"/>
    </row>
    <row r="295" customFormat="false" ht="15" hidden="false" customHeight="false" outlineLevel="0" collapsed="false">
      <c r="A295" s="11" t="str">
        <f aca="false">IF(C295="","",ROW()-4)</f>
        <v/>
      </c>
      <c r="B295" s="12"/>
      <c r="C295" s="13"/>
      <c r="D295" s="11" t="str">
        <f aca="false">IF(C295="","",IFERROR(INDEX(LOTES!$D$5:$D$1004,MATCH(C295,LOTES!$F$5:$F$1004,0)),"¿Lote?"))</f>
        <v/>
      </c>
      <c r="E295" s="11" t="str">
        <f aca="false">IF(C295="","",IFERROR(INDEX(LOTES!$C$5:$C$1004,MATCH(C295,LOTES!$F$5:$F$1004,0)),""))</f>
        <v/>
      </c>
      <c r="F295" s="27"/>
      <c r="G295" s="27"/>
      <c r="H295" s="27"/>
      <c r="I295" s="20" t="str">
        <f aca="false">IF(AND(ISNUMBER(F295),ISNUMBER(G295),ISNUMBER(H295),F295&gt;G295,H295&gt;0),(F295-H295)/(F295-G295)*1000,"")</f>
        <v/>
      </c>
      <c r="J295" s="17" t="str">
        <f aca="false">IF(AND(ISNUMBER(F295),ISNUMBER(G295),ISNUMBER(H295),F295&gt;G295,H295&gt;0),(F295-H295)/H295,"")</f>
        <v/>
      </c>
      <c r="K295" s="20" t="str">
        <f aca="false">IF(AND(ISNUMBER(F295),ISNUMBER(G295),ISNUMBER(H295),F295&gt;G295,H295&gt;0),H295/(F295-G295)*1000,"")</f>
        <v/>
      </c>
      <c r="L295" s="11" t="str">
        <f aca="false">IF(K295="","",IF(K295&gt;=CONFIG!$E$21,CONFIG!$D$21,IF(K295&gt;=CONFIG!$E$20,CONFIG!$D$20,CONFIG!$D$19)))</f>
        <v/>
      </c>
      <c r="M295" s="20" t="str">
        <f aca="false">IF(K295="","",IF(K295&gt;=CONFIG!$E$21,CONFIG!$F$21,IF(K295&gt;=CONFIG!$E$20,CONFIG!$F$20,CONFIG!$F$19)))</f>
        <v/>
      </c>
      <c r="N295" s="19" t="str">
        <f aca="false">IF(I295="","",IF(I295&lt;=M295,"OK","ALTA"))</f>
        <v/>
      </c>
      <c r="O295" s="13"/>
    </row>
    <row r="296" customFormat="false" ht="15" hidden="false" customHeight="false" outlineLevel="0" collapsed="false">
      <c r="A296" s="11" t="str">
        <f aca="false">IF(C296="","",ROW()-4)</f>
        <v/>
      </c>
      <c r="B296" s="12"/>
      <c r="C296" s="13"/>
      <c r="D296" s="11" t="str">
        <f aca="false">IF(C296="","",IFERROR(INDEX(LOTES!$D$5:$D$1004,MATCH(C296,LOTES!$F$5:$F$1004,0)),"¿Lote?"))</f>
        <v/>
      </c>
      <c r="E296" s="11" t="str">
        <f aca="false">IF(C296="","",IFERROR(INDEX(LOTES!$C$5:$C$1004,MATCH(C296,LOTES!$F$5:$F$1004,0)),""))</f>
        <v/>
      </c>
      <c r="F296" s="27"/>
      <c r="G296" s="27"/>
      <c r="H296" s="27"/>
      <c r="I296" s="20" t="str">
        <f aca="false">IF(AND(ISNUMBER(F296),ISNUMBER(G296),ISNUMBER(H296),F296&gt;G296,H296&gt;0),(F296-H296)/(F296-G296)*1000,"")</f>
        <v/>
      </c>
      <c r="J296" s="17" t="str">
        <f aca="false">IF(AND(ISNUMBER(F296),ISNUMBER(G296),ISNUMBER(H296),F296&gt;G296,H296&gt;0),(F296-H296)/H296,"")</f>
        <v/>
      </c>
      <c r="K296" s="20" t="str">
        <f aca="false">IF(AND(ISNUMBER(F296),ISNUMBER(G296),ISNUMBER(H296),F296&gt;G296,H296&gt;0),H296/(F296-G296)*1000,"")</f>
        <v/>
      </c>
      <c r="L296" s="11" t="str">
        <f aca="false">IF(K296="","",IF(K296&gt;=CONFIG!$E$21,CONFIG!$D$21,IF(K296&gt;=CONFIG!$E$20,CONFIG!$D$20,CONFIG!$D$19)))</f>
        <v/>
      </c>
      <c r="M296" s="20" t="str">
        <f aca="false">IF(K296="","",IF(K296&gt;=CONFIG!$E$21,CONFIG!$F$21,IF(K296&gt;=CONFIG!$E$20,CONFIG!$F$20,CONFIG!$F$19)))</f>
        <v/>
      </c>
      <c r="N296" s="19" t="str">
        <f aca="false">IF(I296="","",IF(I296&lt;=M296,"OK","ALTA"))</f>
        <v/>
      </c>
      <c r="O296" s="13"/>
    </row>
    <row r="297" customFormat="false" ht="15" hidden="false" customHeight="false" outlineLevel="0" collapsed="false">
      <c r="A297" s="11" t="str">
        <f aca="false">IF(C297="","",ROW()-4)</f>
        <v/>
      </c>
      <c r="B297" s="12"/>
      <c r="C297" s="13"/>
      <c r="D297" s="11" t="str">
        <f aca="false">IF(C297="","",IFERROR(INDEX(LOTES!$D$5:$D$1004,MATCH(C297,LOTES!$F$5:$F$1004,0)),"¿Lote?"))</f>
        <v/>
      </c>
      <c r="E297" s="11" t="str">
        <f aca="false">IF(C297="","",IFERROR(INDEX(LOTES!$C$5:$C$1004,MATCH(C297,LOTES!$F$5:$F$1004,0)),""))</f>
        <v/>
      </c>
      <c r="F297" s="27"/>
      <c r="G297" s="27"/>
      <c r="H297" s="27"/>
      <c r="I297" s="20" t="str">
        <f aca="false">IF(AND(ISNUMBER(F297),ISNUMBER(G297),ISNUMBER(H297),F297&gt;G297,H297&gt;0),(F297-H297)/(F297-G297)*1000,"")</f>
        <v/>
      </c>
      <c r="J297" s="17" t="str">
        <f aca="false">IF(AND(ISNUMBER(F297),ISNUMBER(G297),ISNUMBER(H297),F297&gt;G297,H297&gt;0),(F297-H297)/H297,"")</f>
        <v/>
      </c>
      <c r="K297" s="20" t="str">
        <f aca="false">IF(AND(ISNUMBER(F297),ISNUMBER(G297),ISNUMBER(H297),F297&gt;G297,H297&gt;0),H297/(F297-G297)*1000,"")</f>
        <v/>
      </c>
      <c r="L297" s="11" t="str">
        <f aca="false">IF(K297="","",IF(K297&gt;=CONFIG!$E$21,CONFIG!$D$21,IF(K297&gt;=CONFIG!$E$20,CONFIG!$D$20,CONFIG!$D$19)))</f>
        <v/>
      </c>
      <c r="M297" s="20" t="str">
        <f aca="false">IF(K297="","",IF(K297&gt;=CONFIG!$E$21,CONFIG!$F$21,IF(K297&gt;=CONFIG!$E$20,CONFIG!$F$20,CONFIG!$F$19)))</f>
        <v/>
      </c>
      <c r="N297" s="19" t="str">
        <f aca="false">IF(I297="","",IF(I297&lt;=M297,"OK","ALTA"))</f>
        <v/>
      </c>
      <c r="O297" s="13"/>
    </row>
    <row r="298" customFormat="false" ht="15" hidden="false" customHeight="false" outlineLevel="0" collapsed="false">
      <c r="A298" s="11" t="str">
        <f aca="false">IF(C298="","",ROW()-4)</f>
        <v/>
      </c>
      <c r="B298" s="12"/>
      <c r="C298" s="13"/>
      <c r="D298" s="11" t="str">
        <f aca="false">IF(C298="","",IFERROR(INDEX(LOTES!$D$5:$D$1004,MATCH(C298,LOTES!$F$5:$F$1004,0)),"¿Lote?"))</f>
        <v/>
      </c>
      <c r="E298" s="11" t="str">
        <f aca="false">IF(C298="","",IFERROR(INDEX(LOTES!$C$5:$C$1004,MATCH(C298,LOTES!$F$5:$F$1004,0)),""))</f>
        <v/>
      </c>
      <c r="F298" s="27"/>
      <c r="G298" s="27"/>
      <c r="H298" s="27"/>
      <c r="I298" s="20" t="str">
        <f aca="false">IF(AND(ISNUMBER(F298),ISNUMBER(G298),ISNUMBER(H298),F298&gt;G298,H298&gt;0),(F298-H298)/(F298-G298)*1000,"")</f>
        <v/>
      </c>
      <c r="J298" s="17" t="str">
        <f aca="false">IF(AND(ISNUMBER(F298),ISNUMBER(G298),ISNUMBER(H298),F298&gt;G298,H298&gt;0),(F298-H298)/H298,"")</f>
        <v/>
      </c>
      <c r="K298" s="20" t="str">
        <f aca="false">IF(AND(ISNUMBER(F298),ISNUMBER(G298),ISNUMBER(H298),F298&gt;G298,H298&gt;0),H298/(F298-G298)*1000,"")</f>
        <v/>
      </c>
      <c r="L298" s="11" t="str">
        <f aca="false">IF(K298="","",IF(K298&gt;=CONFIG!$E$21,CONFIG!$D$21,IF(K298&gt;=CONFIG!$E$20,CONFIG!$D$20,CONFIG!$D$19)))</f>
        <v/>
      </c>
      <c r="M298" s="20" t="str">
        <f aca="false">IF(K298="","",IF(K298&gt;=CONFIG!$E$21,CONFIG!$F$21,IF(K298&gt;=CONFIG!$E$20,CONFIG!$F$20,CONFIG!$F$19)))</f>
        <v/>
      </c>
      <c r="N298" s="19" t="str">
        <f aca="false">IF(I298="","",IF(I298&lt;=M298,"OK","ALTA"))</f>
        <v/>
      </c>
      <c r="O298" s="13"/>
    </row>
    <row r="299" customFormat="false" ht="15" hidden="false" customHeight="false" outlineLevel="0" collapsed="false">
      <c r="A299" s="11" t="str">
        <f aca="false">IF(C299="","",ROW()-4)</f>
        <v/>
      </c>
      <c r="B299" s="12"/>
      <c r="C299" s="13"/>
      <c r="D299" s="11" t="str">
        <f aca="false">IF(C299="","",IFERROR(INDEX(LOTES!$D$5:$D$1004,MATCH(C299,LOTES!$F$5:$F$1004,0)),"¿Lote?"))</f>
        <v/>
      </c>
      <c r="E299" s="11" t="str">
        <f aca="false">IF(C299="","",IFERROR(INDEX(LOTES!$C$5:$C$1004,MATCH(C299,LOTES!$F$5:$F$1004,0)),""))</f>
        <v/>
      </c>
      <c r="F299" s="27"/>
      <c r="G299" s="27"/>
      <c r="H299" s="27"/>
      <c r="I299" s="20" t="str">
        <f aca="false">IF(AND(ISNUMBER(F299),ISNUMBER(G299),ISNUMBER(H299),F299&gt;G299,H299&gt;0),(F299-H299)/(F299-G299)*1000,"")</f>
        <v/>
      </c>
      <c r="J299" s="17" t="str">
        <f aca="false">IF(AND(ISNUMBER(F299),ISNUMBER(G299),ISNUMBER(H299),F299&gt;G299,H299&gt;0),(F299-H299)/H299,"")</f>
        <v/>
      </c>
      <c r="K299" s="20" t="str">
        <f aca="false">IF(AND(ISNUMBER(F299),ISNUMBER(G299),ISNUMBER(H299),F299&gt;G299,H299&gt;0),H299/(F299-G299)*1000,"")</f>
        <v/>
      </c>
      <c r="L299" s="11" t="str">
        <f aca="false">IF(K299="","",IF(K299&gt;=CONFIG!$E$21,CONFIG!$D$21,IF(K299&gt;=CONFIG!$E$20,CONFIG!$D$20,CONFIG!$D$19)))</f>
        <v/>
      </c>
      <c r="M299" s="20" t="str">
        <f aca="false">IF(K299="","",IF(K299&gt;=CONFIG!$E$21,CONFIG!$F$21,IF(K299&gt;=CONFIG!$E$20,CONFIG!$F$20,CONFIG!$F$19)))</f>
        <v/>
      </c>
      <c r="N299" s="19" t="str">
        <f aca="false">IF(I299="","",IF(I299&lt;=M299,"OK","ALTA"))</f>
        <v/>
      </c>
      <c r="O299" s="13"/>
    </row>
    <row r="300" customFormat="false" ht="15" hidden="false" customHeight="false" outlineLevel="0" collapsed="false">
      <c r="A300" s="11" t="str">
        <f aca="false">IF(C300="","",ROW()-4)</f>
        <v/>
      </c>
      <c r="B300" s="12"/>
      <c r="C300" s="13"/>
      <c r="D300" s="11" t="str">
        <f aca="false">IF(C300="","",IFERROR(INDEX(LOTES!$D$5:$D$1004,MATCH(C300,LOTES!$F$5:$F$1004,0)),"¿Lote?"))</f>
        <v/>
      </c>
      <c r="E300" s="11" t="str">
        <f aca="false">IF(C300="","",IFERROR(INDEX(LOTES!$C$5:$C$1004,MATCH(C300,LOTES!$F$5:$F$1004,0)),""))</f>
        <v/>
      </c>
      <c r="F300" s="27"/>
      <c r="G300" s="27"/>
      <c r="H300" s="27"/>
      <c r="I300" s="20" t="str">
        <f aca="false">IF(AND(ISNUMBER(F300),ISNUMBER(G300),ISNUMBER(H300),F300&gt;G300,H300&gt;0),(F300-H300)/(F300-G300)*1000,"")</f>
        <v/>
      </c>
      <c r="J300" s="17" t="str">
        <f aca="false">IF(AND(ISNUMBER(F300),ISNUMBER(G300),ISNUMBER(H300),F300&gt;G300,H300&gt;0),(F300-H300)/H300,"")</f>
        <v/>
      </c>
      <c r="K300" s="20" t="str">
        <f aca="false">IF(AND(ISNUMBER(F300),ISNUMBER(G300),ISNUMBER(H300),F300&gt;G300,H300&gt;0),H300/(F300-G300)*1000,"")</f>
        <v/>
      </c>
      <c r="L300" s="11" t="str">
        <f aca="false">IF(K300="","",IF(K300&gt;=CONFIG!$E$21,CONFIG!$D$21,IF(K300&gt;=CONFIG!$E$20,CONFIG!$D$20,CONFIG!$D$19)))</f>
        <v/>
      </c>
      <c r="M300" s="20" t="str">
        <f aca="false">IF(K300="","",IF(K300&gt;=CONFIG!$E$21,CONFIG!$F$21,IF(K300&gt;=CONFIG!$E$20,CONFIG!$F$20,CONFIG!$F$19)))</f>
        <v/>
      </c>
      <c r="N300" s="19" t="str">
        <f aca="false">IF(I300="","",IF(I300&lt;=M300,"OK","ALTA"))</f>
        <v/>
      </c>
      <c r="O300" s="13"/>
    </row>
    <row r="301" customFormat="false" ht="15" hidden="false" customHeight="false" outlineLevel="0" collapsed="false">
      <c r="A301" s="11" t="str">
        <f aca="false">IF(C301="","",ROW()-4)</f>
        <v/>
      </c>
      <c r="B301" s="12"/>
      <c r="C301" s="13"/>
      <c r="D301" s="11" t="str">
        <f aca="false">IF(C301="","",IFERROR(INDEX(LOTES!$D$5:$D$1004,MATCH(C301,LOTES!$F$5:$F$1004,0)),"¿Lote?"))</f>
        <v/>
      </c>
      <c r="E301" s="11" t="str">
        <f aca="false">IF(C301="","",IFERROR(INDEX(LOTES!$C$5:$C$1004,MATCH(C301,LOTES!$F$5:$F$1004,0)),""))</f>
        <v/>
      </c>
      <c r="F301" s="27"/>
      <c r="G301" s="27"/>
      <c r="H301" s="27"/>
      <c r="I301" s="20" t="str">
        <f aca="false">IF(AND(ISNUMBER(F301),ISNUMBER(G301),ISNUMBER(H301),F301&gt;G301,H301&gt;0),(F301-H301)/(F301-G301)*1000,"")</f>
        <v/>
      </c>
      <c r="J301" s="17" t="str">
        <f aca="false">IF(AND(ISNUMBER(F301),ISNUMBER(G301),ISNUMBER(H301),F301&gt;G301,H301&gt;0),(F301-H301)/H301,"")</f>
        <v/>
      </c>
      <c r="K301" s="20" t="str">
        <f aca="false">IF(AND(ISNUMBER(F301),ISNUMBER(G301),ISNUMBER(H301),F301&gt;G301,H301&gt;0),H301/(F301-G301)*1000,"")</f>
        <v/>
      </c>
      <c r="L301" s="11" t="str">
        <f aca="false">IF(K301="","",IF(K301&gt;=CONFIG!$E$21,CONFIG!$D$21,IF(K301&gt;=CONFIG!$E$20,CONFIG!$D$20,CONFIG!$D$19)))</f>
        <v/>
      </c>
      <c r="M301" s="20" t="str">
        <f aca="false">IF(K301="","",IF(K301&gt;=CONFIG!$E$21,CONFIG!$F$21,IF(K301&gt;=CONFIG!$E$20,CONFIG!$F$20,CONFIG!$F$19)))</f>
        <v/>
      </c>
      <c r="N301" s="19" t="str">
        <f aca="false">IF(I301="","",IF(I301&lt;=M301,"OK","ALTA"))</f>
        <v/>
      </c>
      <c r="O301" s="13"/>
    </row>
    <row r="302" customFormat="false" ht="15" hidden="false" customHeight="false" outlineLevel="0" collapsed="false">
      <c r="A302" s="11" t="str">
        <f aca="false">IF(C302="","",ROW()-4)</f>
        <v/>
      </c>
      <c r="B302" s="12"/>
      <c r="C302" s="13"/>
      <c r="D302" s="11" t="str">
        <f aca="false">IF(C302="","",IFERROR(INDEX(LOTES!$D$5:$D$1004,MATCH(C302,LOTES!$F$5:$F$1004,0)),"¿Lote?"))</f>
        <v/>
      </c>
      <c r="E302" s="11" t="str">
        <f aca="false">IF(C302="","",IFERROR(INDEX(LOTES!$C$5:$C$1004,MATCH(C302,LOTES!$F$5:$F$1004,0)),""))</f>
        <v/>
      </c>
      <c r="F302" s="27"/>
      <c r="G302" s="27"/>
      <c r="H302" s="27"/>
      <c r="I302" s="20" t="str">
        <f aca="false">IF(AND(ISNUMBER(F302),ISNUMBER(G302),ISNUMBER(H302),F302&gt;G302,H302&gt;0),(F302-H302)/(F302-G302)*1000,"")</f>
        <v/>
      </c>
      <c r="J302" s="17" t="str">
        <f aca="false">IF(AND(ISNUMBER(F302),ISNUMBER(G302),ISNUMBER(H302),F302&gt;G302,H302&gt;0),(F302-H302)/H302,"")</f>
        <v/>
      </c>
      <c r="K302" s="20" t="str">
        <f aca="false">IF(AND(ISNUMBER(F302),ISNUMBER(G302),ISNUMBER(H302),F302&gt;G302,H302&gt;0),H302/(F302-G302)*1000,"")</f>
        <v/>
      </c>
      <c r="L302" s="11" t="str">
        <f aca="false">IF(K302="","",IF(K302&gt;=CONFIG!$E$21,CONFIG!$D$21,IF(K302&gt;=CONFIG!$E$20,CONFIG!$D$20,CONFIG!$D$19)))</f>
        <v/>
      </c>
      <c r="M302" s="20" t="str">
        <f aca="false">IF(K302="","",IF(K302&gt;=CONFIG!$E$21,CONFIG!$F$21,IF(K302&gt;=CONFIG!$E$20,CONFIG!$F$20,CONFIG!$F$19)))</f>
        <v/>
      </c>
      <c r="N302" s="19" t="str">
        <f aca="false">IF(I302="","",IF(I302&lt;=M302,"OK","ALTA"))</f>
        <v/>
      </c>
      <c r="O302" s="13"/>
    </row>
    <row r="303" customFormat="false" ht="15" hidden="false" customHeight="false" outlineLevel="0" collapsed="false">
      <c r="A303" s="11" t="str">
        <f aca="false">IF(C303="","",ROW()-4)</f>
        <v/>
      </c>
      <c r="B303" s="12"/>
      <c r="C303" s="13"/>
      <c r="D303" s="11" t="str">
        <f aca="false">IF(C303="","",IFERROR(INDEX(LOTES!$D$5:$D$1004,MATCH(C303,LOTES!$F$5:$F$1004,0)),"¿Lote?"))</f>
        <v/>
      </c>
      <c r="E303" s="11" t="str">
        <f aca="false">IF(C303="","",IFERROR(INDEX(LOTES!$C$5:$C$1004,MATCH(C303,LOTES!$F$5:$F$1004,0)),""))</f>
        <v/>
      </c>
      <c r="F303" s="27"/>
      <c r="G303" s="27"/>
      <c r="H303" s="27"/>
      <c r="I303" s="20" t="str">
        <f aca="false">IF(AND(ISNUMBER(F303),ISNUMBER(G303),ISNUMBER(H303),F303&gt;G303,H303&gt;0),(F303-H303)/(F303-G303)*1000,"")</f>
        <v/>
      </c>
      <c r="J303" s="17" t="str">
        <f aca="false">IF(AND(ISNUMBER(F303),ISNUMBER(G303),ISNUMBER(H303),F303&gt;G303,H303&gt;0),(F303-H303)/H303,"")</f>
        <v/>
      </c>
      <c r="K303" s="20" t="str">
        <f aca="false">IF(AND(ISNUMBER(F303),ISNUMBER(G303),ISNUMBER(H303),F303&gt;G303,H303&gt;0),H303/(F303-G303)*1000,"")</f>
        <v/>
      </c>
      <c r="L303" s="11" t="str">
        <f aca="false">IF(K303="","",IF(K303&gt;=CONFIG!$E$21,CONFIG!$D$21,IF(K303&gt;=CONFIG!$E$20,CONFIG!$D$20,CONFIG!$D$19)))</f>
        <v/>
      </c>
      <c r="M303" s="20" t="str">
        <f aca="false">IF(K303="","",IF(K303&gt;=CONFIG!$E$21,CONFIG!$F$21,IF(K303&gt;=CONFIG!$E$20,CONFIG!$F$20,CONFIG!$F$19)))</f>
        <v/>
      </c>
      <c r="N303" s="19" t="str">
        <f aca="false">IF(I303="","",IF(I303&lt;=M303,"OK","ALTA"))</f>
        <v/>
      </c>
      <c r="O303" s="13"/>
    </row>
    <row r="304" customFormat="false" ht="15" hidden="false" customHeight="false" outlineLevel="0" collapsed="false">
      <c r="A304" s="11" t="str">
        <f aca="false">IF(C304="","",ROW()-4)</f>
        <v/>
      </c>
      <c r="B304" s="12"/>
      <c r="C304" s="13"/>
      <c r="D304" s="11" t="str">
        <f aca="false">IF(C304="","",IFERROR(INDEX(LOTES!$D$5:$D$1004,MATCH(C304,LOTES!$F$5:$F$1004,0)),"¿Lote?"))</f>
        <v/>
      </c>
      <c r="E304" s="11" t="str">
        <f aca="false">IF(C304="","",IFERROR(INDEX(LOTES!$C$5:$C$1004,MATCH(C304,LOTES!$F$5:$F$1004,0)),""))</f>
        <v/>
      </c>
      <c r="F304" s="27"/>
      <c r="G304" s="27"/>
      <c r="H304" s="27"/>
      <c r="I304" s="20" t="str">
        <f aca="false">IF(AND(ISNUMBER(F304),ISNUMBER(G304),ISNUMBER(H304),F304&gt;G304,H304&gt;0),(F304-H304)/(F304-G304)*1000,"")</f>
        <v/>
      </c>
      <c r="J304" s="17" t="str">
        <f aca="false">IF(AND(ISNUMBER(F304),ISNUMBER(G304),ISNUMBER(H304),F304&gt;G304,H304&gt;0),(F304-H304)/H304,"")</f>
        <v/>
      </c>
      <c r="K304" s="20" t="str">
        <f aca="false">IF(AND(ISNUMBER(F304),ISNUMBER(G304),ISNUMBER(H304),F304&gt;G304,H304&gt;0),H304/(F304-G304)*1000,"")</f>
        <v/>
      </c>
      <c r="L304" s="11" t="str">
        <f aca="false">IF(K304="","",IF(K304&gt;=CONFIG!$E$21,CONFIG!$D$21,IF(K304&gt;=CONFIG!$E$20,CONFIG!$D$20,CONFIG!$D$19)))</f>
        <v/>
      </c>
      <c r="M304" s="20" t="str">
        <f aca="false">IF(K304="","",IF(K304&gt;=CONFIG!$E$21,CONFIG!$F$21,IF(K304&gt;=CONFIG!$E$20,CONFIG!$F$20,CONFIG!$F$19)))</f>
        <v/>
      </c>
      <c r="N304" s="19" t="str">
        <f aca="false">IF(I304="","",IF(I304&lt;=M304,"OK","ALTA"))</f>
        <v/>
      </c>
      <c r="O304" s="13"/>
    </row>
    <row r="305" customFormat="false" ht="15" hidden="false" customHeight="false" outlineLevel="0" collapsed="false">
      <c r="A305" s="11" t="str">
        <f aca="false">IF(C305="","",ROW()-4)</f>
        <v/>
      </c>
      <c r="B305" s="12"/>
      <c r="C305" s="13"/>
      <c r="D305" s="11" t="str">
        <f aca="false">IF(C305="","",IFERROR(INDEX(LOTES!$D$5:$D$1004,MATCH(C305,LOTES!$F$5:$F$1004,0)),"¿Lote?"))</f>
        <v/>
      </c>
      <c r="E305" s="11" t="str">
        <f aca="false">IF(C305="","",IFERROR(INDEX(LOTES!$C$5:$C$1004,MATCH(C305,LOTES!$F$5:$F$1004,0)),""))</f>
        <v/>
      </c>
      <c r="F305" s="27"/>
      <c r="G305" s="27"/>
      <c r="H305" s="27"/>
      <c r="I305" s="20" t="str">
        <f aca="false">IF(AND(ISNUMBER(F305),ISNUMBER(G305),ISNUMBER(H305),F305&gt;G305,H305&gt;0),(F305-H305)/(F305-G305)*1000,"")</f>
        <v/>
      </c>
      <c r="J305" s="17" t="str">
        <f aca="false">IF(AND(ISNUMBER(F305),ISNUMBER(G305),ISNUMBER(H305),F305&gt;G305,H305&gt;0),(F305-H305)/H305,"")</f>
        <v/>
      </c>
      <c r="K305" s="20" t="str">
        <f aca="false">IF(AND(ISNUMBER(F305),ISNUMBER(G305),ISNUMBER(H305),F305&gt;G305,H305&gt;0),H305/(F305-G305)*1000,"")</f>
        <v/>
      </c>
      <c r="L305" s="11" t="str">
        <f aca="false">IF(K305="","",IF(K305&gt;=CONFIG!$E$21,CONFIG!$D$21,IF(K305&gt;=CONFIG!$E$20,CONFIG!$D$20,CONFIG!$D$19)))</f>
        <v/>
      </c>
      <c r="M305" s="20" t="str">
        <f aca="false">IF(K305="","",IF(K305&gt;=CONFIG!$E$21,CONFIG!$F$21,IF(K305&gt;=CONFIG!$E$20,CONFIG!$F$20,CONFIG!$F$19)))</f>
        <v/>
      </c>
      <c r="N305" s="19" t="str">
        <f aca="false">IF(I305="","",IF(I305&lt;=M305,"OK","ALTA"))</f>
        <v/>
      </c>
      <c r="O305" s="13"/>
    </row>
    <row r="306" customFormat="false" ht="15" hidden="false" customHeight="false" outlineLevel="0" collapsed="false">
      <c r="A306" s="11" t="str">
        <f aca="false">IF(C306="","",ROW()-4)</f>
        <v/>
      </c>
      <c r="B306" s="12"/>
      <c r="C306" s="13"/>
      <c r="D306" s="11" t="str">
        <f aca="false">IF(C306="","",IFERROR(INDEX(LOTES!$D$5:$D$1004,MATCH(C306,LOTES!$F$5:$F$1004,0)),"¿Lote?"))</f>
        <v/>
      </c>
      <c r="E306" s="11" t="str">
        <f aca="false">IF(C306="","",IFERROR(INDEX(LOTES!$C$5:$C$1004,MATCH(C306,LOTES!$F$5:$F$1004,0)),""))</f>
        <v/>
      </c>
      <c r="F306" s="27"/>
      <c r="G306" s="27"/>
      <c r="H306" s="27"/>
      <c r="I306" s="20" t="str">
        <f aca="false">IF(AND(ISNUMBER(F306),ISNUMBER(G306),ISNUMBER(H306),F306&gt;G306,H306&gt;0),(F306-H306)/(F306-G306)*1000,"")</f>
        <v/>
      </c>
      <c r="J306" s="17" t="str">
        <f aca="false">IF(AND(ISNUMBER(F306),ISNUMBER(G306),ISNUMBER(H306),F306&gt;G306,H306&gt;0),(F306-H306)/H306,"")</f>
        <v/>
      </c>
      <c r="K306" s="20" t="str">
        <f aca="false">IF(AND(ISNUMBER(F306),ISNUMBER(G306),ISNUMBER(H306),F306&gt;G306,H306&gt;0),H306/(F306-G306)*1000,"")</f>
        <v/>
      </c>
      <c r="L306" s="11" t="str">
        <f aca="false">IF(K306="","",IF(K306&gt;=CONFIG!$E$21,CONFIG!$D$21,IF(K306&gt;=CONFIG!$E$20,CONFIG!$D$20,CONFIG!$D$19)))</f>
        <v/>
      </c>
      <c r="M306" s="20" t="str">
        <f aca="false">IF(K306="","",IF(K306&gt;=CONFIG!$E$21,CONFIG!$F$21,IF(K306&gt;=CONFIG!$E$20,CONFIG!$F$20,CONFIG!$F$19)))</f>
        <v/>
      </c>
      <c r="N306" s="19" t="str">
        <f aca="false">IF(I306="","",IF(I306&lt;=M306,"OK","ALTA"))</f>
        <v/>
      </c>
      <c r="O306" s="13"/>
    </row>
    <row r="307" customFormat="false" ht="15" hidden="false" customHeight="false" outlineLevel="0" collapsed="false">
      <c r="A307" s="11" t="str">
        <f aca="false">IF(C307="","",ROW()-4)</f>
        <v/>
      </c>
      <c r="B307" s="12"/>
      <c r="C307" s="13"/>
      <c r="D307" s="11" t="str">
        <f aca="false">IF(C307="","",IFERROR(INDEX(LOTES!$D$5:$D$1004,MATCH(C307,LOTES!$F$5:$F$1004,0)),"¿Lote?"))</f>
        <v/>
      </c>
      <c r="E307" s="11" t="str">
        <f aca="false">IF(C307="","",IFERROR(INDEX(LOTES!$C$5:$C$1004,MATCH(C307,LOTES!$F$5:$F$1004,0)),""))</f>
        <v/>
      </c>
      <c r="F307" s="27"/>
      <c r="G307" s="27"/>
      <c r="H307" s="27"/>
      <c r="I307" s="20" t="str">
        <f aca="false">IF(AND(ISNUMBER(F307),ISNUMBER(G307),ISNUMBER(H307),F307&gt;G307,H307&gt;0),(F307-H307)/(F307-G307)*1000,"")</f>
        <v/>
      </c>
      <c r="J307" s="17" t="str">
        <f aca="false">IF(AND(ISNUMBER(F307),ISNUMBER(G307),ISNUMBER(H307),F307&gt;G307,H307&gt;0),(F307-H307)/H307,"")</f>
        <v/>
      </c>
      <c r="K307" s="20" t="str">
        <f aca="false">IF(AND(ISNUMBER(F307),ISNUMBER(G307),ISNUMBER(H307),F307&gt;G307,H307&gt;0),H307/(F307-G307)*1000,"")</f>
        <v/>
      </c>
      <c r="L307" s="11" t="str">
        <f aca="false">IF(K307="","",IF(K307&gt;=CONFIG!$E$21,CONFIG!$D$21,IF(K307&gt;=CONFIG!$E$20,CONFIG!$D$20,CONFIG!$D$19)))</f>
        <v/>
      </c>
      <c r="M307" s="20" t="str">
        <f aca="false">IF(K307="","",IF(K307&gt;=CONFIG!$E$21,CONFIG!$F$21,IF(K307&gt;=CONFIG!$E$20,CONFIG!$F$20,CONFIG!$F$19)))</f>
        <v/>
      </c>
      <c r="N307" s="19" t="str">
        <f aca="false">IF(I307="","",IF(I307&lt;=M307,"OK","ALTA"))</f>
        <v/>
      </c>
      <c r="O307" s="13"/>
    </row>
    <row r="308" customFormat="false" ht="15" hidden="false" customHeight="false" outlineLevel="0" collapsed="false">
      <c r="A308" s="11" t="str">
        <f aca="false">IF(C308="","",ROW()-4)</f>
        <v/>
      </c>
      <c r="B308" s="12"/>
      <c r="C308" s="13"/>
      <c r="D308" s="11" t="str">
        <f aca="false">IF(C308="","",IFERROR(INDEX(LOTES!$D$5:$D$1004,MATCH(C308,LOTES!$F$5:$F$1004,0)),"¿Lote?"))</f>
        <v/>
      </c>
      <c r="E308" s="11" t="str">
        <f aca="false">IF(C308="","",IFERROR(INDEX(LOTES!$C$5:$C$1004,MATCH(C308,LOTES!$F$5:$F$1004,0)),""))</f>
        <v/>
      </c>
      <c r="F308" s="27"/>
      <c r="G308" s="27"/>
      <c r="H308" s="27"/>
      <c r="I308" s="20" t="str">
        <f aca="false">IF(AND(ISNUMBER(F308),ISNUMBER(G308),ISNUMBER(H308),F308&gt;G308,H308&gt;0),(F308-H308)/(F308-G308)*1000,"")</f>
        <v/>
      </c>
      <c r="J308" s="17" t="str">
        <f aca="false">IF(AND(ISNUMBER(F308),ISNUMBER(G308),ISNUMBER(H308),F308&gt;G308,H308&gt;0),(F308-H308)/H308,"")</f>
        <v/>
      </c>
      <c r="K308" s="20" t="str">
        <f aca="false">IF(AND(ISNUMBER(F308),ISNUMBER(G308),ISNUMBER(H308),F308&gt;G308,H308&gt;0),H308/(F308-G308)*1000,"")</f>
        <v/>
      </c>
      <c r="L308" s="11" t="str">
        <f aca="false">IF(K308="","",IF(K308&gt;=CONFIG!$E$21,CONFIG!$D$21,IF(K308&gt;=CONFIG!$E$20,CONFIG!$D$20,CONFIG!$D$19)))</f>
        <v/>
      </c>
      <c r="M308" s="20" t="str">
        <f aca="false">IF(K308="","",IF(K308&gt;=CONFIG!$E$21,CONFIG!$F$21,IF(K308&gt;=CONFIG!$E$20,CONFIG!$F$20,CONFIG!$F$19)))</f>
        <v/>
      </c>
      <c r="N308" s="19" t="str">
        <f aca="false">IF(I308="","",IF(I308&lt;=M308,"OK","ALTA"))</f>
        <v/>
      </c>
      <c r="O308" s="13"/>
    </row>
    <row r="309" customFormat="false" ht="15" hidden="false" customHeight="false" outlineLevel="0" collapsed="false">
      <c r="A309" s="11" t="str">
        <f aca="false">IF(C309="","",ROW()-4)</f>
        <v/>
      </c>
      <c r="B309" s="12"/>
      <c r="C309" s="13"/>
      <c r="D309" s="11" t="str">
        <f aca="false">IF(C309="","",IFERROR(INDEX(LOTES!$D$5:$D$1004,MATCH(C309,LOTES!$F$5:$F$1004,0)),"¿Lote?"))</f>
        <v/>
      </c>
      <c r="E309" s="11" t="str">
        <f aca="false">IF(C309="","",IFERROR(INDEX(LOTES!$C$5:$C$1004,MATCH(C309,LOTES!$F$5:$F$1004,0)),""))</f>
        <v/>
      </c>
      <c r="F309" s="27"/>
      <c r="G309" s="27"/>
      <c r="H309" s="27"/>
      <c r="I309" s="20" t="str">
        <f aca="false">IF(AND(ISNUMBER(F309),ISNUMBER(G309),ISNUMBER(H309),F309&gt;G309,H309&gt;0),(F309-H309)/(F309-G309)*1000,"")</f>
        <v/>
      </c>
      <c r="J309" s="17" t="str">
        <f aca="false">IF(AND(ISNUMBER(F309),ISNUMBER(G309),ISNUMBER(H309),F309&gt;G309,H309&gt;0),(F309-H309)/H309,"")</f>
        <v/>
      </c>
      <c r="K309" s="20" t="str">
        <f aca="false">IF(AND(ISNUMBER(F309),ISNUMBER(G309),ISNUMBER(H309),F309&gt;G309,H309&gt;0),H309/(F309-G309)*1000,"")</f>
        <v/>
      </c>
      <c r="L309" s="11" t="str">
        <f aca="false">IF(K309="","",IF(K309&gt;=CONFIG!$E$21,CONFIG!$D$21,IF(K309&gt;=CONFIG!$E$20,CONFIG!$D$20,CONFIG!$D$19)))</f>
        <v/>
      </c>
      <c r="M309" s="20" t="str">
        <f aca="false">IF(K309="","",IF(K309&gt;=CONFIG!$E$21,CONFIG!$F$21,IF(K309&gt;=CONFIG!$E$20,CONFIG!$F$20,CONFIG!$F$19)))</f>
        <v/>
      </c>
      <c r="N309" s="19" t="str">
        <f aca="false">IF(I309="","",IF(I309&lt;=M309,"OK","ALTA"))</f>
        <v/>
      </c>
      <c r="O309" s="13"/>
    </row>
    <row r="310" customFormat="false" ht="15" hidden="false" customHeight="false" outlineLevel="0" collapsed="false">
      <c r="A310" s="11" t="str">
        <f aca="false">IF(C310="","",ROW()-4)</f>
        <v/>
      </c>
      <c r="B310" s="12"/>
      <c r="C310" s="13"/>
      <c r="D310" s="11" t="str">
        <f aca="false">IF(C310="","",IFERROR(INDEX(LOTES!$D$5:$D$1004,MATCH(C310,LOTES!$F$5:$F$1004,0)),"¿Lote?"))</f>
        <v/>
      </c>
      <c r="E310" s="11" t="str">
        <f aca="false">IF(C310="","",IFERROR(INDEX(LOTES!$C$5:$C$1004,MATCH(C310,LOTES!$F$5:$F$1004,0)),""))</f>
        <v/>
      </c>
      <c r="F310" s="27"/>
      <c r="G310" s="27"/>
      <c r="H310" s="27"/>
      <c r="I310" s="20" t="str">
        <f aca="false">IF(AND(ISNUMBER(F310),ISNUMBER(G310),ISNUMBER(H310),F310&gt;G310,H310&gt;0),(F310-H310)/(F310-G310)*1000,"")</f>
        <v/>
      </c>
      <c r="J310" s="17" t="str">
        <f aca="false">IF(AND(ISNUMBER(F310),ISNUMBER(G310),ISNUMBER(H310),F310&gt;G310,H310&gt;0),(F310-H310)/H310,"")</f>
        <v/>
      </c>
      <c r="K310" s="20" t="str">
        <f aca="false">IF(AND(ISNUMBER(F310),ISNUMBER(G310),ISNUMBER(H310),F310&gt;G310,H310&gt;0),H310/(F310-G310)*1000,"")</f>
        <v/>
      </c>
      <c r="L310" s="11" t="str">
        <f aca="false">IF(K310="","",IF(K310&gt;=CONFIG!$E$21,CONFIG!$D$21,IF(K310&gt;=CONFIG!$E$20,CONFIG!$D$20,CONFIG!$D$19)))</f>
        <v/>
      </c>
      <c r="M310" s="20" t="str">
        <f aca="false">IF(K310="","",IF(K310&gt;=CONFIG!$E$21,CONFIG!$F$21,IF(K310&gt;=CONFIG!$E$20,CONFIG!$F$20,CONFIG!$F$19)))</f>
        <v/>
      </c>
      <c r="N310" s="19" t="str">
        <f aca="false">IF(I310="","",IF(I310&lt;=M310,"OK","ALTA"))</f>
        <v/>
      </c>
      <c r="O310" s="13"/>
    </row>
    <row r="311" customFormat="false" ht="15" hidden="false" customHeight="false" outlineLevel="0" collapsed="false">
      <c r="A311" s="11" t="str">
        <f aca="false">IF(C311="","",ROW()-4)</f>
        <v/>
      </c>
      <c r="B311" s="12"/>
      <c r="C311" s="13"/>
      <c r="D311" s="11" t="str">
        <f aca="false">IF(C311="","",IFERROR(INDEX(LOTES!$D$5:$D$1004,MATCH(C311,LOTES!$F$5:$F$1004,0)),"¿Lote?"))</f>
        <v/>
      </c>
      <c r="E311" s="11" t="str">
        <f aca="false">IF(C311="","",IFERROR(INDEX(LOTES!$C$5:$C$1004,MATCH(C311,LOTES!$F$5:$F$1004,0)),""))</f>
        <v/>
      </c>
      <c r="F311" s="27"/>
      <c r="G311" s="27"/>
      <c r="H311" s="27"/>
      <c r="I311" s="20" t="str">
        <f aca="false">IF(AND(ISNUMBER(F311),ISNUMBER(G311),ISNUMBER(H311),F311&gt;G311,H311&gt;0),(F311-H311)/(F311-G311)*1000,"")</f>
        <v/>
      </c>
      <c r="J311" s="17" t="str">
        <f aca="false">IF(AND(ISNUMBER(F311),ISNUMBER(G311),ISNUMBER(H311),F311&gt;G311,H311&gt;0),(F311-H311)/H311,"")</f>
        <v/>
      </c>
      <c r="K311" s="20" t="str">
        <f aca="false">IF(AND(ISNUMBER(F311),ISNUMBER(G311),ISNUMBER(H311),F311&gt;G311,H311&gt;0),H311/(F311-G311)*1000,"")</f>
        <v/>
      </c>
      <c r="L311" s="11" t="str">
        <f aca="false">IF(K311="","",IF(K311&gt;=CONFIG!$E$21,CONFIG!$D$21,IF(K311&gt;=CONFIG!$E$20,CONFIG!$D$20,CONFIG!$D$19)))</f>
        <v/>
      </c>
      <c r="M311" s="20" t="str">
        <f aca="false">IF(K311="","",IF(K311&gt;=CONFIG!$E$21,CONFIG!$F$21,IF(K311&gt;=CONFIG!$E$20,CONFIG!$F$20,CONFIG!$F$19)))</f>
        <v/>
      </c>
      <c r="N311" s="19" t="str">
        <f aca="false">IF(I311="","",IF(I311&lt;=M311,"OK","ALTA"))</f>
        <v/>
      </c>
      <c r="O311" s="13"/>
    </row>
    <row r="312" customFormat="false" ht="15" hidden="false" customHeight="false" outlineLevel="0" collapsed="false">
      <c r="A312" s="11" t="str">
        <f aca="false">IF(C312="","",ROW()-4)</f>
        <v/>
      </c>
      <c r="B312" s="12"/>
      <c r="C312" s="13"/>
      <c r="D312" s="11" t="str">
        <f aca="false">IF(C312="","",IFERROR(INDEX(LOTES!$D$5:$D$1004,MATCH(C312,LOTES!$F$5:$F$1004,0)),"¿Lote?"))</f>
        <v/>
      </c>
      <c r="E312" s="11" t="str">
        <f aca="false">IF(C312="","",IFERROR(INDEX(LOTES!$C$5:$C$1004,MATCH(C312,LOTES!$F$5:$F$1004,0)),""))</f>
        <v/>
      </c>
      <c r="F312" s="27"/>
      <c r="G312" s="27"/>
      <c r="H312" s="27"/>
      <c r="I312" s="20" t="str">
        <f aca="false">IF(AND(ISNUMBER(F312),ISNUMBER(G312),ISNUMBER(H312),F312&gt;G312,H312&gt;0),(F312-H312)/(F312-G312)*1000,"")</f>
        <v/>
      </c>
      <c r="J312" s="17" t="str">
        <f aca="false">IF(AND(ISNUMBER(F312),ISNUMBER(G312),ISNUMBER(H312),F312&gt;G312,H312&gt;0),(F312-H312)/H312,"")</f>
        <v/>
      </c>
      <c r="K312" s="20" t="str">
        <f aca="false">IF(AND(ISNUMBER(F312),ISNUMBER(G312),ISNUMBER(H312),F312&gt;G312,H312&gt;0),H312/(F312-G312)*1000,"")</f>
        <v/>
      </c>
      <c r="L312" s="11" t="str">
        <f aca="false">IF(K312="","",IF(K312&gt;=CONFIG!$E$21,CONFIG!$D$21,IF(K312&gt;=CONFIG!$E$20,CONFIG!$D$20,CONFIG!$D$19)))</f>
        <v/>
      </c>
      <c r="M312" s="20" t="str">
        <f aca="false">IF(K312="","",IF(K312&gt;=CONFIG!$E$21,CONFIG!$F$21,IF(K312&gt;=CONFIG!$E$20,CONFIG!$F$20,CONFIG!$F$19)))</f>
        <v/>
      </c>
      <c r="N312" s="19" t="str">
        <f aca="false">IF(I312="","",IF(I312&lt;=M312,"OK","ALTA"))</f>
        <v/>
      </c>
      <c r="O312" s="13"/>
    </row>
    <row r="313" customFormat="false" ht="15" hidden="false" customHeight="false" outlineLevel="0" collapsed="false">
      <c r="A313" s="11" t="str">
        <f aca="false">IF(C313="","",ROW()-4)</f>
        <v/>
      </c>
      <c r="B313" s="12"/>
      <c r="C313" s="13"/>
      <c r="D313" s="11" t="str">
        <f aca="false">IF(C313="","",IFERROR(INDEX(LOTES!$D$5:$D$1004,MATCH(C313,LOTES!$F$5:$F$1004,0)),"¿Lote?"))</f>
        <v/>
      </c>
      <c r="E313" s="11" t="str">
        <f aca="false">IF(C313="","",IFERROR(INDEX(LOTES!$C$5:$C$1004,MATCH(C313,LOTES!$F$5:$F$1004,0)),""))</f>
        <v/>
      </c>
      <c r="F313" s="27"/>
      <c r="G313" s="27"/>
      <c r="H313" s="27"/>
      <c r="I313" s="20" t="str">
        <f aca="false">IF(AND(ISNUMBER(F313),ISNUMBER(G313),ISNUMBER(H313),F313&gt;G313,H313&gt;0),(F313-H313)/(F313-G313)*1000,"")</f>
        <v/>
      </c>
      <c r="J313" s="17" t="str">
        <f aca="false">IF(AND(ISNUMBER(F313),ISNUMBER(G313),ISNUMBER(H313),F313&gt;G313,H313&gt;0),(F313-H313)/H313,"")</f>
        <v/>
      </c>
      <c r="K313" s="20" t="str">
        <f aca="false">IF(AND(ISNUMBER(F313),ISNUMBER(G313),ISNUMBER(H313),F313&gt;G313,H313&gt;0),H313/(F313-G313)*1000,"")</f>
        <v/>
      </c>
      <c r="L313" s="11" t="str">
        <f aca="false">IF(K313="","",IF(K313&gt;=CONFIG!$E$21,CONFIG!$D$21,IF(K313&gt;=CONFIG!$E$20,CONFIG!$D$20,CONFIG!$D$19)))</f>
        <v/>
      </c>
      <c r="M313" s="20" t="str">
        <f aca="false">IF(K313="","",IF(K313&gt;=CONFIG!$E$21,CONFIG!$F$21,IF(K313&gt;=CONFIG!$E$20,CONFIG!$F$20,CONFIG!$F$19)))</f>
        <v/>
      </c>
      <c r="N313" s="19" t="str">
        <f aca="false">IF(I313="","",IF(I313&lt;=M313,"OK","ALTA"))</f>
        <v/>
      </c>
      <c r="O313" s="13"/>
    </row>
    <row r="314" customFormat="false" ht="15" hidden="false" customHeight="false" outlineLevel="0" collapsed="false">
      <c r="A314" s="11" t="str">
        <f aca="false">IF(C314="","",ROW()-4)</f>
        <v/>
      </c>
      <c r="B314" s="12"/>
      <c r="C314" s="13"/>
      <c r="D314" s="11" t="str">
        <f aca="false">IF(C314="","",IFERROR(INDEX(LOTES!$D$5:$D$1004,MATCH(C314,LOTES!$F$5:$F$1004,0)),"¿Lote?"))</f>
        <v/>
      </c>
      <c r="E314" s="11" t="str">
        <f aca="false">IF(C314="","",IFERROR(INDEX(LOTES!$C$5:$C$1004,MATCH(C314,LOTES!$F$5:$F$1004,0)),""))</f>
        <v/>
      </c>
      <c r="F314" s="27"/>
      <c r="G314" s="27"/>
      <c r="H314" s="27"/>
      <c r="I314" s="20" t="str">
        <f aca="false">IF(AND(ISNUMBER(F314),ISNUMBER(G314),ISNUMBER(H314),F314&gt;G314,H314&gt;0),(F314-H314)/(F314-G314)*1000,"")</f>
        <v/>
      </c>
      <c r="J314" s="17" t="str">
        <f aca="false">IF(AND(ISNUMBER(F314),ISNUMBER(G314),ISNUMBER(H314),F314&gt;G314,H314&gt;0),(F314-H314)/H314,"")</f>
        <v/>
      </c>
      <c r="K314" s="20" t="str">
        <f aca="false">IF(AND(ISNUMBER(F314),ISNUMBER(G314),ISNUMBER(H314),F314&gt;G314,H314&gt;0),H314/(F314-G314)*1000,"")</f>
        <v/>
      </c>
      <c r="L314" s="11" t="str">
        <f aca="false">IF(K314="","",IF(K314&gt;=CONFIG!$E$21,CONFIG!$D$21,IF(K314&gt;=CONFIG!$E$20,CONFIG!$D$20,CONFIG!$D$19)))</f>
        <v/>
      </c>
      <c r="M314" s="20" t="str">
        <f aca="false">IF(K314="","",IF(K314&gt;=CONFIG!$E$21,CONFIG!$F$21,IF(K314&gt;=CONFIG!$E$20,CONFIG!$F$20,CONFIG!$F$19)))</f>
        <v/>
      </c>
      <c r="N314" s="19" t="str">
        <f aca="false">IF(I314="","",IF(I314&lt;=M314,"OK","ALTA"))</f>
        <v/>
      </c>
      <c r="O314" s="13"/>
    </row>
    <row r="315" customFormat="false" ht="15" hidden="false" customHeight="false" outlineLevel="0" collapsed="false">
      <c r="A315" s="11" t="str">
        <f aca="false">IF(C315="","",ROW()-4)</f>
        <v/>
      </c>
      <c r="B315" s="12"/>
      <c r="C315" s="13"/>
      <c r="D315" s="11" t="str">
        <f aca="false">IF(C315="","",IFERROR(INDEX(LOTES!$D$5:$D$1004,MATCH(C315,LOTES!$F$5:$F$1004,0)),"¿Lote?"))</f>
        <v/>
      </c>
      <c r="E315" s="11" t="str">
        <f aca="false">IF(C315="","",IFERROR(INDEX(LOTES!$C$5:$C$1004,MATCH(C315,LOTES!$F$5:$F$1004,0)),""))</f>
        <v/>
      </c>
      <c r="F315" s="27"/>
      <c r="G315" s="27"/>
      <c r="H315" s="27"/>
      <c r="I315" s="20" t="str">
        <f aca="false">IF(AND(ISNUMBER(F315),ISNUMBER(G315),ISNUMBER(H315),F315&gt;G315,H315&gt;0),(F315-H315)/(F315-G315)*1000,"")</f>
        <v/>
      </c>
      <c r="J315" s="17" t="str">
        <f aca="false">IF(AND(ISNUMBER(F315),ISNUMBER(G315),ISNUMBER(H315),F315&gt;G315,H315&gt;0),(F315-H315)/H315,"")</f>
        <v/>
      </c>
      <c r="K315" s="20" t="str">
        <f aca="false">IF(AND(ISNUMBER(F315),ISNUMBER(G315),ISNUMBER(H315),F315&gt;G315,H315&gt;0),H315/(F315-G315)*1000,"")</f>
        <v/>
      </c>
      <c r="L315" s="11" t="str">
        <f aca="false">IF(K315="","",IF(K315&gt;=CONFIG!$E$21,CONFIG!$D$21,IF(K315&gt;=CONFIG!$E$20,CONFIG!$D$20,CONFIG!$D$19)))</f>
        <v/>
      </c>
      <c r="M315" s="20" t="str">
        <f aca="false">IF(K315="","",IF(K315&gt;=CONFIG!$E$21,CONFIG!$F$21,IF(K315&gt;=CONFIG!$E$20,CONFIG!$F$20,CONFIG!$F$19)))</f>
        <v/>
      </c>
      <c r="N315" s="19" t="str">
        <f aca="false">IF(I315="","",IF(I315&lt;=M315,"OK","ALTA"))</f>
        <v/>
      </c>
      <c r="O315" s="13"/>
    </row>
    <row r="316" customFormat="false" ht="15" hidden="false" customHeight="false" outlineLevel="0" collapsed="false">
      <c r="A316" s="11" t="str">
        <f aca="false">IF(C316="","",ROW()-4)</f>
        <v/>
      </c>
      <c r="B316" s="12"/>
      <c r="C316" s="13"/>
      <c r="D316" s="11" t="str">
        <f aca="false">IF(C316="","",IFERROR(INDEX(LOTES!$D$5:$D$1004,MATCH(C316,LOTES!$F$5:$F$1004,0)),"¿Lote?"))</f>
        <v/>
      </c>
      <c r="E316" s="11" t="str">
        <f aca="false">IF(C316="","",IFERROR(INDEX(LOTES!$C$5:$C$1004,MATCH(C316,LOTES!$F$5:$F$1004,0)),""))</f>
        <v/>
      </c>
      <c r="F316" s="27"/>
      <c r="G316" s="27"/>
      <c r="H316" s="27"/>
      <c r="I316" s="20" t="str">
        <f aca="false">IF(AND(ISNUMBER(F316),ISNUMBER(G316),ISNUMBER(H316),F316&gt;G316,H316&gt;0),(F316-H316)/(F316-G316)*1000,"")</f>
        <v/>
      </c>
      <c r="J316" s="17" t="str">
        <f aca="false">IF(AND(ISNUMBER(F316),ISNUMBER(G316),ISNUMBER(H316),F316&gt;G316,H316&gt;0),(F316-H316)/H316,"")</f>
        <v/>
      </c>
      <c r="K316" s="20" t="str">
        <f aca="false">IF(AND(ISNUMBER(F316),ISNUMBER(G316),ISNUMBER(H316),F316&gt;G316,H316&gt;0),H316/(F316-G316)*1000,"")</f>
        <v/>
      </c>
      <c r="L316" s="11" t="str">
        <f aca="false">IF(K316="","",IF(K316&gt;=CONFIG!$E$21,CONFIG!$D$21,IF(K316&gt;=CONFIG!$E$20,CONFIG!$D$20,CONFIG!$D$19)))</f>
        <v/>
      </c>
      <c r="M316" s="20" t="str">
        <f aca="false">IF(K316="","",IF(K316&gt;=CONFIG!$E$21,CONFIG!$F$21,IF(K316&gt;=CONFIG!$E$20,CONFIG!$F$20,CONFIG!$F$19)))</f>
        <v/>
      </c>
      <c r="N316" s="19" t="str">
        <f aca="false">IF(I316="","",IF(I316&lt;=M316,"OK","ALTA"))</f>
        <v/>
      </c>
      <c r="O316" s="13"/>
    </row>
    <row r="317" customFormat="false" ht="15" hidden="false" customHeight="false" outlineLevel="0" collapsed="false">
      <c r="A317" s="11" t="str">
        <f aca="false">IF(C317="","",ROW()-4)</f>
        <v/>
      </c>
      <c r="B317" s="12"/>
      <c r="C317" s="13"/>
      <c r="D317" s="11" t="str">
        <f aca="false">IF(C317="","",IFERROR(INDEX(LOTES!$D$5:$D$1004,MATCH(C317,LOTES!$F$5:$F$1004,0)),"¿Lote?"))</f>
        <v/>
      </c>
      <c r="E317" s="11" t="str">
        <f aca="false">IF(C317="","",IFERROR(INDEX(LOTES!$C$5:$C$1004,MATCH(C317,LOTES!$F$5:$F$1004,0)),""))</f>
        <v/>
      </c>
      <c r="F317" s="27"/>
      <c r="G317" s="27"/>
      <c r="H317" s="27"/>
      <c r="I317" s="20" t="str">
        <f aca="false">IF(AND(ISNUMBER(F317),ISNUMBER(G317),ISNUMBER(H317),F317&gt;G317,H317&gt;0),(F317-H317)/(F317-G317)*1000,"")</f>
        <v/>
      </c>
      <c r="J317" s="17" t="str">
        <f aca="false">IF(AND(ISNUMBER(F317),ISNUMBER(G317),ISNUMBER(H317),F317&gt;G317,H317&gt;0),(F317-H317)/H317,"")</f>
        <v/>
      </c>
      <c r="K317" s="20" t="str">
        <f aca="false">IF(AND(ISNUMBER(F317),ISNUMBER(G317),ISNUMBER(H317),F317&gt;G317,H317&gt;0),H317/(F317-G317)*1000,"")</f>
        <v/>
      </c>
      <c r="L317" s="11" t="str">
        <f aca="false">IF(K317="","",IF(K317&gt;=CONFIG!$E$21,CONFIG!$D$21,IF(K317&gt;=CONFIG!$E$20,CONFIG!$D$20,CONFIG!$D$19)))</f>
        <v/>
      </c>
      <c r="M317" s="20" t="str">
        <f aca="false">IF(K317="","",IF(K317&gt;=CONFIG!$E$21,CONFIG!$F$21,IF(K317&gt;=CONFIG!$E$20,CONFIG!$F$20,CONFIG!$F$19)))</f>
        <v/>
      </c>
      <c r="N317" s="19" t="str">
        <f aca="false">IF(I317="","",IF(I317&lt;=M317,"OK","ALTA"))</f>
        <v/>
      </c>
      <c r="O317" s="13"/>
    </row>
    <row r="318" customFormat="false" ht="15" hidden="false" customHeight="false" outlineLevel="0" collapsed="false">
      <c r="A318" s="11" t="str">
        <f aca="false">IF(C318="","",ROW()-4)</f>
        <v/>
      </c>
      <c r="B318" s="12"/>
      <c r="C318" s="13"/>
      <c r="D318" s="11" t="str">
        <f aca="false">IF(C318="","",IFERROR(INDEX(LOTES!$D$5:$D$1004,MATCH(C318,LOTES!$F$5:$F$1004,0)),"¿Lote?"))</f>
        <v/>
      </c>
      <c r="E318" s="11" t="str">
        <f aca="false">IF(C318="","",IFERROR(INDEX(LOTES!$C$5:$C$1004,MATCH(C318,LOTES!$F$5:$F$1004,0)),""))</f>
        <v/>
      </c>
      <c r="F318" s="27"/>
      <c r="G318" s="27"/>
      <c r="H318" s="27"/>
      <c r="I318" s="20" t="str">
        <f aca="false">IF(AND(ISNUMBER(F318),ISNUMBER(G318),ISNUMBER(H318),F318&gt;G318,H318&gt;0),(F318-H318)/(F318-G318)*1000,"")</f>
        <v/>
      </c>
      <c r="J318" s="17" t="str">
        <f aca="false">IF(AND(ISNUMBER(F318),ISNUMBER(G318),ISNUMBER(H318),F318&gt;G318,H318&gt;0),(F318-H318)/H318,"")</f>
        <v/>
      </c>
      <c r="K318" s="20" t="str">
        <f aca="false">IF(AND(ISNUMBER(F318),ISNUMBER(G318),ISNUMBER(H318),F318&gt;G318,H318&gt;0),H318/(F318-G318)*1000,"")</f>
        <v/>
      </c>
      <c r="L318" s="11" t="str">
        <f aca="false">IF(K318="","",IF(K318&gt;=CONFIG!$E$21,CONFIG!$D$21,IF(K318&gt;=CONFIG!$E$20,CONFIG!$D$20,CONFIG!$D$19)))</f>
        <v/>
      </c>
      <c r="M318" s="20" t="str">
        <f aca="false">IF(K318="","",IF(K318&gt;=CONFIG!$E$21,CONFIG!$F$21,IF(K318&gt;=CONFIG!$E$20,CONFIG!$F$20,CONFIG!$F$19)))</f>
        <v/>
      </c>
      <c r="N318" s="19" t="str">
        <f aca="false">IF(I318="","",IF(I318&lt;=M318,"OK","ALTA"))</f>
        <v/>
      </c>
      <c r="O318" s="13"/>
    </row>
    <row r="319" customFormat="false" ht="15" hidden="false" customHeight="false" outlineLevel="0" collapsed="false">
      <c r="A319" s="11" t="str">
        <f aca="false">IF(C319="","",ROW()-4)</f>
        <v/>
      </c>
      <c r="B319" s="12"/>
      <c r="C319" s="13"/>
      <c r="D319" s="11" t="str">
        <f aca="false">IF(C319="","",IFERROR(INDEX(LOTES!$D$5:$D$1004,MATCH(C319,LOTES!$F$5:$F$1004,0)),"¿Lote?"))</f>
        <v/>
      </c>
      <c r="E319" s="11" t="str">
        <f aca="false">IF(C319="","",IFERROR(INDEX(LOTES!$C$5:$C$1004,MATCH(C319,LOTES!$F$5:$F$1004,0)),""))</f>
        <v/>
      </c>
      <c r="F319" s="27"/>
      <c r="G319" s="27"/>
      <c r="H319" s="27"/>
      <c r="I319" s="20" t="str">
        <f aca="false">IF(AND(ISNUMBER(F319),ISNUMBER(G319),ISNUMBER(H319),F319&gt;G319,H319&gt;0),(F319-H319)/(F319-G319)*1000,"")</f>
        <v/>
      </c>
      <c r="J319" s="17" t="str">
        <f aca="false">IF(AND(ISNUMBER(F319),ISNUMBER(G319),ISNUMBER(H319),F319&gt;G319,H319&gt;0),(F319-H319)/H319,"")</f>
        <v/>
      </c>
      <c r="K319" s="20" t="str">
        <f aca="false">IF(AND(ISNUMBER(F319),ISNUMBER(G319),ISNUMBER(H319),F319&gt;G319,H319&gt;0),H319/(F319-G319)*1000,"")</f>
        <v/>
      </c>
      <c r="L319" s="11" t="str">
        <f aca="false">IF(K319="","",IF(K319&gt;=CONFIG!$E$21,CONFIG!$D$21,IF(K319&gt;=CONFIG!$E$20,CONFIG!$D$20,CONFIG!$D$19)))</f>
        <v/>
      </c>
      <c r="M319" s="20" t="str">
        <f aca="false">IF(K319="","",IF(K319&gt;=CONFIG!$E$21,CONFIG!$F$21,IF(K319&gt;=CONFIG!$E$20,CONFIG!$F$20,CONFIG!$F$19)))</f>
        <v/>
      </c>
      <c r="N319" s="19" t="str">
        <f aca="false">IF(I319="","",IF(I319&lt;=M319,"OK","ALTA"))</f>
        <v/>
      </c>
      <c r="O319" s="13"/>
    </row>
    <row r="320" customFormat="false" ht="15" hidden="false" customHeight="false" outlineLevel="0" collapsed="false">
      <c r="A320" s="11" t="str">
        <f aca="false">IF(C320="","",ROW()-4)</f>
        <v/>
      </c>
      <c r="B320" s="12"/>
      <c r="C320" s="13"/>
      <c r="D320" s="11" t="str">
        <f aca="false">IF(C320="","",IFERROR(INDEX(LOTES!$D$5:$D$1004,MATCH(C320,LOTES!$F$5:$F$1004,0)),"¿Lote?"))</f>
        <v/>
      </c>
      <c r="E320" s="11" t="str">
        <f aca="false">IF(C320="","",IFERROR(INDEX(LOTES!$C$5:$C$1004,MATCH(C320,LOTES!$F$5:$F$1004,0)),""))</f>
        <v/>
      </c>
      <c r="F320" s="27"/>
      <c r="G320" s="27"/>
      <c r="H320" s="27"/>
      <c r="I320" s="20" t="str">
        <f aca="false">IF(AND(ISNUMBER(F320),ISNUMBER(G320),ISNUMBER(H320),F320&gt;G320,H320&gt;0),(F320-H320)/(F320-G320)*1000,"")</f>
        <v/>
      </c>
      <c r="J320" s="17" t="str">
        <f aca="false">IF(AND(ISNUMBER(F320),ISNUMBER(G320),ISNUMBER(H320),F320&gt;G320,H320&gt;0),(F320-H320)/H320,"")</f>
        <v/>
      </c>
      <c r="K320" s="20" t="str">
        <f aca="false">IF(AND(ISNUMBER(F320),ISNUMBER(G320),ISNUMBER(H320),F320&gt;G320,H320&gt;0),H320/(F320-G320)*1000,"")</f>
        <v/>
      </c>
      <c r="L320" s="11" t="str">
        <f aca="false">IF(K320="","",IF(K320&gt;=CONFIG!$E$21,CONFIG!$D$21,IF(K320&gt;=CONFIG!$E$20,CONFIG!$D$20,CONFIG!$D$19)))</f>
        <v/>
      </c>
      <c r="M320" s="20" t="str">
        <f aca="false">IF(K320="","",IF(K320&gt;=CONFIG!$E$21,CONFIG!$F$21,IF(K320&gt;=CONFIG!$E$20,CONFIG!$F$20,CONFIG!$F$19)))</f>
        <v/>
      </c>
      <c r="N320" s="19" t="str">
        <f aca="false">IF(I320="","",IF(I320&lt;=M320,"OK","ALTA"))</f>
        <v/>
      </c>
      <c r="O320" s="13"/>
    </row>
    <row r="321" customFormat="false" ht="15" hidden="false" customHeight="false" outlineLevel="0" collapsed="false">
      <c r="A321" s="11" t="str">
        <f aca="false">IF(C321="","",ROW()-4)</f>
        <v/>
      </c>
      <c r="B321" s="12"/>
      <c r="C321" s="13"/>
      <c r="D321" s="11" t="str">
        <f aca="false">IF(C321="","",IFERROR(INDEX(LOTES!$D$5:$D$1004,MATCH(C321,LOTES!$F$5:$F$1004,0)),"¿Lote?"))</f>
        <v/>
      </c>
      <c r="E321" s="11" t="str">
        <f aca="false">IF(C321="","",IFERROR(INDEX(LOTES!$C$5:$C$1004,MATCH(C321,LOTES!$F$5:$F$1004,0)),""))</f>
        <v/>
      </c>
      <c r="F321" s="27"/>
      <c r="G321" s="27"/>
      <c r="H321" s="27"/>
      <c r="I321" s="20" t="str">
        <f aca="false">IF(AND(ISNUMBER(F321),ISNUMBER(G321),ISNUMBER(H321),F321&gt;G321,H321&gt;0),(F321-H321)/(F321-G321)*1000,"")</f>
        <v/>
      </c>
      <c r="J321" s="17" t="str">
        <f aca="false">IF(AND(ISNUMBER(F321),ISNUMBER(G321),ISNUMBER(H321),F321&gt;G321,H321&gt;0),(F321-H321)/H321,"")</f>
        <v/>
      </c>
      <c r="K321" s="20" t="str">
        <f aca="false">IF(AND(ISNUMBER(F321),ISNUMBER(G321),ISNUMBER(H321),F321&gt;G321,H321&gt;0),H321/(F321-G321)*1000,"")</f>
        <v/>
      </c>
      <c r="L321" s="11" t="str">
        <f aca="false">IF(K321="","",IF(K321&gt;=CONFIG!$E$21,CONFIG!$D$21,IF(K321&gt;=CONFIG!$E$20,CONFIG!$D$20,CONFIG!$D$19)))</f>
        <v/>
      </c>
      <c r="M321" s="20" t="str">
        <f aca="false">IF(K321="","",IF(K321&gt;=CONFIG!$E$21,CONFIG!$F$21,IF(K321&gt;=CONFIG!$E$20,CONFIG!$F$20,CONFIG!$F$19)))</f>
        <v/>
      </c>
      <c r="N321" s="19" t="str">
        <f aca="false">IF(I321="","",IF(I321&lt;=M321,"OK","ALTA"))</f>
        <v/>
      </c>
      <c r="O321" s="13"/>
    </row>
    <row r="322" customFormat="false" ht="15" hidden="false" customHeight="false" outlineLevel="0" collapsed="false">
      <c r="A322" s="11" t="str">
        <f aca="false">IF(C322="","",ROW()-4)</f>
        <v/>
      </c>
      <c r="B322" s="12"/>
      <c r="C322" s="13"/>
      <c r="D322" s="11" t="str">
        <f aca="false">IF(C322="","",IFERROR(INDEX(LOTES!$D$5:$D$1004,MATCH(C322,LOTES!$F$5:$F$1004,0)),"¿Lote?"))</f>
        <v/>
      </c>
      <c r="E322" s="11" t="str">
        <f aca="false">IF(C322="","",IFERROR(INDEX(LOTES!$C$5:$C$1004,MATCH(C322,LOTES!$F$5:$F$1004,0)),""))</f>
        <v/>
      </c>
      <c r="F322" s="27"/>
      <c r="G322" s="27"/>
      <c r="H322" s="27"/>
      <c r="I322" s="20" t="str">
        <f aca="false">IF(AND(ISNUMBER(F322),ISNUMBER(G322),ISNUMBER(H322),F322&gt;G322,H322&gt;0),(F322-H322)/(F322-G322)*1000,"")</f>
        <v/>
      </c>
      <c r="J322" s="17" t="str">
        <f aca="false">IF(AND(ISNUMBER(F322),ISNUMBER(G322),ISNUMBER(H322),F322&gt;G322,H322&gt;0),(F322-H322)/H322,"")</f>
        <v/>
      </c>
      <c r="K322" s="20" t="str">
        <f aca="false">IF(AND(ISNUMBER(F322),ISNUMBER(G322),ISNUMBER(H322),F322&gt;G322,H322&gt;0),H322/(F322-G322)*1000,"")</f>
        <v/>
      </c>
      <c r="L322" s="11" t="str">
        <f aca="false">IF(K322="","",IF(K322&gt;=CONFIG!$E$21,CONFIG!$D$21,IF(K322&gt;=CONFIG!$E$20,CONFIG!$D$20,CONFIG!$D$19)))</f>
        <v/>
      </c>
      <c r="M322" s="20" t="str">
        <f aca="false">IF(K322="","",IF(K322&gt;=CONFIG!$E$21,CONFIG!$F$21,IF(K322&gt;=CONFIG!$E$20,CONFIG!$F$20,CONFIG!$F$19)))</f>
        <v/>
      </c>
      <c r="N322" s="19" t="str">
        <f aca="false">IF(I322="","",IF(I322&lt;=M322,"OK","ALTA"))</f>
        <v/>
      </c>
      <c r="O322" s="13"/>
    </row>
    <row r="323" customFormat="false" ht="15" hidden="false" customHeight="false" outlineLevel="0" collapsed="false">
      <c r="A323" s="11" t="str">
        <f aca="false">IF(C323="","",ROW()-4)</f>
        <v/>
      </c>
      <c r="B323" s="12"/>
      <c r="C323" s="13"/>
      <c r="D323" s="11" t="str">
        <f aca="false">IF(C323="","",IFERROR(INDEX(LOTES!$D$5:$D$1004,MATCH(C323,LOTES!$F$5:$F$1004,0)),"¿Lote?"))</f>
        <v/>
      </c>
      <c r="E323" s="11" t="str">
        <f aca="false">IF(C323="","",IFERROR(INDEX(LOTES!$C$5:$C$1004,MATCH(C323,LOTES!$F$5:$F$1004,0)),""))</f>
        <v/>
      </c>
      <c r="F323" s="27"/>
      <c r="G323" s="27"/>
      <c r="H323" s="27"/>
      <c r="I323" s="20" t="str">
        <f aca="false">IF(AND(ISNUMBER(F323),ISNUMBER(G323),ISNUMBER(H323),F323&gt;G323,H323&gt;0),(F323-H323)/(F323-G323)*1000,"")</f>
        <v/>
      </c>
      <c r="J323" s="17" t="str">
        <f aca="false">IF(AND(ISNUMBER(F323),ISNUMBER(G323),ISNUMBER(H323),F323&gt;G323,H323&gt;0),(F323-H323)/H323,"")</f>
        <v/>
      </c>
      <c r="K323" s="20" t="str">
        <f aca="false">IF(AND(ISNUMBER(F323),ISNUMBER(G323),ISNUMBER(H323),F323&gt;G323,H323&gt;0),H323/(F323-G323)*1000,"")</f>
        <v/>
      </c>
      <c r="L323" s="11" t="str">
        <f aca="false">IF(K323="","",IF(K323&gt;=CONFIG!$E$21,CONFIG!$D$21,IF(K323&gt;=CONFIG!$E$20,CONFIG!$D$20,CONFIG!$D$19)))</f>
        <v/>
      </c>
      <c r="M323" s="20" t="str">
        <f aca="false">IF(K323="","",IF(K323&gt;=CONFIG!$E$21,CONFIG!$F$21,IF(K323&gt;=CONFIG!$E$20,CONFIG!$F$20,CONFIG!$F$19)))</f>
        <v/>
      </c>
      <c r="N323" s="19" t="str">
        <f aca="false">IF(I323="","",IF(I323&lt;=M323,"OK","ALTA"))</f>
        <v/>
      </c>
      <c r="O323" s="13"/>
    </row>
    <row r="324" customFormat="false" ht="15" hidden="false" customHeight="false" outlineLevel="0" collapsed="false">
      <c r="A324" s="11" t="str">
        <f aca="false">IF(C324="","",ROW()-4)</f>
        <v/>
      </c>
      <c r="B324" s="12"/>
      <c r="C324" s="13"/>
      <c r="D324" s="11" t="str">
        <f aca="false">IF(C324="","",IFERROR(INDEX(LOTES!$D$5:$D$1004,MATCH(C324,LOTES!$F$5:$F$1004,0)),"¿Lote?"))</f>
        <v/>
      </c>
      <c r="E324" s="11" t="str">
        <f aca="false">IF(C324="","",IFERROR(INDEX(LOTES!$C$5:$C$1004,MATCH(C324,LOTES!$F$5:$F$1004,0)),""))</f>
        <v/>
      </c>
      <c r="F324" s="27"/>
      <c r="G324" s="27"/>
      <c r="H324" s="27"/>
      <c r="I324" s="20" t="str">
        <f aca="false">IF(AND(ISNUMBER(F324),ISNUMBER(G324),ISNUMBER(H324),F324&gt;G324,H324&gt;0),(F324-H324)/(F324-G324)*1000,"")</f>
        <v/>
      </c>
      <c r="J324" s="17" t="str">
        <f aca="false">IF(AND(ISNUMBER(F324),ISNUMBER(G324),ISNUMBER(H324),F324&gt;G324,H324&gt;0),(F324-H324)/H324,"")</f>
        <v/>
      </c>
      <c r="K324" s="20" t="str">
        <f aca="false">IF(AND(ISNUMBER(F324),ISNUMBER(G324),ISNUMBER(H324),F324&gt;G324,H324&gt;0),H324/(F324-G324)*1000,"")</f>
        <v/>
      </c>
      <c r="L324" s="11" t="str">
        <f aca="false">IF(K324="","",IF(K324&gt;=CONFIG!$E$21,CONFIG!$D$21,IF(K324&gt;=CONFIG!$E$20,CONFIG!$D$20,CONFIG!$D$19)))</f>
        <v/>
      </c>
      <c r="M324" s="20" t="str">
        <f aca="false">IF(K324="","",IF(K324&gt;=CONFIG!$E$21,CONFIG!$F$21,IF(K324&gt;=CONFIG!$E$20,CONFIG!$F$20,CONFIG!$F$19)))</f>
        <v/>
      </c>
      <c r="N324" s="19" t="str">
        <f aca="false">IF(I324="","",IF(I324&lt;=M324,"OK","ALTA"))</f>
        <v/>
      </c>
      <c r="O324" s="13"/>
    </row>
    <row r="325" customFormat="false" ht="15" hidden="false" customHeight="false" outlineLevel="0" collapsed="false">
      <c r="A325" s="11" t="str">
        <f aca="false">IF(C325="","",ROW()-4)</f>
        <v/>
      </c>
      <c r="B325" s="12"/>
      <c r="C325" s="13"/>
      <c r="D325" s="11" t="str">
        <f aca="false">IF(C325="","",IFERROR(INDEX(LOTES!$D$5:$D$1004,MATCH(C325,LOTES!$F$5:$F$1004,0)),"¿Lote?"))</f>
        <v/>
      </c>
      <c r="E325" s="11" t="str">
        <f aca="false">IF(C325="","",IFERROR(INDEX(LOTES!$C$5:$C$1004,MATCH(C325,LOTES!$F$5:$F$1004,0)),""))</f>
        <v/>
      </c>
      <c r="F325" s="27"/>
      <c r="G325" s="27"/>
      <c r="H325" s="27"/>
      <c r="I325" s="20" t="str">
        <f aca="false">IF(AND(ISNUMBER(F325),ISNUMBER(G325),ISNUMBER(H325),F325&gt;G325,H325&gt;0),(F325-H325)/(F325-G325)*1000,"")</f>
        <v/>
      </c>
      <c r="J325" s="17" t="str">
        <f aca="false">IF(AND(ISNUMBER(F325),ISNUMBER(G325),ISNUMBER(H325),F325&gt;G325,H325&gt;0),(F325-H325)/H325,"")</f>
        <v/>
      </c>
      <c r="K325" s="20" t="str">
        <f aca="false">IF(AND(ISNUMBER(F325),ISNUMBER(G325),ISNUMBER(H325),F325&gt;G325,H325&gt;0),H325/(F325-G325)*1000,"")</f>
        <v/>
      </c>
      <c r="L325" s="11" t="str">
        <f aca="false">IF(K325="","",IF(K325&gt;=CONFIG!$E$21,CONFIG!$D$21,IF(K325&gt;=CONFIG!$E$20,CONFIG!$D$20,CONFIG!$D$19)))</f>
        <v/>
      </c>
      <c r="M325" s="20" t="str">
        <f aca="false">IF(K325="","",IF(K325&gt;=CONFIG!$E$21,CONFIG!$F$21,IF(K325&gt;=CONFIG!$E$20,CONFIG!$F$20,CONFIG!$F$19)))</f>
        <v/>
      </c>
      <c r="N325" s="19" t="str">
        <f aca="false">IF(I325="","",IF(I325&lt;=M325,"OK","ALTA"))</f>
        <v/>
      </c>
      <c r="O325" s="13"/>
    </row>
    <row r="326" customFormat="false" ht="15" hidden="false" customHeight="false" outlineLevel="0" collapsed="false">
      <c r="A326" s="11" t="str">
        <f aca="false">IF(C326="","",ROW()-4)</f>
        <v/>
      </c>
      <c r="B326" s="12"/>
      <c r="C326" s="13"/>
      <c r="D326" s="11" t="str">
        <f aca="false">IF(C326="","",IFERROR(INDEX(LOTES!$D$5:$D$1004,MATCH(C326,LOTES!$F$5:$F$1004,0)),"¿Lote?"))</f>
        <v/>
      </c>
      <c r="E326" s="11" t="str">
        <f aca="false">IF(C326="","",IFERROR(INDEX(LOTES!$C$5:$C$1004,MATCH(C326,LOTES!$F$5:$F$1004,0)),""))</f>
        <v/>
      </c>
      <c r="F326" s="27"/>
      <c r="G326" s="27"/>
      <c r="H326" s="27"/>
      <c r="I326" s="20" t="str">
        <f aca="false">IF(AND(ISNUMBER(F326),ISNUMBER(G326),ISNUMBER(H326),F326&gt;G326,H326&gt;0),(F326-H326)/(F326-G326)*1000,"")</f>
        <v/>
      </c>
      <c r="J326" s="17" t="str">
        <f aca="false">IF(AND(ISNUMBER(F326),ISNUMBER(G326),ISNUMBER(H326),F326&gt;G326,H326&gt;0),(F326-H326)/H326,"")</f>
        <v/>
      </c>
      <c r="K326" s="20" t="str">
        <f aca="false">IF(AND(ISNUMBER(F326),ISNUMBER(G326),ISNUMBER(H326),F326&gt;G326,H326&gt;0),H326/(F326-G326)*1000,"")</f>
        <v/>
      </c>
      <c r="L326" s="11" t="str">
        <f aca="false">IF(K326="","",IF(K326&gt;=CONFIG!$E$21,CONFIG!$D$21,IF(K326&gt;=CONFIG!$E$20,CONFIG!$D$20,CONFIG!$D$19)))</f>
        <v/>
      </c>
      <c r="M326" s="20" t="str">
        <f aca="false">IF(K326="","",IF(K326&gt;=CONFIG!$E$21,CONFIG!$F$21,IF(K326&gt;=CONFIG!$E$20,CONFIG!$F$20,CONFIG!$F$19)))</f>
        <v/>
      </c>
      <c r="N326" s="19" t="str">
        <f aca="false">IF(I326="","",IF(I326&lt;=M326,"OK","ALTA"))</f>
        <v/>
      </c>
      <c r="O326" s="13"/>
    </row>
    <row r="327" customFormat="false" ht="15" hidden="false" customHeight="false" outlineLevel="0" collapsed="false">
      <c r="A327" s="11" t="str">
        <f aca="false">IF(C327="","",ROW()-4)</f>
        <v/>
      </c>
      <c r="B327" s="12"/>
      <c r="C327" s="13"/>
      <c r="D327" s="11" t="str">
        <f aca="false">IF(C327="","",IFERROR(INDEX(LOTES!$D$5:$D$1004,MATCH(C327,LOTES!$F$5:$F$1004,0)),"¿Lote?"))</f>
        <v/>
      </c>
      <c r="E327" s="11" t="str">
        <f aca="false">IF(C327="","",IFERROR(INDEX(LOTES!$C$5:$C$1004,MATCH(C327,LOTES!$F$5:$F$1004,0)),""))</f>
        <v/>
      </c>
      <c r="F327" s="27"/>
      <c r="G327" s="27"/>
      <c r="H327" s="27"/>
      <c r="I327" s="20" t="str">
        <f aca="false">IF(AND(ISNUMBER(F327),ISNUMBER(G327),ISNUMBER(H327),F327&gt;G327,H327&gt;0),(F327-H327)/(F327-G327)*1000,"")</f>
        <v/>
      </c>
      <c r="J327" s="17" t="str">
        <f aca="false">IF(AND(ISNUMBER(F327),ISNUMBER(G327),ISNUMBER(H327),F327&gt;G327,H327&gt;0),(F327-H327)/H327,"")</f>
        <v/>
      </c>
      <c r="K327" s="20" t="str">
        <f aca="false">IF(AND(ISNUMBER(F327),ISNUMBER(G327),ISNUMBER(H327),F327&gt;G327,H327&gt;0),H327/(F327-G327)*1000,"")</f>
        <v/>
      </c>
      <c r="L327" s="11" t="str">
        <f aca="false">IF(K327="","",IF(K327&gt;=CONFIG!$E$21,CONFIG!$D$21,IF(K327&gt;=CONFIG!$E$20,CONFIG!$D$20,CONFIG!$D$19)))</f>
        <v/>
      </c>
      <c r="M327" s="20" t="str">
        <f aca="false">IF(K327="","",IF(K327&gt;=CONFIG!$E$21,CONFIG!$F$21,IF(K327&gt;=CONFIG!$E$20,CONFIG!$F$20,CONFIG!$F$19)))</f>
        <v/>
      </c>
      <c r="N327" s="19" t="str">
        <f aca="false">IF(I327="","",IF(I327&lt;=M327,"OK","ALTA"))</f>
        <v/>
      </c>
      <c r="O327" s="13"/>
    </row>
    <row r="328" customFormat="false" ht="15" hidden="false" customHeight="false" outlineLevel="0" collapsed="false">
      <c r="A328" s="11" t="str">
        <f aca="false">IF(C328="","",ROW()-4)</f>
        <v/>
      </c>
      <c r="B328" s="12"/>
      <c r="C328" s="13"/>
      <c r="D328" s="11" t="str">
        <f aca="false">IF(C328="","",IFERROR(INDEX(LOTES!$D$5:$D$1004,MATCH(C328,LOTES!$F$5:$F$1004,0)),"¿Lote?"))</f>
        <v/>
      </c>
      <c r="E328" s="11" t="str">
        <f aca="false">IF(C328="","",IFERROR(INDEX(LOTES!$C$5:$C$1004,MATCH(C328,LOTES!$F$5:$F$1004,0)),""))</f>
        <v/>
      </c>
      <c r="F328" s="27"/>
      <c r="G328" s="27"/>
      <c r="H328" s="27"/>
      <c r="I328" s="20" t="str">
        <f aca="false">IF(AND(ISNUMBER(F328),ISNUMBER(G328),ISNUMBER(H328),F328&gt;G328,H328&gt;0),(F328-H328)/(F328-G328)*1000,"")</f>
        <v/>
      </c>
      <c r="J328" s="17" t="str">
        <f aca="false">IF(AND(ISNUMBER(F328),ISNUMBER(G328),ISNUMBER(H328),F328&gt;G328,H328&gt;0),(F328-H328)/H328,"")</f>
        <v/>
      </c>
      <c r="K328" s="20" t="str">
        <f aca="false">IF(AND(ISNUMBER(F328),ISNUMBER(G328),ISNUMBER(H328),F328&gt;G328,H328&gt;0),H328/(F328-G328)*1000,"")</f>
        <v/>
      </c>
      <c r="L328" s="11" t="str">
        <f aca="false">IF(K328="","",IF(K328&gt;=CONFIG!$E$21,CONFIG!$D$21,IF(K328&gt;=CONFIG!$E$20,CONFIG!$D$20,CONFIG!$D$19)))</f>
        <v/>
      </c>
      <c r="M328" s="20" t="str">
        <f aca="false">IF(K328="","",IF(K328&gt;=CONFIG!$E$21,CONFIG!$F$21,IF(K328&gt;=CONFIG!$E$20,CONFIG!$F$20,CONFIG!$F$19)))</f>
        <v/>
      </c>
      <c r="N328" s="19" t="str">
        <f aca="false">IF(I328="","",IF(I328&lt;=M328,"OK","ALTA"))</f>
        <v/>
      </c>
      <c r="O328" s="13"/>
    </row>
    <row r="329" customFormat="false" ht="15" hidden="false" customHeight="false" outlineLevel="0" collapsed="false">
      <c r="A329" s="11" t="str">
        <f aca="false">IF(C329="","",ROW()-4)</f>
        <v/>
      </c>
      <c r="B329" s="12"/>
      <c r="C329" s="13"/>
      <c r="D329" s="11" t="str">
        <f aca="false">IF(C329="","",IFERROR(INDEX(LOTES!$D$5:$D$1004,MATCH(C329,LOTES!$F$5:$F$1004,0)),"¿Lote?"))</f>
        <v/>
      </c>
      <c r="E329" s="11" t="str">
        <f aca="false">IF(C329="","",IFERROR(INDEX(LOTES!$C$5:$C$1004,MATCH(C329,LOTES!$F$5:$F$1004,0)),""))</f>
        <v/>
      </c>
      <c r="F329" s="27"/>
      <c r="G329" s="27"/>
      <c r="H329" s="27"/>
      <c r="I329" s="20" t="str">
        <f aca="false">IF(AND(ISNUMBER(F329),ISNUMBER(G329),ISNUMBER(H329),F329&gt;G329,H329&gt;0),(F329-H329)/(F329-G329)*1000,"")</f>
        <v/>
      </c>
      <c r="J329" s="17" t="str">
        <f aca="false">IF(AND(ISNUMBER(F329),ISNUMBER(G329),ISNUMBER(H329),F329&gt;G329,H329&gt;0),(F329-H329)/H329,"")</f>
        <v/>
      </c>
      <c r="K329" s="20" t="str">
        <f aca="false">IF(AND(ISNUMBER(F329),ISNUMBER(G329),ISNUMBER(H329),F329&gt;G329,H329&gt;0),H329/(F329-G329)*1000,"")</f>
        <v/>
      </c>
      <c r="L329" s="11" t="str">
        <f aca="false">IF(K329="","",IF(K329&gt;=CONFIG!$E$21,CONFIG!$D$21,IF(K329&gt;=CONFIG!$E$20,CONFIG!$D$20,CONFIG!$D$19)))</f>
        <v/>
      </c>
      <c r="M329" s="20" t="str">
        <f aca="false">IF(K329="","",IF(K329&gt;=CONFIG!$E$21,CONFIG!$F$21,IF(K329&gt;=CONFIG!$E$20,CONFIG!$F$20,CONFIG!$F$19)))</f>
        <v/>
      </c>
      <c r="N329" s="19" t="str">
        <f aca="false">IF(I329="","",IF(I329&lt;=M329,"OK","ALTA"))</f>
        <v/>
      </c>
      <c r="O329" s="13"/>
    </row>
    <row r="330" customFormat="false" ht="15" hidden="false" customHeight="false" outlineLevel="0" collapsed="false">
      <c r="A330" s="11" t="str">
        <f aca="false">IF(C330="","",ROW()-4)</f>
        <v/>
      </c>
      <c r="B330" s="12"/>
      <c r="C330" s="13"/>
      <c r="D330" s="11" t="str">
        <f aca="false">IF(C330="","",IFERROR(INDEX(LOTES!$D$5:$D$1004,MATCH(C330,LOTES!$F$5:$F$1004,0)),"¿Lote?"))</f>
        <v/>
      </c>
      <c r="E330" s="11" t="str">
        <f aca="false">IF(C330="","",IFERROR(INDEX(LOTES!$C$5:$C$1004,MATCH(C330,LOTES!$F$5:$F$1004,0)),""))</f>
        <v/>
      </c>
      <c r="F330" s="27"/>
      <c r="G330" s="27"/>
      <c r="H330" s="27"/>
      <c r="I330" s="20" t="str">
        <f aca="false">IF(AND(ISNUMBER(F330),ISNUMBER(G330),ISNUMBER(H330),F330&gt;G330,H330&gt;0),(F330-H330)/(F330-G330)*1000,"")</f>
        <v/>
      </c>
      <c r="J330" s="17" t="str">
        <f aca="false">IF(AND(ISNUMBER(F330),ISNUMBER(G330),ISNUMBER(H330),F330&gt;G330,H330&gt;0),(F330-H330)/H330,"")</f>
        <v/>
      </c>
      <c r="K330" s="20" t="str">
        <f aca="false">IF(AND(ISNUMBER(F330),ISNUMBER(G330),ISNUMBER(H330),F330&gt;G330,H330&gt;0),H330/(F330-G330)*1000,"")</f>
        <v/>
      </c>
      <c r="L330" s="11" t="str">
        <f aca="false">IF(K330="","",IF(K330&gt;=CONFIG!$E$21,CONFIG!$D$21,IF(K330&gt;=CONFIG!$E$20,CONFIG!$D$20,CONFIG!$D$19)))</f>
        <v/>
      </c>
      <c r="M330" s="20" t="str">
        <f aca="false">IF(K330="","",IF(K330&gt;=CONFIG!$E$21,CONFIG!$F$21,IF(K330&gt;=CONFIG!$E$20,CONFIG!$F$20,CONFIG!$F$19)))</f>
        <v/>
      </c>
      <c r="N330" s="19" t="str">
        <f aca="false">IF(I330="","",IF(I330&lt;=M330,"OK","ALTA"))</f>
        <v/>
      </c>
      <c r="O330" s="13"/>
    </row>
    <row r="331" customFormat="false" ht="15" hidden="false" customHeight="false" outlineLevel="0" collapsed="false">
      <c r="A331" s="11" t="str">
        <f aca="false">IF(C331="","",ROW()-4)</f>
        <v/>
      </c>
      <c r="B331" s="12"/>
      <c r="C331" s="13"/>
      <c r="D331" s="11" t="str">
        <f aca="false">IF(C331="","",IFERROR(INDEX(LOTES!$D$5:$D$1004,MATCH(C331,LOTES!$F$5:$F$1004,0)),"¿Lote?"))</f>
        <v/>
      </c>
      <c r="E331" s="11" t="str">
        <f aca="false">IF(C331="","",IFERROR(INDEX(LOTES!$C$5:$C$1004,MATCH(C331,LOTES!$F$5:$F$1004,0)),""))</f>
        <v/>
      </c>
      <c r="F331" s="27"/>
      <c r="G331" s="27"/>
      <c r="H331" s="27"/>
      <c r="I331" s="20" t="str">
        <f aca="false">IF(AND(ISNUMBER(F331),ISNUMBER(G331),ISNUMBER(H331),F331&gt;G331,H331&gt;0),(F331-H331)/(F331-G331)*1000,"")</f>
        <v/>
      </c>
      <c r="J331" s="17" t="str">
        <f aca="false">IF(AND(ISNUMBER(F331),ISNUMBER(G331),ISNUMBER(H331),F331&gt;G331,H331&gt;0),(F331-H331)/H331,"")</f>
        <v/>
      </c>
      <c r="K331" s="20" t="str">
        <f aca="false">IF(AND(ISNUMBER(F331),ISNUMBER(G331),ISNUMBER(H331),F331&gt;G331,H331&gt;0),H331/(F331-G331)*1000,"")</f>
        <v/>
      </c>
      <c r="L331" s="11" t="str">
        <f aca="false">IF(K331="","",IF(K331&gt;=CONFIG!$E$21,CONFIG!$D$21,IF(K331&gt;=CONFIG!$E$20,CONFIG!$D$20,CONFIG!$D$19)))</f>
        <v/>
      </c>
      <c r="M331" s="20" t="str">
        <f aca="false">IF(K331="","",IF(K331&gt;=CONFIG!$E$21,CONFIG!$F$21,IF(K331&gt;=CONFIG!$E$20,CONFIG!$F$20,CONFIG!$F$19)))</f>
        <v/>
      </c>
      <c r="N331" s="19" t="str">
        <f aca="false">IF(I331="","",IF(I331&lt;=M331,"OK","ALTA"))</f>
        <v/>
      </c>
      <c r="O331" s="13"/>
    </row>
    <row r="332" customFormat="false" ht="15" hidden="false" customHeight="false" outlineLevel="0" collapsed="false">
      <c r="A332" s="11" t="str">
        <f aca="false">IF(C332="","",ROW()-4)</f>
        <v/>
      </c>
      <c r="B332" s="12"/>
      <c r="C332" s="13"/>
      <c r="D332" s="11" t="str">
        <f aca="false">IF(C332="","",IFERROR(INDEX(LOTES!$D$5:$D$1004,MATCH(C332,LOTES!$F$5:$F$1004,0)),"¿Lote?"))</f>
        <v/>
      </c>
      <c r="E332" s="11" t="str">
        <f aca="false">IF(C332="","",IFERROR(INDEX(LOTES!$C$5:$C$1004,MATCH(C332,LOTES!$F$5:$F$1004,0)),""))</f>
        <v/>
      </c>
      <c r="F332" s="27"/>
      <c r="G332" s="27"/>
      <c r="H332" s="27"/>
      <c r="I332" s="20" t="str">
        <f aca="false">IF(AND(ISNUMBER(F332),ISNUMBER(G332),ISNUMBER(H332),F332&gt;G332,H332&gt;0),(F332-H332)/(F332-G332)*1000,"")</f>
        <v/>
      </c>
      <c r="J332" s="17" t="str">
        <f aca="false">IF(AND(ISNUMBER(F332),ISNUMBER(G332),ISNUMBER(H332),F332&gt;G332,H332&gt;0),(F332-H332)/H332,"")</f>
        <v/>
      </c>
      <c r="K332" s="20" t="str">
        <f aca="false">IF(AND(ISNUMBER(F332),ISNUMBER(G332),ISNUMBER(H332),F332&gt;G332,H332&gt;0),H332/(F332-G332)*1000,"")</f>
        <v/>
      </c>
      <c r="L332" s="11" t="str">
        <f aca="false">IF(K332="","",IF(K332&gt;=CONFIG!$E$21,CONFIG!$D$21,IF(K332&gt;=CONFIG!$E$20,CONFIG!$D$20,CONFIG!$D$19)))</f>
        <v/>
      </c>
      <c r="M332" s="20" t="str">
        <f aca="false">IF(K332="","",IF(K332&gt;=CONFIG!$E$21,CONFIG!$F$21,IF(K332&gt;=CONFIG!$E$20,CONFIG!$F$20,CONFIG!$F$19)))</f>
        <v/>
      </c>
      <c r="N332" s="19" t="str">
        <f aca="false">IF(I332="","",IF(I332&lt;=M332,"OK","ALTA"))</f>
        <v/>
      </c>
      <c r="O332" s="13"/>
    </row>
    <row r="333" customFormat="false" ht="15" hidden="false" customHeight="false" outlineLevel="0" collapsed="false">
      <c r="A333" s="11" t="str">
        <f aca="false">IF(C333="","",ROW()-4)</f>
        <v/>
      </c>
      <c r="B333" s="12"/>
      <c r="C333" s="13"/>
      <c r="D333" s="11" t="str">
        <f aca="false">IF(C333="","",IFERROR(INDEX(LOTES!$D$5:$D$1004,MATCH(C333,LOTES!$F$5:$F$1004,0)),"¿Lote?"))</f>
        <v/>
      </c>
      <c r="E333" s="11" t="str">
        <f aca="false">IF(C333="","",IFERROR(INDEX(LOTES!$C$5:$C$1004,MATCH(C333,LOTES!$F$5:$F$1004,0)),""))</f>
        <v/>
      </c>
      <c r="F333" s="27"/>
      <c r="G333" s="27"/>
      <c r="H333" s="27"/>
      <c r="I333" s="20" t="str">
        <f aca="false">IF(AND(ISNUMBER(F333),ISNUMBER(G333),ISNUMBER(H333),F333&gt;G333,H333&gt;0),(F333-H333)/(F333-G333)*1000,"")</f>
        <v/>
      </c>
      <c r="J333" s="17" t="str">
        <f aca="false">IF(AND(ISNUMBER(F333),ISNUMBER(G333),ISNUMBER(H333),F333&gt;G333,H333&gt;0),(F333-H333)/H333,"")</f>
        <v/>
      </c>
      <c r="K333" s="20" t="str">
        <f aca="false">IF(AND(ISNUMBER(F333),ISNUMBER(G333),ISNUMBER(H333),F333&gt;G333,H333&gt;0),H333/(F333-G333)*1000,"")</f>
        <v/>
      </c>
      <c r="L333" s="11" t="str">
        <f aca="false">IF(K333="","",IF(K333&gt;=CONFIG!$E$21,CONFIG!$D$21,IF(K333&gt;=CONFIG!$E$20,CONFIG!$D$20,CONFIG!$D$19)))</f>
        <v/>
      </c>
      <c r="M333" s="20" t="str">
        <f aca="false">IF(K333="","",IF(K333&gt;=CONFIG!$E$21,CONFIG!$F$21,IF(K333&gt;=CONFIG!$E$20,CONFIG!$F$20,CONFIG!$F$19)))</f>
        <v/>
      </c>
      <c r="N333" s="19" t="str">
        <f aca="false">IF(I333="","",IF(I333&lt;=M333,"OK","ALTA"))</f>
        <v/>
      </c>
      <c r="O333" s="13"/>
    </row>
    <row r="334" customFormat="false" ht="15" hidden="false" customHeight="false" outlineLevel="0" collapsed="false">
      <c r="A334" s="11" t="str">
        <f aca="false">IF(C334="","",ROW()-4)</f>
        <v/>
      </c>
      <c r="B334" s="12"/>
      <c r="C334" s="13"/>
      <c r="D334" s="11" t="str">
        <f aca="false">IF(C334="","",IFERROR(INDEX(LOTES!$D$5:$D$1004,MATCH(C334,LOTES!$F$5:$F$1004,0)),"¿Lote?"))</f>
        <v/>
      </c>
      <c r="E334" s="11" t="str">
        <f aca="false">IF(C334="","",IFERROR(INDEX(LOTES!$C$5:$C$1004,MATCH(C334,LOTES!$F$5:$F$1004,0)),""))</f>
        <v/>
      </c>
      <c r="F334" s="27"/>
      <c r="G334" s="27"/>
      <c r="H334" s="27"/>
      <c r="I334" s="20" t="str">
        <f aca="false">IF(AND(ISNUMBER(F334),ISNUMBER(G334),ISNUMBER(H334),F334&gt;G334,H334&gt;0),(F334-H334)/(F334-G334)*1000,"")</f>
        <v/>
      </c>
      <c r="J334" s="17" t="str">
        <f aca="false">IF(AND(ISNUMBER(F334),ISNUMBER(G334),ISNUMBER(H334),F334&gt;G334,H334&gt;0),(F334-H334)/H334,"")</f>
        <v/>
      </c>
      <c r="K334" s="20" t="str">
        <f aca="false">IF(AND(ISNUMBER(F334),ISNUMBER(G334),ISNUMBER(H334),F334&gt;G334,H334&gt;0),H334/(F334-G334)*1000,"")</f>
        <v/>
      </c>
      <c r="L334" s="11" t="str">
        <f aca="false">IF(K334="","",IF(K334&gt;=CONFIG!$E$21,CONFIG!$D$21,IF(K334&gt;=CONFIG!$E$20,CONFIG!$D$20,CONFIG!$D$19)))</f>
        <v/>
      </c>
      <c r="M334" s="20" t="str">
        <f aca="false">IF(K334="","",IF(K334&gt;=CONFIG!$E$21,CONFIG!$F$21,IF(K334&gt;=CONFIG!$E$20,CONFIG!$F$20,CONFIG!$F$19)))</f>
        <v/>
      </c>
      <c r="N334" s="19" t="str">
        <f aca="false">IF(I334="","",IF(I334&lt;=M334,"OK","ALTA"))</f>
        <v/>
      </c>
      <c r="O334" s="13"/>
    </row>
    <row r="335" customFormat="false" ht="15" hidden="false" customHeight="false" outlineLevel="0" collapsed="false">
      <c r="A335" s="11" t="str">
        <f aca="false">IF(C335="","",ROW()-4)</f>
        <v/>
      </c>
      <c r="B335" s="12"/>
      <c r="C335" s="13"/>
      <c r="D335" s="11" t="str">
        <f aca="false">IF(C335="","",IFERROR(INDEX(LOTES!$D$5:$D$1004,MATCH(C335,LOTES!$F$5:$F$1004,0)),"¿Lote?"))</f>
        <v/>
      </c>
      <c r="E335" s="11" t="str">
        <f aca="false">IF(C335="","",IFERROR(INDEX(LOTES!$C$5:$C$1004,MATCH(C335,LOTES!$F$5:$F$1004,0)),""))</f>
        <v/>
      </c>
      <c r="F335" s="27"/>
      <c r="G335" s="27"/>
      <c r="H335" s="27"/>
      <c r="I335" s="20" t="str">
        <f aca="false">IF(AND(ISNUMBER(F335),ISNUMBER(G335),ISNUMBER(H335),F335&gt;G335,H335&gt;0),(F335-H335)/(F335-G335)*1000,"")</f>
        <v/>
      </c>
      <c r="J335" s="17" t="str">
        <f aca="false">IF(AND(ISNUMBER(F335),ISNUMBER(G335),ISNUMBER(H335),F335&gt;G335,H335&gt;0),(F335-H335)/H335,"")</f>
        <v/>
      </c>
      <c r="K335" s="20" t="str">
        <f aca="false">IF(AND(ISNUMBER(F335),ISNUMBER(G335),ISNUMBER(H335),F335&gt;G335,H335&gt;0),H335/(F335-G335)*1000,"")</f>
        <v/>
      </c>
      <c r="L335" s="11" t="str">
        <f aca="false">IF(K335="","",IF(K335&gt;=CONFIG!$E$21,CONFIG!$D$21,IF(K335&gt;=CONFIG!$E$20,CONFIG!$D$20,CONFIG!$D$19)))</f>
        <v/>
      </c>
      <c r="M335" s="20" t="str">
        <f aca="false">IF(K335="","",IF(K335&gt;=CONFIG!$E$21,CONFIG!$F$21,IF(K335&gt;=CONFIG!$E$20,CONFIG!$F$20,CONFIG!$F$19)))</f>
        <v/>
      </c>
      <c r="N335" s="19" t="str">
        <f aca="false">IF(I335="","",IF(I335&lt;=M335,"OK","ALTA"))</f>
        <v/>
      </c>
      <c r="O335" s="13"/>
    </row>
    <row r="336" customFormat="false" ht="15" hidden="false" customHeight="false" outlineLevel="0" collapsed="false">
      <c r="A336" s="11" t="str">
        <f aca="false">IF(C336="","",ROW()-4)</f>
        <v/>
      </c>
      <c r="B336" s="12"/>
      <c r="C336" s="13"/>
      <c r="D336" s="11" t="str">
        <f aca="false">IF(C336="","",IFERROR(INDEX(LOTES!$D$5:$D$1004,MATCH(C336,LOTES!$F$5:$F$1004,0)),"¿Lote?"))</f>
        <v/>
      </c>
      <c r="E336" s="11" t="str">
        <f aca="false">IF(C336="","",IFERROR(INDEX(LOTES!$C$5:$C$1004,MATCH(C336,LOTES!$F$5:$F$1004,0)),""))</f>
        <v/>
      </c>
      <c r="F336" s="27"/>
      <c r="G336" s="27"/>
      <c r="H336" s="27"/>
      <c r="I336" s="20" t="str">
        <f aca="false">IF(AND(ISNUMBER(F336),ISNUMBER(G336),ISNUMBER(H336),F336&gt;G336,H336&gt;0),(F336-H336)/(F336-G336)*1000,"")</f>
        <v/>
      </c>
      <c r="J336" s="17" t="str">
        <f aca="false">IF(AND(ISNUMBER(F336),ISNUMBER(G336),ISNUMBER(H336),F336&gt;G336,H336&gt;0),(F336-H336)/H336,"")</f>
        <v/>
      </c>
      <c r="K336" s="20" t="str">
        <f aca="false">IF(AND(ISNUMBER(F336),ISNUMBER(G336),ISNUMBER(H336),F336&gt;G336,H336&gt;0),H336/(F336-G336)*1000,"")</f>
        <v/>
      </c>
      <c r="L336" s="11" t="str">
        <f aca="false">IF(K336="","",IF(K336&gt;=CONFIG!$E$21,CONFIG!$D$21,IF(K336&gt;=CONFIG!$E$20,CONFIG!$D$20,CONFIG!$D$19)))</f>
        <v/>
      </c>
      <c r="M336" s="20" t="str">
        <f aca="false">IF(K336="","",IF(K336&gt;=CONFIG!$E$21,CONFIG!$F$21,IF(K336&gt;=CONFIG!$E$20,CONFIG!$F$20,CONFIG!$F$19)))</f>
        <v/>
      </c>
      <c r="N336" s="19" t="str">
        <f aca="false">IF(I336="","",IF(I336&lt;=M336,"OK","ALTA"))</f>
        <v/>
      </c>
      <c r="O336" s="13"/>
    </row>
    <row r="337" customFormat="false" ht="15" hidden="false" customHeight="false" outlineLevel="0" collapsed="false">
      <c r="A337" s="11" t="str">
        <f aca="false">IF(C337="","",ROW()-4)</f>
        <v/>
      </c>
      <c r="B337" s="12"/>
      <c r="C337" s="13"/>
      <c r="D337" s="11" t="str">
        <f aca="false">IF(C337="","",IFERROR(INDEX(LOTES!$D$5:$D$1004,MATCH(C337,LOTES!$F$5:$F$1004,0)),"¿Lote?"))</f>
        <v/>
      </c>
      <c r="E337" s="11" t="str">
        <f aca="false">IF(C337="","",IFERROR(INDEX(LOTES!$C$5:$C$1004,MATCH(C337,LOTES!$F$5:$F$1004,0)),""))</f>
        <v/>
      </c>
      <c r="F337" s="27"/>
      <c r="G337" s="27"/>
      <c r="H337" s="27"/>
      <c r="I337" s="20" t="str">
        <f aca="false">IF(AND(ISNUMBER(F337),ISNUMBER(G337),ISNUMBER(H337),F337&gt;G337,H337&gt;0),(F337-H337)/(F337-G337)*1000,"")</f>
        <v/>
      </c>
      <c r="J337" s="17" t="str">
        <f aca="false">IF(AND(ISNUMBER(F337),ISNUMBER(G337),ISNUMBER(H337),F337&gt;G337,H337&gt;0),(F337-H337)/H337,"")</f>
        <v/>
      </c>
      <c r="K337" s="20" t="str">
        <f aca="false">IF(AND(ISNUMBER(F337),ISNUMBER(G337),ISNUMBER(H337),F337&gt;G337,H337&gt;0),H337/(F337-G337)*1000,"")</f>
        <v/>
      </c>
      <c r="L337" s="11" t="str">
        <f aca="false">IF(K337="","",IF(K337&gt;=CONFIG!$E$21,CONFIG!$D$21,IF(K337&gt;=CONFIG!$E$20,CONFIG!$D$20,CONFIG!$D$19)))</f>
        <v/>
      </c>
      <c r="M337" s="20" t="str">
        <f aca="false">IF(K337="","",IF(K337&gt;=CONFIG!$E$21,CONFIG!$F$21,IF(K337&gt;=CONFIG!$E$20,CONFIG!$F$20,CONFIG!$F$19)))</f>
        <v/>
      </c>
      <c r="N337" s="19" t="str">
        <f aca="false">IF(I337="","",IF(I337&lt;=M337,"OK","ALTA"))</f>
        <v/>
      </c>
      <c r="O337" s="13"/>
    </row>
    <row r="338" customFormat="false" ht="15" hidden="false" customHeight="false" outlineLevel="0" collapsed="false">
      <c r="A338" s="11" t="str">
        <f aca="false">IF(C338="","",ROW()-4)</f>
        <v/>
      </c>
      <c r="B338" s="12"/>
      <c r="C338" s="13"/>
      <c r="D338" s="11" t="str">
        <f aca="false">IF(C338="","",IFERROR(INDEX(LOTES!$D$5:$D$1004,MATCH(C338,LOTES!$F$5:$F$1004,0)),"¿Lote?"))</f>
        <v/>
      </c>
      <c r="E338" s="11" t="str">
        <f aca="false">IF(C338="","",IFERROR(INDEX(LOTES!$C$5:$C$1004,MATCH(C338,LOTES!$F$5:$F$1004,0)),""))</f>
        <v/>
      </c>
      <c r="F338" s="27"/>
      <c r="G338" s="27"/>
      <c r="H338" s="27"/>
      <c r="I338" s="20" t="str">
        <f aca="false">IF(AND(ISNUMBER(F338),ISNUMBER(G338),ISNUMBER(H338),F338&gt;G338,H338&gt;0),(F338-H338)/(F338-G338)*1000,"")</f>
        <v/>
      </c>
      <c r="J338" s="17" t="str">
        <f aca="false">IF(AND(ISNUMBER(F338),ISNUMBER(G338),ISNUMBER(H338),F338&gt;G338,H338&gt;0),(F338-H338)/H338,"")</f>
        <v/>
      </c>
      <c r="K338" s="20" t="str">
        <f aca="false">IF(AND(ISNUMBER(F338),ISNUMBER(G338),ISNUMBER(H338),F338&gt;G338,H338&gt;0),H338/(F338-G338)*1000,"")</f>
        <v/>
      </c>
      <c r="L338" s="11" t="str">
        <f aca="false">IF(K338="","",IF(K338&gt;=CONFIG!$E$21,CONFIG!$D$21,IF(K338&gt;=CONFIG!$E$20,CONFIG!$D$20,CONFIG!$D$19)))</f>
        <v/>
      </c>
      <c r="M338" s="20" t="str">
        <f aca="false">IF(K338="","",IF(K338&gt;=CONFIG!$E$21,CONFIG!$F$21,IF(K338&gt;=CONFIG!$E$20,CONFIG!$F$20,CONFIG!$F$19)))</f>
        <v/>
      </c>
      <c r="N338" s="19" t="str">
        <f aca="false">IF(I338="","",IF(I338&lt;=M338,"OK","ALTA"))</f>
        <v/>
      </c>
      <c r="O338" s="13"/>
    </row>
    <row r="339" customFormat="false" ht="15" hidden="false" customHeight="false" outlineLevel="0" collapsed="false">
      <c r="A339" s="11" t="str">
        <f aca="false">IF(C339="","",ROW()-4)</f>
        <v/>
      </c>
      <c r="B339" s="12"/>
      <c r="C339" s="13"/>
      <c r="D339" s="11" t="str">
        <f aca="false">IF(C339="","",IFERROR(INDEX(LOTES!$D$5:$D$1004,MATCH(C339,LOTES!$F$5:$F$1004,0)),"¿Lote?"))</f>
        <v/>
      </c>
      <c r="E339" s="11" t="str">
        <f aca="false">IF(C339="","",IFERROR(INDEX(LOTES!$C$5:$C$1004,MATCH(C339,LOTES!$F$5:$F$1004,0)),""))</f>
        <v/>
      </c>
      <c r="F339" s="27"/>
      <c r="G339" s="27"/>
      <c r="H339" s="27"/>
      <c r="I339" s="20" t="str">
        <f aca="false">IF(AND(ISNUMBER(F339),ISNUMBER(G339),ISNUMBER(H339),F339&gt;G339,H339&gt;0),(F339-H339)/(F339-G339)*1000,"")</f>
        <v/>
      </c>
      <c r="J339" s="17" t="str">
        <f aca="false">IF(AND(ISNUMBER(F339),ISNUMBER(G339),ISNUMBER(H339),F339&gt;G339,H339&gt;0),(F339-H339)/H339,"")</f>
        <v/>
      </c>
      <c r="K339" s="20" t="str">
        <f aca="false">IF(AND(ISNUMBER(F339),ISNUMBER(G339),ISNUMBER(H339),F339&gt;G339,H339&gt;0),H339/(F339-G339)*1000,"")</f>
        <v/>
      </c>
      <c r="L339" s="11" t="str">
        <f aca="false">IF(K339="","",IF(K339&gt;=CONFIG!$E$21,CONFIG!$D$21,IF(K339&gt;=CONFIG!$E$20,CONFIG!$D$20,CONFIG!$D$19)))</f>
        <v/>
      </c>
      <c r="M339" s="20" t="str">
        <f aca="false">IF(K339="","",IF(K339&gt;=CONFIG!$E$21,CONFIG!$F$21,IF(K339&gt;=CONFIG!$E$20,CONFIG!$F$20,CONFIG!$F$19)))</f>
        <v/>
      </c>
      <c r="N339" s="19" t="str">
        <f aca="false">IF(I339="","",IF(I339&lt;=M339,"OK","ALTA"))</f>
        <v/>
      </c>
      <c r="O339" s="13"/>
    </row>
    <row r="340" customFormat="false" ht="15" hidden="false" customHeight="false" outlineLevel="0" collapsed="false">
      <c r="A340" s="11" t="str">
        <f aca="false">IF(C340="","",ROW()-4)</f>
        <v/>
      </c>
      <c r="B340" s="12"/>
      <c r="C340" s="13"/>
      <c r="D340" s="11" t="str">
        <f aca="false">IF(C340="","",IFERROR(INDEX(LOTES!$D$5:$D$1004,MATCH(C340,LOTES!$F$5:$F$1004,0)),"¿Lote?"))</f>
        <v/>
      </c>
      <c r="E340" s="11" t="str">
        <f aca="false">IF(C340="","",IFERROR(INDEX(LOTES!$C$5:$C$1004,MATCH(C340,LOTES!$F$5:$F$1004,0)),""))</f>
        <v/>
      </c>
      <c r="F340" s="27"/>
      <c r="G340" s="27"/>
      <c r="H340" s="27"/>
      <c r="I340" s="20" t="str">
        <f aca="false">IF(AND(ISNUMBER(F340),ISNUMBER(G340),ISNUMBER(H340),F340&gt;G340,H340&gt;0),(F340-H340)/(F340-G340)*1000,"")</f>
        <v/>
      </c>
      <c r="J340" s="17" t="str">
        <f aca="false">IF(AND(ISNUMBER(F340),ISNUMBER(G340),ISNUMBER(H340),F340&gt;G340,H340&gt;0),(F340-H340)/H340,"")</f>
        <v/>
      </c>
      <c r="K340" s="20" t="str">
        <f aca="false">IF(AND(ISNUMBER(F340),ISNUMBER(G340),ISNUMBER(H340),F340&gt;G340,H340&gt;0),H340/(F340-G340)*1000,"")</f>
        <v/>
      </c>
      <c r="L340" s="11" t="str">
        <f aca="false">IF(K340="","",IF(K340&gt;=CONFIG!$E$21,CONFIG!$D$21,IF(K340&gt;=CONFIG!$E$20,CONFIG!$D$20,CONFIG!$D$19)))</f>
        <v/>
      </c>
      <c r="M340" s="20" t="str">
        <f aca="false">IF(K340="","",IF(K340&gt;=CONFIG!$E$21,CONFIG!$F$21,IF(K340&gt;=CONFIG!$E$20,CONFIG!$F$20,CONFIG!$F$19)))</f>
        <v/>
      </c>
      <c r="N340" s="19" t="str">
        <f aca="false">IF(I340="","",IF(I340&lt;=M340,"OK","ALTA"))</f>
        <v/>
      </c>
      <c r="O340" s="13"/>
    </row>
    <row r="341" customFormat="false" ht="15" hidden="false" customHeight="false" outlineLevel="0" collapsed="false">
      <c r="A341" s="11" t="str">
        <f aca="false">IF(C341="","",ROW()-4)</f>
        <v/>
      </c>
      <c r="B341" s="12"/>
      <c r="C341" s="13"/>
      <c r="D341" s="11" t="str">
        <f aca="false">IF(C341="","",IFERROR(INDEX(LOTES!$D$5:$D$1004,MATCH(C341,LOTES!$F$5:$F$1004,0)),"¿Lote?"))</f>
        <v/>
      </c>
      <c r="E341" s="11" t="str">
        <f aca="false">IF(C341="","",IFERROR(INDEX(LOTES!$C$5:$C$1004,MATCH(C341,LOTES!$F$5:$F$1004,0)),""))</f>
        <v/>
      </c>
      <c r="F341" s="27"/>
      <c r="G341" s="27"/>
      <c r="H341" s="27"/>
      <c r="I341" s="20" t="str">
        <f aca="false">IF(AND(ISNUMBER(F341),ISNUMBER(G341),ISNUMBER(H341),F341&gt;G341,H341&gt;0),(F341-H341)/(F341-G341)*1000,"")</f>
        <v/>
      </c>
      <c r="J341" s="17" t="str">
        <f aca="false">IF(AND(ISNUMBER(F341),ISNUMBER(G341),ISNUMBER(H341),F341&gt;G341,H341&gt;0),(F341-H341)/H341,"")</f>
        <v/>
      </c>
      <c r="K341" s="20" t="str">
        <f aca="false">IF(AND(ISNUMBER(F341),ISNUMBER(G341),ISNUMBER(H341),F341&gt;G341,H341&gt;0),H341/(F341-G341)*1000,"")</f>
        <v/>
      </c>
      <c r="L341" s="11" t="str">
        <f aca="false">IF(K341="","",IF(K341&gt;=CONFIG!$E$21,CONFIG!$D$21,IF(K341&gt;=CONFIG!$E$20,CONFIG!$D$20,CONFIG!$D$19)))</f>
        <v/>
      </c>
      <c r="M341" s="20" t="str">
        <f aca="false">IF(K341="","",IF(K341&gt;=CONFIG!$E$21,CONFIG!$F$21,IF(K341&gt;=CONFIG!$E$20,CONFIG!$F$20,CONFIG!$F$19)))</f>
        <v/>
      </c>
      <c r="N341" s="19" t="str">
        <f aca="false">IF(I341="","",IF(I341&lt;=M341,"OK","ALTA"))</f>
        <v/>
      </c>
      <c r="O341" s="13"/>
    </row>
    <row r="342" customFormat="false" ht="15" hidden="false" customHeight="false" outlineLevel="0" collapsed="false">
      <c r="A342" s="11" t="str">
        <f aca="false">IF(C342="","",ROW()-4)</f>
        <v/>
      </c>
      <c r="B342" s="12"/>
      <c r="C342" s="13"/>
      <c r="D342" s="11" t="str">
        <f aca="false">IF(C342="","",IFERROR(INDEX(LOTES!$D$5:$D$1004,MATCH(C342,LOTES!$F$5:$F$1004,0)),"¿Lote?"))</f>
        <v/>
      </c>
      <c r="E342" s="11" t="str">
        <f aca="false">IF(C342="","",IFERROR(INDEX(LOTES!$C$5:$C$1004,MATCH(C342,LOTES!$F$5:$F$1004,0)),""))</f>
        <v/>
      </c>
      <c r="F342" s="27"/>
      <c r="G342" s="27"/>
      <c r="H342" s="27"/>
      <c r="I342" s="20" t="str">
        <f aca="false">IF(AND(ISNUMBER(F342),ISNUMBER(G342),ISNUMBER(H342),F342&gt;G342,H342&gt;0),(F342-H342)/(F342-G342)*1000,"")</f>
        <v/>
      </c>
      <c r="J342" s="17" t="str">
        <f aca="false">IF(AND(ISNUMBER(F342),ISNUMBER(G342),ISNUMBER(H342),F342&gt;G342,H342&gt;0),(F342-H342)/H342,"")</f>
        <v/>
      </c>
      <c r="K342" s="20" t="str">
        <f aca="false">IF(AND(ISNUMBER(F342),ISNUMBER(G342),ISNUMBER(H342),F342&gt;G342,H342&gt;0),H342/(F342-G342)*1000,"")</f>
        <v/>
      </c>
      <c r="L342" s="11" t="str">
        <f aca="false">IF(K342="","",IF(K342&gt;=CONFIG!$E$21,CONFIG!$D$21,IF(K342&gt;=CONFIG!$E$20,CONFIG!$D$20,CONFIG!$D$19)))</f>
        <v/>
      </c>
      <c r="M342" s="20" t="str">
        <f aca="false">IF(K342="","",IF(K342&gt;=CONFIG!$E$21,CONFIG!$F$21,IF(K342&gt;=CONFIG!$E$20,CONFIG!$F$20,CONFIG!$F$19)))</f>
        <v/>
      </c>
      <c r="N342" s="19" t="str">
        <f aca="false">IF(I342="","",IF(I342&lt;=M342,"OK","ALTA"))</f>
        <v/>
      </c>
      <c r="O342" s="13"/>
    </row>
    <row r="343" customFormat="false" ht="15" hidden="false" customHeight="false" outlineLevel="0" collapsed="false">
      <c r="A343" s="11" t="str">
        <f aca="false">IF(C343="","",ROW()-4)</f>
        <v/>
      </c>
      <c r="B343" s="12"/>
      <c r="C343" s="13"/>
      <c r="D343" s="11" t="str">
        <f aca="false">IF(C343="","",IFERROR(INDEX(LOTES!$D$5:$D$1004,MATCH(C343,LOTES!$F$5:$F$1004,0)),"¿Lote?"))</f>
        <v/>
      </c>
      <c r="E343" s="11" t="str">
        <f aca="false">IF(C343="","",IFERROR(INDEX(LOTES!$C$5:$C$1004,MATCH(C343,LOTES!$F$5:$F$1004,0)),""))</f>
        <v/>
      </c>
      <c r="F343" s="27"/>
      <c r="G343" s="27"/>
      <c r="H343" s="27"/>
      <c r="I343" s="20" t="str">
        <f aca="false">IF(AND(ISNUMBER(F343),ISNUMBER(G343),ISNUMBER(H343),F343&gt;G343,H343&gt;0),(F343-H343)/(F343-G343)*1000,"")</f>
        <v/>
      </c>
      <c r="J343" s="17" t="str">
        <f aca="false">IF(AND(ISNUMBER(F343),ISNUMBER(G343),ISNUMBER(H343),F343&gt;G343,H343&gt;0),(F343-H343)/H343,"")</f>
        <v/>
      </c>
      <c r="K343" s="20" t="str">
        <f aca="false">IF(AND(ISNUMBER(F343),ISNUMBER(G343),ISNUMBER(H343),F343&gt;G343,H343&gt;0),H343/(F343-G343)*1000,"")</f>
        <v/>
      </c>
      <c r="L343" s="11" t="str">
        <f aca="false">IF(K343="","",IF(K343&gt;=CONFIG!$E$21,CONFIG!$D$21,IF(K343&gt;=CONFIG!$E$20,CONFIG!$D$20,CONFIG!$D$19)))</f>
        <v/>
      </c>
      <c r="M343" s="20" t="str">
        <f aca="false">IF(K343="","",IF(K343&gt;=CONFIG!$E$21,CONFIG!$F$21,IF(K343&gt;=CONFIG!$E$20,CONFIG!$F$20,CONFIG!$F$19)))</f>
        <v/>
      </c>
      <c r="N343" s="19" t="str">
        <f aca="false">IF(I343="","",IF(I343&lt;=M343,"OK","ALTA"))</f>
        <v/>
      </c>
      <c r="O343" s="13"/>
    </row>
    <row r="344" customFormat="false" ht="15" hidden="false" customHeight="false" outlineLevel="0" collapsed="false">
      <c r="A344" s="11" t="str">
        <f aca="false">IF(C344="","",ROW()-4)</f>
        <v/>
      </c>
      <c r="B344" s="12"/>
      <c r="C344" s="13"/>
      <c r="D344" s="11" t="str">
        <f aca="false">IF(C344="","",IFERROR(INDEX(LOTES!$D$5:$D$1004,MATCH(C344,LOTES!$F$5:$F$1004,0)),"¿Lote?"))</f>
        <v/>
      </c>
      <c r="E344" s="11" t="str">
        <f aca="false">IF(C344="","",IFERROR(INDEX(LOTES!$C$5:$C$1004,MATCH(C344,LOTES!$F$5:$F$1004,0)),""))</f>
        <v/>
      </c>
      <c r="F344" s="27"/>
      <c r="G344" s="27"/>
      <c r="H344" s="27"/>
      <c r="I344" s="20" t="str">
        <f aca="false">IF(AND(ISNUMBER(F344),ISNUMBER(G344),ISNUMBER(H344),F344&gt;G344,H344&gt;0),(F344-H344)/(F344-G344)*1000,"")</f>
        <v/>
      </c>
      <c r="J344" s="17" t="str">
        <f aca="false">IF(AND(ISNUMBER(F344),ISNUMBER(G344),ISNUMBER(H344),F344&gt;G344,H344&gt;0),(F344-H344)/H344,"")</f>
        <v/>
      </c>
      <c r="K344" s="20" t="str">
        <f aca="false">IF(AND(ISNUMBER(F344),ISNUMBER(G344),ISNUMBER(H344),F344&gt;G344,H344&gt;0),H344/(F344-G344)*1000,"")</f>
        <v/>
      </c>
      <c r="L344" s="11" t="str">
        <f aca="false">IF(K344="","",IF(K344&gt;=CONFIG!$E$21,CONFIG!$D$21,IF(K344&gt;=CONFIG!$E$20,CONFIG!$D$20,CONFIG!$D$19)))</f>
        <v/>
      </c>
      <c r="M344" s="20" t="str">
        <f aca="false">IF(K344="","",IF(K344&gt;=CONFIG!$E$21,CONFIG!$F$21,IF(K344&gt;=CONFIG!$E$20,CONFIG!$F$20,CONFIG!$F$19)))</f>
        <v/>
      </c>
      <c r="N344" s="19" t="str">
        <f aca="false">IF(I344="","",IF(I344&lt;=M344,"OK","ALTA"))</f>
        <v/>
      </c>
      <c r="O344" s="13"/>
    </row>
    <row r="345" customFormat="false" ht="15" hidden="false" customHeight="false" outlineLevel="0" collapsed="false">
      <c r="A345" s="11" t="str">
        <f aca="false">IF(C345="","",ROW()-4)</f>
        <v/>
      </c>
      <c r="B345" s="12"/>
      <c r="C345" s="13"/>
      <c r="D345" s="11" t="str">
        <f aca="false">IF(C345="","",IFERROR(INDEX(LOTES!$D$5:$D$1004,MATCH(C345,LOTES!$F$5:$F$1004,0)),"¿Lote?"))</f>
        <v/>
      </c>
      <c r="E345" s="11" t="str">
        <f aca="false">IF(C345="","",IFERROR(INDEX(LOTES!$C$5:$C$1004,MATCH(C345,LOTES!$F$5:$F$1004,0)),""))</f>
        <v/>
      </c>
      <c r="F345" s="27"/>
      <c r="G345" s="27"/>
      <c r="H345" s="27"/>
      <c r="I345" s="20" t="str">
        <f aca="false">IF(AND(ISNUMBER(F345),ISNUMBER(G345),ISNUMBER(H345),F345&gt;G345,H345&gt;0),(F345-H345)/(F345-G345)*1000,"")</f>
        <v/>
      </c>
      <c r="J345" s="17" t="str">
        <f aca="false">IF(AND(ISNUMBER(F345),ISNUMBER(G345),ISNUMBER(H345),F345&gt;G345,H345&gt;0),(F345-H345)/H345,"")</f>
        <v/>
      </c>
      <c r="K345" s="20" t="str">
        <f aca="false">IF(AND(ISNUMBER(F345),ISNUMBER(G345),ISNUMBER(H345),F345&gt;G345,H345&gt;0),H345/(F345-G345)*1000,"")</f>
        <v/>
      </c>
      <c r="L345" s="11" t="str">
        <f aca="false">IF(K345="","",IF(K345&gt;=CONFIG!$E$21,CONFIG!$D$21,IF(K345&gt;=CONFIG!$E$20,CONFIG!$D$20,CONFIG!$D$19)))</f>
        <v/>
      </c>
      <c r="M345" s="20" t="str">
        <f aca="false">IF(K345="","",IF(K345&gt;=CONFIG!$E$21,CONFIG!$F$21,IF(K345&gt;=CONFIG!$E$20,CONFIG!$F$20,CONFIG!$F$19)))</f>
        <v/>
      </c>
      <c r="N345" s="19" t="str">
        <f aca="false">IF(I345="","",IF(I345&lt;=M345,"OK","ALTA"))</f>
        <v/>
      </c>
      <c r="O345" s="13"/>
    </row>
    <row r="346" customFormat="false" ht="15" hidden="false" customHeight="false" outlineLevel="0" collapsed="false">
      <c r="A346" s="11" t="str">
        <f aca="false">IF(C346="","",ROW()-4)</f>
        <v/>
      </c>
      <c r="B346" s="12"/>
      <c r="C346" s="13"/>
      <c r="D346" s="11" t="str">
        <f aca="false">IF(C346="","",IFERROR(INDEX(LOTES!$D$5:$D$1004,MATCH(C346,LOTES!$F$5:$F$1004,0)),"¿Lote?"))</f>
        <v/>
      </c>
      <c r="E346" s="11" t="str">
        <f aca="false">IF(C346="","",IFERROR(INDEX(LOTES!$C$5:$C$1004,MATCH(C346,LOTES!$F$5:$F$1004,0)),""))</f>
        <v/>
      </c>
      <c r="F346" s="27"/>
      <c r="G346" s="27"/>
      <c r="H346" s="27"/>
      <c r="I346" s="20" t="str">
        <f aca="false">IF(AND(ISNUMBER(F346),ISNUMBER(G346),ISNUMBER(H346),F346&gt;G346,H346&gt;0),(F346-H346)/(F346-G346)*1000,"")</f>
        <v/>
      </c>
      <c r="J346" s="17" t="str">
        <f aca="false">IF(AND(ISNUMBER(F346),ISNUMBER(G346),ISNUMBER(H346),F346&gt;G346,H346&gt;0),(F346-H346)/H346,"")</f>
        <v/>
      </c>
      <c r="K346" s="20" t="str">
        <f aca="false">IF(AND(ISNUMBER(F346),ISNUMBER(G346),ISNUMBER(H346),F346&gt;G346,H346&gt;0),H346/(F346-G346)*1000,"")</f>
        <v/>
      </c>
      <c r="L346" s="11" t="str">
        <f aca="false">IF(K346="","",IF(K346&gt;=CONFIG!$E$21,CONFIG!$D$21,IF(K346&gt;=CONFIG!$E$20,CONFIG!$D$20,CONFIG!$D$19)))</f>
        <v/>
      </c>
      <c r="M346" s="20" t="str">
        <f aca="false">IF(K346="","",IF(K346&gt;=CONFIG!$E$21,CONFIG!$F$21,IF(K346&gt;=CONFIG!$E$20,CONFIG!$F$20,CONFIG!$F$19)))</f>
        <v/>
      </c>
      <c r="N346" s="19" t="str">
        <f aca="false">IF(I346="","",IF(I346&lt;=M346,"OK","ALTA"))</f>
        <v/>
      </c>
      <c r="O346" s="13"/>
    </row>
    <row r="347" customFormat="false" ht="15" hidden="false" customHeight="false" outlineLevel="0" collapsed="false">
      <c r="A347" s="11" t="str">
        <f aca="false">IF(C347="","",ROW()-4)</f>
        <v/>
      </c>
      <c r="B347" s="12"/>
      <c r="C347" s="13"/>
      <c r="D347" s="11" t="str">
        <f aca="false">IF(C347="","",IFERROR(INDEX(LOTES!$D$5:$D$1004,MATCH(C347,LOTES!$F$5:$F$1004,0)),"¿Lote?"))</f>
        <v/>
      </c>
      <c r="E347" s="11" t="str">
        <f aca="false">IF(C347="","",IFERROR(INDEX(LOTES!$C$5:$C$1004,MATCH(C347,LOTES!$F$5:$F$1004,0)),""))</f>
        <v/>
      </c>
      <c r="F347" s="27"/>
      <c r="G347" s="27"/>
      <c r="H347" s="27"/>
      <c r="I347" s="20" t="str">
        <f aca="false">IF(AND(ISNUMBER(F347),ISNUMBER(G347),ISNUMBER(H347),F347&gt;G347,H347&gt;0),(F347-H347)/(F347-G347)*1000,"")</f>
        <v/>
      </c>
      <c r="J347" s="17" t="str">
        <f aca="false">IF(AND(ISNUMBER(F347),ISNUMBER(G347),ISNUMBER(H347),F347&gt;G347,H347&gt;0),(F347-H347)/H347,"")</f>
        <v/>
      </c>
      <c r="K347" s="20" t="str">
        <f aca="false">IF(AND(ISNUMBER(F347),ISNUMBER(G347),ISNUMBER(H347),F347&gt;G347,H347&gt;0),H347/(F347-G347)*1000,"")</f>
        <v/>
      </c>
      <c r="L347" s="11" t="str">
        <f aca="false">IF(K347="","",IF(K347&gt;=CONFIG!$E$21,CONFIG!$D$21,IF(K347&gt;=CONFIG!$E$20,CONFIG!$D$20,CONFIG!$D$19)))</f>
        <v/>
      </c>
      <c r="M347" s="20" t="str">
        <f aca="false">IF(K347="","",IF(K347&gt;=CONFIG!$E$21,CONFIG!$F$21,IF(K347&gt;=CONFIG!$E$20,CONFIG!$F$20,CONFIG!$F$19)))</f>
        <v/>
      </c>
      <c r="N347" s="19" t="str">
        <f aca="false">IF(I347="","",IF(I347&lt;=M347,"OK","ALTA"))</f>
        <v/>
      </c>
      <c r="O347" s="13"/>
    </row>
    <row r="348" customFormat="false" ht="15" hidden="false" customHeight="false" outlineLevel="0" collapsed="false">
      <c r="A348" s="11" t="str">
        <f aca="false">IF(C348="","",ROW()-4)</f>
        <v/>
      </c>
      <c r="B348" s="12"/>
      <c r="C348" s="13"/>
      <c r="D348" s="11" t="str">
        <f aca="false">IF(C348="","",IFERROR(INDEX(LOTES!$D$5:$D$1004,MATCH(C348,LOTES!$F$5:$F$1004,0)),"¿Lote?"))</f>
        <v/>
      </c>
      <c r="E348" s="11" t="str">
        <f aca="false">IF(C348="","",IFERROR(INDEX(LOTES!$C$5:$C$1004,MATCH(C348,LOTES!$F$5:$F$1004,0)),""))</f>
        <v/>
      </c>
      <c r="F348" s="27"/>
      <c r="G348" s="27"/>
      <c r="H348" s="27"/>
      <c r="I348" s="20" t="str">
        <f aca="false">IF(AND(ISNUMBER(F348),ISNUMBER(G348),ISNUMBER(H348),F348&gt;G348,H348&gt;0),(F348-H348)/(F348-G348)*1000,"")</f>
        <v/>
      </c>
      <c r="J348" s="17" t="str">
        <f aca="false">IF(AND(ISNUMBER(F348),ISNUMBER(G348),ISNUMBER(H348),F348&gt;G348,H348&gt;0),(F348-H348)/H348,"")</f>
        <v/>
      </c>
      <c r="K348" s="20" t="str">
        <f aca="false">IF(AND(ISNUMBER(F348),ISNUMBER(G348),ISNUMBER(H348),F348&gt;G348,H348&gt;0),H348/(F348-G348)*1000,"")</f>
        <v/>
      </c>
      <c r="L348" s="11" t="str">
        <f aca="false">IF(K348="","",IF(K348&gt;=CONFIG!$E$21,CONFIG!$D$21,IF(K348&gt;=CONFIG!$E$20,CONFIG!$D$20,CONFIG!$D$19)))</f>
        <v/>
      </c>
      <c r="M348" s="20" t="str">
        <f aca="false">IF(K348="","",IF(K348&gt;=CONFIG!$E$21,CONFIG!$F$21,IF(K348&gt;=CONFIG!$E$20,CONFIG!$F$20,CONFIG!$F$19)))</f>
        <v/>
      </c>
      <c r="N348" s="19" t="str">
        <f aca="false">IF(I348="","",IF(I348&lt;=M348,"OK","ALTA"))</f>
        <v/>
      </c>
      <c r="O348" s="13"/>
    </row>
    <row r="349" customFormat="false" ht="15" hidden="false" customHeight="false" outlineLevel="0" collapsed="false">
      <c r="A349" s="11" t="str">
        <f aca="false">IF(C349="","",ROW()-4)</f>
        <v/>
      </c>
      <c r="B349" s="12"/>
      <c r="C349" s="13"/>
      <c r="D349" s="11" t="str">
        <f aca="false">IF(C349="","",IFERROR(INDEX(LOTES!$D$5:$D$1004,MATCH(C349,LOTES!$F$5:$F$1004,0)),"¿Lote?"))</f>
        <v/>
      </c>
      <c r="E349" s="11" t="str">
        <f aca="false">IF(C349="","",IFERROR(INDEX(LOTES!$C$5:$C$1004,MATCH(C349,LOTES!$F$5:$F$1004,0)),""))</f>
        <v/>
      </c>
      <c r="F349" s="27"/>
      <c r="G349" s="27"/>
      <c r="H349" s="27"/>
      <c r="I349" s="20" t="str">
        <f aca="false">IF(AND(ISNUMBER(F349),ISNUMBER(G349),ISNUMBER(H349),F349&gt;G349,H349&gt;0),(F349-H349)/(F349-G349)*1000,"")</f>
        <v/>
      </c>
      <c r="J349" s="17" t="str">
        <f aca="false">IF(AND(ISNUMBER(F349),ISNUMBER(G349),ISNUMBER(H349),F349&gt;G349,H349&gt;0),(F349-H349)/H349,"")</f>
        <v/>
      </c>
      <c r="K349" s="20" t="str">
        <f aca="false">IF(AND(ISNUMBER(F349),ISNUMBER(G349),ISNUMBER(H349),F349&gt;G349,H349&gt;0),H349/(F349-G349)*1000,"")</f>
        <v/>
      </c>
      <c r="L349" s="11" t="str">
        <f aca="false">IF(K349="","",IF(K349&gt;=CONFIG!$E$21,CONFIG!$D$21,IF(K349&gt;=CONFIG!$E$20,CONFIG!$D$20,CONFIG!$D$19)))</f>
        <v/>
      </c>
      <c r="M349" s="20" t="str">
        <f aca="false">IF(K349="","",IF(K349&gt;=CONFIG!$E$21,CONFIG!$F$21,IF(K349&gt;=CONFIG!$E$20,CONFIG!$F$20,CONFIG!$F$19)))</f>
        <v/>
      </c>
      <c r="N349" s="19" t="str">
        <f aca="false">IF(I349="","",IF(I349&lt;=M349,"OK","ALTA"))</f>
        <v/>
      </c>
      <c r="O349" s="13"/>
    </row>
    <row r="350" customFormat="false" ht="15" hidden="false" customHeight="false" outlineLevel="0" collapsed="false">
      <c r="A350" s="11" t="str">
        <f aca="false">IF(C350="","",ROW()-4)</f>
        <v/>
      </c>
      <c r="B350" s="12"/>
      <c r="C350" s="13"/>
      <c r="D350" s="11" t="str">
        <f aca="false">IF(C350="","",IFERROR(INDEX(LOTES!$D$5:$D$1004,MATCH(C350,LOTES!$F$5:$F$1004,0)),"¿Lote?"))</f>
        <v/>
      </c>
      <c r="E350" s="11" t="str">
        <f aca="false">IF(C350="","",IFERROR(INDEX(LOTES!$C$5:$C$1004,MATCH(C350,LOTES!$F$5:$F$1004,0)),""))</f>
        <v/>
      </c>
      <c r="F350" s="27"/>
      <c r="G350" s="27"/>
      <c r="H350" s="27"/>
      <c r="I350" s="20" t="str">
        <f aca="false">IF(AND(ISNUMBER(F350),ISNUMBER(G350),ISNUMBER(H350),F350&gt;G350,H350&gt;0),(F350-H350)/(F350-G350)*1000,"")</f>
        <v/>
      </c>
      <c r="J350" s="17" t="str">
        <f aca="false">IF(AND(ISNUMBER(F350),ISNUMBER(G350),ISNUMBER(H350),F350&gt;G350,H350&gt;0),(F350-H350)/H350,"")</f>
        <v/>
      </c>
      <c r="K350" s="20" t="str">
        <f aca="false">IF(AND(ISNUMBER(F350),ISNUMBER(G350),ISNUMBER(H350),F350&gt;G350,H350&gt;0),H350/(F350-G350)*1000,"")</f>
        <v/>
      </c>
      <c r="L350" s="11" t="str">
        <f aca="false">IF(K350="","",IF(K350&gt;=CONFIG!$E$21,CONFIG!$D$21,IF(K350&gt;=CONFIG!$E$20,CONFIG!$D$20,CONFIG!$D$19)))</f>
        <v/>
      </c>
      <c r="M350" s="20" t="str">
        <f aca="false">IF(K350="","",IF(K350&gt;=CONFIG!$E$21,CONFIG!$F$21,IF(K350&gt;=CONFIG!$E$20,CONFIG!$F$20,CONFIG!$F$19)))</f>
        <v/>
      </c>
      <c r="N350" s="19" t="str">
        <f aca="false">IF(I350="","",IF(I350&lt;=M350,"OK","ALTA"))</f>
        <v/>
      </c>
      <c r="O350" s="13"/>
    </row>
    <row r="351" customFormat="false" ht="15" hidden="false" customHeight="false" outlineLevel="0" collapsed="false">
      <c r="A351" s="11" t="str">
        <f aca="false">IF(C351="","",ROW()-4)</f>
        <v/>
      </c>
      <c r="B351" s="12"/>
      <c r="C351" s="13"/>
      <c r="D351" s="11" t="str">
        <f aca="false">IF(C351="","",IFERROR(INDEX(LOTES!$D$5:$D$1004,MATCH(C351,LOTES!$F$5:$F$1004,0)),"¿Lote?"))</f>
        <v/>
      </c>
      <c r="E351" s="11" t="str">
        <f aca="false">IF(C351="","",IFERROR(INDEX(LOTES!$C$5:$C$1004,MATCH(C351,LOTES!$F$5:$F$1004,0)),""))</f>
        <v/>
      </c>
      <c r="F351" s="27"/>
      <c r="G351" s="27"/>
      <c r="H351" s="27"/>
      <c r="I351" s="20" t="str">
        <f aca="false">IF(AND(ISNUMBER(F351),ISNUMBER(G351),ISNUMBER(H351),F351&gt;G351,H351&gt;0),(F351-H351)/(F351-G351)*1000,"")</f>
        <v/>
      </c>
      <c r="J351" s="17" t="str">
        <f aca="false">IF(AND(ISNUMBER(F351),ISNUMBER(G351),ISNUMBER(H351),F351&gt;G351,H351&gt;0),(F351-H351)/H351,"")</f>
        <v/>
      </c>
      <c r="K351" s="20" t="str">
        <f aca="false">IF(AND(ISNUMBER(F351),ISNUMBER(G351),ISNUMBER(H351),F351&gt;G351,H351&gt;0),H351/(F351-G351)*1000,"")</f>
        <v/>
      </c>
      <c r="L351" s="11" t="str">
        <f aca="false">IF(K351="","",IF(K351&gt;=CONFIG!$E$21,CONFIG!$D$21,IF(K351&gt;=CONFIG!$E$20,CONFIG!$D$20,CONFIG!$D$19)))</f>
        <v/>
      </c>
      <c r="M351" s="20" t="str">
        <f aca="false">IF(K351="","",IF(K351&gt;=CONFIG!$E$21,CONFIG!$F$21,IF(K351&gt;=CONFIG!$E$20,CONFIG!$F$20,CONFIG!$F$19)))</f>
        <v/>
      </c>
      <c r="N351" s="19" t="str">
        <f aca="false">IF(I351="","",IF(I351&lt;=M351,"OK","ALTA"))</f>
        <v/>
      </c>
      <c r="O351" s="13"/>
    </row>
    <row r="352" customFormat="false" ht="15" hidden="false" customHeight="false" outlineLevel="0" collapsed="false">
      <c r="A352" s="11" t="str">
        <f aca="false">IF(C352="","",ROW()-4)</f>
        <v/>
      </c>
      <c r="B352" s="12"/>
      <c r="C352" s="13"/>
      <c r="D352" s="11" t="str">
        <f aca="false">IF(C352="","",IFERROR(INDEX(LOTES!$D$5:$D$1004,MATCH(C352,LOTES!$F$5:$F$1004,0)),"¿Lote?"))</f>
        <v/>
      </c>
      <c r="E352" s="11" t="str">
        <f aca="false">IF(C352="","",IFERROR(INDEX(LOTES!$C$5:$C$1004,MATCH(C352,LOTES!$F$5:$F$1004,0)),""))</f>
        <v/>
      </c>
      <c r="F352" s="27"/>
      <c r="G352" s="27"/>
      <c r="H352" s="27"/>
      <c r="I352" s="20" t="str">
        <f aca="false">IF(AND(ISNUMBER(F352),ISNUMBER(G352),ISNUMBER(H352),F352&gt;G352,H352&gt;0),(F352-H352)/(F352-G352)*1000,"")</f>
        <v/>
      </c>
      <c r="J352" s="17" t="str">
        <f aca="false">IF(AND(ISNUMBER(F352),ISNUMBER(G352),ISNUMBER(H352),F352&gt;G352,H352&gt;0),(F352-H352)/H352,"")</f>
        <v/>
      </c>
      <c r="K352" s="20" t="str">
        <f aca="false">IF(AND(ISNUMBER(F352),ISNUMBER(G352),ISNUMBER(H352),F352&gt;G352,H352&gt;0),H352/(F352-G352)*1000,"")</f>
        <v/>
      </c>
      <c r="L352" s="11" t="str">
        <f aca="false">IF(K352="","",IF(K352&gt;=CONFIG!$E$21,CONFIG!$D$21,IF(K352&gt;=CONFIG!$E$20,CONFIG!$D$20,CONFIG!$D$19)))</f>
        <v/>
      </c>
      <c r="M352" s="20" t="str">
        <f aca="false">IF(K352="","",IF(K352&gt;=CONFIG!$E$21,CONFIG!$F$21,IF(K352&gt;=CONFIG!$E$20,CONFIG!$F$20,CONFIG!$F$19)))</f>
        <v/>
      </c>
      <c r="N352" s="19" t="str">
        <f aca="false">IF(I352="","",IF(I352&lt;=M352,"OK","ALTA"))</f>
        <v/>
      </c>
      <c r="O352" s="13"/>
    </row>
    <row r="353" customFormat="false" ht="15" hidden="false" customHeight="false" outlineLevel="0" collapsed="false">
      <c r="A353" s="11" t="str">
        <f aca="false">IF(C353="","",ROW()-4)</f>
        <v/>
      </c>
      <c r="B353" s="12"/>
      <c r="C353" s="13"/>
      <c r="D353" s="11" t="str">
        <f aca="false">IF(C353="","",IFERROR(INDEX(LOTES!$D$5:$D$1004,MATCH(C353,LOTES!$F$5:$F$1004,0)),"¿Lote?"))</f>
        <v/>
      </c>
      <c r="E353" s="11" t="str">
        <f aca="false">IF(C353="","",IFERROR(INDEX(LOTES!$C$5:$C$1004,MATCH(C353,LOTES!$F$5:$F$1004,0)),""))</f>
        <v/>
      </c>
      <c r="F353" s="27"/>
      <c r="G353" s="27"/>
      <c r="H353" s="27"/>
      <c r="I353" s="20" t="str">
        <f aca="false">IF(AND(ISNUMBER(F353),ISNUMBER(G353),ISNUMBER(H353),F353&gt;G353,H353&gt;0),(F353-H353)/(F353-G353)*1000,"")</f>
        <v/>
      </c>
      <c r="J353" s="17" t="str">
        <f aca="false">IF(AND(ISNUMBER(F353),ISNUMBER(G353),ISNUMBER(H353),F353&gt;G353,H353&gt;0),(F353-H353)/H353,"")</f>
        <v/>
      </c>
      <c r="K353" s="20" t="str">
        <f aca="false">IF(AND(ISNUMBER(F353),ISNUMBER(G353),ISNUMBER(H353),F353&gt;G353,H353&gt;0),H353/(F353-G353)*1000,"")</f>
        <v/>
      </c>
      <c r="L353" s="11" t="str">
        <f aca="false">IF(K353="","",IF(K353&gt;=CONFIG!$E$21,CONFIG!$D$21,IF(K353&gt;=CONFIG!$E$20,CONFIG!$D$20,CONFIG!$D$19)))</f>
        <v/>
      </c>
      <c r="M353" s="20" t="str">
        <f aca="false">IF(K353="","",IF(K353&gt;=CONFIG!$E$21,CONFIG!$F$21,IF(K353&gt;=CONFIG!$E$20,CONFIG!$F$20,CONFIG!$F$19)))</f>
        <v/>
      </c>
      <c r="N353" s="19" t="str">
        <f aca="false">IF(I353="","",IF(I353&lt;=M353,"OK","ALTA"))</f>
        <v/>
      </c>
      <c r="O353" s="13"/>
    </row>
    <row r="354" customFormat="false" ht="15" hidden="false" customHeight="false" outlineLevel="0" collapsed="false">
      <c r="A354" s="11" t="str">
        <f aca="false">IF(C354="","",ROW()-4)</f>
        <v/>
      </c>
      <c r="B354" s="12"/>
      <c r="C354" s="13"/>
      <c r="D354" s="11" t="str">
        <f aca="false">IF(C354="","",IFERROR(INDEX(LOTES!$D$5:$D$1004,MATCH(C354,LOTES!$F$5:$F$1004,0)),"¿Lote?"))</f>
        <v/>
      </c>
      <c r="E354" s="11" t="str">
        <f aca="false">IF(C354="","",IFERROR(INDEX(LOTES!$C$5:$C$1004,MATCH(C354,LOTES!$F$5:$F$1004,0)),""))</f>
        <v/>
      </c>
      <c r="F354" s="27"/>
      <c r="G354" s="27"/>
      <c r="H354" s="27"/>
      <c r="I354" s="20" t="str">
        <f aca="false">IF(AND(ISNUMBER(F354),ISNUMBER(G354),ISNUMBER(H354),F354&gt;G354,H354&gt;0),(F354-H354)/(F354-G354)*1000,"")</f>
        <v/>
      </c>
      <c r="J354" s="17" t="str">
        <f aca="false">IF(AND(ISNUMBER(F354),ISNUMBER(G354),ISNUMBER(H354),F354&gt;G354,H354&gt;0),(F354-H354)/H354,"")</f>
        <v/>
      </c>
      <c r="K354" s="20" t="str">
        <f aca="false">IF(AND(ISNUMBER(F354),ISNUMBER(G354),ISNUMBER(H354),F354&gt;G354,H354&gt;0),H354/(F354-G354)*1000,"")</f>
        <v/>
      </c>
      <c r="L354" s="11" t="str">
        <f aca="false">IF(K354="","",IF(K354&gt;=CONFIG!$E$21,CONFIG!$D$21,IF(K354&gt;=CONFIG!$E$20,CONFIG!$D$20,CONFIG!$D$19)))</f>
        <v/>
      </c>
      <c r="M354" s="20" t="str">
        <f aca="false">IF(K354="","",IF(K354&gt;=CONFIG!$E$21,CONFIG!$F$21,IF(K354&gt;=CONFIG!$E$20,CONFIG!$F$20,CONFIG!$F$19)))</f>
        <v/>
      </c>
      <c r="N354" s="19" t="str">
        <f aca="false">IF(I354="","",IF(I354&lt;=M354,"OK","ALTA"))</f>
        <v/>
      </c>
      <c r="O354" s="13"/>
    </row>
    <row r="355" customFormat="false" ht="15" hidden="false" customHeight="false" outlineLevel="0" collapsed="false">
      <c r="A355" s="11" t="str">
        <f aca="false">IF(C355="","",ROW()-4)</f>
        <v/>
      </c>
      <c r="B355" s="12"/>
      <c r="C355" s="13"/>
      <c r="D355" s="11" t="str">
        <f aca="false">IF(C355="","",IFERROR(INDEX(LOTES!$D$5:$D$1004,MATCH(C355,LOTES!$F$5:$F$1004,0)),"¿Lote?"))</f>
        <v/>
      </c>
      <c r="E355" s="11" t="str">
        <f aca="false">IF(C355="","",IFERROR(INDEX(LOTES!$C$5:$C$1004,MATCH(C355,LOTES!$F$5:$F$1004,0)),""))</f>
        <v/>
      </c>
      <c r="F355" s="27"/>
      <c r="G355" s="27"/>
      <c r="H355" s="27"/>
      <c r="I355" s="20" t="str">
        <f aca="false">IF(AND(ISNUMBER(F355),ISNUMBER(G355),ISNUMBER(H355),F355&gt;G355,H355&gt;0),(F355-H355)/(F355-G355)*1000,"")</f>
        <v/>
      </c>
      <c r="J355" s="17" t="str">
        <f aca="false">IF(AND(ISNUMBER(F355),ISNUMBER(G355),ISNUMBER(H355),F355&gt;G355,H355&gt;0),(F355-H355)/H355,"")</f>
        <v/>
      </c>
      <c r="K355" s="20" t="str">
        <f aca="false">IF(AND(ISNUMBER(F355),ISNUMBER(G355),ISNUMBER(H355),F355&gt;G355,H355&gt;0),H355/(F355-G355)*1000,"")</f>
        <v/>
      </c>
      <c r="L355" s="11" t="str">
        <f aca="false">IF(K355="","",IF(K355&gt;=CONFIG!$E$21,CONFIG!$D$21,IF(K355&gt;=CONFIG!$E$20,CONFIG!$D$20,CONFIG!$D$19)))</f>
        <v/>
      </c>
      <c r="M355" s="20" t="str">
        <f aca="false">IF(K355="","",IF(K355&gt;=CONFIG!$E$21,CONFIG!$F$21,IF(K355&gt;=CONFIG!$E$20,CONFIG!$F$20,CONFIG!$F$19)))</f>
        <v/>
      </c>
      <c r="N355" s="19" t="str">
        <f aca="false">IF(I355="","",IF(I355&lt;=M355,"OK","ALTA"))</f>
        <v/>
      </c>
      <c r="O355" s="13"/>
    </row>
    <row r="356" customFormat="false" ht="15" hidden="false" customHeight="false" outlineLevel="0" collapsed="false">
      <c r="A356" s="11" t="str">
        <f aca="false">IF(C356="","",ROW()-4)</f>
        <v/>
      </c>
      <c r="B356" s="12"/>
      <c r="C356" s="13"/>
      <c r="D356" s="11" t="str">
        <f aca="false">IF(C356="","",IFERROR(INDEX(LOTES!$D$5:$D$1004,MATCH(C356,LOTES!$F$5:$F$1004,0)),"¿Lote?"))</f>
        <v/>
      </c>
      <c r="E356" s="11" t="str">
        <f aca="false">IF(C356="","",IFERROR(INDEX(LOTES!$C$5:$C$1004,MATCH(C356,LOTES!$F$5:$F$1004,0)),""))</f>
        <v/>
      </c>
      <c r="F356" s="27"/>
      <c r="G356" s="27"/>
      <c r="H356" s="27"/>
      <c r="I356" s="20" t="str">
        <f aca="false">IF(AND(ISNUMBER(F356),ISNUMBER(G356),ISNUMBER(H356),F356&gt;G356,H356&gt;0),(F356-H356)/(F356-G356)*1000,"")</f>
        <v/>
      </c>
      <c r="J356" s="17" t="str">
        <f aca="false">IF(AND(ISNUMBER(F356),ISNUMBER(G356),ISNUMBER(H356),F356&gt;G356,H356&gt;0),(F356-H356)/H356,"")</f>
        <v/>
      </c>
      <c r="K356" s="20" t="str">
        <f aca="false">IF(AND(ISNUMBER(F356),ISNUMBER(G356),ISNUMBER(H356),F356&gt;G356,H356&gt;0),H356/(F356-G356)*1000,"")</f>
        <v/>
      </c>
      <c r="L356" s="11" t="str">
        <f aca="false">IF(K356="","",IF(K356&gt;=CONFIG!$E$21,CONFIG!$D$21,IF(K356&gt;=CONFIG!$E$20,CONFIG!$D$20,CONFIG!$D$19)))</f>
        <v/>
      </c>
      <c r="M356" s="20" t="str">
        <f aca="false">IF(K356="","",IF(K356&gt;=CONFIG!$E$21,CONFIG!$F$21,IF(K356&gt;=CONFIG!$E$20,CONFIG!$F$20,CONFIG!$F$19)))</f>
        <v/>
      </c>
      <c r="N356" s="19" t="str">
        <f aca="false">IF(I356="","",IF(I356&lt;=M356,"OK","ALTA"))</f>
        <v/>
      </c>
      <c r="O356" s="13"/>
    </row>
    <row r="357" customFormat="false" ht="15" hidden="false" customHeight="false" outlineLevel="0" collapsed="false">
      <c r="A357" s="11" t="str">
        <f aca="false">IF(C357="","",ROW()-4)</f>
        <v/>
      </c>
      <c r="B357" s="12"/>
      <c r="C357" s="13"/>
      <c r="D357" s="11" t="str">
        <f aca="false">IF(C357="","",IFERROR(INDEX(LOTES!$D$5:$D$1004,MATCH(C357,LOTES!$F$5:$F$1004,0)),"¿Lote?"))</f>
        <v/>
      </c>
      <c r="E357" s="11" t="str">
        <f aca="false">IF(C357="","",IFERROR(INDEX(LOTES!$C$5:$C$1004,MATCH(C357,LOTES!$F$5:$F$1004,0)),""))</f>
        <v/>
      </c>
      <c r="F357" s="27"/>
      <c r="G357" s="27"/>
      <c r="H357" s="27"/>
      <c r="I357" s="20" t="str">
        <f aca="false">IF(AND(ISNUMBER(F357),ISNUMBER(G357),ISNUMBER(H357),F357&gt;G357,H357&gt;0),(F357-H357)/(F357-G357)*1000,"")</f>
        <v/>
      </c>
      <c r="J357" s="17" t="str">
        <f aca="false">IF(AND(ISNUMBER(F357),ISNUMBER(G357),ISNUMBER(H357),F357&gt;G357,H357&gt;0),(F357-H357)/H357,"")</f>
        <v/>
      </c>
      <c r="K357" s="20" t="str">
        <f aca="false">IF(AND(ISNUMBER(F357),ISNUMBER(G357),ISNUMBER(H357),F357&gt;G357,H357&gt;0),H357/(F357-G357)*1000,"")</f>
        <v/>
      </c>
      <c r="L357" s="11" t="str">
        <f aca="false">IF(K357="","",IF(K357&gt;=CONFIG!$E$21,CONFIG!$D$21,IF(K357&gt;=CONFIG!$E$20,CONFIG!$D$20,CONFIG!$D$19)))</f>
        <v/>
      </c>
      <c r="M357" s="20" t="str">
        <f aca="false">IF(K357="","",IF(K357&gt;=CONFIG!$E$21,CONFIG!$F$21,IF(K357&gt;=CONFIG!$E$20,CONFIG!$F$20,CONFIG!$F$19)))</f>
        <v/>
      </c>
      <c r="N357" s="19" t="str">
        <f aca="false">IF(I357="","",IF(I357&lt;=M357,"OK","ALTA"))</f>
        <v/>
      </c>
      <c r="O357" s="13"/>
    </row>
    <row r="358" customFormat="false" ht="15" hidden="false" customHeight="false" outlineLevel="0" collapsed="false">
      <c r="A358" s="11" t="str">
        <f aca="false">IF(C358="","",ROW()-4)</f>
        <v/>
      </c>
      <c r="B358" s="12"/>
      <c r="C358" s="13"/>
      <c r="D358" s="11" t="str">
        <f aca="false">IF(C358="","",IFERROR(INDEX(LOTES!$D$5:$D$1004,MATCH(C358,LOTES!$F$5:$F$1004,0)),"¿Lote?"))</f>
        <v/>
      </c>
      <c r="E358" s="11" t="str">
        <f aca="false">IF(C358="","",IFERROR(INDEX(LOTES!$C$5:$C$1004,MATCH(C358,LOTES!$F$5:$F$1004,0)),""))</f>
        <v/>
      </c>
      <c r="F358" s="27"/>
      <c r="G358" s="27"/>
      <c r="H358" s="27"/>
      <c r="I358" s="20" t="str">
        <f aca="false">IF(AND(ISNUMBER(F358),ISNUMBER(G358),ISNUMBER(H358),F358&gt;G358,H358&gt;0),(F358-H358)/(F358-G358)*1000,"")</f>
        <v/>
      </c>
      <c r="J358" s="17" t="str">
        <f aca="false">IF(AND(ISNUMBER(F358),ISNUMBER(G358),ISNUMBER(H358),F358&gt;G358,H358&gt;0),(F358-H358)/H358,"")</f>
        <v/>
      </c>
      <c r="K358" s="20" t="str">
        <f aca="false">IF(AND(ISNUMBER(F358),ISNUMBER(G358),ISNUMBER(H358),F358&gt;G358,H358&gt;0),H358/(F358-G358)*1000,"")</f>
        <v/>
      </c>
      <c r="L358" s="11" t="str">
        <f aca="false">IF(K358="","",IF(K358&gt;=CONFIG!$E$21,CONFIG!$D$21,IF(K358&gt;=CONFIG!$E$20,CONFIG!$D$20,CONFIG!$D$19)))</f>
        <v/>
      </c>
      <c r="M358" s="20" t="str">
        <f aca="false">IF(K358="","",IF(K358&gt;=CONFIG!$E$21,CONFIG!$F$21,IF(K358&gt;=CONFIG!$E$20,CONFIG!$F$20,CONFIG!$F$19)))</f>
        <v/>
      </c>
      <c r="N358" s="19" t="str">
        <f aca="false">IF(I358="","",IF(I358&lt;=M358,"OK","ALTA"))</f>
        <v/>
      </c>
      <c r="O358" s="13"/>
    </row>
    <row r="359" customFormat="false" ht="15" hidden="false" customHeight="false" outlineLevel="0" collapsed="false">
      <c r="A359" s="11" t="str">
        <f aca="false">IF(C359="","",ROW()-4)</f>
        <v/>
      </c>
      <c r="B359" s="12"/>
      <c r="C359" s="13"/>
      <c r="D359" s="11" t="str">
        <f aca="false">IF(C359="","",IFERROR(INDEX(LOTES!$D$5:$D$1004,MATCH(C359,LOTES!$F$5:$F$1004,0)),"¿Lote?"))</f>
        <v/>
      </c>
      <c r="E359" s="11" t="str">
        <f aca="false">IF(C359="","",IFERROR(INDEX(LOTES!$C$5:$C$1004,MATCH(C359,LOTES!$F$5:$F$1004,0)),""))</f>
        <v/>
      </c>
      <c r="F359" s="27"/>
      <c r="G359" s="27"/>
      <c r="H359" s="27"/>
      <c r="I359" s="20" t="str">
        <f aca="false">IF(AND(ISNUMBER(F359),ISNUMBER(G359),ISNUMBER(H359),F359&gt;G359,H359&gt;0),(F359-H359)/(F359-G359)*1000,"")</f>
        <v/>
      </c>
      <c r="J359" s="17" t="str">
        <f aca="false">IF(AND(ISNUMBER(F359),ISNUMBER(G359),ISNUMBER(H359),F359&gt;G359,H359&gt;0),(F359-H359)/H359,"")</f>
        <v/>
      </c>
      <c r="K359" s="20" t="str">
        <f aca="false">IF(AND(ISNUMBER(F359),ISNUMBER(G359),ISNUMBER(H359),F359&gt;G359,H359&gt;0),H359/(F359-G359)*1000,"")</f>
        <v/>
      </c>
      <c r="L359" s="11" t="str">
        <f aca="false">IF(K359="","",IF(K359&gt;=CONFIG!$E$21,CONFIG!$D$21,IF(K359&gt;=CONFIG!$E$20,CONFIG!$D$20,CONFIG!$D$19)))</f>
        <v/>
      </c>
      <c r="M359" s="20" t="str">
        <f aca="false">IF(K359="","",IF(K359&gt;=CONFIG!$E$21,CONFIG!$F$21,IF(K359&gt;=CONFIG!$E$20,CONFIG!$F$20,CONFIG!$F$19)))</f>
        <v/>
      </c>
      <c r="N359" s="19" t="str">
        <f aca="false">IF(I359="","",IF(I359&lt;=M359,"OK","ALTA"))</f>
        <v/>
      </c>
      <c r="O359" s="13"/>
    </row>
    <row r="360" customFormat="false" ht="15" hidden="false" customHeight="false" outlineLevel="0" collapsed="false">
      <c r="A360" s="11" t="str">
        <f aca="false">IF(C360="","",ROW()-4)</f>
        <v/>
      </c>
      <c r="B360" s="12"/>
      <c r="C360" s="13"/>
      <c r="D360" s="11" t="str">
        <f aca="false">IF(C360="","",IFERROR(INDEX(LOTES!$D$5:$D$1004,MATCH(C360,LOTES!$F$5:$F$1004,0)),"¿Lote?"))</f>
        <v/>
      </c>
      <c r="E360" s="11" t="str">
        <f aca="false">IF(C360="","",IFERROR(INDEX(LOTES!$C$5:$C$1004,MATCH(C360,LOTES!$F$5:$F$1004,0)),""))</f>
        <v/>
      </c>
      <c r="F360" s="27"/>
      <c r="G360" s="27"/>
      <c r="H360" s="27"/>
      <c r="I360" s="20" t="str">
        <f aca="false">IF(AND(ISNUMBER(F360),ISNUMBER(G360),ISNUMBER(H360),F360&gt;G360,H360&gt;0),(F360-H360)/(F360-G360)*1000,"")</f>
        <v/>
      </c>
      <c r="J360" s="17" t="str">
        <f aca="false">IF(AND(ISNUMBER(F360),ISNUMBER(G360),ISNUMBER(H360),F360&gt;G360,H360&gt;0),(F360-H360)/H360,"")</f>
        <v/>
      </c>
      <c r="K360" s="20" t="str">
        <f aca="false">IF(AND(ISNUMBER(F360),ISNUMBER(G360),ISNUMBER(H360),F360&gt;G360,H360&gt;0),H360/(F360-G360)*1000,"")</f>
        <v/>
      </c>
      <c r="L360" s="11" t="str">
        <f aca="false">IF(K360="","",IF(K360&gt;=CONFIG!$E$21,CONFIG!$D$21,IF(K360&gt;=CONFIG!$E$20,CONFIG!$D$20,CONFIG!$D$19)))</f>
        <v/>
      </c>
      <c r="M360" s="20" t="str">
        <f aca="false">IF(K360="","",IF(K360&gt;=CONFIG!$E$21,CONFIG!$F$21,IF(K360&gt;=CONFIG!$E$20,CONFIG!$F$20,CONFIG!$F$19)))</f>
        <v/>
      </c>
      <c r="N360" s="19" t="str">
        <f aca="false">IF(I360="","",IF(I360&lt;=M360,"OK","ALTA"))</f>
        <v/>
      </c>
      <c r="O360" s="13"/>
    </row>
    <row r="361" customFormat="false" ht="15" hidden="false" customHeight="false" outlineLevel="0" collapsed="false">
      <c r="A361" s="11" t="str">
        <f aca="false">IF(C361="","",ROW()-4)</f>
        <v/>
      </c>
      <c r="B361" s="12"/>
      <c r="C361" s="13"/>
      <c r="D361" s="11" t="str">
        <f aca="false">IF(C361="","",IFERROR(INDEX(LOTES!$D$5:$D$1004,MATCH(C361,LOTES!$F$5:$F$1004,0)),"¿Lote?"))</f>
        <v/>
      </c>
      <c r="E361" s="11" t="str">
        <f aca="false">IF(C361="","",IFERROR(INDEX(LOTES!$C$5:$C$1004,MATCH(C361,LOTES!$F$5:$F$1004,0)),""))</f>
        <v/>
      </c>
      <c r="F361" s="27"/>
      <c r="G361" s="27"/>
      <c r="H361" s="27"/>
      <c r="I361" s="20" t="str">
        <f aca="false">IF(AND(ISNUMBER(F361),ISNUMBER(G361),ISNUMBER(H361),F361&gt;G361,H361&gt;0),(F361-H361)/(F361-G361)*1000,"")</f>
        <v/>
      </c>
      <c r="J361" s="17" t="str">
        <f aca="false">IF(AND(ISNUMBER(F361),ISNUMBER(G361),ISNUMBER(H361),F361&gt;G361,H361&gt;0),(F361-H361)/H361,"")</f>
        <v/>
      </c>
      <c r="K361" s="20" t="str">
        <f aca="false">IF(AND(ISNUMBER(F361),ISNUMBER(G361),ISNUMBER(H361),F361&gt;G361,H361&gt;0),H361/(F361-G361)*1000,"")</f>
        <v/>
      </c>
      <c r="L361" s="11" t="str">
        <f aca="false">IF(K361="","",IF(K361&gt;=CONFIG!$E$21,CONFIG!$D$21,IF(K361&gt;=CONFIG!$E$20,CONFIG!$D$20,CONFIG!$D$19)))</f>
        <v/>
      </c>
      <c r="M361" s="20" t="str">
        <f aca="false">IF(K361="","",IF(K361&gt;=CONFIG!$E$21,CONFIG!$F$21,IF(K361&gt;=CONFIG!$E$20,CONFIG!$F$20,CONFIG!$F$19)))</f>
        <v/>
      </c>
      <c r="N361" s="19" t="str">
        <f aca="false">IF(I361="","",IF(I361&lt;=M361,"OK","ALTA"))</f>
        <v/>
      </c>
      <c r="O361" s="13"/>
    </row>
    <row r="362" customFormat="false" ht="15" hidden="false" customHeight="false" outlineLevel="0" collapsed="false">
      <c r="A362" s="11" t="str">
        <f aca="false">IF(C362="","",ROW()-4)</f>
        <v/>
      </c>
      <c r="B362" s="12"/>
      <c r="C362" s="13"/>
      <c r="D362" s="11" t="str">
        <f aca="false">IF(C362="","",IFERROR(INDEX(LOTES!$D$5:$D$1004,MATCH(C362,LOTES!$F$5:$F$1004,0)),"¿Lote?"))</f>
        <v/>
      </c>
      <c r="E362" s="11" t="str">
        <f aca="false">IF(C362="","",IFERROR(INDEX(LOTES!$C$5:$C$1004,MATCH(C362,LOTES!$F$5:$F$1004,0)),""))</f>
        <v/>
      </c>
      <c r="F362" s="27"/>
      <c r="G362" s="27"/>
      <c r="H362" s="27"/>
      <c r="I362" s="20" t="str">
        <f aca="false">IF(AND(ISNUMBER(F362),ISNUMBER(G362),ISNUMBER(H362),F362&gt;G362,H362&gt;0),(F362-H362)/(F362-G362)*1000,"")</f>
        <v/>
      </c>
      <c r="J362" s="17" t="str">
        <f aca="false">IF(AND(ISNUMBER(F362),ISNUMBER(G362),ISNUMBER(H362),F362&gt;G362,H362&gt;0),(F362-H362)/H362,"")</f>
        <v/>
      </c>
      <c r="K362" s="20" t="str">
        <f aca="false">IF(AND(ISNUMBER(F362),ISNUMBER(G362),ISNUMBER(H362),F362&gt;G362,H362&gt;0),H362/(F362-G362)*1000,"")</f>
        <v/>
      </c>
      <c r="L362" s="11" t="str">
        <f aca="false">IF(K362="","",IF(K362&gt;=CONFIG!$E$21,CONFIG!$D$21,IF(K362&gt;=CONFIG!$E$20,CONFIG!$D$20,CONFIG!$D$19)))</f>
        <v/>
      </c>
      <c r="M362" s="20" t="str">
        <f aca="false">IF(K362="","",IF(K362&gt;=CONFIG!$E$21,CONFIG!$F$21,IF(K362&gt;=CONFIG!$E$20,CONFIG!$F$20,CONFIG!$F$19)))</f>
        <v/>
      </c>
      <c r="N362" s="19" t="str">
        <f aca="false">IF(I362="","",IF(I362&lt;=M362,"OK","ALTA"))</f>
        <v/>
      </c>
      <c r="O362" s="13"/>
    </row>
    <row r="363" customFormat="false" ht="15" hidden="false" customHeight="false" outlineLevel="0" collapsed="false">
      <c r="A363" s="11" t="str">
        <f aca="false">IF(C363="","",ROW()-4)</f>
        <v/>
      </c>
      <c r="B363" s="12"/>
      <c r="C363" s="13"/>
      <c r="D363" s="11" t="str">
        <f aca="false">IF(C363="","",IFERROR(INDEX(LOTES!$D$5:$D$1004,MATCH(C363,LOTES!$F$5:$F$1004,0)),"¿Lote?"))</f>
        <v/>
      </c>
      <c r="E363" s="11" t="str">
        <f aca="false">IF(C363="","",IFERROR(INDEX(LOTES!$C$5:$C$1004,MATCH(C363,LOTES!$F$5:$F$1004,0)),""))</f>
        <v/>
      </c>
      <c r="F363" s="27"/>
      <c r="G363" s="27"/>
      <c r="H363" s="27"/>
      <c r="I363" s="20" t="str">
        <f aca="false">IF(AND(ISNUMBER(F363),ISNUMBER(G363),ISNUMBER(H363),F363&gt;G363,H363&gt;0),(F363-H363)/(F363-G363)*1000,"")</f>
        <v/>
      </c>
      <c r="J363" s="17" t="str">
        <f aca="false">IF(AND(ISNUMBER(F363),ISNUMBER(G363),ISNUMBER(H363),F363&gt;G363,H363&gt;0),(F363-H363)/H363,"")</f>
        <v/>
      </c>
      <c r="K363" s="20" t="str">
        <f aca="false">IF(AND(ISNUMBER(F363),ISNUMBER(G363),ISNUMBER(H363),F363&gt;G363,H363&gt;0),H363/(F363-G363)*1000,"")</f>
        <v/>
      </c>
      <c r="L363" s="11" t="str">
        <f aca="false">IF(K363="","",IF(K363&gt;=CONFIG!$E$21,CONFIG!$D$21,IF(K363&gt;=CONFIG!$E$20,CONFIG!$D$20,CONFIG!$D$19)))</f>
        <v/>
      </c>
      <c r="M363" s="20" t="str">
        <f aca="false">IF(K363="","",IF(K363&gt;=CONFIG!$E$21,CONFIG!$F$21,IF(K363&gt;=CONFIG!$E$20,CONFIG!$F$20,CONFIG!$F$19)))</f>
        <v/>
      </c>
      <c r="N363" s="19" t="str">
        <f aca="false">IF(I363="","",IF(I363&lt;=M363,"OK","ALTA"))</f>
        <v/>
      </c>
      <c r="O363" s="13"/>
    </row>
    <row r="364" customFormat="false" ht="15" hidden="false" customHeight="false" outlineLevel="0" collapsed="false">
      <c r="A364" s="11" t="str">
        <f aca="false">IF(C364="","",ROW()-4)</f>
        <v/>
      </c>
      <c r="B364" s="12"/>
      <c r="C364" s="13"/>
      <c r="D364" s="11" t="str">
        <f aca="false">IF(C364="","",IFERROR(INDEX(LOTES!$D$5:$D$1004,MATCH(C364,LOTES!$F$5:$F$1004,0)),"¿Lote?"))</f>
        <v/>
      </c>
      <c r="E364" s="11" t="str">
        <f aca="false">IF(C364="","",IFERROR(INDEX(LOTES!$C$5:$C$1004,MATCH(C364,LOTES!$F$5:$F$1004,0)),""))</f>
        <v/>
      </c>
      <c r="F364" s="27"/>
      <c r="G364" s="27"/>
      <c r="H364" s="27"/>
      <c r="I364" s="20" t="str">
        <f aca="false">IF(AND(ISNUMBER(F364),ISNUMBER(G364),ISNUMBER(H364),F364&gt;G364,H364&gt;0),(F364-H364)/(F364-G364)*1000,"")</f>
        <v/>
      </c>
      <c r="J364" s="17" t="str">
        <f aca="false">IF(AND(ISNUMBER(F364),ISNUMBER(G364),ISNUMBER(H364),F364&gt;G364,H364&gt;0),(F364-H364)/H364,"")</f>
        <v/>
      </c>
      <c r="K364" s="20" t="str">
        <f aca="false">IF(AND(ISNUMBER(F364),ISNUMBER(G364),ISNUMBER(H364),F364&gt;G364,H364&gt;0),H364/(F364-G364)*1000,"")</f>
        <v/>
      </c>
      <c r="L364" s="11" t="str">
        <f aca="false">IF(K364="","",IF(K364&gt;=CONFIG!$E$21,CONFIG!$D$21,IF(K364&gt;=CONFIG!$E$20,CONFIG!$D$20,CONFIG!$D$19)))</f>
        <v/>
      </c>
      <c r="M364" s="20" t="str">
        <f aca="false">IF(K364="","",IF(K364&gt;=CONFIG!$E$21,CONFIG!$F$21,IF(K364&gt;=CONFIG!$E$20,CONFIG!$F$20,CONFIG!$F$19)))</f>
        <v/>
      </c>
      <c r="N364" s="19" t="str">
        <f aca="false">IF(I364="","",IF(I364&lt;=M364,"OK","ALTA"))</f>
        <v/>
      </c>
      <c r="O364" s="13"/>
    </row>
    <row r="365" customFormat="false" ht="15" hidden="false" customHeight="false" outlineLevel="0" collapsed="false">
      <c r="A365" s="11" t="str">
        <f aca="false">IF(C365="","",ROW()-4)</f>
        <v/>
      </c>
      <c r="B365" s="12"/>
      <c r="C365" s="13"/>
      <c r="D365" s="11" t="str">
        <f aca="false">IF(C365="","",IFERROR(INDEX(LOTES!$D$5:$D$1004,MATCH(C365,LOTES!$F$5:$F$1004,0)),"¿Lote?"))</f>
        <v/>
      </c>
      <c r="E365" s="11" t="str">
        <f aca="false">IF(C365="","",IFERROR(INDEX(LOTES!$C$5:$C$1004,MATCH(C365,LOTES!$F$5:$F$1004,0)),""))</f>
        <v/>
      </c>
      <c r="F365" s="27"/>
      <c r="G365" s="27"/>
      <c r="H365" s="27"/>
      <c r="I365" s="20" t="str">
        <f aca="false">IF(AND(ISNUMBER(F365),ISNUMBER(G365),ISNUMBER(H365),F365&gt;G365,H365&gt;0),(F365-H365)/(F365-G365)*1000,"")</f>
        <v/>
      </c>
      <c r="J365" s="17" t="str">
        <f aca="false">IF(AND(ISNUMBER(F365),ISNUMBER(G365),ISNUMBER(H365),F365&gt;G365,H365&gt;0),(F365-H365)/H365,"")</f>
        <v/>
      </c>
      <c r="K365" s="20" t="str">
        <f aca="false">IF(AND(ISNUMBER(F365),ISNUMBER(G365),ISNUMBER(H365),F365&gt;G365,H365&gt;0),H365/(F365-G365)*1000,"")</f>
        <v/>
      </c>
      <c r="L365" s="11" t="str">
        <f aca="false">IF(K365="","",IF(K365&gt;=CONFIG!$E$21,CONFIG!$D$21,IF(K365&gt;=CONFIG!$E$20,CONFIG!$D$20,CONFIG!$D$19)))</f>
        <v/>
      </c>
      <c r="M365" s="20" t="str">
        <f aca="false">IF(K365="","",IF(K365&gt;=CONFIG!$E$21,CONFIG!$F$21,IF(K365&gt;=CONFIG!$E$20,CONFIG!$F$20,CONFIG!$F$19)))</f>
        <v/>
      </c>
      <c r="N365" s="19" t="str">
        <f aca="false">IF(I365="","",IF(I365&lt;=M365,"OK","ALTA"))</f>
        <v/>
      </c>
      <c r="O365" s="13"/>
    </row>
    <row r="366" customFormat="false" ht="15" hidden="false" customHeight="false" outlineLevel="0" collapsed="false">
      <c r="A366" s="11" t="str">
        <f aca="false">IF(C366="","",ROW()-4)</f>
        <v/>
      </c>
      <c r="B366" s="12"/>
      <c r="C366" s="13"/>
      <c r="D366" s="11" t="str">
        <f aca="false">IF(C366="","",IFERROR(INDEX(LOTES!$D$5:$D$1004,MATCH(C366,LOTES!$F$5:$F$1004,0)),"¿Lote?"))</f>
        <v/>
      </c>
      <c r="E366" s="11" t="str">
        <f aca="false">IF(C366="","",IFERROR(INDEX(LOTES!$C$5:$C$1004,MATCH(C366,LOTES!$F$5:$F$1004,0)),""))</f>
        <v/>
      </c>
      <c r="F366" s="27"/>
      <c r="G366" s="27"/>
      <c r="H366" s="27"/>
      <c r="I366" s="20" t="str">
        <f aca="false">IF(AND(ISNUMBER(F366),ISNUMBER(G366),ISNUMBER(H366),F366&gt;G366,H366&gt;0),(F366-H366)/(F366-G366)*1000,"")</f>
        <v/>
      </c>
      <c r="J366" s="17" t="str">
        <f aca="false">IF(AND(ISNUMBER(F366),ISNUMBER(G366),ISNUMBER(H366),F366&gt;G366,H366&gt;0),(F366-H366)/H366,"")</f>
        <v/>
      </c>
      <c r="K366" s="20" t="str">
        <f aca="false">IF(AND(ISNUMBER(F366),ISNUMBER(G366),ISNUMBER(H366),F366&gt;G366,H366&gt;0),H366/(F366-G366)*1000,"")</f>
        <v/>
      </c>
      <c r="L366" s="11" t="str">
        <f aca="false">IF(K366="","",IF(K366&gt;=CONFIG!$E$21,CONFIG!$D$21,IF(K366&gt;=CONFIG!$E$20,CONFIG!$D$20,CONFIG!$D$19)))</f>
        <v/>
      </c>
      <c r="M366" s="20" t="str">
        <f aca="false">IF(K366="","",IF(K366&gt;=CONFIG!$E$21,CONFIG!$F$21,IF(K366&gt;=CONFIG!$E$20,CONFIG!$F$20,CONFIG!$F$19)))</f>
        <v/>
      </c>
      <c r="N366" s="19" t="str">
        <f aca="false">IF(I366="","",IF(I366&lt;=M366,"OK","ALTA"))</f>
        <v/>
      </c>
      <c r="O366" s="13"/>
    </row>
    <row r="367" customFormat="false" ht="15" hidden="false" customHeight="false" outlineLevel="0" collapsed="false">
      <c r="A367" s="11" t="str">
        <f aca="false">IF(C367="","",ROW()-4)</f>
        <v/>
      </c>
      <c r="B367" s="12"/>
      <c r="C367" s="13"/>
      <c r="D367" s="11" t="str">
        <f aca="false">IF(C367="","",IFERROR(INDEX(LOTES!$D$5:$D$1004,MATCH(C367,LOTES!$F$5:$F$1004,0)),"¿Lote?"))</f>
        <v/>
      </c>
      <c r="E367" s="11" t="str">
        <f aca="false">IF(C367="","",IFERROR(INDEX(LOTES!$C$5:$C$1004,MATCH(C367,LOTES!$F$5:$F$1004,0)),""))</f>
        <v/>
      </c>
      <c r="F367" s="27"/>
      <c r="G367" s="27"/>
      <c r="H367" s="27"/>
      <c r="I367" s="20" t="str">
        <f aca="false">IF(AND(ISNUMBER(F367),ISNUMBER(G367),ISNUMBER(H367),F367&gt;G367,H367&gt;0),(F367-H367)/(F367-G367)*1000,"")</f>
        <v/>
      </c>
      <c r="J367" s="17" t="str">
        <f aca="false">IF(AND(ISNUMBER(F367),ISNUMBER(G367),ISNUMBER(H367),F367&gt;G367,H367&gt;0),(F367-H367)/H367,"")</f>
        <v/>
      </c>
      <c r="K367" s="20" t="str">
        <f aca="false">IF(AND(ISNUMBER(F367),ISNUMBER(G367),ISNUMBER(H367),F367&gt;G367,H367&gt;0),H367/(F367-G367)*1000,"")</f>
        <v/>
      </c>
      <c r="L367" s="11" t="str">
        <f aca="false">IF(K367="","",IF(K367&gt;=CONFIG!$E$21,CONFIG!$D$21,IF(K367&gt;=CONFIG!$E$20,CONFIG!$D$20,CONFIG!$D$19)))</f>
        <v/>
      </c>
      <c r="M367" s="20" t="str">
        <f aca="false">IF(K367="","",IF(K367&gt;=CONFIG!$E$21,CONFIG!$F$21,IF(K367&gt;=CONFIG!$E$20,CONFIG!$F$20,CONFIG!$F$19)))</f>
        <v/>
      </c>
      <c r="N367" s="19" t="str">
        <f aca="false">IF(I367="","",IF(I367&lt;=M367,"OK","ALTA"))</f>
        <v/>
      </c>
      <c r="O367" s="13"/>
    </row>
    <row r="368" customFormat="false" ht="15" hidden="false" customHeight="false" outlineLevel="0" collapsed="false">
      <c r="A368" s="11" t="str">
        <f aca="false">IF(C368="","",ROW()-4)</f>
        <v/>
      </c>
      <c r="B368" s="12"/>
      <c r="C368" s="13"/>
      <c r="D368" s="11" t="str">
        <f aca="false">IF(C368="","",IFERROR(INDEX(LOTES!$D$5:$D$1004,MATCH(C368,LOTES!$F$5:$F$1004,0)),"¿Lote?"))</f>
        <v/>
      </c>
      <c r="E368" s="11" t="str">
        <f aca="false">IF(C368="","",IFERROR(INDEX(LOTES!$C$5:$C$1004,MATCH(C368,LOTES!$F$5:$F$1004,0)),""))</f>
        <v/>
      </c>
      <c r="F368" s="27"/>
      <c r="G368" s="27"/>
      <c r="H368" s="27"/>
      <c r="I368" s="20" t="str">
        <f aca="false">IF(AND(ISNUMBER(F368),ISNUMBER(G368),ISNUMBER(H368),F368&gt;G368,H368&gt;0),(F368-H368)/(F368-G368)*1000,"")</f>
        <v/>
      </c>
      <c r="J368" s="17" t="str">
        <f aca="false">IF(AND(ISNUMBER(F368),ISNUMBER(G368),ISNUMBER(H368),F368&gt;G368,H368&gt;0),(F368-H368)/H368,"")</f>
        <v/>
      </c>
      <c r="K368" s="20" t="str">
        <f aca="false">IF(AND(ISNUMBER(F368),ISNUMBER(G368),ISNUMBER(H368),F368&gt;G368,H368&gt;0),H368/(F368-G368)*1000,"")</f>
        <v/>
      </c>
      <c r="L368" s="11" t="str">
        <f aca="false">IF(K368="","",IF(K368&gt;=CONFIG!$E$21,CONFIG!$D$21,IF(K368&gt;=CONFIG!$E$20,CONFIG!$D$20,CONFIG!$D$19)))</f>
        <v/>
      </c>
      <c r="M368" s="20" t="str">
        <f aca="false">IF(K368="","",IF(K368&gt;=CONFIG!$E$21,CONFIG!$F$21,IF(K368&gt;=CONFIG!$E$20,CONFIG!$F$20,CONFIG!$F$19)))</f>
        <v/>
      </c>
      <c r="N368" s="19" t="str">
        <f aca="false">IF(I368="","",IF(I368&lt;=M368,"OK","ALTA"))</f>
        <v/>
      </c>
      <c r="O368" s="13"/>
    </row>
    <row r="369" customFormat="false" ht="15" hidden="false" customHeight="false" outlineLevel="0" collapsed="false">
      <c r="A369" s="11" t="str">
        <f aca="false">IF(C369="","",ROW()-4)</f>
        <v/>
      </c>
      <c r="B369" s="12"/>
      <c r="C369" s="13"/>
      <c r="D369" s="11" t="str">
        <f aca="false">IF(C369="","",IFERROR(INDEX(LOTES!$D$5:$D$1004,MATCH(C369,LOTES!$F$5:$F$1004,0)),"¿Lote?"))</f>
        <v/>
      </c>
      <c r="E369" s="11" t="str">
        <f aca="false">IF(C369="","",IFERROR(INDEX(LOTES!$C$5:$C$1004,MATCH(C369,LOTES!$F$5:$F$1004,0)),""))</f>
        <v/>
      </c>
      <c r="F369" s="27"/>
      <c r="G369" s="27"/>
      <c r="H369" s="27"/>
      <c r="I369" s="20" t="str">
        <f aca="false">IF(AND(ISNUMBER(F369),ISNUMBER(G369),ISNUMBER(H369),F369&gt;G369,H369&gt;0),(F369-H369)/(F369-G369)*1000,"")</f>
        <v/>
      </c>
      <c r="J369" s="17" t="str">
        <f aca="false">IF(AND(ISNUMBER(F369),ISNUMBER(G369),ISNUMBER(H369),F369&gt;G369,H369&gt;0),(F369-H369)/H369,"")</f>
        <v/>
      </c>
      <c r="K369" s="20" t="str">
        <f aca="false">IF(AND(ISNUMBER(F369),ISNUMBER(G369),ISNUMBER(H369),F369&gt;G369,H369&gt;0),H369/(F369-G369)*1000,"")</f>
        <v/>
      </c>
      <c r="L369" s="11" t="str">
        <f aca="false">IF(K369="","",IF(K369&gt;=CONFIG!$E$21,CONFIG!$D$21,IF(K369&gt;=CONFIG!$E$20,CONFIG!$D$20,CONFIG!$D$19)))</f>
        <v/>
      </c>
      <c r="M369" s="20" t="str">
        <f aca="false">IF(K369="","",IF(K369&gt;=CONFIG!$E$21,CONFIG!$F$21,IF(K369&gt;=CONFIG!$E$20,CONFIG!$F$20,CONFIG!$F$19)))</f>
        <v/>
      </c>
      <c r="N369" s="19" t="str">
        <f aca="false">IF(I369="","",IF(I369&lt;=M369,"OK","ALTA"))</f>
        <v/>
      </c>
      <c r="O369" s="13"/>
    </row>
    <row r="370" customFormat="false" ht="15" hidden="false" customHeight="false" outlineLevel="0" collapsed="false">
      <c r="A370" s="11" t="str">
        <f aca="false">IF(C370="","",ROW()-4)</f>
        <v/>
      </c>
      <c r="B370" s="12"/>
      <c r="C370" s="13"/>
      <c r="D370" s="11" t="str">
        <f aca="false">IF(C370="","",IFERROR(INDEX(LOTES!$D$5:$D$1004,MATCH(C370,LOTES!$F$5:$F$1004,0)),"¿Lote?"))</f>
        <v/>
      </c>
      <c r="E370" s="11" t="str">
        <f aca="false">IF(C370="","",IFERROR(INDEX(LOTES!$C$5:$C$1004,MATCH(C370,LOTES!$F$5:$F$1004,0)),""))</f>
        <v/>
      </c>
      <c r="F370" s="27"/>
      <c r="G370" s="27"/>
      <c r="H370" s="27"/>
      <c r="I370" s="20" t="str">
        <f aca="false">IF(AND(ISNUMBER(F370),ISNUMBER(G370),ISNUMBER(H370),F370&gt;G370,H370&gt;0),(F370-H370)/(F370-G370)*1000,"")</f>
        <v/>
      </c>
      <c r="J370" s="17" t="str">
        <f aca="false">IF(AND(ISNUMBER(F370),ISNUMBER(G370),ISNUMBER(H370),F370&gt;G370,H370&gt;0),(F370-H370)/H370,"")</f>
        <v/>
      </c>
      <c r="K370" s="20" t="str">
        <f aca="false">IF(AND(ISNUMBER(F370),ISNUMBER(G370),ISNUMBER(H370),F370&gt;G370,H370&gt;0),H370/(F370-G370)*1000,"")</f>
        <v/>
      </c>
      <c r="L370" s="11" t="str">
        <f aca="false">IF(K370="","",IF(K370&gt;=CONFIG!$E$21,CONFIG!$D$21,IF(K370&gt;=CONFIG!$E$20,CONFIG!$D$20,CONFIG!$D$19)))</f>
        <v/>
      </c>
      <c r="M370" s="20" t="str">
        <f aca="false">IF(K370="","",IF(K370&gt;=CONFIG!$E$21,CONFIG!$F$21,IF(K370&gt;=CONFIG!$E$20,CONFIG!$F$20,CONFIG!$F$19)))</f>
        <v/>
      </c>
      <c r="N370" s="19" t="str">
        <f aca="false">IF(I370="","",IF(I370&lt;=M370,"OK","ALTA"))</f>
        <v/>
      </c>
      <c r="O370" s="13"/>
    </row>
    <row r="371" customFormat="false" ht="15" hidden="false" customHeight="false" outlineLevel="0" collapsed="false">
      <c r="A371" s="11" t="str">
        <f aca="false">IF(C371="","",ROW()-4)</f>
        <v/>
      </c>
      <c r="B371" s="12"/>
      <c r="C371" s="13"/>
      <c r="D371" s="11" t="str">
        <f aca="false">IF(C371="","",IFERROR(INDEX(LOTES!$D$5:$D$1004,MATCH(C371,LOTES!$F$5:$F$1004,0)),"¿Lote?"))</f>
        <v/>
      </c>
      <c r="E371" s="11" t="str">
        <f aca="false">IF(C371="","",IFERROR(INDEX(LOTES!$C$5:$C$1004,MATCH(C371,LOTES!$F$5:$F$1004,0)),""))</f>
        <v/>
      </c>
      <c r="F371" s="27"/>
      <c r="G371" s="27"/>
      <c r="H371" s="27"/>
      <c r="I371" s="20" t="str">
        <f aca="false">IF(AND(ISNUMBER(F371),ISNUMBER(G371),ISNUMBER(H371),F371&gt;G371,H371&gt;0),(F371-H371)/(F371-G371)*1000,"")</f>
        <v/>
      </c>
      <c r="J371" s="17" t="str">
        <f aca="false">IF(AND(ISNUMBER(F371),ISNUMBER(G371),ISNUMBER(H371),F371&gt;G371,H371&gt;0),(F371-H371)/H371,"")</f>
        <v/>
      </c>
      <c r="K371" s="20" t="str">
        <f aca="false">IF(AND(ISNUMBER(F371),ISNUMBER(G371),ISNUMBER(H371),F371&gt;G371,H371&gt;0),H371/(F371-G371)*1000,"")</f>
        <v/>
      </c>
      <c r="L371" s="11" t="str">
        <f aca="false">IF(K371="","",IF(K371&gt;=CONFIG!$E$21,CONFIG!$D$21,IF(K371&gt;=CONFIG!$E$20,CONFIG!$D$20,CONFIG!$D$19)))</f>
        <v/>
      </c>
      <c r="M371" s="20" t="str">
        <f aca="false">IF(K371="","",IF(K371&gt;=CONFIG!$E$21,CONFIG!$F$21,IF(K371&gt;=CONFIG!$E$20,CONFIG!$F$20,CONFIG!$F$19)))</f>
        <v/>
      </c>
      <c r="N371" s="19" t="str">
        <f aca="false">IF(I371="","",IF(I371&lt;=M371,"OK","ALTA"))</f>
        <v/>
      </c>
      <c r="O371" s="13"/>
    </row>
    <row r="372" customFormat="false" ht="15" hidden="false" customHeight="false" outlineLevel="0" collapsed="false">
      <c r="A372" s="11" t="str">
        <f aca="false">IF(C372="","",ROW()-4)</f>
        <v/>
      </c>
      <c r="B372" s="12"/>
      <c r="C372" s="13"/>
      <c r="D372" s="11" t="str">
        <f aca="false">IF(C372="","",IFERROR(INDEX(LOTES!$D$5:$D$1004,MATCH(C372,LOTES!$F$5:$F$1004,0)),"¿Lote?"))</f>
        <v/>
      </c>
      <c r="E372" s="11" t="str">
        <f aca="false">IF(C372="","",IFERROR(INDEX(LOTES!$C$5:$C$1004,MATCH(C372,LOTES!$F$5:$F$1004,0)),""))</f>
        <v/>
      </c>
      <c r="F372" s="27"/>
      <c r="G372" s="27"/>
      <c r="H372" s="27"/>
      <c r="I372" s="20" t="str">
        <f aca="false">IF(AND(ISNUMBER(F372),ISNUMBER(G372),ISNUMBER(H372),F372&gt;G372,H372&gt;0),(F372-H372)/(F372-G372)*1000,"")</f>
        <v/>
      </c>
      <c r="J372" s="17" t="str">
        <f aca="false">IF(AND(ISNUMBER(F372),ISNUMBER(G372),ISNUMBER(H372),F372&gt;G372,H372&gt;0),(F372-H372)/H372,"")</f>
        <v/>
      </c>
      <c r="K372" s="20" t="str">
        <f aca="false">IF(AND(ISNUMBER(F372),ISNUMBER(G372),ISNUMBER(H372),F372&gt;G372,H372&gt;0),H372/(F372-G372)*1000,"")</f>
        <v/>
      </c>
      <c r="L372" s="11" t="str">
        <f aca="false">IF(K372="","",IF(K372&gt;=CONFIG!$E$21,CONFIG!$D$21,IF(K372&gt;=CONFIG!$E$20,CONFIG!$D$20,CONFIG!$D$19)))</f>
        <v/>
      </c>
      <c r="M372" s="20" t="str">
        <f aca="false">IF(K372="","",IF(K372&gt;=CONFIG!$E$21,CONFIG!$F$21,IF(K372&gt;=CONFIG!$E$20,CONFIG!$F$20,CONFIG!$F$19)))</f>
        <v/>
      </c>
      <c r="N372" s="19" t="str">
        <f aca="false">IF(I372="","",IF(I372&lt;=M372,"OK","ALTA"))</f>
        <v/>
      </c>
      <c r="O372" s="13"/>
    </row>
    <row r="373" customFormat="false" ht="15" hidden="false" customHeight="false" outlineLevel="0" collapsed="false">
      <c r="A373" s="11" t="str">
        <f aca="false">IF(C373="","",ROW()-4)</f>
        <v/>
      </c>
      <c r="B373" s="12"/>
      <c r="C373" s="13"/>
      <c r="D373" s="11" t="str">
        <f aca="false">IF(C373="","",IFERROR(INDEX(LOTES!$D$5:$D$1004,MATCH(C373,LOTES!$F$5:$F$1004,0)),"¿Lote?"))</f>
        <v/>
      </c>
      <c r="E373" s="11" t="str">
        <f aca="false">IF(C373="","",IFERROR(INDEX(LOTES!$C$5:$C$1004,MATCH(C373,LOTES!$F$5:$F$1004,0)),""))</f>
        <v/>
      </c>
      <c r="F373" s="27"/>
      <c r="G373" s="27"/>
      <c r="H373" s="27"/>
      <c r="I373" s="20" t="str">
        <f aca="false">IF(AND(ISNUMBER(F373),ISNUMBER(G373),ISNUMBER(H373),F373&gt;G373,H373&gt;0),(F373-H373)/(F373-G373)*1000,"")</f>
        <v/>
      </c>
      <c r="J373" s="17" t="str">
        <f aca="false">IF(AND(ISNUMBER(F373),ISNUMBER(G373),ISNUMBER(H373),F373&gt;G373,H373&gt;0),(F373-H373)/H373,"")</f>
        <v/>
      </c>
      <c r="K373" s="20" t="str">
        <f aca="false">IF(AND(ISNUMBER(F373),ISNUMBER(G373),ISNUMBER(H373),F373&gt;G373,H373&gt;0),H373/(F373-G373)*1000,"")</f>
        <v/>
      </c>
      <c r="L373" s="11" t="str">
        <f aca="false">IF(K373="","",IF(K373&gt;=CONFIG!$E$21,CONFIG!$D$21,IF(K373&gt;=CONFIG!$E$20,CONFIG!$D$20,CONFIG!$D$19)))</f>
        <v/>
      </c>
      <c r="M373" s="20" t="str">
        <f aca="false">IF(K373="","",IF(K373&gt;=CONFIG!$E$21,CONFIG!$F$21,IF(K373&gt;=CONFIG!$E$20,CONFIG!$F$20,CONFIG!$F$19)))</f>
        <v/>
      </c>
      <c r="N373" s="19" t="str">
        <f aca="false">IF(I373="","",IF(I373&lt;=M373,"OK","ALTA"))</f>
        <v/>
      </c>
      <c r="O373" s="13"/>
    </row>
    <row r="374" customFormat="false" ht="15" hidden="false" customHeight="false" outlineLevel="0" collapsed="false">
      <c r="A374" s="11" t="str">
        <f aca="false">IF(C374="","",ROW()-4)</f>
        <v/>
      </c>
      <c r="B374" s="12"/>
      <c r="C374" s="13"/>
      <c r="D374" s="11" t="str">
        <f aca="false">IF(C374="","",IFERROR(INDEX(LOTES!$D$5:$D$1004,MATCH(C374,LOTES!$F$5:$F$1004,0)),"¿Lote?"))</f>
        <v/>
      </c>
      <c r="E374" s="11" t="str">
        <f aca="false">IF(C374="","",IFERROR(INDEX(LOTES!$C$5:$C$1004,MATCH(C374,LOTES!$F$5:$F$1004,0)),""))</f>
        <v/>
      </c>
      <c r="F374" s="27"/>
      <c r="G374" s="27"/>
      <c r="H374" s="27"/>
      <c r="I374" s="20" t="str">
        <f aca="false">IF(AND(ISNUMBER(F374),ISNUMBER(G374),ISNUMBER(H374),F374&gt;G374,H374&gt;0),(F374-H374)/(F374-G374)*1000,"")</f>
        <v/>
      </c>
      <c r="J374" s="17" t="str">
        <f aca="false">IF(AND(ISNUMBER(F374),ISNUMBER(G374),ISNUMBER(H374),F374&gt;G374,H374&gt;0),(F374-H374)/H374,"")</f>
        <v/>
      </c>
      <c r="K374" s="20" t="str">
        <f aca="false">IF(AND(ISNUMBER(F374),ISNUMBER(G374),ISNUMBER(H374),F374&gt;G374,H374&gt;0),H374/(F374-G374)*1000,"")</f>
        <v/>
      </c>
      <c r="L374" s="11" t="str">
        <f aca="false">IF(K374="","",IF(K374&gt;=CONFIG!$E$21,CONFIG!$D$21,IF(K374&gt;=CONFIG!$E$20,CONFIG!$D$20,CONFIG!$D$19)))</f>
        <v/>
      </c>
      <c r="M374" s="20" t="str">
        <f aca="false">IF(K374="","",IF(K374&gt;=CONFIG!$E$21,CONFIG!$F$21,IF(K374&gt;=CONFIG!$E$20,CONFIG!$F$20,CONFIG!$F$19)))</f>
        <v/>
      </c>
      <c r="N374" s="19" t="str">
        <f aca="false">IF(I374="","",IF(I374&lt;=M374,"OK","ALTA"))</f>
        <v/>
      </c>
      <c r="O374" s="13"/>
    </row>
    <row r="375" customFormat="false" ht="15" hidden="false" customHeight="false" outlineLevel="0" collapsed="false">
      <c r="A375" s="11" t="str">
        <f aca="false">IF(C375="","",ROW()-4)</f>
        <v/>
      </c>
      <c r="B375" s="12"/>
      <c r="C375" s="13"/>
      <c r="D375" s="11" t="str">
        <f aca="false">IF(C375="","",IFERROR(INDEX(LOTES!$D$5:$D$1004,MATCH(C375,LOTES!$F$5:$F$1004,0)),"¿Lote?"))</f>
        <v/>
      </c>
      <c r="E375" s="11" t="str">
        <f aca="false">IF(C375="","",IFERROR(INDEX(LOTES!$C$5:$C$1004,MATCH(C375,LOTES!$F$5:$F$1004,0)),""))</f>
        <v/>
      </c>
      <c r="F375" s="27"/>
      <c r="G375" s="27"/>
      <c r="H375" s="27"/>
      <c r="I375" s="20" t="str">
        <f aca="false">IF(AND(ISNUMBER(F375),ISNUMBER(G375),ISNUMBER(H375),F375&gt;G375,H375&gt;0),(F375-H375)/(F375-G375)*1000,"")</f>
        <v/>
      </c>
      <c r="J375" s="17" t="str">
        <f aca="false">IF(AND(ISNUMBER(F375),ISNUMBER(G375),ISNUMBER(H375),F375&gt;G375,H375&gt;0),(F375-H375)/H375,"")</f>
        <v/>
      </c>
      <c r="K375" s="20" t="str">
        <f aca="false">IF(AND(ISNUMBER(F375),ISNUMBER(G375),ISNUMBER(H375),F375&gt;G375,H375&gt;0),H375/(F375-G375)*1000,"")</f>
        <v/>
      </c>
      <c r="L375" s="11" t="str">
        <f aca="false">IF(K375="","",IF(K375&gt;=CONFIG!$E$21,CONFIG!$D$21,IF(K375&gt;=CONFIG!$E$20,CONFIG!$D$20,CONFIG!$D$19)))</f>
        <v/>
      </c>
      <c r="M375" s="20" t="str">
        <f aca="false">IF(K375="","",IF(K375&gt;=CONFIG!$E$21,CONFIG!$F$21,IF(K375&gt;=CONFIG!$E$20,CONFIG!$F$20,CONFIG!$F$19)))</f>
        <v/>
      </c>
      <c r="N375" s="19" t="str">
        <f aca="false">IF(I375="","",IF(I375&lt;=M375,"OK","ALTA"))</f>
        <v/>
      </c>
      <c r="O375" s="13"/>
    </row>
    <row r="376" customFormat="false" ht="15" hidden="false" customHeight="false" outlineLevel="0" collapsed="false">
      <c r="A376" s="11" t="str">
        <f aca="false">IF(C376="","",ROW()-4)</f>
        <v/>
      </c>
      <c r="B376" s="12"/>
      <c r="C376" s="13"/>
      <c r="D376" s="11" t="str">
        <f aca="false">IF(C376="","",IFERROR(INDEX(LOTES!$D$5:$D$1004,MATCH(C376,LOTES!$F$5:$F$1004,0)),"¿Lote?"))</f>
        <v/>
      </c>
      <c r="E376" s="11" t="str">
        <f aca="false">IF(C376="","",IFERROR(INDEX(LOTES!$C$5:$C$1004,MATCH(C376,LOTES!$F$5:$F$1004,0)),""))</f>
        <v/>
      </c>
      <c r="F376" s="27"/>
      <c r="G376" s="27"/>
      <c r="H376" s="27"/>
      <c r="I376" s="20" t="str">
        <f aca="false">IF(AND(ISNUMBER(F376),ISNUMBER(G376),ISNUMBER(H376),F376&gt;G376,H376&gt;0),(F376-H376)/(F376-G376)*1000,"")</f>
        <v/>
      </c>
      <c r="J376" s="17" t="str">
        <f aca="false">IF(AND(ISNUMBER(F376),ISNUMBER(G376),ISNUMBER(H376),F376&gt;G376,H376&gt;0),(F376-H376)/H376,"")</f>
        <v/>
      </c>
      <c r="K376" s="20" t="str">
        <f aca="false">IF(AND(ISNUMBER(F376),ISNUMBER(G376),ISNUMBER(H376),F376&gt;G376,H376&gt;0),H376/(F376-G376)*1000,"")</f>
        <v/>
      </c>
      <c r="L376" s="11" t="str">
        <f aca="false">IF(K376="","",IF(K376&gt;=CONFIG!$E$21,CONFIG!$D$21,IF(K376&gt;=CONFIG!$E$20,CONFIG!$D$20,CONFIG!$D$19)))</f>
        <v/>
      </c>
      <c r="M376" s="20" t="str">
        <f aca="false">IF(K376="","",IF(K376&gt;=CONFIG!$E$21,CONFIG!$F$21,IF(K376&gt;=CONFIG!$E$20,CONFIG!$F$20,CONFIG!$F$19)))</f>
        <v/>
      </c>
      <c r="N376" s="19" t="str">
        <f aca="false">IF(I376="","",IF(I376&lt;=M376,"OK","ALTA"))</f>
        <v/>
      </c>
      <c r="O376" s="13"/>
    </row>
    <row r="377" customFormat="false" ht="15" hidden="false" customHeight="false" outlineLevel="0" collapsed="false">
      <c r="A377" s="11" t="str">
        <f aca="false">IF(C377="","",ROW()-4)</f>
        <v/>
      </c>
      <c r="B377" s="12"/>
      <c r="C377" s="13"/>
      <c r="D377" s="11" t="str">
        <f aca="false">IF(C377="","",IFERROR(INDEX(LOTES!$D$5:$D$1004,MATCH(C377,LOTES!$F$5:$F$1004,0)),"¿Lote?"))</f>
        <v/>
      </c>
      <c r="E377" s="11" t="str">
        <f aca="false">IF(C377="","",IFERROR(INDEX(LOTES!$C$5:$C$1004,MATCH(C377,LOTES!$F$5:$F$1004,0)),""))</f>
        <v/>
      </c>
      <c r="F377" s="27"/>
      <c r="G377" s="27"/>
      <c r="H377" s="27"/>
      <c r="I377" s="20" t="str">
        <f aca="false">IF(AND(ISNUMBER(F377),ISNUMBER(G377),ISNUMBER(H377),F377&gt;G377,H377&gt;0),(F377-H377)/(F377-G377)*1000,"")</f>
        <v/>
      </c>
      <c r="J377" s="17" t="str">
        <f aca="false">IF(AND(ISNUMBER(F377),ISNUMBER(G377),ISNUMBER(H377),F377&gt;G377,H377&gt;0),(F377-H377)/H377,"")</f>
        <v/>
      </c>
      <c r="K377" s="20" t="str">
        <f aca="false">IF(AND(ISNUMBER(F377),ISNUMBER(G377),ISNUMBER(H377),F377&gt;G377,H377&gt;0),H377/(F377-G377)*1000,"")</f>
        <v/>
      </c>
      <c r="L377" s="11" t="str">
        <f aca="false">IF(K377="","",IF(K377&gt;=CONFIG!$E$21,CONFIG!$D$21,IF(K377&gt;=CONFIG!$E$20,CONFIG!$D$20,CONFIG!$D$19)))</f>
        <v/>
      </c>
      <c r="M377" s="20" t="str">
        <f aca="false">IF(K377="","",IF(K377&gt;=CONFIG!$E$21,CONFIG!$F$21,IF(K377&gt;=CONFIG!$E$20,CONFIG!$F$20,CONFIG!$F$19)))</f>
        <v/>
      </c>
      <c r="N377" s="19" t="str">
        <f aca="false">IF(I377="","",IF(I377&lt;=M377,"OK","ALTA"))</f>
        <v/>
      </c>
      <c r="O377" s="13"/>
    </row>
    <row r="378" customFormat="false" ht="15" hidden="false" customHeight="false" outlineLevel="0" collapsed="false">
      <c r="A378" s="11" t="str">
        <f aca="false">IF(C378="","",ROW()-4)</f>
        <v/>
      </c>
      <c r="B378" s="12"/>
      <c r="C378" s="13"/>
      <c r="D378" s="11" t="str">
        <f aca="false">IF(C378="","",IFERROR(INDEX(LOTES!$D$5:$D$1004,MATCH(C378,LOTES!$F$5:$F$1004,0)),"¿Lote?"))</f>
        <v/>
      </c>
      <c r="E378" s="11" t="str">
        <f aca="false">IF(C378="","",IFERROR(INDEX(LOTES!$C$5:$C$1004,MATCH(C378,LOTES!$F$5:$F$1004,0)),""))</f>
        <v/>
      </c>
      <c r="F378" s="27"/>
      <c r="G378" s="27"/>
      <c r="H378" s="27"/>
      <c r="I378" s="20" t="str">
        <f aca="false">IF(AND(ISNUMBER(F378),ISNUMBER(G378),ISNUMBER(H378),F378&gt;G378,H378&gt;0),(F378-H378)/(F378-G378)*1000,"")</f>
        <v/>
      </c>
      <c r="J378" s="17" t="str">
        <f aca="false">IF(AND(ISNUMBER(F378),ISNUMBER(G378),ISNUMBER(H378),F378&gt;G378,H378&gt;0),(F378-H378)/H378,"")</f>
        <v/>
      </c>
      <c r="K378" s="20" t="str">
        <f aca="false">IF(AND(ISNUMBER(F378),ISNUMBER(G378),ISNUMBER(H378),F378&gt;G378,H378&gt;0),H378/(F378-G378)*1000,"")</f>
        <v/>
      </c>
      <c r="L378" s="11" t="str">
        <f aca="false">IF(K378="","",IF(K378&gt;=CONFIG!$E$21,CONFIG!$D$21,IF(K378&gt;=CONFIG!$E$20,CONFIG!$D$20,CONFIG!$D$19)))</f>
        <v/>
      </c>
      <c r="M378" s="20" t="str">
        <f aca="false">IF(K378="","",IF(K378&gt;=CONFIG!$E$21,CONFIG!$F$21,IF(K378&gt;=CONFIG!$E$20,CONFIG!$F$20,CONFIG!$F$19)))</f>
        <v/>
      </c>
      <c r="N378" s="19" t="str">
        <f aca="false">IF(I378="","",IF(I378&lt;=M378,"OK","ALTA"))</f>
        <v/>
      </c>
      <c r="O378" s="13"/>
    </row>
    <row r="379" customFormat="false" ht="15" hidden="false" customHeight="false" outlineLevel="0" collapsed="false">
      <c r="A379" s="11" t="str">
        <f aca="false">IF(C379="","",ROW()-4)</f>
        <v/>
      </c>
      <c r="B379" s="12"/>
      <c r="C379" s="13"/>
      <c r="D379" s="11" t="str">
        <f aca="false">IF(C379="","",IFERROR(INDEX(LOTES!$D$5:$D$1004,MATCH(C379,LOTES!$F$5:$F$1004,0)),"¿Lote?"))</f>
        <v/>
      </c>
      <c r="E379" s="11" t="str">
        <f aca="false">IF(C379="","",IFERROR(INDEX(LOTES!$C$5:$C$1004,MATCH(C379,LOTES!$F$5:$F$1004,0)),""))</f>
        <v/>
      </c>
      <c r="F379" s="27"/>
      <c r="G379" s="27"/>
      <c r="H379" s="27"/>
      <c r="I379" s="20" t="str">
        <f aca="false">IF(AND(ISNUMBER(F379),ISNUMBER(G379),ISNUMBER(H379),F379&gt;G379,H379&gt;0),(F379-H379)/(F379-G379)*1000,"")</f>
        <v/>
      </c>
      <c r="J379" s="17" t="str">
        <f aca="false">IF(AND(ISNUMBER(F379),ISNUMBER(G379),ISNUMBER(H379),F379&gt;G379,H379&gt;0),(F379-H379)/H379,"")</f>
        <v/>
      </c>
      <c r="K379" s="20" t="str">
        <f aca="false">IF(AND(ISNUMBER(F379),ISNUMBER(G379),ISNUMBER(H379),F379&gt;G379,H379&gt;0),H379/(F379-G379)*1000,"")</f>
        <v/>
      </c>
      <c r="L379" s="11" t="str">
        <f aca="false">IF(K379="","",IF(K379&gt;=CONFIG!$E$21,CONFIG!$D$21,IF(K379&gt;=CONFIG!$E$20,CONFIG!$D$20,CONFIG!$D$19)))</f>
        <v/>
      </c>
      <c r="M379" s="20" t="str">
        <f aca="false">IF(K379="","",IF(K379&gt;=CONFIG!$E$21,CONFIG!$F$21,IF(K379&gt;=CONFIG!$E$20,CONFIG!$F$20,CONFIG!$F$19)))</f>
        <v/>
      </c>
      <c r="N379" s="19" t="str">
        <f aca="false">IF(I379="","",IF(I379&lt;=M379,"OK","ALTA"))</f>
        <v/>
      </c>
      <c r="O379" s="13"/>
    </row>
    <row r="380" customFormat="false" ht="15" hidden="false" customHeight="false" outlineLevel="0" collapsed="false">
      <c r="A380" s="11" t="str">
        <f aca="false">IF(C380="","",ROW()-4)</f>
        <v/>
      </c>
      <c r="B380" s="12"/>
      <c r="C380" s="13"/>
      <c r="D380" s="11" t="str">
        <f aca="false">IF(C380="","",IFERROR(INDEX(LOTES!$D$5:$D$1004,MATCH(C380,LOTES!$F$5:$F$1004,0)),"¿Lote?"))</f>
        <v/>
      </c>
      <c r="E380" s="11" t="str">
        <f aca="false">IF(C380="","",IFERROR(INDEX(LOTES!$C$5:$C$1004,MATCH(C380,LOTES!$F$5:$F$1004,0)),""))</f>
        <v/>
      </c>
      <c r="F380" s="27"/>
      <c r="G380" s="27"/>
      <c r="H380" s="27"/>
      <c r="I380" s="20" t="str">
        <f aca="false">IF(AND(ISNUMBER(F380),ISNUMBER(G380),ISNUMBER(H380),F380&gt;G380,H380&gt;0),(F380-H380)/(F380-G380)*1000,"")</f>
        <v/>
      </c>
      <c r="J380" s="17" t="str">
        <f aca="false">IF(AND(ISNUMBER(F380),ISNUMBER(G380),ISNUMBER(H380),F380&gt;G380,H380&gt;0),(F380-H380)/H380,"")</f>
        <v/>
      </c>
      <c r="K380" s="20" t="str">
        <f aca="false">IF(AND(ISNUMBER(F380),ISNUMBER(G380),ISNUMBER(H380),F380&gt;G380,H380&gt;0),H380/(F380-G380)*1000,"")</f>
        <v/>
      </c>
      <c r="L380" s="11" t="str">
        <f aca="false">IF(K380="","",IF(K380&gt;=CONFIG!$E$21,CONFIG!$D$21,IF(K380&gt;=CONFIG!$E$20,CONFIG!$D$20,CONFIG!$D$19)))</f>
        <v/>
      </c>
      <c r="M380" s="20" t="str">
        <f aca="false">IF(K380="","",IF(K380&gt;=CONFIG!$E$21,CONFIG!$F$21,IF(K380&gt;=CONFIG!$E$20,CONFIG!$F$20,CONFIG!$F$19)))</f>
        <v/>
      </c>
      <c r="N380" s="19" t="str">
        <f aca="false">IF(I380="","",IF(I380&lt;=M380,"OK","ALTA"))</f>
        <v/>
      </c>
      <c r="O380" s="13"/>
    </row>
    <row r="381" customFormat="false" ht="15" hidden="false" customHeight="false" outlineLevel="0" collapsed="false">
      <c r="A381" s="11" t="str">
        <f aca="false">IF(C381="","",ROW()-4)</f>
        <v/>
      </c>
      <c r="B381" s="12"/>
      <c r="C381" s="13"/>
      <c r="D381" s="11" t="str">
        <f aca="false">IF(C381="","",IFERROR(INDEX(LOTES!$D$5:$D$1004,MATCH(C381,LOTES!$F$5:$F$1004,0)),"¿Lote?"))</f>
        <v/>
      </c>
      <c r="E381" s="11" t="str">
        <f aca="false">IF(C381="","",IFERROR(INDEX(LOTES!$C$5:$C$1004,MATCH(C381,LOTES!$F$5:$F$1004,0)),""))</f>
        <v/>
      </c>
      <c r="F381" s="27"/>
      <c r="G381" s="27"/>
      <c r="H381" s="27"/>
      <c r="I381" s="20" t="str">
        <f aca="false">IF(AND(ISNUMBER(F381),ISNUMBER(G381),ISNUMBER(H381),F381&gt;G381,H381&gt;0),(F381-H381)/(F381-G381)*1000,"")</f>
        <v/>
      </c>
      <c r="J381" s="17" t="str">
        <f aca="false">IF(AND(ISNUMBER(F381),ISNUMBER(G381),ISNUMBER(H381),F381&gt;G381,H381&gt;0),(F381-H381)/H381,"")</f>
        <v/>
      </c>
      <c r="K381" s="20" t="str">
        <f aca="false">IF(AND(ISNUMBER(F381),ISNUMBER(G381),ISNUMBER(H381),F381&gt;G381,H381&gt;0),H381/(F381-G381)*1000,"")</f>
        <v/>
      </c>
      <c r="L381" s="11" t="str">
        <f aca="false">IF(K381="","",IF(K381&gt;=CONFIG!$E$21,CONFIG!$D$21,IF(K381&gt;=CONFIG!$E$20,CONFIG!$D$20,CONFIG!$D$19)))</f>
        <v/>
      </c>
      <c r="M381" s="20" t="str">
        <f aca="false">IF(K381="","",IF(K381&gt;=CONFIG!$E$21,CONFIG!$F$21,IF(K381&gt;=CONFIG!$E$20,CONFIG!$F$20,CONFIG!$F$19)))</f>
        <v/>
      </c>
      <c r="N381" s="19" t="str">
        <f aca="false">IF(I381="","",IF(I381&lt;=M381,"OK","ALTA"))</f>
        <v/>
      </c>
      <c r="O381" s="13"/>
    </row>
    <row r="382" customFormat="false" ht="15" hidden="false" customHeight="false" outlineLevel="0" collapsed="false">
      <c r="A382" s="11" t="str">
        <f aca="false">IF(C382="","",ROW()-4)</f>
        <v/>
      </c>
      <c r="B382" s="12"/>
      <c r="C382" s="13"/>
      <c r="D382" s="11" t="str">
        <f aca="false">IF(C382="","",IFERROR(INDEX(LOTES!$D$5:$D$1004,MATCH(C382,LOTES!$F$5:$F$1004,0)),"¿Lote?"))</f>
        <v/>
      </c>
      <c r="E382" s="11" t="str">
        <f aca="false">IF(C382="","",IFERROR(INDEX(LOTES!$C$5:$C$1004,MATCH(C382,LOTES!$F$5:$F$1004,0)),""))</f>
        <v/>
      </c>
      <c r="F382" s="27"/>
      <c r="G382" s="27"/>
      <c r="H382" s="27"/>
      <c r="I382" s="20" t="str">
        <f aca="false">IF(AND(ISNUMBER(F382),ISNUMBER(G382),ISNUMBER(H382),F382&gt;G382,H382&gt;0),(F382-H382)/(F382-G382)*1000,"")</f>
        <v/>
      </c>
      <c r="J382" s="17" t="str">
        <f aca="false">IF(AND(ISNUMBER(F382),ISNUMBER(G382),ISNUMBER(H382),F382&gt;G382,H382&gt;0),(F382-H382)/H382,"")</f>
        <v/>
      </c>
      <c r="K382" s="20" t="str">
        <f aca="false">IF(AND(ISNUMBER(F382),ISNUMBER(G382),ISNUMBER(H382),F382&gt;G382,H382&gt;0),H382/(F382-G382)*1000,"")</f>
        <v/>
      </c>
      <c r="L382" s="11" t="str">
        <f aca="false">IF(K382="","",IF(K382&gt;=CONFIG!$E$21,CONFIG!$D$21,IF(K382&gt;=CONFIG!$E$20,CONFIG!$D$20,CONFIG!$D$19)))</f>
        <v/>
      </c>
      <c r="M382" s="20" t="str">
        <f aca="false">IF(K382="","",IF(K382&gt;=CONFIG!$E$21,CONFIG!$F$21,IF(K382&gt;=CONFIG!$E$20,CONFIG!$F$20,CONFIG!$F$19)))</f>
        <v/>
      </c>
      <c r="N382" s="19" t="str">
        <f aca="false">IF(I382="","",IF(I382&lt;=M382,"OK","ALTA"))</f>
        <v/>
      </c>
      <c r="O382" s="13"/>
    </row>
    <row r="383" customFormat="false" ht="15" hidden="false" customHeight="false" outlineLevel="0" collapsed="false">
      <c r="A383" s="11" t="str">
        <f aca="false">IF(C383="","",ROW()-4)</f>
        <v/>
      </c>
      <c r="B383" s="12"/>
      <c r="C383" s="13"/>
      <c r="D383" s="11" t="str">
        <f aca="false">IF(C383="","",IFERROR(INDEX(LOTES!$D$5:$D$1004,MATCH(C383,LOTES!$F$5:$F$1004,0)),"¿Lote?"))</f>
        <v/>
      </c>
      <c r="E383" s="11" t="str">
        <f aca="false">IF(C383="","",IFERROR(INDEX(LOTES!$C$5:$C$1004,MATCH(C383,LOTES!$F$5:$F$1004,0)),""))</f>
        <v/>
      </c>
      <c r="F383" s="27"/>
      <c r="G383" s="27"/>
      <c r="H383" s="27"/>
      <c r="I383" s="20" t="str">
        <f aca="false">IF(AND(ISNUMBER(F383),ISNUMBER(G383),ISNUMBER(H383),F383&gt;G383,H383&gt;0),(F383-H383)/(F383-G383)*1000,"")</f>
        <v/>
      </c>
      <c r="J383" s="17" t="str">
        <f aca="false">IF(AND(ISNUMBER(F383),ISNUMBER(G383),ISNUMBER(H383),F383&gt;G383,H383&gt;0),(F383-H383)/H383,"")</f>
        <v/>
      </c>
      <c r="K383" s="20" t="str">
        <f aca="false">IF(AND(ISNUMBER(F383),ISNUMBER(G383),ISNUMBER(H383),F383&gt;G383,H383&gt;0),H383/(F383-G383)*1000,"")</f>
        <v/>
      </c>
      <c r="L383" s="11" t="str">
        <f aca="false">IF(K383="","",IF(K383&gt;=CONFIG!$E$21,CONFIG!$D$21,IF(K383&gt;=CONFIG!$E$20,CONFIG!$D$20,CONFIG!$D$19)))</f>
        <v/>
      </c>
      <c r="M383" s="20" t="str">
        <f aca="false">IF(K383="","",IF(K383&gt;=CONFIG!$E$21,CONFIG!$F$21,IF(K383&gt;=CONFIG!$E$20,CONFIG!$F$20,CONFIG!$F$19)))</f>
        <v/>
      </c>
      <c r="N383" s="19" t="str">
        <f aca="false">IF(I383="","",IF(I383&lt;=M383,"OK","ALTA"))</f>
        <v/>
      </c>
      <c r="O383" s="13"/>
    </row>
    <row r="384" customFormat="false" ht="15" hidden="false" customHeight="false" outlineLevel="0" collapsed="false">
      <c r="A384" s="11" t="str">
        <f aca="false">IF(C384="","",ROW()-4)</f>
        <v/>
      </c>
      <c r="B384" s="12"/>
      <c r="C384" s="13"/>
      <c r="D384" s="11" t="str">
        <f aca="false">IF(C384="","",IFERROR(INDEX(LOTES!$D$5:$D$1004,MATCH(C384,LOTES!$F$5:$F$1004,0)),"¿Lote?"))</f>
        <v/>
      </c>
      <c r="E384" s="11" t="str">
        <f aca="false">IF(C384="","",IFERROR(INDEX(LOTES!$C$5:$C$1004,MATCH(C384,LOTES!$F$5:$F$1004,0)),""))</f>
        <v/>
      </c>
      <c r="F384" s="27"/>
      <c r="G384" s="27"/>
      <c r="H384" s="27"/>
      <c r="I384" s="20" t="str">
        <f aca="false">IF(AND(ISNUMBER(F384),ISNUMBER(G384),ISNUMBER(H384),F384&gt;G384,H384&gt;0),(F384-H384)/(F384-G384)*1000,"")</f>
        <v/>
      </c>
      <c r="J384" s="17" t="str">
        <f aca="false">IF(AND(ISNUMBER(F384),ISNUMBER(G384),ISNUMBER(H384),F384&gt;G384,H384&gt;0),(F384-H384)/H384,"")</f>
        <v/>
      </c>
      <c r="K384" s="20" t="str">
        <f aca="false">IF(AND(ISNUMBER(F384),ISNUMBER(G384),ISNUMBER(H384),F384&gt;G384,H384&gt;0),H384/(F384-G384)*1000,"")</f>
        <v/>
      </c>
      <c r="L384" s="11" t="str">
        <f aca="false">IF(K384="","",IF(K384&gt;=CONFIG!$E$21,CONFIG!$D$21,IF(K384&gt;=CONFIG!$E$20,CONFIG!$D$20,CONFIG!$D$19)))</f>
        <v/>
      </c>
      <c r="M384" s="20" t="str">
        <f aca="false">IF(K384="","",IF(K384&gt;=CONFIG!$E$21,CONFIG!$F$21,IF(K384&gt;=CONFIG!$E$20,CONFIG!$F$20,CONFIG!$F$19)))</f>
        <v/>
      </c>
      <c r="N384" s="19" t="str">
        <f aca="false">IF(I384="","",IF(I384&lt;=M384,"OK","ALTA"))</f>
        <v/>
      </c>
      <c r="O384" s="13"/>
    </row>
    <row r="385" customFormat="false" ht="15" hidden="false" customHeight="false" outlineLevel="0" collapsed="false">
      <c r="A385" s="11" t="str">
        <f aca="false">IF(C385="","",ROW()-4)</f>
        <v/>
      </c>
      <c r="B385" s="12"/>
      <c r="C385" s="13"/>
      <c r="D385" s="11" t="str">
        <f aca="false">IF(C385="","",IFERROR(INDEX(LOTES!$D$5:$D$1004,MATCH(C385,LOTES!$F$5:$F$1004,0)),"¿Lote?"))</f>
        <v/>
      </c>
      <c r="E385" s="11" t="str">
        <f aca="false">IF(C385="","",IFERROR(INDEX(LOTES!$C$5:$C$1004,MATCH(C385,LOTES!$F$5:$F$1004,0)),""))</f>
        <v/>
      </c>
      <c r="F385" s="27"/>
      <c r="G385" s="27"/>
      <c r="H385" s="27"/>
      <c r="I385" s="20" t="str">
        <f aca="false">IF(AND(ISNUMBER(F385),ISNUMBER(G385),ISNUMBER(H385),F385&gt;G385,H385&gt;0),(F385-H385)/(F385-G385)*1000,"")</f>
        <v/>
      </c>
      <c r="J385" s="17" t="str">
        <f aca="false">IF(AND(ISNUMBER(F385),ISNUMBER(G385),ISNUMBER(H385),F385&gt;G385,H385&gt;0),(F385-H385)/H385,"")</f>
        <v/>
      </c>
      <c r="K385" s="20" t="str">
        <f aca="false">IF(AND(ISNUMBER(F385),ISNUMBER(G385),ISNUMBER(H385),F385&gt;G385,H385&gt;0),H385/(F385-G385)*1000,"")</f>
        <v/>
      </c>
      <c r="L385" s="11" t="str">
        <f aca="false">IF(K385="","",IF(K385&gt;=CONFIG!$E$21,CONFIG!$D$21,IF(K385&gt;=CONFIG!$E$20,CONFIG!$D$20,CONFIG!$D$19)))</f>
        <v/>
      </c>
      <c r="M385" s="20" t="str">
        <f aca="false">IF(K385="","",IF(K385&gt;=CONFIG!$E$21,CONFIG!$F$21,IF(K385&gt;=CONFIG!$E$20,CONFIG!$F$20,CONFIG!$F$19)))</f>
        <v/>
      </c>
      <c r="N385" s="19" t="str">
        <f aca="false">IF(I385="","",IF(I385&lt;=M385,"OK","ALTA"))</f>
        <v/>
      </c>
      <c r="O385" s="13"/>
    </row>
    <row r="386" customFormat="false" ht="15" hidden="false" customHeight="false" outlineLevel="0" collapsed="false">
      <c r="A386" s="11" t="str">
        <f aca="false">IF(C386="","",ROW()-4)</f>
        <v/>
      </c>
      <c r="B386" s="12"/>
      <c r="C386" s="13"/>
      <c r="D386" s="11" t="str">
        <f aca="false">IF(C386="","",IFERROR(INDEX(LOTES!$D$5:$D$1004,MATCH(C386,LOTES!$F$5:$F$1004,0)),"¿Lote?"))</f>
        <v/>
      </c>
      <c r="E386" s="11" t="str">
        <f aca="false">IF(C386="","",IFERROR(INDEX(LOTES!$C$5:$C$1004,MATCH(C386,LOTES!$F$5:$F$1004,0)),""))</f>
        <v/>
      </c>
      <c r="F386" s="27"/>
      <c r="G386" s="27"/>
      <c r="H386" s="27"/>
      <c r="I386" s="20" t="str">
        <f aca="false">IF(AND(ISNUMBER(F386),ISNUMBER(G386),ISNUMBER(H386),F386&gt;G386,H386&gt;0),(F386-H386)/(F386-G386)*1000,"")</f>
        <v/>
      </c>
      <c r="J386" s="17" t="str">
        <f aca="false">IF(AND(ISNUMBER(F386),ISNUMBER(G386),ISNUMBER(H386),F386&gt;G386,H386&gt;0),(F386-H386)/H386,"")</f>
        <v/>
      </c>
      <c r="K386" s="20" t="str">
        <f aca="false">IF(AND(ISNUMBER(F386),ISNUMBER(G386),ISNUMBER(H386),F386&gt;G386,H386&gt;0),H386/(F386-G386)*1000,"")</f>
        <v/>
      </c>
      <c r="L386" s="11" t="str">
        <f aca="false">IF(K386="","",IF(K386&gt;=CONFIG!$E$21,CONFIG!$D$21,IF(K386&gt;=CONFIG!$E$20,CONFIG!$D$20,CONFIG!$D$19)))</f>
        <v/>
      </c>
      <c r="M386" s="20" t="str">
        <f aca="false">IF(K386="","",IF(K386&gt;=CONFIG!$E$21,CONFIG!$F$21,IF(K386&gt;=CONFIG!$E$20,CONFIG!$F$20,CONFIG!$F$19)))</f>
        <v/>
      </c>
      <c r="N386" s="19" t="str">
        <f aca="false">IF(I386="","",IF(I386&lt;=M386,"OK","ALTA"))</f>
        <v/>
      </c>
      <c r="O386" s="13"/>
    </row>
    <row r="387" customFormat="false" ht="15" hidden="false" customHeight="false" outlineLevel="0" collapsed="false">
      <c r="A387" s="11" t="str">
        <f aca="false">IF(C387="","",ROW()-4)</f>
        <v/>
      </c>
      <c r="B387" s="12"/>
      <c r="C387" s="13"/>
      <c r="D387" s="11" t="str">
        <f aca="false">IF(C387="","",IFERROR(INDEX(LOTES!$D$5:$D$1004,MATCH(C387,LOTES!$F$5:$F$1004,0)),"¿Lote?"))</f>
        <v/>
      </c>
      <c r="E387" s="11" t="str">
        <f aca="false">IF(C387="","",IFERROR(INDEX(LOTES!$C$5:$C$1004,MATCH(C387,LOTES!$F$5:$F$1004,0)),""))</f>
        <v/>
      </c>
      <c r="F387" s="27"/>
      <c r="G387" s="27"/>
      <c r="H387" s="27"/>
      <c r="I387" s="20" t="str">
        <f aca="false">IF(AND(ISNUMBER(F387),ISNUMBER(G387),ISNUMBER(H387),F387&gt;G387,H387&gt;0),(F387-H387)/(F387-G387)*1000,"")</f>
        <v/>
      </c>
      <c r="J387" s="17" t="str">
        <f aca="false">IF(AND(ISNUMBER(F387),ISNUMBER(G387),ISNUMBER(H387),F387&gt;G387,H387&gt;0),(F387-H387)/H387,"")</f>
        <v/>
      </c>
      <c r="K387" s="20" t="str">
        <f aca="false">IF(AND(ISNUMBER(F387),ISNUMBER(G387),ISNUMBER(H387),F387&gt;G387,H387&gt;0),H387/(F387-G387)*1000,"")</f>
        <v/>
      </c>
      <c r="L387" s="11" t="str">
        <f aca="false">IF(K387="","",IF(K387&gt;=CONFIG!$E$21,CONFIG!$D$21,IF(K387&gt;=CONFIG!$E$20,CONFIG!$D$20,CONFIG!$D$19)))</f>
        <v/>
      </c>
      <c r="M387" s="20" t="str">
        <f aca="false">IF(K387="","",IF(K387&gt;=CONFIG!$E$21,CONFIG!$F$21,IF(K387&gt;=CONFIG!$E$20,CONFIG!$F$20,CONFIG!$F$19)))</f>
        <v/>
      </c>
      <c r="N387" s="19" t="str">
        <f aca="false">IF(I387="","",IF(I387&lt;=M387,"OK","ALTA"))</f>
        <v/>
      </c>
      <c r="O387" s="13"/>
    </row>
    <row r="388" customFormat="false" ht="15" hidden="false" customHeight="false" outlineLevel="0" collapsed="false">
      <c r="A388" s="11" t="str">
        <f aca="false">IF(C388="","",ROW()-4)</f>
        <v/>
      </c>
      <c r="B388" s="12"/>
      <c r="C388" s="13"/>
      <c r="D388" s="11" t="str">
        <f aca="false">IF(C388="","",IFERROR(INDEX(LOTES!$D$5:$D$1004,MATCH(C388,LOTES!$F$5:$F$1004,0)),"¿Lote?"))</f>
        <v/>
      </c>
      <c r="E388" s="11" t="str">
        <f aca="false">IF(C388="","",IFERROR(INDEX(LOTES!$C$5:$C$1004,MATCH(C388,LOTES!$F$5:$F$1004,0)),""))</f>
        <v/>
      </c>
      <c r="F388" s="27"/>
      <c r="G388" s="27"/>
      <c r="H388" s="27"/>
      <c r="I388" s="20" t="str">
        <f aca="false">IF(AND(ISNUMBER(F388),ISNUMBER(G388),ISNUMBER(H388),F388&gt;G388,H388&gt;0),(F388-H388)/(F388-G388)*1000,"")</f>
        <v/>
      </c>
      <c r="J388" s="17" t="str">
        <f aca="false">IF(AND(ISNUMBER(F388),ISNUMBER(G388),ISNUMBER(H388),F388&gt;G388,H388&gt;0),(F388-H388)/H388,"")</f>
        <v/>
      </c>
      <c r="K388" s="20" t="str">
        <f aca="false">IF(AND(ISNUMBER(F388),ISNUMBER(G388),ISNUMBER(H388),F388&gt;G388,H388&gt;0),H388/(F388-G388)*1000,"")</f>
        <v/>
      </c>
      <c r="L388" s="11" t="str">
        <f aca="false">IF(K388="","",IF(K388&gt;=CONFIG!$E$21,CONFIG!$D$21,IF(K388&gt;=CONFIG!$E$20,CONFIG!$D$20,CONFIG!$D$19)))</f>
        <v/>
      </c>
      <c r="M388" s="20" t="str">
        <f aca="false">IF(K388="","",IF(K388&gt;=CONFIG!$E$21,CONFIG!$F$21,IF(K388&gt;=CONFIG!$E$20,CONFIG!$F$20,CONFIG!$F$19)))</f>
        <v/>
      </c>
      <c r="N388" s="19" t="str">
        <f aca="false">IF(I388="","",IF(I388&lt;=M388,"OK","ALTA"))</f>
        <v/>
      </c>
      <c r="O388" s="13"/>
    </row>
    <row r="389" customFormat="false" ht="15" hidden="false" customHeight="false" outlineLevel="0" collapsed="false">
      <c r="A389" s="11" t="str">
        <f aca="false">IF(C389="","",ROW()-4)</f>
        <v/>
      </c>
      <c r="B389" s="12"/>
      <c r="C389" s="13"/>
      <c r="D389" s="11" t="str">
        <f aca="false">IF(C389="","",IFERROR(INDEX(LOTES!$D$5:$D$1004,MATCH(C389,LOTES!$F$5:$F$1004,0)),"¿Lote?"))</f>
        <v/>
      </c>
      <c r="E389" s="11" t="str">
        <f aca="false">IF(C389="","",IFERROR(INDEX(LOTES!$C$5:$C$1004,MATCH(C389,LOTES!$F$5:$F$1004,0)),""))</f>
        <v/>
      </c>
      <c r="F389" s="27"/>
      <c r="G389" s="27"/>
      <c r="H389" s="27"/>
      <c r="I389" s="20" t="str">
        <f aca="false">IF(AND(ISNUMBER(F389),ISNUMBER(G389),ISNUMBER(H389),F389&gt;G389,H389&gt;0),(F389-H389)/(F389-G389)*1000,"")</f>
        <v/>
      </c>
      <c r="J389" s="17" t="str">
        <f aca="false">IF(AND(ISNUMBER(F389),ISNUMBER(G389),ISNUMBER(H389),F389&gt;G389,H389&gt;0),(F389-H389)/H389,"")</f>
        <v/>
      </c>
      <c r="K389" s="20" t="str">
        <f aca="false">IF(AND(ISNUMBER(F389),ISNUMBER(G389),ISNUMBER(H389),F389&gt;G389,H389&gt;0),H389/(F389-G389)*1000,"")</f>
        <v/>
      </c>
      <c r="L389" s="11" t="str">
        <f aca="false">IF(K389="","",IF(K389&gt;=CONFIG!$E$21,CONFIG!$D$21,IF(K389&gt;=CONFIG!$E$20,CONFIG!$D$20,CONFIG!$D$19)))</f>
        <v/>
      </c>
      <c r="M389" s="20" t="str">
        <f aca="false">IF(K389="","",IF(K389&gt;=CONFIG!$E$21,CONFIG!$F$21,IF(K389&gt;=CONFIG!$E$20,CONFIG!$F$20,CONFIG!$F$19)))</f>
        <v/>
      </c>
      <c r="N389" s="19" t="str">
        <f aca="false">IF(I389="","",IF(I389&lt;=M389,"OK","ALTA"))</f>
        <v/>
      </c>
      <c r="O389" s="13"/>
    </row>
    <row r="390" customFormat="false" ht="15" hidden="false" customHeight="false" outlineLevel="0" collapsed="false">
      <c r="A390" s="11" t="str">
        <f aca="false">IF(C390="","",ROW()-4)</f>
        <v/>
      </c>
      <c r="B390" s="12"/>
      <c r="C390" s="13"/>
      <c r="D390" s="11" t="str">
        <f aca="false">IF(C390="","",IFERROR(INDEX(LOTES!$D$5:$D$1004,MATCH(C390,LOTES!$F$5:$F$1004,0)),"¿Lote?"))</f>
        <v/>
      </c>
      <c r="E390" s="11" t="str">
        <f aca="false">IF(C390="","",IFERROR(INDEX(LOTES!$C$5:$C$1004,MATCH(C390,LOTES!$F$5:$F$1004,0)),""))</f>
        <v/>
      </c>
      <c r="F390" s="27"/>
      <c r="G390" s="27"/>
      <c r="H390" s="27"/>
      <c r="I390" s="20" t="str">
        <f aca="false">IF(AND(ISNUMBER(F390),ISNUMBER(G390),ISNUMBER(H390),F390&gt;G390,H390&gt;0),(F390-H390)/(F390-G390)*1000,"")</f>
        <v/>
      </c>
      <c r="J390" s="17" t="str">
        <f aca="false">IF(AND(ISNUMBER(F390),ISNUMBER(G390),ISNUMBER(H390),F390&gt;G390,H390&gt;0),(F390-H390)/H390,"")</f>
        <v/>
      </c>
      <c r="K390" s="20" t="str">
        <f aca="false">IF(AND(ISNUMBER(F390),ISNUMBER(G390),ISNUMBER(H390),F390&gt;G390,H390&gt;0),H390/(F390-G390)*1000,"")</f>
        <v/>
      </c>
      <c r="L390" s="11" t="str">
        <f aca="false">IF(K390="","",IF(K390&gt;=CONFIG!$E$21,CONFIG!$D$21,IF(K390&gt;=CONFIG!$E$20,CONFIG!$D$20,CONFIG!$D$19)))</f>
        <v/>
      </c>
      <c r="M390" s="20" t="str">
        <f aca="false">IF(K390="","",IF(K390&gt;=CONFIG!$E$21,CONFIG!$F$21,IF(K390&gt;=CONFIG!$E$20,CONFIG!$F$20,CONFIG!$F$19)))</f>
        <v/>
      </c>
      <c r="N390" s="19" t="str">
        <f aca="false">IF(I390="","",IF(I390&lt;=M390,"OK","ALTA"))</f>
        <v/>
      </c>
      <c r="O390" s="13"/>
    </row>
    <row r="391" customFormat="false" ht="15" hidden="false" customHeight="false" outlineLevel="0" collapsed="false">
      <c r="A391" s="11" t="str">
        <f aca="false">IF(C391="","",ROW()-4)</f>
        <v/>
      </c>
      <c r="B391" s="12"/>
      <c r="C391" s="13"/>
      <c r="D391" s="11" t="str">
        <f aca="false">IF(C391="","",IFERROR(INDEX(LOTES!$D$5:$D$1004,MATCH(C391,LOTES!$F$5:$F$1004,0)),"¿Lote?"))</f>
        <v/>
      </c>
      <c r="E391" s="11" t="str">
        <f aca="false">IF(C391="","",IFERROR(INDEX(LOTES!$C$5:$C$1004,MATCH(C391,LOTES!$F$5:$F$1004,0)),""))</f>
        <v/>
      </c>
      <c r="F391" s="27"/>
      <c r="G391" s="27"/>
      <c r="H391" s="27"/>
      <c r="I391" s="20" t="str">
        <f aca="false">IF(AND(ISNUMBER(F391),ISNUMBER(G391),ISNUMBER(H391),F391&gt;G391,H391&gt;0),(F391-H391)/(F391-G391)*1000,"")</f>
        <v/>
      </c>
      <c r="J391" s="17" t="str">
        <f aca="false">IF(AND(ISNUMBER(F391),ISNUMBER(G391),ISNUMBER(H391),F391&gt;G391,H391&gt;0),(F391-H391)/H391,"")</f>
        <v/>
      </c>
      <c r="K391" s="20" t="str">
        <f aca="false">IF(AND(ISNUMBER(F391),ISNUMBER(G391),ISNUMBER(H391),F391&gt;G391,H391&gt;0),H391/(F391-G391)*1000,"")</f>
        <v/>
      </c>
      <c r="L391" s="11" t="str">
        <f aca="false">IF(K391="","",IF(K391&gt;=CONFIG!$E$21,CONFIG!$D$21,IF(K391&gt;=CONFIG!$E$20,CONFIG!$D$20,CONFIG!$D$19)))</f>
        <v/>
      </c>
      <c r="M391" s="20" t="str">
        <f aca="false">IF(K391="","",IF(K391&gt;=CONFIG!$E$21,CONFIG!$F$21,IF(K391&gt;=CONFIG!$E$20,CONFIG!$F$20,CONFIG!$F$19)))</f>
        <v/>
      </c>
      <c r="N391" s="19" t="str">
        <f aca="false">IF(I391="","",IF(I391&lt;=M391,"OK","ALTA"))</f>
        <v/>
      </c>
      <c r="O391" s="13"/>
    </row>
    <row r="392" customFormat="false" ht="15" hidden="false" customHeight="false" outlineLevel="0" collapsed="false">
      <c r="A392" s="11" t="str">
        <f aca="false">IF(C392="","",ROW()-4)</f>
        <v/>
      </c>
      <c r="B392" s="12"/>
      <c r="C392" s="13"/>
      <c r="D392" s="11" t="str">
        <f aca="false">IF(C392="","",IFERROR(INDEX(LOTES!$D$5:$D$1004,MATCH(C392,LOTES!$F$5:$F$1004,0)),"¿Lote?"))</f>
        <v/>
      </c>
      <c r="E392" s="11" t="str">
        <f aca="false">IF(C392="","",IFERROR(INDEX(LOTES!$C$5:$C$1004,MATCH(C392,LOTES!$F$5:$F$1004,0)),""))</f>
        <v/>
      </c>
      <c r="F392" s="27"/>
      <c r="G392" s="27"/>
      <c r="H392" s="27"/>
      <c r="I392" s="20" t="str">
        <f aca="false">IF(AND(ISNUMBER(F392),ISNUMBER(G392),ISNUMBER(H392),F392&gt;G392,H392&gt;0),(F392-H392)/(F392-G392)*1000,"")</f>
        <v/>
      </c>
      <c r="J392" s="17" t="str">
        <f aca="false">IF(AND(ISNUMBER(F392),ISNUMBER(G392),ISNUMBER(H392),F392&gt;G392,H392&gt;0),(F392-H392)/H392,"")</f>
        <v/>
      </c>
      <c r="K392" s="20" t="str">
        <f aca="false">IF(AND(ISNUMBER(F392),ISNUMBER(G392),ISNUMBER(H392),F392&gt;G392,H392&gt;0),H392/(F392-G392)*1000,"")</f>
        <v/>
      </c>
      <c r="L392" s="11" t="str">
        <f aca="false">IF(K392="","",IF(K392&gt;=CONFIG!$E$21,CONFIG!$D$21,IF(K392&gt;=CONFIG!$E$20,CONFIG!$D$20,CONFIG!$D$19)))</f>
        <v/>
      </c>
      <c r="M392" s="20" t="str">
        <f aca="false">IF(K392="","",IF(K392&gt;=CONFIG!$E$21,CONFIG!$F$21,IF(K392&gt;=CONFIG!$E$20,CONFIG!$F$20,CONFIG!$F$19)))</f>
        <v/>
      </c>
      <c r="N392" s="19" t="str">
        <f aca="false">IF(I392="","",IF(I392&lt;=M392,"OK","ALTA"))</f>
        <v/>
      </c>
      <c r="O392" s="13"/>
    </row>
    <row r="393" customFormat="false" ht="15" hidden="false" customHeight="false" outlineLevel="0" collapsed="false">
      <c r="A393" s="11" t="str">
        <f aca="false">IF(C393="","",ROW()-4)</f>
        <v/>
      </c>
      <c r="B393" s="12"/>
      <c r="C393" s="13"/>
      <c r="D393" s="11" t="str">
        <f aca="false">IF(C393="","",IFERROR(INDEX(LOTES!$D$5:$D$1004,MATCH(C393,LOTES!$F$5:$F$1004,0)),"¿Lote?"))</f>
        <v/>
      </c>
      <c r="E393" s="11" t="str">
        <f aca="false">IF(C393="","",IFERROR(INDEX(LOTES!$C$5:$C$1004,MATCH(C393,LOTES!$F$5:$F$1004,0)),""))</f>
        <v/>
      </c>
      <c r="F393" s="27"/>
      <c r="G393" s="27"/>
      <c r="H393" s="27"/>
      <c r="I393" s="20" t="str">
        <f aca="false">IF(AND(ISNUMBER(F393),ISNUMBER(G393),ISNUMBER(H393),F393&gt;G393,H393&gt;0),(F393-H393)/(F393-G393)*1000,"")</f>
        <v/>
      </c>
      <c r="J393" s="17" t="str">
        <f aca="false">IF(AND(ISNUMBER(F393),ISNUMBER(G393),ISNUMBER(H393),F393&gt;G393,H393&gt;0),(F393-H393)/H393,"")</f>
        <v/>
      </c>
      <c r="K393" s="20" t="str">
        <f aca="false">IF(AND(ISNUMBER(F393),ISNUMBER(G393),ISNUMBER(H393),F393&gt;G393,H393&gt;0),H393/(F393-G393)*1000,"")</f>
        <v/>
      </c>
      <c r="L393" s="11" t="str">
        <f aca="false">IF(K393="","",IF(K393&gt;=CONFIG!$E$21,CONFIG!$D$21,IF(K393&gt;=CONFIG!$E$20,CONFIG!$D$20,CONFIG!$D$19)))</f>
        <v/>
      </c>
      <c r="M393" s="20" t="str">
        <f aca="false">IF(K393="","",IF(K393&gt;=CONFIG!$E$21,CONFIG!$F$21,IF(K393&gt;=CONFIG!$E$20,CONFIG!$F$20,CONFIG!$F$19)))</f>
        <v/>
      </c>
      <c r="N393" s="19" t="str">
        <f aca="false">IF(I393="","",IF(I393&lt;=M393,"OK","ALTA"))</f>
        <v/>
      </c>
      <c r="O393" s="13"/>
    </row>
    <row r="394" customFormat="false" ht="15" hidden="false" customHeight="false" outlineLevel="0" collapsed="false">
      <c r="A394" s="11" t="str">
        <f aca="false">IF(C394="","",ROW()-4)</f>
        <v/>
      </c>
      <c r="B394" s="12"/>
      <c r="C394" s="13"/>
      <c r="D394" s="11" t="str">
        <f aca="false">IF(C394="","",IFERROR(INDEX(LOTES!$D$5:$D$1004,MATCH(C394,LOTES!$F$5:$F$1004,0)),"¿Lote?"))</f>
        <v/>
      </c>
      <c r="E394" s="11" t="str">
        <f aca="false">IF(C394="","",IFERROR(INDEX(LOTES!$C$5:$C$1004,MATCH(C394,LOTES!$F$5:$F$1004,0)),""))</f>
        <v/>
      </c>
      <c r="F394" s="27"/>
      <c r="G394" s="27"/>
      <c r="H394" s="27"/>
      <c r="I394" s="20" t="str">
        <f aca="false">IF(AND(ISNUMBER(F394),ISNUMBER(G394),ISNUMBER(H394),F394&gt;G394,H394&gt;0),(F394-H394)/(F394-G394)*1000,"")</f>
        <v/>
      </c>
      <c r="J394" s="17" t="str">
        <f aca="false">IF(AND(ISNUMBER(F394),ISNUMBER(G394),ISNUMBER(H394),F394&gt;G394,H394&gt;0),(F394-H394)/H394,"")</f>
        <v/>
      </c>
      <c r="K394" s="20" t="str">
        <f aca="false">IF(AND(ISNUMBER(F394),ISNUMBER(G394),ISNUMBER(H394),F394&gt;G394,H394&gt;0),H394/(F394-G394)*1000,"")</f>
        <v/>
      </c>
      <c r="L394" s="11" t="str">
        <f aca="false">IF(K394="","",IF(K394&gt;=CONFIG!$E$21,CONFIG!$D$21,IF(K394&gt;=CONFIG!$E$20,CONFIG!$D$20,CONFIG!$D$19)))</f>
        <v/>
      </c>
      <c r="M394" s="20" t="str">
        <f aca="false">IF(K394="","",IF(K394&gt;=CONFIG!$E$21,CONFIG!$F$21,IF(K394&gt;=CONFIG!$E$20,CONFIG!$F$20,CONFIG!$F$19)))</f>
        <v/>
      </c>
      <c r="N394" s="19" t="str">
        <f aca="false">IF(I394="","",IF(I394&lt;=M394,"OK","ALTA"))</f>
        <v/>
      </c>
      <c r="O394" s="13"/>
    </row>
    <row r="395" customFormat="false" ht="15" hidden="false" customHeight="false" outlineLevel="0" collapsed="false">
      <c r="A395" s="11" t="str">
        <f aca="false">IF(C395="","",ROW()-4)</f>
        <v/>
      </c>
      <c r="B395" s="12"/>
      <c r="C395" s="13"/>
      <c r="D395" s="11" t="str">
        <f aca="false">IF(C395="","",IFERROR(INDEX(LOTES!$D$5:$D$1004,MATCH(C395,LOTES!$F$5:$F$1004,0)),"¿Lote?"))</f>
        <v/>
      </c>
      <c r="E395" s="11" t="str">
        <f aca="false">IF(C395="","",IFERROR(INDEX(LOTES!$C$5:$C$1004,MATCH(C395,LOTES!$F$5:$F$1004,0)),""))</f>
        <v/>
      </c>
      <c r="F395" s="27"/>
      <c r="G395" s="27"/>
      <c r="H395" s="27"/>
      <c r="I395" s="20" t="str">
        <f aca="false">IF(AND(ISNUMBER(F395),ISNUMBER(G395),ISNUMBER(H395),F395&gt;G395,H395&gt;0),(F395-H395)/(F395-G395)*1000,"")</f>
        <v/>
      </c>
      <c r="J395" s="17" t="str">
        <f aca="false">IF(AND(ISNUMBER(F395),ISNUMBER(G395),ISNUMBER(H395),F395&gt;G395,H395&gt;0),(F395-H395)/H395,"")</f>
        <v/>
      </c>
      <c r="K395" s="20" t="str">
        <f aca="false">IF(AND(ISNUMBER(F395),ISNUMBER(G395),ISNUMBER(H395),F395&gt;G395,H395&gt;0),H395/(F395-G395)*1000,"")</f>
        <v/>
      </c>
      <c r="L395" s="11" t="str">
        <f aca="false">IF(K395="","",IF(K395&gt;=CONFIG!$E$21,CONFIG!$D$21,IF(K395&gt;=CONFIG!$E$20,CONFIG!$D$20,CONFIG!$D$19)))</f>
        <v/>
      </c>
      <c r="M395" s="20" t="str">
        <f aca="false">IF(K395="","",IF(K395&gt;=CONFIG!$E$21,CONFIG!$F$21,IF(K395&gt;=CONFIG!$E$20,CONFIG!$F$20,CONFIG!$F$19)))</f>
        <v/>
      </c>
      <c r="N395" s="19" t="str">
        <f aca="false">IF(I395="","",IF(I395&lt;=M395,"OK","ALTA"))</f>
        <v/>
      </c>
      <c r="O395" s="13"/>
    </row>
    <row r="396" customFormat="false" ht="15" hidden="false" customHeight="false" outlineLevel="0" collapsed="false">
      <c r="A396" s="11" t="str">
        <f aca="false">IF(C396="","",ROW()-4)</f>
        <v/>
      </c>
      <c r="B396" s="12"/>
      <c r="C396" s="13"/>
      <c r="D396" s="11" t="str">
        <f aca="false">IF(C396="","",IFERROR(INDEX(LOTES!$D$5:$D$1004,MATCH(C396,LOTES!$F$5:$F$1004,0)),"¿Lote?"))</f>
        <v/>
      </c>
      <c r="E396" s="11" t="str">
        <f aca="false">IF(C396="","",IFERROR(INDEX(LOTES!$C$5:$C$1004,MATCH(C396,LOTES!$F$5:$F$1004,0)),""))</f>
        <v/>
      </c>
      <c r="F396" s="27"/>
      <c r="G396" s="27"/>
      <c r="H396" s="27"/>
      <c r="I396" s="20" t="str">
        <f aca="false">IF(AND(ISNUMBER(F396),ISNUMBER(G396),ISNUMBER(H396),F396&gt;G396,H396&gt;0),(F396-H396)/(F396-G396)*1000,"")</f>
        <v/>
      </c>
      <c r="J396" s="17" t="str">
        <f aca="false">IF(AND(ISNUMBER(F396),ISNUMBER(G396),ISNUMBER(H396),F396&gt;G396,H396&gt;0),(F396-H396)/H396,"")</f>
        <v/>
      </c>
      <c r="K396" s="20" t="str">
        <f aca="false">IF(AND(ISNUMBER(F396),ISNUMBER(G396),ISNUMBER(H396),F396&gt;G396,H396&gt;0),H396/(F396-G396)*1000,"")</f>
        <v/>
      </c>
      <c r="L396" s="11" t="str">
        <f aca="false">IF(K396="","",IF(K396&gt;=CONFIG!$E$21,CONFIG!$D$21,IF(K396&gt;=CONFIG!$E$20,CONFIG!$D$20,CONFIG!$D$19)))</f>
        <v/>
      </c>
      <c r="M396" s="20" t="str">
        <f aca="false">IF(K396="","",IF(K396&gt;=CONFIG!$E$21,CONFIG!$F$21,IF(K396&gt;=CONFIG!$E$20,CONFIG!$F$20,CONFIG!$F$19)))</f>
        <v/>
      </c>
      <c r="N396" s="19" t="str">
        <f aca="false">IF(I396="","",IF(I396&lt;=M396,"OK","ALTA"))</f>
        <v/>
      </c>
      <c r="O396" s="13"/>
    </row>
    <row r="397" customFormat="false" ht="15" hidden="false" customHeight="false" outlineLevel="0" collapsed="false">
      <c r="A397" s="11" t="str">
        <f aca="false">IF(C397="","",ROW()-4)</f>
        <v/>
      </c>
      <c r="B397" s="12"/>
      <c r="C397" s="13"/>
      <c r="D397" s="11" t="str">
        <f aca="false">IF(C397="","",IFERROR(INDEX(LOTES!$D$5:$D$1004,MATCH(C397,LOTES!$F$5:$F$1004,0)),"¿Lote?"))</f>
        <v/>
      </c>
      <c r="E397" s="11" t="str">
        <f aca="false">IF(C397="","",IFERROR(INDEX(LOTES!$C$5:$C$1004,MATCH(C397,LOTES!$F$5:$F$1004,0)),""))</f>
        <v/>
      </c>
      <c r="F397" s="27"/>
      <c r="G397" s="27"/>
      <c r="H397" s="27"/>
      <c r="I397" s="20" t="str">
        <f aca="false">IF(AND(ISNUMBER(F397),ISNUMBER(G397),ISNUMBER(H397),F397&gt;G397,H397&gt;0),(F397-H397)/(F397-G397)*1000,"")</f>
        <v/>
      </c>
      <c r="J397" s="17" t="str">
        <f aca="false">IF(AND(ISNUMBER(F397),ISNUMBER(G397),ISNUMBER(H397),F397&gt;G397,H397&gt;0),(F397-H397)/H397,"")</f>
        <v/>
      </c>
      <c r="K397" s="20" t="str">
        <f aca="false">IF(AND(ISNUMBER(F397),ISNUMBER(G397),ISNUMBER(H397),F397&gt;G397,H397&gt;0),H397/(F397-G397)*1000,"")</f>
        <v/>
      </c>
      <c r="L397" s="11" t="str">
        <f aca="false">IF(K397="","",IF(K397&gt;=CONFIG!$E$21,CONFIG!$D$21,IF(K397&gt;=CONFIG!$E$20,CONFIG!$D$20,CONFIG!$D$19)))</f>
        <v/>
      </c>
      <c r="M397" s="20" t="str">
        <f aca="false">IF(K397="","",IF(K397&gt;=CONFIG!$E$21,CONFIG!$F$21,IF(K397&gt;=CONFIG!$E$20,CONFIG!$F$20,CONFIG!$F$19)))</f>
        <v/>
      </c>
      <c r="N397" s="19" t="str">
        <f aca="false">IF(I397="","",IF(I397&lt;=M397,"OK","ALTA"))</f>
        <v/>
      </c>
      <c r="O397" s="13"/>
    </row>
    <row r="398" customFormat="false" ht="15" hidden="false" customHeight="false" outlineLevel="0" collapsed="false">
      <c r="A398" s="11" t="str">
        <f aca="false">IF(C398="","",ROW()-4)</f>
        <v/>
      </c>
      <c r="B398" s="12"/>
      <c r="C398" s="13"/>
      <c r="D398" s="11" t="str">
        <f aca="false">IF(C398="","",IFERROR(INDEX(LOTES!$D$5:$D$1004,MATCH(C398,LOTES!$F$5:$F$1004,0)),"¿Lote?"))</f>
        <v/>
      </c>
      <c r="E398" s="11" t="str">
        <f aca="false">IF(C398="","",IFERROR(INDEX(LOTES!$C$5:$C$1004,MATCH(C398,LOTES!$F$5:$F$1004,0)),""))</f>
        <v/>
      </c>
      <c r="F398" s="27"/>
      <c r="G398" s="27"/>
      <c r="H398" s="27"/>
      <c r="I398" s="20" t="str">
        <f aca="false">IF(AND(ISNUMBER(F398),ISNUMBER(G398),ISNUMBER(H398),F398&gt;G398,H398&gt;0),(F398-H398)/(F398-G398)*1000,"")</f>
        <v/>
      </c>
      <c r="J398" s="17" t="str">
        <f aca="false">IF(AND(ISNUMBER(F398),ISNUMBER(G398),ISNUMBER(H398),F398&gt;G398,H398&gt;0),(F398-H398)/H398,"")</f>
        <v/>
      </c>
      <c r="K398" s="20" t="str">
        <f aca="false">IF(AND(ISNUMBER(F398),ISNUMBER(G398),ISNUMBER(H398),F398&gt;G398,H398&gt;0),H398/(F398-G398)*1000,"")</f>
        <v/>
      </c>
      <c r="L398" s="11" t="str">
        <f aca="false">IF(K398="","",IF(K398&gt;=CONFIG!$E$21,CONFIG!$D$21,IF(K398&gt;=CONFIG!$E$20,CONFIG!$D$20,CONFIG!$D$19)))</f>
        <v/>
      </c>
      <c r="M398" s="20" t="str">
        <f aca="false">IF(K398="","",IF(K398&gt;=CONFIG!$E$21,CONFIG!$F$21,IF(K398&gt;=CONFIG!$E$20,CONFIG!$F$20,CONFIG!$F$19)))</f>
        <v/>
      </c>
      <c r="N398" s="19" t="str">
        <f aca="false">IF(I398="","",IF(I398&lt;=M398,"OK","ALTA"))</f>
        <v/>
      </c>
      <c r="O398" s="13"/>
    </row>
    <row r="399" customFormat="false" ht="15" hidden="false" customHeight="false" outlineLevel="0" collapsed="false">
      <c r="A399" s="11" t="str">
        <f aca="false">IF(C399="","",ROW()-4)</f>
        <v/>
      </c>
      <c r="B399" s="12"/>
      <c r="C399" s="13"/>
      <c r="D399" s="11" t="str">
        <f aca="false">IF(C399="","",IFERROR(INDEX(LOTES!$D$5:$D$1004,MATCH(C399,LOTES!$F$5:$F$1004,0)),"¿Lote?"))</f>
        <v/>
      </c>
      <c r="E399" s="11" t="str">
        <f aca="false">IF(C399="","",IFERROR(INDEX(LOTES!$C$5:$C$1004,MATCH(C399,LOTES!$F$5:$F$1004,0)),""))</f>
        <v/>
      </c>
      <c r="F399" s="27"/>
      <c r="G399" s="27"/>
      <c r="H399" s="27"/>
      <c r="I399" s="20" t="str">
        <f aca="false">IF(AND(ISNUMBER(F399),ISNUMBER(G399),ISNUMBER(H399),F399&gt;G399,H399&gt;0),(F399-H399)/(F399-G399)*1000,"")</f>
        <v/>
      </c>
      <c r="J399" s="17" t="str">
        <f aca="false">IF(AND(ISNUMBER(F399),ISNUMBER(G399),ISNUMBER(H399),F399&gt;G399,H399&gt;0),(F399-H399)/H399,"")</f>
        <v/>
      </c>
      <c r="K399" s="20" t="str">
        <f aca="false">IF(AND(ISNUMBER(F399),ISNUMBER(G399),ISNUMBER(H399),F399&gt;G399,H399&gt;0),H399/(F399-G399)*1000,"")</f>
        <v/>
      </c>
      <c r="L399" s="11" t="str">
        <f aca="false">IF(K399="","",IF(K399&gt;=CONFIG!$E$21,CONFIG!$D$21,IF(K399&gt;=CONFIG!$E$20,CONFIG!$D$20,CONFIG!$D$19)))</f>
        <v/>
      </c>
      <c r="M399" s="20" t="str">
        <f aca="false">IF(K399="","",IF(K399&gt;=CONFIG!$E$21,CONFIG!$F$21,IF(K399&gt;=CONFIG!$E$20,CONFIG!$F$20,CONFIG!$F$19)))</f>
        <v/>
      </c>
      <c r="N399" s="19" t="str">
        <f aca="false">IF(I399="","",IF(I399&lt;=M399,"OK","ALTA"))</f>
        <v/>
      </c>
      <c r="O399" s="13"/>
    </row>
    <row r="400" customFormat="false" ht="15" hidden="false" customHeight="false" outlineLevel="0" collapsed="false">
      <c r="A400" s="11" t="str">
        <f aca="false">IF(C400="","",ROW()-4)</f>
        <v/>
      </c>
      <c r="B400" s="12"/>
      <c r="C400" s="13"/>
      <c r="D400" s="11" t="str">
        <f aca="false">IF(C400="","",IFERROR(INDEX(LOTES!$D$5:$D$1004,MATCH(C400,LOTES!$F$5:$F$1004,0)),"¿Lote?"))</f>
        <v/>
      </c>
      <c r="E400" s="11" t="str">
        <f aca="false">IF(C400="","",IFERROR(INDEX(LOTES!$C$5:$C$1004,MATCH(C400,LOTES!$F$5:$F$1004,0)),""))</f>
        <v/>
      </c>
      <c r="F400" s="27"/>
      <c r="G400" s="27"/>
      <c r="H400" s="27"/>
      <c r="I400" s="20" t="str">
        <f aca="false">IF(AND(ISNUMBER(F400),ISNUMBER(G400),ISNUMBER(H400),F400&gt;G400,H400&gt;0),(F400-H400)/(F400-G400)*1000,"")</f>
        <v/>
      </c>
      <c r="J400" s="17" t="str">
        <f aca="false">IF(AND(ISNUMBER(F400),ISNUMBER(G400),ISNUMBER(H400),F400&gt;G400,H400&gt;0),(F400-H400)/H400,"")</f>
        <v/>
      </c>
      <c r="K400" s="20" t="str">
        <f aca="false">IF(AND(ISNUMBER(F400),ISNUMBER(G400),ISNUMBER(H400),F400&gt;G400,H400&gt;0),H400/(F400-G400)*1000,"")</f>
        <v/>
      </c>
      <c r="L400" s="11" t="str">
        <f aca="false">IF(K400="","",IF(K400&gt;=CONFIG!$E$21,CONFIG!$D$21,IF(K400&gt;=CONFIG!$E$20,CONFIG!$D$20,CONFIG!$D$19)))</f>
        <v/>
      </c>
      <c r="M400" s="20" t="str">
        <f aca="false">IF(K400="","",IF(K400&gt;=CONFIG!$E$21,CONFIG!$F$21,IF(K400&gt;=CONFIG!$E$20,CONFIG!$F$20,CONFIG!$F$19)))</f>
        <v/>
      </c>
      <c r="N400" s="19" t="str">
        <f aca="false">IF(I400="","",IF(I400&lt;=M400,"OK","ALTA"))</f>
        <v/>
      </c>
      <c r="O400" s="13"/>
    </row>
    <row r="401" customFormat="false" ht="15" hidden="false" customHeight="false" outlineLevel="0" collapsed="false">
      <c r="A401" s="11" t="str">
        <f aca="false">IF(C401="","",ROW()-4)</f>
        <v/>
      </c>
      <c r="B401" s="12"/>
      <c r="C401" s="13"/>
      <c r="D401" s="11" t="str">
        <f aca="false">IF(C401="","",IFERROR(INDEX(LOTES!$D$5:$D$1004,MATCH(C401,LOTES!$F$5:$F$1004,0)),"¿Lote?"))</f>
        <v/>
      </c>
      <c r="E401" s="11" t="str">
        <f aca="false">IF(C401="","",IFERROR(INDEX(LOTES!$C$5:$C$1004,MATCH(C401,LOTES!$F$5:$F$1004,0)),""))</f>
        <v/>
      </c>
      <c r="F401" s="27"/>
      <c r="G401" s="27"/>
      <c r="H401" s="27"/>
      <c r="I401" s="20" t="str">
        <f aca="false">IF(AND(ISNUMBER(F401),ISNUMBER(G401),ISNUMBER(H401),F401&gt;G401,H401&gt;0),(F401-H401)/(F401-G401)*1000,"")</f>
        <v/>
      </c>
      <c r="J401" s="17" t="str">
        <f aca="false">IF(AND(ISNUMBER(F401),ISNUMBER(G401),ISNUMBER(H401),F401&gt;G401,H401&gt;0),(F401-H401)/H401,"")</f>
        <v/>
      </c>
      <c r="K401" s="20" t="str">
        <f aca="false">IF(AND(ISNUMBER(F401),ISNUMBER(G401),ISNUMBER(H401),F401&gt;G401,H401&gt;0),H401/(F401-G401)*1000,"")</f>
        <v/>
      </c>
      <c r="L401" s="11" t="str">
        <f aca="false">IF(K401="","",IF(K401&gt;=CONFIG!$E$21,CONFIG!$D$21,IF(K401&gt;=CONFIG!$E$20,CONFIG!$D$20,CONFIG!$D$19)))</f>
        <v/>
      </c>
      <c r="M401" s="20" t="str">
        <f aca="false">IF(K401="","",IF(K401&gt;=CONFIG!$E$21,CONFIG!$F$21,IF(K401&gt;=CONFIG!$E$20,CONFIG!$F$20,CONFIG!$F$19)))</f>
        <v/>
      </c>
      <c r="N401" s="19" t="str">
        <f aca="false">IF(I401="","",IF(I401&lt;=M401,"OK","ALTA"))</f>
        <v/>
      </c>
      <c r="O401" s="13"/>
    </row>
    <row r="402" customFormat="false" ht="15" hidden="false" customHeight="false" outlineLevel="0" collapsed="false">
      <c r="A402" s="11" t="str">
        <f aca="false">IF(C402="","",ROW()-4)</f>
        <v/>
      </c>
      <c r="B402" s="12"/>
      <c r="C402" s="13"/>
      <c r="D402" s="11" t="str">
        <f aca="false">IF(C402="","",IFERROR(INDEX(LOTES!$D$5:$D$1004,MATCH(C402,LOTES!$F$5:$F$1004,0)),"¿Lote?"))</f>
        <v/>
      </c>
      <c r="E402" s="11" t="str">
        <f aca="false">IF(C402="","",IFERROR(INDEX(LOTES!$C$5:$C$1004,MATCH(C402,LOTES!$F$5:$F$1004,0)),""))</f>
        <v/>
      </c>
      <c r="F402" s="27"/>
      <c r="G402" s="27"/>
      <c r="H402" s="27"/>
      <c r="I402" s="20" t="str">
        <f aca="false">IF(AND(ISNUMBER(F402),ISNUMBER(G402),ISNUMBER(H402),F402&gt;G402,H402&gt;0),(F402-H402)/(F402-G402)*1000,"")</f>
        <v/>
      </c>
      <c r="J402" s="17" t="str">
        <f aca="false">IF(AND(ISNUMBER(F402),ISNUMBER(G402),ISNUMBER(H402),F402&gt;G402,H402&gt;0),(F402-H402)/H402,"")</f>
        <v/>
      </c>
      <c r="K402" s="20" t="str">
        <f aca="false">IF(AND(ISNUMBER(F402),ISNUMBER(G402),ISNUMBER(H402),F402&gt;G402,H402&gt;0),H402/(F402-G402)*1000,"")</f>
        <v/>
      </c>
      <c r="L402" s="11" t="str">
        <f aca="false">IF(K402="","",IF(K402&gt;=CONFIG!$E$21,CONFIG!$D$21,IF(K402&gt;=CONFIG!$E$20,CONFIG!$D$20,CONFIG!$D$19)))</f>
        <v/>
      </c>
      <c r="M402" s="20" t="str">
        <f aca="false">IF(K402="","",IF(K402&gt;=CONFIG!$E$21,CONFIG!$F$21,IF(K402&gt;=CONFIG!$E$20,CONFIG!$F$20,CONFIG!$F$19)))</f>
        <v/>
      </c>
      <c r="N402" s="19" t="str">
        <f aca="false">IF(I402="","",IF(I402&lt;=M402,"OK","ALTA"))</f>
        <v/>
      </c>
      <c r="O402" s="13"/>
    </row>
    <row r="403" customFormat="false" ht="15" hidden="false" customHeight="false" outlineLevel="0" collapsed="false">
      <c r="A403" s="11" t="str">
        <f aca="false">IF(C403="","",ROW()-4)</f>
        <v/>
      </c>
      <c r="B403" s="12"/>
      <c r="C403" s="13"/>
      <c r="D403" s="11" t="str">
        <f aca="false">IF(C403="","",IFERROR(INDEX(LOTES!$D$5:$D$1004,MATCH(C403,LOTES!$F$5:$F$1004,0)),"¿Lote?"))</f>
        <v/>
      </c>
      <c r="E403" s="11" t="str">
        <f aca="false">IF(C403="","",IFERROR(INDEX(LOTES!$C$5:$C$1004,MATCH(C403,LOTES!$F$5:$F$1004,0)),""))</f>
        <v/>
      </c>
      <c r="F403" s="27"/>
      <c r="G403" s="27"/>
      <c r="H403" s="27"/>
      <c r="I403" s="20" t="str">
        <f aca="false">IF(AND(ISNUMBER(F403),ISNUMBER(G403),ISNUMBER(H403),F403&gt;G403,H403&gt;0),(F403-H403)/(F403-G403)*1000,"")</f>
        <v/>
      </c>
      <c r="J403" s="17" t="str">
        <f aca="false">IF(AND(ISNUMBER(F403),ISNUMBER(G403),ISNUMBER(H403),F403&gt;G403,H403&gt;0),(F403-H403)/H403,"")</f>
        <v/>
      </c>
      <c r="K403" s="20" t="str">
        <f aca="false">IF(AND(ISNUMBER(F403),ISNUMBER(G403),ISNUMBER(H403),F403&gt;G403,H403&gt;0),H403/(F403-G403)*1000,"")</f>
        <v/>
      </c>
      <c r="L403" s="11" t="str">
        <f aca="false">IF(K403="","",IF(K403&gt;=CONFIG!$E$21,CONFIG!$D$21,IF(K403&gt;=CONFIG!$E$20,CONFIG!$D$20,CONFIG!$D$19)))</f>
        <v/>
      </c>
      <c r="M403" s="20" t="str">
        <f aca="false">IF(K403="","",IF(K403&gt;=CONFIG!$E$21,CONFIG!$F$21,IF(K403&gt;=CONFIG!$E$20,CONFIG!$F$20,CONFIG!$F$19)))</f>
        <v/>
      </c>
      <c r="N403" s="19" t="str">
        <f aca="false">IF(I403="","",IF(I403&lt;=M403,"OK","ALTA"))</f>
        <v/>
      </c>
      <c r="O403" s="13"/>
    </row>
    <row r="404" customFormat="false" ht="15" hidden="false" customHeight="false" outlineLevel="0" collapsed="false">
      <c r="A404" s="11" t="str">
        <f aca="false">IF(C404="","",ROW()-4)</f>
        <v/>
      </c>
      <c r="B404" s="12"/>
      <c r="C404" s="13"/>
      <c r="D404" s="11" t="str">
        <f aca="false">IF(C404="","",IFERROR(INDEX(LOTES!$D$5:$D$1004,MATCH(C404,LOTES!$F$5:$F$1004,0)),"¿Lote?"))</f>
        <v/>
      </c>
      <c r="E404" s="11" t="str">
        <f aca="false">IF(C404="","",IFERROR(INDEX(LOTES!$C$5:$C$1004,MATCH(C404,LOTES!$F$5:$F$1004,0)),""))</f>
        <v/>
      </c>
      <c r="F404" s="27"/>
      <c r="G404" s="27"/>
      <c r="H404" s="27"/>
      <c r="I404" s="20" t="str">
        <f aca="false">IF(AND(ISNUMBER(F404),ISNUMBER(G404),ISNUMBER(H404),F404&gt;G404,H404&gt;0),(F404-H404)/(F404-G404)*1000,"")</f>
        <v/>
      </c>
      <c r="J404" s="17" t="str">
        <f aca="false">IF(AND(ISNUMBER(F404),ISNUMBER(G404),ISNUMBER(H404),F404&gt;G404,H404&gt;0),(F404-H404)/H404,"")</f>
        <v/>
      </c>
      <c r="K404" s="20" t="str">
        <f aca="false">IF(AND(ISNUMBER(F404),ISNUMBER(G404),ISNUMBER(H404),F404&gt;G404,H404&gt;0),H404/(F404-G404)*1000,"")</f>
        <v/>
      </c>
      <c r="L404" s="11" t="str">
        <f aca="false">IF(K404="","",IF(K404&gt;=CONFIG!$E$21,CONFIG!$D$21,IF(K404&gt;=CONFIG!$E$20,CONFIG!$D$20,CONFIG!$D$19)))</f>
        <v/>
      </c>
      <c r="M404" s="20" t="str">
        <f aca="false">IF(K404="","",IF(K404&gt;=CONFIG!$E$21,CONFIG!$F$21,IF(K404&gt;=CONFIG!$E$20,CONFIG!$F$20,CONFIG!$F$19)))</f>
        <v/>
      </c>
      <c r="N404" s="19" t="str">
        <f aca="false">IF(I404="","",IF(I404&lt;=M404,"OK","ALTA"))</f>
        <v/>
      </c>
      <c r="O404" s="13"/>
    </row>
    <row r="405" customFormat="false" ht="15" hidden="false" customHeight="false" outlineLevel="0" collapsed="false">
      <c r="A405" s="11" t="str">
        <f aca="false">IF(C405="","",ROW()-4)</f>
        <v/>
      </c>
      <c r="B405" s="12"/>
      <c r="C405" s="13"/>
      <c r="D405" s="11" t="str">
        <f aca="false">IF(C405="","",IFERROR(INDEX(LOTES!$D$5:$D$1004,MATCH(C405,LOTES!$F$5:$F$1004,0)),"¿Lote?"))</f>
        <v/>
      </c>
      <c r="E405" s="11" t="str">
        <f aca="false">IF(C405="","",IFERROR(INDEX(LOTES!$C$5:$C$1004,MATCH(C405,LOTES!$F$5:$F$1004,0)),""))</f>
        <v/>
      </c>
      <c r="F405" s="27"/>
      <c r="G405" s="27"/>
      <c r="H405" s="27"/>
      <c r="I405" s="20" t="str">
        <f aca="false">IF(AND(ISNUMBER(F405),ISNUMBER(G405),ISNUMBER(H405),F405&gt;G405,H405&gt;0),(F405-H405)/(F405-G405)*1000,"")</f>
        <v/>
      </c>
      <c r="J405" s="17" t="str">
        <f aca="false">IF(AND(ISNUMBER(F405),ISNUMBER(G405),ISNUMBER(H405),F405&gt;G405,H405&gt;0),(F405-H405)/H405,"")</f>
        <v/>
      </c>
      <c r="K405" s="20" t="str">
        <f aca="false">IF(AND(ISNUMBER(F405),ISNUMBER(G405),ISNUMBER(H405),F405&gt;G405,H405&gt;0),H405/(F405-G405)*1000,"")</f>
        <v/>
      </c>
      <c r="L405" s="11" t="str">
        <f aca="false">IF(K405="","",IF(K405&gt;=CONFIG!$E$21,CONFIG!$D$21,IF(K405&gt;=CONFIG!$E$20,CONFIG!$D$20,CONFIG!$D$19)))</f>
        <v/>
      </c>
      <c r="M405" s="20" t="str">
        <f aca="false">IF(K405="","",IF(K405&gt;=CONFIG!$E$21,CONFIG!$F$21,IF(K405&gt;=CONFIG!$E$20,CONFIG!$F$20,CONFIG!$F$19)))</f>
        <v/>
      </c>
      <c r="N405" s="19" t="str">
        <f aca="false">IF(I405="","",IF(I405&lt;=M405,"OK","ALTA"))</f>
        <v/>
      </c>
      <c r="O405" s="13"/>
    </row>
    <row r="406" customFormat="false" ht="15" hidden="false" customHeight="false" outlineLevel="0" collapsed="false">
      <c r="A406" s="11" t="str">
        <f aca="false">IF(C406="","",ROW()-4)</f>
        <v/>
      </c>
      <c r="B406" s="12"/>
      <c r="C406" s="13"/>
      <c r="D406" s="11" t="str">
        <f aca="false">IF(C406="","",IFERROR(INDEX(LOTES!$D$5:$D$1004,MATCH(C406,LOTES!$F$5:$F$1004,0)),"¿Lote?"))</f>
        <v/>
      </c>
      <c r="E406" s="11" t="str">
        <f aca="false">IF(C406="","",IFERROR(INDEX(LOTES!$C$5:$C$1004,MATCH(C406,LOTES!$F$5:$F$1004,0)),""))</f>
        <v/>
      </c>
      <c r="F406" s="27"/>
      <c r="G406" s="27"/>
      <c r="H406" s="27"/>
      <c r="I406" s="20" t="str">
        <f aca="false">IF(AND(ISNUMBER(F406),ISNUMBER(G406),ISNUMBER(H406),F406&gt;G406,H406&gt;0),(F406-H406)/(F406-G406)*1000,"")</f>
        <v/>
      </c>
      <c r="J406" s="17" t="str">
        <f aca="false">IF(AND(ISNUMBER(F406),ISNUMBER(G406),ISNUMBER(H406),F406&gt;G406,H406&gt;0),(F406-H406)/H406,"")</f>
        <v/>
      </c>
      <c r="K406" s="20" t="str">
        <f aca="false">IF(AND(ISNUMBER(F406),ISNUMBER(G406),ISNUMBER(H406),F406&gt;G406,H406&gt;0),H406/(F406-G406)*1000,"")</f>
        <v/>
      </c>
      <c r="L406" s="11" t="str">
        <f aca="false">IF(K406="","",IF(K406&gt;=CONFIG!$E$21,CONFIG!$D$21,IF(K406&gt;=CONFIG!$E$20,CONFIG!$D$20,CONFIG!$D$19)))</f>
        <v/>
      </c>
      <c r="M406" s="20" t="str">
        <f aca="false">IF(K406="","",IF(K406&gt;=CONFIG!$E$21,CONFIG!$F$21,IF(K406&gt;=CONFIG!$E$20,CONFIG!$F$20,CONFIG!$F$19)))</f>
        <v/>
      </c>
      <c r="N406" s="19" t="str">
        <f aca="false">IF(I406="","",IF(I406&lt;=M406,"OK","ALTA"))</f>
        <v/>
      </c>
      <c r="O406" s="13"/>
    </row>
    <row r="407" customFormat="false" ht="15" hidden="false" customHeight="false" outlineLevel="0" collapsed="false">
      <c r="A407" s="11" t="str">
        <f aca="false">IF(C407="","",ROW()-4)</f>
        <v/>
      </c>
      <c r="B407" s="12"/>
      <c r="C407" s="13"/>
      <c r="D407" s="11" t="str">
        <f aca="false">IF(C407="","",IFERROR(INDEX(LOTES!$D$5:$D$1004,MATCH(C407,LOTES!$F$5:$F$1004,0)),"¿Lote?"))</f>
        <v/>
      </c>
      <c r="E407" s="11" t="str">
        <f aca="false">IF(C407="","",IFERROR(INDEX(LOTES!$C$5:$C$1004,MATCH(C407,LOTES!$F$5:$F$1004,0)),""))</f>
        <v/>
      </c>
      <c r="F407" s="27"/>
      <c r="G407" s="27"/>
      <c r="H407" s="27"/>
      <c r="I407" s="20" t="str">
        <f aca="false">IF(AND(ISNUMBER(F407),ISNUMBER(G407),ISNUMBER(H407),F407&gt;G407,H407&gt;0),(F407-H407)/(F407-G407)*1000,"")</f>
        <v/>
      </c>
      <c r="J407" s="17" t="str">
        <f aca="false">IF(AND(ISNUMBER(F407),ISNUMBER(G407),ISNUMBER(H407),F407&gt;G407,H407&gt;0),(F407-H407)/H407,"")</f>
        <v/>
      </c>
      <c r="K407" s="20" t="str">
        <f aca="false">IF(AND(ISNUMBER(F407),ISNUMBER(G407),ISNUMBER(H407),F407&gt;G407,H407&gt;0),H407/(F407-G407)*1000,"")</f>
        <v/>
      </c>
      <c r="L407" s="11" t="str">
        <f aca="false">IF(K407="","",IF(K407&gt;=CONFIG!$E$21,CONFIG!$D$21,IF(K407&gt;=CONFIG!$E$20,CONFIG!$D$20,CONFIG!$D$19)))</f>
        <v/>
      </c>
      <c r="M407" s="20" t="str">
        <f aca="false">IF(K407="","",IF(K407&gt;=CONFIG!$E$21,CONFIG!$F$21,IF(K407&gt;=CONFIG!$E$20,CONFIG!$F$20,CONFIG!$F$19)))</f>
        <v/>
      </c>
      <c r="N407" s="19" t="str">
        <f aca="false">IF(I407="","",IF(I407&lt;=M407,"OK","ALTA"))</f>
        <v/>
      </c>
      <c r="O407" s="13"/>
    </row>
    <row r="408" customFormat="false" ht="15" hidden="false" customHeight="false" outlineLevel="0" collapsed="false">
      <c r="A408" s="11" t="str">
        <f aca="false">IF(C408="","",ROW()-4)</f>
        <v/>
      </c>
      <c r="B408" s="12"/>
      <c r="C408" s="13"/>
      <c r="D408" s="11" t="str">
        <f aca="false">IF(C408="","",IFERROR(INDEX(LOTES!$D$5:$D$1004,MATCH(C408,LOTES!$F$5:$F$1004,0)),"¿Lote?"))</f>
        <v/>
      </c>
      <c r="E408" s="11" t="str">
        <f aca="false">IF(C408="","",IFERROR(INDEX(LOTES!$C$5:$C$1004,MATCH(C408,LOTES!$F$5:$F$1004,0)),""))</f>
        <v/>
      </c>
      <c r="F408" s="27"/>
      <c r="G408" s="27"/>
      <c r="H408" s="27"/>
      <c r="I408" s="20" t="str">
        <f aca="false">IF(AND(ISNUMBER(F408),ISNUMBER(G408),ISNUMBER(H408),F408&gt;G408,H408&gt;0),(F408-H408)/(F408-G408)*1000,"")</f>
        <v/>
      </c>
      <c r="J408" s="17" t="str">
        <f aca="false">IF(AND(ISNUMBER(F408),ISNUMBER(G408),ISNUMBER(H408),F408&gt;G408,H408&gt;0),(F408-H408)/H408,"")</f>
        <v/>
      </c>
      <c r="K408" s="20" t="str">
        <f aca="false">IF(AND(ISNUMBER(F408),ISNUMBER(G408),ISNUMBER(H408),F408&gt;G408,H408&gt;0),H408/(F408-G408)*1000,"")</f>
        <v/>
      </c>
      <c r="L408" s="11" t="str">
        <f aca="false">IF(K408="","",IF(K408&gt;=CONFIG!$E$21,CONFIG!$D$21,IF(K408&gt;=CONFIG!$E$20,CONFIG!$D$20,CONFIG!$D$19)))</f>
        <v/>
      </c>
      <c r="M408" s="20" t="str">
        <f aca="false">IF(K408="","",IF(K408&gt;=CONFIG!$E$21,CONFIG!$F$21,IF(K408&gt;=CONFIG!$E$20,CONFIG!$F$20,CONFIG!$F$19)))</f>
        <v/>
      </c>
      <c r="N408" s="19" t="str">
        <f aca="false">IF(I408="","",IF(I408&lt;=M408,"OK","ALTA"))</f>
        <v/>
      </c>
      <c r="O408" s="13"/>
    </row>
    <row r="409" customFormat="false" ht="15" hidden="false" customHeight="false" outlineLevel="0" collapsed="false">
      <c r="A409" s="11" t="str">
        <f aca="false">IF(C409="","",ROW()-4)</f>
        <v/>
      </c>
      <c r="B409" s="12"/>
      <c r="C409" s="13"/>
      <c r="D409" s="11" t="str">
        <f aca="false">IF(C409="","",IFERROR(INDEX(LOTES!$D$5:$D$1004,MATCH(C409,LOTES!$F$5:$F$1004,0)),"¿Lote?"))</f>
        <v/>
      </c>
      <c r="E409" s="11" t="str">
        <f aca="false">IF(C409="","",IFERROR(INDEX(LOTES!$C$5:$C$1004,MATCH(C409,LOTES!$F$5:$F$1004,0)),""))</f>
        <v/>
      </c>
      <c r="F409" s="27"/>
      <c r="G409" s="27"/>
      <c r="H409" s="27"/>
      <c r="I409" s="20" t="str">
        <f aca="false">IF(AND(ISNUMBER(F409),ISNUMBER(G409),ISNUMBER(H409),F409&gt;G409,H409&gt;0),(F409-H409)/(F409-G409)*1000,"")</f>
        <v/>
      </c>
      <c r="J409" s="17" t="str">
        <f aca="false">IF(AND(ISNUMBER(F409),ISNUMBER(G409),ISNUMBER(H409),F409&gt;G409,H409&gt;0),(F409-H409)/H409,"")</f>
        <v/>
      </c>
      <c r="K409" s="20" t="str">
        <f aca="false">IF(AND(ISNUMBER(F409),ISNUMBER(G409),ISNUMBER(H409),F409&gt;G409,H409&gt;0),H409/(F409-G409)*1000,"")</f>
        <v/>
      </c>
      <c r="L409" s="11" t="str">
        <f aca="false">IF(K409="","",IF(K409&gt;=CONFIG!$E$21,CONFIG!$D$21,IF(K409&gt;=CONFIG!$E$20,CONFIG!$D$20,CONFIG!$D$19)))</f>
        <v/>
      </c>
      <c r="M409" s="20" t="str">
        <f aca="false">IF(K409="","",IF(K409&gt;=CONFIG!$E$21,CONFIG!$F$21,IF(K409&gt;=CONFIG!$E$20,CONFIG!$F$20,CONFIG!$F$19)))</f>
        <v/>
      </c>
      <c r="N409" s="19" t="str">
        <f aca="false">IF(I409="","",IF(I409&lt;=M409,"OK","ALTA"))</f>
        <v/>
      </c>
      <c r="O409" s="13"/>
    </row>
    <row r="410" customFormat="false" ht="15" hidden="false" customHeight="false" outlineLevel="0" collapsed="false">
      <c r="A410" s="11" t="str">
        <f aca="false">IF(C410="","",ROW()-4)</f>
        <v/>
      </c>
      <c r="B410" s="12"/>
      <c r="C410" s="13"/>
      <c r="D410" s="11" t="str">
        <f aca="false">IF(C410="","",IFERROR(INDEX(LOTES!$D$5:$D$1004,MATCH(C410,LOTES!$F$5:$F$1004,0)),"¿Lote?"))</f>
        <v/>
      </c>
      <c r="E410" s="11" t="str">
        <f aca="false">IF(C410="","",IFERROR(INDEX(LOTES!$C$5:$C$1004,MATCH(C410,LOTES!$F$5:$F$1004,0)),""))</f>
        <v/>
      </c>
      <c r="F410" s="27"/>
      <c r="G410" s="27"/>
      <c r="H410" s="27"/>
      <c r="I410" s="20" t="str">
        <f aca="false">IF(AND(ISNUMBER(F410),ISNUMBER(G410),ISNUMBER(H410),F410&gt;G410,H410&gt;0),(F410-H410)/(F410-G410)*1000,"")</f>
        <v/>
      </c>
      <c r="J410" s="17" t="str">
        <f aca="false">IF(AND(ISNUMBER(F410),ISNUMBER(G410),ISNUMBER(H410),F410&gt;G410,H410&gt;0),(F410-H410)/H410,"")</f>
        <v/>
      </c>
      <c r="K410" s="20" t="str">
        <f aca="false">IF(AND(ISNUMBER(F410),ISNUMBER(G410),ISNUMBER(H410),F410&gt;G410,H410&gt;0),H410/(F410-G410)*1000,"")</f>
        <v/>
      </c>
      <c r="L410" s="11" t="str">
        <f aca="false">IF(K410="","",IF(K410&gt;=CONFIG!$E$21,CONFIG!$D$21,IF(K410&gt;=CONFIG!$E$20,CONFIG!$D$20,CONFIG!$D$19)))</f>
        <v/>
      </c>
      <c r="M410" s="20" t="str">
        <f aca="false">IF(K410="","",IF(K410&gt;=CONFIG!$E$21,CONFIG!$F$21,IF(K410&gt;=CONFIG!$E$20,CONFIG!$F$20,CONFIG!$F$19)))</f>
        <v/>
      </c>
      <c r="N410" s="19" t="str">
        <f aca="false">IF(I410="","",IF(I410&lt;=M410,"OK","ALTA"))</f>
        <v/>
      </c>
      <c r="O410" s="13"/>
    </row>
    <row r="411" customFormat="false" ht="15" hidden="false" customHeight="false" outlineLevel="0" collapsed="false">
      <c r="A411" s="11" t="str">
        <f aca="false">IF(C411="","",ROW()-4)</f>
        <v/>
      </c>
      <c r="B411" s="12"/>
      <c r="C411" s="13"/>
      <c r="D411" s="11" t="str">
        <f aca="false">IF(C411="","",IFERROR(INDEX(LOTES!$D$5:$D$1004,MATCH(C411,LOTES!$F$5:$F$1004,0)),"¿Lote?"))</f>
        <v/>
      </c>
      <c r="E411" s="11" t="str">
        <f aca="false">IF(C411="","",IFERROR(INDEX(LOTES!$C$5:$C$1004,MATCH(C411,LOTES!$F$5:$F$1004,0)),""))</f>
        <v/>
      </c>
      <c r="F411" s="27"/>
      <c r="G411" s="27"/>
      <c r="H411" s="27"/>
      <c r="I411" s="20" t="str">
        <f aca="false">IF(AND(ISNUMBER(F411),ISNUMBER(G411),ISNUMBER(H411),F411&gt;G411,H411&gt;0),(F411-H411)/(F411-G411)*1000,"")</f>
        <v/>
      </c>
      <c r="J411" s="17" t="str">
        <f aca="false">IF(AND(ISNUMBER(F411),ISNUMBER(G411),ISNUMBER(H411),F411&gt;G411,H411&gt;0),(F411-H411)/H411,"")</f>
        <v/>
      </c>
      <c r="K411" s="20" t="str">
        <f aca="false">IF(AND(ISNUMBER(F411),ISNUMBER(G411),ISNUMBER(H411),F411&gt;G411,H411&gt;0),H411/(F411-G411)*1000,"")</f>
        <v/>
      </c>
      <c r="L411" s="11" t="str">
        <f aca="false">IF(K411="","",IF(K411&gt;=CONFIG!$E$21,CONFIG!$D$21,IF(K411&gt;=CONFIG!$E$20,CONFIG!$D$20,CONFIG!$D$19)))</f>
        <v/>
      </c>
      <c r="M411" s="20" t="str">
        <f aca="false">IF(K411="","",IF(K411&gt;=CONFIG!$E$21,CONFIG!$F$21,IF(K411&gt;=CONFIG!$E$20,CONFIG!$F$20,CONFIG!$F$19)))</f>
        <v/>
      </c>
      <c r="N411" s="19" t="str">
        <f aca="false">IF(I411="","",IF(I411&lt;=M411,"OK","ALTA"))</f>
        <v/>
      </c>
      <c r="O411" s="13"/>
    </row>
    <row r="412" customFormat="false" ht="15" hidden="false" customHeight="false" outlineLevel="0" collapsed="false">
      <c r="A412" s="11" t="str">
        <f aca="false">IF(C412="","",ROW()-4)</f>
        <v/>
      </c>
      <c r="B412" s="12"/>
      <c r="C412" s="13"/>
      <c r="D412" s="11" t="str">
        <f aca="false">IF(C412="","",IFERROR(INDEX(LOTES!$D$5:$D$1004,MATCH(C412,LOTES!$F$5:$F$1004,0)),"¿Lote?"))</f>
        <v/>
      </c>
      <c r="E412" s="11" t="str">
        <f aca="false">IF(C412="","",IFERROR(INDEX(LOTES!$C$5:$C$1004,MATCH(C412,LOTES!$F$5:$F$1004,0)),""))</f>
        <v/>
      </c>
      <c r="F412" s="27"/>
      <c r="G412" s="27"/>
      <c r="H412" s="27"/>
      <c r="I412" s="20" t="str">
        <f aca="false">IF(AND(ISNUMBER(F412),ISNUMBER(G412),ISNUMBER(H412),F412&gt;G412,H412&gt;0),(F412-H412)/(F412-G412)*1000,"")</f>
        <v/>
      </c>
      <c r="J412" s="17" t="str">
        <f aca="false">IF(AND(ISNUMBER(F412),ISNUMBER(G412),ISNUMBER(H412),F412&gt;G412,H412&gt;0),(F412-H412)/H412,"")</f>
        <v/>
      </c>
      <c r="K412" s="20" t="str">
        <f aca="false">IF(AND(ISNUMBER(F412),ISNUMBER(G412),ISNUMBER(H412),F412&gt;G412,H412&gt;0),H412/(F412-G412)*1000,"")</f>
        <v/>
      </c>
      <c r="L412" s="11" t="str">
        <f aca="false">IF(K412="","",IF(K412&gt;=CONFIG!$E$21,CONFIG!$D$21,IF(K412&gt;=CONFIG!$E$20,CONFIG!$D$20,CONFIG!$D$19)))</f>
        <v/>
      </c>
      <c r="M412" s="20" t="str">
        <f aca="false">IF(K412="","",IF(K412&gt;=CONFIG!$E$21,CONFIG!$F$21,IF(K412&gt;=CONFIG!$E$20,CONFIG!$F$20,CONFIG!$F$19)))</f>
        <v/>
      </c>
      <c r="N412" s="19" t="str">
        <f aca="false">IF(I412="","",IF(I412&lt;=M412,"OK","ALTA"))</f>
        <v/>
      </c>
      <c r="O412" s="13"/>
    </row>
    <row r="413" customFormat="false" ht="15" hidden="false" customHeight="false" outlineLevel="0" collapsed="false">
      <c r="A413" s="11" t="str">
        <f aca="false">IF(C413="","",ROW()-4)</f>
        <v/>
      </c>
      <c r="B413" s="12"/>
      <c r="C413" s="13"/>
      <c r="D413" s="11" t="str">
        <f aca="false">IF(C413="","",IFERROR(INDEX(LOTES!$D$5:$D$1004,MATCH(C413,LOTES!$F$5:$F$1004,0)),"¿Lote?"))</f>
        <v/>
      </c>
      <c r="E413" s="11" t="str">
        <f aca="false">IF(C413="","",IFERROR(INDEX(LOTES!$C$5:$C$1004,MATCH(C413,LOTES!$F$5:$F$1004,0)),""))</f>
        <v/>
      </c>
      <c r="F413" s="27"/>
      <c r="G413" s="27"/>
      <c r="H413" s="27"/>
      <c r="I413" s="20" t="str">
        <f aca="false">IF(AND(ISNUMBER(F413),ISNUMBER(G413),ISNUMBER(H413),F413&gt;G413,H413&gt;0),(F413-H413)/(F413-G413)*1000,"")</f>
        <v/>
      </c>
      <c r="J413" s="17" t="str">
        <f aca="false">IF(AND(ISNUMBER(F413),ISNUMBER(G413),ISNUMBER(H413),F413&gt;G413,H413&gt;0),(F413-H413)/H413,"")</f>
        <v/>
      </c>
      <c r="K413" s="20" t="str">
        <f aca="false">IF(AND(ISNUMBER(F413),ISNUMBER(G413),ISNUMBER(H413),F413&gt;G413,H413&gt;0),H413/(F413-G413)*1000,"")</f>
        <v/>
      </c>
      <c r="L413" s="11" t="str">
        <f aca="false">IF(K413="","",IF(K413&gt;=CONFIG!$E$21,CONFIG!$D$21,IF(K413&gt;=CONFIG!$E$20,CONFIG!$D$20,CONFIG!$D$19)))</f>
        <v/>
      </c>
      <c r="M413" s="20" t="str">
        <f aca="false">IF(K413="","",IF(K413&gt;=CONFIG!$E$21,CONFIG!$F$21,IF(K413&gt;=CONFIG!$E$20,CONFIG!$F$20,CONFIG!$F$19)))</f>
        <v/>
      </c>
      <c r="N413" s="19" t="str">
        <f aca="false">IF(I413="","",IF(I413&lt;=M413,"OK","ALTA"))</f>
        <v/>
      </c>
      <c r="O413" s="13"/>
    </row>
    <row r="414" customFormat="false" ht="15" hidden="false" customHeight="false" outlineLevel="0" collapsed="false">
      <c r="A414" s="11" t="str">
        <f aca="false">IF(C414="","",ROW()-4)</f>
        <v/>
      </c>
      <c r="B414" s="12"/>
      <c r="C414" s="13"/>
      <c r="D414" s="11" t="str">
        <f aca="false">IF(C414="","",IFERROR(INDEX(LOTES!$D$5:$D$1004,MATCH(C414,LOTES!$F$5:$F$1004,0)),"¿Lote?"))</f>
        <v/>
      </c>
      <c r="E414" s="11" t="str">
        <f aca="false">IF(C414="","",IFERROR(INDEX(LOTES!$C$5:$C$1004,MATCH(C414,LOTES!$F$5:$F$1004,0)),""))</f>
        <v/>
      </c>
      <c r="F414" s="27"/>
      <c r="G414" s="27"/>
      <c r="H414" s="27"/>
      <c r="I414" s="20" t="str">
        <f aca="false">IF(AND(ISNUMBER(F414),ISNUMBER(G414),ISNUMBER(H414),F414&gt;G414,H414&gt;0),(F414-H414)/(F414-G414)*1000,"")</f>
        <v/>
      </c>
      <c r="J414" s="17" t="str">
        <f aca="false">IF(AND(ISNUMBER(F414),ISNUMBER(G414),ISNUMBER(H414),F414&gt;G414,H414&gt;0),(F414-H414)/H414,"")</f>
        <v/>
      </c>
      <c r="K414" s="20" t="str">
        <f aca="false">IF(AND(ISNUMBER(F414),ISNUMBER(G414),ISNUMBER(H414),F414&gt;G414,H414&gt;0),H414/(F414-G414)*1000,"")</f>
        <v/>
      </c>
      <c r="L414" s="11" t="str">
        <f aca="false">IF(K414="","",IF(K414&gt;=CONFIG!$E$21,CONFIG!$D$21,IF(K414&gt;=CONFIG!$E$20,CONFIG!$D$20,CONFIG!$D$19)))</f>
        <v/>
      </c>
      <c r="M414" s="20" t="str">
        <f aca="false">IF(K414="","",IF(K414&gt;=CONFIG!$E$21,CONFIG!$F$21,IF(K414&gt;=CONFIG!$E$20,CONFIG!$F$20,CONFIG!$F$19)))</f>
        <v/>
      </c>
      <c r="N414" s="19" t="str">
        <f aca="false">IF(I414="","",IF(I414&lt;=M414,"OK","ALTA"))</f>
        <v/>
      </c>
      <c r="O414" s="13"/>
    </row>
    <row r="415" customFormat="false" ht="15" hidden="false" customHeight="false" outlineLevel="0" collapsed="false">
      <c r="A415" s="11" t="str">
        <f aca="false">IF(C415="","",ROW()-4)</f>
        <v/>
      </c>
      <c r="B415" s="12"/>
      <c r="C415" s="13"/>
      <c r="D415" s="11" t="str">
        <f aca="false">IF(C415="","",IFERROR(INDEX(LOTES!$D$5:$D$1004,MATCH(C415,LOTES!$F$5:$F$1004,0)),"¿Lote?"))</f>
        <v/>
      </c>
      <c r="E415" s="11" t="str">
        <f aca="false">IF(C415="","",IFERROR(INDEX(LOTES!$C$5:$C$1004,MATCH(C415,LOTES!$F$5:$F$1004,0)),""))</f>
        <v/>
      </c>
      <c r="F415" s="27"/>
      <c r="G415" s="27"/>
      <c r="H415" s="27"/>
      <c r="I415" s="20" t="str">
        <f aca="false">IF(AND(ISNUMBER(F415),ISNUMBER(G415),ISNUMBER(H415),F415&gt;G415,H415&gt;0),(F415-H415)/(F415-G415)*1000,"")</f>
        <v/>
      </c>
      <c r="J415" s="17" t="str">
        <f aca="false">IF(AND(ISNUMBER(F415),ISNUMBER(G415),ISNUMBER(H415),F415&gt;G415,H415&gt;0),(F415-H415)/H415,"")</f>
        <v/>
      </c>
      <c r="K415" s="20" t="str">
        <f aca="false">IF(AND(ISNUMBER(F415),ISNUMBER(G415),ISNUMBER(H415),F415&gt;G415,H415&gt;0),H415/(F415-G415)*1000,"")</f>
        <v/>
      </c>
      <c r="L415" s="11" t="str">
        <f aca="false">IF(K415="","",IF(K415&gt;=CONFIG!$E$21,CONFIG!$D$21,IF(K415&gt;=CONFIG!$E$20,CONFIG!$D$20,CONFIG!$D$19)))</f>
        <v/>
      </c>
      <c r="M415" s="20" t="str">
        <f aca="false">IF(K415="","",IF(K415&gt;=CONFIG!$E$21,CONFIG!$F$21,IF(K415&gt;=CONFIG!$E$20,CONFIG!$F$20,CONFIG!$F$19)))</f>
        <v/>
      </c>
      <c r="N415" s="19" t="str">
        <f aca="false">IF(I415="","",IF(I415&lt;=M415,"OK","ALTA"))</f>
        <v/>
      </c>
      <c r="O415" s="13"/>
    </row>
    <row r="416" customFormat="false" ht="15" hidden="false" customHeight="false" outlineLevel="0" collapsed="false">
      <c r="A416" s="11" t="str">
        <f aca="false">IF(C416="","",ROW()-4)</f>
        <v/>
      </c>
      <c r="B416" s="12"/>
      <c r="C416" s="13"/>
      <c r="D416" s="11" t="str">
        <f aca="false">IF(C416="","",IFERROR(INDEX(LOTES!$D$5:$D$1004,MATCH(C416,LOTES!$F$5:$F$1004,0)),"¿Lote?"))</f>
        <v/>
      </c>
      <c r="E416" s="11" t="str">
        <f aca="false">IF(C416="","",IFERROR(INDEX(LOTES!$C$5:$C$1004,MATCH(C416,LOTES!$F$5:$F$1004,0)),""))</f>
        <v/>
      </c>
      <c r="F416" s="27"/>
      <c r="G416" s="27"/>
      <c r="H416" s="27"/>
      <c r="I416" s="20" t="str">
        <f aca="false">IF(AND(ISNUMBER(F416),ISNUMBER(G416),ISNUMBER(H416),F416&gt;G416,H416&gt;0),(F416-H416)/(F416-G416)*1000,"")</f>
        <v/>
      </c>
      <c r="J416" s="17" t="str">
        <f aca="false">IF(AND(ISNUMBER(F416),ISNUMBER(G416),ISNUMBER(H416),F416&gt;G416,H416&gt;0),(F416-H416)/H416,"")</f>
        <v/>
      </c>
      <c r="K416" s="20" t="str">
        <f aca="false">IF(AND(ISNUMBER(F416),ISNUMBER(G416),ISNUMBER(H416),F416&gt;G416,H416&gt;0),H416/(F416-G416)*1000,"")</f>
        <v/>
      </c>
      <c r="L416" s="11" t="str">
        <f aca="false">IF(K416="","",IF(K416&gt;=CONFIG!$E$21,CONFIG!$D$21,IF(K416&gt;=CONFIG!$E$20,CONFIG!$D$20,CONFIG!$D$19)))</f>
        <v/>
      </c>
      <c r="M416" s="20" t="str">
        <f aca="false">IF(K416="","",IF(K416&gt;=CONFIG!$E$21,CONFIG!$F$21,IF(K416&gt;=CONFIG!$E$20,CONFIG!$F$20,CONFIG!$F$19)))</f>
        <v/>
      </c>
      <c r="N416" s="19" t="str">
        <f aca="false">IF(I416="","",IF(I416&lt;=M416,"OK","ALTA"))</f>
        <v/>
      </c>
      <c r="O416" s="13"/>
    </row>
    <row r="417" customFormat="false" ht="15" hidden="false" customHeight="false" outlineLevel="0" collapsed="false">
      <c r="A417" s="11" t="str">
        <f aca="false">IF(C417="","",ROW()-4)</f>
        <v/>
      </c>
      <c r="B417" s="12"/>
      <c r="C417" s="13"/>
      <c r="D417" s="11" t="str">
        <f aca="false">IF(C417="","",IFERROR(INDEX(LOTES!$D$5:$D$1004,MATCH(C417,LOTES!$F$5:$F$1004,0)),"¿Lote?"))</f>
        <v/>
      </c>
      <c r="E417" s="11" t="str">
        <f aca="false">IF(C417="","",IFERROR(INDEX(LOTES!$C$5:$C$1004,MATCH(C417,LOTES!$F$5:$F$1004,0)),""))</f>
        <v/>
      </c>
      <c r="F417" s="27"/>
      <c r="G417" s="27"/>
      <c r="H417" s="27"/>
      <c r="I417" s="20" t="str">
        <f aca="false">IF(AND(ISNUMBER(F417),ISNUMBER(G417),ISNUMBER(H417),F417&gt;G417,H417&gt;0),(F417-H417)/(F417-G417)*1000,"")</f>
        <v/>
      </c>
      <c r="J417" s="17" t="str">
        <f aca="false">IF(AND(ISNUMBER(F417),ISNUMBER(G417),ISNUMBER(H417),F417&gt;G417,H417&gt;0),(F417-H417)/H417,"")</f>
        <v/>
      </c>
      <c r="K417" s="20" t="str">
        <f aca="false">IF(AND(ISNUMBER(F417),ISNUMBER(G417),ISNUMBER(H417),F417&gt;G417,H417&gt;0),H417/(F417-G417)*1000,"")</f>
        <v/>
      </c>
      <c r="L417" s="11" t="str">
        <f aca="false">IF(K417="","",IF(K417&gt;=CONFIG!$E$21,CONFIG!$D$21,IF(K417&gt;=CONFIG!$E$20,CONFIG!$D$20,CONFIG!$D$19)))</f>
        <v/>
      </c>
      <c r="M417" s="20" t="str">
        <f aca="false">IF(K417="","",IF(K417&gt;=CONFIG!$E$21,CONFIG!$F$21,IF(K417&gt;=CONFIG!$E$20,CONFIG!$F$20,CONFIG!$F$19)))</f>
        <v/>
      </c>
      <c r="N417" s="19" t="str">
        <f aca="false">IF(I417="","",IF(I417&lt;=M417,"OK","ALTA"))</f>
        <v/>
      </c>
      <c r="O417" s="13"/>
    </row>
    <row r="418" customFormat="false" ht="15" hidden="false" customHeight="false" outlineLevel="0" collapsed="false">
      <c r="A418" s="11" t="str">
        <f aca="false">IF(C418="","",ROW()-4)</f>
        <v/>
      </c>
      <c r="B418" s="12"/>
      <c r="C418" s="13"/>
      <c r="D418" s="11" t="str">
        <f aca="false">IF(C418="","",IFERROR(INDEX(LOTES!$D$5:$D$1004,MATCH(C418,LOTES!$F$5:$F$1004,0)),"¿Lote?"))</f>
        <v/>
      </c>
      <c r="E418" s="11" t="str">
        <f aca="false">IF(C418="","",IFERROR(INDEX(LOTES!$C$5:$C$1004,MATCH(C418,LOTES!$F$5:$F$1004,0)),""))</f>
        <v/>
      </c>
      <c r="F418" s="27"/>
      <c r="G418" s="27"/>
      <c r="H418" s="27"/>
      <c r="I418" s="20" t="str">
        <f aca="false">IF(AND(ISNUMBER(F418),ISNUMBER(G418),ISNUMBER(H418),F418&gt;G418,H418&gt;0),(F418-H418)/(F418-G418)*1000,"")</f>
        <v/>
      </c>
      <c r="J418" s="17" t="str">
        <f aca="false">IF(AND(ISNUMBER(F418),ISNUMBER(G418),ISNUMBER(H418),F418&gt;G418,H418&gt;0),(F418-H418)/H418,"")</f>
        <v/>
      </c>
      <c r="K418" s="20" t="str">
        <f aca="false">IF(AND(ISNUMBER(F418),ISNUMBER(G418),ISNUMBER(H418),F418&gt;G418,H418&gt;0),H418/(F418-G418)*1000,"")</f>
        <v/>
      </c>
      <c r="L418" s="11" t="str">
        <f aca="false">IF(K418="","",IF(K418&gt;=CONFIG!$E$21,CONFIG!$D$21,IF(K418&gt;=CONFIG!$E$20,CONFIG!$D$20,CONFIG!$D$19)))</f>
        <v/>
      </c>
      <c r="M418" s="20" t="str">
        <f aca="false">IF(K418="","",IF(K418&gt;=CONFIG!$E$21,CONFIG!$F$21,IF(K418&gt;=CONFIG!$E$20,CONFIG!$F$20,CONFIG!$F$19)))</f>
        <v/>
      </c>
      <c r="N418" s="19" t="str">
        <f aca="false">IF(I418="","",IF(I418&lt;=M418,"OK","ALTA"))</f>
        <v/>
      </c>
      <c r="O418" s="13"/>
    </row>
    <row r="419" customFormat="false" ht="15" hidden="false" customHeight="false" outlineLevel="0" collapsed="false">
      <c r="A419" s="11" t="str">
        <f aca="false">IF(C419="","",ROW()-4)</f>
        <v/>
      </c>
      <c r="B419" s="12"/>
      <c r="C419" s="13"/>
      <c r="D419" s="11" t="str">
        <f aca="false">IF(C419="","",IFERROR(INDEX(LOTES!$D$5:$D$1004,MATCH(C419,LOTES!$F$5:$F$1004,0)),"¿Lote?"))</f>
        <v/>
      </c>
      <c r="E419" s="11" t="str">
        <f aca="false">IF(C419="","",IFERROR(INDEX(LOTES!$C$5:$C$1004,MATCH(C419,LOTES!$F$5:$F$1004,0)),""))</f>
        <v/>
      </c>
      <c r="F419" s="27"/>
      <c r="G419" s="27"/>
      <c r="H419" s="27"/>
      <c r="I419" s="20" t="str">
        <f aca="false">IF(AND(ISNUMBER(F419),ISNUMBER(G419),ISNUMBER(H419),F419&gt;G419,H419&gt;0),(F419-H419)/(F419-G419)*1000,"")</f>
        <v/>
      </c>
      <c r="J419" s="17" t="str">
        <f aca="false">IF(AND(ISNUMBER(F419),ISNUMBER(G419),ISNUMBER(H419),F419&gt;G419,H419&gt;0),(F419-H419)/H419,"")</f>
        <v/>
      </c>
      <c r="K419" s="20" t="str">
        <f aca="false">IF(AND(ISNUMBER(F419),ISNUMBER(G419),ISNUMBER(H419),F419&gt;G419,H419&gt;0),H419/(F419-G419)*1000,"")</f>
        <v/>
      </c>
      <c r="L419" s="11" t="str">
        <f aca="false">IF(K419="","",IF(K419&gt;=CONFIG!$E$21,CONFIG!$D$21,IF(K419&gt;=CONFIG!$E$20,CONFIG!$D$20,CONFIG!$D$19)))</f>
        <v/>
      </c>
      <c r="M419" s="20" t="str">
        <f aca="false">IF(K419="","",IF(K419&gt;=CONFIG!$E$21,CONFIG!$F$21,IF(K419&gt;=CONFIG!$E$20,CONFIG!$F$20,CONFIG!$F$19)))</f>
        <v/>
      </c>
      <c r="N419" s="19" t="str">
        <f aca="false">IF(I419="","",IF(I419&lt;=M419,"OK","ALTA"))</f>
        <v/>
      </c>
      <c r="O419" s="13"/>
    </row>
    <row r="420" customFormat="false" ht="15" hidden="false" customHeight="false" outlineLevel="0" collapsed="false">
      <c r="A420" s="11" t="str">
        <f aca="false">IF(C420="","",ROW()-4)</f>
        <v/>
      </c>
      <c r="B420" s="12"/>
      <c r="C420" s="13"/>
      <c r="D420" s="11" t="str">
        <f aca="false">IF(C420="","",IFERROR(INDEX(LOTES!$D$5:$D$1004,MATCH(C420,LOTES!$F$5:$F$1004,0)),"¿Lote?"))</f>
        <v/>
      </c>
      <c r="E420" s="11" t="str">
        <f aca="false">IF(C420="","",IFERROR(INDEX(LOTES!$C$5:$C$1004,MATCH(C420,LOTES!$F$5:$F$1004,0)),""))</f>
        <v/>
      </c>
      <c r="F420" s="27"/>
      <c r="G420" s="27"/>
      <c r="H420" s="27"/>
      <c r="I420" s="20" t="str">
        <f aca="false">IF(AND(ISNUMBER(F420),ISNUMBER(G420),ISNUMBER(H420),F420&gt;G420,H420&gt;0),(F420-H420)/(F420-G420)*1000,"")</f>
        <v/>
      </c>
      <c r="J420" s="17" t="str">
        <f aca="false">IF(AND(ISNUMBER(F420),ISNUMBER(G420),ISNUMBER(H420),F420&gt;G420,H420&gt;0),(F420-H420)/H420,"")</f>
        <v/>
      </c>
      <c r="K420" s="20" t="str">
        <f aca="false">IF(AND(ISNUMBER(F420),ISNUMBER(G420),ISNUMBER(H420),F420&gt;G420,H420&gt;0),H420/(F420-G420)*1000,"")</f>
        <v/>
      </c>
      <c r="L420" s="11" t="str">
        <f aca="false">IF(K420="","",IF(K420&gt;=CONFIG!$E$21,CONFIG!$D$21,IF(K420&gt;=CONFIG!$E$20,CONFIG!$D$20,CONFIG!$D$19)))</f>
        <v/>
      </c>
      <c r="M420" s="20" t="str">
        <f aca="false">IF(K420="","",IF(K420&gt;=CONFIG!$E$21,CONFIG!$F$21,IF(K420&gt;=CONFIG!$E$20,CONFIG!$F$20,CONFIG!$F$19)))</f>
        <v/>
      </c>
      <c r="N420" s="19" t="str">
        <f aca="false">IF(I420="","",IF(I420&lt;=M420,"OK","ALTA"))</f>
        <v/>
      </c>
      <c r="O420" s="13"/>
    </row>
    <row r="421" customFormat="false" ht="15" hidden="false" customHeight="false" outlineLevel="0" collapsed="false">
      <c r="A421" s="11" t="str">
        <f aca="false">IF(C421="","",ROW()-4)</f>
        <v/>
      </c>
      <c r="B421" s="12"/>
      <c r="C421" s="13"/>
      <c r="D421" s="11" t="str">
        <f aca="false">IF(C421="","",IFERROR(INDEX(LOTES!$D$5:$D$1004,MATCH(C421,LOTES!$F$5:$F$1004,0)),"¿Lote?"))</f>
        <v/>
      </c>
      <c r="E421" s="11" t="str">
        <f aca="false">IF(C421="","",IFERROR(INDEX(LOTES!$C$5:$C$1004,MATCH(C421,LOTES!$F$5:$F$1004,0)),""))</f>
        <v/>
      </c>
      <c r="F421" s="27"/>
      <c r="G421" s="27"/>
      <c r="H421" s="27"/>
      <c r="I421" s="20" t="str">
        <f aca="false">IF(AND(ISNUMBER(F421),ISNUMBER(G421),ISNUMBER(H421),F421&gt;G421,H421&gt;0),(F421-H421)/(F421-G421)*1000,"")</f>
        <v/>
      </c>
      <c r="J421" s="17" t="str">
        <f aca="false">IF(AND(ISNUMBER(F421),ISNUMBER(G421),ISNUMBER(H421),F421&gt;G421,H421&gt;0),(F421-H421)/H421,"")</f>
        <v/>
      </c>
      <c r="K421" s="20" t="str">
        <f aca="false">IF(AND(ISNUMBER(F421),ISNUMBER(G421),ISNUMBER(H421),F421&gt;G421,H421&gt;0),H421/(F421-G421)*1000,"")</f>
        <v/>
      </c>
      <c r="L421" s="11" t="str">
        <f aca="false">IF(K421="","",IF(K421&gt;=CONFIG!$E$21,CONFIG!$D$21,IF(K421&gt;=CONFIG!$E$20,CONFIG!$D$20,CONFIG!$D$19)))</f>
        <v/>
      </c>
      <c r="M421" s="20" t="str">
        <f aca="false">IF(K421="","",IF(K421&gt;=CONFIG!$E$21,CONFIG!$F$21,IF(K421&gt;=CONFIG!$E$20,CONFIG!$F$20,CONFIG!$F$19)))</f>
        <v/>
      </c>
      <c r="N421" s="19" t="str">
        <f aca="false">IF(I421="","",IF(I421&lt;=M421,"OK","ALTA"))</f>
        <v/>
      </c>
      <c r="O421" s="13"/>
    </row>
    <row r="422" customFormat="false" ht="15" hidden="false" customHeight="false" outlineLevel="0" collapsed="false">
      <c r="A422" s="11" t="str">
        <f aca="false">IF(C422="","",ROW()-4)</f>
        <v/>
      </c>
      <c r="B422" s="12"/>
      <c r="C422" s="13"/>
      <c r="D422" s="11" t="str">
        <f aca="false">IF(C422="","",IFERROR(INDEX(LOTES!$D$5:$D$1004,MATCH(C422,LOTES!$F$5:$F$1004,0)),"¿Lote?"))</f>
        <v/>
      </c>
      <c r="E422" s="11" t="str">
        <f aca="false">IF(C422="","",IFERROR(INDEX(LOTES!$C$5:$C$1004,MATCH(C422,LOTES!$F$5:$F$1004,0)),""))</f>
        <v/>
      </c>
      <c r="F422" s="27"/>
      <c r="G422" s="27"/>
      <c r="H422" s="27"/>
      <c r="I422" s="20" t="str">
        <f aca="false">IF(AND(ISNUMBER(F422),ISNUMBER(G422),ISNUMBER(H422),F422&gt;G422,H422&gt;0),(F422-H422)/(F422-G422)*1000,"")</f>
        <v/>
      </c>
      <c r="J422" s="17" t="str">
        <f aca="false">IF(AND(ISNUMBER(F422),ISNUMBER(G422),ISNUMBER(H422),F422&gt;G422,H422&gt;0),(F422-H422)/H422,"")</f>
        <v/>
      </c>
      <c r="K422" s="20" t="str">
        <f aca="false">IF(AND(ISNUMBER(F422),ISNUMBER(G422),ISNUMBER(H422),F422&gt;G422,H422&gt;0),H422/(F422-G422)*1000,"")</f>
        <v/>
      </c>
      <c r="L422" s="11" t="str">
        <f aca="false">IF(K422="","",IF(K422&gt;=CONFIG!$E$21,CONFIG!$D$21,IF(K422&gt;=CONFIG!$E$20,CONFIG!$D$20,CONFIG!$D$19)))</f>
        <v/>
      </c>
      <c r="M422" s="20" t="str">
        <f aca="false">IF(K422="","",IF(K422&gt;=CONFIG!$E$21,CONFIG!$F$21,IF(K422&gt;=CONFIG!$E$20,CONFIG!$F$20,CONFIG!$F$19)))</f>
        <v/>
      </c>
      <c r="N422" s="19" t="str">
        <f aca="false">IF(I422="","",IF(I422&lt;=M422,"OK","ALTA"))</f>
        <v/>
      </c>
      <c r="O422" s="13"/>
    </row>
    <row r="423" customFormat="false" ht="15" hidden="false" customHeight="false" outlineLevel="0" collapsed="false">
      <c r="A423" s="11" t="str">
        <f aca="false">IF(C423="","",ROW()-4)</f>
        <v/>
      </c>
      <c r="B423" s="12"/>
      <c r="C423" s="13"/>
      <c r="D423" s="11" t="str">
        <f aca="false">IF(C423="","",IFERROR(INDEX(LOTES!$D$5:$D$1004,MATCH(C423,LOTES!$F$5:$F$1004,0)),"¿Lote?"))</f>
        <v/>
      </c>
      <c r="E423" s="11" t="str">
        <f aca="false">IF(C423="","",IFERROR(INDEX(LOTES!$C$5:$C$1004,MATCH(C423,LOTES!$F$5:$F$1004,0)),""))</f>
        <v/>
      </c>
      <c r="F423" s="27"/>
      <c r="G423" s="27"/>
      <c r="H423" s="27"/>
      <c r="I423" s="20" t="str">
        <f aca="false">IF(AND(ISNUMBER(F423),ISNUMBER(G423),ISNUMBER(H423),F423&gt;G423,H423&gt;0),(F423-H423)/(F423-G423)*1000,"")</f>
        <v/>
      </c>
      <c r="J423" s="17" t="str">
        <f aca="false">IF(AND(ISNUMBER(F423),ISNUMBER(G423),ISNUMBER(H423),F423&gt;G423,H423&gt;0),(F423-H423)/H423,"")</f>
        <v/>
      </c>
      <c r="K423" s="20" t="str">
        <f aca="false">IF(AND(ISNUMBER(F423),ISNUMBER(G423),ISNUMBER(H423),F423&gt;G423,H423&gt;0),H423/(F423-G423)*1000,"")</f>
        <v/>
      </c>
      <c r="L423" s="11" t="str">
        <f aca="false">IF(K423="","",IF(K423&gt;=CONFIG!$E$21,CONFIG!$D$21,IF(K423&gt;=CONFIG!$E$20,CONFIG!$D$20,CONFIG!$D$19)))</f>
        <v/>
      </c>
      <c r="M423" s="20" t="str">
        <f aca="false">IF(K423="","",IF(K423&gt;=CONFIG!$E$21,CONFIG!$F$21,IF(K423&gt;=CONFIG!$E$20,CONFIG!$F$20,CONFIG!$F$19)))</f>
        <v/>
      </c>
      <c r="N423" s="19" t="str">
        <f aca="false">IF(I423="","",IF(I423&lt;=M423,"OK","ALTA"))</f>
        <v/>
      </c>
      <c r="O423" s="13"/>
    </row>
    <row r="424" customFormat="false" ht="15" hidden="false" customHeight="false" outlineLevel="0" collapsed="false">
      <c r="A424" s="11" t="str">
        <f aca="false">IF(C424="","",ROW()-4)</f>
        <v/>
      </c>
      <c r="B424" s="12"/>
      <c r="C424" s="13"/>
      <c r="D424" s="11" t="str">
        <f aca="false">IF(C424="","",IFERROR(INDEX(LOTES!$D$5:$D$1004,MATCH(C424,LOTES!$F$5:$F$1004,0)),"¿Lote?"))</f>
        <v/>
      </c>
      <c r="E424" s="11" t="str">
        <f aca="false">IF(C424="","",IFERROR(INDEX(LOTES!$C$5:$C$1004,MATCH(C424,LOTES!$F$5:$F$1004,0)),""))</f>
        <v/>
      </c>
      <c r="F424" s="27"/>
      <c r="G424" s="27"/>
      <c r="H424" s="27"/>
      <c r="I424" s="20" t="str">
        <f aca="false">IF(AND(ISNUMBER(F424),ISNUMBER(G424),ISNUMBER(H424),F424&gt;G424,H424&gt;0),(F424-H424)/(F424-G424)*1000,"")</f>
        <v/>
      </c>
      <c r="J424" s="17" t="str">
        <f aca="false">IF(AND(ISNUMBER(F424),ISNUMBER(G424),ISNUMBER(H424),F424&gt;G424,H424&gt;0),(F424-H424)/H424,"")</f>
        <v/>
      </c>
      <c r="K424" s="20" t="str">
        <f aca="false">IF(AND(ISNUMBER(F424),ISNUMBER(G424),ISNUMBER(H424),F424&gt;G424,H424&gt;0),H424/(F424-G424)*1000,"")</f>
        <v/>
      </c>
      <c r="L424" s="11" t="str">
        <f aca="false">IF(K424="","",IF(K424&gt;=CONFIG!$E$21,CONFIG!$D$21,IF(K424&gt;=CONFIG!$E$20,CONFIG!$D$20,CONFIG!$D$19)))</f>
        <v/>
      </c>
      <c r="M424" s="20" t="str">
        <f aca="false">IF(K424="","",IF(K424&gt;=CONFIG!$E$21,CONFIG!$F$21,IF(K424&gt;=CONFIG!$E$20,CONFIG!$F$20,CONFIG!$F$19)))</f>
        <v/>
      </c>
      <c r="N424" s="19" t="str">
        <f aca="false">IF(I424="","",IF(I424&lt;=M424,"OK","ALTA"))</f>
        <v/>
      </c>
      <c r="O424" s="13"/>
    </row>
    <row r="425" customFormat="false" ht="15" hidden="false" customHeight="false" outlineLevel="0" collapsed="false">
      <c r="A425" s="11" t="str">
        <f aca="false">IF(C425="","",ROW()-4)</f>
        <v/>
      </c>
      <c r="B425" s="12"/>
      <c r="C425" s="13"/>
      <c r="D425" s="11" t="str">
        <f aca="false">IF(C425="","",IFERROR(INDEX(LOTES!$D$5:$D$1004,MATCH(C425,LOTES!$F$5:$F$1004,0)),"¿Lote?"))</f>
        <v/>
      </c>
      <c r="E425" s="11" t="str">
        <f aca="false">IF(C425="","",IFERROR(INDEX(LOTES!$C$5:$C$1004,MATCH(C425,LOTES!$F$5:$F$1004,0)),""))</f>
        <v/>
      </c>
      <c r="F425" s="27"/>
      <c r="G425" s="27"/>
      <c r="H425" s="27"/>
      <c r="I425" s="20" t="str">
        <f aca="false">IF(AND(ISNUMBER(F425),ISNUMBER(G425),ISNUMBER(H425),F425&gt;G425,H425&gt;0),(F425-H425)/(F425-G425)*1000,"")</f>
        <v/>
      </c>
      <c r="J425" s="17" t="str">
        <f aca="false">IF(AND(ISNUMBER(F425),ISNUMBER(G425),ISNUMBER(H425),F425&gt;G425,H425&gt;0),(F425-H425)/H425,"")</f>
        <v/>
      </c>
      <c r="K425" s="20" t="str">
        <f aca="false">IF(AND(ISNUMBER(F425),ISNUMBER(G425),ISNUMBER(H425),F425&gt;G425,H425&gt;0),H425/(F425-G425)*1000,"")</f>
        <v/>
      </c>
      <c r="L425" s="11" t="str">
        <f aca="false">IF(K425="","",IF(K425&gt;=CONFIG!$E$21,CONFIG!$D$21,IF(K425&gt;=CONFIG!$E$20,CONFIG!$D$20,CONFIG!$D$19)))</f>
        <v/>
      </c>
      <c r="M425" s="20" t="str">
        <f aca="false">IF(K425="","",IF(K425&gt;=CONFIG!$E$21,CONFIG!$F$21,IF(K425&gt;=CONFIG!$E$20,CONFIG!$F$20,CONFIG!$F$19)))</f>
        <v/>
      </c>
      <c r="N425" s="19" t="str">
        <f aca="false">IF(I425="","",IF(I425&lt;=M425,"OK","ALTA"))</f>
        <v/>
      </c>
      <c r="O425" s="13"/>
    </row>
    <row r="426" customFormat="false" ht="15" hidden="false" customHeight="false" outlineLevel="0" collapsed="false">
      <c r="A426" s="11" t="str">
        <f aca="false">IF(C426="","",ROW()-4)</f>
        <v/>
      </c>
      <c r="B426" s="12"/>
      <c r="C426" s="13"/>
      <c r="D426" s="11" t="str">
        <f aca="false">IF(C426="","",IFERROR(INDEX(LOTES!$D$5:$D$1004,MATCH(C426,LOTES!$F$5:$F$1004,0)),"¿Lote?"))</f>
        <v/>
      </c>
      <c r="E426" s="11" t="str">
        <f aca="false">IF(C426="","",IFERROR(INDEX(LOTES!$C$5:$C$1004,MATCH(C426,LOTES!$F$5:$F$1004,0)),""))</f>
        <v/>
      </c>
      <c r="F426" s="27"/>
      <c r="G426" s="27"/>
      <c r="H426" s="27"/>
      <c r="I426" s="20" t="str">
        <f aca="false">IF(AND(ISNUMBER(F426),ISNUMBER(G426),ISNUMBER(H426),F426&gt;G426,H426&gt;0),(F426-H426)/(F426-G426)*1000,"")</f>
        <v/>
      </c>
      <c r="J426" s="17" t="str">
        <f aca="false">IF(AND(ISNUMBER(F426),ISNUMBER(G426),ISNUMBER(H426),F426&gt;G426,H426&gt;0),(F426-H426)/H426,"")</f>
        <v/>
      </c>
      <c r="K426" s="20" t="str">
        <f aca="false">IF(AND(ISNUMBER(F426),ISNUMBER(G426),ISNUMBER(H426),F426&gt;G426,H426&gt;0),H426/(F426-G426)*1000,"")</f>
        <v/>
      </c>
      <c r="L426" s="11" t="str">
        <f aca="false">IF(K426="","",IF(K426&gt;=CONFIG!$E$21,CONFIG!$D$21,IF(K426&gt;=CONFIG!$E$20,CONFIG!$D$20,CONFIG!$D$19)))</f>
        <v/>
      </c>
      <c r="M426" s="20" t="str">
        <f aca="false">IF(K426="","",IF(K426&gt;=CONFIG!$E$21,CONFIG!$F$21,IF(K426&gt;=CONFIG!$E$20,CONFIG!$F$20,CONFIG!$F$19)))</f>
        <v/>
      </c>
      <c r="N426" s="19" t="str">
        <f aca="false">IF(I426="","",IF(I426&lt;=M426,"OK","ALTA"))</f>
        <v/>
      </c>
      <c r="O426" s="13"/>
    </row>
    <row r="427" customFormat="false" ht="15" hidden="false" customHeight="false" outlineLevel="0" collapsed="false">
      <c r="A427" s="11" t="str">
        <f aca="false">IF(C427="","",ROW()-4)</f>
        <v/>
      </c>
      <c r="B427" s="12"/>
      <c r="C427" s="13"/>
      <c r="D427" s="11" t="str">
        <f aca="false">IF(C427="","",IFERROR(INDEX(LOTES!$D$5:$D$1004,MATCH(C427,LOTES!$F$5:$F$1004,0)),"¿Lote?"))</f>
        <v/>
      </c>
      <c r="E427" s="11" t="str">
        <f aca="false">IF(C427="","",IFERROR(INDEX(LOTES!$C$5:$C$1004,MATCH(C427,LOTES!$F$5:$F$1004,0)),""))</f>
        <v/>
      </c>
      <c r="F427" s="27"/>
      <c r="G427" s="27"/>
      <c r="H427" s="27"/>
      <c r="I427" s="20" t="str">
        <f aca="false">IF(AND(ISNUMBER(F427),ISNUMBER(G427),ISNUMBER(H427),F427&gt;G427,H427&gt;0),(F427-H427)/(F427-G427)*1000,"")</f>
        <v/>
      </c>
      <c r="J427" s="17" t="str">
        <f aca="false">IF(AND(ISNUMBER(F427),ISNUMBER(G427),ISNUMBER(H427),F427&gt;G427,H427&gt;0),(F427-H427)/H427,"")</f>
        <v/>
      </c>
      <c r="K427" s="20" t="str">
        <f aca="false">IF(AND(ISNUMBER(F427),ISNUMBER(G427),ISNUMBER(H427),F427&gt;G427,H427&gt;0),H427/(F427-G427)*1000,"")</f>
        <v/>
      </c>
      <c r="L427" s="11" t="str">
        <f aca="false">IF(K427="","",IF(K427&gt;=CONFIG!$E$21,CONFIG!$D$21,IF(K427&gt;=CONFIG!$E$20,CONFIG!$D$20,CONFIG!$D$19)))</f>
        <v/>
      </c>
      <c r="M427" s="20" t="str">
        <f aca="false">IF(K427="","",IF(K427&gt;=CONFIG!$E$21,CONFIG!$F$21,IF(K427&gt;=CONFIG!$E$20,CONFIG!$F$20,CONFIG!$F$19)))</f>
        <v/>
      </c>
      <c r="N427" s="19" t="str">
        <f aca="false">IF(I427="","",IF(I427&lt;=M427,"OK","ALTA"))</f>
        <v/>
      </c>
      <c r="O427" s="13"/>
    </row>
    <row r="428" customFormat="false" ht="15" hidden="false" customHeight="false" outlineLevel="0" collapsed="false">
      <c r="A428" s="11" t="str">
        <f aca="false">IF(C428="","",ROW()-4)</f>
        <v/>
      </c>
      <c r="B428" s="12"/>
      <c r="C428" s="13"/>
      <c r="D428" s="11" t="str">
        <f aca="false">IF(C428="","",IFERROR(INDEX(LOTES!$D$5:$D$1004,MATCH(C428,LOTES!$F$5:$F$1004,0)),"¿Lote?"))</f>
        <v/>
      </c>
      <c r="E428" s="11" t="str">
        <f aca="false">IF(C428="","",IFERROR(INDEX(LOTES!$C$5:$C$1004,MATCH(C428,LOTES!$F$5:$F$1004,0)),""))</f>
        <v/>
      </c>
      <c r="F428" s="27"/>
      <c r="G428" s="27"/>
      <c r="H428" s="27"/>
      <c r="I428" s="20" t="str">
        <f aca="false">IF(AND(ISNUMBER(F428),ISNUMBER(G428),ISNUMBER(H428),F428&gt;G428,H428&gt;0),(F428-H428)/(F428-G428)*1000,"")</f>
        <v/>
      </c>
      <c r="J428" s="17" t="str">
        <f aca="false">IF(AND(ISNUMBER(F428),ISNUMBER(G428),ISNUMBER(H428),F428&gt;G428,H428&gt;0),(F428-H428)/H428,"")</f>
        <v/>
      </c>
      <c r="K428" s="20" t="str">
        <f aca="false">IF(AND(ISNUMBER(F428),ISNUMBER(G428),ISNUMBER(H428),F428&gt;G428,H428&gt;0),H428/(F428-G428)*1000,"")</f>
        <v/>
      </c>
      <c r="L428" s="11" t="str">
        <f aca="false">IF(K428="","",IF(K428&gt;=CONFIG!$E$21,CONFIG!$D$21,IF(K428&gt;=CONFIG!$E$20,CONFIG!$D$20,CONFIG!$D$19)))</f>
        <v/>
      </c>
      <c r="M428" s="20" t="str">
        <f aca="false">IF(K428="","",IF(K428&gt;=CONFIG!$E$21,CONFIG!$F$21,IF(K428&gt;=CONFIG!$E$20,CONFIG!$F$20,CONFIG!$F$19)))</f>
        <v/>
      </c>
      <c r="N428" s="19" t="str">
        <f aca="false">IF(I428="","",IF(I428&lt;=M428,"OK","ALTA"))</f>
        <v/>
      </c>
      <c r="O428" s="13"/>
    </row>
    <row r="429" customFormat="false" ht="15" hidden="false" customHeight="false" outlineLevel="0" collapsed="false">
      <c r="A429" s="11" t="str">
        <f aca="false">IF(C429="","",ROW()-4)</f>
        <v/>
      </c>
      <c r="B429" s="12"/>
      <c r="C429" s="13"/>
      <c r="D429" s="11" t="str">
        <f aca="false">IF(C429="","",IFERROR(INDEX(LOTES!$D$5:$D$1004,MATCH(C429,LOTES!$F$5:$F$1004,0)),"¿Lote?"))</f>
        <v/>
      </c>
      <c r="E429" s="11" t="str">
        <f aca="false">IF(C429="","",IFERROR(INDEX(LOTES!$C$5:$C$1004,MATCH(C429,LOTES!$F$5:$F$1004,0)),""))</f>
        <v/>
      </c>
      <c r="F429" s="27"/>
      <c r="G429" s="27"/>
      <c r="H429" s="27"/>
      <c r="I429" s="20" t="str">
        <f aca="false">IF(AND(ISNUMBER(F429),ISNUMBER(G429),ISNUMBER(H429),F429&gt;G429,H429&gt;0),(F429-H429)/(F429-G429)*1000,"")</f>
        <v/>
      </c>
      <c r="J429" s="17" t="str">
        <f aca="false">IF(AND(ISNUMBER(F429),ISNUMBER(G429),ISNUMBER(H429),F429&gt;G429,H429&gt;0),(F429-H429)/H429,"")</f>
        <v/>
      </c>
      <c r="K429" s="20" t="str">
        <f aca="false">IF(AND(ISNUMBER(F429),ISNUMBER(G429),ISNUMBER(H429),F429&gt;G429,H429&gt;0),H429/(F429-G429)*1000,"")</f>
        <v/>
      </c>
      <c r="L429" s="11" t="str">
        <f aca="false">IF(K429="","",IF(K429&gt;=CONFIG!$E$21,CONFIG!$D$21,IF(K429&gt;=CONFIG!$E$20,CONFIG!$D$20,CONFIG!$D$19)))</f>
        <v/>
      </c>
      <c r="M429" s="20" t="str">
        <f aca="false">IF(K429="","",IF(K429&gt;=CONFIG!$E$21,CONFIG!$F$21,IF(K429&gt;=CONFIG!$E$20,CONFIG!$F$20,CONFIG!$F$19)))</f>
        <v/>
      </c>
      <c r="N429" s="19" t="str">
        <f aca="false">IF(I429="","",IF(I429&lt;=M429,"OK","ALTA"))</f>
        <v/>
      </c>
      <c r="O429" s="13"/>
    </row>
    <row r="430" customFormat="false" ht="15" hidden="false" customHeight="false" outlineLevel="0" collapsed="false">
      <c r="A430" s="11" t="str">
        <f aca="false">IF(C430="","",ROW()-4)</f>
        <v/>
      </c>
      <c r="B430" s="12"/>
      <c r="C430" s="13"/>
      <c r="D430" s="11" t="str">
        <f aca="false">IF(C430="","",IFERROR(INDEX(LOTES!$D$5:$D$1004,MATCH(C430,LOTES!$F$5:$F$1004,0)),"¿Lote?"))</f>
        <v/>
      </c>
      <c r="E430" s="11" t="str">
        <f aca="false">IF(C430="","",IFERROR(INDEX(LOTES!$C$5:$C$1004,MATCH(C430,LOTES!$F$5:$F$1004,0)),""))</f>
        <v/>
      </c>
      <c r="F430" s="27"/>
      <c r="G430" s="27"/>
      <c r="H430" s="27"/>
      <c r="I430" s="20" t="str">
        <f aca="false">IF(AND(ISNUMBER(F430),ISNUMBER(G430),ISNUMBER(H430),F430&gt;G430,H430&gt;0),(F430-H430)/(F430-G430)*1000,"")</f>
        <v/>
      </c>
      <c r="J430" s="17" t="str">
        <f aca="false">IF(AND(ISNUMBER(F430),ISNUMBER(G430),ISNUMBER(H430),F430&gt;G430,H430&gt;0),(F430-H430)/H430,"")</f>
        <v/>
      </c>
      <c r="K430" s="20" t="str">
        <f aca="false">IF(AND(ISNUMBER(F430),ISNUMBER(G430),ISNUMBER(H430),F430&gt;G430,H430&gt;0),H430/(F430-G430)*1000,"")</f>
        <v/>
      </c>
      <c r="L430" s="11" t="str">
        <f aca="false">IF(K430="","",IF(K430&gt;=CONFIG!$E$21,CONFIG!$D$21,IF(K430&gt;=CONFIG!$E$20,CONFIG!$D$20,CONFIG!$D$19)))</f>
        <v/>
      </c>
      <c r="M430" s="20" t="str">
        <f aca="false">IF(K430="","",IF(K430&gt;=CONFIG!$E$21,CONFIG!$F$21,IF(K430&gt;=CONFIG!$E$20,CONFIG!$F$20,CONFIG!$F$19)))</f>
        <v/>
      </c>
      <c r="N430" s="19" t="str">
        <f aca="false">IF(I430="","",IF(I430&lt;=M430,"OK","ALTA"))</f>
        <v/>
      </c>
      <c r="O430" s="13"/>
    </row>
    <row r="431" customFormat="false" ht="15" hidden="false" customHeight="false" outlineLevel="0" collapsed="false">
      <c r="A431" s="11" t="str">
        <f aca="false">IF(C431="","",ROW()-4)</f>
        <v/>
      </c>
      <c r="B431" s="12"/>
      <c r="C431" s="13"/>
      <c r="D431" s="11" t="str">
        <f aca="false">IF(C431="","",IFERROR(INDEX(LOTES!$D$5:$D$1004,MATCH(C431,LOTES!$F$5:$F$1004,0)),"¿Lote?"))</f>
        <v/>
      </c>
      <c r="E431" s="11" t="str">
        <f aca="false">IF(C431="","",IFERROR(INDEX(LOTES!$C$5:$C$1004,MATCH(C431,LOTES!$F$5:$F$1004,0)),""))</f>
        <v/>
      </c>
      <c r="F431" s="27"/>
      <c r="G431" s="27"/>
      <c r="H431" s="27"/>
      <c r="I431" s="20" t="str">
        <f aca="false">IF(AND(ISNUMBER(F431),ISNUMBER(G431),ISNUMBER(H431),F431&gt;G431,H431&gt;0),(F431-H431)/(F431-G431)*1000,"")</f>
        <v/>
      </c>
      <c r="J431" s="17" t="str">
        <f aca="false">IF(AND(ISNUMBER(F431),ISNUMBER(G431),ISNUMBER(H431),F431&gt;G431,H431&gt;0),(F431-H431)/H431,"")</f>
        <v/>
      </c>
      <c r="K431" s="20" t="str">
        <f aca="false">IF(AND(ISNUMBER(F431),ISNUMBER(G431),ISNUMBER(H431),F431&gt;G431,H431&gt;0),H431/(F431-G431)*1000,"")</f>
        <v/>
      </c>
      <c r="L431" s="11" t="str">
        <f aca="false">IF(K431="","",IF(K431&gt;=CONFIG!$E$21,CONFIG!$D$21,IF(K431&gt;=CONFIG!$E$20,CONFIG!$D$20,CONFIG!$D$19)))</f>
        <v/>
      </c>
      <c r="M431" s="20" t="str">
        <f aca="false">IF(K431="","",IF(K431&gt;=CONFIG!$E$21,CONFIG!$F$21,IF(K431&gt;=CONFIG!$E$20,CONFIG!$F$20,CONFIG!$F$19)))</f>
        <v/>
      </c>
      <c r="N431" s="19" t="str">
        <f aca="false">IF(I431="","",IF(I431&lt;=M431,"OK","ALTA"))</f>
        <v/>
      </c>
      <c r="O431" s="13"/>
    </row>
    <row r="432" customFormat="false" ht="15" hidden="false" customHeight="false" outlineLevel="0" collapsed="false">
      <c r="A432" s="11" t="str">
        <f aca="false">IF(C432="","",ROW()-4)</f>
        <v/>
      </c>
      <c r="B432" s="12"/>
      <c r="C432" s="13"/>
      <c r="D432" s="11" t="str">
        <f aca="false">IF(C432="","",IFERROR(INDEX(LOTES!$D$5:$D$1004,MATCH(C432,LOTES!$F$5:$F$1004,0)),"¿Lote?"))</f>
        <v/>
      </c>
      <c r="E432" s="11" t="str">
        <f aca="false">IF(C432="","",IFERROR(INDEX(LOTES!$C$5:$C$1004,MATCH(C432,LOTES!$F$5:$F$1004,0)),""))</f>
        <v/>
      </c>
      <c r="F432" s="27"/>
      <c r="G432" s="27"/>
      <c r="H432" s="27"/>
      <c r="I432" s="20" t="str">
        <f aca="false">IF(AND(ISNUMBER(F432),ISNUMBER(G432),ISNUMBER(H432),F432&gt;G432,H432&gt;0),(F432-H432)/(F432-G432)*1000,"")</f>
        <v/>
      </c>
      <c r="J432" s="17" t="str">
        <f aca="false">IF(AND(ISNUMBER(F432),ISNUMBER(G432),ISNUMBER(H432),F432&gt;G432,H432&gt;0),(F432-H432)/H432,"")</f>
        <v/>
      </c>
      <c r="K432" s="20" t="str">
        <f aca="false">IF(AND(ISNUMBER(F432),ISNUMBER(G432),ISNUMBER(H432),F432&gt;G432,H432&gt;0),H432/(F432-G432)*1000,"")</f>
        <v/>
      </c>
      <c r="L432" s="11" t="str">
        <f aca="false">IF(K432="","",IF(K432&gt;=CONFIG!$E$21,CONFIG!$D$21,IF(K432&gt;=CONFIG!$E$20,CONFIG!$D$20,CONFIG!$D$19)))</f>
        <v/>
      </c>
      <c r="M432" s="20" t="str">
        <f aca="false">IF(K432="","",IF(K432&gt;=CONFIG!$E$21,CONFIG!$F$21,IF(K432&gt;=CONFIG!$E$20,CONFIG!$F$20,CONFIG!$F$19)))</f>
        <v/>
      </c>
      <c r="N432" s="19" t="str">
        <f aca="false">IF(I432="","",IF(I432&lt;=M432,"OK","ALTA"))</f>
        <v/>
      </c>
      <c r="O432" s="13"/>
    </row>
    <row r="433" customFormat="false" ht="15" hidden="false" customHeight="false" outlineLevel="0" collapsed="false">
      <c r="A433" s="11" t="str">
        <f aca="false">IF(C433="","",ROW()-4)</f>
        <v/>
      </c>
      <c r="B433" s="12"/>
      <c r="C433" s="13"/>
      <c r="D433" s="11" t="str">
        <f aca="false">IF(C433="","",IFERROR(INDEX(LOTES!$D$5:$D$1004,MATCH(C433,LOTES!$F$5:$F$1004,0)),"¿Lote?"))</f>
        <v/>
      </c>
      <c r="E433" s="11" t="str">
        <f aca="false">IF(C433="","",IFERROR(INDEX(LOTES!$C$5:$C$1004,MATCH(C433,LOTES!$F$5:$F$1004,0)),""))</f>
        <v/>
      </c>
      <c r="F433" s="27"/>
      <c r="G433" s="27"/>
      <c r="H433" s="27"/>
      <c r="I433" s="20" t="str">
        <f aca="false">IF(AND(ISNUMBER(F433),ISNUMBER(G433),ISNUMBER(H433),F433&gt;G433,H433&gt;0),(F433-H433)/(F433-G433)*1000,"")</f>
        <v/>
      </c>
      <c r="J433" s="17" t="str">
        <f aca="false">IF(AND(ISNUMBER(F433),ISNUMBER(G433),ISNUMBER(H433),F433&gt;G433,H433&gt;0),(F433-H433)/H433,"")</f>
        <v/>
      </c>
      <c r="K433" s="20" t="str">
        <f aca="false">IF(AND(ISNUMBER(F433),ISNUMBER(G433),ISNUMBER(H433),F433&gt;G433,H433&gt;0),H433/(F433-G433)*1000,"")</f>
        <v/>
      </c>
      <c r="L433" s="11" t="str">
        <f aca="false">IF(K433="","",IF(K433&gt;=CONFIG!$E$21,CONFIG!$D$21,IF(K433&gt;=CONFIG!$E$20,CONFIG!$D$20,CONFIG!$D$19)))</f>
        <v/>
      </c>
      <c r="M433" s="20" t="str">
        <f aca="false">IF(K433="","",IF(K433&gt;=CONFIG!$E$21,CONFIG!$F$21,IF(K433&gt;=CONFIG!$E$20,CONFIG!$F$20,CONFIG!$F$19)))</f>
        <v/>
      </c>
      <c r="N433" s="19" t="str">
        <f aca="false">IF(I433="","",IF(I433&lt;=M433,"OK","ALTA"))</f>
        <v/>
      </c>
      <c r="O433" s="13"/>
    </row>
    <row r="434" customFormat="false" ht="15" hidden="false" customHeight="false" outlineLevel="0" collapsed="false">
      <c r="A434" s="11" t="str">
        <f aca="false">IF(C434="","",ROW()-4)</f>
        <v/>
      </c>
      <c r="B434" s="12"/>
      <c r="C434" s="13"/>
      <c r="D434" s="11" t="str">
        <f aca="false">IF(C434="","",IFERROR(INDEX(LOTES!$D$5:$D$1004,MATCH(C434,LOTES!$F$5:$F$1004,0)),"¿Lote?"))</f>
        <v/>
      </c>
      <c r="E434" s="11" t="str">
        <f aca="false">IF(C434="","",IFERROR(INDEX(LOTES!$C$5:$C$1004,MATCH(C434,LOTES!$F$5:$F$1004,0)),""))</f>
        <v/>
      </c>
      <c r="F434" s="27"/>
      <c r="G434" s="27"/>
      <c r="H434" s="27"/>
      <c r="I434" s="20" t="str">
        <f aca="false">IF(AND(ISNUMBER(F434),ISNUMBER(G434),ISNUMBER(H434),F434&gt;G434,H434&gt;0),(F434-H434)/(F434-G434)*1000,"")</f>
        <v/>
      </c>
      <c r="J434" s="17" t="str">
        <f aca="false">IF(AND(ISNUMBER(F434),ISNUMBER(G434),ISNUMBER(H434),F434&gt;G434,H434&gt;0),(F434-H434)/H434,"")</f>
        <v/>
      </c>
      <c r="K434" s="20" t="str">
        <f aca="false">IF(AND(ISNUMBER(F434),ISNUMBER(G434),ISNUMBER(H434),F434&gt;G434,H434&gt;0),H434/(F434-G434)*1000,"")</f>
        <v/>
      </c>
      <c r="L434" s="11" t="str">
        <f aca="false">IF(K434="","",IF(K434&gt;=CONFIG!$E$21,CONFIG!$D$21,IF(K434&gt;=CONFIG!$E$20,CONFIG!$D$20,CONFIG!$D$19)))</f>
        <v/>
      </c>
      <c r="M434" s="20" t="str">
        <f aca="false">IF(K434="","",IF(K434&gt;=CONFIG!$E$21,CONFIG!$F$21,IF(K434&gt;=CONFIG!$E$20,CONFIG!$F$20,CONFIG!$F$19)))</f>
        <v/>
      </c>
      <c r="N434" s="19" t="str">
        <f aca="false">IF(I434="","",IF(I434&lt;=M434,"OK","ALTA"))</f>
        <v/>
      </c>
      <c r="O434" s="13"/>
    </row>
    <row r="435" customFormat="false" ht="15" hidden="false" customHeight="false" outlineLevel="0" collapsed="false">
      <c r="A435" s="11" t="str">
        <f aca="false">IF(C435="","",ROW()-4)</f>
        <v/>
      </c>
      <c r="B435" s="12"/>
      <c r="C435" s="13"/>
      <c r="D435" s="11" t="str">
        <f aca="false">IF(C435="","",IFERROR(INDEX(LOTES!$D$5:$D$1004,MATCH(C435,LOTES!$F$5:$F$1004,0)),"¿Lote?"))</f>
        <v/>
      </c>
      <c r="E435" s="11" t="str">
        <f aca="false">IF(C435="","",IFERROR(INDEX(LOTES!$C$5:$C$1004,MATCH(C435,LOTES!$F$5:$F$1004,0)),""))</f>
        <v/>
      </c>
      <c r="F435" s="27"/>
      <c r="G435" s="27"/>
      <c r="H435" s="27"/>
      <c r="I435" s="20" t="str">
        <f aca="false">IF(AND(ISNUMBER(F435),ISNUMBER(G435),ISNUMBER(H435),F435&gt;G435,H435&gt;0),(F435-H435)/(F435-G435)*1000,"")</f>
        <v/>
      </c>
      <c r="J435" s="17" t="str">
        <f aca="false">IF(AND(ISNUMBER(F435),ISNUMBER(G435),ISNUMBER(H435),F435&gt;G435,H435&gt;0),(F435-H435)/H435,"")</f>
        <v/>
      </c>
      <c r="K435" s="20" t="str">
        <f aca="false">IF(AND(ISNUMBER(F435),ISNUMBER(G435),ISNUMBER(H435),F435&gt;G435,H435&gt;0),H435/(F435-G435)*1000,"")</f>
        <v/>
      </c>
      <c r="L435" s="11" t="str">
        <f aca="false">IF(K435="","",IF(K435&gt;=CONFIG!$E$21,CONFIG!$D$21,IF(K435&gt;=CONFIG!$E$20,CONFIG!$D$20,CONFIG!$D$19)))</f>
        <v/>
      </c>
      <c r="M435" s="20" t="str">
        <f aca="false">IF(K435="","",IF(K435&gt;=CONFIG!$E$21,CONFIG!$F$21,IF(K435&gt;=CONFIG!$E$20,CONFIG!$F$20,CONFIG!$F$19)))</f>
        <v/>
      </c>
      <c r="N435" s="19" t="str">
        <f aca="false">IF(I435="","",IF(I435&lt;=M435,"OK","ALTA"))</f>
        <v/>
      </c>
      <c r="O435" s="13"/>
    </row>
    <row r="436" customFormat="false" ht="15" hidden="false" customHeight="false" outlineLevel="0" collapsed="false">
      <c r="A436" s="11" t="str">
        <f aca="false">IF(C436="","",ROW()-4)</f>
        <v/>
      </c>
      <c r="B436" s="12"/>
      <c r="C436" s="13"/>
      <c r="D436" s="11" t="str">
        <f aca="false">IF(C436="","",IFERROR(INDEX(LOTES!$D$5:$D$1004,MATCH(C436,LOTES!$F$5:$F$1004,0)),"¿Lote?"))</f>
        <v/>
      </c>
      <c r="E436" s="11" t="str">
        <f aca="false">IF(C436="","",IFERROR(INDEX(LOTES!$C$5:$C$1004,MATCH(C436,LOTES!$F$5:$F$1004,0)),""))</f>
        <v/>
      </c>
      <c r="F436" s="27"/>
      <c r="G436" s="27"/>
      <c r="H436" s="27"/>
      <c r="I436" s="20" t="str">
        <f aca="false">IF(AND(ISNUMBER(F436),ISNUMBER(G436),ISNUMBER(H436),F436&gt;G436,H436&gt;0),(F436-H436)/(F436-G436)*1000,"")</f>
        <v/>
      </c>
      <c r="J436" s="17" t="str">
        <f aca="false">IF(AND(ISNUMBER(F436),ISNUMBER(G436),ISNUMBER(H436),F436&gt;G436,H436&gt;0),(F436-H436)/H436,"")</f>
        <v/>
      </c>
      <c r="K436" s="20" t="str">
        <f aca="false">IF(AND(ISNUMBER(F436),ISNUMBER(G436),ISNUMBER(H436),F436&gt;G436,H436&gt;0),H436/(F436-G436)*1000,"")</f>
        <v/>
      </c>
      <c r="L436" s="11" t="str">
        <f aca="false">IF(K436="","",IF(K436&gt;=CONFIG!$E$21,CONFIG!$D$21,IF(K436&gt;=CONFIG!$E$20,CONFIG!$D$20,CONFIG!$D$19)))</f>
        <v/>
      </c>
      <c r="M436" s="20" t="str">
        <f aca="false">IF(K436="","",IF(K436&gt;=CONFIG!$E$21,CONFIG!$F$21,IF(K436&gt;=CONFIG!$E$20,CONFIG!$F$20,CONFIG!$F$19)))</f>
        <v/>
      </c>
      <c r="N436" s="19" t="str">
        <f aca="false">IF(I436="","",IF(I436&lt;=M436,"OK","ALTA"))</f>
        <v/>
      </c>
      <c r="O436" s="13"/>
    </row>
    <row r="437" customFormat="false" ht="15" hidden="false" customHeight="false" outlineLevel="0" collapsed="false">
      <c r="A437" s="11" t="str">
        <f aca="false">IF(C437="","",ROW()-4)</f>
        <v/>
      </c>
      <c r="B437" s="12"/>
      <c r="C437" s="13"/>
      <c r="D437" s="11" t="str">
        <f aca="false">IF(C437="","",IFERROR(INDEX(LOTES!$D$5:$D$1004,MATCH(C437,LOTES!$F$5:$F$1004,0)),"¿Lote?"))</f>
        <v/>
      </c>
      <c r="E437" s="11" t="str">
        <f aca="false">IF(C437="","",IFERROR(INDEX(LOTES!$C$5:$C$1004,MATCH(C437,LOTES!$F$5:$F$1004,0)),""))</f>
        <v/>
      </c>
      <c r="F437" s="27"/>
      <c r="G437" s="27"/>
      <c r="H437" s="27"/>
      <c r="I437" s="20" t="str">
        <f aca="false">IF(AND(ISNUMBER(F437),ISNUMBER(G437),ISNUMBER(H437),F437&gt;G437,H437&gt;0),(F437-H437)/(F437-G437)*1000,"")</f>
        <v/>
      </c>
      <c r="J437" s="17" t="str">
        <f aca="false">IF(AND(ISNUMBER(F437),ISNUMBER(G437),ISNUMBER(H437),F437&gt;G437,H437&gt;0),(F437-H437)/H437,"")</f>
        <v/>
      </c>
      <c r="K437" s="20" t="str">
        <f aca="false">IF(AND(ISNUMBER(F437),ISNUMBER(G437),ISNUMBER(H437),F437&gt;G437,H437&gt;0),H437/(F437-G437)*1000,"")</f>
        <v/>
      </c>
      <c r="L437" s="11" t="str">
        <f aca="false">IF(K437="","",IF(K437&gt;=CONFIG!$E$21,CONFIG!$D$21,IF(K437&gt;=CONFIG!$E$20,CONFIG!$D$20,CONFIG!$D$19)))</f>
        <v/>
      </c>
      <c r="M437" s="20" t="str">
        <f aca="false">IF(K437="","",IF(K437&gt;=CONFIG!$E$21,CONFIG!$F$21,IF(K437&gt;=CONFIG!$E$20,CONFIG!$F$20,CONFIG!$F$19)))</f>
        <v/>
      </c>
      <c r="N437" s="19" t="str">
        <f aca="false">IF(I437="","",IF(I437&lt;=M437,"OK","ALTA"))</f>
        <v/>
      </c>
      <c r="O437" s="13"/>
    </row>
    <row r="438" customFormat="false" ht="15" hidden="false" customHeight="false" outlineLevel="0" collapsed="false">
      <c r="A438" s="11" t="str">
        <f aca="false">IF(C438="","",ROW()-4)</f>
        <v/>
      </c>
      <c r="B438" s="12"/>
      <c r="C438" s="13"/>
      <c r="D438" s="11" t="str">
        <f aca="false">IF(C438="","",IFERROR(INDEX(LOTES!$D$5:$D$1004,MATCH(C438,LOTES!$F$5:$F$1004,0)),"¿Lote?"))</f>
        <v/>
      </c>
      <c r="E438" s="11" t="str">
        <f aca="false">IF(C438="","",IFERROR(INDEX(LOTES!$C$5:$C$1004,MATCH(C438,LOTES!$F$5:$F$1004,0)),""))</f>
        <v/>
      </c>
      <c r="F438" s="27"/>
      <c r="G438" s="27"/>
      <c r="H438" s="27"/>
      <c r="I438" s="20" t="str">
        <f aca="false">IF(AND(ISNUMBER(F438),ISNUMBER(G438),ISNUMBER(H438),F438&gt;G438,H438&gt;0),(F438-H438)/(F438-G438)*1000,"")</f>
        <v/>
      </c>
      <c r="J438" s="17" t="str">
        <f aca="false">IF(AND(ISNUMBER(F438),ISNUMBER(G438),ISNUMBER(H438),F438&gt;G438,H438&gt;0),(F438-H438)/H438,"")</f>
        <v/>
      </c>
      <c r="K438" s="20" t="str">
        <f aca="false">IF(AND(ISNUMBER(F438),ISNUMBER(G438),ISNUMBER(H438),F438&gt;G438,H438&gt;0),H438/(F438-G438)*1000,"")</f>
        <v/>
      </c>
      <c r="L438" s="11" t="str">
        <f aca="false">IF(K438="","",IF(K438&gt;=CONFIG!$E$21,CONFIG!$D$21,IF(K438&gt;=CONFIG!$E$20,CONFIG!$D$20,CONFIG!$D$19)))</f>
        <v/>
      </c>
      <c r="M438" s="20" t="str">
        <f aca="false">IF(K438="","",IF(K438&gt;=CONFIG!$E$21,CONFIG!$F$21,IF(K438&gt;=CONFIG!$E$20,CONFIG!$F$20,CONFIG!$F$19)))</f>
        <v/>
      </c>
      <c r="N438" s="19" t="str">
        <f aca="false">IF(I438="","",IF(I438&lt;=M438,"OK","ALTA"))</f>
        <v/>
      </c>
      <c r="O438" s="13"/>
    </row>
    <row r="439" customFormat="false" ht="15" hidden="false" customHeight="false" outlineLevel="0" collapsed="false">
      <c r="A439" s="11" t="str">
        <f aca="false">IF(C439="","",ROW()-4)</f>
        <v/>
      </c>
      <c r="B439" s="12"/>
      <c r="C439" s="13"/>
      <c r="D439" s="11" t="str">
        <f aca="false">IF(C439="","",IFERROR(INDEX(LOTES!$D$5:$D$1004,MATCH(C439,LOTES!$F$5:$F$1004,0)),"¿Lote?"))</f>
        <v/>
      </c>
      <c r="E439" s="11" t="str">
        <f aca="false">IF(C439="","",IFERROR(INDEX(LOTES!$C$5:$C$1004,MATCH(C439,LOTES!$F$5:$F$1004,0)),""))</f>
        <v/>
      </c>
      <c r="F439" s="27"/>
      <c r="G439" s="27"/>
      <c r="H439" s="27"/>
      <c r="I439" s="20" t="str">
        <f aca="false">IF(AND(ISNUMBER(F439),ISNUMBER(G439),ISNUMBER(H439),F439&gt;G439,H439&gt;0),(F439-H439)/(F439-G439)*1000,"")</f>
        <v/>
      </c>
      <c r="J439" s="17" t="str">
        <f aca="false">IF(AND(ISNUMBER(F439),ISNUMBER(G439),ISNUMBER(H439),F439&gt;G439,H439&gt;0),(F439-H439)/H439,"")</f>
        <v/>
      </c>
      <c r="K439" s="20" t="str">
        <f aca="false">IF(AND(ISNUMBER(F439),ISNUMBER(G439),ISNUMBER(H439),F439&gt;G439,H439&gt;0),H439/(F439-G439)*1000,"")</f>
        <v/>
      </c>
      <c r="L439" s="11" t="str">
        <f aca="false">IF(K439="","",IF(K439&gt;=CONFIG!$E$21,CONFIG!$D$21,IF(K439&gt;=CONFIG!$E$20,CONFIG!$D$20,CONFIG!$D$19)))</f>
        <v/>
      </c>
      <c r="M439" s="20" t="str">
        <f aca="false">IF(K439="","",IF(K439&gt;=CONFIG!$E$21,CONFIG!$F$21,IF(K439&gt;=CONFIG!$E$20,CONFIG!$F$20,CONFIG!$F$19)))</f>
        <v/>
      </c>
      <c r="N439" s="19" t="str">
        <f aca="false">IF(I439="","",IF(I439&lt;=M439,"OK","ALTA"))</f>
        <v/>
      </c>
      <c r="O439" s="13"/>
    </row>
    <row r="440" customFormat="false" ht="15" hidden="false" customHeight="false" outlineLevel="0" collapsed="false">
      <c r="A440" s="11" t="str">
        <f aca="false">IF(C440="","",ROW()-4)</f>
        <v/>
      </c>
      <c r="B440" s="12"/>
      <c r="C440" s="13"/>
      <c r="D440" s="11" t="str">
        <f aca="false">IF(C440="","",IFERROR(INDEX(LOTES!$D$5:$D$1004,MATCH(C440,LOTES!$F$5:$F$1004,0)),"¿Lote?"))</f>
        <v/>
      </c>
      <c r="E440" s="11" t="str">
        <f aca="false">IF(C440="","",IFERROR(INDEX(LOTES!$C$5:$C$1004,MATCH(C440,LOTES!$F$5:$F$1004,0)),""))</f>
        <v/>
      </c>
      <c r="F440" s="27"/>
      <c r="G440" s="27"/>
      <c r="H440" s="27"/>
      <c r="I440" s="20" t="str">
        <f aca="false">IF(AND(ISNUMBER(F440),ISNUMBER(G440),ISNUMBER(H440),F440&gt;G440,H440&gt;0),(F440-H440)/(F440-G440)*1000,"")</f>
        <v/>
      </c>
      <c r="J440" s="17" t="str">
        <f aca="false">IF(AND(ISNUMBER(F440),ISNUMBER(G440),ISNUMBER(H440),F440&gt;G440,H440&gt;0),(F440-H440)/H440,"")</f>
        <v/>
      </c>
      <c r="K440" s="20" t="str">
        <f aca="false">IF(AND(ISNUMBER(F440),ISNUMBER(G440),ISNUMBER(H440),F440&gt;G440,H440&gt;0),H440/(F440-G440)*1000,"")</f>
        <v/>
      </c>
      <c r="L440" s="11" t="str">
        <f aca="false">IF(K440="","",IF(K440&gt;=CONFIG!$E$21,CONFIG!$D$21,IF(K440&gt;=CONFIG!$E$20,CONFIG!$D$20,CONFIG!$D$19)))</f>
        <v/>
      </c>
      <c r="M440" s="20" t="str">
        <f aca="false">IF(K440="","",IF(K440&gt;=CONFIG!$E$21,CONFIG!$F$21,IF(K440&gt;=CONFIG!$E$20,CONFIG!$F$20,CONFIG!$F$19)))</f>
        <v/>
      </c>
      <c r="N440" s="19" t="str">
        <f aca="false">IF(I440="","",IF(I440&lt;=M440,"OK","ALTA"))</f>
        <v/>
      </c>
      <c r="O440" s="13"/>
    </row>
    <row r="441" customFormat="false" ht="15" hidden="false" customHeight="false" outlineLevel="0" collapsed="false">
      <c r="A441" s="11" t="str">
        <f aca="false">IF(C441="","",ROW()-4)</f>
        <v/>
      </c>
      <c r="B441" s="12"/>
      <c r="C441" s="13"/>
      <c r="D441" s="11" t="str">
        <f aca="false">IF(C441="","",IFERROR(INDEX(LOTES!$D$5:$D$1004,MATCH(C441,LOTES!$F$5:$F$1004,0)),"¿Lote?"))</f>
        <v/>
      </c>
      <c r="E441" s="11" t="str">
        <f aca="false">IF(C441="","",IFERROR(INDEX(LOTES!$C$5:$C$1004,MATCH(C441,LOTES!$F$5:$F$1004,0)),""))</f>
        <v/>
      </c>
      <c r="F441" s="27"/>
      <c r="G441" s="27"/>
      <c r="H441" s="27"/>
      <c r="I441" s="20" t="str">
        <f aca="false">IF(AND(ISNUMBER(F441),ISNUMBER(G441),ISNUMBER(H441),F441&gt;G441,H441&gt;0),(F441-H441)/(F441-G441)*1000,"")</f>
        <v/>
      </c>
      <c r="J441" s="17" t="str">
        <f aca="false">IF(AND(ISNUMBER(F441),ISNUMBER(G441),ISNUMBER(H441),F441&gt;G441,H441&gt;0),(F441-H441)/H441,"")</f>
        <v/>
      </c>
      <c r="K441" s="20" t="str">
        <f aca="false">IF(AND(ISNUMBER(F441),ISNUMBER(G441),ISNUMBER(H441),F441&gt;G441,H441&gt;0),H441/(F441-G441)*1000,"")</f>
        <v/>
      </c>
      <c r="L441" s="11" t="str">
        <f aca="false">IF(K441="","",IF(K441&gt;=CONFIG!$E$21,CONFIG!$D$21,IF(K441&gt;=CONFIG!$E$20,CONFIG!$D$20,CONFIG!$D$19)))</f>
        <v/>
      </c>
      <c r="M441" s="20" t="str">
        <f aca="false">IF(K441="","",IF(K441&gt;=CONFIG!$E$21,CONFIG!$F$21,IF(K441&gt;=CONFIG!$E$20,CONFIG!$F$20,CONFIG!$F$19)))</f>
        <v/>
      </c>
      <c r="N441" s="19" t="str">
        <f aca="false">IF(I441="","",IF(I441&lt;=M441,"OK","ALTA"))</f>
        <v/>
      </c>
      <c r="O441" s="13"/>
    </row>
    <row r="442" customFormat="false" ht="15" hidden="false" customHeight="false" outlineLevel="0" collapsed="false">
      <c r="A442" s="11" t="str">
        <f aca="false">IF(C442="","",ROW()-4)</f>
        <v/>
      </c>
      <c r="B442" s="12"/>
      <c r="C442" s="13"/>
      <c r="D442" s="11" t="str">
        <f aca="false">IF(C442="","",IFERROR(INDEX(LOTES!$D$5:$D$1004,MATCH(C442,LOTES!$F$5:$F$1004,0)),"¿Lote?"))</f>
        <v/>
      </c>
      <c r="E442" s="11" t="str">
        <f aca="false">IF(C442="","",IFERROR(INDEX(LOTES!$C$5:$C$1004,MATCH(C442,LOTES!$F$5:$F$1004,0)),""))</f>
        <v/>
      </c>
      <c r="F442" s="27"/>
      <c r="G442" s="27"/>
      <c r="H442" s="27"/>
      <c r="I442" s="20" t="str">
        <f aca="false">IF(AND(ISNUMBER(F442),ISNUMBER(G442),ISNUMBER(H442),F442&gt;G442,H442&gt;0),(F442-H442)/(F442-G442)*1000,"")</f>
        <v/>
      </c>
      <c r="J442" s="17" t="str">
        <f aca="false">IF(AND(ISNUMBER(F442),ISNUMBER(G442),ISNUMBER(H442),F442&gt;G442,H442&gt;0),(F442-H442)/H442,"")</f>
        <v/>
      </c>
      <c r="K442" s="20" t="str">
        <f aca="false">IF(AND(ISNUMBER(F442),ISNUMBER(G442),ISNUMBER(H442),F442&gt;G442,H442&gt;0),H442/(F442-G442)*1000,"")</f>
        <v/>
      </c>
      <c r="L442" s="11" t="str">
        <f aca="false">IF(K442="","",IF(K442&gt;=CONFIG!$E$21,CONFIG!$D$21,IF(K442&gt;=CONFIG!$E$20,CONFIG!$D$20,CONFIG!$D$19)))</f>
        <v/>
      </c>
      <c r="M442" s="20" t="str">
        <f aca="false">IF(K442="","",IF(K442&gt;=CONFIG!$E$21,CONFIG!$F$21,IF(K442&gt;=CONFIG!$E$20,CONFIG!$F$20,CONFIG!$F$19)))</f>
        <v/>
      </c>
      <c r="N442" s="19" t="str">
        <f aca="false">IF(I442="","",IF(I442&lt;=M442,"OK","ALTA"))</f>
        <v/>
      </c>
      <c r="O442" s="13"/>
    </row>
    <row r="443" customFormat="false" ht="15" hidden="false" customHeight="false" outlineLevel="0" collapsed="false">
      <c r="A443" s="11" t="str">
        <f aca="false">IF(C443="","",ROW()-4)</f>
        <v/>
      </c>
      <c r="B443" s="12"/>
      <c r="C443" s="13"/>
      <c r="D443" s="11" t="str">
        <f aca="false">IF(C443="","",IFERROR(INDEX(LOTES!$D$5:$D$1004,MATCH(C443,LOTES!$F$5:$F$1004,0)),"¿Lote?"))</f>
        <v/>
      </c>
      <c r="E443" s="11" t="str">
        <f aca="false">IF(C443="","",IFERROR(INDEX(LOTES!$C$5:$C$1004,MATCH(C443,LOTES!$F$5:$F$1004,0)),""))</f>
        <v/>
      </c>
      <c r="F443" s="27"/>
      <c r="G443" s="27"/>
      <c r="H443" s="27"/>
      <c r="I443" s="20" t="str">
        <f aca="false">IF(AND(ISNUMBER(F443),ISNUMBER(G443),ISNUMBER(H443),F443&gt;G443,H443&gt;0),(F443-H443)/(F443-G443)*1000,"")</f>
        <v/>
      </c>
      <c r="J443" s="17" t="str">
        <f aca="false">IF(AND(ISNUMBER(F443),ISNUMBER(G443),ISNUMBER(H443),F443&gt;G443,H443&gt;0),(F443-H443)/H443,"")</f>
        <v/>
      </c>
      <c r="K443" s="20" t="str">
        <f aca="false">IF(AND(ISNUMBER(F443),ISNUMBER(G443),ISNUMBER(H443),F443&gt;G443,H443&gt;0),H443/(F443-G443)*1000,"")</f>
        <v/>
      </c>
      <c r="L443" s="11" t="str">
        <f aca="false">IF(K443="","",IF(K443&gt;=CONFIG!$E$21,CONFIG!$D$21,IF(K443&gt;=CONFIG!$E$20,CONFIG!$D$20,CONFIG!$D$19)))</f>
        <v/>
      </c>
      <c r="M443" s="20" t="str">
        <f aca="false">IF(K443="","",IF(K443&gt;=CONFIG!$E$21,CONFIG!$F$21,IF(K443&gt;=CONFIG!$E$20,CONFIG!$F$20,CONFIG!$F$19)))</f>
        <v/>
      </c>
      <c r="N443" s="19" t="str">
        <f aca="false">IF(I443="","",IF(I443&lt;=M443,"OK","ALTA"))</f>
        <v/>
      </c>
      <c r="O443" s="13"/>
    </row>
    <row r="444" customFormat="false" ht="15" hidden="false" customHeight="false" outlineLevel="0" collapsed="false">
      <c r="A444" s="11" t="str">
        <f aca="false">IF(C444="","",ROW()-4)</f>
        <v/>
      </c>
      <c r="B444" s="12"/>
      <c r="C444" s="13"/>
      <c r="D444" s="11" t="str">
        <f aca="false">IF(C444="","",IFERROR(INDEX(LOTES!$D$5:$D$1004,MATCH(C444,LOTES!$F$5:$F$1004,0)),"¿Lote?"))</f>
        <v/>
      </c>
      <c r="E444" s="11" t="str">
        <f aca="false">IF(C444="","",IFERROR(INDEX(LOTES!$C$5:$C$1004,MATCH(C444,LOTES!$F$5:$F$1004,0)),""))</f>
        <v/>
      </c>
      <c r="F444" s="27"/>
      <c r="G444" s="27"/>
      <c r="H444" s="27"/>
      <c r="I444" s="20" t="str">
        <f aca="false">IF(AND(ISNUMBER(F444),ISNUMBER(G444),ISNUMBER(H444),F444&gt;G444,H444&gt;0),(F444-H444)/(F444-G444)*1000,"")</f>
        <v/>
      </c>
      <c r="J444" s="17" t="str">
        <f aca="false">IF(AND(ISNUMBER(F444),ISNUMBER(G444),ISNUMBER(H444),F444&gt;G444,H444&gt;0),(F444-H444)/H444,"")</f>
        <v/>
      </c>
      <c r="K444" s="20" t="str">
        <f aca="false">IF(AND(ISNUMBER(F444),ISNUMBER(G444),ISNUMBER(H444),F444&gt;G444,H444&gt;0),H444/(F444-G444)*1000,"")</f>
        <v/>
      </c>
      <c r="L444" s="11" t="str">
        <f aca="false">IF(K444="","",IF(K444&gt;=CONFIG!$E$21,CONFIG!$D$21,IF(K444&gt;=CONFIG!$E$20,CONFIG!$D$20,CONFIG!$D$19)))</f>
        <v/>
      </c>
      <c r="M444" s="20" t="str">
        <f aca="false">IF(K444="","",IF(K444&gt;=CONFIG!$E$21,CONFIG!$F$21,IF(K444&gt;=CONFIG!$E$20,CONFIG!$F$20,CONFIG!$F$19)))</f>
        <v/>
      </c>
      <c r="N444" s="19" t="str">
        <f aca="false">IF(I444="","",IF(I444&lt;=M444,"OK","ALTA"))</f>
        <v/>
      </c>
      <c r="O444" s="13"/>
    </row>
    <row r="445" customFormat="false" ht="15" hidden="false" customHeight="false" outlineLevel="0" collapsed="false">
      <c r="A445" s="11" t="str">
        <f aca="false">IF(C445="","",ROW()-4)</f>
        <v/>
      </c>
      <c r="B445" s="12"/>
      <c r="C445" s="13"/>
      <c r="D445" s="11" t="str">
        <f aca="false">IF(C445="","",IFERROR(INDEX(LOTES!$D$5:$D$1004,MATCH(C445,LOTES!$F$5:$F$1004,0)),"¿Lote?"))</f>
        <v/>
      </c>
      <c r="E445" s="11" t="str">
        <f aca="false">IF(C445="","",IFERROR(INDEX(LOTES!$C$5:$C$1004,MATCH(C445,LOTES!$F$5:$F$1004,0)),""))</f>
        <v/>
      </c>
      <c r="F445" s="27"/>
      <c r="G445" s="27"/>
      <c r="H445" s="27"/>
      <c r="I445" s="20" t="str">
        <f aca="false">IF(AND(ISNUMBER(F445),ISNUMBER(G445),ISNUMBER(H445),F445&gt;G445,H445&gt;0),(F445-H445)/(F445-G445)*1000,"")</f>
        <v/>
      </c>
      <c r="J445" s="17" t="str">
        <f aca="false">IF(AND(ISNUMBER(F445),ISNUMBER(G445),ISNUMBER(H445),F445&gt;G445,H445&gt;0),(F445-H445)/H445,"")</f>
        <v/>
      </c>
      <c r="K445" s="20" t="str">
        <f aca="false">IF(AND(ISNUMBER(F445),ISNUMBER(G445),ISNUMBER(H445),F445&gt;G445,H445&gt;0),H445/(F445-G445)*1000,"")</f>
        <v/>
      </c>
      <c r="L445" s="11" t="str">
        <f aca="false">IF(K445="","",IF(K445&gt;=CONFIG!$E$21,CONFIG!$D$21,IF(K445&gt;=CONFIG!$E$20,CONFIG!$D$20,CONFIG!$D$19)))</f>
        <v/>
      </c>
      <c r="M445" s="20" t="str">
        <f aca="false">IF(K445="","",IF(K445&gt;=CONFIG!$E$21,CONFIG!$F$21,IF(K445&gt;=CONFIG!$E$20,CONFIG!$F$20,CONFIG!$F$19)))</f>
        <v/>
      </c>
      <c r="N445" s="19" t="str">
        <f aca="false">IF(I445="","",IF(I445&lt;=M445,"OK","ALTA"))</f>
        <v/>
      </c>
      <c r="O445" s="13"/>
    </row>
    <row r="446" customFormat="false" ht="15" hidden="false" customHeight="false" outlineLevel="0" collapsed="false">
      <c r="A446" s="11" t="str">
        <f aca="false">IF(C446="","",ROW()-4)</f>
        <v/>
      </c>
      <c r="B446" s="12"/>
      <c r="C446" s="13"/>
      <c r="D446" s="11" t="str">
        <f aca="false">IF(C446="","",IFERROR(INDEX(LOTES!$D$5:$D$1004,MATCH(C446,LOTES!$F$5:$F$1004,0)),"¿Lote?"))</f>
        <v/>
      </c>
      <c r="E446" s="11" t="str">
        <f aca="false">IF(C446="","",IFERROR(INDEX(LOTES!$C$5:$C$1004,MATCH(C446,LOTES!$F$5:$F$1004,0)),""))</f>
        <v/>
      </c>
      <c r="F446" s="27"/>
      <c r="G446" s="27"/>
      <c r="H446" s="27"/>
      <c r="I446" s="20" t="str">
        <f aca="false">IF(AND(ISNUMBER(F446),ISNUMBER(G446),ISNUMBER(H446),F446&gt;G446,H446&gt;0),(F446-H446)/(F446-G446)*1000,"")</f>
        <v/>
      </c>
      <c r="J446" s="17" t="str">
        <f aca="false">IF(AND(ISNUMBER(F446),ISNUMBER(G446),ISNUMBER(H446),F446&gt;G446,H446&gt;0),(F446-H446)/H446,"")</f>
        <v/>
      </c>
      <c r="K446" s="20" t="str">
        <f aca="false">IF(AND(ISNUMBER(F446),ISNUMBER(G446),ISNUMBER(H446),F446&gt;G446,H446&gt;0),H446/(F446-G446)*1000,"")</f>
        <v/>
      </c>
      <c r="L446" s="11" t="str">
        <f aca="false">IF(K446="","",IF(K446&gt;=CONFIG!$E$21,CONFIG!$D$21,IF(K446&gt;=CONFIG!$E$20,CONFIG!$D$20,CONFIG!$D$19)))</f>
        <v/>
      </c>
      <c r="M446" s="20" t="str">
        <f aca="false">IF(K446="","",IF(K446&gt;=CONFIG!$E$21,CONFIG!$F$21,IF(K446&gt;=CONFIG!$E$20,CONFIG!$F$20,CONFIG!$F$19)))</f>
        <v/>
      </c>
      <c r="N446" s="19" t="str">
        <f aca="false">IF(I446="","",IF(I446&lt;=M446,"OK","ALTA"))</f>
        <v/>
      </c>
      <c r="O446" s="13"/>
    </row>
    <row r="447" customFormat="false" ht="15" hidden="false" customHeight="false" outlineLevel="0" collapsed="false">
      <c r="A447" s="11" t="str">
        <f aca="false">IF(C447="","",ROW()-4)</f>
        <v/>
      </c>
      <c r="B447" s="12"/>
      <c r="C447" s="13"/>
      <c r="D447" s="11" t="str">
        <f aca="false">IF(C447="","",IFERROR(INDEX(LOTES!$D$5:$D$1004,MATCH(C447,LOTES!$F$5:$F$1004,0)),"¿Lote?"))</f>
        <v/>
      </c>
      <c r="E447" s="11" t="str">
        <f aca="false">IF(C447="","",IFERROR(INDEX(LOTES!$C$5:$C$1004,MATCH(C447,LOTES!$F$5:$F$1004,0)),""))</f>
        <v/>
      </c>
      <c r="F447" s="27"/>
      <c r="G447" s="27"/>
      <c r="H447" s="27"/>
      <c r="I447" s="20" t="str">
        <f aca="false">IF(AND(ISNUMBER(F447),ISNUMBER(G447),ISNUMBER(H447),F447&gt;G447,H447&gt;0),(F447-H447)/(F447-G447)*1000,"")</f>
        <v/>
      </c>
      <c r="J447" s="17" t="str">
        <f aca="false">IF(AND(ISNUMBER(F447),ISNUMBER(G447),ISNUMBER(H447),F447&gt;G447,H447&gt;0),(F447-H447)/H447,"")</f>
        <v/>
      </c>
      <c r="K447" s="20" t="str">
        <f aca="false">IF(AND(ISNUMBER(F447),ISNUMBER(G447),ISNUMBER(H447),F447&gt;G447,H447&gt;0),H447/(F447-G447)*1000,"")</f>
        <v/>
      </c>
      <c r="L447" s="11" t="str">
        <f aca="false">IF(K447="","",IF(K447&gt;=CONFIG!$E$21,CONFIG!$D$21,IF(K447&gt;=CONFIG!$E$20,CONFIG!$D$20,CONFIG!$D$19)))</f>
        <v/>
      </c>
      <c r="M447" s="20" t="str">
        <f aca="false">IF(K447="","",IF(K447&gt;=CONFIG!$E$21,CONFIG!$F$21,IF(K447&gt;=CONFIG!$E$20,CONFIG!$F$20,CONFIG!$F$19)))</f>
        <v/>
      </c>
      <c r="N447" s="19" t="str">
        <f aca="false">IF(I447="","",IF(I447&lt;=M447,"OK","ALTA"))</f>
        <v/>
      </c>
      <c r="O447" s="13"/>
    </row>
    <row r="448" customFormat="false" ht="15" hidden="false" customHeight="false" outlineLevel="0" collapsed="false">
      <c r="A448" s="11" t="str">
        <f aca="false">IF(C448="","",ROW()-4)</f>
        <v/>
      </c>
      <c r="B448" s="12"/>
      <c r="C448" s="13"/>
      <c r="D448" s="11" t="str">
        <f aca="false">IF(C448="","",IFERROR(INDEX(LOTES!$D$5:$D$1004,MATCH(C448,LOTES!$F$5:$F$1004,0)),"¿Lote?"))</f>
        <v/>
      </c>
      <c r="E448" s="11" t="str">
        <f aca="false">IF(C448="","",IFERROR(INDEX(LOTES!$C$5:$C$1004,MATCH(C448,LOTES!$F$5:$F$1004,0)),""))</f>
        <v/>
      </c>
      <c r="F448" s="27"/>
      <c r="G448" s="27"/>
      <c r="H448" s="27"/>
      <c r="I448" s="20" t="str">
        <f aca="false">IF(AND(ISNUMBER(F448),ISNUMBER(G448),ISNUMBER(H448),F448&gt;G448,H448&gt;0),(F448-H448)/(F448-G448)*1000,"")</f>
        <v/>
      </c>
      <c r="J448" s="17" t="str">
        <f aca="false">IF(AND(ISNUMBER(F448),ISNUMBER(G448),ISNUMBER(H448),F448&gt;G448,H448&gt;0),(F448-H448)/H448,"")</f>
        <v/>
      </c>
      <c r="K448" s="20" t="str">
        <f aca="false">IF(AND(ISNUMBER(F448),ISNUMBER(G448),ISNUMBER(H448),F448&gt;G448,H448&gt;0),H448/(F448-G448)*1000,"")</f>
        <v/>
      </c>
      <c r="L448" s="11" t="str">
        <f aca="false">IF(K448="","",IF(K448&gt;=CONFIG!$E$21,CONFIG!$D$21,IF(K448&gt;=CONFIG!$E$20,CONFIG!$D$20,CONFIG!$D$19)))</f>
        <v/>
      </c>
      <c r="M448" s="20" t="str">
        <f aca="false">IF(K448="","",IF(K448&gt;=CONFIG!$E$21,CONFIG!$F$21,IF(K448&gt;=CONFIG!$E$20,CONFIG!$F$20,CONFIG!$F$19)))</f>
        <v/>
      </c>
      <c r="N448" s="19" t="str">
        <f aca="false">IF(I448="","",IF(I448&lt;=M448,"OK","ALTA"))</f>
        <v/>
      </c>
      <c r="O448" s="13"/>
    </row>
    <row r="449" customFormat="false" ht="15" hidden="false" customHeight="false" outlineLevel="0" collapsed="false">
      <c r="A449" s="11" t="str">
        <f aca="false">IF(C449="","",ROW()-4)</f>
        <v/>
      </c>
      <c r="B449" s="12"/>
      <c r="C449" s="13"/>
      <c r="D449" s="11" t="str">
        <f aca="false">IF(C449="","",IFERROR(INDEX(LOTES!$D$5:$D$1004,MATCH(C449,LOTES!$F$5:$F$1004,0)),"¿Lote?"))</f>
        <v/>
      </c>
      <c r="E449" s="11" t="str">
        <f aca="false">IF(C449="","",IFERROR(INDEX(LOTES!$C$5:$C$1004,MATCH(C449,LOTES!$F$5:$F$1004,0)),""))</f>
        <v/>
      </c>
      <c r="F449" s="27"/>
      <c r="G449" s="27"/>
      <c r="H449" s="27"/>
      <c r="I449" s="20" t="str">
        <f aca="false">IF(AND(ISNUMBER(F449),ISNUMBER(G449),ISNUMBER(H449),F449&gt;G449,H449&gt;0),(F449-H449)/(F449-G449)*1000,"")</f>
        <v/>
      </c>
      <c r="J449" s="17" t="str">
        <f aca="false">IF(AND(ISNUMBER(F449),ISNUMBER(G449),ISNUMBER(H449),F449&gt;G449,H449&gt;0),(F449-H449)/H449,"")</f>
        <v/>
      </c>
      <c r="K449" s="20" t="str">
        <f aca="false">IF(AND(ISNUMBER(F449),ISNUMBER(G449),ISNUMBER(H449),F449&gt;G449,H449&gt;0),H449/(F449-G449)*1000,"")</f>
        <v/>
      </c>
      <c r="L449" s="11" t="str">
        <f aca="false">IF(K449="","",IF(K449&gt;=CONFIG!$E$21,CONFIG!$D$21,IF(K449&gt;=CONFIG!$E$20,CONFIG!$D$20,CONFIG!$D$19)))</f>
        <v/>
      </c>
      <c r="M449" s="20" t="str">
        <f aca="false">IF(K449="","",IF(K449&gt;=CONFIG!$E$21,CONFIG!$F$21,IF(K449&gt;=CONFIG!$E$20,CONFIG!$F$20,CONFIG!$F$19)))</f>
        <v/>
      </c>
      <c r="N449" s="19" t="str">
        <f aca="false">IF(I449="","",IF(I449&lt;=M449,"OK","ALTA"))</f>
        <v/>
      </c>
      <c r="O449" s="13"/>
    </row>
    <row r="450" customFormat="false" ht="15" hidden="false" customHeight="false" outlineLevel="0" collapsed="false">
      <c r="A450" s="11" t="str">
        <f aca="false">IF(C450="","",ROW()-4)</f>
        <v/>
      </c>
      <c r="B450" s="12"/>
      <c r="C450" s="13"/>
      <c r="D450" s="11" t="str">
        <f aca="false">IF(C450="","",IFERROR(INDEX(LOTES!$D$5:$D$1004,MATCH(C450,LOTES!$F$5:$F$1004,0)),"¿Lote?"))</f>
        <v/>
      </c>
      <c r="E450" s="11" t="str">
        <f aca="false">IF(C450="","",IFERROR(INDEX(LOTES!$C$5:$C$1004,MATCH(C450,LOTES!$F$5:$F$1004,0)),""))</f>
        <v/>
      </c>
      <c r="F450" s="27"/>
      <c r="G450" s="27"/>
      <c r="H450" s="27"/>
      <c r="I450" s="20" t="str">
        <f aca="false">IF(AND(ISNUMBER(F450),ISNUMBER(G450),ISNUMBER(H450),F450&gt;G450,H450&gt;0),(F450-H450)/(F450-G450)*1000,"")</f>
        <v/>
      </c>
      <c r="J450" s="17" t="str">
        <f aca="false">IF(AND(ISNUMBER(F450),ISNUMBER(G450),ISNUMBER(H450),F450&gt;G450,H450&gt;0),(F450-H450)/H450,"")</f>
        <v/>
      </c>
      <c r="K450" s="20" t="str">
        <f aca="false">IF(AND(ISNUMBER(F450),ISNUMBER(G450),ISNUMBER(H450),F450&gt;G450,H450&gt;0),H450/(F450-G450)*1000,"")</f>
        <v/>
      </c>
      <c r="L450" s="11" t="str">
        <f aca="false">IF(K450="","",IF(K450&gt;=CONFIG!$E$21,CONFIG!$D$21,IF(K450&gt;=CONFIG!$E$20,CONFIG!$D$20,CONFIG!$D$19)))</f>
        <v/>
      </c>
      <c r="M450" s="20" t="str">
        <f aca="false">IF(K450="","",IF(K450&gt;=CONFIG!$E$21,CONFIG!$F$21,IF(K450&gt;=CONFIG!$E$20,CONFIG!$F$20,CONFIG!$F$19)))</f>
        <v/>
      </c>
      <c r="N450" s="19" t="str">
        <f aca="false">IF(I450="","",IF(I450&lt;=M450,"OK","ALTA"))</f>
        <v/>
      </c>
      <c r="O450" s="13"/>
    </row>
    <row r="451" customFormat="false" ht="15" hidden="false" customHeight="false" outlineLevel="0" collapsed="false">
      <c r="A451" s="11" t="str">
        <f aca="false">IF(C451="","",ROW()-4)</f>
        <v/>
      </c>
      <c r="B451" s="12"/>
      <c r="C451" s="13"/>
      <c r="D451" s="11" t="str">
        <f aca="false">IF(C451="","",IFERROR(INDEX(LOTES!$D$5:$D$1004,MATCH(C451,LOTES!$F$5:$F$1004,0)),"¿Lote?"))</f>
        <v/>
      </c>
      <c r="E451" s="11" t="str">
        <f aca="false">IF(C451="","",IFERROR(INDEX(LOTES!$C$5:$C$1004,MATCH(C451,LOTES!$F$5:$F$1004,0)),""))</f>
        <v/>
      </c>
      <c r="F451" s="27"/>
      <c r="G451" s="27"/>
      <c r="H451" s="27"/>
      <c r="I451" s="20" t="str">
        <f aca="false">IF(AND(ISNUMBER(F451),ISNUMBER(G451),ISNUMBER(H451),F451&gt;G451,H451&gt;0),(F451-H451)/(F451-G451)*1000,"")</f>
        <v/>
      </c>
      <c r="J451" s="17" t="str">
        <f aca="false">IF(AND(ISNUMBER(F451),ISNUMBER(G451),ISNUMBER(H451),F451&gt;G451,H451&gt;0),(F451-H451)/H451,"")</f>
        <v/>
      </c>
      <c r="K451" s="20" t="str">
        <f aca="false">IF(AND(ISNUMBER(F451),ISNUMBER(G451),ISNUMBER(H451),F451&gt;G451,H451&gt;0),H451/(F451-G451)*1000,"")</f>
        <v/>
      </c>
      <c r="L451" s="11" t="str">
        <f aca="false">IF(K451="","",IF(K451&gt;=CONFIG!$E$21,CONFIG!$D$21,IF(K451&gt;=CONFIG!$E$20,CONFIG!$D$20,CONFIG!$D$19)))</f>
        <v/>
      </c>
      <c r="M451" s="20" t="str">
        <f aca="false">IF(K451="","",IF(K451&gt;=CONFIG!$E$21,CONFIG!$F$21,IF(K451&gt;=CONFIG!$E$20,CONFIG!$F$20,CONFIG!$F$19)))</f>
        <v/>
      </c>
      <c r="N451" s="19" t="str">
        <f aca="false">IF(I451="","",IF(I451&lt;=M451,"OK","ALTA"))</f>
        <v/>
      </c>
      <c r="O451" s="13"/>
    </row>
    <row r="452" customFormat="false" ht="15" hidden="false" customHeight="false" outlineLevel="0" collapsed="false">
      <c r="A452" s="11" t="str">
        <f aca="false">IF(C452="","",ROW()-4)</f>
        <v/>
      </c>
      <c r="B452" s="12"/>
      <c r="C452" s="13"/>
      <c r="D452" s="11" t="str">
        <f aca="false">IF(C452="","",IFERROR(INDEX(LOTES!$D$5:$D$1004,MATCH(C452,LOTES!$F$5:$F$1004,0)),"¿Lote?"))</f>
        <v/>
      </c>
      <c r="E452" s="11" t="str">
        <f aca="false">IF(C452="","",IFERROR(INDEX(LOTES!$C$5:$C$1004,MATCH(C452,LOTES!$F$5:$F$1004,0)),""))</f>
        <v/>
      </c>
      <c r="F452" s="27"/>
      <c r="G452" s="27"/>
      <c r="H452" s="27"/>
      <c r="I452" s="20" t="str">
        <f aca="false">IF(AND(ISNUMBER(F452),ISNUMBER(G452),ISNUMBER(H452),F452&gt;G452,H452&gt;0),(F452-H452)/(F452-G452)*1000,"")</f>
        <v/>
      </c>
      <c r="J452" s="17" t="str">
        <f aca="false">IF(AND(ISNUMBER(F452),ISNUMBER(G452),ISNUMBER(H452),F452&gt;G452,H452&gt;0),(F452-H452)/H452,"")</f>
        <v/>
      </c>
      <c r="K452" s="20" t="str">
        <f aca="false">IF(AND(ISNUMBER(F452),ISNUMBER(G452),ISNUMBER(H452),F452&gt;G452,H452&gt;0),H452/(F452-G452)*1000,"")</f>
        <v/>
      </c>
      <c r="L452" s="11" t="str">
        <f aca="false">IF(K452="","",IF(K452&gt;=CONFIG!$E$21,CONFIG!$D$21,IF(K452&gt;=CONFIG!$E$20,CONFIG!$D$20,CONFIG!$D$19)))</f>
        <v/>
      </c>
      <c r="M452" s="20" t="str">
        <f aca="false">IF(K452="","",IF(K452&gt;=CONFIG!$E$21,CONFIG!$F$21,IF(K452&gt;=CONFIG!$E$20,CONFIG!$F$20,CONFIG!$F$19)))</f>
        <v/>
      </c>
      <c r="N452" s="19" t="str">
        <f aca="false">IF(I452="","",IF(I452&lt;=M452,"OK","ALTA"))</f>
        <v/>
      </c>
      <c r="O452" s="13"/>
    </row>
    <row r="453" customFormat="false" ht="15" hidden="false" customHeight="false" outlineLevel="0" collapsed="false">
      <c r="A453" s="11" t="str">
        <f aca="false">IF(C453="","",ROW()-4)</f>
        <v/>
      </c>
      <c r="B453" s="12"/>
      <c r="C453" s="13"/>
      <c r="D453" s="11" t="str">
        <f aca="false">IF(C453="","",IFERROR(INDEX(LOTES!$D$5:$D$1004,MATCH(C453,LOTES!$F$5:$F$1004,0)),"¿Lote?"))</f>
        <v/>
      </c>
      <c r="E453" s="11" t="str">
        <f aca="false">IF(C453="","",IFERROR(INDEX(LOTES!$C$5:$C$1004,MATCH(C453,LOTES!$F$5:$F$1004,0)),""))</f>
        <v/>
      </c>
      <c r="F453" s="27"/>
      <c r="G453" s="27"/>
      <c r="H453" s="27"/>
      <c r="I453" s="20" t="str">
        <f aca="false">IF(AND(ISNUMBER(F453),ISNUMBER(G453),ISNUMBER(H453),F453&gt;G453,H453&gt;0),(F453-H453)/(F453-G453)*1000,"")</f>
        <v/>
      </c>
      <c r="J453" s="17" t="str">
        <f aca="false">IF(AND(ISNUMBER(F453),ISNUMBER(G453),ISNUMBER(H453),F453&gt;G453,H453&gt;0),(F453-H453)/H453,"")</f>
        <v/>
      </c>
      <c r="K453" s="20" t="str">
        <f aca="false">IF(AND(ISNUMBER(F453),ISNUMBER(G453),ISNUMBER(H453),F453&gt;G453,H453&gt;0),H453/(F453-G453)*1000,"")</f>
        <v/>
      </c>
      <c r="L453" s="11" t="str">
        <f aca="false">IF(K453="","",IF(K453&gt;=CONFIG!$E$21,CONFIG!$D$21,IF(K453&gt;=CONFIG!$E$20,CONFIG!$D$20,CONFIG!$D$19)))</f>
        <v/>
      </c>
      <c r="M453" s="20" t="str">
        <f aca="false">IF(K453="","",IF(K453&gt;=CONFIG!$E$21,CONFIG!$F$21,IF(K453&gt;=CONFIG!$E$20,CONFIG!$F$20,CONFIG!$F$19)))</f>
        <v/>
      </c>
      <c r="N453" s="19" t="str">
        <f aca="false">IF(I453="","",IF(I453&lt;=M453,"OK","ALTA"))</f>
        <v/>
      </c>
      <c r="O453" s="13"/>
    </row>
    <row r="454" customFormat="false" ht="15" hidden="false" customHeight="false" outlineLevel="0" collapsed="false">
      <c r="A454" s="11" t="str">
        <f aca="false">IF(C454="","",ROW()-4)</f>
        <v/>
      </c>
      <c r="B454" s="12"/>
      <c r="C454" s="13"/>
      <c r="D454" s="11" t="str">
        <f aca="false">IF(C454="","",IFERROR(INDEX(LOTES!$D$5:$D$1004,MATCH(C454,LOTES!$F$5:$F$1004,0)),"¿Lote?"))</f>
        <v/>
      </c>
      <c r="E454" s="11" t="str">
        <f aca="false">IF(C454="","",IFERROR(INDEX(LOTES!$C$5:$C$1004,MATCH(C454,LOTES!$F$5:$F$1004,0)),""))</f>
        <v/>
      </c>
      <c r="F454" s="27"/>
      <c r="G454" s="27"/>
      <c r="H454" s="27"/>
      <c r="I454" s="20" t="str">
        <f aca="false">IF(AND(ISNUMBER(F454),ISNUMBER(G454),ISNUMBER(H454),F454&gt;G454,H454&gt;0),(F454-H454)/(F454-G454)*1000,"")</f>
        <v/>
      </c>
      <c r="J454" s="17" t="str">
        <f aca="false">IF(AND(ISNUMBER(F454),ISNUMBER(G454),ISNUMBER(H454),F454&gt;G454,H454&gt;0),(F454-H454)/H454,"")</f>
        <v/>
      </c>
      <c r="K454" s="20" t="str">
        <f aca="false">IF(AND(ISNUMBER(F454),ISNUMBER(G454),ISNUMBER(H454),F454&gt;G454,H454&gt;0),H454/(F454-G454)*1000,"")</f>
        <v/>
      </c>
      <c r="L454" s="11" t="str">
        <f aca="false">IF(K454="","",IF(K454&gt;=CONFIG!$E$21,CONFIG!$D$21,IF(K454&gt;=CONFIG!$E$20,CONFIG!$D$20,CONFIG!$D$19)))</f>
        <v/>
      </c>
      <c r="M454" s="20" t="str">
        <f aca="false">IF(K454="","",IF(K454&gt;=CONFIG!$E$21,CONFIG!$F$21,IF(K454&gt;=CONFIG!$E$20,CONFIG!$F$20,CONFIG!$F$19)))</f>
        <v/>
      </c>
      <c r="N454" s="19" t="str">
        <f aca="false">IF(I454="","",IF(I454&lt;=M454,"OK","ALTA"))</f>
        <v/>
      </c>
      <c r="O454" s="13"/>
    </row>
    <row r="455" customFormat="false" ht="15" hidden="false" customHeight="false" outlineLevel="0" collapsed="false">
      <c r="A455" s="11" t="str">
        <f aca="false">IF(C455="","",ROW()-4)</f>
        <v/>
      </c>
      <c r="B455" s="12"/>
      <c r="C455" s="13"/>
      <c r="D455" s="11" t="str">
        <f aca="false">IF(C455="","",IFERROR(INDEX(LOTES!$D$5:$D$1004,MATCH(C455,LOTES!$F$5:$F$1004,0)),"¿Lote?"))</f>
        <v/>
      </c>
      <c r="E455" s="11" t="str">
        <f aca="false">IF(C455="","",IFERROR(INDEX(LOTES!$C$5:$C$1004,MATCH(C455,LOTES!$F$5:$F$1004,0)),""))</f>
        <v/>
      </c>
      <c r="F455" s="27"/>
      <c r="G455" s="27"/>
      <c r="H455" s="27"/>
      <c r="I455" s="20" t="str">
        <f aca="false">IF(AND(ISNUMBER(F455),ISNUMBER(G455),ISNUMBER(H455),F455&gt;G455,H455&gt;0),(F455-H455)/(F455-G455)*1000,"")</f>
        <v/>
      </c>
      <c r="J455" s="17" t="str">
        <f aca="false">IF(AND(ISNUMBER(F455),ISNUMBER(G455),ISNUMBER(H455),F455&gt;G455,H455&gt;0),(F455-H455)/H455,"")</f>
        <v/>
      </c>
      <c r="K455" s="20" t="str">
        <f aca="false">IF(AND(ISNUMBER(F455),ISNUMBER(G455),ISNUMBER(H455),F455&gt;G455,H455&gt;0),H455/(F455-G455)*1000,"")</f>
        <v/>
      </c>
      <c r="L455" s="11" t="str">
        <f aca="false">IF(K455="","",IF(K455&gt;=CONFIG!$E$21,CONFIG!$D$21,IF(K455&gt;=CONFIG!$E$20,CONFIG!$D$20,CONFIG!$D$19)))</f>
        <v/>
      </c>
      <c r="M455" s="20" t="str">
        <f aca="false">IF(K455="","",IF(K455&gt;=CONFIG!$E$21,CONFIG!$F$21,IF(K455&gt;=CONFIG!$E$20,CONFIG!$F$20,CONFIG!$F$19)))</f>
        <v/>
      </c>
      <c r="N455" s="19" t="str">
        <f aca="false">IF(I455="","",IF(I455&lt;=M455,"OK","ALTA"))</f>
        <v/>
      </c>
      <c r="O455" s="13"/>
    </row>
    <row r="456" customFormat="false" ht="15" hidden="false" customHeight="false" outlineLevel="0" collapsed="false">
      <c r="A456" s="11" t="str">
        <f aca="false">IF(C456="","",ROW()-4)</f>
        <v/>
      </c>
      <c r="B456" s="12"/>
      <c r="C456" s="13"/>
      <c r="D456" s="11" t="str">
        <f aca="false">IF(C456="","",IFERROR(INDEX(LOTES!$D$5:$D$1004,MATCH(C456,LOTES!$F$5:$F$1004,0)),"¿Lote?"))</f>
        <v/>
      </c>
      <c r="E456" s="11" t="str">
        <f aca="false">IF(C456="","",IFERROR(INDEX(LOTES!$C$5:$C$1004,MATCH(C456,LOTES!$F$5:$F$1004,0)),""))</f>
        <v/>
      </c>
      <c r="F456" s="27"/>
      <c r="G456" s="27"/>
      <c r="H456" s="27"/>
      <c r="I456" s="20" t="str">
        <f aca="false">IF(AND(ISNUMBER(F456),ISNUMBER(G456),ISNUMBER(H456),F456&gt;G456,H456&gt;0),(F456-H456)/(F456-G456)*1000,"")</f>
        <v/>
      </c>
      <c r="J456" s="17" t="str">
        <f aca="false">IF(AND(ISNUMBER(F456),ISNUMBER(G456),ISNUMBER(H456),F456&gt;G456,H456&gt;0),(F456-H456)/H456,"")</f>
        <v/>
      </c>
      <c r="K456" s="20" t="str">
        <f aca="false">IF(AND(ISNUMBER(F456),ISNUMBER(G456),ISNUMBER(H456),F456&gt;G456,H456&gt;0),H456/(F456-G456)*1000,"")</f>
        <v/>
      </c>
      <c r="L456" s="11" t="str">
        <f aca="false">IF(K456="","",IF(K456&gt;=CONFIG!$E$21,CONFIG!$D$21,IF(K456&gt;=CONFIG!$E$20,CONFIG!$D$20,CONFIG!$D$19)))</f>
        <v/>
      </c>
      <c r="M456" s="20" t="str">
        <f aca="false">IF(K456="","",IF(K456&gt;=CONFIG!$E$21,CONFIG!$F$21,IF(K456&gt;=CONFIG!$E$20,CONFIG!$F$20,CONFIG!$F$19)))</f>
        <v/>
      </c>
      <c r="N456" s="19" t="str">
        <f aca="false">IF(I456="","",IF(I456&lt;=M456,"OK","ALTA"))</f>
        <v/>
      </c>
      <c r="O456" s="13"/>
    </row>
    <row r="457" customFormat="false" ht="15" hidden="false" customHeight="false" outlineLevel="0" collapsed="false">
      <c r="A457" s="11" t="str">
        <f aca="false">IF(C457="","",ROW()-4)</f>
        <v/>
      </c>
      <c r="B457" s="12"/>
      <c r="C457" s="13"/>
      <c r="D457" s="11" t="str">
        <f aca="false">IF(C457="","",IFERROR(INDEX(LOTES!$D$5:$D$1004,MATCH(C457,LOTES!$F$5:$F$1004,0)),"¿Lote?"))</f>
        <v/>
      </c>
      <c r="E457" s="11" t="str">
        <f aca="false">IF(C457="","",IFERROR(INDEX(LOTES!$C$5:$C$1004,MATCH(C457,LOTES!$F$5:$F$1004,0)),""))</f>
        <v/>
      </c>
      <c r="F457" s="27"/>
      <c r="G457" s="27"/>
      <c r="H457" s="27"/>
      <c r="I457" s="20" t="str">
        <f aca="false">IF(AND(ISNUMBER(F457),ISNUMBER(G457),ISNUMBER(H457),F457&gt;G457,H457&gt;0),(F457-H457)/(F457-G457)*1000,"")</f>
        <v/>
      </c>
      <c r="J457" s="17" t="str">
        <f aca="false">IF(AND(ISNUMBER(F457),ISNUMBER(G457),ISNUMBER(H457),F457&gt;G457,H457&gt;0),(F457-H457)/H457,"")</f>
        <v/>
      </c>
      <c r="K457" s="20" t="str">
        <f aca="false">IF(AND(ISNUMBER(F457),ISNUMBER(G457),ISNUMBER(H457),F457&gt;G457,H457&gt;0),H457/(F457-G457)*1000,"")</f>
        <v/>
      </c>
      <c r="L457" s="11" t="str">
        <f aca="false">IF(K457="","",IF(K457&gt;=CONFIG!$E$21,CONFIG!$D$21,IF(K457&gt;=CONFIG!$E$20,CONFIG!$D$20,CONFIG!$D$19)))</f>
        <v/>
      </c>
      <c r="M457" s="20" t="str">
        <f aca="false">IF(K457="","",IF(K457&gt;=CONFIG!$E$21,CONFIG!$F$21,IF(K457&gt;=CONFIG!$E$20,CONFIG!$F$20,CONFIG!$F$19)))</f>
        <v/>
      </c>
      <c r="N457" s="19" t="str">
        <f aca="false">IF(I457="","",IF(I457&lt;=M457,"OK","ALTA"))</f>
        <v/>
      </c>
      <c r="O457" s="13"/>
    </row>
    <row r="458" customFormat="false" ht="15" hidden="false" customHeight="false" outlineLevel="0" collapsed="false">
      <c r="A458" s="11" t="str">
        <f aca="false">IF(C458="","",ROW()-4)</f>
        <v/>
      </c>
      <c r="B458" s="12"/>
      <c r="C458" s="13"/>
      <c r="D458" s="11" t="str">
        <f aca="false">IF(C458="","",IFERROR(INDEX(LOTES!$D$5:$D$1004,MATCH(C458,LOTES!$F$5:$F$1004,0)),"¿Lote?"))</f>
        <v/>
      </c>
      <c r="E458" s="11" t="str">
        <f aca="false">IF(C458="","",IFERROR(INDEX(LOTES!$C$5:$C$1004,MATCH(C458,LOTES!$F$5:$F$1004,0)),""))</f>
        <v/>
      </c>
      <c r="F458" s="27"/>
      <c r="G458" s="27"/>
      <c r="H458" s="27"/>
      <c r="I458" s="20" t="str">
        <f aca="false">IF(AND(ISNUMBER(F458),ISNUMBER(G458),ISNUMBER(H458),F458&gt;G458,H458&gt;0),(F458-H458)/(F458-G458)*1000,"")</f>
        <v/>
      </c>
      <c r="J458" s="17" t="str">
        <f aca="false">IF(AND(ISNUMBER(F458),ISNUMBER(G458),ISNUMBER(H458),F458&gt;G458,H458&gt;0),(F458-H458)/H458,"")</f>
        <v/>
      </c>
      <c r="K458" s="20" t="str">
        <f aca="false">IF(AND(ISNUMBER(F458),ISNUMBER(G458),ISNUMBER(H458),F458&gt;G458,H458&gt;0),H458/(F458-G458)*1000,"")</f>
        <v/>
      </c>
      <c r="L458" s="11" t="str">
        <f aca="false">IF(K458="","",IF(K458&gt;=CONFIG!$E$21,CONFIG!$D$21,IF(K458&gt;=CONFIG!$E$20,CONFIG!$D$20,CONFIG!$D$19)))</f>
        <v/>
      </c>
      <c r="M458" s="20" t="str">
        <f aca="false">IF(K458="","",IF(K458&gt;=CONFIG!$E$21,CONFIG!$F$21,IF(K458&gt;=CONFIG!$E$20,CONFIG!$F$20,CONFIG!$F$19)))</f>
        <v/>
      </c>
      <c r="N458" s="19" t="str">
        <f aca="false">IF(I458="","",IF(I458&lt;=M458,"OK","ALTA"))</f>
        <v/>
      </c>
      <c r="O458" s="13"/>
    </row>
    <row r="459" customFormat="false" ht="15" hidden="false" customHeight="false" outlineLevel="0" collapsed="false">
      <c r="A459" s="11" t="str">
        <f aca="false">IF(C459="","",ROW()-4)</f>
        <v/>
      </c>
      <c r="B459" s="12"/>
      <c r="C459" s="13"/>
      <c r="D459" s="11" t="str">
        <f aca="false">IF(C459="","",IFERROR(INDEX(LOTES!$D$5:$D$1004,MATCH(C459,LOTES!$F$5:$F$1004,0)),"¿Lote?"))</f>
        <v/>
      </c>
      <c r="E459" s="11" t="str">
        <f aca="false">IF(C459="","",IFERROR(INDEX(LOTES!$C$5:$C$1004,MATCH(C459,LOTES!$F$5:$F$1004,0)),""))</f>
        <v/>
      </c>
      <c r="F459" s="27"/>
      <c r="G459" s="27"/>
      <c r="H459" s="27"/>
      <c r="I459" s="20" t="str">
        <f aca="false">IF(AND(ISNUMBER(F459),ISNUMBER(G459),ISNUMBER(H459),F459&gt;G459,H459&gt;0),(F459-H459)/(F459-G459)*1000,"")</f>
        <v/>
      </c>
      <c r="J459" s="17" t="str">
        <f aca="false">IF(AND(ISNUMBER(F459),ISNUMBER(G459),ISNUMBER(H459),F459&gt;G459,H459&gt;0),(F459-H459)/H459,"")</f>
        <v/>
      </c>
      <c r="K459" s="20" t="str">
        <f aca="false">IF(AND(ISNUMBER(F459),ISNUMBER(G459),ISNUMBER(H459),F459&gt;G459,H459&gt;0),H459/(F459-G459)*1000,"")</f>
        <v/>
      </c>
      <c r="L459" s="11" t="str">
        <f aca="false">IF(K459="","",IF(K459&gt;=CONFIG!$E$21,CONFIG!$D$21,IF(K459&gt;=CONFIG!$E$20,CONFIG!$D$20,CONFIG!$D$19)))</f>
        <v/>
      </c>
      <c r="M459" s="20" t="str">
        <f aca="false">IF(K459="","",IF(K459&gt;=CONFIG!$E$21,CONFIG!$F$21,IF(K459&gt;=CONFIG!$E$20,CONFIG!$F$20,CONFIG!$F$19)))</f>
        <v/>
      </c>
      <c r="N459" s="19" t="str">
        <f aca="false">IF(I459="","",IF(I459&lt;=M459,"OK","ALTA"))</f>
        <v/>
      </c>
      <c r="O459" s="13"/>
    </row>
    <row r="460" customFormat="false" ht="15" hidden="false" customHeight="false" outlineLevel="0" collapsed="false">
      <c r="A460" s="11" t="str">
        <f aca="false">IF(C460="","",ROW()-4)</f>
        <v/>
      </c>
      <c r="B460" s="12"/>
      <c r="C460" s="13"/>
      <c r="D460" s="11" t="str">
        <f aca="false">IF(C460="","",IFERROR(INDEX(LOTES!$D$5:$D$1004,MATCH(C460,LOTES!$F$5:$F$1004,0)),"¿Lote?"))</f>
        <v/>
      </c>
      <c r="E460" s="11" t="str">
        <f aca="false">IF(C460="","",IFERROR(INDEX(LOTES!$C$5:$C$1004,MATCH(C460,LOTES!$F$5:$F$1004,0)),""))</f>
        <v/>
      </c>
      <c r="F460" s="27"/>
      <c r="G460" s="27"/>
      <c r="H460" s="27"/>
      <c r="I460" s="20" t="str">
        <f aca="false">IF(AND(ISNUMBER(F460),ISNUMBER(G460),ISNUMBER(H460),F460&gt;G460,H460&gt;0),(F460-H460)/(F460-G460)*1000,"")</f>
        <v/>
      </c>
      <c r="J460" s="17" t="str">
        <f aca="false">IF(AND(ISNUMBER(F460),ISNUMBER(G460),ISNUMBER(H460),F460&gt;G460,H460&gt;0),(F460-H460)/H460,"")</f>
        <v/>
      </c>
      <c r="K460" s="20" t="str">
        <f aca="false">IF(AND(ISNUMBER(F460),ISNUMBER(G460),ISNUMBER(H460),F460&gt;G460,H460&gt;0),H460/(F460-G460)*1000,"")</f>
        <v/>
      </c>
      <c r="L460" s="11" t="str">
        <f aca="false">IF(K460="","",IF(K460&gt;=CONFIG!$E$21,CONFIG!$D$21,IF(K460&gt;=CONFIG!$E$20,CONFIG!$D$20,CONFIG!$D$19)))</f>
        <v/>
      </c>
      <c r="M460" s="20" t="str">
        <f aca="false">IF(K460="","",IF(K460&gt;=CONFIG!$E$21,CONFIG!$F$21,IF(K460&gt;=CONFIG!$E$20,CONFIG!$F$20,CONFIG!$F$19)))</f>
        <v/>
      </c>
      <c r="N460" s="19" t="str">
        <f aca="false">IF(I460="","",IF(I460&lt;=M460,"OK","ALTA"))</f>
        <v/>
      </c>
      <c r="O460" s="13"/>
    </row>
    <row r="461" customFormat="false" ht="15" hidden="false" customHeight="false" outlineLevel="0" collapsed="false">
      <c r="A461" s="11" t="str">
        <f aca="false">IF(C461="","",ROW()-4)</f>
        <v/>
      </c>
      <c r="B461" s="12"/>
      <c r="C461" s="13"/>
      <c r="D461" s="11" t="str">
        <f aca="false">IF(C461="","",IFERROR(INDEX(LOTES!$D$5:$D$1004,MATCH(C461,LOTES!$F$5:$F$1004,0)),"¿Lote?"))</f>
        <v/>
      </c>
      <c r="E461" s="11" t="str">
        <f aca="false">IF(C461="","",IFERROR(INDEX(LOTES!$C$5:$C$1004,MATCH(C461,LOTES!$F$5:$F$1004,0)),""))</f>
        <v/>
      </c>
      <c r="F461" s="27"/>
      <c r="G461" s="27"/>
      <c r="H461" s="27"/>
      <c r="I461" s="20" t="str">
        <f aca="false">IF(AND(ISNUMBER(F461),ISNUMBER(G461),ISNUMBER(H461),F461&gt;G461,H461&gt;0),(F461-H461)/(F461-G461)*1000,"")</f>
        <v/>
      </c>
      <c r="J461" s="17" t="str">
        <f aca="false">IF(AND(ISNUMBER(F461),ISNUMBER(G461),ISNUMBER(H461),F461&gt;G461,H461&gt;0),(F461-H461)/H461,"")</f>
        <v/>
      </c>
      <c r="K461" s="20" t="str">
        <f aca="false">IF(AND(ISNUMBER(F461),ISNUMBER(G461),ISNUMBER(H461),F461&gt;G461,H461&gt;0),H461/(F461-G461)*1000,"")</f>
        <v/>
      </c>
      <c r="L461" s="11" t="str">
        <f aca="false">IF(K461="","",IF(K461&gt;=CONFIG!$E$21,CONFIG!$D$21,IF(K461&gt;=CONFIG!$E$20,CONFIG!$D$20,CONFIG!$D$19)))</f>
        <v/>
      </c>
      <c r="M461" s="20" t="str">
        <f aca="false">IF(K461="","",IF(K461&gt;=CONFIG!$E$21,CONFIG!$F$21,IF(K461&gt;=CONFIG!$E$20,CONFIG!$F$20,CONFIG!$F$19)))</f>
        <v/>
      </c>
      <c r="N461" s="19" t="str">
        <f aca="false">IF(I461="","",IF(I461&lt;=M461,"OK","ALTA"))</f>
        <v/>
      </c>
      <c r="O461" s="13"/>
    </row>
    <row r="462" customFormat="false" ht="15" hidden="false" customHeight="false" outlineLevel="0" collapsed="false">
      <c r="A462" s="11" t="str">
        <f aca="false">IF(C462="","",ROW()-4)</f>
        <v/>
      </c>
      <c r="B462" s="12"/>
      <c r="C462" s="13"/>
      <c r="D462" s="11" t="str">
        <f aca="false">IF(C462="","",IFERROR(INDEX(LOTES!$D$5:$D$1004,MATCH(C462,LOTES!$F$5:$F$1004,0)),"¿Lote?"))</f>
        <v/>
      </c>
      <c r="E462" s="11" t="str">
        <f aca="false">IF(C462="","",IFERROR(INDEX(LOTES!$C$5:$C$1004,MATCH(C462,LOTES!$F$5:$F$1004,0)),""))</f>
        <v/>
      </c>
      <c r="F462" s="27"/>
      <c r="G462" s="27"/>
      <c r="H462" s="27"/>
      <c r="I462" s="20" t="str">
        <f aca="false">IF(AND(ISNUMBER(F462),ISNUMBER(G462),ISNUMBER(H462),F462&gt;G462,H462&gt;0),(F462-H462)/(F462-G462)*1000,"")</f>
        <v/>
      </c>
      <c r="J462" s="17" t="str">
        <f aca="false">IF(AND(ISNUMBER(F462),ISNUMBER(G462),ISNUMBER(H462),F462&gt;G462,H462&gt;0),(F462-H462)/H462,"")</f>
        <v/>
      </c>
      <c r="K462" s="20" t="str">
        <f aca="false">IF(AND(ISNUMBER(F462),ISNUMBER(G462),ISNUMBER(H462),F462&gt;G462,H462&gt;0),H462/(F462-G462)*1000,"")</f>
        <v/>
      </c>
      <c r="L462" s="11" t="str">
        <f aca="false">IF(K462="","",IF(K462&gt;=CONFIG!$E$21,CONFIG!$D$21,IF(K462&gt;=CONFIG!$E$20,CONFIG!$D$20,CONFIG!$D$19)))</f>
        <v/>
      </c>
      <c r="M462" s="20" t="str">
        <f aca="false">IF(K462="","",IF(K462&gt;=CONFIG!$E$21,CONFIG!$F$21,IF(K462&gt;=CONFIG!$E$20,CONFIG!$F$20,CONFIG!$F$19)))</f>
        <v/>
      </c>
      <c r="N462" s="19" t="str">
        <f aca="false">IF(I462="","",IF(I462&lt;=M462,"OK","ALTA"))</f>
        <v/>
      </c>
      <c r="O462" s="13"/>
    </row>
    <row r="463" customFormat="false" ht="15" hidden="false" customHeight="false" outlineLevel="0" collapsed="false">
      <c r="A463" s="11" t="str">
        <f aca="false">IF(C463="","",ROW()-4)</f>
        <v/>
      </c>
      <c r="B463" s="12"/>
      <c r="C463" s="13"/>
      <c r="D463" s="11" t="str">
        <f aca="false">IF(C463="","",IFERROR(INDEX(LOTES!$D$5:$D$1004,MATCH(C463,LOTES!$F$5:$F$1004,0)),"¿Lote?"))</f>
        <v/>
      </c>
      <c r="E463" s="11" t="str">
        <f aca="false">IF(C463="","",IFERROR(INDEX(LOTES!$C$5:$C$1004,MATCH(C463,LOTES!$F$5:$F$1004,0)),""))</f>
        <v/>
      </c>
      <c r="F463" s="27"/>
      <c r="G463" s="27"/>
      <c r="H463" s="27"/>
      <c r="I463" s="20" t="str">
        <f aca="false">IF(AND(ISNUMBER(F463),ISNUMBER(G463),ISNUMBER(H463),F463&gt;G463,H463&gt;0),(F463-H463)/(F463-G463)*1000,"")</f>
        <v/>
      </c>
      <c r="J463" s="17" t="str">
        <f aca="false">IF(AND(ISNUMBER(F463),ISNUMBER(G463),ISNUMBER(H463),F463&gt;G463,H463&gt;0),(F463-H463)/H463,"")</f>
        <v/>
      </c>
      <c r="K463" s="20" t="str">
        <f aca="false">IF(AND(ISNUMBER(F463),ISNUMBER(G463),ISNUMBER(H463),F463&gt;G463,H463&gt;0),H463/(F463-G463)*1000,"")</f>
        <v/>
      </c>
      <c r="L463" s="11" t="str">
        <f aca="false">IF(K463="","",IF(K463&gt;=CONFIG!$E$21,CONFIG!$D$21,IF(K463&gt;=CONFIG!$E$20,CONFIG!$D$20,CONFIG!$D$19)))</f>
        <v/>
      </c>
      <c r="M463" s="20" t="str">
        <f aca="false">IF(K463="","",IF(K463&gt;=CONFIG!$E$21,CONFIG!$F$21,IF(K463&gt;=CONFIG!$E$20,CONFIG!$F$20,CONFIG!$F$19)))</f>
        <v/>
      </c>
      <c r="N463" s="19" t="str">
        <f aca="false">IF(I463="","",IF(I463&lt;=M463,"OK","ALTA"))</f>
        <v/>
      </c>
      <c r="O463" s="13"/>
    </row>
    <row r="464" customFormat="false" ht="15" hidden="false" customHeight="false" outlineLevel="0" collapsed="false">
      <c r="A464" s="11" t="str">
        <f aca="false">IF(C464="","",ROW()-4)</f>
        <v/>
      </c>
      <c r="B464" s="12"/>
      <c r="C464" s="13"/>
      <c r="D464" s="11" t="str">
        <f aca="false">IF(C464="","",IFERROR(INDEX(LOTES!$D$5:$D$1004,MATCH(C464,LOTES!$F$5:$F$1004,0)),"¿Lote?"))</f>
        <v/>
      </c>
      <c r="E464" s="11" t="str">
        <f aca="false">IF(C464="","",IFERROR(INDEX(LOTES!$C$5:$C$1004,MATCH(C464,LOTES!$F$5:$F$1004,0)),""))</f>
        <v/>
      </c>
      <c r="F464" s="27"/>
      <c r="G464" s="27"/>
      <c r="H464" s="27"/>
      <c r="I464" s="20" t="str">
        <f aca="false">IF(AND(ISNUMBER(F464),ISNUMBER(G464),ISNUMBER(H464),F464&gt;G464,H464&gt;0),(F464-H464)/(F464-G464)*1000,"")</f>
        <v/>
      </c>
      <c r="J464" s="17" t="str">
        <f aca="false">IF(AND(ISNUMBER(F464),ISNUMBER(G464),ISNUMBER(H464),F464&gt;G464,H464&gt;0),(F464-H464)/H464,"")</f>
        <v/>
      </c>
      <c r="K464" s="20" t="str">
        <f aca="false">IF(AND(ISNUMBER(F464),ISNUMBER(G464),ISNUMBER(H464),F464&gt;G464,H464&gt;0),H464/(F464-G464)*1000,"")</f>
        <v/>
      </c>
      <c r="L464" s="11" t="str">
        <f aca="false">IF(K464="","",IF(K464&gt;=CONFIG!$E$21,CONFIG!$D$21,IF(K464&gt;=CONFIG!$E$20,CONFIG!$D$20,CONFIG!$D$19)))</f>
        <v/>
      </c>
      <c r="M464" s="20" t="str">
        <f aca="false">IF(K464="","",IF(K464&gt;=CONFIG!$E$21,CONFIG!$F$21,IF(K464&gt;=CONFIG!$E$20,CONFIG!$F$20,CONFIG!$F$19)))</f>
        <v/>
      </c>
      <c r="N464" s="19" t="str">
        <f aca="false">IF(I464="","",IF(I464&lt;=M464,"OK","ALTA"))</f>
        <v/>
      </c>
      <c r="O464" s="13"/>
    </row>
    <row r="465" customFormat="false" ht="15" hidden="false" customHeight="false" outlineLevel="0" collapsed="false">
      <c r="A465" s="11" t="str">
        <f aca="false">IF(C465="","",ROW()-4)</f>
        <v/>
      </c>
      <c r="B465" s="12"/>
      <c r="C465" s="13"/>
      <c r="D465" s="11" t="str">
        <f aca="false">IF(C465="","",IFERROR(INDEX(LOTES!$D$5:$D$1004,MATCH(C465,LOTES!$F$5:$F$1004,0)),"¿Lote?"))</f>
        <v/>
      </c>
      <c r="E465" s="11" t="str">
        <f aca="false">IF(C465="","",IFERROR(INDEX(LOTES!$C$5:$C$1004,MATCH(C465,LOTES!$F$5:$F$1004,0)),""))</f>
        <v/>
      </c>
      <c r="F465" s="27"/>
      <c r="G465" s="27"/>
      <c r="H465" s="27"/>
      <c r="I465" s="20" t="str">
        <f aca="false">IF(AND(ISNUMBER(F465),ISNUMBER(G465),ISNUMBER(H465),F465&gt;G465,H465&gt;0),(F465-H465)/(F465-G465)*1000,"")</f>
        <v/>
      </c>
      <c r="J465" s="17" t="str">
        <f aca="false">IF(AND(ISNUMBER(F465),ISNUMBER(G465),ISNUMBER(H465),F465&gt;G465,H465&gt;0),(F465-H465)/H465,"")</f>
        <v/>
      </c>
      <c r="K465" s="20" t="str">
        <f aca="false">IF(AND(ISNUMBER(F465),ISNUMBER(G465),ISNUMBER(H465),F465&gt;G465,H465&gt;0),H465/(F465-G465)*1000,"")</f>
        <v/>
      </c>
      <c r="L465" s="11" t="str">
        <f aca="false">IF(K465="","",IF(K465&gt;=CONFIG!$E$21,CONFIG!$D$21,IF(K465&gt;=CONFIG!$E$20,CONFIG!$D$20,CONFIG!$D$19)))</f>
        <v/>
      </c>
      <c r="M465" s="20" t="str">
        <f aca="false">IF(K465="","",IF(K465&gt;=CONFIG!$E$21,CONFIG!$F$21,IF(K465&gt;=CONFIG!$E$20,CONFIG!$F$20,CONFIG!$F$19)))</f>
        <v/>
      </c>
      <c r="N465" s="19" t="str">
        <f aca="false">IF(I465="","",IF(I465&lt;=M465,"OK","ALTA"))</f>
        <v/>
      </c>
      <c r="O465" s="13"/>
    </row>
    <row r="466" customFormat="false" ht="15" hidden="false" customHeight="false" outlineLevel="0" collapsed="false">
      <c r="A466" s="11" t="str">
        <f aca="false">IF(C466="","",ROW()-4)</f>
        <v/>
      </c>
      <c r="B466" s="12"/>
      <c r="C466" s="13"/>
      <c r="D466" s="11" t="str">
        <f aca="false">IF(C466="","",IFERROR(INDEX(LOTES!$D$5:$D$1004,MATCH(C466,LOTES!$F$5:$F$1004,0)),"¿Lote?"))</f>
        <v/>
      </c>
      <c r="E466" s="11" t="str">
        <f aca="false">IF(C466="","",IFERROR(INDEX(LOTES!$C$5:$C$1004,MATCH(C466,LOTES!$F$5:$F$1004,0)),""))</f>
        <v/>
      </c>
      <c r="F466" s="27"/>
      <c r="G466" s="27"/>
      <c r="H466" s="27"/>
      <c r="I466" s="20" t="str">
        <f aca="false">IF(AND(ISNUMBER(F466),ISNUMBER(G466),ISNUMBER(H466),F466&gt;G466,H466&gt;0),(F466-H466)/(F466-G466)*1000,"")</f>
        <v/>
      </c>
      <c r="J466" s="17" t="str">
        <f aca="false">IF(AND(ISNUMBER(F466),ISNUMBER(G466),ISNUMBER(H466),F466&gt;G466,H466&gt;0),(F466-H466)/H466,"")</f>
        <v/>
      </c>
      <c r="K466" s="20" t="str">
        <f aca="false">IF(AND(ISNUMBER(F466),ISNUMBER(G466),ISNUMBER(H466),F466&gt;G466,H466&gt;0),H466/(F466-G466)*1000,"")</f>
        <v/>
      </c>
      <c r="L466" s="11" t="str">
        <f aca="false">IF(K466="","",IF(K466&gt;=CONFIG!$E$21,CONFIG!$D$21,IF(K466&gt;=CONFIG!$E$20,CONFIG!$D$20,CONFIG!$D$19)))</f>
        <v/>
      </c>
      <c r="M466" s="20" t="str">
        <f aca="false">IF(K466="","",IF(K466&gt;=CONFIG!$E$21,CONFIG!$F$21,IF(K466&gt;=CONFIG!$E$20,CONFIG!$F$20,CONFIG!$F$19)))</f>
        <v/>
      </c>
      <c r="N466" s="19" t="str">
        <f aca="false">IF(I466="","",IF(I466&lt;=M466,"OK","ALTA"))</f>
        <v/>
      </c>
      <c r="O466" s="13"/>
    </row>
    <row r="467" customFormat="false" ht="15" hidden="false" customHeight="false" outlineLevel="0" collapsed="false">
      <c r="A467" s="11" t="str">
        <f aca="false">IF(C467="","",ROW()-4)</f>
        <v/>
      </c>
      <c r="B467" s="12"/>
      <c r="C467" s="13"/>
      <c r="D467" s="11" t="str">
        <f aca="false">IF(C467="","",IFERROR(INDEX(LOTES!$D$5:$D$1004,MATCH(C467,LOTES!$F$5:$F$1004,0)),"¿Lote?"))</f>
        <v/>
      </c>
      <c r="E467" s="11" t="str">
        <f aca="false">IF(C467="","",IFERROR(INDEX(LOTES!$C$5:$C$1004,MATCH(C467,LOTES!$F$5:$F$1004,0)),""))</f>
        <v/>
      </c>
      <c r="F467" s="27"/>
      <c r="G467" s="27"/>
      <c r="H467" s="27"/>
      <c r="I467" s="20" t="str">
        <f aca="false">IF(AND(ISNUMBER(F467),ISNUMBER(G467),ISNUMBER(H467),F467&gt;G467,H467&gt;0),(F467-H467)/(F467-G467)*1000,"")</f>
        <v/>
      </c>
      <c r="J467" s="17" t="str">
        <f aca="false">IF(AND(ISNUMBER(F467),ISNUMBER(G467),ISNUMBER(H467),F467&gt;G467,H467&gt;0),(F467-H467)/H467,"")</f>
        <v/>
      </c>
      <c r="K467" s="20" t="str">
        <f aca="false">IF(AND(ISNUMBER(F467),ISNUMBER(G467),ISNUMBER(H467),F467&gt;G467,H467&gt;0),H467/(F467-G467)*1000,"")</f>
        <v/>
      </c>
      <c r="L467" s="11" t="str">
        <f aca="false">IF(K467="","",IF(K467&gt;=CONFIG!$E$21,CONFIG!$D$21,IF(K467&gt;=CONFIG!$E$20,CONFIG!$D$20,CONFIG!$D$19)))</f>
        <v/>
      </c>
      <c r="M467" s="20" t="str">
        <f aca="false">IF(K467="","",IF(K467&gt;=CONFIG!$E$21,CONFIG!$F$21,IF(K467&gt;=CONFIG!$E$20,CONFIG!$F$20,CONFIG!$F$19)))</f>
        <v/>
      </c>
      <c r="N467" s="19" t="str">
        <f aca="false">IF(I467="","",IF(I467&lt;=M467,"OK","ALTA"))</f>
        <v/>
      </c>
      <c r="O467" s="13"/>
    </row>
    <row r="468" customFormat="false" ht="15" hidden="false" customHeight="false" outlineLevel="0" collapsed="false">
      <c r="A468" s="11" t="str">
        <f aca="false">IF(C468="","",ROW()-4)</f>
        <v/>
      </c>
      <c r="B468" s="12"/>
      <c r="C468" s="13"/>
      <c r="D468" s="11" t="str">
        <f aca="false">IF(C468="","",IFERROR(INDEX(LOTES!$D$5:$D$1004,MATCH(C468,LOTES!$F$5:$F$1004,0)),"¿Lote?"))</f>
        <v/>
      </c>
      <c r="E468" s="11" t="str">
        <f aca="false">IF(C468="","",IFERROR(INDEX(LOTES!$C$5:$C$1004,MATCH(C468,LOTES!$F$5:$F$1004,0)),""))</f>
        <v/>
      </c>
      <c r="F468" s="27"/>
      <c r="G468" s="27"/>
      <c r="H468" s="27"/>
      <c r="I468" s="20" t="str">
        <f aca="false">IF(AND(ISNUMBER(F468),ISNUMBER(G468),ISNUMBER(H468),F468&gt;G468,H468&gt;0),(F468-H468)/(F468-G468)*1000,"")</f>
        <v/>
      </c>
      <c r="J468" s="17" t="str">
        <f aca="false">IF(AND(ISNUMBER(F468),ISNUMBER(G468),ISNUMBER(H468),F468&gt;G468,H468&gt;0),(F468-H468)/H468,"")</f>
        <v/>
      </c>
      <c r="K468" s="20" t="str">
        <f aca="false">IF(AND(ISNUMBER(F468),ISNUMBER(G468),ISNUMBER(H468),F468&gt;G468,H468&gt;0),H468/(F468-G468)*1000,"")</f>
        <v/>
      </c>
      <c r="L468" s="11" t="str">
        <f aca="false">IF(K468="","",IF(K468&gt;=CONFIG!$E$21,CONFIG!$D$21,IF(K468&gt;=CONFIG!$E$20,CONFIG!$D$20,CONFIG!$D$19)))</f>
        <v/>
      </c>
      <c r="M468" s="20" t="str">
        <f aca="false">IF(K468="","",IF(K468&gt;=CONFIG!$E$21,CONFIG!$F$21,IF(K468&gt;=CONFIG!$E$20,CONFIG!$F$20,CONFIG!$F$19)))</f>
        <v/>
      </c>
      <c r="N468" s="19" t="str">
        <f aca="false">IF(I468="","",IF(I468&lt;=M468,"OK","ALTA"))</f>
        <v/>
      </c>
      <c r="O468" s="13"/>
    </row>
    <row r="469" customFormat="false" ht="15" hidden="false" customHeight="false" outlineLevel="0" collapsed="false">
      <c r="A469" s="11" t="str">
        <f aca="false">IF(C469="","",ROW()-4)</f>
        <v/>
      </c>
      <c r="B469" s="12"/>
      <c r="C469" s="13"/>
      <c r="D469" s="11" t="str">
        <f aca="false">IF(C469="","",IFERROR(INDEX(LOTES!$D$5:$D$1004,MATCH(C469,LOTES!$F$5:$F$1004,0)),"¿Lote?"))</f>
        <v/>
      </c>
      <c r="E469" s="11" t="str">
        <f aca="false">IF(C469="","",IFERROR(INDEX(LOTES!$C$5:$C$1004,MATCH(C469,LOTES!$F$5:$F$1004,0)),""))</f>
        <v/>
      </c>
      <c r="F469" s="27"/>
      <c r="G469" s="27"/>
      <c r="H469" s="27"/>
      <c r="I469" s="20" t="str">
        <f aca="false">IF(AND(ISNUMBER(F469),ISNUMBER(G469),ISNUMBER(H469),F469&gt;G469,H469&gt;0),(F469-H469)/(F469-G469)*1000,"")</f>
        <v/>
      </c>
      <c r="J469" s="17" t="str">
        <f aca="false">IF(AND(ISNUMBER(F469),ISNUMBER(G469),ISNUMBER(H469),F469&gt;G469,H469&gt;0),(F469-H469)/H469,"")</f>
        <v/>
      </c>
      <c r="K469" s="20" t="str">
        <f aca="false">IF(AND(ISNUMBER(F469),ISNUMBER(G469),ISNUMBER(H469),F469&gt;G469,H469&gt;0),H469/(F469-G469)*1000,"")</f>
        <v/>
      </c>
      <c r="L469" s="11" t="str">
        <f aca="false">IF(K469="","",IF(K469&gt;=CONFIG!$E$21,CONFIG!$D$21,IF(K469&gt;=CONFIG!$E$20,CONFIG!$D$20,CONFIG!$D$19)))</f>
        <v/>
      </c>
      <c r="M469" s="20" t="str">
        <f aca="false">IF(K469="","",IF(K469&gt;=CONFIG!$E$21,CONFIG!$F$21,IF(K469&gt;=CONFIG!$E$20,CONFIG!$F$20,CONFIG!$F$19)))</f>
        <v/>
      </c>
      <c r="N469" s="19" t="str">
        <f aca="false">IF(I469="","",IF(I469&lt;=M469,"OK","ALTA"))</f>
        <v/>
      </c>
      <c r="O469" s="13"/>
    </row>
    <row r="470" customFormat="false" ht="15" hidden="false" customHeight="false" outlineLevel="0" collapsed="false">
      <c r="A470" s="11" t="str">
        <f aca="false">IF(C470="","",ROW()-4)</f>
        <v/>
      </c>
      <c r="B470" s="12"/>
      <c r="C470" s="13"/>
      <c r="D470" s="11" t="str">
        <f aca="false">IF(C470="","",IFERROR(INDEX(LOTES!$D$5:$D$1004,MATCH(C470,LOTES!$F$5:$F$1004,0)),"¿Lote?"))</f>
        <v/>
      </c>
      <c r="E470" s="11" t="str">
        <f aca="false">IF(C470="","",IFERROR(INDEX(LOTES!$C$5:$C$1004,MATCH(C470,LOTES!$F$5:$F$1004,0)),""))</f>
        <v/>
      </c>
      <c r="F470" s="27"/>
      <c r="G470" s="27"/>
      <c r="H470" s="27"/>
      <c r="I470" s="20" t="str">
        <f aca="false">IF(AND(ISNUMBER(F470),ISNUMBER(G470),ISNUMBER(H470),F470&gt;G470,H470&gt;0),(F470-H470)/(F470-G470)*1000,"")</f>
        <v/>
      </c>
      <c r="J470" s="17" t="str">
        <f aca="false">IF(AND(ISNUMBER(F470),ISNUMBER(G470),ISNUMBER(H470),F470&gt;G470,H470&gt;0),(F470-H470)/H470,"")</f>
        <v/>
      </c>
      <c r="K470" s="20" t="str">
        <f aca="false">IF(AND(ISNUMBER(F470),ISNUMBER(G470),ISNUMBER(H470),F470&gt;G470,H470&gt;0),H470/(F470-G470)*1000,"")</f>
        <v/>
      </c>
      <c r="L470" s="11" t="str">
        <f aca="false">IF(K470="","",IF(K470&gt;=CONFIG!$E$21,CONFIG!$D$21,IF(K470&gt;=CONFIG!$E$20,CONFIG!$D$20,CONFIG!$D$19)))</f>
        <v/>
      </c>
      <c r="M470" s="20" t="str">
        <f aca="false">IF(K470="","",IF(K470&gt;=CONFIG!$E$21,CONFIG!$F$21,IF(K470&gt;=CONFIG!$E$20,CONFIG!$F$20,CONFIG!$F$19)))</f>
        <v/>
      </c>
      <c r="N470" s="19" t="str">
        <f aca="false">IF(I470="","",IF(I470&lt;=M470,"OK","ALTA"))</f>
        <v/>
      </c>
      <c r="O470" s="13"/>
    </row>
    <row r="471" customFormat="false" ht="15" hidden="false" customHeight="false" outlineLevel="0" collapsed="false">
      <c r="A471" s="11" t="str">
        <f aca="false">IF(C471="","",ROW()-4)</f>
        <v/>
      </c>
      <c r="B471" s="12"/>
      <c r="C471" s="13"/>
      <c r="D471" s="11" t="str">
        <f aca="false">IF(C471="","",IFERROR(INDEX(LOTES!$D$5:$D$1004,MATCH(C471,LOTES!$F$5:$F$1004,0)),"¿Lote?"))</f>
        <v/>
      </c>
      <c r="E471" s="11" t="str">
        <f aca="false">IF(C471="","",IFERROR(INDEX(LOTES!$C$5:$C$1004,MATCH(C471,LOTES!$F$5:$F$1004,0)),""))</f>
        <v/>
      </c>
      <c r="F471" s="27"/>
      <c r="G471" s="27"/>
      <c r="H471" s="27"/>
      <c r="I471" s="20" t="str">
        <f aca="false">IF(AND(ISNUMBER(F471),ISNUMBER(G471),ISNUMBER(H471),F471&gt;G471,H471&gt;0),(F471-H471)/(F471-G471)*1000,"")</f>
        <v/>
      </c>
      <c r="J471" s="17" t="str">
        <f aca="false">IF(AND(ISNUMBER(F471),ISNUMBER(G471),ISNUMBER(H471),F471&gt;G471,H471&gt;0),(F471-H471)/H471,"")</f>
        <v/>
      </c>
      <c r="K471" s="20" t="str">
        <f aca="false">IF(AND(ISNUMBER(F471),ISNUMBER(G471),ISNUMBER(H471),F471&gt;G471,H471&gt;0),H471/(F471-G471)*1000,"")</f>
        <v/>
      </c>
      <c r="L471" s="11" t="str">
        <f aca="false">IF(K471="","",IF(K471&gt;=CONFIG!$E$21,CONFIG!$D$21,IF(K471&gt;=CONFIG!$E$20,CONFIG!$D$20,CONFIG!$D$19)))</f>
        <v/>
      </c>
      <c r="M471" s="20" t="str">
        <f aca="false">IF(K471="","",IF(K471&gt;=CONFIG!$E$21,CONFIG!$F$21,IF(K471&gt;=CONFIG!$E$20,CONFIG!$F$20,CONFIG!$F$19)))</f>
        <v/>
      </c>
      <c r="N471" s="19" t="str">
        <f aca="false">IF(I471="","",IF(I471&lt;=M471,"OK","ALTA"))</f>
        <v/>
      </c>
      <c r="O471" s="13"/>
    </row>
    <row r="472" customFormat="false" ht="15" hidden="false" customHeight="false" outlineLevel="0" collapsed="false">
      <c r="A472" s="11" t="str">
        <f aca="false">IF(C472="","",ROW()-4)</f>
        <v/>
      </c>
      <c r="B472" s="12"/>
      <c r="C472" s="13"/>
      <c r="D472" s="11" t="str">
        <f aca="false">IF(C472="","",IFERROR(INDEX(LOTES!$D$5:$D$1004,MATCH(C472,LOTES!$F$5:$F$1004,0)),"¿Lote?"))</f>
        <v/>
      </c>
      <c r="E472" s="11" t="str">
        <f aca="false">IF(C472="","",IFERROR(INDEX(LOTES!$C$5:$C$1004,MATCH(C472,LOTES!$F$5:$F$1004,0)),""))</f>
        <v/>
      </c>
      <c r="F472" s="27"/>
      <c r="G472" s="27"/>
      <c r="H472" s="27"/>
      <c r="I472" s="20" t="str">
        <f aca="false">IF(AND(ISNUMBER(F472),ISNUMBER(G472),ISNUMBER(H472),F472&gt;G472,H472&gt;0),(F472-H472)/(F472-G472)*1000,"")</f>
        <v/>
      </c>
      <c r="J472" s="17" t="str">
        <f aca="false">IF(AND(ISNUMBER(F472),ISNUMBER(G472),ISNUMBER(H472),F472&gt;G472,H472&gt;0),(F472-H472)/H472,"")</f>
        <v/>
      </c>
      <c r="K472" s="20" t="str">
        <f aca="false">IF(AND(ISNUMBER(F472),ISNUMBER(G472),ISNUMBER(H472),F472&gt;G472,H472&gt;0),H472/(F472-G472)*1000,"")</f>
        <v/>
      </c>
      <c r="L472" s="11" t="str">
        <f aca="false">IF(K472="","",IF(K472&gt;=CONFIG!$E$21,CONFIG!$D$21,IF(K472&gt;=CONFIG!$E$20,CONFIG!$D$20,CONFIG!$D$19)))</f>
        <v/>
      </c>
      <c r="M472" s="20" t="str">
        <f aca="false">IF(K472="","",IF(K472&gt;=CONFIG!$E$21,CONFIG!$F$21,IF(K472&gt;=CONFIG!$E$20,CONFIG!$F$20,CONFIG!$F$19)))</f>
        <v/>
      </c>
      <c r="N472" s="19" t="str">
        <f aca="false">IF(I472="","",IF(I472&lt;=M472,"OK","ALTA"))</f>
        <v/>
      </c>
      <c r="O472" s="13"/>
    </row>
    <row r="473" customFormat="false" ht="15" hidden="false" customHeight="false" outlineLevel="0" collapsed="false">
      <c r="A473" s="11" t="str">
        <f aca="false">IF(C473="","",ROW()-4)</f>
        <v/>
      </c>
      <c r="B473" s="12"/>
      <c r="C473" s="13"/>
      <c r="D473" s="11" t="str">
        <f aca="false">IF(C473="","",IFERROR(INDEX(LOTES!$D$5:$D$1004,MATCH(C473,LOTES!$F$5:$F$1004,0)),"¿Lote?"))</f>
        <v/>
      </c>
      <c r="E473" s="11" t="str">
        <f aca="false">IF(C473="","",IFERROR(INDEX(LOTES!$C$5:$C$1004,MATCH(C473,LOTES!$F$5:$F$1004,0)),""))</f>
        <v/>
      </c>
      <c r="F473" s="27"/>
      <c r="G473" s="27"/>
      <c r="H473" s="27"/>
      <c r="I473" s="20" t="str">
        <f aca="false">IF(AND(ISNUMBER(F473),ISNUMBER(G473),ISNUMBER(H473),F473&gt;G473,H473&gt;0),(F473-H473)/(F473-G473)*1000,"")</f>
        <v/>
      </c>
      <c r="J473" s="17" t="str">
        <f aca="false">IF(AND(ISNUMBER(F473),ISNUMBER(G473),ISNUMBER(H473),F473&gt;G473,H473&gt;0),(F473-H473)/H473,"")</f>
        <v/>
      </c>
      <c r="K473" s="20" t="str">
        <f aca="false">IF(AND(ISNUMBER(F473),ISNUMBER(G473),ISNUMBER(H473),F473&gt;G473,H473&gt;0),H473/(F473-G473)*1000,"")</f>
        <v/>
      </c>
      <c r="L473" s="11" t="str">
        <f aca="false">IF(K473="","",IF(K473&gt;=CONFIG!$E$21,CONFIG!$D$21,IF(K473&gt;=CONFIG!$E$20,CONFIG!$D$20,CONFIG!$D$19)))</f>
        <v/>
      </c>
      <c r="M473" s="20" t="str">
        <f aca="false">IF(K473="","",IF(K473&gt;=CONFIG!$E$21,CONFIG!$F$21,IF(K473&gt;=CONFIG!$E$20,CONFIG!$F$20,CONFIG!$F$19)))</f>
        <v/>
      </c>
      <c r="N473" s="19" t="str">
        <f aca="false">IF(I473="","",IF(I473&lt;=M473,"OK","ALTA"))</f>
        <v/>
      </c>
      <c r="O473" s="13"/>
    </row>
    <row r="474" customFormat="false" ht="15" hidden="false" customHeight="false" outlineLevel="0" collapsed="false">
      <c r="A474" s="11" t="str">
        <f aca="false">IF(C474="","",ROW()-4)</f>
        <v/>
      </c>
      <c r="B474" s="12"/>
      <c r="C474" s="13"/>
      <c r="D474" s="11" t="str">
        <f aca="false">IF(C474="","",IFERROR(INDEX(LOTES!$D$5:$D$1004,MATCH(C474,LOTES!$F$5:$F$1004,0)),"¿Lote?"))</f>
        <v/>
      </c>
      <c r="E474" s="11" t="str">
        <f aca="false">IF(C474="","",IFERROR(INDEX(LOTES!$C$5:$C$1004,MATCH(C474,LOTES!$F$5:$F$1004,0)),""))</f>
        <v/>
      </c>
      <c r="F474" s="27"/>
      <c r="G474" s="27"/>
      <c r="H474" s="27"/>
      <c r="I474" s="20" t="str">
        <f aca="false">IF(AND(ISNUMBER(F474),ISNUMBER(G474),ISNUMBER(H474),F474&gt;G474,H474&gt;0),(F474-H474)/(F474-G474)*1000,"")</f>
        <v/>
      </c>
      <c r="J474" s="17" t="str">
        <f aca="false">IF(AND(ISNUMBER(F474),ISNUMBER(G474),ISNUMBER(H474),F474&gt;G474,H474&gt;0),(F474-H474)/H474,"")</f>
        <v/>
      </c>
      <c r="K474" s="20" t="str">
        <f aca="false">IF(AND(ISNUMBER(F474),ISNUMBER(G474),ISNUMBER(H474),F474&gt;G474,H474&gt;0),H474/(F474-G474)*1000,"")</f>
        <v/>
      </c>
      <c r="L474" s="11" t="str">
        <f aca="false">IF(K474="","",IF(K474&gt;=CONFIG!$E$21,CONFIG!$D$21,IF(K474&gt;=CONFIG!$E$20,CONFIG!$D$20,CONFIG!$D$19)))</f>
        <v/>
      </c>
      <c r="M474" s="20" t="str">
        <f aca="false">IF(K474="","",IF(K474&gt;=CONFIG!$E$21,CONFIG!$F$21,IF(K474&gt;=CONFIG!$E$20,CONFIG!$F$20,CONFIG!$F$19)))</f>
        <v/>
      </c>
      <c r="N474" s="19" t="str">
        <f aca="false">IF(I474="","",IF(I474&lt;=M474,"OK","ALTA"))</f>
        <v/>
      </c>
      <c r="O474" s="13"/>
    </row>
    <row r="475" customFormat="false" ht="15" hidden="false" customHeight="false" outlineLevel="0" collapsed="false">
      <c r="A475" s="11" t="str">
        <f aca="false">IF(C475="","",ROW()-4)</f>
        <v/>
      </c>
      <c r="B475" s="12"/>
      <c r="C475" s="13"/>
      <c r="D475" s="11" t="str">
        <f aca="false">IF(C475="","",IFERROR(INDEX(LOTES!$D$5:$D$1004,MATCH(C475,LOTES!$F$5:$F$1004,0)),"¿Lote?"))</f>
        <v/>
      </c>
      <c r="E475" s="11" t="str">
        <f aca="false">IF(C475="","",IFERROR(INDEX(LOTES!$C$5:$C$1004,MATCH(C475,LOTES!$F$5:$F$1004,0)),""))</f>
        <v/>
      </c>
      <c r="F475" s="27"/>
      <c r="G475" s="27"/>
      <c r="H475" s="27"/>
      <c r="I475" s="20" t="str">
        <f aca="false">IF(AND(ISNUMBER(F475),ISNUMBER(G475),ISNUMBER(H475),F475&gt;G475,H475&gt;0),(F475-H475)/(F475-G475)*1000,"")</f>
        <v/>
      </c>
      <c r="J475" s="17" t="str">
        <f aca="false">IF(AND(ISNUMBER(F475),ISNUMBER(G475),ISNUMBER(H475),F475&gt;G475,H475&gt;0),(F475-H475)/H475,"")</f>
        <v/>
      </c>
      <c r="K475" s="20" t="str">
        <f aca="false">IF(AND(ISNUMBER(F475),ISNUMBER(G475),ISNUMBER(H475),F475&gt;G475,H475&gt;0),H475/(F475-G475)*1000,"")</f>
        <v/>
      </c>
      <c r="L475" s="11" t="str">
        <f aca="false">IF(K475="","",IF(K475&gt;=CONFIG!$E$21,CONFIG!$D$21,IF(K475&gt;=CONFIG!$E$20,CONFIG!$D$20,CONFIG!$D$19)))</f>
        <v/>
      </c>
      <c r="M475" s="20" t="str">
        <f aca="false">IF(K475="","",IF(K475&gt;=CONFIG!$E$21,CONFIG!$F$21,IF(K475&gt;=CONFIG!$E$20,CONFIG!$F$20,CONFIG!$F$19)))</f>
        <v/>
      </c>
      <c r="N475" s="19" t="str">
        <f aca="false">IF(I475="","",IF(I475&lt;=M475,"OK","ALTA"))</f>
        <v/>
      </c>
      <c r="O475" s="13"/>
    </row>
    <row r="476" customFormat="false" ht="15" hidden="false" customHeight="false" outlineLevel="0" collapsed="false">
      <c r="A476" s="11" t="str">
        <f aca="false">IF(C476="","",ROW()-4)</f>
        <v/>
      </c>
      <c r="B476" s="12"/>
      <c r="C476" s="13"/>
      <c r="D476" s="11" t="str">
        <f aca="false">IF(C476="","",IFERROR(INDEX(LOTES!$D$5:$D$1004,MATCH(C476,LOTES!$F$5:$F$1004,0)),"¿Lote?"))</f>
        <v/>
      </c>
      <c r="E476" s="11" t="str">
        <f aca="false">IF(C476="","",IFERROR(INDEX(LOTES!$C$5:$C$1004,MATCH(C476,LOTES!$F$5:$F$1004,0)),""))</f>
        <v/>
      </c>
      <c r="F476" s="27"/>
      <c r="G476" s="27"/>
      <c r="H476" s="27"/>
      <c r="I476" s="20" t="str">
        <f aca="false">IF(AND(ISNUMBER(F476),ISNUMBER(G476),ISNUMBER(H476),F476&gt;G476,H476&gt;0),(F476-H476)/(F476-G476)*1000,"")</f>
        <v/>
      </c>
      <c r="J476" s="17" t="str">
        <f aca="false">IF(AND(ISNUMBER(F476),ISNUMBER(G476),ISNUMBER(H476),F476&gt;G476,H476&gt;0),(F476-H476)/H476,"")</f>
        <v/>
      </c>
      <c r="K476" s="20" t="str">
        <f aca="false">IF(AND(ISNUMBER(F476),ISNUMBER(G476),ISNUMBER(H476),F476&gt;G476,H476&gt;0),H476/(F476-G476)*1000,"")</f>
        <v/>
      </c>
      <c r="L476" s="11" t="str">
        <f aca="false">IF(K476="","",IF(K476&gt;=CONFIG!$E$21,CONFIG!$D$21,IF(K476&gt;=CONFIG!$E$20,CONFIG!$D$20,CONFIG!$D$19)))</f>
        <v/>
      </c>
      <c r="M476" s="20" t="str">
        <f aca="false">IF(K476="","",IF(K476&gt;=CONFIG!$E$21,CONFIG!$F$21,IF(K476&gt;=CONFIG!$E$20,CONFIG!$F$20,CONFIG!$F$19)))</f>
        <v/>
      </c>
      <c r="N476" s="19" t="str">
        <f aca="false">IF(I476="","",IF(I476&lt;=M476,"OK","ALTA"))</f>
        <v/>
      </c>
      <c r="O476" s="13"/>
    </row>
    <row r="477" customFormat="false" ht="15" hidden="false" customHeight="false" outlineLevel="0" collapsed="false">
      <c r="A477" s="11" t="str">
        <f aca="false">IF(C477="","",ROW()-4)</f>
        <v/>
      </c>
      <c r="B477" s="12"/>
      <c r="C477" s="13"/>
      <c r="D477" s="11" t="str">
        <f aca="false">IF(C477="","",IFERROR(INDEX(LOTES!$D$5:$D$1004,MATCH(C477,LOTES!$F$5:$F$1004,0)),"¿Lote?"))</f>
        <v/>
      </c>
      <c r="E477" s="11" t="str">
        <f aca="false">IF(C477="","",IFERROR(INDEX(LOTES!$C$5:$C$1004,MATCH(C477,LOTES!$F$5:$F$1004,0)),""))</f>
        <v/>
      </c>
      <c r="F477" s="27"/>
      <c r="G477" s="27"/>
      <c r="H477" s="27"/>
      <c r="I477" s="20" t="str">
        <f aca="false">IF(AND(ISNUMBER(F477),ISNUMBER(G477),ISNUMBER(H477),F477&gt;G477,H477&gt;0),(F477-H477)/(F477-G477)*1000,"")</f>
        <v/>
      </c>
      <c r="J477" s="17" t="str">
        <f aca="false">IF(AND(ISNUMBER(F477),ISNUMBER(G477),ISNUMBER(H477),F477&gt;G477,H477&gt;0),(F477-H477)/H477,"")</f>
        <v/>
      </c>
      <c r="K477" s="20" t="str">
        <f aca="false">IF(AND(ISNUMBER(F477),ISNUMBER(G477),ISNUMBER(H477),F477&gt;G477,H477&gt;0),H477/(F477-G477)*1000,"")</f>
        <v/>
      </c>
      <c r="L477" s="11" t="str">
        <f aca="false">IF(K477="","",IF(K477&gt;=CONFIG!$E$21,CONFIG!$D$21,IF(K477&gt;=CONFIG!$E$20,CONFIG!$D$20,CONFIG!$D$19)))</f>
        <v/>
      </c>
      <c r="M477" s="20" t="str">
        <f aca="false">IF(K477="","",IF(K477&gt;=CONFIG!$E$21,CONFIG!$F$21,IF(K477&gt;=CONFIG!$E$20,CONFIG!$F$20,CONFIG!$F$19)))</f>
        <v/>
      </c>
      <c r="N477" s="19" t="str">
        <f aca="false">IF(I477="","",IF(I477&lt;=M477,"OK","ALTA"))</f>
        <v/>
      </c>
      <c r="O477" s="13"/>
    </row>
    <row r="478" customFormat="false" ht="15" hidden="false" customHeight="false" outlineLevel="0" collapsed="false">
      <c r="A478" s="11" t="str">
        <f aca="false">IF(C478="","",ROW()-4)</f>
        <v/>
      </c>
      <c r="B478" s="12"/>
      <c r="C478" s="13"/>
      <c r="D478" s="11" t="str">
        <f aca="false">IF(C478="","",IFERROR(INDEX(LOTES!$D$5:$D$1004,MATCH(C478,LOTES!$F$5:$F$1004,0)),"¿Lote?"))</f>
        <v/>
      </c>
      <c r="E478" s="11" t="str">
        <f aca="false">IF(C478="","",IFERROR(INDEX(LOTES!$C$5:$C$1004,MATCH(C478,LOTES!$F$5:$F$1004,0)),""))</f>
        <v/>
      </c>
      <c r="F478" s="27"/>
      <c r="G478" s="27"/>
      <c r="H478" s="27"/>
      <c r="I478" s="20" t="str">
        <f aca="false">IF(AND(ISNUMBER(F478),ISNUMBER(G478),ISNUMBER(H478),F478&gt;G478,H478&gt;0),(F478-H478)/(F478-G478)*1000,"")</f>
        <v/>
      </c>
      <c r="J478" s="17" t="str">
        <f aca="false">IF(AND(ISNUMBER(F478),ISNUMBER(G478),ISNUMBER(H478),F478&gt;G478,H478&gt;0),(F478-H478)/H478,"")</f>
        <v/>
      </c>
      <c r="K478" s="20" t="str">
        <f aca="false">IF(AND(ISNUMBER(F478),ISNUMBER(G478),ISNUMBER(H478),F478&gt;G478,H478&gt;0),H478/(F478-G478)*1000,"")</f>
        <v/>
      </c>
      <c r="L478" s="11" t="str">
        <f aca="false">IF(K478="","",IF(K478&gt;=CONFIG!$E$21,CONFIG!$D$21,IF(K478&gt;=CONFIG!$E$20,CONFIG!$D$20,CONFIG!$D$19)))</f>
        <v/>
      </c>
      <c r="M478" s="20" t="str">
        <f aca="false">IF(K478="","",IF(K478&gt;=CONFIG!$E$21,CONFIG!$F$21,IF(K478&gt;=CONFIG!$E$20,CONFIG!$F$20,CONFIG!$F$19)))</f>
        <v/>
      </c>
      <c r="N478" s="19" t="str">
        <f aca="false">IF(I478="","",IF(I478&lt;=M478,"OK","ALTA"))</f>
        <v/>
      </c>
      <c r="O478" s="13"/>
    </row>
    <row r="479" customFormat="false" ht="15" hidden="false" customHeight="false" outlineLevel="0" collapsed="false">
      <c r="A479" s="11" t="str">
        <f aca="false">IF(C479="","",ROW()-4)</f>
        <v/>
      </c>
      <c r="B479" s="12"/>
      <c r="C479" s="13"/>
      <c r="D479" s="11" t="str">
        <f aca="false">IF(C479="","",IFERROR(INDEX(LOTES!$D$5:$D$1004,MATCH(C479,LOTES!$F$5:$F$1004,0)),"¿Lote?"))</f>
        <v/>
      </c>
      <c r="E479" s="11" t="str">
        <f aca="false">IF(C479="","",IFERROR(INDEX(LOTES!$C$5:$C$1004,MATCH(C479,LOTES!$F$5:$F$1004,0)),""))</f>
        <v/>
      </c>
      <c r="F479" s="27"/>
      <c r="G479" s="27"/>
      <c r="H479" s="27"/>
      <c r="I479" s="20" t="str">
        <f aca="false">IF(AND(ISNUMBER(F479),ISNUMBER(G479),ISNUMBER(H479),F479&gt;G479,H479&gt;0),(F479-H479)/(F479-G479)*1000,"")</f>
        <v/>
      </c>
      <c r="J479" s="17" t="str">
        <f aca="false">IF(AND(ISNUMBER(F479),ISNUMBER(G479),ISNUMBER(H479),F479&gt;G479,H479&gt;0),(F479-H479)/H479,"")</f>
        <v/>
      </c>
      <c r="K479" s="20" t="str">
        <f aca="false">IF(AND(ISNUMBER(F479),ISNUMBER(G479),ISNUMBER(H479),F479&gt;G479,H479&gt;0),H479/(F479-G479)*1000,"")</f>
        <v/>
      </c>
      <c r="L479" s="11" t="str">
        <f aca="false">IF(K479="","",IF(K479&gt;=CONFIG!$E$21,CONFIG!$D$21,IF(K479&gt;=CONFIG!$E$20,CONFIG!$D$20,CONFIG!$D$19)))</f>
        <v/>
      </c>
      <c r="M479" s="20" t="str">
        <f aca="false">IF(K479="","",IF(K479&gt;=CONFIG!$E$21,CONFIG!$F$21,IF(K479&gt;=CONFIG!$E$20,CONFIG!$F$20,CONFIG!$F$19)))</f>
        <v/>
      </c>
      <c r="N479" s="19" t="str">
        <f aca="false">IF(I479="","",IF(I479&lt;=M479,"OK","ALTA"))</f>
        <v/>
      </c>
      <c r="O479" s="13"/>
    </row>
    <row r="480" customFormat="false" ht="15" hidden="false" customHeight="false" outlineLevel="0" collapsed="false">
      <c r="A480" s="11" t="str">
        <f aca="false">IF(C480="","",ROW()-4)</f>
        <v/>
      </c>
      <c r="B480" s="12"/>
      <c r="C480" s="13"/>
      <c r="D480" s="11" t="str">
        <f aca="false">IF(C480="","",IFERROR(INDEX(LOTES!$D$5:$D$1004,MATCH(C480,LOTES!$F$5:$F$1004,0)),"¿Lote?"))</f>
        <v/>
      </c>
      <c r="E480" s="11" t="str">
        <f aca="false">IF(C480="","",IFERROR(INDEX(LOTES!$C$5:$C$1004,MATCH(C480,LOTES!$F$5:$F$1004,0)),""))</f>
        <v/>
      </c>
      <c r="F480" s="27"/>
      <c r="G480" s="27"/>
      <c r="H480" s="27"/>
      <c r="I480" s="20" t="str">
        <f aca="false">IF(AND(ISNUMBER(F480),ISNUMBER(G480),ISNUMBER(H480),F480&gt;G480,H480&gt;0),(F480-H480)/(F480-G480)*1000,"")</f>
        <v/>
      </c>
      <c r="J480" s="17" t="str">
        <f aca="false">IF(AND(ISNUMBER(F480),ISNUMBER(G480),ISNUMBER(H480),F480&gt;G480,H480&gt;0),(F480-H480)/H480,"")</f>
        <v/>
      </c>
      <c r="K480" s="20" t="str">
        <f aca="false">IF(AND(ISNUMBER(F480),ISNUMBER(G480),ISNUMBER(H480),F480&gt;G480,H480&gt;0),H480/(F480-G480)*1000,"")</f>
        <v/>
      </c>
      <c r="L480" s="11" t="str">
        <f aca="false">IF(K480="","",IF(K480&gt;=CONFIG!$E$21,CONFIG!$D$21,IF(K480&gt;=CONFIG!$E$20,CONFIG!$D$20,CONFIG!$D$19)))</f>
        <v/>
      </c>
      <c r="M480" s="20" t="str">
        <f aca="false">IF(K480="","",IF(K480&gt;=CONFIG!$E$21,CONFIG!$F$21,IF(K480&gt;=CONFIG!$E$20,CONFIG!$F$20,CONFIG!$F$19)))</f>
        <v/>
      </c>
      <c r="N480" s="19" t="str">
        <f aca="false">IF(I480="","",IF(I480&lt;=M480,"OK","ALTA"))</f>
        <v/>
      </c>
      <c r="O480" s="13"/>
    </row>
    <row r="481" customFormat="false" ht="15" hidden="false" customHeight="false" outlineLevel="0" collapsed="false">
      <c r="A481" s="11" t="str">
        <f aca="false">IF(C481="","",ROW()-4)</f>
        <v/>
      </c>
      <c r="B481" s="12"/>
      <c r="C481" s="13"/>
      <c r="D481" s="11" t="str">
        <f aca="false">IF(C481="","",IFERROR(INDEX(LOTES!$D$5:$D$1004,MATCH(C481,LOTES!$F$5:$F$1004,0)),"¿Lote?"))</f>
        <v/>
      </c>
      <c r="E481" s="11" t="str">
        <f aca="false">IF(C481="","",IFERROR(INDEX(LOTES!$C$5:$C$1004,MATCH(C481,LOTES!$F$5:$F$1004,0)),""))</f>
        <v/>
      </c>
      <c r="F481" s="27"/>
      <c r="G481" s="27"/>
      <c r="H481" s="27"/>
      <c r="I481" s="20" t="str">
        <f aca="false">IF(AND(ISNUMBER(F481),ISNUMBER(G481),ISNUMBER(H481),F481&gt;G481,H481&gt;0),(F481-H481)/(F481-G481)*1000,"")</f>
        <v/>
      </c>
      <c r="J481" s="17" t="str">
        <f aca="false">IF(AND(ISNUMBER(F481),ISNUMBER(G481),ISNUMBER(H481),F481&gt;G481,H481&gt;0),(F481-H481)/H481,"")</f>
        <v/>
      </c>
      <c r="K481" s="20" t="str">
        <f aca="false">IF(AND(ISNUMBER(F481),ISNUMBER(G481),ISNUMBER(H481),F481&gt;G481,H481&gt;0),H481/(F481-G481)*1000,"")</f>
        <v/>
      </c>
      <c r="L481" s="11" t="str">
        <f aca="false">IF(K481="","",IF(K481&gt;=CONFIG!$E$21,CONFIG!$D$21,IF(K481&gt;=CONFIG!$E$20,CONFIG!$D$20,CONFIG!$D$19)))</f>
        <v/>
      </c>
      <c r="M481" s="20" t="str">
        <f aca="false">IF(K481="","",IF(K481&gt;=CONFIG!$E$21,CONFIG!$F$21,IF(K481&gt;=CONFIG!$E$20,CONFIG!$F$20,CONFIG!$F$19)))</f>
        <v/>
      </c>
      <c r="N481" s="19" t="str">
        <f aca="false">IF(I481="","",IF(I481&lt;=M481,"OK","ALTA"))</f>
        <v/>
      </c>
      <c r="O481" s="13"/>
    </row>
    <row r="482" customFormat="false" ht="15" hidden="false" customHeight="false" outlineLevel="0" collapsed="false">
      <c r="A482" s="11" t="str">
        <f aca="false">IF(C482="","",ROW()-4)</f>
        <v/>
      </c>
      <c r="B482" s="12"/>
      <c r="C482" s="13"/>
      <c r="D482" s="11" t="str">
        <f aca="false">IF(C482="","",IFERROR(INDEX(LOTES!$D$5:$D$1004,MATCH(C482,LOTES!$F$5:$F$1004,0)),"¿Lote?"))</f>
        <v/>
      </c>
      <c r="E482" s="11" t="str">
        <f aca="false">IF(C482="","",IFERROR(INDEX(LOTES!$C$5:$C$1004,MATCH(C482,LOTES!$F$5:$F$1004,0)),""))</f>
        <v/>
      </c>
      <c r="F482" s="27"/>
      <c r="G482" s="27"/>
      <c r="H482" s="27"/>
      <c r="I482" s="20" t="str">
        <f aca="false">IF(AND(ISNUMBER(F482),ISNUMBER(G482),ISNUMBER(H482),F482&gt;G482,H482&gt;0),(F482-H482)/(F482-G482)*1000,"")</f>
        <v/>
      </c>
      <c r="J482" s="17" t="str">
        <f aca="false">IF(AND(ISNUMBER(F482),ISNUMBER(G482),ISNUMBER(H482),F482&gt;G482,H482&gt;0),(F482-H482)/H482,"")</f>
        <v/>
      </c>
      <c r="K482" s="20" t="str">
        <f aca="false">IF(AND(ISNUMBER(F482),ISNUMBER(G482),ISNUMBER(H482),F482&gt;G482,H482&gt;0),H482/(F482-G482)*1000,"")</f>
        <v/>
      </c>
      <c r="L482" s="11" t="str">
        <f aca="false">IF(K482="","",IF(K482&gt;=CONFIG!$E$21,CONFIG!$D$21,IF(K482&gt;=CONFIG!$E$20,CONFIG!$D$20,CONFIG!$D$19)))</f>
        <v/>
      </c>
      <c r="M482" s="20" t="str">
        <f aca="false">IF(K482="","",IF(K482&gt;=CONFIG!$E$21,CONFIG!$F$21,IF(K482&gt;=CONFIG!$E$20,CONFIG!$F$20,CONFIG!$F$19)))</f>
        <v/>
      </c>
      <c r="N482" s="19" t="str">
        <f aca="false">IF(I482="","",IF(I482&lt;=M482,"OK","ALTA"))</f>
        <v/>
      </c>
      <c r="O482" s="13"/>
    </row>
    <row r="483" customFormat="false" ht="15" hidden="false" customHeight="false" outlineLevel="0" collapsed="false">
      <c r="A483" s="11" t="str">
        <f aca="false">IF(C483="","",ROW()-4)</f>
        <v/>
      </c>
      <c r="B483" s="12"/>
      <c r="C483" s="13"/>
      <c r="D483" s="11" t="str">
        <f aca="false">IF(C483="","",IFERROR(INDEX(LOTES!$D$5:$D$1004,MATCH(C483,LOTES!$F$5:$F$1004,0)),"¿Lote?"))</f>
        <v/>
      </c>
      <c r="E483" s="11" t="str">
        <f aca="false">IF(C483="","",IFERROR(INDEX(LOTES!$C$5:$C$1004,MATCH(C483,LOTES!$F$5:$F$1004,0)),""))</f>
        <v/>
      </c>
      <c r="F483" s="27"/>
      <c r="G483" s="27"/>
      <c r="H483" s="27"/>
      <c r="I483" s="20" t="str">
        <f aca="false">IF(AND(ISNUMBER(F483),ISNUMBER(G483),ISNUMBER(H483),F483&gt;G483,H483&gt;0),(F483-H483)/(F483-G483)*1000,"")</f>
        <v/>
      </c>
      <c r="J483" s="17" t="str">
        <f aca="false">IF(AND(ISNUMBER(F483),ISNUMBER(G483),ISNUMBER(H483),F483&gt;G483,H483&gt;0),(F483-H483)/H483,"")</f>
        <v/>
      </c>
      <c r="K483" s="20" t="str">
        <f aca="false">IF(AND(ISNUMBER(F483),ISNUMBER(G483),ISNUMBER(H483),F483&gt;G483,H483&gt;0),H483/(F483-G483)*1000,"")</f>
        <v/>
      </c>
      <c r="L483" s="11" t="str">
        <f aca="false">IF(K483="","",IF(K483&gt;=CONFIG!$E$21,CONFIG!$D$21,IF(K483&gt;=CONFIG!$E$20,CONFIG!$D$20,CONFIG!$D$19)))</f>
        <v/>
      </c>
      <c r="M483" s="20" t="str">
        <f aca="false">IF(K483="","",IF(K483&gt;=CONFIG!$E$21,CONFIG!$F$21,IF(K483&gt;=CONFIG!$E$20,CONFIG!$F$20,CONFIG!$F$19)))</f>
        <v/>
      </c>
      <c r="N483" s="19" t="str">
        <f aca="false">IF(I483="","",IF(I483&lt;=M483,"OK","ALTA"))</f>
        <v/>
      </c>
      <c r="O483" s="13"/>
    </row>
    <row r="484" customFormat="false" ht="15" hidden="false" customHeight="false" outlineLevel="0" collapsed="false">
      <c r="A484" s="11" t="str">
        <f aca="false">IF(C484="","",ROW()-4)</f>
        <v/>
      </c>
      <c r="B484" s="12"/>
      <c r="C484" s="13"/>
      <c r="D484" s="11" t="str">
        <f aca="false">IF(C484="","",IFERROR(INDEX(LOTES!$D$5:$D$1004,MATCH(C484,LOTES!$F$5:$F$1004,0)),"¿Lote?"))</f>
        <v/>
      </c>
      <c r="E484" s="11" t="str">
        <f aca="false">IF(C484="","",IFERROR(INDEX(LOTES!$C$5:$C$1004,MATCH(C484,LOTES!$F$5:$F$1004,0)),""))</f>
        <v/>
      </c>
      <c r="F484" s="27"/>
      <c r="G484" s="27"/>
      <c r="H484" s="27"/>
      <c r="I484" s="20" t="str">
        <f aca="false">IF(AND(ISNUMBER(F484),ISNUMBER(G484),ISNUMBER(H484),F484&gt;G484,H484&gt;0),(F484-H484)/(F484-G484)*1000,"")</f>
        <v/>
      </c>
      <c r="J484" s="17" t="str">
        <f aca="false">IF(AND(ISNUMBER(F484),ISNUMBER(G484),ISNUMBER(H484),F484&gt;G484,H484&gt;0),(F484-H484)/H484,"")</f>
        <v/>
      </c>
      <c r="K484" s="20" t="str">
        <f aca="false">IF(AND(ISNUMBER(F484),ISNUMBER(G484),ISNUMBER(H484),F484&gt;G484,H484&gt;0),H484/(F484-G484)*1000,"")</f>
        <v/>
      </c>
      <c r="L484" s="11" t="str">
        <f aca="false">IF(K484="","",IF(K484&gt;=CONFIG!$E$21,CONFIG!$D$21,IF(K484&gt;=CONFIG!$E$20,CONFIG!$D$20,CONFIG!$D$19)))</f>
        <v/>
      </c>
      <c r="M484" s="20" t="str">
        <f aca="false">IF(K484="","",IF(K484&gt;=CONFIG!$E$21,CONFIG!$F$21,IF(K484&gt;=CONFIG!$E$20,CONFIG!$F$20,CONFIG!$F$19)))</f>
        <v/>
      </c>
      <c r="N484" s="19" t="str">
        <f aca="false">IF(I484="","",IF(I484&lt;=M484,"OK","ALTA"))</f>
        <v/>
      </c>
      <c r="O484" s="13"/>
    </row>
    <row r="485" customFormat="false" ht="15" hidden="false" customHeight="false" outlineLevel="0" collapsed="false">
      <c r="A485" s="11" t="str">
        <f aca="false">IF(C485="","",ROW()-4)</f>
        <v/>
      </c>
      <c r="B485" s="12"/>
      <c r="C485" s="13"/>
      <c r="D485" s="11" t="str">
        <f aca="false">IF(C485="","",IFERROR(INDEX(LOTES!$D$5:$D$1004,MATCH(C485,LOTES!$F$5:$F$1004,0)),"¿Lote?"))</f>
        <v/>
      </c>
      <c r="E485" s="11" t="str">
        <f aca="false">IF(C485="","",IFERROR(INDEX(LOTES!$C$5:$C$1004,MATCH(C485,LOTES!$F$5:$F$1004,0)),""))</f>
        <v/>
      </c>
      <c r="F485" s="27"/>
      <c r="G485" s="27"/>
      <c r="H485" s="27"/>
      <c r="I485" s="20" t="str">
        <f aca="false">IF(AND(ISNUMBER(F485),ISNUMBER(G485),ISNUMBER(H485),F485&gt;G485,H485&gt;0),(F485-H485)/(F485-G485)*1000,"")</f>
        <v/>
      </c>
      <c r="J485" s="17" t="str">
        <f aca="false">IF(AND(ISNUMBER(F485),ISNUMBER(G485),ISNUMBER(H485),F485&gt;G485,H485&gt;0),(F485-H485)/H485,"")</f>
        <v/>
      </c>
      <c r="K485" s="20" t="str">
        <f aca="false">IF(AND(ISNUMBER(F485),ISNUMBER(G485),ISNUMBER(H485),F485&gt;G485,H485&gt;0),H485/(F485-G485)*1000,"")</f>
        <v/>
      </c>
      <c r="L485" s="11" t="str">
        <f aca="false">IF(K485="","",IF(K485&gt;=CONFIG!$E$21,CONFIG!$D$21,IF(K485&gt;=CONFIG!$E$20,CONFIG!$D$20,CONFIG!$D$19)))</f>
        <v/>
      </c>
      <c r="M485" s="20" t="str">
        <f aca="false">IF(K485="","",IF(K485&gt;=CONFIG!$E$21,CONFIG!$F$21,IF(K485&gt;=CONFIG!$E$20,CONFIG!$F$20,CONFIG!$F$19)))</f>
        <v/>
      </c>
      <c r="N485" s="19" t="str">
        <f aca="false">IF(I485="","",IF(I485&lt;=M485,"OK","ALTA"))</f>
        <v/>
      </c>
      <c r="O485" s="13"/>
    </row>
    <row r="486" customFormat="false" ht="15" hidden="false" customHeight="false" outlineLevel="0" collapsed="false">
      <c r="A486" s="11" t="str">
        <f aca="false">IF(C486="","",ROW()-4)</f>
        <v/>
      </c>
      <c r="B486" s="12"/>
      <c r="C486" s="13"/>
      <c r="D486" s="11" t="str">
        <f aca="false">IF(C486="","",IFERROR(INDEX(LOTES!$D$5:$D$1004,MATCH(C486,LOTES!$F$5:$F$1004,0)),"¿Lote?"))</f>
        <v/>
      </c>
      <c r="E486" s="11" t="str">
        <f aca="false">IF(C486="","",IFERROR(INDEX(LOTES!$C$5:$C$1004,MATCH(C486,LOTES!$F$5:$F$1004,0)),""))</f>
        <v/>
      </c>
      <c r="F486" s="27"/>
      <c r="G486" s="27"/>
      <c r="H486" s="27"/>
      <c r="I486" s="20" t="str">
        <f aca="false">IF(AND(ISNUMBER(F486),ISNUMBER(G486),ISNUMBER(H486),F486&gt;G486,H486&gt;0),(F486-H486)/(F486-G486)*1000,"")</f>
        <v/>
      </c>
      <c r="J486" s="17" t="str">
        <f aca="false">IF(AND(ISNUMBER(F486),ISNUMBER(G486),ISNUMBER(H486),F486&gt;G486,H486&gt;0),(F486-H486)/H486,"")</f>
        <v/>
      </c>
      <c r="K486" s="20" t="str">
        <f aca="false">IF(AND(ISNUMBER(F486),ISNUMBER(G486),ISNUMBER(H486),F486&gt;G486,H486&gt;0),H486/(F486-G486)*1000,"")</f>
        <v/>
      </c>
      <c r="L486" s="11" t="str">
        <f aca="false">IF(K486="","",IF(K486&gt;=CONFIG!$E$21,CONFIG!$D$21,IF(K486&gt;=CONFIG!$E$20,CONFIG!$D$20,CONFIG!$D$19)))</f>
        <v/>
      </c>
      <c r="M486" s="20" t="str">
        <f aca="false">IF(K486="","",IF(K486&gt;=CONFIG!$E$21,CONFIG!$F$21,IF(K486&gt;=CONFIG!$E$20,CONFIG!$F$20,CONFIG!$F$19)))</f>
        <v/>
      </c>
      <c r="N486" s="19" t="str">
        <f aca="false">IF(I486="","",IF(I486&lt;=M486,"OK","ALTA"))</f>
        <v/>
      </c>
      <c r="O486" s="13"/>
    </row>
    <row r="487" customFormat="false" ht="15" hidden="false" customHeight="false" outlineLevel="0" collapsed="false">
      <c r="A487" s="11" t="str">
        <f aca="false">IF(C487="","",ROW()-4)</f>
        <v/>
      </c>
      <c r="B487" s="12"/>
      <c r="C487" s="13"/>
      <c r="D487" s="11" t="str">
        <f aca="false">IF(C487="","",IFERROR(INDEX(LOTES!$D$5:$D$1004,MATCH(C487,LOTES!$F$5:$F$1004,0)),"¿Lote?"))</f>
        <v/>
      </c>
      <c r="E487" s="11" t="str">
        <f aca="false">IF(C487="","",IFERROR(INDEX(LOTES!$C$5:$C$1004,MATCH(C487,LOTES!$F$5:$F$1004,0)),""))</f>
        <v/>
      </c>
      <c r="F487" s="27"/>
      <c r="G487" s="27"/>
      <c r="H487" s="27"/>
      <c r="I487" s="20" t="str">
        <f aca="false">IF(AND(ISNUMBER(F487),ISNUMBER(G487),ISNUMBER(H487),F487&gt;G487,H487&gt;0),(F487-H487)/(F487-G487)*1000,"")</f>
        <v/>
      </c>
      <c r="J487" s="17" t="str">
        <f aca="false">IF(AND(ISNUMBER(F487),ISNUMBER(G487),ISNUMBER(H487),F487&gt;G487,H487&gt;0),(F487-H487)/H487,"")</f>
        <v/>
      </c>
      <c r="K487" s="20" t="str">
        <f aca="false">IF(AND(ISNUMBER(F487),ISNUMBER(G487),ISNUMBER(H487),F487&gt;G487,H487&gt;0),H487/(F487-G487)*1000,"")</f>
        <v/>
      </c>
      <c r="L487" s="11" t="str">
        <f aca="false">IF(K487="","",IF(K487&gt;=CONFIG!$E$21,CONFIG!$D$21,IF(K487&gt;=CONFIG!$E$20,CONFIG!$D$20,CONFIG!$D$19)))</f>
        <v/>
      </c>
      <c r="M487" s="20" t="str">
        <f aca="false">IF(K487="","",IF(K487&gt;=CONFIG!$E$21,CONFIG!$F$21,IF(K487&gt;=CONFIG!$E$20,CONFIG!$F$20,CONFIG!$F$19)))</f>
        <v/>
      </c>
      <c r="N487" s="19" t="str">
        <f aca="false">IF(I487="","",IF(I487&lt;=M487,"OK","ALTA"))</f>
        <v/>
      </c>
      <c r="O487" s="13"/>
    </row>
    <row r="488" customFormat="false" ht="15" hidden="false" customHeight="false" outlineLevel="0" collapsed="false">
      <c r="A488" s="11" t="str">
        <f aca="false">IF(C488="","",ROW()-4)</f>
        <v/>
      </c>
      <c r="B488" s="12"/>
      <c r="C488" s="13"/>
      <c r="D488" s="11" t="str">
        <f aca="false">IF(C488="","",IFERROR(INDEX(LOTES!$D$5:$D$1004,MATCH(C488,LOTES!$F$5:$F$1004,0)),"¿Lote?"))</f>
        <v/>
      </c>
      <c r="E488" s="11" t="str">
        <f aca="false">IF(C488="","",IFERROR(INDEX(LOTES!$C$5:$C$1004,MATCH(C488,LOTES!$F$5:$F$1004,0)),""))</f>
        <v/>
      </c>
      <c r="F488" s="27"/>
      <c r="G488" s="27"/>
      <c r="H488" s="27"/>
      <c r="I488" s="20" t="str">
        <f aca="false">IF(AND(ISNUMBER(F488),ISNUMBER(G488),ISNUMBER(H488),F488&gt;G488,H488&gt;0),(F488-H488)/(F488-G488)*1000,"")</f>
        <v/>
      </c>
      <c r="J488" s="17" t="str">
        <f aca="false">IF(AND(ISNUMBER(F488),ISNUMBER(G488),ISNUMBER(H488),F488&gt;G488,H488&gt;0),(F488-H488)/H488,"")</f>
        <v/>
      </c>
      <c r="K488" s="20" t="str">
        <f aca="false">IF(AND(ISNUMBER(F488),ISNUMBER(G488),ISNUMBER(H488),F488&gt;G488,H488&gt;0),H488/(F488-G488)*1000,"")</f>
        <v/>
      </c>
      <c r="L488" s="11" t="str">
        <f aca="false">IF(K488="","",IF(K488&gt;=CONFIG!$E$21,CONFIG!$D$21,IF(K488&gt;=CONFIG!$E$20,CONFIG!$D$20,CONFIG!$D$19)))</f>
        <v/>
      </c>
      <c r="M488" s="20" t="str">
        <f aca="false">IF(K488="","",IF(K488&gt;=CONFIG!$E$21,CONFIG!$F$21,IF(K488&gt;=CONFIG!$E$20,CONFIG!$F$20,CONFIG!$F$19)))</f>
        <v/>
      </c>
      <c r="N488" s="19" t="str">
        <f aca="false">IF(I488="","",IF(I488&lt;=M488,"OK","ALTA"))</f>
        <v/>
      </c>
      <c r="O488" s="13"/>
    </row>
    <row r="489" customFormat="false" ht="15" hidden="false" customHeight="false" outlineLevel="0" collapsed="false">
      <c r="A489" s="11" t="str">
        <f aca="false">IF(C489="","",ROW()-4)</f>
        <v/>
      </c>
      <c r="B489" s="12"/>
      <c r="C489" s="13"/>
      <c r="D489" s="11" t="str">
        <f aca="false">IF(C489="","",IFERROR(INDEX(LOTES!$D$5:$D$1004,MATCH(C489,LOTES!$F$5:$F$1004,0)),"¿Lote?"))</f>
        <v/>
      </c>
      <c r="E489" s="11" t="str">
        <f aca="false">IF(C489="","",IFERROR(INDEX(LOTES!$C$5:$C$1004,MATCH(C489,LOTES!$F$5:$F$1004,0)),""))</f>
        <v/>
      </c>
      <c r="F489" s="27"/>
      <c r="G489" s="27"/>
      <c r="H489" s="27"/>
      <c r="I489" s="20" t="str">
        <f aca="false">IF(AND(ISNUMBER(F489),ISNUMBER(G489),ISNUMBER(H489),F489&gt;G489,H489&gt;0),(F489-H489)/(F489-G489)*1000,"")</f>
        <v/>
      </c>
      <c r="J489" s="17" t="str">
        <f aca="false">IF(AND(ISNUMBER(F489),ISNUMBER(G489),ISNUMBER(H489),F489&gt;G489,H489&gt;0),(F489-H489)/H489,"")</f>
        <v/>
      </c>
      <c r="K489" s="20" t="str">
        <f aca="false">IF(AND(ISNUMBER(F489),ISNUMBER(G489),ISNUMBER(H489),F489&gt;G489,H489&gt;0),H489/(F489-G489)*1000,"")</f>
        <v/>
      </c>
      <c r="L489" s="11" t="str">
        <f aca="false">IF(K489="","",IF(K489&gt;=CONFIG!$E$21,CONFIG!$D$21,IF(K489&gt;=CONFIG!$E$20,CONFIG!$D$20,CONFIG!$D$19)))</f>
        <v/>
      </c>
      <c r="M489" s="20" t="str">
        <f aca="false">IF(K489="","",IF(K489&gt;=CONFIG!$E$21,CONFIG!$F$21,IF(K489&gt;=CONFIG!$E$20,CONFIG!$F$20,CONFIG!$F$19)))</f>
        <v/>
      </c>
      <c r="N489" s="19" t="str">
        <f aca="false">IF(I489="","",IF(I489&lt;=M489,"OK","ALTA"))</f>
        <v/>
      </c>
      <c r="O489" s="13"/>
    </row>
    <row r="490" customFormat="false" ht="15" hidden="false" customHeight="false" outlineLevel="0" collapsed="false">
      <c r="A490" s="11" t="str">
        <f aca="false">IF(C490="","",ROW()-4)</f>
        <v/>
      </c>
      <c r="B490" s="12"/>
      <c r="C490" s="13"/>
      <c r="D490" s="11" t="str">
        <f aca="false">IF(C490="","",IFERROR(INDEX(LOTES!$D$5:$D$1004,MATCH(C490,LOTES!$F$5:$F$1004,0)),"¿Lote?"))</f>
        <v/>
      </c>
      <c r="E490" s="11" t="str">
        <f aca="false">IF(C490="","",IFERROR(INDEX(LOTES!$C$5:$C$1004,MATCH(C490,LOTES!$F$5:$F$1004,0)),""))</f>
        <v/>
      </c>
      <c r="F490" s="27"/>
      <c r="G490" s="27"/>
      <c r="H490" s="27"/>
      <c r="I490" s="20" t="str">
        <f aca="false">IF(AND(ISNUMBER(F490),ISNUMBER(G490),ISNUMBER(H490),F490&gt;G490,H490&gt;0),(F490-H490)/(F490-G490)*1000,"")</f>
        <v/>
      </c>
      <c r="J490" s="17" t="str">
        <f aca="false">IF(AND(ISNUMBER(F490),ISNUMBER(G490),ISNUMBER(H490),F490&gt;G490,H490&gt;0),(F490-H490)/H490,"")</f>
        <v/>
      </c>
      <c r="K490" s="20" t="str">
        <f aca="false">IF(AND(ISNUMBER(F490),ISNUMBER(G490),ISNUMBER(H490),F490&gt;G490,H490&gt;0),H490/(F490-G490)*1000,"")</f>
        <v/>
      </c>
      <c r="L490" s="11" t="str">
        <f aca="false">IF(K490="","",IF(K490&gt;=CONFIG!$E$21,CONFIG!$D$21,IF(K490&gt;=CONFIG!$E$20,CONFIG!$D$20,CONFIG!$D$19)))</f>
        <v/>
      </c>
      <c r="M490" s="20" t="str">
        <f aca="false">IF(K490="","",IF(K490&gt;=CONFIG!$E$21,CONFIG!$F$21,IF(K490&gt;=CONFIG!$E$20,CONFIG!$F$20,CONFIG!$F$19)))</f>
        <v/>
      </c>
      <c r="N490" s="19" t="str">
        <f aca="false">IF(I490="","",IF(I490&lt;=M490,"OK","ALTA"))</f>
        <v/>
      </c>
      <c r="O490" s="13"/>
    </row>
    <row r="491" customFormat="false" ht="15" hidden="false" customHeight="false" outlineLevel="0" collapsed="false">
      <c r="A491" s="11" t="str">
        <f aca="false">IF(C491="","",ROW()-4)</f>
        <v/>
      </c>
      <c r="B491" s="12"/>
      <c r="C491" s="13"/>
      <c r="D491" s="11" t="str">
        <f aca="false">IF(C491="","",IFERROR(INDEX(LOTES!$D$5:$D$1004,MATCH(C491,LOTES!$F$5:$F$1004,0)),"¿Lote?"))</f>
        <v/>
      </c>
      <c r="E491" s="11" t="str">
        <f aca="false">IF(C491="","",IFERROR(INDEX(LOTES!$C$5:$C$1004,MATCH(C491,LOTES!$F$5:$F$1004,0)),""))</f>
        <v/>
      </c>
      <c r="F491" s="27"/>
      <c r="G491" s="27"/>
      <c r="H491" s="27"/>
      <c r="I491" s="20" t="str">
        <f aca="false">IF(AND(ISNUMBER(F491),ISNUMBER(G491),ISNUMBER(H491),F491&gt;G491,H491&gt;0),(F491-H491)/(F491-G491)*1000,"")</f>
        <v/>
      </c>
      <c r="J491" s="17" t="str">
        <f aca="false">IF(AND(ISNUMBER(F491),ISNUMBER(G491),ISNUMBER(H491),F491&gt;G491,H491&gt;0),(F491-H491)/H491,"")</f>
        <v/>
      </c>
      <c r="K491" s="20" t="str">
        <f aca="false">IF(AND(ISNUMBER(F491),ISNUMBER(G491),ISNUMBER(H491),F491&gt;G491,H491&gt;0),H491/(F491-G491)*1000,"")</f>
        <v/>
      </c>
      <c r="L491" s="11" t="str">
        <f aca="false">IF(K491="","",IF(K491&gt;=CONFIG!$E$21,CONFIG!$D$21,IF(K491&gt;=CONFIG!$E$20,CONFIG!$D$20,CONFIG!$D$19)))</f>
        <v/>
      </c>
      <c r="M491" s="20" t="str">
        <f aca="false">IF(K491="","",IF(K491&gt;=CONFIG!$E$21,CONFIG!$F$21,IF(K491&gt;=CONFIG!$E$20,CONFIG!$F$20,CONFIG!$F$19)))</f>
        <v/>
      </c>
      <c r="N491" s="19" t="str">
        <f aca="false">IF(I491="","",IF(I491&lt;=M491,"OK","ALTA"))</f>
        <v/>
      </c>
      <c r="O491" s="13"/>
    </row>
    <row r="492" customFormat="false" ht="15" hidden="false" customHeight="false" outlineLevel="0" collapsed="false">
      <c r="A492" s="11" t="str">
        <f aca="false">IF(C492="","",ROW()-4)</f>
        <v/>
      </c>
      <c r="B492" s="12"/>
      <c r="C492" s="13"/>
      <c r="D492" s="11" t="str">
        <f aca="false">IF(C492="","",IFERROR(INDEX(LOTES!$D$5:$D$1004,MATCH(C492,LOTES!$F$5:$F$1004,0)),"¿Lote?"))</f>
        <v/>
      </c>
      <c r="E492" s="11" t="str">
        <f aca="false">IF(C492="","",IFERROR(INDEX(LOTES!$C$5:$C$1004,MATCH(C492,LOTES!$F$5:$F$1004,0)),""))</f>
        <v/>
      </c>
      <c r="F492" s="27"/>
      <c r="G492" s="27"/>
      <c r="H492" s="27"/>
      <c r="I492" s="20" t="str">
        <f aca="false">IF(AND(ISNUMBER(F492),ISNUMBER(G492),ISNUMBER(H492),F492&gt;G492,H492&gt;0),(F492-H492)/(F492-G492)*1000,"")</f>
        <v/>
      </c>
      <c r="J492" s="17" t="str">
        <f aca="false">IF(AND(ISNUMBER(F492),ISNUMBER(G492),ISNUMBER(H492),F492&gt;G492,H492&gt;0),(F492-H492)/H492,"")</f>
        <v/>
      </c>
      <c r="K492" s="20" t="str">
        <f aca="false">IF(AND(ISNUMBER(F492),ISNUMBER(G492),ISNUMBER(H492),F492&gt;G492,H492&gt;0),H492/(F492-G492)*1000,"")</f>
        <v/>
      </c>
      <c r="L492" s="11" t="str">
        <f aca="false">IF(K492="","",IF(K492&gt;=CONFIG!$E$21,CONFIG!$D$21,IF(K492&gt;=CONFIG!$E$20,CONFIG!$D$20,CONFIG!$D$19)))</f>
        <v/>
      </c>
      <c r="M492" s="20" t="str">
        <f aca="false">IF(K492="","",IF(K492&gt;=CONFIG!$E$21,CONFIG!$F$21,IF(K492&gt;=CONFIG!$E$20,CONFIG!$F$20,CONFIG!$F$19)))</f>
        <v/>
      </c>
      <c r="N492" s="19" t="str">
        <f aca="false">IF(I492="","",IF(I492&lt;=M492,"OK","ALTA"))</f>
        <v/>
      </c>
      <c r="O492" s="13"/>
    </row>
    <row r="493" customFormat="false" ht="15" hidden="false" customHeight="false" outlineLevel="0" collapsed="false">
      <c r="A493" s="11" t="str">
        <f aca="false">IF(C493="","",ROW()-4)</f>
        <v/>
      </c>
      <c r="B493" s="12"/>
      <c r="C493" s="13"/>
      <c r="D493" s="11" t="str">
        <f aca="false">IF(C493="","",IFERROR(INDEX(LOTES!$D$5:$D$1004,MATCH(C493,LOTES!$F$5:$F$1004,0)),"¿Lote?"))</f>
        <v/>
      </c>
      <c r="E493" s="11" t="str">
        <f aca="false">IF(C493="","",IFERROR(INDEX(LOTES!$C$5:$C$1004,MATCH(C493,LOTES!$F$5:$F$1004,0)),""))</f>
        <v/>
      </c>
      <c r="F493" s="27"/>
      <c r="G493" s="27"/>
      <c r="H493" s="27"/>
      <c r="I493" s="20" t="str">
        <f aca="false">IF(AND(ISNUMBER(F493),ISNUMBER(G493),ISNUMBER(H493),F493&gt;G493,H493&gt;0),(F493-H493)/(F493-G493)*1000,"")</f>
        <v/>
      </c>
      <c r="J493" s="17" t="str">
        <f aca="false">IF(AND(ISNUMBER(F493),ISNUMBER(G493),ISNUMBER(H493),F493&gt;G493,H493&gt;0),(F493-H493)/H493,"")</f>
        <v/>
      </c>
      <c r="K493" s="20" t="str">
        <f aca="false">IF(AND(ISNUMBER(F493),ISNUMBER(G493),ISNUMBER(H493),F493&gt;G493,H493&gt;0),H493/(F493-G493)*1000,"")</f>
        <v/>
      </c>
      <c r="L493" s="11" t="str">
        <f aca="false">IF(K493="","",IF(K493&gt;=CONFIG!$E$21,CONFIG!$D$21,IF(K493&gt;=CONFIG!$E$20,CONFIG!$D$20,CONFIG!$D$19)))</f>
        <v/>
      </c>
      <c r="M493" s="20" t="str">
        <f aca="false">IF(K493="","",IF(K493&gt;=CONFIG!$E$21,CONFIG!$F$21,IF(K493&gt;=CONFIG!$E$20,CONFIG!$F$20,CONFIG!$F$19)))</f>
        <v/>
      </c>
      <c r="N493" s="19" t="str">
        <f aca="false">IF(I493="","",IF(I493&lt;=M493,"OK","ALTA"))</f>
        <v/>
      </c>
      <c r="O493" s="13"/>
    </row>
    <row r="494" customFormat="false" ht="15" hidden="false" customHeight="false" outlineLevel="0" collapsed="false">
      <c r="A494" s="11" t="str">
        <f aca="false">IF(C494="","",ROW()-4)</f>
        <v/>
      </c>
      <c r="B494" s="12"/>
      <c r="C494" s="13"/>
      <c r="D494" s="11" t="str">
        <f aca="false">IF(C494="","",IFERROR(INDEX(LOTES!$D$5:$D$1004,MATCH(C494,LOTES!$F$5:$F$1004,0)),"¿Lote?"))</f>
        <v/>
      </c>
      <c r="E494" s="11" t="str">
        <f aca="false">IF(C494="","",IFERROR(INDEX(LOTES!$C$5:$C$1004,MATCH(C494,LOTES!$F$5:$F$1004,0)),""))</f>
        <v/>
      </c>
      <c r="F494" s="27"/>
      <c r="G494" s="27"/>
      <c r="H494" s="27"/>
      <c r="I494" s="20" t="str">
        <f aca="false">IF(AND(ISNUMBER(F494),ISNUMBER(G494),ISNUMBER(H494),F494&gt;G494,H494&gt;0),(F494-H494)/(F494-G494)*1000,"")</f>
        <v/>
      </c>
      <c r="J494" s="17" t="str">
        <f aca="false">IF(AND(ISNUMBER(F494),ISNUMBER(G494),ISNUMBER(H494),F494&gt;G494,H494&gt;0),(F494-H494)/H494,"")</f>
        <v/>
      </c>
      <c r="K494" s="20" t="str">
        <f aca="false">IF(AND(ISNUMBER(F494),ISNUMBER(G494),ISNUMBER(H494),F494&gt;G494,H494&gt;0),H494/(F494-G494)*1000,"")</f>
        <v/>
      </c>
      <c r="L494" s="11" t="str">
        <f aca="false">IF(K494="","",IF(K494&gt;=CONFIG!$E$21,CONFIG!$D$21,IF(K494&gt;=CONFIG!$E$20,CONFIG!$D$20,CONFIG!$D$19)))</f>
        <v/>
      </c>
      <c r="M494" s="20" t="str">
        <f aca="false">IF(K494="","",IF(K494&gt;=CONFIG!$E$21,CONFIG!$F$21,IF(K494&gt;=CONFIG!$E$20,CONFIG!$F$20,CONFIG!$F$19)))</f>
        <v/>
      </c>
      <c r="N494" s="19" t="str">
        <f aca="false">IF(I494="","",IF(I494&lt;=M494,"OK","ALTA"))</f>
        <v/>
      </c>
      <c r="O494" s="13"/>
    </row>
    <row r="495" customFormat="false" ht="15" hidden="false" customHeight="false" outlineLevel="0" collapsed="false">
      <c r="A495" s="11" t="str">
        <f aca="false">IF(C495="","",ROW()-4)</f>
        <v/>
      </c>
      <c r="B495" s="12"/>
      <c r="C495" s="13"/>
      <c r="D495" s="11" t="str">
        <f aca="false">IF(C495="","",IFERROR(INDEX(LOTES!$D$5:$D$1004,MATCH(C495,LOTES!$F$5:$F$1004,0)),"¿Lote?"))</f>
        <v/>
      </c>
      <c r="E495" s="11" t="str">
        <f aca="false">IF(C495="","",IFERROR(INDEX(LOTES!$C$5:$C$1004,MATCH(C495,LOTES!$F$5:$F$1004,0)),""))</f>
        <v/>
      </c>
      <c r="F495" s="27"/>
      <c r="G495" s="27"/>
      <c r="H495" s="27"/>
      <c r="I495" s="20" t="str">
        <f aca="false">IF(AND(ISNUMBER(F495),ISNUMBER(G495),ISNUMBER(H495),F495&gt;G495,H495&gt;0),(F495-H495)/(F495-G495)*1000,"")</f>
        <v/>
      </c>
      <c r="J495" s="17" t="str">
        <f aca="false">IF(AND(ISNUMBER(F495),ISNUMBER(G495),ISNUMBER(H495),F495&gt;G495,H495&gt;0),(F495-H495)/H495,"")</f>
        <v/>
      </c>
      <c r="K495" s="20" t="str">
        <f aca="false">IF(AND(ISNUMBER(F495),ISNUMBER(G495),ISNUMBER(H495),F495&gt;G495,H495&gt;0),H495/(F495-G495)*1000,"")</f>
        <v/>
      </c>
      <c r="L495" s="11" t="str">
        <f aca="false">IF(K495="","",IF(K495&gt;=CONFIG!$E$21,CONFIG!$D$21,IF(K495&gt;=CONFIG!$E$20,CONFIG!$D$20,CONFIG!$D$19)))</f>
        <v/>
      </c>
      <c r="M495" s="20" t="str">
        <f aca="false">IF(K495="","",IF(K495&gt;=CONFIG!$E$21,CONFIG!$F$21,IF(K495&gt;=CONFIG!$E$20,CONFIG!$F$20,CONFIG!$F$19)))</f>
        <v/>
      </c>
      <c r="N495" s="19" t="str">
        <f aca="false">IF(I495="","",IF(I495&lt;=M495,"OK","ALTA"))</f>
        <v/>
      </c>
      <c r="O495" s="13"/>
    </row>
    <row r="496" customFormat="false" ht="15" hidden="false" customHeight="false" outlineLevel="0" collapsed="false">
      <c r="A496" s="11" t="str">
        <f aca="false">IF(C496="","",ROW()-4)</f>
        <v/>
      </c>
      <c r="B496" s="12"/>
      <c r="C496" s="13"/>
      <c r="D496" s="11" t="str">
        <f aca="false">IF(C496="","",IFERROR(INDEX(LOTES!$D$5:$D$1004,MATCH(C496,LOTES!$F$5:$F$1004,0)),"¿Lote?"))</f>
        <v/>
      </c>
      <c r="E496" s="11" t="str">
        <f aca="false">IF(C496="","",IFERROR(INDEX(LOTES!$C$5:$C$1004,MATCH(C496,LOTES!$F$5:$F$1004,0)),""))</f>
        <v/>
      </c>
      <c r="F496" s="27"/>
      <c r="G496" s="27"/>
      <c r="H496" s="27"/>
      <c r="I496" s="20" t="str">
        <f aca="false">IF(AND(ISNUMBER(F496),ISNUMBER(G496),ISNUMBER(H496),F496&gt;G496,H496&gt;0),(F496-H496)/(F496-G496)*1000,"")</f>
        <v/>
      </c>
      <c r="J496" s="17" t="str">
        <f aca="false">IF(AND(ISNUMBER(F496),ISNUMBER(G496),ISNUMBER(H496),F496&gt;G496,H496&gt;0),(F496-H496)/H496,"")</f>
        <v/>
      </c>
      <c r="K496" s="20" t="str">
        <f aca="false">IF(AND(ISNUMBER(F496),ISNUMBER(G496),ISNUMBER(H496),F496&gt;G496,H496&gt;0),H496/(F496-G496)*1000,"")</f>
        <v/>
      </c>
      <c r="L496" s="11" t="str">
        <f aca="false">IF(K496="","",IF(K496&gt;=CONFIG!$E$21,CONFIG!$D$21,IF(K496&gt;=CONFIG!$E$20,CONFIG!$D$20,CONFIG!$D$19)))</f>
        <v/>
      </c>
      <c r="M496" s="20" t="str">
        <f aca="false">IF(K496="","",IF(K496&gt;=CONFIG!$E$21,CONFIG!$F$21,IF(K496&gt;=CONFIG!$E$20,CONFIG!$F$20,CONFIG!$F$19)))</f>
        <v/>
      </c>
      <c r="N496" s="19" t="str">
        <f aca="false">IF(I496="","",IF(I496&lt;=M496,"OK","ALTA"))</f>
        <v/>
      </c>
      <c r="O496" s="13"/>
    </row>
    <row r="497" customFormat="false" ht="15" hidden="false" customHeight="false" outlineLevel="0" collapsed="false">
      <c r="A497" s="11" t="str">
        <f aca="false">IF(C497="","",ROW()-4)</f>
        <v/>
      </c>
      <c r="B497" s="12"/>
      <c r="C497" s="13"/>
      <c r="D497" s="11" t="str">
        <f aca="false">IF(C497="","",IFERROR(INDEX(LOTES!$D$5:$D$1004,MATCH(C497,LOTES!$F$5:$F$1004,0)),"¿Lote?"))</f>
        <v/>
      </c>
      <c r="E497" s="11" t="str">
        <f aca="false">IF(C497="","",IFERROR(INDEX(LOTES!$C$5:$C$1004,MATCH(C497,LOTES!$F$5:$F$1004,0)),""))</f>
        <v/>
      </c>
      <c r="F497" s="27"/>
      <c r="G497" s="27"/>
      <c r="H497" s="27"/>
      <c r="I497" s="20" t="str">
        <f aca="false">IF(AND(ISNUMBER(F497),ISNUMBER(G497),ISNUMBER(H497),F497&gt;G497,H497&gt;0),(F497-H497)/(F497-G497)*1000,"")</f>
        <v/>
      </c>
      <c r="J497" s="17" t="str">
        <f aca="false">IF(AND(ISNUMBER(F497),ISNUMBER(G497),ISNUMBER(H497),F497&gt;G497,H497&gt;0),(F497-H497)/H497,"")</f>
        <v/>
      </c>
      <c r="K497" s="20" t="str">
        <f aca="false">IF(AND(ISNUMBER(F497),ISNUMBER(G497),ISNUMBER(H497),F497&gt;G497,H497&gt;0),H497/(F497-G497)*1000,"")</f>
        <v/>
      </c>
      <c r="L497" s="11" t="str">
        <f aca="false">IF(K497="","",IF(K497&gt;=CONFIG!$E$21,CONFIG!$D$21,IF(K497&gt;=CONFIG!$E$20,CONFIG!$D$20,CONFIG!$D$19)))</f>
        <v/>
      </c>
      <c r="M497" s="20" t="str">
        <f aca="false">IF(K497="","",IF(K497&gt;=CONFIG!$E$21,CONFIG!$F$21,IF(K497&gt;=CONFIG!$E$20,CONFIG!$F$20,CONFIG!$F$19)))</f>
        <v/>
      </c>
      <c r="N497" s="19" t="str">
        <f aca="false">IF(I497="","",IF(I497&lt;=M497,"OK","ALTA"))</f>
        <v/>
      </c>
      <c r="O497" s="13"/>
    </row>
    <row r="498" customFormat="false" ht="15" hidden="false" customHeight="false" outlineLevel="0" collapsed="false">
      <c r="A498" s="11" t="str">
        <f aca="false">IF(C498="","",ROW()-4)</f>
        <v/>
      </c>
      <c r="B498" s="12"/>
      <c r="C498" s="13"/>
      <c r="D498" s="11" t="str">
        <f aca="false">IF(C498="","",IFERROR(INDEX(LOTES!$D$5:$D$1004,MATCH(C498,LOTES!$F$5:$F$1004,0)),"¿Lote?"))</f>
        <v/>
      </c>
      <c r="E498" s="11" t="str">
        <f aca="false">IF(C498="","",IFERROR(INDEX(LOTES!$C$5:$C$1004,MATCH(C498,LOTES!$F$5:$F$1004,0)),""))</f>
        <v/>
      </c>
      <c r="F498" s="27"/>
      <c r="G498" s="27"/>
      <c r="H498" s="27"/>
      <c r="I498" s="20" t="str">
        <f aca="false">IF(AND(ISNUMBER(F498),ISNUMBER(G498),ISNUMBER(H498),F498&gt;G498,H498&gt;0),(F498-H498)/(F498-G498)*1000,"")</f>
        <v/>
      </c>
      <c r="J498" s="17" t="str">
        <f aca="false">IF(AND(ISNUMBER(F498),ISNUMBER(G498),ISNUMBER(H498),F498&gt;G498,H498&gt;0),(F498-H498)/H498,"")</f>
        <v/>
      </c>
      <c r="K498" s="20" t="str">
        <f aca="false">IF(AND(ISNUMBER(F498),ISNUMBER(G498),ISNUMBER(H498),F498&gt;G498,H498&gt;0),H498/(F498-G498)*1000,"")</f>
        <v/>
      </c>
      <c r="L498" s="11" t="str">
        <f aca="false">IF(K498="","",IF(K498&gt;=CONFIG!$E$21,CONFIG!$D$21,IF(K498&gt;=CONFIG!$E$20,CONFIG!$D$20,CONFIG!$D$19)))</f>
        <v/>
      </c>
      <c r="M498" s="20" t="str">
        <f aca="false">IF(K498="","",IF(K498&gt;=CONFIG!$E$21,CONFIG!$F$21,IF(K498&gt;=CONFIG!$E$20,CONFIG!$F$20,CONFIG!$F$19)))</f>
        <v/>
      </c>
      <c r="N498" s="19" t="str">
        <f aca="false">IF(I498="","",IF(I498&lt;=M498,"OK","ALTA"))</f>
        <v/>
      </c>
      <c r="O498" s="13"/>
    </row>
    <row r="499" customFormat="false" ht="15" hidden="false" customHeight="false" outlineLevel="0" collapsed="false">
      <c r="A499" s="11" t="str">
        <f aca="false">IF(C499="","",ROW()-4)</f>
        <v/>
      </c>
      <c r="B499" s="12"/>
      <c r="C499" s="13"/>
      <c r="D499" s="11" t="str">
        <f aca="false">IF(C499="","",IFERROR(INDEX(LOTES!$D$5:$D$1004,MATCH(C499,LOTES!$F$5:$F$1004,0)),"¿Lote?"))</f>
        <v/>
      </c>
      <c r="E499" s="11" t="str">
        <f aca="false">IF(C499="","",IFERROR(INDEX(LOTES!$C$5:$C$1004,MATCH(C499,LOTES!$F$5:$F$1004,0)),""))</f>
        <v/>
      </c>
      <c r="F499" s="27"/>
      <c r="G499" s="27"/>
      <c r="H499" s="27"/>
      <c r="I499" s="20" t="str">
        <f aca="false">IF(AND(ISNUMBER(F499),ISNUMBER(G499),ISNUMBER(H499),F499&gt;G499,H499&gt;0),(F499-H499)/(F499-G499)*1000,"")</f>
        <v/>
      </c>
      <c r="J499" s="17" t="str">
        <f aca="false">IF(AND(ISNUMBER(F499),ISNUMBER(G499),ISNUMBER(H499),F499&gt;G499,H499&gt;0),(F499-H499)/H499,"")</f>
        <v/>
      </c>
      <c r="K499" s="20" t="str">
        <f aca="false">IF(AND(ISNUMBER(F499),ISNUMBER(G499),ISNUMBER(H499),F499&gt;G499,H499&gt;0),H499/(F499-G499)*1000,"")</f>
        <v/>
      </c>
      <c r="L499" s="11" t="str">
        <f aca="false">IF(K499="","",IF(K499&gt;=CONFIG!$E$21,CONFIG!$D$21,IF(K499&gt;=CONFIG!$E$20,CONFIG!$D$20,CONFIG!$D$19)))</f>
        <v/>
      </c>
      <c r="M499" s="20" t="str">
        <f aca="false">IF(K499="","",IF(K499&gt;=CONFIG!$E$21,CONFIG!$F$21,IF(K499&gt;=CONFIG!$E$20,CONFIG!$F$20,CONFIG!$F$19)))</f>
        <v/>
      </c>
      <c r="N499" s="19" t="str">
        <f aca="false">IF(I499="","",IF(I499&lt;=M499,"OK","ALTA"))</f>
        <v/>
      </c>
      <c r="O499" s="13"/>
    </row>
    <row r="500" customFormat="false" ht="15" hidden="false" customHeight="false" outlineLevel="0" collapsed="false">
      <c r="A500" s="11" t="str">
        <f aca="false">IF(C500="","",ROW()-4)</f>
        <v/>
      </c>
      <c r="B500" s="12"/>
      <c r="C500" s="13"/>
      <c r="D500" s="11" t="str">
        <f aca="false">IF(C500="","",IFERROR(INDEX(LOTES!$D$5:$D$1004,MATCH(C500,LOTES!$F$5:$F$1004,0)),"¿Lote?"))</f>
        <v/>
      </c>
      <c r="E500" s="11" t="str">
        <f aca="false">IF(C500="","",IFERROR(INDEX(LOTES!$C$5:$C$1004,MATCH(C500,LOTES!$F$5:$F$1004,0)),""))</f>
        <v/>
      </c>
      <c r="F500" s="27"/>
      <c r="G500" s="27"/>
      <c r="H500" s="27"/>
      <c r="I500" s="20" t="str">
        <f aca="false">IF(AND(ISNUMBER(F500),ISNUMBER(G500),ISNUMBER(H500),F500&gt;G500,H500&gt;0),(F500-H500)/(F500-G500)*1000,"")</f>
        <v/>
      </c>
      <c r="J500" s="17" t="str">
        <f aca="false">IF(AND(ISNUMBER(F500),ISNUMBER(G500),ISNUMBER(H500),F500&gt;G500,H500&gt;0),(F500-H500)/H500,"")</f>
        <v/>
      </c>
      <c r="K500" s="20" t="str">
        <f aca="false">IF(AND(ISNUMBER(F500),ISNUMBER(G500),ISNUMBER(H500),F500&gt;G500,H500&gt;0),H500/(F500-G500)*1000,"")</f>
        <v/>
      </c>
      <c r="L500" s="11" t="str">
        <f aca="false">IF(K500="","",IF(K500&gt;=CONFIG!$E$21,CONFIG!$D$21,IF(K500&gt;=CONFIG!$E$20,CONFIG!$D$20,CONFIG!$D$19)))</f>
        <v/>
      </c>
      <c r="M500" s="20" t="str">
        <f aca="false">IF(K500="","",IF(K500&gt;=CONFIG!$E$21,CONFIG!$F$21,IF(K500&gt;=CONFIG!$E$20,CONFIG!$F$20,CONFIG!$F$19)))</f>
        <v/>
      </c>
      <c r="N500" s="19" t="str">
        <f aca="false">IF(I500="","",IF(I500&lt;=M500,"OK","ALTA"))</f>
        <v/>
      </c>
      <c r="O500" s="13"/>
    </row>
    <row r="501" customFormat="false" ht="15" hidden="false" customHeight="false" outlineLevel="0" collapsed="false">
      <c r="A501" s="11" t="str">
        <f aca="false">IF(C501="","",ROW()-4)</f>
        <v/>
      </c>
      <c r="B501" s="12"/>
      <c r="C501" s="13"/>
      <c r="D501" s="11" t="str">
        <f aca="false">IF(C501="","",IFERROR(INDEX(LOTES!$D$5:$D$1004,MATCH(C501,LOTES!$F$5:$F$1004,0)),"¿Lote?"))</f>
        <v/>
      </c>
      <c r="E501" s="11" t="str">
        <f aca="false">IF(C501="","",IFERROR(INDEX(LOTES!$C$5:$C$1004,MATCH(C501,LOTES!$F$5:$F$1004,0)),""))</f>
        <v/>
      </c>
      <c r="F501" s="27"/>
      <c r="G501" s="27"/>
      <c r="H501" s="27"/>
      <c r="I501" s="20" t="str">
        <f aca="false">IF(AND(ISNUMBER(F501),ISNUMBER(G501),ISNUMBER(H501),F501&gt;G501,H501&gt;0),(F501-H501)/(F501-G501)*1000,"")</f>
        <v/>
      </c>
      <c r="J501" s="17" t="str">
        <f aca="false">IF(AND(ISNUMBER(F501),ISNUMBER(G501),ISNUMBER(H501),F501&gt;G501,H501&gt;0),(F501-H501)/H501,"")</f>
        <v/>
      </c>
      <c r="K501" s="20" t="str">
        <f aca="false">IF(AND(ISNUMBER(F501),ISNUMBER(G501),ISNUMBER(H501),F501&gt;G501,H501&gt;0),H501/(F501-G501)*1000,"")</f>
        <v/>
      </c>
      <c r="L501" s="11" t="str">
        <f aca="false">IF(K501="","",IF(K501&gt;=CONFIG!$E$21,CONFIG!$D$21,IF(K501&gt;=CONFIG!$E$20,CONFIG!$D$20,CONFIG!$D$19)))</f>
        <v/>
      </c>
      <c r="M501" s="20" t="str">
        <f aca="false">IF(K501="","",IF(K501&gt;=CONFIG!$E$21,CONFIG!$F$21,IF(K501&gt;=CONFIG!$E$20,CONFIG!$F$20,CONFIG!$F$19)))</f>
        <v/>
      </c>
      <c r="N501" s="19" t="str">
        <f aca="false">IF(I501="","",IF(I501&lt;=M501,"OK","ALTA"))</f>
        <v/>
      </c>
      <c r="O501" s="13"/>
    </row>
    <row r="502" customFormat="false" ht="15" hidden="false" customHeight="false" outlineLevel="0" collapsed="false">
      <c r="A502" s="11" t="str">
        <f aca="false">IF(C502="","",ROW()-4)</f>
        <v/>
      </c>
      <c r="B502" s="12"/>
      <c r="C502" s="13"/>
      <c r="D502" s="11" t="str">
        <f aca="false">IF(C502="","",IFERROR(INDEX(LOTES!$D$5:$D$1004,MATCH(C502,LOTES!$F$5:$F$1004,0)),"¿Lote?"))</f>
        <v/>
      </c>
      <c r="E502" s="11" t="str">
        <f aca="false">IF(C502="","",IFERROR(INDEX(LOTES!$C$5:$C$1004,MATCH(C502,LOTES!$F$5:$F$1004,0)),""))</f>
        <v/>
      </c>
      <c r="F502" s="27"/>
      <c r="G502" s="27"/>
      <c r="H502" s="27"/>
      <c r="I502" s="20" t="str">
        <f aca="false">IF(AND(ISNUMBER(F502),ISNUMBER(G502),ISNUMBER(H502),F502&gt;G502,H502&gt;0),(F502-H502)/(F502-G502)*1000,"")</f>
        <v/>
      </c>
      <c r="J502" s="17" t="str">
        <f aca="false">IF(AND(ISNUMBER(F502),ISNUMBER(G502),ISNUMBER(H502),F502&gt;G502,H502&gt;0),(F502-H502)/H502,"")</f>
        <v/>
      </c>
      <c r="K502" s="20" t="str">
        <f aca="false">IF(AND(ISNUMBER(F502),ISNUMBER(G502),ISNUMBER(H502),F502&gt;G502,H502&gt;0),H502/(F502-G502)*1000,"")</f>
        <v/>
      </c>
      <c r="L502" s="11" t="str">
        <f aca="false">IF(K502="","",IF(K502&gt;=CONFIG!$E$21,CONFIG!$D$21,IF(K502&gt;=CONFIG!$E$20,CONFIG!$D$20,CONFIG!$D$19)))</f>
        <v/>
      </c>
      <c r="M502" s="20" t="str">
        <f aca="false">IF(K502="","",IF(K502&gt;=CONFIG!$E$21,CONFIG!$F$21,IF(K502&gt;=CONFIG!$E$20,CONFIG!$F$20,CONFIG!$F$19)))</f>
        <v/>
      </c>
      <c r="N502" s="19" t="str">
        <f aca="false">IF(I502="","",IF(I502&lt;=M502,"OK","ALTA"))</f>
        <v/>
      </c>
      <c r="O502" s="13"/>
    </row>
    <row r="503" customFormat="false" ht="15" hidden="false" customHeight="false" outlineLevel="0" collapsed="false">
      <c r="A503" s="11" t="str">
        <f aca="false">IF(C503="","",ROW()-4)</f>
        <v/>
      </c>
      <c r="B503" s="12"/>
      <c r="C503" s="13"/>
      <c r="D503" s="11" t="str">
        <f aca="false">IF(C503="","",IFERROR(INDEX(LOTES!$D$5:$D$1004,MATCH(C503,LOTES!$F$5:$F$1004,0)),"¿Lote?"))</f>
        <v/>
      </c>
      <c r="E503" s="11" t="str">
        <f aca="false">IF(C503="","",IFERROR(INDEX(LOTES!$C$5:$C$1004,MATCH(C503,LOTES!$F$5:$F$1004,0)),""))</f>
        <v/>
      </c>
      <c r="F503" s="27"/>
      <c r="G503" s="27"/>
      <c r="H503" s="27"/>
      <c r="I503" s="20" t="str">
        <f aca="false">IF(AND(ISNUMBER(F503),ISNUMBER(G503),ISNUMBER(H503),F503&gt;G503,H503&gt;0),(F503-H503)/(F503-G503)*1000,"")</f>
        <v/>
      </c>
      <c r="J503" s="17" t="str">
        <f aca="false">IF(AND(ISNUMBER(F503),ISNUMBER(G503),ISNUMBER(H503),F503&gt;G503,H503&gt;0),(F503-H503)/H503,"")</f>
        <v/>
      </c>
      <c r="K503" s="20" t="str">
        <f aca="false">IF(AND(ISNUMBER(F503),ISNUMBER(G503),ISNUMBER(H503),F503&gt;G503,H503&gt;0),H503/(F503-G503)*1000,"")</f>
        <v/>
      </c>
      <c r="L503" s="11" t="str">
        <f aca="false">IF(K503="","",IF(K503&gt;=CONFIG!$E$21,CONFIG!$D$21,IF(K503&gt;=CONFIG!$E$20,CONFIG!$D$20,CONFIG!$D$19)))</f>
        <v/>
      </c>
      <c r="M503" s="20" t="str">
        <f aca="false">IF(K503="","",IF(K503&gt;=CONFIG!$E$21,CONFIG!$F$21,IF(K503&gt;=CONFIG!$E$20,CONFIG!$F$20,CONFIG!$F$19)))</f>
        <v/>
      </c>
      <c r="N503" s="19" t="str">
        <f aca="false">IF(I503="","",IF(I503&lt;=M503,"OK","ALTA"))</f>
        <v/>
      </c>
      <c r="O503" s="13"/>
    </row>
    <row r="504" customFormat="false" ht="15" hidden="false" customHeight="false" outlineLevel="0" collapsed="false">
      <c r="A504" s="11" t="str">
        <f aca="false">IF(C504="","",ROW()-4)</f>
        <v/>
      </c>
      <c r="B504" s="12"/>
      <c r="C504" s="13"/>
      <c r="D504" s="11" t="str">
        <f aca="false">IF(C504="","",IFERROR(INDEX(LOTES!$D$5:$D$1004,MATCH(C504,LOTES!$F$5:$F$1004,0)),"¿Lote?"))</f>
        <v/>
      </c>
      <c r="E504" s="11" t="str">
        <f aca="false">IF(C504="","",IFERROR(INDEX(LOTES!$C$5:$C$1004,MATCH(C504,LOTES!$F$5:$F$1004,0)),""))</f>
        <v/>
      </c>
      <c r="F504" s="27"/>
      <c r="G504" s="27"/>
      <c r="H504" s="27"/>
      <c r="I504" s="20" t="str">
        <f aca="false">IF(AND(ISNUMBER(F504),ISNUMBER(G504),ISNUMBER(H504),F504&gt;G504,H504&gt;0),(F504-H504)/(F504-G504)*1000,"")</f>
        <v/>
      </c>
      <c r="J504" s="17" t="str">
        <f aca="false">IF(AND(ISNUMBER(F504),ISNUMBER(G504),ISNUMBER(H504),F504&gt;G504,H504&gt;0),(F504-H504)/H504,"")</f>
        <v/>
      </c>
      <c r="K504" s="20" t="str">
        <f aca="false">IF(AND(ISNUMBER(F504),ISNUMBER(G504),ISNUMBER(H504),F504&gt;G504,H504&gt;0),H504/(F504-G504)*1000,"")</f>
        <v/>
      </c>
      <c r="L504" s="11" t="str">
        <f aca="false">IF(K504="","",IF(K504&gt;=CONFIG!$E$21,CONFIG!$D$21,IF(K504&gt;=CONFIG!$E$20,CONFIG!$D$20,CONFIG!$D$19)))</f>
        <v/>
      </c>
      <c r="M504" s="20" t="str">
        <f aca="false">IF(K504="","",IF(K504&gt;=CONFIG!$E$21,CONFIG!$F$21,IF(K504&gt;=CONFIG!$E$20,CONFIG!$F$20,CONFIG!$F$19)))</f>
        <v/>
      </c>
      <c r="N504" s="19" t="str">
        <f aca="false">IF(I504="","",IF(I504&lt;=M504,"OK","ALTA"))</f>
        <v/>
      </c>
      <c r="O504" s="13"/>
    </row>
    <row r="505" customFormat="false" ht="15" hidden="false" customHeight="false" outlineLevel="0" collapsed="false">
      <c r="A505" s="11" t="str">
        <f aca="false">IF(C505="","",ROW()-4)</f>
        <v/>
      </c>
      <c r="B505" s="12"/>
      <c r="C505" s="13"/>
      <c r="D505" s="11" t="str">
        <f aca="false">IF(C505="","",IFERROR(INDEX(LOTES!$D$5:$D$1004,MATCH(C505,LOTES!$F$5:$F$1004,0)),"¿Lote?"))</f>
        <v/>
      </c>
      <c r="E505" s="11" t="str">
        <f aca="false">IF(C505="","",IFERROR(INDEX(LOTES!$C$5:$C$1004,MATCH(C505,LOTES!$F$5:$F$1004,0)),""))</f>
        <v/>
      </c>
      <c r="F505" s="27"/>
      <c r="G505" s="27"/>
      <c r="H505" s="27"/>
      <c r="I505" s="20" t="str">
        <f aca="false">IF(AND(ISNUMBER(F505),ISNUMBER(G505),ISNUMBER(H505),F505&gt;G505,H505&gt;0),(F505-H505)/(F505-G505)*1000,"")</f>
        <v/>
      </c>
      <c r="J505" s="17" t="str">
        <f aca="false">IF(AND(ISNUMBER(F505),ISNUMBER(G505),ISNUMBER(H505),F505&gt;G505,H505&gt;0),(F505-H505)/H505,"")</f>
        <v/>
      </c>
      <c r="K505" s="20" t="str">
        <f aca="false">IF(AND(ISNUMBER(F505),ISNUMBER(G505),ISNUMBER(H505),F505&gt;G505,H505&gt;0),H505/(F505-G505)*1000,"")</f>
        <v/>
      </c>
      <c r="L505" s="11" t="str">
        <f aca="false">IF(K505="","",IF(K505&gt;=CONFIG!$E$21,CONFIG!$D$21,IF(K505&gt;=CONFIG!$E$20,CONFIG!$D$20,CONFIG!$D$19)))</f>
        <v/>
      </c>
      <c r="M505" s="20" t="str">
        <f aca="false">IF(K505="","",IF(K505&gt;=CONFIG!$E$21,CONFIG!$F$21,IF(K505&gt;=CONFIG!$E$20,CONFIG!$F$20,CONFIG!$F$19)))</f>
        <v/>
      </c>
      <c r="N505" s="19" t="str">
        <f aca="false">IF(I505="","",IF(I505&lt;=M505,"OK","ALTA"))</f>
        <v/>
      </c>
      <c r="O505" s="13"/>
    </row>
    <row r="506" customFormat="false" ht="15" hidden="false" customHeight="false" outlineLevel="0" collapsed="false">
      <c r="A506" s="11" t="str">
        <f aca="false">IF(C506="","",ROW()-4)</f>
        <v/>
      </c>
      <c r="B506" s="12"/>
      <c r="C506" s="13"/>
      <c r="D506" s="11" t="str">
        <f aca="false">IF(C506="","",IFERROR(INDEX(LOTES!$D$5:$D$1004,MATCH(C506,LOTES!$F$5:$F$1004,0)),"¿Lote?"))</f>
        <v/>
      </c>
      <c r="E506" s="11" t="str">
        <f aca="false">IF(C506="","",IFERROR(INDEX(LOTES!$C$5:$C$1004,MATCH(C506,LOTES!$F$5:$F$1004,0)),""))</f>
        <v/>
      </c>
      <c r="F506" s="27"/>
      <c r="G506" s="27"/>
      <c r="H506" s="27"/>
      <c r="I506" s="20" t="str">
        <f aca="false">IF(AND(ISNUMBER(F506),ISNUMBER(G506),ISNUMBER(H506),F506&gt;G506,H506&gt;0),(F506-H506)/(F506-G506)*1000,"")</f>
        <v/>
      </c>
      <c r="J506" s="17" t="str">
        <f aca="false">IF(AND(ISNUMBER(F506),ISNUMBER(G506),ISNUMBER(H506),F506&gt;G506,H506&gt;0),(F506-H506)/H506,"")</f>
        <v/>
      </c>
      <c r="K506" s="20" t="str">
        <f aca="false">IF(AND(ISNUMBER(F506),ISNUMBER(G506),ISNUMBER(H506),F506&gt;G506,H506&gt;0),H506/(F506-G506)*1000,"")</f>
        <v/>
      </c>
      <c r="L506" s="11" t="str">
        <f aca="false">IF(K506="","",IF(K506&gt;=CONFIG!$E$21,CONFIG!$D$21,IF(K506&gt;=CONFIG!$E$20,CONFIG!$D$20,CONFIG!$D$19)))</f>
        <v/>
      </c>
      <c r="M506" s="20" t="str">
        <f aca="false">IF(K506="","",IF(K506&gt;=CONFIG!$E$21,CONFIG!$F$21,IF(K506&gt;=CONFIG!$E$20,CONFIG!$F$20,CONFIG!$F$19)))</f>
        <v/>
      </c>
      <c r="N506" s="19" t="str">
        <f aca="false">IF(I506="","",IF(I506&lt;=M506,"OK","ALTA"))</f>
        <v/>
      </c>
      <c r="O506" s="13"/>
    </row>
    <row r="507" customFormat="false" ht="15" hidden="false" customHeight="false" outlineLevel="0" collapsed="false">
      <c r="A507" s="11" t="str">
        <f aca="false">IF(C507="","",ROW()-4)</f>
        <v/>
      </c>
      <c r="B507" s="12"/>
      <c r="C507" s="13"/>
      <c r="D507" s="11" t="str">
        <f aca="false">IF(C507="","",IFERROR(INDEX(LOTES!$D$5:$D$1004,MATCH(C507,LOTES!$F$5:$F$1004,0)),"¿Lote?"))</f>
        <v/>
      </c>
      <c r="E507" s="11" t="str">
        <f aca="false">IF(C507="","",IFERROR(INDEX(LOTES!$C$5:$C$1004,MATCH(C507,LOTES!$F$5:$F$1004,0)),""))</f>
        <v/>
      </c>
      <c r="F507" s="27"/>
      <c r="G507" s="27"/>
      <c r="H507" s="27"/>
      <c r="I507" s="20" t="str">
        <f aca="false">IF(AND(ISNUMBER(F507),ISNUMBER(G507),ISNUMBER(H507),F507&gt;G507,H507&gt;0),(F507-H507)/(F507-G507)*1000,"")</f>
        <v/>
      </c>
      <c r="J507" s="17" t="str">
        <f aca="false">IF(AND(ISNUMBER(F507),ISNUMBER(G507),ISNUMBER(H507),F507&gt;G507,H507&gt;0),(F507-H507)/H507,"")</f>
        <v/>
      </c>
      <c r="K507" s="20" t="str">
        <f aca="false">IF(AND(ISNUMBER(F507),ISNUMBER(G507),ISNUMBER(H507),F507&gt;G507,H507&gt;0),H507/(F507-G507)*1000,"")</f>
        <v/>
      </c>
      <c r="L507" s="11" t="str">
        <f aca="false">IF(K507="","",IF(K507&gt;=CONFIG!$E$21,CONFIG!$D$21,IF(K507&gt;=CONFIG!$E$20,CONFIG!$D$20,CONFIG!$D$19)))</f>
        <v/>
      </c>
      <c r="M507" s="20" t="str">
        <f aca="false">IF(K507="","",IF(K507&gt;=CONFIG!$E$21,CONFIG!$F$21,IF(K507&gt;=CONFIG!$E$20,CONFIG!$F$20,CONFIG!$F$19)))</f>
        <v/>
      </c>
      <c r="N507" s="19" t="str">
        <f aca="false">IF(I507="","",IF(I507&lt;=M507,"OK","ALTA"))</f>
        <v/>
      </c>
      <c r="O507" s="13"/>
    </row>
    <row r="508" customFormat="false" ht="15" hidden="false" customHeight="false" outlineLevel="0" collapsed="false">
      <c r="A508" s="11" t="str">
        <f aca="false">IF(C508="","",ROW()-4)</f>
        <v/>
      </c>
      <c r="B508" s="12"/>
      <c r="C508" s="13"/>
      <c r="D508" s="11" t="str">
        <f aca="false">IF(C508="","",IFERROR(INDEX(LOTES!$D$5:$D$1004,MATCH(C508,LOTES!$F$5:$F$1004,0)),"¿Lote?"))</f>
        <v/>
      </c>
      <c r="E508" s="11" t="str">
        <f aca="false">IF(C508="","",IFERROR(INDEX(LOTES!$C$5:$C$1004,MATCH(C508,LOTES!$F$5:$F$1004,0)),""))</f>
        <v/>
      </c>
      <c r="F508" s="27"/>
      <c r="G508" s="27"/>
      <c r="H508" s="27"/>
      <c r="I508" s="20" t="str">
        <f aca="false">IF(AND(ISNUMBER(F508),ISNUMBER(G508),ISNUMBER(H508),F508&gt;G508,H508&gt;0),(F508-H508)/(F508-G508)*1000,"")</f>
        <v/>
      </c>
      <c r="J508" s="17" t="str">
        <f aca="false">IF(AND(ISNUMBER(F508),ISNUMBER(G508),ISNUMBER(H508),F508&gt;G508,H508&gt;0),(F508-H508)/H508,"")</f>
        <v/>
      </c>
      <c r="K508" s="20" t="str">
        <f aca="false">IF(AND(ISNUMBER(F508),ISNUMBER(G508),ISNUMBER(H508),F508&gt;G508,H508&gt;0),H508/(F508-G508)*1000,"")</f>
        <v/>
      </c>
      <c r="L508" s="11" t="str">
        <f aca="false">IF(K508="","",IF(K508&gt;=CONFIG!$E$21,CONFIG!$D$21,IF(K508&gt;=CONFIG!$E$20,CONFIG!$D$20,CONFIG!$D$19)))</f>
        <v/>
      </c>
      <c r="M508" s="20" t="str">
        <f aca="false">IF(K508="","",IF(K508&gt;=CONFIG!$E$21,CONFIG!$F$21,IF(K508&gt;=CONFIG!$E$20,CONFIG!$F$20,CONFIG!$F$19)))</f>
        <v/>
      </c>
      <c r="N508" s="19" t="str">
        <f aca="false">IF(I508="","",IF(I508&lt;=M508,"OK","ALTA"))</f>
        <v/>
      </c>
      <c r="O508" s="13"/>
    </row>
    <row r="509" customFormat="false" ht="15" hidden="false" customHeight="false" outlineLevel="0" collapsed="false">
      <c r="A509" s="11" t="str">
        <f aca="false">IF(C509="","",ROW()-4)</f>
        <v/>
      </c>
      <c r="B509" s="12"/>
      <c r="C509" s="13"/>
      <c r="D509" s="11" t="str">
        <f aca="false">IF(C509="","",IFERROR(INDEX(LOTES!$D$5:$D$1004,MATCH(C509,LOTES!$F$5:$F$1004,0)),"¿Lote?"))</f>
        <v/>
      </c>
      <c r="E509" s="11" t="str">
        <f aca="false">IF(C509="","",IFERROR(INDEX(LOTES!$C$5:$C$1004,MATCH(C509,LOTES!$F$5:$F$1004,0)),""))</f>
        <v/>
      </c>
      <c r="F509" s="27"/>
      <c r="G509" s="27"/>
      <c r="H509" s="27"/>
      <c r="I509" s="20" t="str">
        <f aca="false">IF(AND(ISNUMBER(F509),ISNUMBER(G509),ISNUMBER(H509),F509&gt;G509,H509&gt;0),(F509-H509)/(F509-G509)*1000,"")</f>
        <v/>
      </c>
      <c r="J509" s="17" t="str">
        <f aca="false">IF(AND(ISNUMBER(F509),ISNUMBER(G509),ISNUMBER(H509),F509&gt;G509,H509&gt;0),(F509-H509)/H509,"")</f>
        <v/>
      </c>
      <c r="K509" s="20" t="str">
        <f aca="false">IF(AND(ISNUMBER(F509),ISNUMBER(G509),ISNUMBER(H509),F509&gt;G509,H509&gt;0),H509/(F509-G509)*1000,"")</f>
        <v/>
      </c>
      <c r="L509" s="11" t="str">
        <f aca="false">IF(K509="","",IF(K509&gt;=CONFIG!$E$21,CONFIG!$D$21,IF(K509&gt;=CONFIG!$E$20,CONFIG!$D$20,CONFIG!$D$19)))</f>
        <v/>
      </c>
      <c r="M509" s="20" t="str">
        <f aca="false">IF(K509="","",IF(K509&gt;=CONFIG!$E$21,CONFIG!$F$21,IF(K509&gt;=CONFIG!$E$20,CONFIG!$F$20,CONFIG!$F$19)))</f>
        <v/>
      </c>
      <c r="N509" s="19" t="str">
        <f aca="false">IF(I509="","",IF(I509&lt;=M509,"OK","ALTA"))</f>
        <v/>
      </c>
      <c r="O509" s="13"/>
    </row>
    <row r="510" customFormat="false" ht="15" hidden="false" customHeight="false" outlineLevel="0" collapsed="false">
      <c r="A510" s="11" t="str">
        <f aca="false">IF(C510="","",ROW()-4)</f>
        <v/>
      </c>
      <c r="B510" s="12"/>
      <c r="C510" s="13"/>
      <c r="D510" s="11" t="str">
        <f aca="false">IF(C510="","",IFERROR(INDEX(LOTES!$D$5:$D$1004,MATCH(C510,LOTES!$F$5:$F$1004,0)),"¿Lote?"))</f>
        <v/>
      </c>
      <c r="E510" s="11" t="str">
        <f aca="false">IF(C510="","",IFERROR(INDEX(LOTES!$C$5:$C$1004,MATCH(C510,LOTES!$F$5:$F$1004,0)),""))</f>
        <v/>
      </c>
      <c r="F510" s="27"/>
      <c r="G510" s="27"/>
      <c r="H510" s="27"/>
      <c r="I510" s="20" t="str">
        <f aca="false">IF(AND(ISNUMBER(F510),ISNUMBER(G510),ISNUMBER(H510),F510&gt;G510,H510&gt;0),(F510-H510)/(F510-G510)*1000,"")</f>
        <v/>
      </c>
      <c r="J510" s="17" t="str">
        <f aca="false">IF(AND(ISNUMBER(F510),ISNUMBER(G510),ISNUMBER(H510),F510&gt;G510,H510&gt;0),(F510-H510)/H510,"")</f>
        <v/>
      </c>
      <c r="K510" s="20" t="str">
        <f aca="false">IF(AND(ISNUMBER(F510),ISNUMBER(G510),ISNUMBER(H510),F510&gt;G510,H510&gt;0),H510/(F510-G510)*1000,"")</f>
        <v/>
      </c>
      <c r="L510" s="11" t="str">
        <f aca="false">IF(K510="","",IF(K510&gt;=CONFIG!$E$21,CONFIG!$D$21,IF(K510&gt;=CONFIG!$E$20,CONFIG!$D$20,CONFIG!$D$19)))</f>
        <v/>
      </c>
      <c r="M510" s="20" t="str">
        <f aca="false">IF(K510="","",IF(K510&gt;=CONFIG!$E$21,CONFIG!$F$21,IF(K510&gt;=CONFIG!$E$20,CONFIG!$F$20,CONFIG!$F$19)))</f>
        <v/>
      </c>
      <c r="N510" s="19" t="str">
        <f aca="false">IF(I510="","",IF(I510&lt;=M510,"OK","ALTA"))</f>
        <v/>
      </c>
      <c r="O510" s="13"/>
    </row>
    <row r="511" customFormat="false" ht="15" hidden="false" customHeight="false" outlineLevel="0" collapsed="false">
      <c r="A511" s="11" t="str">
        <f aca="false">IF(C511="","",ROW()-4)</f>
        <v/>
      </c>
      <c r="B511" s="12"/>
      <c r="C511" s="13"/>
      <c r="D511" s="11" t="str">
        <f aca="false">IF(C511="","",IFERROR(INDEX(LOTES!$D$5:$D$1004,MATCH(C511,LOTES!$F$5:$F$1004,0)),"¿Lote?"))</f>
        <v/>
      </c>
      <c r="E511" s="11" t="str">
        <f aca="false">IF(C511="","",IFERROR(INDEX(LOTES!$C$5:$C$1004,MATCH(C511,LOTES!$F$5:$F$1004,0)),""))</f>
        <v/>
      </c>
      <c r="F511" s="27"/>
      <c r="G511" s="27"/>
      <c r="H511" s="27"/>
      <c r="I511" s="20" t="str">
        <f aca="false">IF(AND(ISNUMBER(F511),ISNUMBER(G511),ISNUMBER(H511),F511&gt;G511,H511&gt;0),(F511-H511)/(F511-G511)*1000,"")</f>
        <v/>
      </c>
      <c r="J511" s="17" t="str">
        <f aca="false">IF(AND(ISNUMBER(F511),ISNUMBER(G511),ISNUMBER(H511),F511&gt;G511,H511&gt;0),(F511-H511)/H511,"")</f>
        <v/>
      </c>
      <c r="K511" s="20" t="str">
        <f aca="false">IF(AND(ISNUMBER(F511),ISNUMBER(G511),ISNUMBER(H511),F511&gt;G511,H511&gt;0),H511/(F511-G511)*1000,"")</f>
        <v/>
      </c>
      <c r="L511" s="11" t="str">
        <f aca="false">IF(K511="","",IF(K511&gt;=CONFIG!$E$21,CONFIG!$D$21,IF(K511&gt;=CONFIG!$E$20,CONFIG!$D$20,CONFIG!$D$19)))</f>
        <v/>
      </c>
      <c r="M511" s="20" t="str">
        <f aca="false">IF(K511="","",IF(K511&gt;=CONFIG!$E$21,CONFIG!$F$21,IF(K511&gt;=CONFIG!$E$20,CONFIG!$F$20,CONFIG!$F$19)))</f>
        <v/>
      </c>
      <c r="N511" s="19" t="str">
        <f aca="false">IF(I511="","",IF(I511&lt;=M511,"OK","ALTA"))</f>
        <v/>
      </c>
      <c r="O511" s="13"/>
    </row>
    <row r="512" customFormat="false" ht="15" hidden="false" customHeight="false" outlineLevel="0" collapsed="false">
      <c r="A512" s="11" t="str">
        <f aca="false">IF(C512="","",ROW()-4)</f>
        <v/>
      </c>
      <c r="B512" s="12"/>
      <c r="C512" s="13"/>
      <c r="D512" s="11" t="str">
        <f aca="false">IF(C512="","",IFERROR(INDEX(LOTES!$D$5:$D$1004,MATCH(C512,LOTES!$F$5:$F$1004,0)),"¿Lote?"))</f>
        <v/>
      </c>
      <c r="E512" s="11" t="str">
        <f aca="false">IF(C512="","",IFERROR(INDEX(LOTES!$C$5:$C$1004,MATCH(C512,LOTES!$F$5:$F$1004,0)),""))</f>
        <v/>
      </c>
      <c r="F512" s="27"/>
      <c r="G512" s="27"/>
      <c r="H512" s="27"/>
      <c r="I512" s="20" t="str">
        <f aca="false">IF(AND(ISNUMBER(F512),ISNUMBER(G512),ISNUMBER(H512),F512&gt;G512,H512&gt;0),(F512-H512)/(F512-G512)*1000,"")</f>
        <v/>
      </c>
      <c r="J512" s="17" t="str">
        <f aca="false">IF(AND(ISNUMBER(F512),ISNUMBER(G512),ISNUMBER(H512),F512&gt;G512,H512&gt;0),(F512-H512)/H512,"")</f>
        <v/>
      </c>
      <c r="K512" s="20" t="str">
        <f aca="false">IF(AND(ISNUMBER(F512),ISNUMBER(G512),ISNUMBER(H512),F512&gt;G512,H512&gt;0),H512/(F512-G512)*1000,"")</f>
        <v/>
      </c>
      <c r="L512" s="11" t="str">
        <f aca="false">IF(K512="","",IF(K512&gt;=CONFIG!$E$21,CONFIG!$D$21,IF(K512&gt;=CONFIG!$E$20,CONFIG!$D$20,CONFIG!$D$19)))</f>
        <v/>
      </c>
      <c r="M512" s="20" t="str">
        <f aca="false">IF(K512="","",IF(K512&gt;=CONFIG!$E$21,CONFIG!$F$21,IF(K512&gt;=CONFIG!$E$20,CONFIG!$F$20,CONFIG!$F$19)))</f>
        <v/>
      </c>
      <c r="N512" s="19" t="str">
        <f aca="false">IF(I512="","",IF(I512&lt;=M512,"OK","ALTA"))</f>
        <v/>
      </c>
      <c r="O512" s="13"/>
    </row>
    <row r="513" customFormat="false" ht="15" hidden="false" customHeight="false" outlineLevel="0" collapsed="false">
      <c r="A513" s="11" t="str">
        <f aca="false">IF(C513="","",ROW()-4)</f>
        <v/>
      </c>
      <c r="B513" s="12"/>
      <c r="C513" s="13"/>
      <c r="D513" s="11" t="str">
        <f aca="false">IF(C513="","",IFERROR(INDEX(LOTES!$D$5:$D$1004,MATCH(C513,LOTES!$F$5:$F$1004,0)),"¿Lote?"))</f>
        <v/>
      </c>
      <c r="E513" s="11" t="str">
        <f aca="false">IF(C513="","",IFERROR(INDEX(LOTES!$C$5:$C$1004,MATCH(C513,LOTES!$F$5:$F$1004,0)),""))</f>
        <v/>
      </c>
      <c r="F513" s="27"/>
      <c r="G513" s="27"/>
      <c r="H513" s="27"/>
      <c r="I513" s="20" t="str">
        <f aca="false">IF(AND(ISNUMBER(F513),ISNUMBER(G513),ISNUMBER(H513),F513&gt;G513,H513&gt;0),(F513-H513)/(F513-G513)*1000,"")</f>
        <v/>
      </c>
      <c r="J513" s="17" t="str">
        <f aca="false">IF(AND(ISNUMBER(F513),ISNUMBER(G513),ISNUMBER(H513),F513&gt;G513,H513&gt;0),(F513-H513)/H513,"")</f>
        <v/>
      </c>
      <c r="K513" s="20" t="str">
        <f aca="false">IF(AND(ISNUMBER(F513),ISNUMBER(G513),ISNUMBER(H513),F513&gt;G513,H513&gt;0),H513/(F513-G513)*1000,"")</f>
        <v/>
      </c>
      <c r="L513" s="11" t="str">
        <f aca="false">IF(K513="","",IF(K513&gt;=CONFIG!$E$21,CONFIG!$D$21,IF(K513&gt;=CONFIG!$E$20,CONFIG!$D$20,CONFIG!$D$19)))</f>
        <v/>
      </c>
      <c r="M513" s="20" t="str">
        <f aca="false">IF(K513="","",IF(K513&gt;=CONFIG!$E$21,CONFIG!$F$21,IF(K513&gt;=CONFIG!$E$20,CONFIG!$F$20,CONFIG!$F$19)))</f>
        <v/>
      </c>
      <c r="N513" s="19" t="str">
        <f aca="false">IF(I513="","",IF(I513&lt;=M513,"OK","ALTA"))</f>
        <v/>
      </c>
      <c r="O513" s="13"/>
    </row>
    <row r="514" customFormat="false" ht="15" hidden="false" customHeight="false" outlineLevel="0" collapsed="false">
      <c r="A514" s="11" t="str">
        <f aca="false">IF(C514="","",ROW()-4)</f>
        <v/>
      </c>
      <c r="B514" s="12"/>
      <c r="C514" s="13"/>
      <c r="D514" s="11" t="str">
        <f aca="false">IF(C514="","",IFERROR(INDEX(LOTES!$D$5:$D$1004,MATCH(C514,LOTES!$F$5:$F$1004,0)),"¿Lote?"))</f>
        <v/>
      </c>
      <c r="E514" s="11" t="str">
        <f aca="false">IF(C514="","",IFERROR(INDEX(LOTES!$C$5:$C$1004,MATCH(C514,LOTES!$F$5:$F$1004,0)),""))</f>
        <v/>
      </c>
      <c r="F514" s="27"/>
      <c r="G514" s="27"/>
      <c r="H514" s="27"/>
      <c r="I514" s="20" t="str">
        <f aca="false">IF(AND(ISNUMBER(F514),ISNUMBER(G514),ISNUMBER(H514),F514&gt;G514,H514&gt;0),(F514-H514)/(F514-G514)*1000,"")</f>
        <v/>
      </c>
      <c r="J514" s="17" t="str">
        <f aca="false">IF(AND(ISNUMBER(F514),ISNUMBER(G514),ISNUMBER(H514),F514&gt;G514,H514&gt;0),(F514-H514)/H514,"")</f>
        <v/>
      </c>
      <c r="K514" s="20" t="str">
        <f aca="false">IF(AND(ISNUMBER(F514),ISNUMBER(G514),ISNUMBER(H514),F514&gt;G514,H514&gt;0),H514/(F514-G514)*1000,"")</f>
        <v/>
      </c>
      <c r="L514" s="11" t="str">
        <f aca="false">IF(K514="","",IF(K514&gt;=CONFIG!$E$21,CONFIG!$D$21,IF(K514&gt;=CONFIG!$E$20,CONFIG!$D$20,CONFIG!$D$19)))</f>
        <v/>
      </c>
      <c r="M514" s="20" t="str">
        <f aca="false">IF(K514="","",IF(K514&gt;=CONFIG!$E$21,CONFIG!$F$21,IF(K514&gt;=CONFIG!$E$20,CONFIG!$F$20,CONFIG!$F$19)))</f>
        <v/>
      </c>
      <c r="N514" s="19" t="str">
        <f aca="false">IF(I514="","",IF(I514&lt;=M514,"OK","ALTA"))</f>
        <v/>
      </c>
      <c r="O514" s="13"/>
    </row>
    <row r="515" customFormat="false" ht="15" hidden="false" customHeight="false" outlineLevel="0" collapsed="false">
      <c r="A515" s="11" t="str">
        <f aca="false">IF(C515="","",ROW()-4)</f>
        <v/>
      </c>
      <c r="B515" s="12"/>
      <c r="C515" s="13"/>
      <c r="D515" s="11" t="str">
        <f aca="false">IF(C515="","",IFERROR(INDEX(LOTES!$D$5:$D$1004,MATCH(C515,LOTES!$F$5:$F$1004,0)),"¿Lote?"))</f>
        <v/>
      </c>
      <c r="E515" s="11" t="str">
        <f aca="false">IF(C515="","",IFERROR(INDEX(LOTES!$C$5:$C$1004,MATCH(C515,LOTES!$F$5:$F$1004,0)),""))</f>
        <v/>
      </c>
      <c r="F515" s="27"/>
      <c r="G515" s="27"/>
      <c r="H515" s="27"/>
      <c r="I515" s="20" t="str">
        <f aca="false">IF(AND(ISNUMBER(F515),ISNUMBER(G515),ISNUMBER(H515),F515&gt;G515,H515&gt;0),(F515-H515)/(F515-G515)*1000,"")</f>
        <v/>
      </c>
      <c r="J515" s="17" t="str">
        <f aca="false">IF(AND(ISNUMBER(F515),ISNUMBER(G515),ISNUMBER(H515),F515&gt;G515,H515&gt;0),(F515-H515)/H515,"")</f>
        <v/>
      </c>
      <c r="K515" s="20" t="str">
        <f aca="false">IF(AND(ISNUMBER(F515),ISNUMBER(G515),ISNUMBER(H515),F515&gt;G515,H515&gt;0),H515/(F515-G515)*1000,"")</f>
        <v/>
      </c>
      <c r="L515" s="11" t="str">
        <f aca="false">IF(K515="","",IF(K515&gt;=CONFIG!$E$21,CONFIG!$D$21,IF(K515&gt;=CONFIG!$E$20,CONFIG!$D$20,CONFIG!$D$19)))</f>
        <v/>
      </c>
      <c r="M515" s="20" t="str">
        <f aca="false">IF(K515="","",IF(K515&gt;=CONFIG!$E$21,CONFIG!$F$21,IF(K515&gt;=CONFIG!$E$20,CONFIG!$F$20,CONFIG!$F$19)))</f>
        <v/>
      </c>
      <c r="N515" s="19" t="str">
        <f aca="false">IF(I515="","",IF(I515&lt;=M515,"OK","ALTA"))</f>
        <v/>
      </c>
      <c r="O515" s="13"/>
    </row>
    <row r="516" customFormat="false" ht="15" hidden="false" customHeight="false" outlineLevel="0" collapsed="false">
      <c r="A516" s="11" t="str">
        <f aca="false">IF(C516="","",ROW()-4)</f>
        <v/>
      </c>
      <c r="B516" s="12"/>
      <c r="C516" s="13"/>
      <c r="D516" s="11" t="str">
        <f aca="false">IF(C516="","",IFERROR(INDEX(LOTES!$D$5:$D$1004,MATCH(C516,LOTES!$F$5:$F$1004,0)),"¿Lote?"))</f>
        <v/>
      </c>
      <c r="E516" s="11" t="str">
        <f aca="false">IF(C516="","",IFERROR(INDEX(LOTES!$C$5:$C$1004,MATCH(C516,LOTES!$F$5:$F$1004,0)),""))</f>
        <v/>
      </c>
      <c r="F516" s="27"/>
      <c r="G516" s="27"/>
      <c r="H516" s="27"/>
      <c r="I516" s="20" t="str">
        <f aca="false">IF(AND(ISNUMBER(F516),ISNUMBER(G516),ISNUMBER(H516),F516&gt;G516,H516&gt;0),(F516-H516)/(F516-G516)*1000,"")</f>
        <v/>
      </c>
      <c r="J516" s="17" t="str">
        <f aca="false">IF(AND(ISNUMBER(F516),ISNUMBER(G516),ISNUMBER(H516),F516&gt;G516,H516&gt;0),(F516-H516)/H516,"")</f>
        <v/>
      </c>
      <c r="K516" s="20" t="str">
        <f aca="false">IF(AND(ISNUMBER(F516),ISNUMBER(G516),ISNUMBER(H516),F516&gt;G516,H516&gt;0),H516/(F516-G516)*1000,"")</f>
        <v/>
      </c>
      <c r="L516" s="11" t="str">
        <f aca="false">IF(K516="","",IF(K516&gt;=CONFIG!$E$21,CONFIG!$D$21,IF(K516&gt;=CONFIG!$E$20,CONFIG!$D$20,CONFIG!$D$19)))</f>
        <v/>
      </c>
      <c r="M516" s="20" t="str">
        <f aca="false">IF(K516="","",IF(K516&gt;=CONFIG!$E$21,CONFIG!$F$21,IF(K516&gt;=CONFIG!$E$20,CONFIG!$F$20,CONFIG!$F$19)))</f>
        <v/>
      </c>
      <c r="N516" s="19" t="str">
        <f aca="false">IF(I516="","",IF(I516&lt;=M516,"OK","ALTA"))</f>
        <v/>
      </c>
      <c r="O516" s="13"/>
    </row>
    <row r="517" customFormat="false" ht="15" hidden="false" customHeight="false" outlineLevel="0" collapsed="false">
      <c r="A517" s="11" t="str">
        <f aca="false">IF(C517="","",ROW()-4)</f>
        <v/>
      </c>
      <c r="B517" s="12"/>
      <c r="C517" s="13"/>
      <c r="D517" s="11" t="str">
        <f aca="false">IF(C517="","",IFERROR(INDEX(LOTES!$D$5:$D$1004,MATCH(C517,LOTES!$F$5:$F$1004,0)),"¿Lote?"))</f>
        <v/>
      </c>
      <c r="E517" s="11" t="str">
        <f aca="false">IF(C517="","",IFERROR(INDEX(LOTES!$C$5:$C$1004,MATCH(C517,LOTES!$F$5:$F$1004,0)),""))</f>
        <v/>
      </c>
      <c r="F517" s="27"/>
      <c r="G517" s="27"/>
      <c r="H517" s="27"/>
      <c r="I517" s="20" t="str">
        <f aca="false">IF(AND(ISNUMBER(F517),ISNUMBER(G517),ISNUMBER(H517),F517&gt;G517,H517&gt;0),(F517-H517)/(F517-G517)*1000,"")</f>
        <v/>
      </c>
      <c r="J517" s="17" t="str">
        <f aca="false">IF(AND(ISNUMBER(F517),ISNUMBER(G517),ISNUMBER(H517),F517&gt;G517,H517&gt;0),(F517-H517)/H517,"")</f>
        <v/>
      </c>
      <c r="K517" s="20" t="str">
        <f aca="false">IF(AND(ISNUMBER(F517),ISNUMBER(G517),ISNUMBER(H517),F517&gt;G517,H517&gt;0),H517/(F517-G517)*1000,"")</f>
        <v/>
      </c>
      <c r="L517" s="11" t="str">
        <f aca="false">IF(K517="","",IF(K517&gt;=CONFIG!$E$21,CONFIG!$D$21,IF(K517&gt;=CONFIG!$E$20,CONFIG!$D$20,CONFIG!$D$19)))</f>
        <v/>
      </c>
      <c r="M517" s="20" t="str">
        <f aca="false">IF(K517="","",IF(K517&gt;=CONFIG!$E$21,CONFIG!$F$21,IF(K517&gt;=CONFIG!$E$20,CONFIG!$F$20,CONFIG!$F$19)))</f>
        <v/>
      </c>
      <c r="N517" s="19" t="str">
        <f aca="false">IF(I517="","",IF(I517&lt;=M517,"OK","ALTA"))</f>
        <v/>
      </c>
      <c r="O517" s="13"/>
    </row>
    <row r="518" customFormat="false" ht="15" hidden="false" customHeight="false" outlineLevel="0" collapsed="false">
      <c r="A518" s="11" t="str">
        <f aca="false">IF(C518="","",ROW()-4)</f>
        <v/>
      </c>
      <c r="B518" s="12"/>
      <c r="C518" s="13"/>
      <c r="D518" s="11" t="str">
        <f aca="false">IF(C518="","",IFERROR(INDEX(LOTES!$D$5:$D$1004,MATCH(C518,LOTES!$F$5:$F$1004,0)),"¿Lote?"))</f>
        <v/>
      </c>
      <c r="E518" s="11" t="str">
        <f aca="false">IF(C518="","",IFERROR(INDEX(LOTES!$C$5:$C$1004,MATCH(C518,LOTES!$F$5:$F$1004,0)),""))</f>
        <v/>
      </c>
      <c r="F518" s="27"/>
      <c r="G518" s="27"/>
      <c r="H518" s="27"/>
      <c r="I518" s="20" t="str">
        <f aca="false">IF(AND(ISNUMBER(F518),ISNUMBER(G518),ISNUMBER(H518),F518&gt;G518,H518&gt;0),(F518-H518)/(F518-G518)*1000,"")</f>
        <v/>
      </c>
      <c r="J518" s="17" t="str">
        <f aca="false">IF(AND(ISNUMBER(F518),ISNUMBER(G518),ISNUMBER(H518),F518&gt;G518,H518&gt;0),(F518-H518)/H518,"")</f>
        <v/>
      </c>
      <c r="K518" s="20" t="str">
        <f aca="false">IF(AND(ISNUMBER(F518),ISNUMBER(G518),ISNUMBER(H518),F518&gt;G518,H518&gt;0),H518/(F518-G518)*1000,"")</f>
        <v/>
      </c>
      <c r="L518" s="11" t="str">
        <f aca="false">IF(K518="","",IF(K518&gt;=CONFIG!$E$21,CONFIG!$D$21,IF(K518&gt;=CONFIG!$E$20,CONFIG!$D$20,CONFIG!$D$19)))</f>
        <v/>
      </c>
      <c r="M518" s="20" t="str">
        <f aca="false">IF(K518="","",IF(K518&gt;=CONFIG!$E$21,CONFIG!$F$21,IF(K518&gt;=CONFIG!$E$20,CONFIG!$F$20,CONFIG!$F$19)))</f>
        <v/>
      </c>
      <c r="N518" s="19" t="str">
        <f aca="false">IF(I518="","",IF(I518&lt;=M518,"OK","ALTA"))</f>
        <v/>
      </c>
      <c r="O518" s="13"/>
    </row>
    <row r="519" customFormat="false" ht="15" hidden="false" customHeight="false" outlineLevel="0" collapsed="false">
      <c r="A519" s="11" t="str">
        <f aca="false">IF(C519="","",ROW()-4)</f>
        <v/>
      </c>
      <c r="B519" s="12"/>
      <c r="C519" s="13"/>
      <c r="D519" s="11" t="str">
        <f aca="false">IF(C519="","",IFERROR(INDEX(LOTES!$D$5:$D$1004,MATCH(C519,LOTES!$F$5:$F$1004,0)),"¿Lote?"))</f>
        <v/>
      </c>
      <c r="E519" s="11" t="str">
        <f aca="false">IF(C519="","",IFERROR(INDEX(LOTES!$C$5:$C$1004,MATCH(C519,LOTES!$F$5:$F$1004,0)),""))</f>
        <v/>
      </c>
      <c r="F519" s="27"/>
      <c r="G519" s="27"/>
      <c r="H519" s="27"/>
      <c r="I519" s="20" t="str">
        <f aca="false">IF(AND(ISNUMBER(F519),ISNUMBER(G519),ISNUMBER(H519),F519&gt;G519,H519&gt;0),(F519-H519)/(F519-G519)*1000,"")</f>
        <v/>
      </c>
      <c r="J519" s="17" t="str">
        <f aca="false">IF(AND(ISNUMBER(F519),ISNUMBER(G519),ISNUMBER(H519),F519&gt;G519,H519&gt;0),(F519-H519)/H519,"")</f>
        <v/>
      </c>
      <c r="K519" s="20" t="str">
        <f aca="false">IF(AND(ISNUMBER(F519),ISNUMBER(G519),ISNUMBER(H519),F519&gt;G519,H519&gt;0),H519/(F519-G519)*1000,"")</f>
        <v/>
      </c>
      <c r="L519" s="11" t="str">
        <f aca="false">IF(K519="","",IF(K519&gt;=CONFIG!$E$21,CONFIG!$D$21,IF(K519&gt;=CONFIG!$E$20,CONFIG!$D$20,CONFIG!$D$19)))</f>
        <v/>
      </c>
      <c r="M519" s="20" t="str">
        <f aca="false">IF(K519="","",IF(K519&gt;=CONFIG!$E$21,CONFIG!$F$21,IF(K519&gt;=CONFIG!$E$20,CONFIG!$F$20,CONFIG!$F$19)))</f>
        <v/>
      </c>
      <c r="N519" s="19" t="str">
        <f aca="false">IF(I519="","",IF(I519&lt;=M519,"OK","ALTA"))</f>
        <v/>
      </c>
      <c r="O519" s="13"/>
    </row>
    <row r="520" customFormat="false" ht="15" hidden="false" customHeight="false" outlineLevel="0" collapsed="false">
      <c r="A520" s="11" t="str">
        <f aca="false">IF(C520="","",ROW()-4)</f>
        <v/>
      </c>
      <c r="B520" s="12"/>
      <c r="C520" s="13"/>
      <c r="D520" s="11" t="str">
        <f aca="false">IF(C520="","",IFERROR(INDEX(LOTES!$D$5:$D$1004,MATCH(C520,LOTES!$F$5:$F$1004,0)),"¿Lote?"))</f>
        <v/>
      </c>
      <c r="E520" s="11" t="str">
        <f aca="false">IF(C520="","",IFERROR(INDEX(LOTES!$C$5:$C$1004,MATCH(C520,LOTES!$F$5:$F$1004,0)),""))</f>
        <v/>
      </c>
      <c r="F520" s="27"/>
      <c r="G520" s="27"/>
      <c r="H520" s="27"/>
      <c r="I520" s="20" t="str">
        <f aca="false">IF(AND(ISNUMBER(F520),ISNUMBER(G520),ISNUMBER(H520),F520&gt;G520,H520&gt;0),(F520-H520)/(F520-G520)*1000,"")</f>
        <v/>
      </c>
      <c r="J520" s="17" t="str">
        <f aca="false">IF(AND(ISNUMBER(F520),ISNUMBER(G520),ISNUMBER(H520),F520&gt;G520,H520&gt;0),(F520-H520)/H520,"")</f>
        <v/>
      </c>
      <c r="K520" s="20" t="str">
        <f aca="false">IF(AND(ISNUMBER(F520),ISNUMBER(G520),ISNUMBER(H520),F520&gt;G520,H520&gt;0),H520/(F520-G520)*1000,"")</f>
        <v/>
      </c>
      <c r="L520" s="11" t="str">
        <f aca="false">IF(K520="","",IF(K520&gt;=CONFIG!$E$21,CONFIG!$D$21,IF(K520&gt;=CONFIG!$E$20,CONFIG!$D$20,CONFIG!$D$19)))</f>
        <v/>
      </c>
      <c r="M520" s="20" t="str">
        <f aca="false">IF(K520="","",IF(K520&gt;=CONFIG!$E$21,CONFIG!$F$21,IF(K520&gt;=CONFIG!$E$20,CONFIG!$F$20,CONFIG!$F$19)))</f>
        <v/>
      </c>
      <c r="N520" s="19" t="str">
        <f aca="false">IF(I520="","",IF(I520&lt;=M520,"OK","ALTA"))</f>
        <v/>
      </c>
      <c r="O520" s="13"/>
    </row>
    <row r="521" customFormat="false" ht="15" hidden="false" customHeight="false" outlineLevel="0" collapsed="false">
      <c r="A521" s="11" t="str">
        <f aca="false">IF(C521="","",ROW()-4)</f>
        <v/>
      </c>
      <c r="B521" s="12"/>
      <c r="C521" s="13"/>
      <c r="D521" s="11" t="str">
        <f aca="false">IF(C521="","",IFERROR(INDEX(LOTES!$D$5:$D$1004,MATCH(C521,LOTES!$F$5:$F$1004,0)),"¿Lote?"))</f>
        <v/>
      </c>
      <c r="E521" s="11" t="str">
        <f aca="false">IF(C521="","",IFERROR(INDEX(LOTES!$C$5:$C$1004,MATCH(C521,LOTES!$F$5:$F$1004,0)),""))</f>
        <v/>
      </c>
      <c r="F521" s="27"/>
      <c r="G521" s="27"/>
      <c r="H521" s="27"/>
      <c r="I521" s="20" t="str">
        <f aca="false">IF(AND(ISNUMBER(F521),ISNUMBER(G521),ISNUMBER(H521),F521&gt;G521,H521&gt;0),(F521-H521)/(F521-G521)*1000,"")</f>
        <v/>
      </c>
      <c r="J521" s="17" t="str">
        <f aca="false">IF(AND(ISNUMBER(F521),ISNUMBER(G521),ISNUMBER(H521),F521&gt;G521,H521&gt;0),(F521-H521)/H521,"")</f>
        <v/>
      </c>
      <c r="K521" s="20" t="str">
        <f aca="false">IF(AND(ISNUMBER(F521),ISNUMBER(G521),ISNUMBER(H521),F521&gt;G521,H521&gt;0),H521/(F521-G521)*1000,"")</f>
        <v/>
      </c>
      <c r="L521" s="11" t="str">
        <f aca="false">IF(K521="","",IF(K521&gt;=CONFIG!$E$21,CONFIG!$D$21,IF(K521&gt;=CONFIG!$E$20,CONFIG!$D$20,CONFIG!$D$19)))</f>
        <v/>
      </c>
      <c r="M521" s="20" t="str">
        <f aca="false">IF(K521="","",IF(K521&gt;=CONFIG!$E$21,CONFIG!$F$21,IF(K521&gt;=CONFIG!$E$20,CONFIG!$F$20,CONFIG!$F$19)))</f>
        <v/>
      </c>
      <c r="N521" s="19" t="str">
        <f aca="false">IF(I521="","",IF(I521&lt;=M521,"OK","ALTA"))</f>
        <v/>
      </c>
      <c r="O521" s="13"/>
    </row>
    <row r="522" customFormat="false" ht="15" hidden="false" customHeight="false" outlineLevel="0" collapsed="false">
      <c r="A522" s="11" t="str">
        <f aca="false">IF(C522="","",ROW()-4)</f>
        <v/>
      </c>
      <c r="B522" s="12"/>
      <c r="C522" s="13"/>
      <c r="D522" s="11" t="str">
        <f aca="false">IF(C522="","",IFERROR(INDEX(LOTES!$D$5:$D$1004,MATCH(C522,LOTES!$F$5:$F$1004,0)),"¿Lote?"))</f>
        <v/>
      </c>
      <c r="E522" s="11" t="str">
        <f aca="false">IF(C522="","",IFERROR(INDEX(LOTES!$C$5:$C$1004,MATCH(C522,LOTES!$F$5:$F$1004,0)),""))</f>
        <v/>
      </c>
      <c r="F522" s="27"/>
      <c r="G522" s="27"/>
      <c r="H522" s="27"/>
      <c r="I522" s="20" t="str">
        <f aca="false">IF(AND(ISNUMBER(F522),ISNUMBER(G522),ISNUMBER(H522),F522&gt;G522,H522&gt;0),(F522-H522)/(F522-G522)*1000,"")</f>
        <v/>
      </c>
      <c r="J522" s="17" t="str">
        <f aca="false">IF(AND(ISNUMBER(F522),ISNUMBER(G522),ISNUMBER(H522),F522&gt;G522,H522&gt;0),(F522-H522)/H522,"")</f>
        <v/>
      </c>
      <c r="K522" s="20" t="str">
        <f aca="false">IF(AND(ISNUMBER(F522),ISNUMBER(G522),ISNUMBER(H522),F522&gt;G522,H522&gt;0),H522/(F522-G522)*1000,"")</f>
        <v/>
      </c>
      <c r="L522" s="11" t="str">
        <f aca="false">IF(K522="","",IF(K522&gt;=CONFIG!$E$21,CONFIG!$D$21,IF(K522&gt;=CONFIG!$E$20,CONFIG!$D$20,CONFIG!$D$19)))</f>
        <v/>
      </c>
      <c r="M522" s="20" t="str">
        <f aca="false">IF(K522="","",IF(K522&gt;=CONFIG!$E$21,CONFIG!$F$21,IF(K522&gt;=CONFIG!$E$20,CONFIG!$F$20,CONFIG!$F$19)))</f>
        <v/>
      </c>
      <c r="N522" s="19" t="str">
        <f aca="false">IF(I522="","",IF(I522&lt;=M522,"OK","ALTA"))</f>
        <v/>
      </c>
      <c r="O522" s="13"/>
    </row>
    <row r="523" customFormat="false" ht="15" hidden="false" customHeight="false" outlineLevel="0" collapsed="false">
      <c r="A523" s="11" t="str">
        <f aca="false">IF(C523="","",ROW()-4)</f>
        <v/>
      </c>
      <c r="B523" s="12"/>
      <c r="C523" s="13"/>
      <c r="D523" s="11" t="str">
        <f aca="false">IF(C523="","",IFERROR(INDEX(LOTES!$D$5:$D$1004,MATCH(C523,LOTES!$F$5:$F$1004,0)),"¿Lote?"))</f>
        <v/>
      </c>
      <c r="E523" s="11" t="str">
        <f aca="false">IF(C523="","",IFERROR(INDEX(LOTES!$C$5:$C$1004,MATCH(C523,LOTES!$F$5:$F$1004,0)),""))</f>
        <v/>
      </c>
      <c r="F523" s="27"/>
      <c r="G523" s="27"/>
      <c r="H523" s="27"/>
      <c r="I523" s="20" t="str">
        <f aca="false">IF(AND(ISNUMBER(F523),ISNUMBER(G523),ISNUMBER(H523),F523&gt;G523,H523&gt;0),(F523-H523)/(F523-G523)*1000,"")</f>
        <v/>
      </c>
      <c r="J523" s="17" t="str">
        <f aca="false">IF(AND(ISNUMBER(F523),ISNUMBER(G523),ISNUMBER(H523),F523&gt;G523,H523&gt;0),(F523-H523)/H523,"")</f>
        <v/>
      </c>
      <c r="K523" s="20" t="str">
        <f aca="false">IF(AND(ISNUMBER(F523),ISNUMBER(G523),ISNUMBER(H523),F523&gt;G523,H523&gt;0),H523/(F523-G523)*1000,"")</f>
        <v/>
      </c>
      <c r="L523" s="11" t="str">
        <f aca="false">IF(K523="","",IF(K523&gt;=CONFIG!$E$21,CONFIG!$D$21,IF(K523&gt;=CONFIG!$E$20,CONFIG!$D$20,CONFIG!$D$19)))</f>
        <v/>
      </c>
      <c r="M523" s="20" t="str">
        <f aca="false">IF(K523="","",IF(K523&gt;=CONFIG!$E$21,CONFIG!$F$21,IF(K523&gt;=CONFIG!$E$20,CONFIG!$F$20,CONFIG!$F$19)))</f>
        <v/>
      </c>
      <c r="N523" s="19" t="str">
        <f aca="false">IF(I523="","",IF(I523&lt;=M523,"OK","ALTA"))</f>
        <v/>
      </c>
      <c r="O523" s="13"/>
    </row>
    <row r="524" customFormat="false" ht="15" hidden="false" customHeight="false" outlineLevel="0" collapsed="false">
      <c r="A524" s="11" t="str">
        <f aca="false">IF(C524="","",ROW()-4)</f>
        <v/>
      </c>
      <c r="B524" s="12"/>
      <c r="C524" s="13"/>
      <c r="D524" s="11" t="str">
        <f aca="false">IF(C524="","",IFERROR(INDEX(LOTES!$D$5:$D$1004,MATCH(C524,LOTES!$F$5:$F$1004,0)),"¿Lote?"))</f>
        <v/>
      </c>
      <c r="E524" s="11" t="str">
        <f aca="false">IF(C524="","",IFERROR(INDEX(LOTES!$C$5:$C$1004,MATCH(C524,LOTES!$F$5:$F$1004,0)),""))</f>
        <v/>
      </c>
      <c r="F524" s="27"/>
      <c r="G524" s="27"/>
      <c r="H524" s="27"/>
      <c r="I524" s="20" t="str">
        <f aca="false">IF(AND(ISNUMBER(F524),ISNUMBER(G524),ISNUMBER(H524),F524&gt;G524,H524&gt;0),(F524-H524)/(F524-G524)*1000,"")</f>
        <v/>
      </c>
      <c r="J524" s="17" t="str">
        <f aca="false">IF(AND(ISNUMBER(F524),ISNUMBER(G524),ISNUMBER(H524),F524&gt;G524,H524&gt;0),(F524-H524)/H524,"")</f>
        <v/>
      </c>
      <c r="K524" s="20" t="str">
        <f aca="false">IF(AND(ISNUMBER(F524),ISNUMBER(G524),ISNUMBER(H524),F524&gt;G524,H524&gt;0),H524/(F524-G524)*1000,"")</f>
        <v/>
      </c>
      <c r="L524" s="11" t="str">
        <f aca="false">IF(K524="","",IF(K524&gt;=CONFIG!$E$21,CONFIG!$D$21,IF(K524&gt;=CONFIG!$E$20,CONFIG!$D$20,CONFIG!$D$19)))</f>
        <v/>
      </c>
      <c r="M524" s="20" t="str">
        <f aca="false">IF(K524="","",IF(K524&gt;=CONFIG!$E$21,CONFIG!$F$21,IF(K524&gt;=CONFIG!$E$20,CONFIG!$F$20,CONFIG!$F$19)))</f>
        <v/>
      </c>
      <c r="N524" s="19" t="str">
        <f aca="false">IF(I524="","",IF(I524&lt;=M524,"OK","ALTA"))</f>
        <v/>
      </c>
      <c r="O524" s="13"/>
    </row>
    <row r="525" customFormat="false" ht="15" hidden="false" customHeight="false" outlineLevel="0" collapsed="false">
      <c r="A525" s="11" t="str">
        <f aca="false">IF(C525="","",ROW()-4)</f>
        <v/>
      </c>
      <c r="B525" s="12"/>
      <c r="C525" s="13"/>
      <c r="D525" s="11" t="str">
        <f aca="false">IF(C525="","",IFERROR(INDEX(LOTES!$D$5:$D$1004,MATCH(C525,LOTES!$F$5:$F$1004,0)),"¿Lote?"))</f>
        <v/>
      </c>
      <c r="E525" s="11" t="str">
        <f aca="false">IF(C525="","",IFERROR(INDEX(LOTES!$C$5:$C$1004,MATCH(C525,LOTES!$F$5:$F$1004,0)),""))</f>
        <v/>
      </c>
      <c r="F525" s="27"/>
      <c r="G525" s="27"/>
      <c r="H525" s="27"/>
      <c r="I525" s="20" t="str">
        <f aca="false">IF(AND(ISNUMBER(F525),ISNUMBER(G525),ISNUMBER(H525),F525&gt;G525,H525&gt;0),(F525-H525)/(F525-G525)*1000,"")</f>
        <v/>
      </c>
      <c r="J525" s="17" t="str">
        <f aca="false">IF(AND(ISNUMBER(F525),ISNUMBER(G525),ISNUMBER(H525),F525&gt;G525,H525&gt;0),(F525-H525)/H525,"")</f>
        <v/>
      </c>
      <c r="K525" s="20" t="str">
        <f aca="false">IF(AND(ISNUMBER(F525),ISNUMBER(G525),ISNUMBER(H525),F525&gt;G525,H525&gt;0),H525/(F525-G525)*1000,"")</f>
        <v/>
      </c>
      <c r="L525" s="11" t="str">
        <f aca="false">IF(K525="","",IF(K525&gt;=CONFIG!$E$21,CONFIG!$D$21,IF(K525&gt;=CONFIG!$E$20,CONFIG!$D$20,CONFIG!$D$19)))</f>
        <v/>
      </c>
      <c r="M525" s="20" t="str">
        <f aca="false">IF(K525="","",IF(K525&gt;=CONFIG!$E$21,CONFIG!$F$21,IF(K525&gt;=CONFIG!$E$20,CONFIG!$F$20,CONFIG!$F$19)))</f>
        <v/>
      </c>
      <c r="N525" s="19" t="str">
        <f aca="false">IF(I525="","",IF(I525&lt;=M525,"OK","ALTA"))</f>
        <v/>
      </c>
      <c r="O525" s="13"/>
    </row>
    <row r="526" customFormat="false" ht="15" hidden="false" customHeight="false" outlineLevel="0" collapsed="false">
      <c r="A526" s="11" t="str">
        <f aca="false">IF(C526="","",ROW()-4)</f>
        <v/>
      </c>
      <c r="B526" s="12"/>
      <c r="C526" s="13"/>
      <c r="D526" s="11" t="str">
        <f aca="false">IF(C526="","",IFERROR(INDEX(LOTES!$D$5:$D$1004,MATCH(C526,LOTES!$F$5:$F$1004,0)),"¿Lote?"))</f>
        <v/>
      </c>
      <c r="E526" s="11" t="str">
        <f aca="false">IF(C526="","",IFERROR(INDEX(LOTES!$C$5:$C$1004,MATCH(C526,LOTES!$F$5:$F$1004,0)),""))</f>
        <v/>
      </c>
      <c r="F526" s="27"/>
      <c r="G526" s="27"/>
      <c r="H526" s="27"/>
      <c r="I526" s="20" t="str">
        <f aca="false">IF(AND(ISNUMBER(F526),ISNUMBER(G526),ISNUMBER(H526),F526&gt;G526,H526&gt;0),(F526-H526)/(F526-G526)*1000,"")</f>
        <v/>
      </c>
      <c r="J526" s="17" t="str">
        <f aca="false">IF(AND(ISNUMBER(F526),ISNUMBER(G526),ISNUMBER(H526),F526&gt;G526,H526&gt;0),(F526-H526)/H526,"")</f>
        <v/>
      </c>
      <c r="K526" s="20" t="str">
        <f aca="false">IF(AND(ISNUMBER(F526),ISNUMBER(G526),ISNUMBER(H526),F526&gt;G526,H526&gt;0),H526/(F526-G526)*1000,"")</f>
        <v/>
      </c>
      <c r="L526" s="11" t="str">
        <f aca="false">IF(K526="","",IF(K526&gt;=CONFIG!$E$21,CONFIG!$D$21,IF(K526&gt;=CONFIG!$E$20,CONFIG!$D$20,CONFIG!$D$19)))</f>
        <v/>
      </c>
      <c r="M526" s="20" t="str">
        <f aca="false">IF(K526="","",IF(K526&gt;=CONFIG!$E$21,CONFIG!$F$21,IF(K526&gt;=CONFIG!$E$20,CONFIG!$F$20,CONFIG!$F$19)))</f>
        <v/>
      </c>
      <c r="N526" s="19" t="str">
        <f aca="false">IF(I526="","",IF(I526&lt;=M526,"OK","ALTA"))</f>
        <v/>
      </c>
      <c r="O526" s="13"/>
    </row>
    <row r="527" customFormat="false" ht="15" hidden="false" customHeight="false" outlineLevel="0" collapsed="false">
      <c r="A527" s="11" t="str">
        <f aca="false">IF(C527="","",ROW()-4)</f>
        <v/>
      </c>
      <c r="B527" s="12"/>
      <c r="C527" s="13"/>
      <c r="D527" s="11" t="str">
        <f aca="false">IF(C527="","",IFERROR(INDEX(LOTES!$D$5:$D$1004,MATCH(C527,LOTES!$F$5:$F$1004,0)),"¿Lote?"))</f>
        <v/>
      </c>
      <c r="E527" s="11" t="str">
        <f aca="false">IF(C527="","",IFERROR(INDEX(LOTES!$C$5:$C$1004,MATCH(C527,LOTES!$F$5:$F$1004,0)),""))</f>
        <v/>
      </c>
      <c r="F527" s="27"/>
      <c r="G527" s="27"/>
      <c r="H527" s="27"/>
      <c r="I527" s="20" t="str">
        <f aca="false">IF(AND(ISNUMBER(F527),ISNUMBER(G527),ISNUMBER(H527),F527&gt;G527,H527&gt;0),(F527-H527)/(F527-G527)*1000,"")</f>
        <v/>
      </c>
      <c r="J527" s="17" t="str">
        <f aca="false">IF(AND(ISNUMBER(F527),ISNUMBER(G527),ISNUMBER(H527),F527&gt;G527,H527&gt;0),(F527-H527)/H527,"")</f>
        <v/>
      </c>
      <c r="K527" s="20" t="str">
        <f aca="false">IF(AND(ISNUMBER(F527),ISNUMBER(G527),ISNUMBER(H527),F527&gt;G527,H527&gt;0),H527/(F527-G527)*1000,"")</f>
        <v/>
      </c>
      <c r="L527" s="11" t="str">
        <f aca="false">IF(K527="","",IF(K527&gt;=CONFIG!$E$21,CONFIG!$D$21,IF(K527&gt;=CONFIG!$E$20,CONFIG!$D$20,CONFIG!$D$19)))</f>
        <v/>
      </c>
      <c r="M527" s="20" t="str">
        <f aca="false">IF(K527="","",IF(K527&gt;=CONFIG!$E$21,CONFIG!$F$21,IF(K527&gt;=CONFIG!$E$20,CONFIG!$F$20,CONFIG!$F$19)))</f>
        <v/>
      </c>
      <c r="N527" s="19" t="str">
        <f aca="false">IF(I527="","",IF(I527&lt;=M527,"OK","ALTA"))</f>
        <v/>
      </c>
      <c r="O527" s="13"/>
    </row>
    <row r="528" customFormat="false" ht="15" hidden="false" customHeight="false" outlineLevel="0" collapsed="false">
      <c r="A528" s="11" t="str">
        <f aca="false">IF(C528="","",ROW()-4)</f>
        <v/>
      </c>
      <c r="B528" s="12"/>
      <c r="C528" s="13"/>
      <c r="D528" s="11" t="str">
        <f aca="false">IF(C528="","",IFERROR(INDEX(LOTES!$D$5:$D$1004,MATCH(C528,LOTES!$F$5:$F$1004,0)),"¿Lote?"))</f>
        <v/>
      </c>
      <c r="E528" s="11" t="str">
        <f aca="false">IF(C528="","",IFERROR(INDEX(LOTES!$C$5:$C$1004,MATCH(C528,LOTES!$F$5:$F$1004,0)),""))</f>
        <v/>
      </c>
      <c r="F528" s="27"/>
      <c r="G528" s="27"/>
      <c r="H528" s="27"/>
      <c r="I528" s="20" t="str">
        <f aca="false">IF(AND(ISNUMBER(F528),ISNUMBER(G528),ISNUMBER(H528),F528&gt;G528,H528&gt;0),(F528-H528)/(F528-G528)*1000,"")</f>
        <v/>
      </c>
      <c r="J528" s="17" t="str">
        <f aca="false">IF(AND(ISNUMBER(F528),ISNUMBER(G528),ISNUMBER(H528),F528&gt;G528,H528&gt;0),(F528-H528)/H528,"")</f>
        <v/>
      </c>
      <c r="K528" s="20" t="str">
        <f aca="false">IF(AND(ISNUMBER(F528),ISNUMBER(G528),ISNUMBER(H528),F528&gt;G528,H528&gt;0),H528/(F528-G528)*1000,"")</f>
        <v/>
      </c>
      <c r="L528" s="11" t="str">
        <f aca="false">IF(K528="","",IF(K528&gt;=CONFIG!$E$21,CONFIG!$D$21,IF(K528&gt;=CONFIG!$E$20,CONFIG!$D$20,CONFIG!$D$19)))</f>
        <v/>
      </c>
      <c r="M528" s="20" t="str">
        <f aca="false">IF(K528="","",IF(K528&gt;=CONFIG!$E$21,CONFIG!$F$21,IF(K528&gt;=CONFIG!$E$20,CONFIG!$F$20,CONFIG!$F$19)))</f>
        <v/>
      </c>
      <c r="N528" s="19" t="str">
        <f aca="false">IF(I528="","",IF(I528&lt;=M528,"OK","ALTA"))</f>
        <v/>
      </c>
      <c r="O528" s="13"/>
    </row>
    <row r="529" customFormat="false" ht="15" hidden="false" customHeight="false" outlineLevel="0" collapsed="false">
      <c r="A529" s="11" t="str">
        <f aca="false">IF(C529="","",ROW()-4)</f>
        <v/>
      </c>
      <c r="B529" s="12"/>
      <c r="C529" s="13"/>
      <c r="D529" s="11" t="str">
        <f aca="false">IF(C529="","",IFERROR(INDEX(LOTES!$D$5:$D$1004,MATCH(C529,LOTES!$F$5:$F$1004,0)),"¿Lote?"))</f>
        <v/>
      </c>
      <c r="E529" s="11" t="str">
        <f aca="false">IF(C529="","",IFERROR(INDEX(LOTES!$C$5:$C$1004,MATCH(C529,LOTES!$F$5:$F$1004,0)),""))</f>
        <v/>
      </c>
      <c r="F529" s="27"/>
      <c r="G529" s="27"/>
      <c r="H529" s="27"/>
      <c r="I529" s="20" t="str">
        <f aca="false">IF(AND(ISNUMBER(F529),ISNUMBER(G529),ISNUMBER(H529),F529&gt;G529,H529&gt;0),(F529-H529)/(F529-G529)*1000,"")</f>
        <v/>
      </c>
      <c r="J529" s="17" t="str">
        <f aca="false">IF(AND(ISNUMBER(F529),ISNUMBER(G529),ISNUMBER(H529),F529&gt;G529,H529&gt;0),(F529-H529)/H529,"")</f>
        <v/>
      </c>
      <c r="K529" s="20" t="str">
        <f aca="false">IF(AND(ISNUMBER(F529),ISNUMBER(G529),ISNUMBER(H529),F529&gt;G529,H529&gt;0),H529/(F529-G529)*1000,"")</f>
        <v/>
      </c>
      <c r="L529" s="11" t="str">
        <f aca="false">IF(K529="","",IF(K529&gt;=CONFIG!$E$21,CONFIG!$D$21,IF(K529&gt;=CONFIG!$E$20,CONFIG!$D$20,CONFIG!$D$19)))</f>
        <v/>
      </c>
      <c r="M529" s="20" t="str">
        <f aca="false">IF(K529="","",IF(K529&gt;=CONFIG!$E$21,CONFIG!$F$21,IF(K529&gt;=CONFIG!$E$20,CONFIG!$F$20,CONFIG!$F$19)))</f>
        <v/>
      </c>
      <c r="N529" s="19" t="str">
        <f aca="false">IF(I529="","",IF(I529&lt;=M529,"OK","ALTA"))</f>
        <v/>
      </c>
      <c r="O529" s="13"/>
    </row>
    <row r="530" customFormat="false" ht="15" hidden="false" customHeight="false" outlineLevel="0" collapsed="false">
      <c r="A530" s="11" t="str">
        <f aca="false">IF(C530="","",ROW()-4)</f>
        <v/>
      </c>
      <c r="B530" s="12"/>
      <c r="C530" s="13"/>
      <c r="D530" s="11" t="str">
        <f aca="false">IF(C530="","",IFERROR(INDEX(LOTES!$D$5:$D$1004,MATCH(C530,LOTES!$F$5:$F$1004,0)),"¿Lote?"))</f>
        <v/>
      </c>
      <c r="E530" s="11" t="str">
        <f aca="false">IF(C530="","",IFERROR(INDEX(LOTES!$C$5:$C$1004,MATCH(C530,LOTES!$F$5:$F$1004,0)),""))</f>
        <v/>
      </c>
      <c r="F530" s="27"/>
      <c r="G530" s="27"/>
      <c r="H530" s="27"/>
      <c r="I530" s="20" t="str">
        <f aca="false">IF(AND(ISNUMBER(F530),ISNUMBER(G530),ISNUMBER(H530),F530&gt;G530,H530&gt;0),(F530-H530)/(F530-G530)*1000,"")</f>
        <v/>
      </c>
      <c r="J530" s="17" t="str">
        <f aca="false">IF(AND(ISNUMBER(F530),ISNUMBER(G530),ISNUMBER(H530),F530&gt;G530,H530&gt;0),(F530-H530)/H530,"")</f>
        <v/>
      </c>
      <c r="K530" s="20" t="str">
        <f aca="false">IF(AND(ISNUMBER(F530),ISNUMBER(G530),ISNUMBER(H530),F530&gt;G530,H530&gt;0),H530/(F530-G530)*1000,"")</f>
        <v/>
      </c>
      <c r="L530" s="11" t="str">
        <f aca="false">IF(K530="","",IF(K530&gt;=CONFIG!$E$21,CONFIG!$D$21,IF(K530&gt;=CONFIG!$E$20,CONFIG!$D$20,CONFIG!$D$19)))</f>
        <v/>
      </c>
      <c r="M530" s="20" t="str">
        <f aca="false">IF(K530="","",IF(K530&gt;=CONFIG!$E$21,CONFIG!$F$21,IF(K530&gt;=CONFIG!$E$20,CONFIG!$F$20,CONFIG!$F$19)))</f>
        <v/>
      </c>
      <c r="N530" s="19" t="str">
        <f aca="false">IF(I530="","",IF(I530&lt;=M530,"OK","ALTA"))</f>
        <v/>
      </c>
      <c r="O530" s="13"/>
    </row>
    <row r="531" customFormat="false" ht="15" hidden="false" customHeight="false" outlineLevel="0" collapsed="false">
      <c r="A531" s="11" t="str">
        <f aca="false">IF(C531="","",ROW()-4)</f>
        <v/>
      </c>
      <c r="B531" s="12"/>
      <c r="C531" s="13"/>
      <c r="D531" s="11" t="str">
        <f aca="false">IF(C531="","",IFERROR(INDEX(LOTES!$D$5:$D$1004,MATCH(C531,LOTES!$F$5:$F$1004,0)),"¿Lote?"))</f>
        <v/>
      </c>
      <c r="E531" s="11" t="str">
        <f aca="false">IF(C531="","",IFERROR(INDEX(LOTES!$C$5:$C$1004,MATCH(C531,LOTES!$F$5:$F$1004,0)),""))</f>
        <v/>
      </c>
      <c r="F531" s="27"/>
      <c r="G531" s="27"/>
      <c r="H531" s="27"/>
      <c r="I531" s="20" t="str">
        <f aca="false">IF(AND(ISNUMBER(F531),ISNUMBER(G531),ISNUMBER(H531),F531&gt;G531,H531&gt;0),(F531-H531)/(F531-G531)*1000,"")</f>
        <v/>
      </c>
      <c r="J531" s="17" t="str">
        <f aca="false">IF(AND(ISNUMBER(F531),ISNUMBER(G531),ISNUMBER(H531),F531&gt;G531,H531&gt;0),(F531-H531)/H531,"")</f>
        <v/>
      </c>
      <c r="K531" s="20" t="str">
        <f aca="false">IF(AND(ISNUMBER(F531),ISNUMBER(G531),ISNUMBER(H531),F531&gt;G531,H531&gt;0),H531/(F531-G531)*1000,"")</f>
        <v/>
      </c>
      <c r="L531" s="11" t="str">
        <f aca="false">IF(K531="","",IF(K531&gt;=CONFIG!$E$21,CONFIG!$D$21,IF(K531&gt;=CONFIG!$E$20,CONFIG!$D$20,CONFIG!$D$19)))</f>
        <v/>
      </c>
      <c r="M531" s="20" t="str">
        <f aca="false">IF(K531="","",IF(K531&gt;=CONFIG!$E$21,CONFIG!$F$21,IF(K531&gt;=CONFIG!$E$20,CONFIG!$F$20,CONFIG!$F$19)))</f>
        <v/>
      </c>
      <c r="N531" s="19" t="str">
        <f aca="false">IF(I531="","",IF(I531&lt;=M531,"OK","ALTA"))</f>
        <v/>
      </c>
      <c r="O531" s="13"/>
    </row>
    <row r="532" customFormat="false" ht="15" hidden="false" customHeight="false" outlineLevel="0" collapsed="false">
      <c r="A532" s="11" t="str">
        <f aca="false">IF(C532="","",ROW()-4)</f>
        <v/>
      </c>
      <c r="B532" s="12"/>
      <c r="C532" s="13"/>
      <c r="D532" s="11" t="str">
        <f aca="false">IF(C532="","",IFERROR(INDEX(LOTES!$D$5:$D$1004,MATCH(C532,LOTES!$F$5:$F$1004,0)),"¿Lote?"))</f>
        <v/>
      </c>
      <c r="E532" s="11" t="str">
        <f aca="false">IF(C532="","",IFERROR(INDEX(LOTES!$C$5:$C$1004,MATCH(C532,LOTES!$F$5:$F$1004,0)),""))</f>
        <v/>
      </c>
      <c r="F532" s="27"/>
      <c r="G532" s="27"/>
      <c r="H532" s="27"/>
      <c r="I532" s="20" t="str">
        <f aca="false">IF(AND(ISNUMBER(F532),ISNUMBER(G532),ISNUMBER(H532),F532&gt;G532,H532&gt;0),(F532-H532)/(F532-G532)*1000,"")</f>
        <v/>
      </c>
      <c r="J532" s="17" t="str">
        <f aca="false">IF(AND(ISNUMBER(F532),ISNUMBER(G532),ISNUMBER(H532),F532&gt;G532,H532&gt;0),(F532-H532)/H532,"")</f>
        <v/>
      </c>
      <c r="K532" s="20" t="str">
        <f aca="false">IF(AND(ISNUMBER(F532),ISNUMBER(G532),ISNUMBER(H532),F532&gt;G532,H532&gt;0),H532/(F532-G532)*1000,"")</f>
        <v/>
      </c>
      <c r="L532" s="11" t="str">
        <f aca="false">IF(K532="","",IF(K532&gt;=CONFIG!$E$21,CONFIG!$D$21,IF(K532&gt;=CONFIG!$E$20,CONFIG!$D$20,CONFIG!$D$19)))</f>
        <v/>
      </c>
      <c r="M532" s="20" t="str">
        <f aca="false">IF(K532="","",IF(K532&gt;=CONFIG!$E$21,CONFIG!$F$21,IF(K532&gt;=CONFIG!$E$20,CONFIG!$F$20,CONFIG!$F$19)))</f>
        <v/>
      </c>
      <c r="N532" s="19" t="str">
        <f aca="false">IF(I532="","",IF(I532&lt;=M532,"OK","ALTA"))</f>
        <v/>
      </c>
      <c r="O532" s="13"/>
    </row>
    <row r="533" customFormat="false" ht="15" hidden="false" customHeight="false" outlineLevel="0" collapsed="false">
      <c r="A533" s="11" t="str">
        <f aca="false">IF(C533="","",ROW()-4)</f>
        <v/>
      </c>
      <c r="B533" s="12"/>
      <c r="C533" s="13"/>
      <c r="D533" s="11" t="str">
        <f aca="false">IF(C533="","",IFERROR(INDEX(LOTES!$D$5:$D$1004,MATCH(C533,LOTES!$F$5:$F$1004,0)),"¿Lote?"))</f>
        <v/>
      </c>
      <c r="E533" s="11" t="str">
        <f aca="false">IF(C533="","",IFERROR(INDEX(LOTES!$C$5:$C$1004,MATCH(C533,LOTES!$F$5:$F$1004,0)),""))</f>
        <v/>
      </c>
      <c r="F533" s="27"/>
      <c r="G533" s="27"/>
      <c r="H533" s="27"/>
      <c r="I533" s="20" t="str">
        <f aca="false">IF(AND(ISNUMBER(F533),ISNUMBER(G533),ISNUMBER(H533),F533&gt;G533,H533&gt;0),(F533-H533)/(F533-G533)*1000,"")</f>
        <v/>
      </c>
      <c r="J533" s="17" t="str">
        <f aca="false">IF(AND(ISNUMBER(F533),ISNUMBER(G533),ISNUMBER(H533),F533&gt;G533,H533&gt;0),(F533-H533)/H533,"")</f>
        <v/>
      </c>
      <c r="K533" s="20" t="str">
        <f aca="false">IF(AND(ISNUMBER(F533),ISNUMBER(G533),ISNUMBER(H533),F533&gt;G533,H533&gt;0),H533/(F533-G533)*1000,"")</f>
        <v/>
      </c>
      <c r="L533" s="11" t="str">
        <f aca="false">IF(K533="","",IF(K533&gt;=CONFIG!$E$21,CONFIG!$D$21,IF(K533&gt;=CONFIG!$E$20,CONFIG!$D$20,CONFIG!$D$19)))</f>
        <v/>
      </c>
      <c r="M533" s="20" t="str">
        <f aca="false">IF(K533="","",IF(K533&gt;=CONFIG!$E$21,CONFIG!$F$21,IF(K533&gt;=CONFIG!$E$20,CONFIG!$F$20,CONFIG!$F$19)))</f>
        <v/>
      </c>
      <c r="N533" s="19" t="str">
        <f aca="false">IF(I533="","",IF(I533&lt;=M533,"OK","ALTA"))</f>
        <v/>
      </c>
      <c r="O533" s="13"/>
    </row>
    <row r="534" customFormat="false" ht="15" hidden="false" customHeight="false" outlineLevel="0" collapsed="false">
      <c r="A534" s="11" t="str">
        <f aca="false">IF(C534="","",ROW()-4)</f>
        <v/>
      </c>
      <c r="B534" s="12"/>
      <c r="C534" s="13"/>
      <c r="D534" s="11" t="str">
        <f aca="false">IF(C534="","",IFERROR(INDEX(LOTES!$D$5:$D$1004,MATCH(C534,LOTES!$F$5:$F$1004,0)),"¿Lote?"))</f>
        <v/>
      </c>
      <c r="E534" s="11" t="str">
        <f aca="false">IF(C534="","",IFERROR(INDEX(LOTES!$C$5:$C$1004,MATCH(C534,LOTES!$F$5:$F$1004,0)),""))</f>
        <v/>
      </c>
      <c r="F534" s="27"/>
      <c r="G534" s="27"/>
      <c r="H534" s="27"/>
      <c r="I534" s="20" t="str">
        <f aca="false">IF(AND(ISNUMBER(F534),ISNUMBER(G534),ISNUMBER(H534),F534&gt;G534,H534&gt;0),(F534-H534)/(F534-G534)*1000,"")</f>
        <v/>
      </c>
      <c r="J534" s="17" t="str">
        <f aca="false">IF(AND(ISNUMBER(F534),ISNUMBER(G534),ISNUMBER(H534),F534&gt;G534,H534&gt;0),(F534-H534)/H534,"")</f>
        <v/>
      </c>
      <c r="K534" s="20" t="str">
        <f aca="false">IF(AND(ISNUMBER(F534),ISNUMBER(G534),ISNUMBER(H534),F534&gt;G534,H534&gt;0),H534/(F534-G534)*1000,"")</f>
        <v/>
      </c>
      <c r="L534" s="11" t="str">
        <f aca="false">IF(K534="","",IF(K534&gt;=CONFIG!$E$21,CONFIG!$D$21,IF(K534&gt;=CONFIG!$E$20,CONFIG!$D$20,CONFIG!$D$19)))</f>
        <v/>
      </c>
      <c r="M534" s="20" t="str">
        <f aca="false">IF(K534="","",IF(K534&gt;=CONFIG!$E$21,CONFIG!$F$21,IF(K534&gt;=CONFIG!$E$20,CONFIG!$F$20,CONFIG!$F$19)))</f>
        <v/>
      </c>
      <c r="N534" s="19" t="str">
        <f aca="false">IF(I534="","",IF(I534&lt;=M534,"OK","ALTA"))</f>
        <v/>
      </c>
      <c r="O534" s="13"/>
    </row>
    <row r="535" customFormat="false" ht="15" hidden="false" customHeight="false" outlineLevel="0" collapsed="false">
      <c r="A535" s="11" t="str">
        <f aca="false">IF(C535="","",ROW()-4)</f>
        <v/>
      </c>
      <c r="B535" s="12"/>
      <c r="C535" s="13"/>
      <c r="D535" s="11" t="str">
        <f aca="false">IF(C535="","",IFERROR(INDEX(LOTES!$D$5:$D$1004,MATCH(C535,LOTES!$F$5:$F$1004,0)),"¿Lote?"))</f>
        <v/>
      </c>
      <c r="E535" s="11" t="str">
        <f aca="false">IF(C535="","",IFERROR(INDEX(LOTES!$C$5:$C$1004,MATCH(C535,LOTES!$F$5:$F$1004,0)),""))</f>
        <v/>
      </c>
      <c r="F535" s="27"/>
      <c r="G535" s="27"/>
      <c r="H535" s="27"/>
      <c r="I535" s="20" t="str">
        <f aca="false">IF(AND(ISNUMBER(F535),ISNUMBER(G535),ISNUMBER(H535),F535&gt;G535,H535&gt;0),(F535-H535)/(F535-G535)*1000,"")</f>
        <v/>
      </c>
      <c r="J535" s="17" t="str">
        <f aca="false">IF(AND(ISNUMBER(F535),ISNUMBER(G535),ISNUMBER(H535),F535&gt;G535,H535&gt;0),(F535-H535)/H535,"")</f>
        <v/>
      </c>
      <c r="K535" s="20" t="str">
        <f aca="false">IF(AND(ISNUMBER(F535),ISNUMBER(G535),ISNUMBER(H535),F535&gt;G535,H535&gt;0),H535/(F535-G535)*1000,"")</f>
        <v/>
      </c>
      <c r="L535" s="11" t="str">
        <f aca="false">IF(K535="","",IF(K535&gt;=CONFIG!$E$21,CONFIG!$D$21,IF(K535&gt;=CONFIG!$E$20,CONFIG!$D$20,CONFIG!$D$19)))</f>
        <v/>
      </c>
      <c r="M535" s="20" t="str">
        <f aca="false">IF(K535="","",IF(K535&gt;=CONFIG!$E$21,CONFIG!$F$21,IF(K535&gt;=CONFIG!$E$20,CONFIG!$F$20,CONFIG!$F$19)))</f>
        <v/>
      </c>
      <c r="N535" s="19" t="str">
        <f aca="false">IF(I535="","",IF(I535&lt;=M535,"OK","ALTA"))</f>
        <v/>
      </c>
      <c r="O535" s="13"/>
    </row>
    <row r="536" customFormat="false" ht="15" hidden="false" customHeight="false" outlineLevel="0" collapsed="false">
      <c r="A536" s="11" t="str">
        <f aca="false">IF(C536="","",ROW()-4)</f>
        <v/>
      </c>
      <c r="B536" s="12"/>
      <c r="C536" s="13"/>
      <c r="D536" s="11" t="str">
        <f aca="false">IF(C536="","",IFERROR(INDEX(LOTES!$D$5:$D$1004,MATCH(C536,LOTES!$F$5:$F$1004,0)),"¿Lote?"))</f>
        <v/>
      </c>
      <c r="E536" s="11" t="str">
        <f aca="false">IF(C536="","",IFERROR(INDEX(LOTES!$C$5:$C$1004,MATCH(C536,LOTES!$F$5:$F$1004,0)),""))</f>
        <v/>
      </c>
      <c r="F536" s="27"/>
      <c r="G536" s="27"/>
      <c r="H536" s="27"/>
      <c r="I536" s="20" t="str">
        <f aca="false">IF(AND(ISNUMBER(F536),ISNUMBER(G536),ISNUMBER(H536),F536&gt;G536,H536&gt;0),(F536-H536)/(F536-G536)*1000,"")</f>
        <v/>
      </c>
      <c r="J536" s="17" t="str">
        <f aca="false">IF(AND(ISNUMBER(F536),ISNUMBER(G536),ISNUMBER(H536),F536&gt;G536,H536&gt;0),(F536-H536)/H536,"")</f>
        <v/>
      </c>
      <c r="K536" s="20" t="str">
        <f aca="false">IF(AND(ISNUMBER(F536),ISNUMBER(G536),ISNUMBER(H536),F536&gt;G536,H536&gt;0),H536/(F536-G536)*1000,"")</f>
        <v/>
      </c>
      <c r="L536" s="11" t="str">
        <f aca="false">IF(K536="","",IF(K536&gt;=CONFIG!$E$21,CONFIG!$D$21,IF(K536&gt;=CONFIG!$E$20,CONFIG!$D$20,CONFIG!$D$19)))</f>
        <v/>
      </c>
      <c r="M536" s="20" t="str">
        <f aca="false">IF(K536="","",IF(K536&gt;=CONFIG!$E$21,CONFIG!$F$21,IF(K536&gt;=CONFIG!$E$20,CONFIG!$F$20,CONFIG!$F$19)))</f>
        <v/>
      </c>
      <c r="N536" s="19" t="str">
        <f aca="false">IF(I536="","",IF(I536&lt;=M536,"OK","ALTA"))</f>
        <v/>
      </c>
      <c r="O536" s="13"/>
    </row>
    <row r="537" customFormat="false" ht="15" hidden="false" customHeight="false" outlineLevel="0" collapsed="false">
      <c r="A537" s="11" t="str">
        <f aca="false">IF(C537="","",ROW()-4)</f>
        <v/>
      </c>
      <c r="B537" s="12"/>
      <c r="C537" s="13"/>
      <c r="D537" s="11" t="str">
        <f aca="false">IF(C537="","",IFERROR(INDEX(LOTES!$D$5:$D$1004,MATCH(C537,LOTES!$F$5:$F$1004,0)),"¿Lote?"))</f>
        <v/>
      </c>
      <c r="E537" s="11" t="str">
        <f aca="false">IF(C537="","",IFERROR(INDEX(LOTES!$C$5:$C$1004,MATCH(C537,LOTES!$F$5:$F$1004,0)),""))</f>
        <v/>
      </c>
      <c r="F537" s="27"/>
      <c r="G537" s="27"/>
      <c r="H537" s="27"/>
      <c r="I537" s="20" t="str">
        <f aca="false">IF(AND(ISNUMBER(F537),ISNUMBER(G537),ISNUMBER(H537),F537&gt;G537,H537&gt;0),(F537-H537)/(F537-G537)*1000,"")</f>
        <v/>
      </c>
      <c r="J537" s="17" t="str">
        <f aca="false">IF(AND(ISNUMBER(F537),ISNUMBER(G537),ISNUMBER(H537),F537&gt;G537,H537&gt;0),(F537-H537)/H537,"")</f>
        <v/>
      </c>
      <c r="K537" s="20" t="str">
        <f aca="false">IF(AND(ISNUMBER(F537),ISNUMBER(G537),ISNUMBER(H537),F537&gt;G537,H537&gt;0),H537/(F537-G537)*1000,"")</f>
        <v/>
      </c>
      <c r="L537" s="11" t="str">
        <f aca="false">IF(K537="","",IF(K537&gt;=CONFIG!$E$21,CONFIG!$D$21,IF(K537&gt;=CONFIG!$E$20,CONFIG!$D$20,CONFIG!$D$19)))</f>
        <v/>
      </c>
      <c r="M537" s="20" t="str">
        <f aca="false">IF(K537="","",IF(K537&gt;=CONFIG!$E$21,CONFIG!$F$21,IF(K537&gt;=CONFIG!$E$20,CONFIG!$F$20,CONFIG!$F$19)))</f>
        <v/>
      </c>
      <c r="N537" s="19" t="str">
        <f aca="false">IF(I537="","",IF(I537&lt;=M537,"OK","ALTA"))</f>
        <v/>
      </c>
      <c r="O537" s="13"/>
    </row>
    <row r="538" customFormat="false" ht="15" hidden="false" customHeight="false" outlineLevel="0" collapsed="false">
      <c r="A538" s="11" t="str">
        <f aca="false">IF(C538="","",ROW()-4)</f>
        <v/>
      </c>
      <c r="B538" s="12"/>
      <c r="C538" s="13"/>
      <c r="D538" s="11" t="str">
        <f aca="false">IF(C538="","",IFERROR(INDEX(LOTES!$D$5:$D$1004,MATCH(C538,LOTES!$F$5:$F$1004,0)),"¿Lote?"))</f>
        <v/>
      </c>
      <c r="E538" s="11" t="str">
        <f aca="false">IF(C538="","",IFERROR(INDEX(LOTES!$C$5:$C$1004,MATCH(C538,LOTES!$F$5:$F$1004,0)),""))</f>
        <v/>
      </c>
      <c r="F538" s="27"/>
      <c r="G538" s="27"/>
      <c r="H538" s="27"/>
      <c r="I538" s="20" t="str">
        <f aca="false">IF(AND(ISNUMBER(F538),ISNUMBER(G538),ISNUMBER(H538),F538&gt;G538,H538&gt;0),(F538-H538)/(F538-G538)*1000,"")</f>
        <v/>
      </c>
      <c r="J538" s="17" t="str">
        <f aca="false">IF(AND(ISNUMBER(F538),ISNUMBER(G538),ISNUMBER(H538),F538&gt;G538,H538&gt;0),(F538-H538)/H538,"")</f>
        <v/>
      </c>
      <c r="K538" s="20" t="str">
        <f aca="false">IF(AND(ISNUMBER(F538),ISNUMBER(G538),ISNUMBER(H538),F538&gt;G538,H538&gt;0),H538/(F538-G538)*1000,"")</f>
        <v/>
      </c>
      <c r="L538" s="11" t="str">
        <f aca="false">IF(K538="","",IF(K538&gt;=CONFIG!$E$21,CONFIG!$D$21,IF(K538&gt;=CONFIG!$E$20,CONFIG!$D$20,CONFIG!$D$19)))</f>
        <v/>
      </c>
      <c r="M538" s="20" t="str">
        <f aca="false">IF(K538="","",IF(K538&gt;=CONFIG!$E$21,CONFIG!$F$21,IF(K538&gt;=CONFIG!$E$20,CONFIG!$F$20,CONFIG!$F$19)))</f>
        <v/>
      </c>
      <c r="N538" s="19" t="str">
        <f aca="false">IF(I538="","",IF(I538&lt;=M538,"OK","ALTA"))</f>
        <v/>
      </c>
      <c r="O538" s="13"/>
    </row>
    <row r="539" customFormat="false" ht="15" hidden="false" customHeight="false" outlineLevel="0" collapsed="false">
      <c r="A539" s="11" t="str">
        <f aca="false">IF(C539="","",ROW()-4)</f>
        <v/>
      </c>
      <c r="B539" s="12"/>
      <c r="C539" s="13"/>
      <c r="D539" s="11" t="str">
        <f aca="false">IF(C539="","",IFERROR(INDEX(LOTES!$D$5:$D$1004,MATCH(C539,LOTES!$F$5:$F$1004,0)),"¿Lote?"))</f>
        <v/>
      </c>
      <c r="E539" s="11" t="str">
        <f aca="false">IF(C539="","",IFERROR(INDEX(LOTES!$C$5:$C$1004,MATCH(C539,LOTES!$F$5:$F$1004,0)),""))</f>
        <v/>
      </c>
      <c r="F539" s="27"/>
      <c r="G539" s="27"/>
      <c r="H539" s="27"/>
      <c r="I539" s="20" t="str">
        <f aca="false">IF(AND(ISNUMBER(F539),ISNUMBER(G539),ISNUMBER(H539),F539&gt;G539,H539&gt;0),(F539-H539)/(F539-G539)*1000,"")</f>
        <v/>
      </c>
      <c r="J539" s="17" t="str">
        <f aca="false">IF(AND(ISNUMBER(F539),ISNUMBER(G539),ISNUMBER(H539),F539&gt;G539,H539&gt;0),(F539-H539)/H539,"")</f>
        <v/>
      </c>
      <c r="K539" s="20" t="str">
        <f aca="false">IF(AND(ISNUMBER(F539),ISNUMBER(G539),ISNUMBER(H539),F539&gt;G539,H539&gt;0),H539/(F539-G539)*1000,"")</f>
        <v/>
      </c>
      <c r="L539" s="11" t="str">
        <f aca="false">IF(K539="","",IF(K539&gt;=CONFIG!$E$21,CONFIG!$D$21,IF(K539&gt;=CONFIG!$E$20,CONFIG!$D$20,CONFIG!$D$19)))</f>
        <v/>
      </c>
      <c r="M539" s="20" t="str">
        <f aca="false">IF(K539="","",IF(K539&gt;=CONFIG!$E$21,CONFIG!$F$21,IF(K539&gt;=CONFIG!$E$20,CONFIG!$F$20,CONFIG!$F$19)))</f>
        <v/>
      </c>
      <c r="N539" s="19" t="str">
        <f aca="false">IF(I539="","",IF(I539&lt;=M539,"OK","ALTA"))</f>
        <v/>
      </c>
      <c r="O539" s="13"/>
    </row>
    <row r="540" customFormat="false" ht="15" hidden="false" customHeight="false" outlineLevel="0" collapsed="false">
      <c r="A540" s="11" t="str">
        <f aca="false">IF(C540="","",ROW()-4)</f>
        <v/>
      </c>
      <c r="B540" s="12"/>
      <c r="C540" s="13"/>
      <c r="D540" s="11" t="str">
        <f aca="false">IF(C540="","",IFERROR(INDEX(LOTES!$D$5:$D$1004,MATCH(C540,LOTES!$F$5:$F$1004,0)),"¿Lote?"))</f>
        <v/>
      </c>
      <c r="E540" s="11" t="str">
        <f aca="false">IF(C540="","",IFERROR(INDEX(LOTES!$C$5:$C$1004,MATCH(C540,LOTES!$F$5:$F$1004,0)),""))</f>
        <v/>
      </c>
      <c r="F540" s="27"/>
      <c r="G540" s="27"/>
      <c r="H540" s="27"/>
      <c r="I540" s="20" t="str">
        <f aca="false">IF(AND(ISNUMBER(F540),ISNUMBER(G540),ISNUMBER(H540),F540&gt;G540,H540&gt;0),(F540-H540)/(F540-G540)*1000,"")</f>
        <v/>
      </c>
      <c r="J540" s="17" t="str">
        <f aca="false">IF(AND(ISNUMBER(F540),ISNUMBER(G540),ISNUMBER(H540),F540&gt;G540,H540&gt;0),(F540-H540)/H540,"")</f>
        <v/>
      </c>
      <c r="K540" s="20" t="str">
        <f aca="false">IF(AND(ISNUMBER(F540),ISNUMBER(G540),ISNUMBER(H540),F540&gt;G540,H540&gt;0),H540/(F540-G540)*1000,"")</f>
        <v/>
      </c>
      <c r="L540" s="11" t="str">
        <f aca="false">IF(K540="","",IF(K540&gt;=CONFIG!$E$21,CONFIG!$D$21,IF(K540&gt;=CONFIG!$E$20,CONFIG!$D$20,CONFIG!$D$19)))</f>
        <v/>
      </c>
      <c r="M540" s="20" t="str">
        <f aca="false">IF(K540="","",IF(K540&gt;=CONFIG!$E$21,CONFIG!$F$21,IF(K540&gt;=CONFIG!$E$20,CONFIG!$F$20,CONFIG!$F$19)))</f>
        <v/>
      </c>
      <c r="N540" s="19" t="str">
        <f aca="false">IF(I540="","",IF(I540&lt;=M540,"OK","ALTA"))</f>
        <v/>
      </c>
      <c r="O540" s="13"/>
    </row>
    <row r="541" customFormat="false" ht="15" hidden="false" customHeight="false" outlineLevel="0" collapsed="false">
      <c r="A541" s="11" t="str">
        <f aca="false">IF(C541="","",ROW()-4)</f>
        <v/>
      </c>
      <c r="B541" s="12"/>
      <c r="C541" s="13"/>
      <c r="D541" s="11" t="str">
        <f aca="false">IF(C541="","",IFERROR(INDEX(LOTES!$D$5:$D$1004,MATCH(C541,LOTES!$F$5:$F$1004,0)),"¿Lote?"))</f>
        <v/>
      </c>
      <c r="E541" s="11" t="str">
        <f aca="false">IF(C541="","",IFERROR(INDEX(LOTES!$C$5:$C$1004,MATCH(C541,LOTES!$F$5:$F$1004,0)),""))</f>
        <v/>
      </c>
      <c r="F541" s="27"/>
      <c r="G541" s="27"/>
      <c r="H541" s="27"/>
      <c r="I541" s="20" t="str">
        <f aca="false">IF(AND(ISNUMBER(F541),ISNUMBER(G541),ISNUMBER(H541),F541&gt;G541,H541&gt;0),(F541-H541)/(F541-G541)*1000,"")</f>
        <v/>
      </c>
      <c r="J541" s="17" t="str">
        <f aca="false">IF(AND(ISNUMBER(F541),ISNUMBER(G541),ISNUMBER(H541),F541&gt;G541,H541&gt;0),(F541-H541)/H541,"")</f>
        <v/>
      </c>
      <c r="K541" s="20" t="str">
        <f aca="false">IF(AND(ISNUMBER(F541),ISNUMBER(G541),ISNUMBER(H541),F541&gt;G541,H541&gt;0),H541/(F541-G541)*1000,"")</f>
        <v/>
      </c>
      <c r="L541" s="11" t="str">
        <f aca="false">IF(K541="","",IF(K541&gt;=CONFIG!$E$21,CONFIG!$D$21,IF(K541&gt;=CONFIG!$E$20,CONFIG!$D$20,CONFIG!$D$19)))</f>
        <v/>
      </c>
      <c r="M541" s="20" t="str">
        <f aca="false">IF(K541="","",IF(K541&gt;=CONFIG!$E$21,CONFIG!$F$21,IF(K541&gt;=CONFIG!$E$20,CONFIG!$F$20,CONFIG!$F$19)))</f>
        <v/>
      </c>
      <c r="N541" s="19" t="str">
        <f aca="false">IF(I541="","",IF(I541&lt;=M541,"OK","ALTA"))</f>
        <v/>
      </c>
      <c r="O541" s="13"/>
    </row>
    <row r="542" customFormat="false" ht="15" hidden="false" customHeight="false" outlineLevel="0" collapsed="false">
      <c r="A542" s="11" t="str">
        <f aca="false">IF(C542="","",ROW()-4)</f>
        <v/>
      </c>
      <c r="B542" s="12"/>
      <c r="C542" s="13"/>
      <c r="D542" s="11" t="str">
        <f aca="false">IF(C542="","",IFERROR(INDEX(LOTES!$D$5:$D$1004,MATCH(C542,LOTES!$F$5:$F$1004,0)),"¿Lote?"))</f>
        <v/>
      </c>
      <c r="E542" s="11" t="str">
        <f aca="false">IF(C542="","",IFERROR(INDEX(LOTES!$C$5:$C$1004,MATCH(C542,LOTES!$F$5:$F$1004,0)),""))</f>
        <v/>
      </c>
      <c r="F542" s="27"/>
      <c r="G542" s="27"/>
      <c r="H542" s="27"/>
      <c r="I542" s="20" t="str">
        <f aca="false">IF(AND(ISNUMBER(F542),ISNUMBER(G542),ISNUMBER(H542),F542&gt;G542,H542&gt;0),(F542-H542)/(F542-G542)*1000,"")</f>
        <v/>
      </c>
      <c r="J542" s="17" t="str">
        <f aca="false">IF(AND(ISNUMBER(F542),ISNUMBER(G542),ISNUMBER(H542),F542&gt;G542,H542&gt;0),(F542-H542)/H542,"")</f>
        <v/>
      </c>
      <c r="K542" s="20" t="str">
        <f aca="false">IF(AND(ISNUMBER(F542),ISNUMBER(G542),ISNUMBER(H542),F542&gt;G542,H542&gt;0),H542/(F542-G542)*1000,"")</f>
        <v/>
      </c>
      <c r="L542" s="11" t="str">
        <f aca="false">IF(K542="","",IF(K542&gt;=CONFIG!$E$21,CONFIG!$D$21,IF(K542&gt;=CONFIG!$E$20,CONFIG!$D$20,CONFIG!$D$19)))</f>
        <v/>
      </c>
      <c r="M542" s="20" t="str">
        <f aca="false">IF(K542="","",IF(K542&gt;=CONFIG!$E$21,CONFIG!$F$21,IF(K542&gt;=CONFIG!$E$20,CONFIG!$F$20,CONFIG!$F$19)))</f>
        <v/>
      </c>
      <c r="N542" s="19" t="str">
        <f aca="false">IF(I542="","",IF(I542&lt;=M542,"OK","ALTA"))</f>
        <v/>
      </c>
      <c r="O542" s="13"/>
    </row>
    <row r="543" customFormat="false" ht="15" hidden="false" customHeight="false" outlineLevel="0" collapsed="false">
      <c r="A543" s="11" t="str">
        <f aca="false">IF(C543="","",ROW()-4)</f>
        <v/>
      </c>
      <c r="B543" s="12"/>
      <c r="C543" s="13"/>
      <c r="D543" s="11" t="str">
        <f aca="false">IF(C543="","",IFERROR(INDEX(LOTES!$D$5:$D$1004,MATCH(C543,LOTES!$F$5:$F$1004,0)),"¿Lote?"))</f>
        <v/>
      </c>
      <c r="E543" s="11" t="str">
        <f aca="false">IF(C543="","",IFERROR(INDEX(LOTES!$C$5:$C$1004,MATCH(C543,LOTES!$F$5:$F$1004,0)),""))</f>
        <v/>
      </c>
      <c r="F543" s="27"/>
      <c r="G543" s="27"/>
      <c r="H543" s="27"/>
      <c r="I543" s="20" t="str">
        <f aca="false">IF(AND(ISNUMBER(F543),ISNUMBER(G543),ISNUMBER(H543),F543&gt;G543,H543&gt;0),(F543-H543)/(F543-G543)*1000,"")</f>
        <v/>
      </c>
      <c r="J543" s="17" t="str">
        <f aca="false">IF(AND(ISNUMBER(F543),ISNUMBER(G543),ISNUMBER(H543),F543&gt;G543,H543&gt;0),(F543-H543)/H543,"")</f>
        <v/>
      </c>
      <c r="K543" s="20" t="str">
        <f aca="false">IF(AND(ISNUMBER(F543),ISNUMBER(G543),ISNUMBER(H543),F543&gt;G543,H543&gt;0),H543/(F543-G543)*1000,"")</f>
        <v/>
      </c>
      <c r="L543" s="11" t="str">
        <f aca="false">IF(K543="","",IF(K543&gt;=CONFIG!$E$21,CONFIG!$D$21,IF(K543&gt;=CONFIG!$E$20,CONFIG!$D$20,CONFIG!$D$19)))</f>
        <v/>
      </c>
      <c r="M543" s="20" t="str">
        <f aca="false">IF(K543="","",IF(K543&gt;=CONFIG!$E$21,CONFIG!$F$21,IF(K543&gt;=CONFIG!$E$20,CONFIG!$F$20,CONFIG!$F$19)))</f>
        <v/>
      </c>
      <c r="N543" s="19" t="str">
        <f aca="false">IF(I543="","",IF(I543&lt;=M543,"OK","ALTA"))</f>
        <v/>
      </c>
      <c r="O543" s="13"/>
    </row>
    <row r="544" customFormat="false" ht="15" hidden="false" customHeight="false" outlineLevel="0" collapsed="false">
      <c r="A544" s="11" t="str">
        <f aca="false">IF(C544="","",ROW()-4)</f>
        <v/>
      </c>
      <c r="B544" s="12"/>
      <c r="C544" s="13"/>
      <c r="D544" s="11" t="str">
        <f aca="false">IF(C544="","",IFERROR(INDEX(LOTES!$D$5:$D$1004,MATCH(C544,LOTES!$F$5:$F$1004,0)),"¿Lote?"))</f>
        <v/>
      </c>
      <c r="E544" s="11" t="str">
        <f aca="false">IF(C544="","",IFERROR(INDEX(LOTES!$C$5:$C$1004,MATCH(C544,LOTES!$F$5:$F$1004,0)),""))</f>
        <v/>
      </c>
      <c r="F544" s="27"/>
      <c r="G544" s="27"/>
      <c r="H544" s="27"/>
      <c r="I544" s="20" t="str">
        <f aca="false">IF(AND(ISNUMBER(F544),ISNUMBER(G544),ISNUMBER(H544),F544&gt;G544,H544&gt;0),(F544-H544)/(F544-G544)*1000,"")</f>
        <v/>
      </c>
      <c r="J544" s="17" t="str">
        <f aca="false">IF(AND(ISNUMBER(F544),ISNUMBER(G544),ISNUMBER(H544),F544&gt;G544,H544&gt;0),(F544-H544)/H544,"")</f>
        <v/>
      </c>
      <c r="K544" s="20" t="str">
        <f aca="false">IF(AND(ISNUMBER(F544),ISNUMBER(G544),ISNUMBER(H544),F544&gt;G544,H544&gt;0),H544/(F544-G544)*1000,"")</f>
        <v/>
      </c>
      <c r="L544" s="11" t="str">
        <f aca="false">IF(K544="","",IF(K544&gt;=CONFIG!$E$21,CONFIG!$D$21,IF(K544&gt;=CONFIG!$E$20,CONFIG!$D$20,CONFIG!$D$19)))</f>
        <v/>
      </c>
      <c r="M544" s="20" t="str">
        <f aca="false">IF(K544="","",IF(K544&gt;=CONFIG!$E$21,CONFIG!$F$21,IF(K544&gt;=CONFIG!$E$20,CONFIG!$F$20,CONFIG!$F$19)))</f>
        <v/>
      </c>
      <c r="N544" s="19" t="str">
        <f aca="false">IF(I544="","",IF(I544&lt;=M544,"OK","ALTA"))</f>
        <v/>
      </c>
      <c r="O544" s="13"/>
    </row>
    <row r="545" customFormat="false" ht="15" hidden="false" customHeight="false" outlineLevel="0" collapsed="false">
      <c r="A545" s="11" t="str">
        <f aca="false">IF(C545="","",ROW()-4)</f>
        <v/>
      </c>
      <c r="B545" s="12"/>
      <c r="C545" s="13"/>
      <c r="D545" s="11" t="str">
        <f aca="false">IF(C545="","",IFERROR(INDEX(LOTES!$D$5:$D$1004,MATCH(C545,LOTES!$F$5:$F$1004,0)),"¿Lote?"))</f>
        <v/>
      </c>
      <c r="E545" s="11" t="str">
        <f aca="false">IF(C545="","",IFERROR(INDEX(LOTES!$C$5:$C$1004,MATCH(C545,LOTES!$F$5:$F$1004,0)),""))</f>
        <v/>
      </c>
      <c r="F545" s="27"/>
      <c r="G545" s="27"/>
      <c r="H545" s="27"/>
      <c r="I545" s="20" t="str">
        <f aca="false">IF(AND(ISNUMBER(F545),ISNUMBER(G545),ISNUMBER(H545),F545&gt;G545,H545&gt;0),(F545-H545)/(F545-G545)*1000,"")</f>
        <v/>
      </c>
      <c r="J545" s="17" t="str">
        <f aca="false">IF(AND(ISNUMBER(F545),ISNUMBER(G545),ISNUMBER(H545),F545&gt;G545,H545&gt;0),(F545-H545)/H545,"")</f>
        <v/>
      </c>
      <c r="K545" s="20" t="str">
        <f aca="false">IF(AND(ISNUMBER(F545),ISNUMBER(G545),ISNUMBER(H545),F545&gt;G545,H545&gt;0),H545/(F545-G545)*1000,"")</f>
        <v/>
      </c>
      <c r="L545" s="11" t="str">
        <f aca="false">IF(K545="","",IF(K545&gt;=CONFIG!$E$21,CONFIG!$D$21,IF(K545&gt;=CONFIG!$E$20,CONFIG!$D$20,CONFIG!$D$19)))</f>
        <v/>
      </c>
      <c r="M545" s="20" t="str">
        <f aca="false">IF(K545="","",IF(K545&gt;=CONFIG!$E$21,CONFIG!$F$21,IF(K545&gt;=CONFIG!$E$20,CONFIG!$F$20,CONFIG!$F$19)))</f>
        <v/>
      </c>
      <c r="N545" s="19" t="str">
        <f aca="false">IF(I545="","",IF(I545&lt;=M545,"OK","ALTA"))</f>
        <v/>
      </c>
      <c r="O545" s="13"/>
    </row>
    <row r="546" customFormat="false" ht="15" hidden="false" customHeight="false" outlineLevel="0" collapsed="false">
      <c r="A546" s="11" t="str">
        <f aca="false">IF(C546="","",ROW()-4)</f>
        <v/>
      </c>
      <c r="B546" s="12"/>
      <c r="C546" s="13"/>
      <c r="D546" s="11" t="str">
        <f aca="false">IF(C546="","",IFERROR(INDEX(LOTES!$D$5:$D$1004,MATCH(C546,LOTES!$F$5:$F$1004,0)),"¿Lote?"))</f>
        <v/>
      </c>
      <c r="E546" s="11" t="str">
        <f aca="false">IF(C546="","",IFERROR(INDEX(LOTES!$C$5:$C$1004,MATCH(C546,LOTES!$F$5:$F$1004,0)),""))</f>
        <v/>
      </c>
      <c r="F546" s="27"/>
      <c r="G546" s="27"/>
      <c r="H546" s="27"/>
      <c r="I546" s="20" t="str">
        <f aca="false">IF(AND(ISNUMBER(F546),ISNUMBER(G546),ISNUMBER(H546),F546&gt;G546,H546&gt;0),(F546-H546)/(F546-G546)*1000,"")</f>
        <v/>
      </c>
      <c r="J546" s="17" t="str">
        <f aca="false">IF(AND(ISNUMBER(F546),ISNUMBER(G546),ISNUMBER(H546),F546&gt;G546,H546&gt;0),(F546-H546)/H546,"")</f>
        <v/>
      </c>
      <c r="K546" s="20" t="str">
        <f aca="false">IF(AND(ISNUMBER(F546),ISNUMBER(G546),ISNUMBER(H546),F546&gt;G546,H546&gt;0),H546/(F546-G546)*1000,"")</f>
        <v/>
      </c>
      <c r="L546" s="11" t="str">
        <f aca="false">IF(K546="","",IF(K546&gt;=CONFIG!$E$21,CONFIG!$D$21,IF(K546&gt;=CONFIG!$E$20,CONFIG!$D$20,CONFIG!$D$19)))</f>
        <v/>
      </c>
      <c r="M546" s="20" t="str">
        <f aca="false">IF(K546="","",IF(K546&gt;=CONFIG!$E$21,CONFIG!$F$21,IF(K546&gt;=CONFIG!$E$20,CONFIG!$F$20,CONFIG!$F$19)))</f>
        <v/>
      </c>
      <c r="N546" s="19" t="str">
        <f aca="false">IF(I546="","",IF(I546&lt;=M546,"OK","ALTA"))</f>
        <v/>
      </c>
      <c r="O546" s="13"/>
    </row>
    <row r="547" customFormat="false" ht="15" hidden="false" customHeight="false" outlineLevel="0" collapsed="false">
      <c r="A547" s="11" t="str">
        <f aca="false">IF(C547="","",ROW()-4)</f>
        <v/>
      </c>
      <c r="B547" s="12"/>
      <c r="C547" s="13"/>
      <c r="D547" s="11" t="str">
        <f aca="false">IF(C547="","",IFERROR(INDEX(LOTES!$D$5:$D$1004,MATCH(C547,LOTES!$F$5:$F$1004,0)),"¿Lote?"))</f>
        <v/>
      </c>
      <c r="E547" s="11" t="str">
        <f aca="false">IF(C547="","",IFERROR(INDEX(LOTES!$C$5:$C$1004,MATCH(C547,LOTES!$F$5:$F$1004,0)),""))</f>
        <v/>
      </c>
      <c r="F547" s="27"/>
      <c r="G547" s="27"/>
      <c r="H547" s="27"/>
      <c r="I547" s="20" t="str">
        <f aca="false">IF(AND(ISNUMBER(F547),ISNUMBER(G547),ISNUMBER(H547),F547&gt;G547,H547&gt;0),(F547-H547)/(F547-G547)*1000,"")</f>
        <v/>
      </c>
      <c r="J547" s="17" t="str">
        <f aca="false">IF(AND(ISNUMBER(F547),ISNUMBER(G547),ISNUMBER(H547),F547&gt;G547,H547&gt;0),(F547-H547)/H547,"")</f>
        <v/>
      </c>
      <c r="K547" s="20" t="str">
        <f aca="false">IF(AND(ISNUMBER(F547),ISNUMBER(G547),ISNUMBER(H547),F547&gt;G547,H547&gt;0),H547/(F547-G547)*1000,"")</f>
        <v/>
      </c>
      <c r="L547" s="11" t="str">
        <f aca="false">IF(K547="","",IF(K547&gt;=CONFIG!$E$21,CONFIG!$D$21,IF(K547&gt;=CONFIG!$E$20,CONFIG!$D$20,CONFIG!$D$19)))</f>
        <v/>
      </c>
      <c r="M547" s="20" t="str">
        <f aca="false">IF(K547="","",IF(K547&gt;=CONFIG!$E$21,CONFIG!$F$21,IF(K547&gt;=CONFIG!$E$20,CONFIG!$F$20,CONFIG!$F$19)))</f>
        <v/>
      </c>
      <c r="N547" s="19" t="str">
        <f aca="false">IF(I547="","",IF(I547&lt;=M547,"OK","ALTA"))</f>
        <v/>
      </c>
      <c r="O547" s="13"/>
    </row>
    <row r="548" customFormat="false" ht="15" hidden="false" customHeight="false" outlineLevel="0" collapsed="false">
      <c r="A548" s="11" t="str">
        <f aca="false">IF(C548="","",ROW()-4)</f>
        <v/>
      </c>
      <c r="B548" s="12"/>
      <c r="C548" s="13"/>
      <c r="D548" s="11" t="str">
        <f aca="false">IF(C548="","",IFERROR(INDEX(LOTES!$D$5:$D$1004,MATCH(C548,LOTES!$F$5:$F$1004,0)),"¿Lote?"))</f>
        <v/>
      </c>
      <c r="E548" s="11" t="str">
        <f aca="false">IF(C548="","",IFERROR(INDEX(LOTES!$C$5:$C$1004,MATCH(C548,LOTES!$F$5:$F$1004,0)),""))</f>
        <v/>
      </c>
      <c r="F548" s="27"/>
      <c r="G548" s="27"/>
      <c r="H548" s="27"/>
      <c r="I548" s="20" t="str">
        <f aca="false">IF(AND(ISNUMBER(F548),ISNUMBER(G548),ISNUMBER(H548),F548&gt;G548,H548&gt;0),(F548-H548)/(F548-G548)*1000,"")</f>
        <v/>
      </c>
      <c r="J548" s="17" t="str">
        <f aca="false">IF(AND(ISNUMBER(F548),ISNUMBER(G548),ISNUMBER(H548),F548&gt;G548,H548&gt;0),(F548-H548)/H548,"")</f>
        <v/>
      </c>
      <c r="K548" s="20" t="str">
        <f aca="false">IF(AND(ISNUMBER(F548),ISNUMBER(G548),ISNUMBER(H548),F548&gt;G548,H548&gt;0),H548/(F548-G548)*1000,"")</f>
        <v/>
      </c>
      <c r="L548" s="11" t="str">
        <f aca="false">IF(K548="","",IF(K548&gt;=CONFIG!$E$21,CONFIG!$D$21,IF(K548&gt;=CONFIG!$E$20,CONFIG!$D$20,CONFIG!$D$19)))</f>
        <v/>
      </c>
      <c r="M548" s="20" t="str">
        <f aca="false">IF(K548="","",IF(K548&gt;=CONFIG!$E$21,CONFIG!$F$21,IF(K548&gt;=CONFIG!$E$20,CONFIG!$F$20,CONFIG!$F$19)))</f>
        <v/>
      </c>
      <c r="N548" s="19" t="str">
        <f aca="false">IF(I548="","",IF(I548&lt;=M548,"OK","ALTA"))</f>
        <v/>
      </c>
      <c r="O548" s="13"/>
    </row>
    <row r="549" customFormat="false" ht="15" hidden="false" customHeight="false" outlineLevel="0" collapsed="false">
      <c r="A549" s="11" t="str">
        <f aca="false">IF(C549="","",ROW()-4)</f>
        <v/>
      </c>
      <c r="B549" s="12"/>
      <c r="C549" s="13"/>
      <c r="D549" s="11" t="str">
        <f aca="false">IF(C549="","",IFERROR(INDEX(LOTES!$D$5:$D$1004,MATCH(C549,LOTES!$F$5:$F$1004,0)),"¿Lote?"))</f>
        <v/>
      </c>
      <c r="E549" s="11" t="str">
        <f aca="false">IF(C549="","",IFERROR(INDEX(LOTES!$C$5:$C$1004,MATCH(C549,LOTES!$F$5:$F$1004,0)),""))</f>
        <v/>
      </c>
      <c r="F549" s="27"/>
      <c r="G549" s="27"/>
      <c r="H549" s="27"/>
      <c r="I549" s="20" t="str">
        <f aca="false">IF(AND(ISNUMBER(F549),ISNUMBER(G549),ISNUMBER(H549),F549&gt;G549,H549&gt;0),(F549-H549)/(F549-G549)*1000,"")</f>
        <v/>
      </c>
      <c r="J549" s="17" t="str">
        <f aca="false">IF(AND(ISNUMBER(F549),ISNUMBER(G549),ISNUMBER(H549),F549&gt;G549,H549&gt;0),(F549-H549)/H549,"")</f>
        <v/>
      </c>
      <c r="K549" s="20" t="str">
        <f aca="false">IF(AND(ISNUMBER(F549),ISNUMBER(G549),ISNUMBER(H549),F549&gt;G549,H549&gt;0),H549/(F549-G549)*1000,"")</f>
        <v/>
      </c>
      <c r="L549" s="11" t="str">
        <f aca="false">IF(K549="","",IF(K549&gt;=CONFIG!$E$21,CONFIG!$D$21,IF(K549&gt;=CONFIG!$E$20,CONFIG!$D$20,CONFIG!$D$19)))</f>
        <v/>
      </c>
      <c r="M549" s="20" t="str">
        <f aca="false">IF(K549="","",IF(K549&gt;=CONFIG!$E$21,CONFIG!$F$21,IF(K549&gt;=CONFIG!$E$20,CONFIG!$F$20,CONFIG!$F$19)))</f>
        <v/>
      </c>
      <c r="N549" s="19" t="str">
        <f aca="false">IF(I549="","",IF(I549&lt;=M549,"OK","ALTA"))</f>
        <v/>
      </c>
      <c r="O549" s="13"/>
    </row>
    <row r="550" customFormat="false" ht="15" hidden="false" customHeight="false" outlineLevel="0" collapsed="false">
      <c r="A550" s="11" t="str">
        <f aca="false">IF(C550="","",ROW()-4)</f>
        <v/>
      </c>
      <c r="B550" s="12"/>
      <c r="C550" s="13"/>
      <c r="D550" s="11" t="str">
        <f aca="false">IF(C550="","",IFERROR(INDEX(LOTES!$D$5:$D$1004,MATCH(C550,LOTES!$F$5:$F$1004,0)),"¿Lote?"))</f>
        <v/>
      </c>
      <c r="E550" s="11" t="str">
        <f aca="false">IF(C550="","",IFERROR(INDEX(LOTES!$C$5:$C$1004,MATCH(C550,LOTES!$F$5:$F$1004,0)),""))</f>
        <v/>
      </c>
      <c r="F550" s="27"/>
      <c r="G550" s="27"/>
      <c r="H550" s="27"/>
      <c r="I550" s="20" t="str">
        <f aca="false">IF(AND(ISNUMBER(F550),ISNUMBER(G550),ISNUMBER(H550),F550&gt;G550,H550&gt;0),(F550-H550)/(F550-G550)*1000,"")</f>
        <v/>
      </c>
      <c r="J550" s="17" t="str">
        <f aca="false">IF(AND(ISNUMBER(F550),ISNUMBER(G550),ISNUMBER(H550),F550&gt;G550,H550&gt;0),(F550-H550)/H550,"")</f>
        <v/>
      </c>
      <c r="K550" s="20" t="str">
        <f aca="false">IF(AND(ISNUMBER(F550),ISNUMBER(G550),ISNUMBER(H550),F550&gt;G550,H550&gt;0),H550/(F550-G550)*1000,"")</f>
        <v/>
      </c>
      <c r="L550" s="11" t="str">
        <f aca="false">IF(K550="","",IF(K550&gt;=CONFIG!$E$21,CONFIG!$D$21,IF(K550&gt;=CONFIG!$E$20,CONFIG!$D$20,CONFIG!$D$19)))</f>
        <v/>
      </c>
      <c r="M550" s="20" t="str">
        <f aca="false">IF(K550="","",IF(K550&gt;=CONFIG!$E$21,CONFIG!$F$21,IF(K550&gt;=CONFIG!$E$20,CONFIG!$F$20,CONFIG!$F$19)))</f>
        <v/>
      </c>
      <c r="N550" s="19" t="str">
        <f aca="false">IF(I550="","",IF(I550&lt;=M550,"OK","ALTA"))</f>
        <v/>
      </c>
      <c r="O550" s="13"/>
    </row>
    <row r="551" customFormat="false" ht="15" hidden="false" customHeight="false" outlineLevel="0" collapsed="false">
      <c r="A551" s="11" t="str">
        <f aca="false">IF(C551="","",ROW()-4)</f>
        <v/>
      </c>
      <c r="B551" s="12"/>
      <c r="C551" s="13"/>
      <c r="D551" s="11" t="str">
        <f aca="false">IF(C551="","",IFERROR(INDEX(LOTES!$D$5:$D$1004,MATCH(C551,LOTES!$F$5:$F$1004,0)),"¿Lote?"))</f>
        <v/>
      </c>
      <c r="E551" s="11" t="str">
        <f aca="false">IF(C551="","",IFERROR(INDEX(LOTES!$C$5:$C$1004,MATCH(C551,LOTES!$F$5:$F$1004,0)),""))</f>
        <v/>
      </c>
      <c r="F551" s="27"/>
      <c r="G551" s="27"/>
      <c r="H551" s="27"/>
      <c r="I551" s="20" t="str">
        <f aca="false">IF(AND(ISNUMBER(F551),ISNUMBER(G551),ISNUMBER(H551),F551&gt;G551,H551&gt;0),(F551-H551)/(F551-G551)*1000,"")</f>
        <v/>
      </c>
      <c r="J551" s="17" t="str">
        <f aca="false">IF(AND(ISNUMBER(F551),ISNUMBER(G551),ISNUMBER(H551),F551&gt;G551,H551&gt;0),(F551-H551)/H551,"")</f>
        <v/>
      </c>
      <c r="K551" s="20" t="str">
        <f aca="false">IF(AND(ISNUMBER(F551),ISNUMBER(G551),ISNUMBER(H551),F551&gt;G551,H551&gt;0),H551/(F551-G551)*1000,"")</f>
        <v/>
      </c>
      <c r="L551" s="11" t="str">
        <f aca="false">IF(K551="","",IF(K551&gt;=CONFIG!$E$21,CONFIG!$D$21,IF(K551&gt;=CONFIG!$E$20,CONFIG!$D$20,CONFIG!$D$19)))</f>
        <v/>
      </c>
      <c r="M551" s="20" t="str">
        <f aca="false">IF(K551="","",IF(K551&gt;=CONFIG!$E$21,CONFIG!$F$21,IF(K551&gt;=CONFIG!$E$20,CONFIG!$F$20,CONFIG!$F$19)))</f>
        <v/>
      </c>
      <c r="N551" s="19" t="str">
        <f aca="false">IF(I551="","",IF(I551&lt;=M551,"OK","ALTA"))</f>
        <v/>
      </c>
      <c r="O551" s="13"/>
    </row>
    <row r="552" customFormat="false" ht="15" hidden="false" customHeight="false" outlineLevel="0" collapsed="false">
      <c r="A552" s="11" t="str">
        <f aca="false">IF(C552="","",ROW()-4)</f>
        <v/>
      </c>
      <c r="B552" s="12"/>
      <c r="C552" s="13"/>
      <c r="D552" s="11" t="str">
        <f aca="false">IF(C552="","",IFERROR(INDEX(LOTES!$D$5:$D$1004,MATCH(C552,LOTES!$F$5:$F$1004,0)),"¿Lote?"))</f>
        <v/>
      </c>
      <c r="E552" s="11" t="str">
        <f aca="false">IF(C552="","",IFERROR(INDEX(LOTES!$C$5:$C$1004,MATCH(C552,LOTES!$F$5:$F$1004,0)),""))</f>
        <v/>
      </c>
      <c r="F552" s="27"/>
      <c r="G552" s="27"/>
      <c r="H552" s="27"/>
      <c r="I552" s="20" t="str">
        <f aca="false">IF(AND(ISNUMBER(F552),ISNUMBER(G552),ISNUMBER(H552),F552&gt;G552,H552&gt;0),(F552-H552)/(F552-G552)*1000,"")</f>
        <v/>
      </c>
      <c r="J552" s="17" t="str">
        <f aca="false">IF(AND(ISNUMBER(F552),ISNUMBER(G552),ISNUMBER(H552),F552&gt;G552,H552&gt;0),(F552-H552)/H552,"")</f>
        <v/>
      </c>
      <c r="K552" s="20" t="str">
        <f aca="false">IF(AND(ISNUMBER(F552),ISNUMBER(G552),ISNUMBER(H552),F552&gt;G552,H552&gt;0),H552/(F552-G552)*1000,"")</f>
        <v/>
      </c>
      <c r="L552" s="11" t="str">
        <f aca="false">IF(K552="","",IF(K552&gt;=CONFIG!$E$21,CONFIG!$D$21,IF(K552&gt;=CONFIG!$E$20,CONFIG!$D$20,CONFIG!$D$19)))</f>
        <v/>
      </c>
      <c r="M552" s="20" t="str">
        <f aca="false">IF(K552="","",IF(K552&gt;=CONFIG!$E$21,CONFIG!$F$21,IF(K552&gt;=CONFIG!$E$20,CONFIG!$F$20,CONFIG!$F$19)))</f>
        <v/>
      </c>
      <c r="N552" s="19" t="str">
        <f aca="false">IF(I552="","",IF(I552&lt;=M552,"OK","ALTA"))</f>
        <v/>
      </c>
      <c r="O552" s="13"/>
    </row>
    <row r="553" customFormat="false" ht="15" hidden="false" customHeight="false" outlineLevel="0" collapsed="false">
      <c r="A553" s="11" t="str">
        <f aca="false">IF(C553="","",ROW()-4)</f>
        <v/>
      </c>
      <c r="B553" s="12"/>
      <c r="C553" s="13"/>
      <c r="D553" s="11" t="str">
        <f aca="false">IF(C553="","",IFERROR(INDEX(LOTES!$D$5:$D$1004,MATCH(C553,LOTES!$F$5:$F$1004,0)),"¿Lote?"))</f>
        <v/>
      </c>
      <c r="E553" s="11" t="str">
        <f aca="false">IF(C553="","",IFERROR(INDEX(LOTES!$C$5:$C$1004,MATCH(C553,LOTES!$F$5:$F$1004,0)),""))</f>
        <v/>
      </c>
      <c r="F553" s="27"/>
      <c r="G553" s="27"/>
      <c r="H553" s="27"/>
      <c r="I553" s="20" t="str">
        <f aca="false">IF(AND(ISNUMBER(F553),ISNUMBER(G553),ISNUMBER(H553),F553&gt;G553,H553&gt;0),(F553-H553)/(F553-G553)*1000,"")</f>
        <v/>
      </c>
      <c r="J553" s="17" t="str">
        <f aca="false">IF(AND(ISNUMBER(F553),ISNUMBER(G553),ISNUMBER(H553),F553&gt;G553,H553&gt;0),(F553-H553)/H553,"")</f>
        <v/>
      </c>
      <c r="K553" s="20" t="str">
        <f aca="false">IF(AND(ISNUMBER(F553),ISNUMBER(G553),ISNUMBER(H553),F553&gt;G553,H553&gt;0),H553/(F553-G553)*1000,"")</f>
        <v/>
      </c>
      <c r="L553" s="11" t="str">
        <f aca="false">IF(K553="","",IF(K553&gt;=CONFIG!$E$21,CONFIG!$D$21,IF(K553&gt;=CONFIG!$E$20,CONFIG!$D$20,CONFIG!$D$19)))</f>
        <v/>
      </c>
      <c r="M553" s="20" t="str">
        <f aca="false">IF(K553="","",IF(K553&gt;=CONFIG!$E$21,CONFIG!$F$21,IF(K553&gt;=CONFIG!$E$20,CONFIG!$F$20,CONFIG!$F$19)))</f>
        <v/>
      </c>
      <c r="N553" s="19" t="str">
        <f aca="false">IF(I553="","",IF(I553&lt;=M553,"OK","ALTA"))</f>
        <v/>
      </c>
      <c r="O553" s="13"/>
    </row>
    <row r="554" customFormat="false" ht="15" hidden="false" customHeight="false" outlineLevel="0" collapsed="false">
      <c r="A554" s="11" t="str">
        <f aca="false">IF(C554="","",ROW()-4)</f>
        <v/>
      </c>
      <c r="B554" s="12"/>
      <c r="C554" s="13"/>
      <c r="D554" s="11" t="str">
        <f aca="false">IF(C554="","",IFERROR(INDEX(LOTES!$D$5:$D$1004,MATCH(C554,LOTES!$F$5:$F$1004,0)),"¿Lote?"))</f>
        <v/>
      </c>
      <c r="E554" s="11" t="str">
        <f aca="false">IF(C554="","",IFERROR(INDEX(LOTES!$C$5:$C$1004,MATCH(C554,LOTES!$F$5:$F$1004,0)),""))</f>
        <v/>
      </c>
      <c r="F554" s="27"/>
      <c r="G554" s="27"/>
      <c r="H554" s="27"/>
      <c r="I554" s="20" t="str">
        <f aca="false">IF(AND(ISNUMBER(F554),ISNUMBER(G554),ISNUMBER(H554),F554&gt;G554,H554&gt;0),(F554-H554)/(F554-G554)*1000,"")</f>
        <v/>
      </c>
      <c r="J554" s="17" t="str">
        <f aca="false">IF(AND(ISNUMBER(F554),ISNUMBER(G554),ISNUMBER(H554),F554&gt;G554,H554&gt;0),(F554-H554)/H554,"")</f>
        <v/>
      </c>
      <c r="K554" s="20" t="str">
        <f aca="false">IF(AND(ISNUMBER(F554),ISNUMBER(G554),ISNUMBER(H554),F554&gt;G554,H554&gt;0),H554/(F554-G554)*1000,"")</f>
        <v/>
      </c>
      <c r="L554" s="11" t="str">
        <f aca="false">IF(K554="","",IF(K554&gt;=CONFIG!$E$21,CONFIG!$D$21,IF(K554&gt;=CONFIG!$E$20,CONFIG!$D$20,CONFIG!$D$19)))</f>
        <v/>
      </c>
      <c r="M554" s="20" t="str">
        <f aca="false">IF(K554="","",IF(K554&gt;=CONFIG!$E$21,CONFIG!$F$21,IF(K554&gt;=CONFIG!$E$20,CONFIG!$F$20,CONFIG!$F$19)))</f>
        <v/>
      </c>
      <c r="N554" s="19" t="str">
        <f aca="false">IF(I554="","",IF(I554&lt;=M554,"OK","ALTA"))</f>
        <v/>
      </c>
      <c r="O554" s="13"/>
    </row>
    <row r="555" customFormat="false" ht="15" hidden="false" customHeight="false" outlineLevel="0" collapsed="false">
      <c r="A555" s="11" t="str">
        <f aca="false">IF(C555="","",ROW()-4)</f>
        <v/>
      </c>
      <c r="B555" s="12"/>
      <c r="C555" s="13"/>
      <c r="D555" s="11" t="str">
        <f aca="false">IF(C555="","",IFERROR(INDEX(LOTES!$D$5:$D$1004,MATCH(C555,LOTES!$F$5:$F$1004,0)),"¿Lote?"))</f>
        <v/>
      </c>
      <c r="E555" s="11" t="str">
        <f aca="false">IF(C555="","",IFERROR(INDEX(LOTES!$C$5:$C$1004,MATCH(C555,LOTES!$F$5:$F$1004,0)),""))</f>
        <v/>
      </c>
      <c r="F555" s="27"/>
      <c r="G555" s="27"/>
      <c r="H555" s="27"/>
      <c r="I555" s="20" t="str">
        <f aca="false">IF(AND(ISNUMBER(F555),ISNUMBER(G555),ISNUMBER(H555),F555&gt;G555,H555&gt;0),(F555-H555)/(F555-G555)*1000,"")</f>
        <v/>
      </c>
      <c r="J555" s="17" t="str">
        <f aca="false">IF(AND(ISNUMBER(F555),ISNUMBER(G555),ISNUMBER(H555),F555&gt;G555,H555&gt;0),(F555-H555)/H555,"")</f>
        <v/>
      </c>
      <c r="K555" s="20" t="str">
        <f aca="false">IF(AND(ISNUMBER(F555),ISNUMBER(G555),ISNUMBER(H555),F555&gt;G555,H555&gt;0),H555/(F555-G555)*1000,"")</f>
        <v/>
      </c>
      <c r="L555" s="11" t="str">
        <f aca="false">IF(K555="","",IF(K555&gt;=CONFIG!$E$21,CONFIG!$D$21,IF(K555&gt;=CONFIG!$E$20,CONFIG!$D$20,CONFIG!$D$19)))</f>
        <v/>
      </c>
      <c r="M555" s="20" t="str">
        <f aca="false">IF(K555="","",IF(K555&gt;=CONFIG!$E$21,CONFIG!$F$21,IF(K555&gt;=CONFIG!$E$20,CONFIG!$F$20,CONFIG!$F$19)))</f>
        <v/>
      </c>
      <c r="N555" s="19" t="str">
        <f aca="false">IF(I555="","",IF(I555&lt;=M555,"OK","ALTA"))</f>
        <v/>
      </c>
      <c r="O555" s="13"/>
    </row>
    <row r="556" customFormat="false" ht="15" hidden="false" customHeight="false" outlineLevel="0" collapsed="false">
      <c r="A556" s="11" t="str">
        <f aca="false">IF(C556="","",ROW()-4)</f>
        <v/>
      </c>
      <c r="B556" s="12"/>
      <c r="C556" s="13"/>
      <c r="D556" s="11" t="str">
        <f aca="false">IF(C556="","",IFERROR(INDEX(LOTES!$D$5:$D$1004,MATCH(C556,LOTES!$F$5:$F$1004,0)),"¿Lote?"))</f>
        <v/>
      </c>
      <c r="E556" s="11" t="str">
        <f aca="false">IF(C556="","",IFERROR(INDEX(LOTES!$C$5:$C$1004,MATCH(C556,LOTES!$F$5:$F$1004,0)),""))</f>
        <v/>
      </c>
      <c r="F556" s="27"/>
      <c r="G556" s="27"/>
      <c r="H556" s="27"/>
      <c r="I556" s="20" t="str">
        <f aca="false">IF(AND(ISNUMBER(F556),ISNUMBER(G556),ISNUMBER(H556),F556&gt;G556,H556&gt;0),(F556-H556)/(F556-G556)*1000,"")</f>
        <v/>
      </c>
      <c r="J556" s="17" t="str">
        <f aca="false">IF(AND(ISNUMBER(F556),ISNUMBER(G556),ISNUMBER(H556),F556&gt;G556,H556&gt;0),(F556-H556)/H556,"")</f>
        <v/>
      </c>
      <c r="K556" s="20" t="str">
        <f aca="false">IF(AND(ISNUMBER(F556),ISNUMBER(G556),ISNUMBER(H556),F556&gt;G556,H556&gt;0),H556/(F556-G556)*1000,"")</f>
        <v/>
      </c>
      <c r="L556" s="11" t="str">
        <f aca="false">IF(K556="","",IF(K556&gt;=CONFIG!$E$21,CONFIG!$D$21,IF(K556&gt;=CONFIG!$E$20,CONFIG!$D$20,CONFIG!$D$19)))</f>
        <v/>
      </c>
      <c r="M556" s="20" t="str">
        <f aca="false">IF(K556="","",IF(K556&gt;=CONFIG!$E$21,CONFIG!$F$21,IF(K556&gt;=CONFIG!$E$20,CONFIG!$F$20,CONFIG!$F$19)))</f>
        <v/>
      </c>
      <c r="N556" s="19" t="str">
        <f aca="false">IF(I556="","",IF(I556&lt;=M556,"OK","ALTA"))</f>
        <v/>
      </c>
      <c r="O556" s="13"/>
    </row>
    <row r="557" customFormat="false" ht="15" hidden="false" customHeight="false" outlineLevel="0" collapsed="false">
      <c r="A557" s="11" t="str">
        <f aca="false">IF(C557="","",ROW()-4)</f>
        <v/>
      </c>
      <c r="B557" s="12"/>
      <c r="C557" s="13"/>
      <c r="D557" s="11" t="str">
        <f aca="false">IF(C557="","",IFERROR(INDEX(LOTES!$D$5:$D$1004,MATCH(C557,LOTES!$F$5:$F$1004,0)),"¿Lote?"))</f>
        <v/>
      </c>
      <c r="E557" s="11" t="str">
        <f aca="false">IF(C557="","",IFERROR(INDEX(LOTES!$C$5:$C$1004,MATCH(C557,LOTES!$F$5:$F$1004,0)),""))</f>
        <v/>
      </c>
      <c r="F557" s="27"/>
      <c r="G557" s="27"/>
      <c r="H557" s="27"/>
      <c r="I557" s="20" t="str">
        <f aca="false">IF(AND(ISNUMBER(F557),ISNUMBER(G557),ISNUMBER(H557),F557&gt;G557,H557&gt;0),(F557-H557)/(F557-G557)*1000,"")</f>
        <v/>
      </c>
      <c r="J557" s="17" t="str">
        <f aca="false">IF(AND(ISNUMBER(F557),ISNUMBER(G557),ISNUMBER(H557),F557&gt;G557,H557&gt;0),(F557-H557)/H557,"")</f>
        <v/>
      </c>
      <c r="K557" s="20" t="str">
        <f aca="false">IF(AND(ISNUMBER(F557),ISNUMBER(G557),ISNUMBER(H557),F557&gt;G557,H557&gt;0),H557/(F557-G557)*1000,"")</f>
        <v/>
      </c>
      <c r="L557" s="11" t="str">
        <f aca="false">IF(K557="","",IF(K557&gt;=CONFIG!$E$21,CONFIG!$D$21,IF(K557&gt;=CONFIG!$E$20,CONFIG!$D$20,CONFIG!$D$19)))</f>
        <v/>
      </c>
      <c r="M557" s="20" t="str">
        <f aca="false">IF(K557="","",IF(K557&gt;=CONFIG!$E$21,CONFIG!$F$21,IF(K557&gt;=CONFIG!$E$20,CONFIG!$F$20,CONFIG!$F$19)))</f>
        <v/>
      </c>
      <c r="N557" s="19" t="str">
        <f aca="false">IF(I557="","",IF(I557&lt;=M557,"OK","ALTA"))</f>
        <v/>
      </c>
      <c r="O557" s="13"/>
    </row>
    <row r="558" customFormat="false" ht="15" hidden="false" customHeight="false" outlineLevel="0" collapsed="false">
      <c r="A558" s="11" t="str">
        <f aca="false">IF(C558="","",ROW()-4)</f>
        <v/>
      </c>
      <c r="B558" s="12"/>
      <c r="C558" s="13"/>
      <c r="D558" s="11" t="str">
        <f aca="false">IF(C558="","",IFERROR(INDEX(LOTES!$D$5:$D$1004,MATCH(C558,LOTES!$F$5:$F$1004,0)),"¿Lote?"))</f>
        <v/>
      </c>
      <c r="E558" s="11" t="str">
        <f aca="false">IF(C558="","",IFERROR(INDEX(LOTES!$C$5:$C$1004,MATCH(C558,LOTES!$F$5:$F$1004,0)),""))</f>
        <v/>
      </c>
      <c r="F558" s="27"/>
      <c r="G558" s="27"/>
      <c r="H558" s="27"/>
      <c r="I558" s="20" t="str">
        <f aca="false">IF(AND(ISNUMBER(F558),ISNUMBER(G558),ISNUMBER(H558),F558&gt;G558,H558&gt;0),(F558-H558)/(F558-G558)*1000,"")</f>
        <v/>
      </c>
      <c r="J558" s="17" t="str">
        <f aca="false">IF(AND(ISNUMBER(F558),ISNUMBER(G558),ISNUMBER(H558),F558&gt;G558,H558&gt;0),(F558-H558)/H558,"")</f>
        <v/>
      </c>
      <c r="K558" s="20" t="str">
        <f aca="false">IF(AND(ISNUMBER(F558),ISNUMBER(G558),ISNUMBER(H558),F558&gt;G558,H558&gt;0),H558/(F558-G558)*1000,"")</f>
        <v/>
      </c>
      <c r="L558" s="11" t="str">
        <f aca="false">IF(K558="","",IF(K558&gt;=CONFIG!$E$21,CONFIG!$D$21,IF(K558&gt;=CONFIG!$E$20,CONFIG!$D$20,CONFIG!$D$19)))</f>
        <v/>
      </c>
      <c r="M558" s="20" t="str">
        <f aca="false">IF(K558="","",IF(K558&gt;=CONFIG!$E$21,CONFIG!$F$21,IF(K558&gt;=CONFIG!$E$20,CONFIG!$F$20,CONFIG!$F$19)))</f>
        <v/>
      </c>
      <c r="N558" s="19" t="str">
        <f aca="false">IF(I558="","",IF(I558&lt;=M558,"OK","ALTA"))</f>
        <v/>
      </c>
      <c r="O558" s="13"/>
    </row>
    <row r="559" customFormat="false" ht="15" hidden="false" customHeight="false" outlineLevel="0" collapsed="false">
      <c r="A559" s="11" t="str">
        <f aca="false">IF(C559="","",ROW()-4)</f>
        <v/>
      </c>
      <c r="B559" s="12"/>
      <c r="C559" s="13"/>
      <c r="D559" s="11" t="str">
        <f aca="false">IF(C559="","",IFERROR(INDEX(LOTES!$D$5:$D$1004,MATCH(C559,LOTES!$F$5:$F$1004,0)),"¿Lote?"))</f>
        <v/>
      </c>
      <c r="E559" s="11" t="str">
        <f aca="false">IF(C559="","",IFERROR(INDEX(LOTES!$C$5:$C$1004,MATCH(C559,LOTES!$F$5:$F$1004,0)),""))</f>
        <v/>
      </c>
      <c r="F559" s="27"/>
      <c r="G559" s="27"/>
      <c r="H559" s="27"/>
      <c r="I559" s="20" t="str">
        <f aca="false">IF(AND(ISNUMBER(F559),ISNUMBER(G559),ISNUMBER(H559),F559&gt;G559,H559&gt;0),(F559-H559)/(F559-G559)*1000,"")</f>
        <v/>
      </c>
      <c r="J559" s="17" t="str">
        <f aca="false">IF(AND(ISNUMBER(F559),ISNUMBER(G559),ISNUMBER(H559),F559&gt;G559,H559&gt;0),(F559-H559)/H559,"")</f>
        <v/>
      </c>
      <c r="K559" s="20" t="str">
        <f aca="false">IF(AND(ISNUMBER(F559),ISNUMBER(G559),ISNUMBER(H559),F559&gt;G559,H559&gt;0),H559/(F559-G559)*1000,"")</f>
        <v/>
      </c>
      <c r="L559" s="11" t="str">
        <f aca="false">IF(K559="","",IF(K559&gt;=CONFIG!$E$21,CONFIG!$D$21,IF(K559&gt;=CONFIG!$E$20,CONFIG!$D$20,CONFIG!$D$19)))</f>
        <v/>
      </c>
      <c r="M559" s="20" t="str">
        <f aca="false">IF(K559="","",IF(K559&gt;=CONFIG!$E$21,CONFIG!$F$21,IF(K559&gt;=CONFIG!$E$20,CONFIG!$F$20,CONFIG!$F$19)))</f>
        <v/>
      </c>
      <c r="N559" s="19" t="str">
        <f aca="false">IF(I559="","",IF(I559&lt;=M559,"OK","ALTA"))</f>
        <v/>
      </c>
      <c r="O559" s="13"/>
    </row>
    <row r="560" customFormat="false" ht="15" hidden="false" customHeight="false" outlineLevel="0" collapsed="false">
      <c r="A560" s="11" t="str">
        <f aca="false">IF(C560="","",ROW()-4)</f>
        <v/>
      </c>
      <c r="B560" s="12"/>
      <c r="C560" s="13"/>
      <c r="D560" s="11" t="str">
        <f aca="false">IF(C560="","",IFERROR(INDEX(LOTES!$D$5:$D$1004,MATCH(C560,LOTES!$F$5:$F$1004,0)),"¿Lote?"))</f>
        <v/>
      </c>
      <c r="E560" s="11" t="str">
        <f aca="false">IF(C560="","",IFERROR(INDEX(LOTES!$C$5:$C$1004,MATCH(C560,LOTES!$F$5:$F$1004,0)),""))</f>
        <v/>
      </c>
      <c r="F560" s="27"/>
      <c r="G560" s="27"/>
      <c r="H560" s="27"/>
      <c r="I560" s="20" t="str">
        <f aca="false">IF(AND(ISNUMBER(F560),ISNUMBER(G560),ISNUMBER(H560),F560&gt;G560,H560&gt;0),(F560-H560)/(F560-G560)*1000,"")</f>
        <v/>
      </c>
      <c r="J560" s="17" t="str">
        <f aca="false">IF(AND(ISNUMBER(F560),ISNUMBER(G560),ISNUMBER(H560),F560&gt;G560,H560&gt;0),(F560-H560)/H560,"")</f>
        <v/>
      </c>
      <c r="K560" s="20" t="str">
        <f aca="false">IF(AND(ISNUMBER(F560),ISNUMBER(G560),ISNUMBER(H560),F560&gt;G560,H560&gt;0),H560/(F560-G560)*1000,"")</f>
        <v/>
      </c>
      <c r="L560" s="11" t="str">
        <f aca="false">IF(K560="","",IF(K560&gt;=CONFIG!$E$21,CONFIG!$D$21,IF(K560&gt;=CONFIG!$E$20,CONFIG!$D$20,CONFIG!$D$19)))</f>
        <v/>
      </c>
      <c r="M560" s="20" t="str">
        <f aca="false">IF(K560="","",IF(K560&gt;=CONFIG!$E$21,CONFIG!$F$21,IF(K560&gt;=CONFIG!$E$20,CONFIG!$F$20,CONFIG!$F$19)))</f>
        <v/>
      </c>
      <c r="N560" s="19" t="str">
        <f aca="false">IF(I560="","",IF(I560&lt;=M560,"OK","ALTA"))</f>
        <v/>
      </c>
      <c r="O560" s="13"/>
    </row>
    <row r="561" customFormat="false" ht="15" hidden="false" customHeight="false" outlineLevel="0" collapsed="false">
      <c r="A561" s="11" t="str">
        <f aca="false">IF(C561="","",ROW()-4)</f>
        <v/>
      </c>
      <c r="B561" s="12"/>
      <c r="C561" s="13"/>
      <c r="D561" s="11" t="str">
        <f aca="false">IF(C561="","",IFERROR(INDEX(LOTES!$D$5:$D$1004,MATCH(C561,LOTES!$F$5:$F$1004,0)),"¿Lote?"))</f>
        <v/>
      </c>
      <c r="E561" s="11" t="str">
        <f aca="false">IF(C561="","",IFERROR(INDEX(LOTES!$C$5:$C$1004,MATCH(C561,LOTES!$F$5:$F$1004,0)),""))</f>
        <v/>
      </c>
      <c r="F561" s="27"/>
      <c r="G561" s="27"/>
      <c r="H561" s="27"/>
      <c r="I561" s="20" t="str">
        <f aca="false">IF(AND(ISNUMBER(F561),ISNUMBER(G561),ISNUMBER(H561),F561&gt;G561,H561&gt;0),(F561-H561)/(F561-G561)*1000,"")</f>
        <v/>
      </c>
      <c r="J561" s="17" t="str">
        <f aca="false">IF(AND(ISNUMBER(F561),ISNUMBER(G561),ISNUMBER(H561),F561&gt;G561,H561&gt;0),(F561-H561)/H561,"")</f>
        <v/>
      </c>
      <c r="K561" s="20" t="str">
        <f aca="false">IF(AND(ISNUMBER(F561),ISNUMBER(G561),ISNUMBER(H561),F561&gt;G561,H561&gt;0),H561/(F561-G561)*1000,"")</f>
        <v/>
      </c>
      <c r="L561" s="11" t="str">
        <f aca="false">IF(K561="","",IF(K561&gt;=CONFIG!$E$21,CONFIG!$D$21,IF(K561&gt;=CONFIG!$E$20,CONFIG!$D$20,CONFIG!$D$19)))</f>
        <v/>
      </c>
      <c r="M561" s="20" t="str">
        <f aca="false">IF(K561="","",IF(K561&gt;=CONFIG!$E$21,CONFIG!$F$21,IF(K561&gt;=CONFIG!$E$20,CONFIG!$F$20,CONFIG!$F$19)))</f>
        <v/>
      </c>
      <c r="N561" s="19" t="str">
        <f aca="false">IF(I561="","",IF(I561&lt;=M561,"OK","ALTA"))</f>
        <v/>
      </c>
      <c r="O561" s="13"/>
    </row>
    <row r="562" customFormat="false" ht="15" hidden="false" customHeight="false" outlineLevel="0" collapsed="false">
      <c r="A562" s="11" t="str">
        <f aca="false">IF(C562="","",ROW()-4)</f>
        <v/>
      </c>
      <c r="B562" s="12"/>
      <c r="C562" s="13"/>
      <c r="D562" s="11" t="str">
        <f aca="false">IF(C562="","",IFERROR(INDEX(LOTES!$D$5:$D$1004,MATCH(C562,LOTES!$F$5:$F$1004,0)),"¿Lote?"))</f>
        <v/>
      </c>
      <c r="E562" s="11" t="str">
        <f aca="false">IF(C562="","",IFERROR(INDEX(LOTES!$C$5:$C$1004,MATCH(C562,LOTES!$F$5:$F$1004,0)),""))</f>
        <v/>
      </c>
      <c r="F562" s="27"/>
      <c r="G562" s="27"/>
      <c r="H562" s="27"/>
      <c r="I562" s="20" t="str">
        <f aca="false">IF(AND(ISNUMBER(F562),ISNUMBER(G562),ISNUMBER(H562),F562&gt;G562,H562&gt;0),(F562-H562)/(F562-G562)*1000,"")</f>
        <v/>
      </c>
      <c r="J562" s="17" t="str">
        <f aca="false">IF(AND(ISNUMBER(F562),ISNUMBER(G562),ISNUMBER(H562),F562&gt;G562,H562&gt;0),(F562-H562)/H562,"")</f>
        <v/>
      </c>
      <c r="K562" s="20" t="str">
        <f aca="false">IF(AND(ISNUMBER(F562),ISNUMBER(G562),ISNUMBER(H562),F562&gt;G562,H562&gt;0),H562/(F562-G562)*1000,"")</f>
        <v/>
      </c>
      <c r="L562" s="11" t="str">
        <f aca="false">IF(K562="","",IF(K562&gt;=CONFIG!$E$21,CONFIG!$D$21,IF(K562&gt;=CONFIG!$E$20,CONFIG!$D$20,CONFIG!$D$19)))</f>
        <v/>
      </c>
      <c r="M562" s="20" t="str">
        <f aca="false">IF(K562="","",IF(K562&gt;=CONFIG!$E$21,CONFIG!$F$21,IF(K562&gt;=CONFIG!$E$20,CONFIG!$F$20,CONFIG!$F$19)))</f>
        <v/>
      </c>
      <c r="N562" s="19" t="str">
        <f aca="false">IF(I562="","",IF(I562&lt;=M562,"OK","ALTA"))</f>
        <v/>
      </c>
      <c r="O562" s="13"/>
    </row>
    <row r="563" customFormat="false" ht="15" hidden="false" customHeight="false" outlineLevel="0" collapsed="false">
      <c r="A563" s="11" t="str">
        <f aca="false">IF(C563="","",ROW()-4)</f>
        <v/>
      </c>
      <c r="B563" s="12"/>
      <c r="C563" s="13"/>
      <c r="D563" s="11" t="str">
        <f aca="false">IF(C563="","",IFERROR(INDEX(LOTES!$D$5:$D$1004,MATCH(C563,LOTES!$F$5:$F$1004,0)),"¿Lote?"))</f>
        <v/>
      </c>
      <c r="E563" s="11" t="str">
        <f aca="false">IF(C563="","",IFERROR(INDEX(LOTES!$C$5:$C$1004,MATCH(C563,LOTES!$F$5:$F$1004,0)),""))</f>
        <v/>
      </c>
      <c r="F563" s="27"/>
      <c r="G563" s="27"/>
      <c r="H563" s="27"/>
      <c r="I563" s="20" t="str">
        <f aca="false">IF(AND(ISNUMBER(F563),ISNUMBER(G563),ISNUMBER(H563),F563&gt;G563,H563&gt;0),(F563-H563)/(F563-G563)*1000,"")</f>
        <v/>
      </c>
      <c r="J563" s="17" t="str">
        <f aca="false">IF(AND(ISNUMBER(F563),ISNUMBER(G563),ISNUMBER(H563),F563&gt;G563,H563&gt;0),(F563-H563)/H563,"")</f>
        <v/>
      </c>
      <c r="K563" s="20" t="str">
        <f aca="false">IF(AND(ISNUMBER(F563),ISNUMBER(G563),ISNUMBER(H563),F563&gt;G563,H563&gt;0),H563/(F563-G563)*1000,"")</f>
        <v/>
      </c>
      <c r="L563" s="11" t="str">
        <f aca="false">IF(K563="","",IF(K563&gt;=CONFIG!$E$21,CONFIG!$D$21,IF(K563&gt;=CONFIG!$E$20,CONFIG!$D$20,CONFIG!$D$19)))</f>
        <v/>
      </c>
      <c r="M563" s="20" t="str">
        <f aca="false">IF(K563="","",IF(K563&gt;=CONFIG!$E$21,CONFIG!$F$21,IF(K563&gt;=CONFIG!$E$20,CONFIG!$F$20,CONFIG!$F$19)))</f>
        <v/>
      </c>
      <c r="N563" s="19" t="str">
        <f aca="false">IF(I563="","",IF(I563&lt;=M563,"OK","ALTA"))</f>
        <v/>
      </c>
      <c r="O563" s="13"/>
    </row>
    <row r="564" customFormat="false" ht="15" hidden="false" customHeight="false" outlineLevel="0" collapsed="false">
      <c r="A564" s="11" t="str">
        <f aca="false">IF(C564="","",ROW()-4)</f>
        <v/>
      </c>
      <c r="B564" s="12"/>
      <c r="C564" s="13"/>
      <c r="D564" s="11" t="str">
        <f aca="false">IF(C564="","",IFERROR(INDEX(LOTES!$D$5:$D$1004,MATCH(C564,LOTES!$F$5:$F$1004,0)),"¿Lote?"))</f>
        <v/>
      </c>
      <c r="E564" s="11" t="str">
        <f aca="false">IF(C564="","",IFERROR(INDEX(LOTES!$C$5:$C$1004,MATCH(C564,LOTES!$F$5:$F$1004,0)),""))</f>
        <v/>
      </c>
      <c r="F564" s="27"/>
      <c r="G564" s="27"/>
      <c r="H564" s="27"/>
      <c r="I564" s="20" t="str">
        <f aca="false">IF(AND(ISNUMBER(F564),ISNUMBER(G564),ISNUMBER(H564),F564&gt;G564,H564&gt;0),(F564-H564)/(F564-G564)*1000,"")</f>
        <v/>
      </c>
      <c r="J564" s="17" t="str">
        <f aca="false">IF(AND(ISNUMBER(F564),ISNUMBER(G564),ISNUMBER(H564),F564&gt;G564,H564&gt;0),(F564-H564)/H564,"")</f>
        <v/>
      </c>
      <c r="K564" s="20" t="str">
        <f aca="false">IF(AND(ISNUMBER(F564),ISNUMBER(G564),ISNUMBER(H564),F564&gt;G564,H564&gt;0),H564/(F564-G564)*1000,"")</f>
        <v/>
      </c>
      <c r="L564" s="11" t="str">
        <f aca="false">IF(K564="","",IF(K564&gt;=CONFIG!$E$21,CONFIG!$D$21,IF(K564&gt;=CONFIG!$E$20,CONFIG!$D$20,CONFIG!$D$19)))</f>
        <v/>
      </c>
      <c r="M564" s="20" t="str">
        <f aca="false">IF(K564="","",IF(K564&gt;=CONFIG!$E$21,CONFIG!$F$21,IF(K564&gt;=CONFIG!$E$20,CONFIG!$F$20,CONFIG!$F$19)))</f>
        <v/>
      </c>
      <c r="N564" s="19" t="str">
        <f aca="false">IF(I564="","",IF(I564&lt;=M564,"OK","ALTA"))</f>
        <v/>
      </c>
      <c r="O564" s="13"/>
    </row>
    <row r="565" customFormat="false" ht="15" hidden="false" customHeight="false" outlineLevel="0" collapsed="false">
      <c r="A565" s="11" t="str">
        <f aca="false">IF(C565="","",ROW()-4)</f>
        <v/>
      </c>
      <c r="B565" s="12"/>
      <c r="C565" s="13"/>
      <c r="D565" s="11" t="str">
        <f aca="false">IF(C565="","",IFERROR(INDEX(LOTES!$D$5:$D$1004,MATCH(C565,LOTES!$F$5:$F$1004,0)),"¿Lote?"))</f>
        <v/>
      </c>
      <c r="E565" s="11" t="str">
        <f aca="false">IF(C565="","",IFERROR(INDEX(LOTES!$C$5:$C$1004,MATCH(C565,LOTES!$F$5:$F$1004,0)),""))</f>
        <v/>
      </c>
      <c r="F565" s="27"/>
      <c r="G565" s="27"/>
      <c r="H565" s="27"/>
      <c r="I565" s="20" t="str">
        <f aca="false">IF(AND(ISNUMBER(F565),ISNUMBER(G565),ISNUMBER(H565),F565&gt;G565,H565&gt;0),(F565-H565)/(F565-G565)*1000,"")</f>
        <v/>
      </c>
      <c r="J565" s="17" t="str">
        <f aca="false">IF(AND(ISNUMBER(F565),ISNUMBER(G565),ISNUMBER(H565),F565&gt;G565,H565&gt;0),(F565-H565)/H565,"")</f>
        <v/>
      </c>
      <c r="K565" s="20" t="str">
        <f aca="false">IF(AND(ISNUMBER(F565),ISNUMBER(G565),ISNUMBER(H565),F565&gt;G565,H565&gt;0),H565/(F565-G565)*1000,"")</f>
        <v/>
      </c>
      <c r="L565" s="11" t="str">
        <f aca="false">IF(K565="","",IF(K565&gt;=CONFIG!$E$21,CONFIG!$D$21,IF(K565&gt;=CONFIG!$E$20,CONFIG!$D$20,CONFIG!$D$19)))</f>
        <v/>
      </c>
      <c r="M565" s="20" t="str">
        <f aca="false">IF(K565="","",IF(K565&gt;=CONFIG!$E$21,CONFIG!$F$21,IF(K565&gt;=CONFIG!$E$20,CONFIG!$F$20,CONFIG!$F$19)))</f>
        <v/>
      </c>
      <c r="N565" s="19" t="str">
        <f aca="false">IF(I565="","",IF(I565&lt;=M565,"OK","ALTA"))</f>
        <v/>
      </c>
      <c r="O565" s="13"/>
    </row>
    <row r="566" customFormat="false" ht="15" hidden="false" customHeight="false" outlineLevel="0" collapsed="false">
      <c r="A566" s="11" t="str">
        <f aca="false">IF(C566="","",ROW()-4)</f>
        <v/>
      </c>
      <c r="B566" s="12"/>
      <c r="C566" s="13"/>
      <c r="D566" s="11" t="str">
        <f aca="false">IF(C566="","",IFERROR(INDEX(LOTES!$D$5:$D$1004,MATCH(C566,LOTES!$F$5:$F$1004,0)),"¿Lote?"))</f>
        <v/>
      </c>
      <c r="E566" s="11" t="str">
        <f aca="false">IF(C566="","",IFERROR(INDEX(LOTES!$C$5:$C$1004,MATCH(C566,LOTES!$F$5:$F$1004,0)),""))</f>
        <v/>
      </c>
      <c r="F566" s="27"/>
      <c r="G566" s="27"/>
      <c r="H566" s="27"/>
      <c r="I566" s="20" t="str">
        <f aca="false">IF(AND(ISNUMBER(F566),ISNUMBER(G566),ISNUMBER(H566),F566&gt;G566,H566&gt;0),(F566-H566)/(F566-G566)*1000,"")</f>
        <v/>
      </c>
      <c r="J566" s="17" t="str">
        <f aca="false">IF(AND(ISNUMBER(F566),ISNUMBER(G566),ISNUMBER(H566),F566&gt;G566,H566&gt;0),(F566-H566)/H566,"")</f>
        <v/>
      </c>
      <c r="K566" s="20" t="str">
        <f aca="false">IF(AND(ISNUMBER(F566),ISNUMBER(G566),ISNUMBER(H566),F566&gt;G566,H566&gt;0),H566/(F566-G566)*1000,"")</f>
        <v/>
      </c>
      <c r="L566" s="11" t="str">
        <f aca="false">IF(K566="","",IF(K566&gt;=CONFIG!$E$21,CONFIG!$D$21,IF(K566&gt;=CONFIG!$E$20,CONFIG!$D$20,CONFIG!$D$19)))</f>
        <v/>
      </c>
      <c r="M566" s="20" t="str">
        <f aca="false">IF(K566="","",IF(K566&gt;=CONFIG!$E$21,CONFIG!$F$21,IF(K566&gt;=CONFIG!$E$20,CONFIG!$F$20,CONFIG!$F$19)))</f>
        <v/>
      </c>
      <c r="N566" s="19" t="str">
        <f aca="false">IF(I566="","",IF(I566&lt;=M566,"OK","ALTA"))</f>
        <v/>
      </c>
      <c r="O566" s="13"/>
    </row>
    <row r="567" customFormat="false" ht="15" hidden="false" customHeight="false" outlineLevel="0" collapsed="false">
      <c r="A567" s="11" t="str">
        <f aca="false">IF(C567="","",ROW()-4)</f>
        <v/>
      </c>
      <c r="B567" s="12"/>
      <c r="C567" s="13"/>
      <c r="D567" s="11" t="str">
        <f aca="false">IF(C567="","",IFERROR(INDEX(LOTES!$D$5:$D$1004,MATCH(C567,LOTES!$F$5:$F$1004,0)),"¿Lote?"))</f>
        <v/>
      </c>
      <c r="E567" s="11" t="str">
        <f aca="false">IF(C567="","",IFERROR(INDEX(LOTES!$C$5:$C$1004,MATCH(C567,LOTES!$F$5:$F$1004,0)),""))</f>
        <v/>
      </c>
      <c r="F567" s="27"/>
      <c r="G567" s="27"/>
      <c r="H567" s="27"/>
      <c r="I567" s="20" t="str">
        <f aca="false">IF(AND(ISNUMBER(F567),ISNUMBER(G567),ISNUMBER(H567),F567&gt;G567,H567&gt;0),(F567-H567)/(F567-G567)*1000,"")</f>
        <v/>
      </c>
      <c r="J567" s="17" t="str">
        <f aca="false">IF(AND(ISNUMBER(F567),ISNUMBER(G567),ISNUMBER(H567),F567&gt;G567,H567&gt;0),(F567-H567)/H567,"")</f>
        <v/>
      </c>
      <c r="K567" s="20" t="str">
        <f aca="false">IF(AND(ISNUMBER(F567),ISNUMBER(G567),ISNUMBER(H567),F567&gt;G567,H567&gt;0),H567/(F567-G567)*1000,"")</f>
        <v/>
      </c>
      <c r="L567" s="11" t="str">
        <f aca="false">IF(K567="","",IF(K567&gt;=CONFIG!$E$21,CONFIG!$D$21,IF(K567&gt;=CONFIG!$E$20,CONFIG!$D$20,CONFIG!$D$19)))</f>
        <v/>
      </c>
      <c r="M567" s="20" t="str">
        <f aca="false">IF(K567="","",IF(K567&gt;=CONFIG!$E$21,CONFIG!$F$21,IF(K567&gt;=CONFIG!$E$20,CONFIG!$F$20,CONFIG!$F$19)))</f>
        <v/>
      </c>
      <c r="N567" s="19" t="str">
        <f aca="false">IF(I567="","",IF(I567&lt;=M567,"OK","ALTA"))</f>
        <v/>
      </c>
      <c r="O567" s="13"/>
    </row>
    <row r="568" customFormat="false" ht="15" hidden="false" customHeight="false" outlineLevel="0" collapsed="false">
      <c r="A568" s="11" t="str">
        <f aca="false">IF(C568="","",ROW()-4)</f>
        <v/>
      </c>
      <c r="B568" s="12"/>
      <c r="C568" s="13"/>
      <c r="D568" s="11" t="str">
        <f aca="false">IF(C568="","",IFERROR(INDEX(LOTES!$D$5:$D$1004,MATCH(C568,LOTES!$F$5:$F$1004,0)),"¿Lote?"))</f>
        <v/>
      </c>
      <c r="E568" s="11" t="str">
        <f aca="false">IF(C568="","",IFERROR(INDEX(LOTES!$C$5:$C$1004,MATCH(C568,LOTES!$F$5:$F$1004,0)),""))</f>
        <v/>
      </c>
      <c r="F568" s="27"/>
      <c r="G568" s="27"/>
      <c r="H568" s="27"/>
      <c r="I568" s="20" t="str">
        <f aca="false">IF(AND(ISNUMBER(F568),ISNUMBER(G568),ISNUMBER(H568),F568&gt;G568,H568&gt;0),(F568-H568)/(F568-G568)*1000,"")</f>
        <v/>
      </c>
      <c r="J568" s="17" t="str">
        <f aca="false">IF(AND(ISNUMBER(F568),ISNUMBER(G568),ISNUMBER(H568),F568&gt;G568,H568&gt;0),(F568-H568)/H568,"")</f>
        <v/>
      </c>
      <c r="K568" s="20" t="str">
        <f aca="false">IF(AND(ISNUMBER(F568),ISNUMBER(G568),ISNUMBER(H568),F568&gt;G568,H568&gt;0),H568/(F568-G568)*1000,"")</f>
        <v/>
      </c>
      <c r="L568" s="11" t="str">
        <f aca="false">IF(K568="","",IF(K568&gt;=CONFIG!$E$21,CONFIG!$D$21,IF(K568&gt;=CONFIG!$E$20,CONFIG!$D$20,CONFIG!$D$19)))</f>
        <v/>
      </c>
      <c r="M568" s="20" t="str">
        <f aca="false">IF(K568="","",IF(K568&gt;=CONFIG!$E$21,CONFIG!$F$21,IF(K568&gt;=CONFIG!$E$20,CONFIG!$F$20,CONFIG!$F$19)))</f>
        <v/>
      </c>
      <c r="N568" s="19" t="str">
        <f aca="false">IF(I568="","",IF(I568&lt;=M568,"OK","ALTA"))</f>
        <v/>
      </c>
      <c r="O568" s="13"/>
    </row>
    <row r="569" customFormat="false" ht="15" hidden="false" customHeight="false" outlineLevel="0" collapsed="false">
      <c r="A569" s="11" t="str">
        <f aca="false">IF(C569="","",ROW()-4)</f>
        <v/>
      </c>
      <c r="B569" s="12"/>
      <c r="C569" s="13"/>
      <c r="D569" s="11" t="str">
        <f aca="false">IF(C569="","",IFERROR(INDEX(LOTES!$D$5:$D$1004,MATCH(C569,LOTES!$F$5:$F$1004,0)),"¿Lote?"))</f>
        <v/>
      </c>
      <c r="E569" s="11" t="str">
        <f aca="false">IF(C569="","",IFERROR(INDEX(LOTES!$C$5:$C$1004,MATCH(C569,LOTES!$F$5:$F$1004,0)),""))</f>
        <v/>
      </c>
      <c r="F569" s="27"/>
      <c r="G569" s="27"/>
      <c r="H569" s="27"/>
      <c r="I569" s="20" t="str">
        <f aca="false">IF(AND(ISNUMBER(F569),ISNUMBER(G569),ISNUMBER(H569),F569&gt;G569,H569&gt;0),(F569-H569)/(F569-G569)*1000,"")</f>
        <v/>
      </c>
      <c r="J569" s="17" t="str">
        <f aca="false">IF(AND(ISNUMBER(F569),ISNUMBER(G569),ISNUMBER(H569),F569&gt;G569,H569&gt;0),(F569-H569)/H569,"")</f>
        <v/>
      </c>
      <c r="K569" s="20" t="str">
        <f aca="false">IF(AND(ISNUMBER(F569),ISNUMBER(G569),ISNUMBER(H569),F569&gt;G569,H569&gt;0),H569/(F569-G569)*1000,"")</f>
        <v/>
      </c>
      <c r="L569" s="11" t="str">
        <f aca="false">IF(K569="","",IF(K569&gt;=CONFIG!$E$21,CONFIG!$D$21,IF(K569&gt;=CONFIG!$E$20,CONFIG!$D$20,CONFIG!$D$19)))</f>
        <v/>
      </c>
      <c r="M569" s="20" t="str">
        <f aca="false">IF(K569="","",IF(K569&gt;=CONFIG!$E$21,CONFIG!$F$21,IF(K569&gt;=CONFIG!$E$20,CONFIG!$F$20,CONFIG!$F$19)))</f>
        <v/>
      </c>
      <c r="N569" s="19" t="str">
        <f aca="false">IF(I569="","",IF(I569&lt;=M569,"OK","ALTA"))</f>
        <v/>
      </c>
      <c r="O569" s="13"/>
    </row>
    <row r="570" customFormat="false" ht="15" hidden="false" customHeight="false" outlineLevel="0" collapsed="false">
      <c r="A570" s="11" t="str">
        <f aca="false">IF(C570="","",ROW()-4)</f>
        <v/>
      </c>
      <c r="B570" s="12"/>
      <c r="C570" s="13"/>
      <c r="D570" s="11" t="str">
        <f aca="false">IF(C570="","",IFERROR(INDEX(LOTES!$D$5:$D$1004,MATCH(C570,LOTES!$F$5:$F$1004,0)),"¿Lote?"))</f>
        <v/>
      </c>
      <c r="E570" s="11" t="str">
        <f aca="false">IF(C570="","",IFERROR(INDEX(LOTES!$C$5:$C$1004,MATCH(C570,LOTES!$F$5:$F$1004,0)),""))</f>
        <v/>
      </c>
      <c r="F570" s="27"/>
      <c r="G570" s="27"/>
      <c r="H570" s="27"/>
      <c r="I570" s="20" t="str">
        <f aca="false">IF(AND(ISNUMBER(F570),ISNUMBER(G570),ISNUMBER(H570),F570&gt;G570,H570&gt;0),(F570-H570)/(F570-G570)*1000,"")</f>
        <v/>
      </c>
      <c r="J570" s="17" t="str">
        <f aca="false">IF(AND(ISNUMBER(F570),ISNUMBER(G570),ISNUMBER(H570),F570&gt;G570,H570&gt;0),(F570-H570)/H570,"")</f>
        <v/>
      </c>
      <c r="K570" s="20" t="str">
        <f aca="false">IF(AND(ISNUMBER(F570),ISNUMBER(G570),ISNUMBER(H570),F570&gt;G570,H570&gt;0),H570/(F570-G570)*1000,"")</f>
        <v/>
      </c>
      <c r="L570" s="11" t="str">
        <f aca="false">IF(K570="","",IF(K570&gt;=CONFIG!$E$21,CONFIG!$D$21,IF(K570&gt;=CONFIG!$E$20,CONFIG!$D$20,CONFIG!$D$19)))</f>
        <v/>
      </c>
      <c r="M570" s="20" t="str">
        <f aca="false">IF(K570="","",IF(K570&gt;=CONFIG!$E$21,CONFIG!$F$21,IF(K570&gt;=CONFIG!$E$20,CONFIG!$F$20,CONFIG!$F$19)))</f>
        <v/>
      </c>
      <c r="N570" s="19" t="str">
        <f aca="false">IF(I570="","",IF(I570&lt;=M570,"OK","ALTA"))</f>
        <v/>
      </c>
      <c r="O570" s="13"/>
    </row>
    <row r="571" customFormat="false" ht="15" hidden="false" customHeight="false" outlineLevel="0" collapsed="false">
      <c r="A571" s="11" t="str">
        <f aca="false">IF(C571="","",ROW()-4)</f>
        <v/>
      </c>
      <c r="B571" s="12"/>
      <c r="C571" s="13"/>
      <c r="D571" s="11" t="str">
        <f aca="false">IF(C571="","",IFERROR(INDEX(LOTES!$D$5:$D$1004,MATCH(C571,LOTES!$F$5:$F$1004,0)),"¿Lote?"))</f>
        <v/>
      </c>
      <c r="E571" s="11" t="str">
        <f aca="false">IF(C571="","",IFERROR(INDEX(LOTES!$C$5:$C$1004,MATCH(C571,LOTES!$F$5:$F$1004,0)),""))</f>
        <v/>
      </c>
      <c r="F571" s="27"/>
      <c r="G571" s="27"/>
      <c r="H571" s="27"/>
      <c r="I571" s="20" t="str">
        <f aca="false">IF(AND(ISNUMBER(F571),ISNUMBER(G571),ISNUMBER(H571),F571&gt;G571,H571&gt;0),(F571-H571)/(F571-G571)*1000,"")</f>
        <v/>
      </c>
      <c r="J571" s="17" t="str">
        <f aca="false">IF(AND(ISNUMBER(F571),ISNUMBER(G571),ISNUMBER(H571),F571&gt;G571,H571&gt;0),(F571-H571)/H571,"")</f>
        <v/>
      </c>
      <c r="K571" s="20" t="str">
        <f aca="false">IF(AND(ISNUMBER(F571),ISNUMBER(G571),ISNUMBER(H571),F571&gt;G571,H571&gt;0),H571/(F571-G571)*1000,"")</f>
        <v/>
      </c>
      <c r="L571" s="11" t="str">
        <f aca="false">IF(K571="","",IF(K571&gt;=CONFIG!$E$21,CONFIG!$D$21,IF(K571&gt;=CONFIG!$E$20,CONFIG!$D$20,CONFIG!$D$19)))</f>
        <v/>
      </c>
      <c r="M571" s="20" t="str">
        <f aca="false">IF(K571="","",IF(K571&gt;=CONFIG!$E$21,CONFIG!$F$21,IF(K571&gt;=CONFIG!$E$20,CONFIG!$F$20,CONFIG!$F$19)))</f>
        <v/>
      </c>
      <c r="N571" s="19" t="str">
        <f aca="false">IF(I571="","",IF(I571&lt;=M571,"OK","ALTA"))</f>
        <v/>
      </c>
      <c r="O571" s="13"/>
    </row>
    <row r="572" customFormat="false" ht="15" hidden="false" customHeight="false" outlineLevel="0" collapsed="false">
      <c r="A572" s="11" t="str">
        <f aca="false">IF(C572="","",ROW()-4)</f>
        <v/>
      </c>
      <c r="B572" s="12"/>
      <c r="C572" s="13"/>
      <c r="D572" s="11" t="str">
        <f aca="false">IF(C572="","",IFERROR(INDEX(LOTES!$D$5:$D$1004,MATCH(C572,LOTES!$F$5:$F$1004,0)),"¿Lote?"))</f>
        <v/>
      </c>
      <c r="E572" s="11" t="str">
        <f aca="false">IF(C572="","",IFERROR(INDEX(LOTES!$C$5:$C$1004,MATCH(C572,LOTES!$F$5:$F$1004,0)),""))</f>
        <v/>
      </c>
      <c r="F572" s="27"/>
      <c r="G572" s="27"/>
      <c r="H572" s="27"/>
      <c r="I572" s="20" t="str">
        <f aca="false">IF(AND(ISNUMBER(F572),ISNUMBER(G572),ISNUMBER(H572),F572&gt;G572,H572&gt;0),(F572-H572)/(F572-G572)*1000,"")</f>
        <v/>
      </c>
      <c r="J572" s="17" t="str">
        <f aca="false">IF(AND(ISNUMBER(F572),ISNUMBER(G572),ISNUMBER(H572),F572&gt;G572,H572&gt;0),(F572-H572)/H572,"")</f>
        <v/>
      </c>
      <c r="K572" s="20" t="str">
        <f aca="false">IF(AND(ISNUMBER(F572),ISNUMBER(G572),ISNUMBER(H572),F572&gt;G572,H572&gt;0),H572/(F572-G572)*1000,"")</f>
        <v/>
      </c>
      <c r="L572" s="11" t="str">
        <f aca="false">IF(K572="","",IF(K572&gt;=CONFIG!$E$21,CONFIG!$D$21,IF(K572&gt;=CONFIG!$E$20,CONFIG!$D$20,CONFIG!$D$19)))</f>
        <v/>
      </c>
      <c r="M572" s="20" t="str">
        <f aca="false">IF(K572="","",IF(K572&gt;=CONFIG!$E$21,CONFIG!$F$21,IF(K572&gt;=CONFIG!$E$20,CONFIG!$F$20,CONFIG!$F$19)))</f>
        <v/>
      </c>
      <c r="N572" s="19" t="str">
        <f aca="false">IF(I572="","",IF(I572&lt;=M572,"OK","ALTA"))</f>
        <v/>
      </c>
      <c r="O572" s="13"/>
    </row>
    <row r="573" customFormat="false" ht="15" hidden="false" customHeight="false" outlineLevel="0" collapsed="false">
      <c r="A573" s="11" t="str">
        <f aca="false">IF(C573="","",ROW()-4)</f>
        <v/>
      </c>
      <c r="B573" s="12"/>
      <c r="C573" s="13"/>
      <c r="D573" s="11" t="str">
        <f aca="false">IF(C573="","",IFERROR(INDEX(LOTES!$D$5:$D$1004,MATCH(C573,LOTES!$F$5:$F$1004,0)),"¿Lote?"))</f>
        <v/>
      </c>
      <c r="E573" s="11" t="str">
        <f aca="false">IF(C573="","",IFERROR(INDEX(LOTES!$C$5:$C$1004,MATCH(C573,LOTES!$F$5:$F$1004,0)),""))</f>
        <v/>
      </c>
      <c r="F573" s="27"/>
      <c r="G573" s="27"/>
      <c r="H573" s="27"/>
      <c r="I573" s="20" t="str">
        <f aca="false">IF(AND(ISNUMBER(F573),ISNUMBER(G573),ISNUMBER(H573),F573&gt;G573,H573&gt;0),(F573-H573)/(F573-G573)*1000,"")</f>
        <v/>
      </c>
      <c r="J573" s="17" t="str">
        <f aca="false">IF(AND(ISNUMBER(F573),ISNUMBER(G573),ISNUMBER(H573),F573&gt;G573,H573&gt;0),(F573-H573)/H573,"")</f>
        <v/>
      </c>
      <c r="K573" s="20" t="str">
        <f aca="false">IF(AND(ISNUMBER(F573),ISNUMBER(G573),ISNUMBER(H573),F573&gt;G573,H573&gt;0),H573/(F573-G573)*1000,"")</f>
        <v/>
      </c>
      <c r="L573" s="11" t="str">
        <f aca="false">IF(K573="","",IF(K573&gt;=CONFIG!$E$21,CONFIG!$D$21,IF(K573&gt;=CONFIG!$E$20,CONFIG!$D$20,CONFIG!$D$19)))</f>
        <v/>
      </c>
      <c r="M573" s="20" t="str">
        <f aca="false">IF(K573="","",IF(K573&gt;=CONFIG!$E$21,CONFIG!$F$21,IF(K573&gt;=CONFIG!$E$20,CONFIG!$F$20,CONFIG!$F$19)))</f>
        <v/>
      </c>
      <c r="N573" s="19" t="str">
        <f aca="false">IF(I573="","",IF(I573&lt;=M573,"OK","ALTA"))</f>
        <v/>
      </c>
      <c r="O573" s="13"/>
    </row>
    <row r="574" customFormat="false" ht="15" hidden="false" customHeight="false" outlineLevel="0" collapsed="false">
      <c r="A574" s="11" t="str">
        <f aca="false">IF(C574="","",ROW()-4)</f>
        <v/>
      </c>
      <c r="B574" s="12"/>
      <c r="C574" s="13"/>
      <c r="D574" s="11" t="str">
        <f aca="false">IF(C574="","",IFERROR(INDEX(LOTES!$D$5:$D$1004,MATCH(C574,LOTES!$F$5:$F$1004,0)),"¿Lote?"))</f>
        <v/>
      </c>
      <c r="E574" s="11" t="str">
        <f aca="false">IF(C574="","",IFERROR(INDEX(LOTES!$C$5:$C$1004,MATCH(C574,LOTES!$F$5:$F$1004,0)),""))</f>
        <v/>
      </c>
      <c r="F574" s="27"/>
      <c r="G574" s="27"/>
      <c r="H574" s="27"/>
      <c r="I574" s="20" t="str">
        <f aca="false">IF(AND(ISNUMBER(F574),ISNUMBER(G574),ISNUMBER(H574),F574&gt;G574,H574&gt;0),(F574-H574)/(F574-G574)*1000,"")</f>
        <v/>
      </c>
      <c r="J574" s="17" t="str">
        <f aca="false">IF(AND(ISNUMBER(F574),ISNUMBER(G574),ISNUMBER(H574),F574&gt;G574,H574&gt;0),(F574-H574)/H574,"")</f>
        <v/>
      </c>
      <c r="K574" s="20" t="str">
        <f aca="false">IF(AND(ISNUMBER(F574),ISNUMBER(G574),ISNUMBER(H574),F574&gt;G574,H574&gt;0),H574/(F574-G574)*1000,"")</f>
        <v/>
      </c>
      <c r="L574" s="11" t="str">
        <f aca="false">IF(K574="","",IF(K574&gt;=CONFIG!$E$21,CONFIG!$D$21,IF(K574&gt;=CONFIG!$E$20,CONFIG!$D$20,CONFIG!$D$19)))</f>
        <v/>
      </c>
      <c r="M574" s="20" t="str">
        <f aca="false">IF(K574="","",IF(K574&gt;=CONFIG!$E$21,CONFIG!$F$21,IF(K574&gt;=CONFIG!$E$20,CONFIG!$F$20,CONFIG!$F$19)))</f>
        <v/>
      </c>
      <c r="N574" s="19" t="str">
        <f aca="false">IF(I574="","",IF(I574&lt;=M574,"OK","ALTA"))</f>
        <v/>
      </c>
      <c r="O574" s="13"/>
    </row>
    <row r="575" customFormat="false" ht="15" hidden="false" customHeight="false" outlineLevel="0" collapsed="false">
      <c r="A575" s="11" t="str">
        <f aca="false">IF(C575="","",ROW()-4)</f>
        <v/>
      </c>
      <c r="B575" s="12"/>
      <c r="C575" s="13"/>
      <c r="D575" s="11" t="str">
        <f aca="false">IF(C575="","",IFERROR(INDEX(LOTES!$D$5:$D$1004,MATCH(C575,LOTES!$F$5:$F$1004,0)),"¿Lote?"))</f>
        <v/>
      </c>
      <c r="E575" s="11" t="str">
        <f aca="false">IF(C575="","",IFERROR(INDEX(LOTES!$C$5:$C$1004,MATCH(C575,LOTES!$F$5:$F$1004,0)),""))</f>
        <v/>
      </c>
      <c r="F575" s="27"/>
      <c r="G575" s="27"/>
      <c r="H575" s="27"/>
      <c r="I575" s="20" t="str">
        <f aca="false">IF(AND(ISNUMBER(F575),ISNUMBER(G575),ISNUMBER(H575),F575&gt;G575,H575&gt;0),(F575-H575)/(F575-G575)*1000,"")</f>
        <v/>
      </c>
      <c r="J575" s="17" t="str">
        <f aca="false">IF(AND(ISNUMBER(F575),ISNUMBER(G575),ISNUMBER(H575),F575&gt;G575,H575&gt;0),(F575-H575)/H575,"")</f>
        <v/>
      </c>
      <c r="K575" s="20" t="str">
        <f aca="false">IF(AND(ISNUMBER(F575),ISNUMBER(G575),ISNUMBER(H575),F575&gt;G575,H575&gt;0),H575/(F575-G575)*1000,"")</f>
        <v/>
      </c>
      <c r="L575" s="11" t="str">
        <f aca="false">IF(K575="","",IF(K575&gt;=CONFIG!$E$21,CONFIG!$D$21,IF(K575&gt;=CONFIG!$E$20,CONFIG!$D$20,CONFIG!$D$19)))</f>
        <v/>
      </c>
      <c r="M575" s="20" t="str">
        <f aca="false">IF(K575="","",IF(K575&gt;=CONFIG!$E$21,CONFIG!$F$21,IF(K575&gt;=CONFIG!$E$20,CONFIG!$F$20,CONFIG!$F$19)))</f>
        <v/>
      </c>
      <c r="N575" s="19" t="str">
        <f aca="false">IF(I575="","",IF(I575&lt;=M575,"OK","ALTA"))</f>
        <v/>
      </c>
      <c r="O575" s="13"/>
    </row>
    <row r="576" customFormat="false" ht="15" hidden="false" customHeight="false" outlineLevel="0" collapsed="false">
      <c r="A576" s="11" t="str">
        <f aca="false">IF(C576="","",ROW()-4)</f>
        <v/>
      </c>
      <c r="B576" s="12"/>
      <c r="C576" s="13"/>
      <c r="D576" s="11" t="str">
        <f aca="false">IF(C576="","",IFERROR(INDEX(LOTES!$D$5:$D$1004,MATCH(C576,LOTES!$F$5:$F$1004,0)),"¿Lote?"))</f>
        <v/>
      </c>
      <c r="E576" s="11" t="str">
        <f aca="false">IF(C576="","",IFERROR(INDEX(LOTES!$C$5:$C$1004,MATCH(C576,LOTES!$F$5:$F$1004,0)),""))</f>
        <v/>
      </c>
      <c r="F576" s="27"/>
      <c r="G576" s="27"/>
      <c r="H576" s="27"/>
      <c r="I576" s="20" t="str">
        <f aca="false">IF(AND(ISNUMBER(F576),ISNUMBER(G576),ISNUMBER(H576),F576&gt;G576,H576&gt;0),(F576-H576)/(F576-G576)*1000,"")</f>
        <v/>
      </c>
      <c r="J576" s="17" t="str">
        <f aca="false">IF(AND(ISNUMBER(F576),ISNUMBER(G576),ISNUMBER(H576),F576&gt;G576,H576&gt;0),(F576-H576)/H576,"")</f>
        <v/>
      </c>
      <c r="K576" s="20" t="str">
        <f aca="false">IF(AND(ISNUMBER(F576),ISNUMBER(G576),ISNUMBER(H576),F576&gt;G576,H576&gt;0),H576/(F576-G576)*1000,"")</f>
        <v/>
      </c>
      <c r="L576" s="11" t="str">
        <f aca="false">IF(K576="","",IF(K576&gt;=CONFIG!$E$21,CONFIG!$D$21,IF(K576&gt;=CONFIG!$E$20,CONFIG!$D$20,CONFIG!$D$19)))</f>
        <v/>
      </c>
      <c r="M576" s="20" t="str">
        <f aca="false">IF(K576="","",IF(K576&gt;=CONFIG!$E$21,CONFIG!$F$21,IF(K576&gt;=CONFIG!$E$20,CONFIG!$F$20,CONFIG!$F$19)))</f>
        <v/>
      </c>
      <c r="N576" s="19" t="str">
        <f aca="false">IF(I576="","",IF(I576&lt;=M576,"OK","ALTA"))</f>
        <v/>
      </c>
      <c r="O576" s="13"/>
    </row>
    <row r="577" customFormat="false" ht="15" hidden="false" customHeight="false" outlineLevel="0" collapsed="false">
      <c r="A577" s="11" t="str">
        <f aca="false">IF(C577="","",ROW()-4)</f>
        <v/>
      </c>
      <c r="B577" s="12"/>
      <c r="C577" s="13"/>
      <c r="D577" s="11" t="str">
        <f aca="false">IF(C577="","",IFERROR(INDEX(LOTES!$D$5:$D$1004,MATCH(C577,LOTES!$F$5:$F$1004,0)),"¿Lote?"))</f>
        <v/>
      </c>
      <c r="E577" s="11" t="str">
        <f aca="false">IF(C577="","",IFERROR(INDEX(LOTES!$C$5:$C$1004,MATCH(C577,LOTES!$F$5:$F$1004,0)),""))</f>
        <v/>
      </c>
      <c r="F577" s="27"/>
      <c r="G577" s="27"/>
      <c r="H577" s="27"/>
      <c r="I577" s="20" t="str">
        <f aca="false">IF(AND(ISNUMBER(F577),ISNUMBER(G577),ISNUMBER(H577),F577&gt;G577,H577&gt;0),(F577-H577)/(F577-G577)*1000,"")</f>
        <v/>
      </c>
      <c r="J577" s="17" t="str">
        <f aca="false">IF(AND(ISNUMBER(F577),ISNUMBER(G577),ISNUMBER(H577),F577&gt;G577,H577&gt;0),(F577-H577)/H577,"")</f>
        <v/>
      </c>
      <c r="K577" s="20" t="str">
        <f aca="false">IF(AND(ISNUMBER(F577),ISNUMBER(G577),ISNUMBER(H577),F577&gt;G577,H577&gt;0),H577/(F577-G577)*1000,"")</f>
        <v/>
      </c>
      <c r="L577" s="11" t="str">
        <f aca="false">IF(K577="","",IF(K577&gt;=CONFIG!$E$21,CONFIG!$D$21,IF(K577&gt;=CONFIG!$E$20,CONFIG!$D$20,CONFIG!$D$19)))</f>
        <v/>
      </c>
      <c r="M577" s="20" t="str">
        <f aca="false">IF(K577="","",IF(K577&gt;=CONFIG!$E$21,CONFIG!$F$21,IF(K577&gt;=CONFIG!$E$20,CONFIG!$F$20,CONFIG!$F$19)))</f>
        <v/>
      </c>
      <c r="N577" s="19" t="str">
        <f aca="false">IF(I577="","",IF(I577&lt;=M577,"OK","ALTA"))</f>
        <v/>
      </c>
      <c r="O577" s="13"/>
    </row>
    <row r="578" customFormat="false" ht="15" hidden="false" customHeight="false" outlineLevel="0" collapsed="false">
      <c r="A578" s="11" t="str">
        <f aca="false">IF(C578="","",ROW()-4)</f>
        <v/>
      </c>
      <c r="B578" s="12"/>
      <c r="C578" s="13"/>
      <c r="D578" s="11" t="str">
        <f aca="false">IF(C578="","",IFERROR(INDEX(LOTES!$D$5:$D$1004,MATCH(C578,LOTES!$F$5:$F$1004,0)),"¿Lote?"))</f>
        <v/>
      </c>
      <c r="E578" s="11" t="str">
        <f aca="false">IF(C578="","",IFERROR(INDEX(LOTES!$C$5:$C$1004,MATCH(C578,LOTES!$F$5:$F$1004,0)),""))</f>
        <v/>
      </c>
      <c r="F578" s="27"/>
      <c r="G578" s="27"/>
      <c r="H578" s="27"/>
      <c r="I578" s="20" t="str">
        <f aca="false">IF(AND(ISNUMBER(F578),ISNUMBER(G578),ISNUMBER(H578),F578&gt;G578,H578&gt;0),(F578-H578)/(F578-G578)*1000,"")</f>
        <v/>
      </c>
      <c r="J578" s="17" t="str">
        <f aca="false">IF(AND(ISNUMBER(F578),ISNUMBER(G578),ISNUMBER(H578),F578&gt;G578,H578&gt;0),(F578-H578)/H578,"")</f>
        <v/>
      </c>
      <c r="K578" s="20" t="str">
        <f aca="false">IF(AND(ISNUMBER(F578),ISNUMBER(G578),ISNUMBER(H578),F578&gt;G578,H578&gt;0),H578/(F578-G578)*1000,"")</f>
        <v/>
      </c>
      <c r="L578" s="11" t="str">
        <f aca="false">IF(K578="","",IF(K578&gt;=CONFIG!$E$21,CONFIG!$D$21,IF(K578&gt;=CONFIG!$E$20,CONFIG!$D$20,CONFIG!$D$19)))</f>
        <v/>
      </c>
      <c r="M578" s="20" t="str">
        <f aca="false">IF(K578="","",IF(K578&gt;=CONFIG!$E$21,CONFIG!$F$21,IF(K578&gt;=CONFIG!$E$20,CONFIG!$F$20,CONFIG!$F$19)))</f>
        <v/>
      </c>
      <c r="N578" s="19" t="str">
        <f aca="false">IF(I578="","",IF(I578&lt;=M578,"OK","ALTA"))</f>
        <v/>
      </c>
      <c r="O578" s="13"/>
    </row>
    <row r="579" customFormat="false" ht="15" hidden="false" customHeight="false" outlineLevel="0" collapsed="false">
      <c r="A579" s="11" t="str">
        <f aca="false">IF(C579="","",ROW()-4)</f>
        <v/>
      </c>
      <c r="B579" s="12"/>
      <c r="C579" s="13"/>
      <c r="D579" s="11" t="str">
        <f aca="false">IF(C579="","",IFERROR(INDEX(LOTES!$D$5:$D$1004,MATCH(C579,LOTES!$F$5:$F$1004,0)),"¿Lote?"))</f>
        <v/>
      </c>
      <c r="E579" s="11" t="str">
        <f aca="false">IF(C579="","",IFERROR(INDEX(LOTES!$C$5:$C$1004,MATCH(C579,LOTES!$F$5:$F$1004,0)),""))</f>
        <v/>
      </c>
      <c r="F579" s="27"/>
      <c r="G579" s="27"/>
      <c r="H579" s="27"/>
      <c r="I579" s="20" t="str">
        <f aca="false">IF(AND(ISNUMBER(F579),ISNUMBER(G579),ISNUMBER(H579),F579&gt;G579,H579&gt;0),(F579-H579)/(F579-G579)*1000,"")</f>
        <v/>
      </c>
      <c r="J579" s="17" t="str">
        <f aca="false">IF(AND(ISNUMBER(F579),ISNUMBER(G579),ISNUMBER(H579),F579&gt;G579,H579&gt;0),(F579-H579)/H579,"")</f>
        <v/>
      </c>
      <c r="K579" s="20" t="str">
        <f aca="false">IF(AND(ISNUMBER(F579),ISNUMBER(G579),ISNUMBER(H579),F579&gt;G579,H579&gt;0),H579/(F579-G579)*1000,"")</f>
        <v/>
      </c>
      <c r="L579" s="11" t="str">
        <f aca="false">IF(K579="","",IF(K579&gt;=CONFIG!$E$21,CONFIG!$D$21,IF(K579&gt;=CONFIG!$E$20,CONFIG!$D$20,CONFIG!$D$19)))</f>
        <v/>
      </c>
      <c r="M579" s="20" t="str">
        <f aca="false">IF(K579="","",IF(K579&gt;=CONFIG!$E$21,CONFIG!$F$21,IF(K579&gt;=CONFIG!$E$20,CONFIG!$F$20,CONFIG!$F$19)))</f>
        <v/>
      </c>
      <c r="N579" s="19" t="str">
        <f aca="false">IF(I579="","",IF(I579&lt;=M579,"OK","ALTA"))</f>
        <v/>
      </c>
      <c r="O579" s="13"/>
    </row>
    <row r="580" customFormat="false" ht="15" hidden="false" customHeight="false" outlineLevel="0" collapsed="false">
      <c r="A580" s="11" t="str">
        <f aca="false">IF(C580="","",ROW()-4)</f>
        <v/>
      </c>
      <c r="B580" s="12"/>
      <c r="C580" s="13"/>
      <c r="D580" s="11" t="str">
        <f aca="false">IF(C580="","",IFERROR(INDEX(LOTES!$D$5:$D$1004,MATCH(C580,LOTES!$F$5:$F$1004,0)),"¿Lote?"))</f>
        <v/>
      </c>
      <c r="E580" s="11" t="str">
        <f aca="false">IF(C580="","",IFERROR(INDEX(LOTES!$C$5:$C$1004,MATCH(C580,LOTES!$F$5:$F$1004,0)),""))</f>
        <v/>
      </c>
      <c r="F580" s="27"/>
      <c r="G580" s="27"/>
      <c r="H580" s="27"/>
      <c r="I580" s="20" t="str">
        <f aca="false">IF(AND(ISNUMBER(F580),ISNUMBER(G580),ISNUMBER(H580),F580&gt;G580,H580&gt;0),(F580-H580)/(F580-G580)*1000,"")</f>
        <v/>
      </c>
      <c r="J580" s="17" t="str">
        <f aca="false">IF(AND(ISNUMBER(F580),ISNUMBER(G580),ISNUMBER(H580),F580&gt;G580,H580&gt;0),(F580-H580)/H580,"")</f>
        <v/>
      </c>
      <c r="K580" s="20" t="str">
        <f aca="false">IF(AND(ISNUMBER(F580),ISNUMBER(G580),ISNUMBER(H580),F580&gt;G580,H580&gt;0),H580/(F580-G580)*1000,"")</f>
        <v/>
      </c>
      <c r="L580" s="11" t="str">
        <f aca="false">IF(K580="","",IF(K580&gt;=CONFIG!$E$21,CONFIG!$D$21,IF(K580&gt;=CONFIG!$E$20,CONFIG!$D$20,CONFIG!$D$19)))</f>
        <v/>
      </c>
      <c r="M580" s="20" t="str">
        <f aca="false">IF(K580="","",IF(K580&gt;=CONFIG!$E$21,CONFIG!$F$21,IF(K580&gt;=CONFIG!$E$20,CONFIG!$F$20,CONFIG!$F$19)))</f>
        <v/>
      </c>
      <c r="N580" s="19" t="str">
        <f aca="false">IF(I580="","",IF(I580&lt;=M580,"OK","ALTA"))</f>
        <v/>
      </c>
      <c r="O580" s="13"/>
    </row>
    <row r="581" customFormat="false" ht="15" hidden="false" customHeight="false" outlineLevel="0" collapsed="false">
      <c r="A581" s="11" t="str">
        <f aca="false">IF(C581="","",ROW()-4)</f>
        <v/>
      </c>
      <c r="B581" s="12"/>
      <c r="C581" s="13"/>
      <c r="D581" s="11" t="str">
        <f aca="false">IF(C581="","",IFERROR(INDEX(LOTES!$D$5:$D$1004,MATCH(C581,LOTES!$F$5:$F$1004,0)),"¿Lote?"))</f>
        <v/>
      </c>
      <c r="E581" s="11" t="str">
        <f aca="false">IF(C581="","",IFERROR(INDEX(LOTES!$C$5:$C$1004,MATCH(C581,LOTES!$F$5:$F$1004,0)),""))</f>
        <v/>
      </c>
      <c r="F581" s="27"/>
      <c r="G581" s="27"/>
      <c r="H581" s="27"/>
      <c r="I581" s="20" t="str">
        <f aca="false">IF(AND(ISNUMBER(F581),ISNUMBER(G581),ISNUMBER(H581),F581&gt;G581,H581&gt;0),(F581-H581)/(F581-G581)*1000,"")</f>
        <v/>
      </c>
      <c r="J581" s="17" t="str">
        <f aca="false">IF(AND(ISNUMBER(F581),ISNUMBER(G581),ISNUMBER(H581),F581&gt;G581,H581&gt;0),(F581-H581)/H581,"")</f>
        <v/>
      </c>
      <c r="K581" s="20" t="str">
        <f aca="false">IF(AND(ISNUMBER(F581),ISNUMBER(G581),ISNUMBER(H581),F581&gt;G581,H581&gt;0),H581/(F581-G581)*1000,"")</f>
        <v/>
      </c>
      <c r="L581" s="11" t="str">
        <f aca="false">IF(K581="","",IF(K581&gt;=CONFIG!$E$21,CONFIG!$D$21,IF(K581&gt;=CONFIG!$E$20,CONFIG!$D$20,CONFIG!$D$19)))</f>
        <v/>
      </c>
      <c r="M581" s="20" t="str">
        <f aca="false">IF(K581="","",IF(K581&gt;=CONFIG!$E$21,CONFIG!$F$21,IF(K581&gt;=CONFIG!$E$20,CONFIG!$F$20,CONFIG!$F$19)))</f>
        <v/>
      </c>
      <c r="N581" s="19" t="str">
        <f aca="false">IF(I581="","",IF(I581&lt;=M581,"OK","ALTA"))</f>
        <v/>
      </c>
      <c r="O581" s="13"/>
    </row>
    <row r="582" customFormat="false" ht="15" hidden="false" customHeight="false" outlineLevel="0" collapsed="false">
      <c r="A582" s="11" t="str">
        <f aca="false">IF(C582="","",ROW()-4)</f>
        <v/>
      </c>
      <c r="B582" s="12"/>
      <c r="C582" s="13"/>
      <c r="D582" s="11" t="str">
        <f aca="false">IF(C582="","",IFERROR(INDEX(LOTES!$D$5:$D$1004,MATCH(C582,LOTES!$F$5:$F$1004,0)),"¿Lote?"))</f>
        <v/>
      </c>
      <c r="E582" s="11" t="str">
        <f aca="false">IF(C582="","",IFERROR(INDEX(LOTES!$C$5:$C$1004,MATCH(C582,LOTES!$F$5:$F$1004,0)),""))</f>
        <v/>
      </c>
      <c r="F582" s="27"/>
      <c r="G582" s="27"/>
      <c r="H582" s="27"/>
      <c r="I582" s="20" t="str">
        <f aca="false">IF(AND(ISNUMBER(F582),ISNUMBER(G582),ISNUMBER(H582),F582&gt;G582,H582&gt;0),(F582-H582)/(F582-G582)*1000,"")</f>
        <v/>
      </c>
      <c r="J582" s="17" t="str">
        <f aca="false">IF(AND(ISNUMBER(F582),ISNUMBER(G582),ISNUMBER(H582),F582&gt;G582,H582&gt;0),(F582-H582)/H582,"")</f>
        <v/>
      </c>
      <c r="K582" s="20" t="str">
        <f aca="false">IF(AND(ISNUMBER(F582),ISNUMBER(G582),ISNUMBER(H582),F582&gt;G582,H582&gt;0),H582/(F582-G582)*1000,"")</f>
        <v/>
      </c>
      <c r="L582" s="11" t="str">
        <f aca="false">IF(K582="","",IF(K582&gt;=CONFIG!$E$21,CONFIG!$D$21,IF(K582&gt;=CONFIG!$E$20,CONFIG!$D$20,CONFIG!$D$19)))</f>
        <v/>
      </c>
      <c r="M582" s="20" t="str">
        <f aca="false">IF(K582="","",IF(K582&gt;=CONFIG!$E$21,CONFIG!$F$21,IF(K582&gt;=CONFIG!$E$20,CONFIG!$F$20,CONFIG!$F$19)))</f>
        <v/>
      </c>
      <c r="N582" s="19" t="str">
        <f aca="false">IF(I582="","",IF(I582&lt;=M582,"OK","ALTA"))</f>
        <v/>
      </c>
      <c r="O582" s="13"/>
    </row>
    <row r="583" customFormat="false" ht="15" hidden="false" customHeight="false" outlineLevel="0" collapsed="false">
      <c r="A583" s="11" t="str">
        <f aca="false">IF(C583="","",ROW()-4)</f>
        <v/>
      </c>
      <c r="B583" s="12"/>
      <c r="C583" s="13"/>
      <c r="D583" s="11" t="str">
        <f aca="false">IF(C583="","",IFERROR(INDEX(LOTES!$D$5:$D$1004,MATCH(C583,LOTES!$F$5:$F$1004,0)),"¿Lote?"))</f>
        <v/>
      </c>
      <c r="E583" s="11" t="str">
        <f aca="false">IF(C583="","",IFERROR(INDEX(LOTES!$C$5:$C$1004,MATCH(C583,LOTES!$F$5:$F$1004,0)),""))</f>
        <v/>
      </c>
      <c r="F583" s="27"/>
      <c r="G583" s="27"/>
      <c r="H583" s="27"/>
      <c r="I583" s="20" t="str">
        <f aca="false">IF(AND(ISNUMBER(F583),ISNUMBER(G583),ISNUMBER(H583),F583&gt;G583,H583&gt;0),(F583-H583)/(F583-G583)*1000,"")</f>
        <v/>
      </c>
      <c r="J583" s="17" t="str">
        <f aca="false">IF(AND(ISNUMBER(F583),ISNUMBER(G583),ISNUMBER(H583),F583&gt;G583,H583&gt;0),(F583-H583)/H583,"")</f>
        <v/>
      </c>
      <c r="K583" s="20" t="str">
        <f aca="false">IF(AND(ISNUMBER(F583),ISNUMBER(G583),ISNUMBER(H583),F583&gt;G583,H583&gt;0),H583/(F583-G583)*1000,"")</f>
        <v/>
      </c>
      <c r="L583" s="11" t="str">
        <f aca="false">IF(K583="","",IF(K583&gt;=CONFIG!$E$21,CONFIG!$D$21,IF(K583&gt;=CONFIG!$E$20,CONFIG!$D$20,CONFIG!$D$19)))</f>
        <v/>
      </c>
      <c r="M583" s="20" t="str">
        <f aca="false">IF(K583="","",IF(K583&gt;=CONFIG!$E$21,CONFIG!$F$21,IF(K583&gt;=CONFIG!$E$20,CONFIG!$F$20,CONFIG!$F$19)))</f>
        <v/>
      </c>
      <c r="N583" s="19" t="str">
        <f aca="false">IF(I583="","",IF(I583&lt;=M583,"OK","ALTA"))</f>
        <v/>
      </c>
      <c r="O583" s="13"/>
    </row>
    <row r="584" customFormat="false" ht="15" hidden="false" customHeight="false" outlineLevel="0" collapsed="false">
      <c r="A584" s="11" t="str">
        <f aca="false">IF(C584="","",ROW()-4)</f>
        <v/>
      </c>
      <c r="B584" s="12"/>
      <c r="C584" s="13"/>
      <c r="D584" s="11" t="str">
        <f aca="false">IF(C584="","",IFERROR(INDEX(LOTES!$D$5:$D$1004,MATCH(C584,LOTES!$F$5:$F$1004,0)),"¿Lote?"))</f>
        <v/>
      </c>
      <c r="E584" s="11" t="str">
        <f aca="false">IF(C584="","",IFERROR(INDEX(LOTES!$C$5:$C$1004,MATCH(C584,LOTES!$F$5:$F$1004,0)),""))</f>
        <v/>
      </c>
      <c r="F584" s="27"/>
      <c r="G584" s="27"/>
      <c r="H584" s="27"/>
      <c r="I584" s="20" t="str">
        <f aca="false">IF(AND(ISNUMBER(F584),ISNUMBER(G584),ISNUMBER(H584),F584&gt;G584,H584&gt;0),(F584-H584)/(F584-G584)*1000,"")</f>
        <v/>
      </c>
      <c r="J584" s="17" t="str">
        <f aca="false">IF(AND(ISNUMBER(F584),ISNUMBER(G584),ISNUMBER(H584),F584&gt;G584,H584&gt;0),(F584-H584)/H584,"")</f>
        <v/>
      </c>
      <c r="K584" s="20" t="str">
        <f aca="false">IF(AND(ISNUMBER(F584),ISNUMBER(G584),ISNUMBER(H584),F584&gt;G584,H584&gt;0),H584/(F584-G584)*1000,"")</f>
        <v/>
      </c>
      <c r="L584" s="11" t="str">
        <f aca="false">IF(K584="","",IF(K584&gt;=CONFIG!$E$21,CONFIG!$D$21,IF(K584&gt;=CONFIG!$E$20,CONFIG!$D$20,CONFIG!$D$19)))</f>
        <v/>
      </c>
      <c r="M584" s="20" t="str">
        <f aca="false">IF(K584="","",IF(K584&gt;=CONFIG!$E$21,CONFIG!$F$21,IF(K584&gt;=CONFIG!$E$20,CONFIG!$F$20,CONFIG!$F$19)))</f>
        <v/>
      </c>
      <c r="N584" s="19" t="str">
        <f aca="false">IF(I584="","",IF(I584&lt;=M584,"OK","ALTA"))</f>
        <v/>
      </c>
      <c r="O584" s="13"/>
    </row>
    <row r="585" customFormat="false" ht="15" hidden="false" customHeight="false" outlineLevel="0" collapsed="false">
      <c r="A585" s="11" t="str">
        <f aca="false">IF(C585="","",ROW()-4)</f>
        <v/>
      </c>
      <c r="B585" s="12"/>
      <c r="C585" s="13"/>
      <c r="D585" s="11" t="str">
        <f aca="false">IF(C585="","",IFERROR(INDEX(LOTES!$D$5:$D$1004,MATCH(C585,LOTES!$F$5:$F$1004,0)),"¿Lote?"))</f>
        <v/>
      </c>
      <c r="E585" s="11" t="str">
        <f aca="false">IF(C585="","",IFERROR(INDEX(LOTES!$C$5:$C$1004,MATCH(C585,LOTES!$F$5:$F$1004,0)),""))</f>
        <v/>
      </c>
      <c r="F585" s="27"/>
      <c r="G585" s="27"/>
      <c r="H585" s="27"/>
      <c r="I585" s="20" t="str">
        <f aca="false">IF(AND(ISNUMBER(F585),ISNUMBER(G585),ISNUMBER(H585),F585&gt;G585,H585&gt;0),(F585-H585)/(F585-G585)*1000,"")</f>
        <v/>
      </c>
      <c r="J585" s="17" t="str">
        <f aca="false">IF(AND(ISNUMBER(F585),ISNUMBER(G585),ISNUMBER(H585),F585&gt;G585,H585&gt;0),(F585-H585)/H585,"")</f>
        <v/>
      </c>
      <c r="K585" s="20" t="str">
        <f aca="false">IF(AND(ISNUMBER(F585),ISNUMBER(G585),ISNUMBER(H585),F585&gt;G585,H585&gt;0),H585/(F585-G585)*1000,"")</f>
        <v/>
      </c>
      <c r="L585" s="11" t="str">
        <f aca="false">IF(K585="","",IF(K585&gt;=CONFIG!$E$21,CONFIG!$D$21,IF(K585&gt;=CONFIG!$E$20,CONFIG!$D$20,CONFIG!$D$19)))</f>
        <v/>
      </c>
      <c r="M585" s="20" t="str">
        <f aca="false">IF(K585="","",IF(K585&gt;=CONFIG!$E$21,CONFIG!$F$21,IF(K585&gt;=CONFIG!$E$20,CONFIG!$F$20,CONFIG!$F$19)))</f>
        <v/>
      </c>
      <c r="N585" s="19" t="str">
        <f aca="false">IF(I585="","",IF(I585&lt;=M585,"OK","ALTA"))</f>
        <v/>
      </c>
      <c r="O585" s="13"/>
    </row>
    <row r="586" customFormat="false" ht="15" hidden="false" customHeight="false" outlineLevel="0" collapsed="false">
      <c r="A586" s="11" t="str">
        <f aca="false">IF(C586="","",ROW()-4)</f>
        <v/>
      </c>
      <c r="B586" s="12"/>
      <c r="C586" s="13"/>
      <c r="D586" s="11" t="str">
        <f aca="false">IF(C586="","",IFERROR(INDEX(LOTES!$D$5:$D$1004,MATCH(C586,LOTES!$F$5:$F$1004,0)),"¿Lote?"))</f>
        <v/>
      </c>
      <c r="E586" s="11" t="str">
        <f aca="false">IF(C586="","",IFERROR(INDEX(LOTES!$C$5:$C$1004,MATCH(C586,LOTES!$F$5:$F$1004,0)),""))</f>
        <v/>
      </c>
      <c r="F586" s="27"/>
      <c r="G586" s="27"/>
      <c r="H586" s="27"/>
      <c r="I586" s="20" t="str">
        <f aca="false">IF(AND(ISNUMBER(F586),ISNUMBER(G586),ISNUMBER(H586),F586&gt;G586,H586&gt;0),(F586-H586)/(F586-G586)*1000,"")</f>
        <v/>
      </c>
      <c r="J586" s="17" t="str">
        <f aca="false">IF(AND(ISNUMBER(F586),ISNUMBER(G586),ISNUMBER(H586),F586&gt;G586,H586&gt;0),(F586-H586)/H586,"")</f>
        <v/>
      </c>
      <c r="K586" s="20" t="str">
        <f aca="false">IF(AND(ISNUMBER(F586),ISNUMBER(G586),ISNUMBER(H586),F586&gt;G586,H586&gt;0),H586/(F586-G586)*1000,"")</f>
        <v/>
      </c>
      <c r="L586" s="11" t="str">
        <f aca="false">IF(K586="","",IF(K586&gt;=CONFIG!$E$21,CONFIG!$D$21,IF(K586&gt;=CONFIG!$E$20,CONFIG!$D$20,CONFIG!$D$19)))</f>
        <v/>
      </c>
      <c r="M586" s="20" t="str">
        <f aca="false">IF(K586="","",IF(K586&gt;=CONFIG!$E$21,CONFIG!$F$21,IF(K586&gt;=CONFIG!$E$20,CONFIG!$F$20,CONFIG!$F$19)))</f>
        <v/>
      </c>
      <c r="N586" s="19" t="str">
        <f aca="false">IF(I586="","",IF(I586&lt;=M586,"OK","ALTA"))</f>
        <v/>
      </c>
      <c r="O586" s="13"/>
    </row>
    <row r="587" customFormat="false" ht="15" hidden="false" customHeight="false" outlineLevel="0" collapsed="false">
      <c r="A587" s="11" t="str">
        <f aca="false">IF(C587="","",ROW()-4)</f>
        <v/>
      </c>
      <c r="B587" s="12"/>
      <c r="C587" s="13"/>
      <c r="D587" s="11" t="str">
        <f aca="false">IF(C587="","",IFERROR(INDEX(LOTES!$D$5:$D$1004,MATCH(C587,LOTES!$F$5:$F$1004,0)),"¿Lote?"))</f>
        <v/>
      </c>
      <c r="E587" s="11" t="str">
        <f aca="false">IF(C587="","",IFERROR(INDEX(LOTES!$C$5:$C$1004,MATCH(C587,LOTES!$F$5:$F$1004,0)),""))</f>
        <v/>
      </c>
      <c r="F587" s="27"/>
      <c r="G587" s="27"/>
      <c r="H587" s="27"/>
      <c r="I587" s="20" t="str">
        <f aca="false">IF(AND(ISNUMBER(F587),ISNUMBER(G587),ISNUMBER(H587),F587&gt;G587,H587&gt;0),(F587-H587)/(F587-G587)*1000,"")</f>
        <v/>
      </c>
      <c r="J587" s="17" t="str">
        <f aca="false">IF(AND(ISNUMBER(F587),ISNUMBER(G587),ISNUMBER(H587),F587&gt;G587,H587&gt;0),(F587-H587)/H587,"")</f>
        <v/>
      </c>
      <c r="K587" s="20" t="str">
        <f aca="false">IF(AND(ISNUMBER(F587),ISNUMBER(G587),ISNUMBER(H587),F587&gt;G587,H587&gt;0),H587/(F587-G587)*1000,"")</f>
        <v/>
      </c>
      <c r="L587" s="11" t="str">
        <f aca="false">IF(K587="","",IF(K587&gt;=CONFIG!$E$21,CONFIG!$D$21,IF(K587&gt;=CONFIG!$E$20,CONFIG!$D$20,CONFIG!$D$19)))</f>
        <v/>
      </c>
      <c r="M587" s="20" t="str">
        <f aca="false">IF(K587="","",IF(K587&gt;=CONFIG!$E$21,CONFIG!$F$21,IF(K587&gt;=CONFIG!$E$20,CONFIG!$F$20,CONFIG!$F$19)))</f>
        <v/>
      </c>
      <c r="N587" s="19" t="str">
        <f aca="false">IF(I587="","",IF(I587&lt;=M587,"OK","ALTA"))</f>
        <v/>
      </c>
      <c r="O587" s="13"/>
    </row>
    <row r="588" customFormat="false" ht="15" hidden="false" customHeight="false" outlineLevel="0" collapsed="false">
      <c r="A588" s="11" t="str">
        <f aca="false">IF(C588="","",ROW()-4)</f>
        <v/>
      </c>
      <c r="B588" s="12"/>
      <c r="C588" s="13"/>
      <c r="D588" s="11" t="str">
        <f aca="false">IF(C588="","",IFERROR(INDEX(LOTES!$D$5:$D$1004,MATCH(C588,LOTES!$F$5:$F$1004,0)),"¿Lote?"))</f>
        <v/>
      </c>
      <c r="E588" s="11" t="str">
        <f aca="false">IF(C588="","",IFERROR(INDEX(LOTES!$C$5:$C$1004,MATCH(C588,LOTES!$F$5:$F$1004,0)),""))</f>
        <v/>
      </c>
      <c r="F588" s="27"/>
      <c r="G588" s="27"/>
      <c r="H588" s="27"/>
      <c r="I588" s="20" t="str">
        <f aca="false">IF(AND(ISNUMBER(F588),ISNUMBER(G588),ISNUMBER(H588),F588&gt;G588,H588&gt;0),(F588-H588)/(F588-G588)*1000,"")</f>
        <v/>
      </c>
      <c r="J588" s="17" t="str">
        <f aca="false">IF(AND(ISNUMBER(F588),ISNUMBER(G588),ISNUMBER(H588),F588&gt;G588,H588&gt;0),(F588-H588)/H588,"")</f>
        <v/>
      </c>
      <c r="K588" s="20" t="str">
        <f aca="false">IF(AND(ISNUMBER(F588),ISNUMBER(G588),ISNUMBER(H588),F588&gt;G588,H588&gt;0),H588/(F588-G588)*1000,"")</f>
        <v/>
      </c>
      <c r="L588" s="11" t="str">
        <f aca="false">IF(K588="","",IF(K588&gt;=CONFIG!$E$21,CONFIG!$D$21,IF(K588&gt;=CONFIG!$E$20,CONFIG!$D$20,CONFIG!$D$19)))</f>
        <v/>
      </c>
      <c r="M588" s="20" t="str">
        <f aca="false">IF(K588="","",IF(K588&gt;=CONFIG!$E$21,CONFIG!$F$21,IF(K588&gt;=CONFIG!$E$20,CONFIG!$F$20,CONFIG!$F$19)))</f>
        <v/>
      </c>
      <c r="N588" s="19" t="str">
        <f aca="false">IF(I588="","",IF(I588&lt;=M588,"OK","ALTA"))</f>
        <v/>
      </c>
      <c r="O588" s="13"/>
    </row>
    <row r="589" customFormat="false" ht="15" hidden="false" customHeight="false" outlineLevel="0" collapsed="false">
      <c r="A589" s="11" t="str">
        <f aca="false">IF(C589="","",ROW()-4)</f>
        <v/>
      </c>
      <c r="B589" s="12"/>
      <c r="C589" s="13"/>
      <c r="D589" s="11" t="str">
        <f aca="false">IF(C589="","",IFERROR(INDEX(LOTES!$D$5:$D$1004,MATCH(C589,LOTES!$F$5:$F$1004,0)),"¿Lote?"))</f>
        <v/>
      </c>
      <c r="E589" s="11" t="str">
        <f aca="false">IF(C589="","",IFERROR(INDEX(LOTES!$C$5:$C$1004,MATCH(C589,LOTES!$F$5:$F$1004,0)),""))</f>
        <v/>
      </c>
      <c r="F589" s="27"/>
      <c r="G589" s="27"/>
      <c r="H589" s="27"/>
      <c r="I589" s="20" t="str">
        <f aca="false">IF(AND(ISNUMBER(F589),ISNUMBER(G589),ISNUMBER(H589),F589&gt;G589,H589&gt;0),(F589-H589)/(F589-G589)*1000,"")</f>
        <v/>
      </c>
      <c r="J589" s="17" t="str">
        <f aca="false">IF(AND(ISNUMBER(F589),ISNUMBER(G589),ISNUMBER(H589),F589&gt;G589,H589&gt;0),(F589-H589)/H589,"")</f>
        <v/>
      </c>
      <c r="K589" s="20" t="str">
        <f aca="false">IF(AND(ISNUMBER(F589),ISNUMBER(G589),ISNUMBER(H589),F589&gt;G589,H589&gt;0),H589/(F589-G589)*1000,"")</f>
        <v/>
      </c>
      <c r="L589" s="11" t="str">
        <f aca="false">IF(K589="","",IF(K589&gt;=CONFIG!$E$21,CONFIG!$D$21,IF(K589&gt;=CONFIG!$E$20,CONFIG!$D$20,CONFIG!$D$19)))</f>
        <v/>
      </c>
      <c r="M589" s="20" t="str">
        <f aca="false">IF(K589="","",IF(K589&gt;=CONFIG!$E$21,CONFIG!$F$21,IF(K589&gt;=CONFIG!$E$20,CONFIG!$F$20,CONFIG!$F$19)))</f>
        <v/>
      </c>
      <c r="N589" s="19" t="str">
        <f aca="false">IF(I589="","",IF(I589&lt;=M589,"OK","ALTA"))</f>
        <v/>
      </c>
      <c r="O589" s="13"/>
    </row>
    <row r="590" customFormat="false" ht="15" hidden="false" customHeight="false" outlineLevel="0" collapsed="false">
      <c r="A590" s="11" t="str">
        <f aca="false">IF(C590="","",ROW()-4)</f>
        <v/>
      </c>
      <c r="B590" s="12"/>
      <c r="C590" s="13"/>
      <c r="D590" s="11" t="str">
        <f aca="false">IF(C590="","",IFERROR(INDEX(LOTES!$D$5:$D$1004,MATCH(C590,LOTES!$F$5:$F$1004,0)),"¿Lote?"))</f>
        <v/>
      </c>
      <c r="E590" s="11" t="str">
        <f aca="false">IF(C590="","",IFERROR(INDEX(LOTES!$C$5:$C$1004,MATCH(C590,LOTES!$F$5:$F$1004,0)),""))</f>
        <v/>
      </c>
      <c r="F590" s="27"/>
      <c r="G590" s="27"/>
      <c r="H590" s="27"/>
      <c r="I590" s="20" t="str">
        <f aca="false">IF(AND(ISNUMBER(F590),ISNUMBER(G590),ISNUMBER(H590),F590&gt;G590,H590&gt;0),(F590-H590)/(F590-G590)*1000,"")</f>
        <v/>
      </c>
      <c r="J590" s="17" t="str">
        <f aca="false">IF(AND(ISNUMBER(F590),ISNUMBER(G590),ISNUMBER(H590),F590&gt;G590,H590&gt;0),(F590-H590)/H590,"")</f>
        <v/>
      </c>
      <c r="K590" s="20" t="str">
        <f aca="false">IF(AND(ISNUMBER(F590),ISNUMBER(G590),ISNUMBER(H590),F590&gt;G590,H590&gt;0),H590/(F590-G590)*1000,"")</f>
        <v/>
      </c>
      <c r="L590" s="11" t="str">
        <f aca="false">IF(K590="","",IF(K590&gt;=CONFIG!$E$21,CONFIG!$D$21,IF(K590&gt;=CONFIG!$E$20,CONFIG!$D$20,CONFIG!$D$19)))</f>
        <v/>
      </c>
      <c r="M590" s="20" t="str">
        <f aca="false">IF(K590="","",IF(K590&gt;=CONFIG!$E$21,CONFIG!$F$21,IF(K590&gt;=CONFIG!$E$20,CONFIG!$F$20,CONFIG!$F$19)))</f>
        <v/>
      </c>
      <c r="N590" s="19" t="str">
        <f aca="false">IF(I590="","",IF(I590&lt;=M590,"OK","ALTA"))</f>
        <v/>
      </c>
      <c r="O590" s="13"/>
    </row>
    <row r="591" customFormat="false" ht="15" hidden="false" customHeight="false" outlineLevel="0" collapsed="false">
      <c r="A591" s="11" t="str">
        <f aca="false">IF(C591="","",ROW()-4)</f>
        <v/>
      </c>
      <c r="B591" s="12"/>
      <c r="C591" s="13"/>
      <c r="D591" s="11" t="str">
        <f aca="false">IF(C591="","",IFERROR(INDEX(LOTES!$D$5:$D$1004,MATCH(C591,LOTES!$F$5:$F$1004,0)),"¿Lote?"))</f>
        <v/>
      </c>
      <c r="E591" s="11" t="str">
        <f aca="false">IF(C591="","",IFERROR(INDEX(LOTES!$C$5:$C$1004,MATCH(C591,LOTES!$F$5:$F$1004,0)),""))</f>
        <v/>
      </c>
      <c r="F591" s="27"/>
      <c r="G591" s="27"/>
      <c r="H591" s="27"/>
      <c r="I591" s="20" t="str">
        <f aca="false">IF(AND(ISNUMBER(F591),ISNUMBER(G591),ISNUMBER(H591),F591&gt;G591,H591&gt;0),(F591-H591)/(F591-G591)*1000,"")</f>
        <v/>
      </c>
      <c r="J591" s="17" t="str">
        <f aca="false">IF(AND(ISNUMBER(F591),ISNUMBER(G591),ISNUMBER(H591),F591&gt;G591,H591&gt;0),(F591-H591)/H591,"")</f>
        <v/>
      </c>
      <c r="K591" s="20" t="str">
        <f aca="false">IF(AND(ISNUMBER(F591),ISNUMBER(G591),ISNUMBER(H591),F591&gt;G591,H591&gt;0),H591/(F591-G591)*1000,"")</f>
        <v/>
      </c>
      <c r="L591" s="11" t="str">
        <f aca="false">IF(K591="","",IF(K591&gt;=CONFIG!$E$21,CONFIG!$D$21,IF(K591&gt;=CONFIG!$E$20,CONFIG!$D$20,CONFIG!$D$19)))</f>
        <v/>
      </c>
      <c r="M591" s="20" t="str">
        <f aca="false">IF(K591="","",IF(K591&gt;=CONFIG!$E$21,CONFIG!$F$21,IF(K591&gt;=CONFIG!$E$20,CONFIG!$F$20,CONFIG!$F$19)))</f>
        <v/>
      </c>
      <c r="N591" s="19" t="str">
        <f aca="false">IF(I591="","",IF(I591&lt;=M591,"OK","ALTA"))</f>
        <v/>
      </c>
      <c r="O591" s="13"/>
    </row>
    <row r="592" customFormat="false" ht="15" hidden="false" customHeight="false" outlineLevel="0" collapsed="false">
      <c r="A592" s="11" t="str">
        <f aca="false">IF(C592="","",ROW()-4)</f>
        <v/>
      </c>
      <c r="B592" s="12"/>
      <c r="C592" s="13"/>
      <c r="D592" s="11" t="str">
        <f aca="false">IF(C592="","",IFERROR(INDEX(LOTES!$D$5:$D$1004,MATCH(C592,LOTES!$F$5:$F$1004,0)),"¿Lote?"))</f>
        <v/>
      </c>
      <c r="E592" s="11" t="str">
        <f aca="false">IF(C592="","",IFERROR(INDEX(LOTES!$C$5:$C$1004,MATCH(C592,LOTES!$F$5:$F$1004,0)),""))</f>
        <v/>
      </c>
      <c r="F592" s="27"/>
      <c r="G592" s="27"/>
      <c r="H592" s="27"/>
      <c r="I592" s="20" t="str">
        <f aca="false">IF(AND(ISNUMBER(F592),ISNUMBER(G592),ISNUMBER(H592),F592&gt;G592,H592&gt;0),(F592-H592)/(F592-G592)*1000,"")</f>
        <v/>
      </c>
      <c r="J592" s="17" t="str">
        <f aca="false">IF(AND(ISNUMBER(F592),ISNUMBER(G592),ISNUMBER(H592),F592&gt;G592,H592&gt;0),(F592-H592)/H592,"")</f>
        <v/>
      </c>
      <c r="K592" s="20" t="str">
        <f aca="false">IF(AND(ISNUMBER(F592),ISNUMBER(G592),ISNUMBER(H592),F592&gt;G592,H592&gt;0),H592/(F592-G592)*1000,"")</f>
        <v/>
      </c>
      <c r="L592" s="11" t="str">
        <f aca="false">IF(K592="","",IF(K592&gt;=CONFIG!$E$21,CONFIG!$D$21,IF(K592&gt;=CONFIG!$E$20,CONFIG!$D$20,CONFIG!$D$19)))</f>
        <v/>
      </c>
      <c r="M592" s="20" t="str">
        <f aca="false">IF(K592="","",IF(K592&gt;=CONFIG!$E$21,CONFIG!$F$21,IF(K592&gt;=CONFIG!$E$20,CONFIG!$F$20,CONFIG!$F$19)))</f>
        <v/>
      </c>
      <c r="N592" s="19" t="str">
        <f aca="false">IF(I592="","",IF(I592&lt;=M592,"OK","ALTA"))</f>
        <v/>
      </c>
      <c r="O592" s="13"/>
    </row>
    <row r="593" customFormat="false" ht="15" hidden="false" customHeight="false" outlineLevel="0" collapsed="false">
      <c r="A593" s="11" t="str">
        <f aca="false">IF(C593="","",ROW()-4)</f>
        <v/>
      </c>
      <c r="B593" s="12"/>
      <c r="C593" s="13"/>
      <c r="D593" s="11" t="str">
        <f aca="false">IF(C593="","",IFERROR(INDEX(LOTES!$D$5:$D$1004,MATCH(C593,LOTES!$F$5:$F$1004,0)),"¿Lote?"))</f>
        <v/>
      </c>
      <c r="E593" s="11" t="str">
        <f aca="false">IF(C593="","",IFERROR(INDEX(LOTES!$C$5:$C$1004,MATCH(C593,LOTES!$F$5:$F$1004,0)),""))</f>
        <v/>
      </c>
      <c r="F593" s="27"/>
      <c r="G593" s="27"/>
      <c r="H593" s="27"/>
      <c r="I593" s="20" t="str">
        <f aca="false">IF(AND(ISNUMBER(F593),ISNUMBER(G593),ISNUMBER(H593),F593&gt;G593,H593&gt;0),(F593-H593)/(F593-G593)*1000,"")</f>
        <v/>
      </c>
      <c r="J593" s="17" t="str">
        <f aca="false">IF(AND(ISNUMBER(F593),ISNUMBER(G593),ISNUMBER(H593),F593&gt;G593,H593&gt;0),(F593-H593)/H593,"")</f>
        <v/>
      </c>
      <c r="K593" s="20" t="str">
        <f aca="false">IF(AND(ISNUMBER(F593),ISNUMBER(G593),ISNUMBER(H593),F593&gt;G593,H593&gt;0),H593/(F593-G593)*1000,"")</f>
        <v/>
      </c>
      <c r="L593" s="11" t="str">
        <f aca="false">IF(K593="","",IF(K593&gt;=CONFIG!$E$21,CONFIG!$D$21,IF(K593&gt;=CONFIG!$E$20,CONFIG!$D$20,CONFIG!$D$19)))</f>
        <v/>
      </c>
      <c r="M593" s="20" t="str">
        <f aca="false">IF(K593="","",IF(K593&gt;=CONFIG!$E$21,CONFIG!$F$21,IF(K593&gt;=CONFIG!$E$20,CONFIG!$F$20,CONFIG!$F$19)))</f>
        <v/>
      </c>
      <c r="N593" s="19" t="str">
        <f aca="false">IF(I593="","",IF(I593&lt;=M593,"OK","ALTA"))</f>
        <v/>
      </c>
      <c r="O593" s="13"/>
    </row>
    <row r="594" customFormat="false" ht="15" hidden="false" customHeight="false" outlineLevel="0" collapsed="false">
      <c r="A594" s="11" t="str">
        <f aca="false">IF(C594="","",ROW()-4)</f>
        <v/>
      </c>
      <c r="B594" s="12"/>
      <c r="C594" s="13"/>
      <c r="D594" s="11" t="str">
        <f aca="false">IF(C594="","",IFERROR(INDEX(LOTES!$D$5:$D$1004,MATCH(C594,LOTES!$F$5:$F$1004,0)),"¿Lote?"))</f>
        <v/>
      </c>
      <c r="E594" s="11" t="str">
        <f aca="false">IF(C594="","",IFERROR(INDEX(LOTES!$C$5:$C$1004,MATCH(C594,LOTES!$F$5:$F$1004,0)),""))</f>
        <v/>
      </c>
      <c r="F594" s="27"/>
      <c r="G594" s="27"/>
      <c r="H594" s="27"/>
      <c r="I594" s="20" t="str">
        <f aca="false">IF(AND(ISNUMBER(F594),ISNUMBER(G594),ISNUMBER(H594),F594&gt;G594,H594&gt;0),(F594-H594)/(F594-G594)*1000,"")</f>
        <v/>
      </c>
      <c r="J594" s="17" t="str">
        <f aca="false">IF(AND(ISNUMBER(F594),ISNUMBER(G594),ISNUMBER(H594),F594&gt;G594,H594&gt;0),(F594-H594)/H594,"")</f>
        <v/>
      </c>
      <c r="K594" s="20" t="str">
        <f aca="false">IF(AND(ISNUMBER(F594),ISNUMBER(G594),ISNUMBER(H594),F594&gt;G594,H594&gt;0),H594/(F594-G594)*1000,"")</f>
        <v/>
      </c>
      <c r="L594" s="11" t="str">
        <f aca="false">IF(K594="","",IF(K594&gt;=CONFIG!$E$21,CONFIG!$D$21,IF(K594&gt;=CONFIG!$E$20,CONFIG!$D$20,CONFIG!$D$19)))</f>
        <v/>
      </c>
      <c r="M594" s="20" t="str">
        <f aca="false">IF(K594="","",IF(K594&gt;=CONFIG!$E$21,CONFIG!$F$21,IF(K594&gt;=CONFIG!$E$20,CONFIG!$F$20,CONFIG!$F$19)))</f>
        <v/>
      </c>
      <c r="N594" s="19" t="str">
        <f aca="false">IF(I594="","",IF(I594&lt;=M594,"OK","ALTA"))</f>
        <v/>
      </c>
      <c r="O594" s="13"/>
    </row>
    <row r="595" customFormat="false" ht="15" hidden="false" customHeight="false" outlineLevel="0" collapsed="false">
      <c r="A595" s="11" t="str">
        <f aca="false">IF(C595="","",ROW()-4)</f>
        <v/>
      </c>
      <c r="B595" s="12"/>
      <c r="C595" s="13"/>
      <c r="D595" s="11" t="str">
        <f aca="false">IF(C595="","",IFERROR(INDEX(LOTES!$D$5:$D$1004,MATCH(C595,LOTES!$F$5:$F$1004,0)),"¿Lote?"))</f>
        <v/>
      </c>
      <c r="E595" s="11" t="str">
        <f aca="false">IF(C595="","",IFERROR(INDEX(LOTES!$C$5:$C$1004,MATCH(C595,LOTES!$F$5:$F$1004,0)),""))</f>
        <v/>
      </c>
      <c r="F595" s="27"/>
      <c r="G595" s="27"/>
      <c r="H595" s="27"/>
      <c r="I595" s="20" t="str">
        <f aca="false">IF(AND(ISNUMBER(F595),ISNUMBER(G595),ISNUMBER(H595),F595&gt;G595,H595&gt;0),(F595-H595)/(F595-G595)*1000,"")</f>
        <v/>
      </c>
      <c r="J595" s="17" t="str">
        <f aca="false">IF(AND(ISNUMBER(F595),ISNUMBER(G595),ISNUMBER(H595),F595&gt;G595,H595&gt;0),(F595-H595)/H595,"")</f>
        <v/>
      </c>
      <c r="K595" s="20" t="str">
        <f aca="false">IF(AND(ISNUMBER(F595),ISNUMBER(G595),ISNUMBER(H595),F595&gt;G595,H595&gt;0),H595/(F595-G595)*1000,"")</f>
        <v/>
      </c>
      <c r="L595" s="11" t="str">
        <f aca="false">IF(K595="","",IF(K595&gt;=CONFIG!$E$21,CONFIG!$D$21,IF(K595&gt;=CONFIG!$E$20,CONFIG!$D$20,CONFIG!$D$19)))</f>
        <v/>
      </c>
      <c r="M595" s="20" t="str">
        <f aca="false">IF(K595="","",IF(K595&gt;=CONFIG!$E$21,CONFIG!$F$21,IF(K595&gt;=CONFIG!$E$20,CONFIG!$F$20,CONFIG!$F$19)))</f>
        <v/>
      </c>
      <c r="N595" s="19" t="str">
        <f aca="false">IF(I595="","",IF(I595&lt;=M595,"OK","ALTA"))</f>
        <v/>
      </c>
      <c r="O595" s="13"/>
    </row>
    <row r="596" customFormat="false" ht="15" hidden="false" customHeight="false" outlineLevel="0" collapsed="false">
      <c r="A596" s="11" t="str">
        <f aca="false">IF(C596="","",ROW()-4)</f>
        <v/>
      </c>
      <c r="B596" s="12"/>
      <c r="C596" s="13"/>
      <c r="D596" s="11" t="str">
        <f aca="false">IF(C596="","",IFERROR(INDEX(LOTES!$D$5:$D$1004,MATCH(C596,LOTES!$F$5:$F$1004,0)),"¿Lote?"))</f>
        <v/>
      </c>
      <c r="E596" s="11" t="str">
        <f aca="false">IF(C596="","",IFERROR(INDEX(LOTES!$C$5:$C$1004,MATCH(C596,LOTES!$F$5:$F$1004,0)),""))</f>
        <v/>
      </c>
      <c r="F596" s="27"/>
      <c r="G596" s="27"/>
      <c r="H596" s="27"/>
      <c r="I596" s="20" t="str">
        <f aca="false">IF(AND(ISNUMBER(F596),ISNUMBER(G596),ISNUMBER(H596),F596&gt;G596,H596&gt;0),(F596-H596)/(F596-G596)*1000,"")</f>
        <v/>
      </c>
      <c r="J596" s="17" t="str">
        <f aca="false">IF(AND(ISNUMBER(F596),ISNUMBER(G596),ISNUMBER(H596),F596&gt;G596,H596&gt;0),(F596-H596)/H596,"")</f>
        <v/>
      </c>
      <c r="K596" s="20" t="str">
        <f aca="false">IF(AND(ISNUMBER(F596),ISNUMBER(G596),ISNUMBER(H596),F596&gt;G596,H596&gt;0),H596/(F596-G596)*1000,"")</f>
        <v/>
      </c>
      <c r="L596" s="11" t="str">
        <f aca="false">IF(K596="","",IF(K596&gt;=CONFIG!$E$21,CONFIG!$D$21,IF(K596&gt;=CONFIG!$E$20,CONFIG!$D$20,CONFIG!$D$19)))</f>
        <v/>
      </c>
      <c r="M596" s="20" t="str">
        <f aca="false">IF(K596="","",IF(K596&gt;=CONFIG!$E$21,CONFIG!$F$21,IF(K596&gt;=CONFIG!$E$20,CONFIG!$F$20,CONFIG!$F$19)))</f>
        <v/>
      </c>
      <c r="N596" s="19" t="str">
        <f aca="false">IF(I596="","",IF(I596&lt;=M596,"OK","ALTA"))</f>
        <v/>
      </c>
      <c r="O596" s="13"/>
    </row>
    <row r="597" customFormat="false" ht="15" hidden="false" customHeight="false" outlineLevel="0" collapsed="false">
      <c r="A597" s="11" t="str">
        <f aca="false">IF(C597="","",ROW()-4)</f>
        <v/>
      </c>
      <c r="B597" s="12"/>
      <c r="C597" s="13"/>
      <c r="D597" s="11" t="str">
        <f aca="false">IF(C597="","",IFERROR(INDEX(LOTES!$D$5:$D$1004,MATCH(C597,LOTES!$F$5:$F$1004,0)),"¿Lote?"))</f>
        <v/>
      </c>
      <c r="E597" s="11" t="str">
        <f aca="false">IF(C597="","",IFERROR(INDEX(LOTES!$C$5:$C$1004,MATCH(C597,LOTES!$F$5:$F$1004,0)),""))</f>
        <v/>
      </c>
      <c r="F597" s="27"/>
      <c r="G597" s="27"/>
      <c r="H597" s="27"/>
      <c r="I597" s="20" t="str">
        <f aca="false">IF(AND(ISNUMBER(F597),ISNUMBER(G597),ISNUMBER(H597),F597&gt;G597,H597&gt;0),(F597-H597)/(F597-G597)*1000,"")</f>
        <v/>
      </c>
      <c r="J597" s="17" t="str">
        <f aca="false">IF(AND(ISNUMBER(F597),ISNUMBER(G597),ISNUMBER(H597),F597&gt;G597,H597&gt;0),(F597-H597)/H597,"")</f>
        <v/>
      </c>
      <c r="K597" s="20" t="str">
        <f aca="false">IF(AND(ISNUMBER(F597),ISNUMBER(G597),ISNUMBER(H597),F597&gt;G597,H597&gt;0),H597/(F597-G597)*1000,"")</f>
        <v/>
      </c>
      <c r="L597" s="11" t="str">
        <f aca="false">IF(K597="","",IF(K597&gt;=CONFIG!$E$21,CONFIG!$D$21,IF(K597&gt;=CONFIG!$E$20,CONFIG!$D$20,CONFIG!$D$19)))</f>
        <v/>
      </c>
      <c r="M597" s="20" t="str">
        <f aca="false">IF(K597="","",IF(K597&gt;=CONFIG!$E$21,CONFIG!$F$21,IF(K597&gt;=CONFIG!$E$20,CONFIG!$F$20,CONFIG!$F$19)))</f>
        <v/>
      </c>
      <c r="N597" s="19" t="str">
        <f aca="false">IF(I597="","",IF(I597&lt;=M597,"OK","ALTA"))</f>
        <v/>
      </c>
      <c r="O597" s="13"/>
    </row>
    <row r="598" customFormat="false" ht="15" hidden="false" customHeight="false" outlineLevel="0" collapsed="false">
      <c r="A598" s="11" t="str">
        <f aca="false">IF(C598="","",ROW()-4)</f>
        <v/>
      </c>
      <c r="B598" s="12"/>
      <c r="C598" s="13"/>
      <c r="D598" s="11" t="str">
        <f aca="false">IF(C598="","",IFERROR(INDEX(LOTES!$D$5:$D$1004,MATCH(C598,LOTES!$F$5:$F$1004,0)),"¿Lote?"))</f>
        <v/>
      </c>
      <c r="E598" s="11" t="str">
        <f aca="false">IF(C598="","",IFERROR(INDEX(LOTES!$C$5:$C$1004,MATCH(C598,LOTES!$F$5:$F$1004,0)),""))</f>
        <v/>
      </c>
      <c r="F598" s="27"/>
      <c r="G598" s="27"/>
      <c r="H598" s="27"/>
      <c r="I598" s="20" t="str">
        <f aca="false">IF(AND(ISNUMBER(F598),ISNUMBER(G598),ISNUMBER(H598),F598&gt;G598,H598&gt;0),(F598-H598)/(F598-G598)*1000,"")</f>
        <v/>
      </c>
      <c r="J598" s="17" t="str">
        <f aca="false">IF(AND(ISNUMBER(F598),ISNUMBER(G598),ISNUMBER(H598),F598&gt;G598,H598&gt;0),(F598-H598)/H598,"")</f>
        <v/>
      </c>
      <c r="K598" s="20" t="str">
        <f aca="false">IF(AND(ISNUMBER(F598),ISNUMBER(G598),ISNUMBER(H598),F598&gt;G598,H598&gt;0),H598/(F598-G598)*1000,"")</f>
        <v/>
      </c>
      <c r="L598" s="11" t="str">
        <f aca="false">IF(K598="","",IF(K598&gt;=CONFIG!$E$21,CONFIG!$D$21,IF(K598&gt;=CONFIG!$E$20,CONFIG!$D$20,CONFIG!$D$19)))</f>
        <v/>
      </c>
      <c r="M598" s="20" t="str">
        <f aca="false">IF(K598="","",IF(K598&gt;=CONFIG!$E$21,CONFIG!$F$21,IF(K598&gt;=CONFIG!$E$20,CONFIG!$F$20,CONFIG!$F$19)))</f>
        <v/>
      </c>
      <c r="N598" s="19" t="str">
        <f aca="false">IF(I598="","",IF(I598&lt;=M598,"OK","ALTA"))</f>
        <v/>
      </c>
      <c r="O598" s="13"/>
    </row>
    <row r="599" customFormat="false" ht="15" hidden="false" customHeight="false" outlineLevel="0" collapsed="false">
      <c r="A599" s="11" t="str">
        <f aca="false">IF(C599="","",ROW()-4)</f>
        <v/>
      </c>
      <c r="B599" s="12"/>
      <c r="C599" s="13"/>
      <c r="D599" s="11" t="str">
        <f aca="false">IF(C599="","",IFERROR(INDEX(LOTES!$D$5:$D$1004,MATCH(C599,LOTES!$F$5:$F$1004,0)),"¿Lote?"))</f>
        <v/>
      </c>
      <c r="E599" s="11" t="str">
        <f aca="false">IF(C599="","",IFERROR(INDEX(LOTES!$C$5:$C$1004,MATCH(C599,LOTES!$F$5:$F$1004,0)),""))</f>
        <v/>
      </c>
      <c r="F599" s="27"/>
      <c r="G599" s="27"/>
      <c r="H599" s="27"/>
      <c r="I599" s="20" t="str">
        <f aca="false">IF(AND(ISNUMBER(F599),ISNUMBER(G599),ISNUMBER(H599),F599&gt;G599,H599&gt;0),(F599-H599)/(F599-G599)*1000,"")</f>
        <v/>
      </c>
      <c r="J599" s="17" t="str">
        <f aca="false">IF(AND(ISNUMBER(F599),ISNUMBER(G599),ISNUMBER(H599),F599&gt;G599,H599&gt;0),(F599-H599)/H599,"")</f>
        <v/>
      </c>
      <c r="K599" s="20" t="str">
        <f aca="false">IF(AND(ISNUMBER(F599),ISNUMBER(G599),ISNUMBER(H599),F599&gt;G599,H599&gt;0),H599/(F599-G599)*1000,"")</f>
        <v/>
      </c>
      <c r="L599" s="11" t="str">
        <f aca="false">IF(K599="","",IF(K599&gt;=CONFIG!$E$21,CONFIG!$D$21,IF(K599&gt;=CONFIG!$E$20,CONFIG!$D$20,CONFIG!$D$19)))</f>
        <v/>
      </c>
      <c r="M599" s="20" t="str">
        <f aca="false">IF(K599="","",IF(K599&gt;=CONFIG!$E$21,CONFIG!$F$21,IF(K599&gt;=CONFIG!$E$20,CONFIG!$F$20,CONFIG!$F$19)))</f>
        <v/>
      </c>
      <c r="N599" s="19" t="str">
        <f aca="false">IF(I599="","",IF(I599&lt;=M599,"OK","ALTA"))</f>
        <v/>
      </c>
      <c r="O599" s="13"/>
    </row>
    <row r="600" customFormat="false" ht="15" hidden="false" customHeight="false" outlineLevel="0" collapsed="false">
      <c r="A600" s="11" t="str">
        <f aca="false">IF(C600="","",ROW()-4)</f>
        <v/>
      </c>
      <c r="B600" s="12"/>
      <c r="C600" s="13"/>
      <c r="D600" s="11" t="str">
        <f aca="false">IF(C600="","",IFERROR(INDEX(LOTES!$D$5:$D$1004,MATCH(C600,LOTES!$F$5:$F$1004,0)),"¿Lote?"))</f>
        <v/>
      </c>
      <c r="E600" s="11" t="str">
        <f aca="false">IF(C600="","",IFERROR(INDEX(LOTES!$C$5:$C$1004,MATCH(C600,LOTES!$F$5:$F$1004,0)),""))</f>
        <v/>
      </c>
      <c r="F600" s="27"/>
      <c r="G600" s="27"/>
      <c r="H600" s="27"/>
      <c r="I600" s="20" t="str">
        <f aca="false">IF(AND(ISNUMBER(F600),ISNUMBER(G600),ISNUMBER(H600),F600&gt;G600,H600&gt;0),(F600-H600)/(F600-G600)*1000,"")</f>
        <v/>
      </c>
      <c r="J600" s="17" t="str">
        <f aca="false">IF(AND(ISNUMBER(F600),ISNUMBER(G600),ISNUMBER(H600),F600&gt;G600,H600&gt;0),(F600-H600)/H600,"")</f>
        <v/>
      </c>
      <c r="K600" s="20" t="str">
        <f aca="false">IF(AND(ISNUMBER(F600),ISNUMBER(G600),ISNUMBER(H600),F600&gt;G600,H600&gt;0),H600/(F600-G600)*1000,"")</f>
        <v/>
      </c>
      <c r="L600" s="11" t="str">
        <f aca="false">IF(K600="","",IF(K600&gt;=CONFIG!$E$21,CONFIG!$D$21,IF(K600&gt;=CONFIG!$E$20,CONFIG!$D$20,CONFIG!$D$19)))</f>
        <v/>
      </c>
      <c r="M600" s="20" t="str">
        <f aca="false">IF(K600="","",IF(K600&gt;=CONFIG!$E$21,CONFIG!$F$21,IF(K600&gt;=CONFIG!$E$20,CONFIG!$F$20,CONFIG!$F$19)))</f>
        <v/>
      </c>
      <c r="N600" s="19" t="str">
        <f aca="false">IF(I600="","",IF(I600&lt;=M600,"OK","ALTA"))</f>
        <v/>
      </c>
      <c r="O600" s="13"/>
    </row>
    <row r="601" customFormat="false" ht="15" hidden="false" customHeight="false" outlineLevel="0" collapsed="false">
      <c r="A601" s="11" t="str">
        <f aca="false">IF(C601="","",ROW()-4)</f>
        <v/>
      </c>
      <c r="B601" s="12"/>
      <c r="C601" s="13"/>
      <c r="D601" s="11" t="str">
        <f aca="false">IF(C601="","",IFERROR(INDEX(LOTES!$D$5:$D$1004,MATCH(C601,LOTES!$F$5:$F$1004,0)),"¿Lote?"))</f>
        <v/>
      </c>
      <c r="E601" s="11" t="str">
        <f aca="false">IF(C601="","",IFERROR(INDEX(LOTES!$C$5:$C$1004,MATCH(C601,LOTES!$F$5:$F$1004,0)),""))</f>
        <v/>
      </c>
      <c r="F601" s="27"/>
      <c r="G601" s="27"/>
      <c r="H601" s="27"/>
      <c r="I601" s="20" t="str">
        <f aca="false">IF(AND(ISNUMBER(F601),ISNUMBER(G601),ISNUMBER(H601),F601&gt;G601,H601&gt;0),(F601-H601)/(F601-G601)*1000,"")</f>
        <v/>
      </c>
      <c r="J601" s="17" t="str">
        <f aca="false">IF(AND(ISNUMBER(F601),ISNUMBER(G601),ISNUMBER(H601),F601&gt;G601,H601&gt;0),(F601-H601)/H601,"")</f>
        <v/>
      </c>
      <c r="K601" s="20" t="str">
        <f aca="false">IF(AND(ISNUMBER(F601),ISNUMBER(G601),ISNUMBER(H601),F601&gt;G601,H601&gt;0),H601/(F601-G601)*1000,"")</f>
        <v/>
      </c>
      <c r="L601" s="11" t="str">
        <f aca="false">IF(K601="","",IF(K601&gt;=CONFIG!$E$21,CONFIG!$D$21,IF(K601&gt;=CONFIG!$E$20,CONFIG!$D$20,CONFIG!$D$19)))</f>
        <v/>
      </c>
      <c r="M601" s="20" t="str">
        <f aca="false">IF(K601="","",IF(K601&gt;=CONFIG!$E$21,CONFIG!$F$21,IF(K601&gt;=CONFIG!$E$20,CONFIG!$F$20,CONFIG!$F$19)))</f>
        <v/>
      </c>
      <c r="N601" s="19" t="str">
        <f aca="false">IF(I601="","",IF(I601&lt;=M601,"OK","ALTA"))</f>
        <v/>
      </c>
      <c r="O601" s="13"/>
    </row>
    <row r="602" customFormat="false" ht="15" hidden="false" customHeight="false" outlineLevel="0" collapsed="false">
      <c r="A602" s="11" t="str">
        <f aca="false">IF(C602="","",ROW()-4)</f>
        <v/>
      </c>
      <c r="B602" s="12"/>
      <c r="C602" s="13"/>
      <c r="D602" s="11" t="str">
        <f aca="false">IF(C602="","",IFERROR(INDEX(LOTES!$D$5:$D$1004,MATCH(C602,LOTES!$F$5:$F$1004,0)),"¿Lote?"))</f>
        <v/>
      </c>
      <c r="E602" s="11" t="str">
        <f aca="false">IF(C602="","",IFERROR(INDEX(LOTES!$C$5:$C$1004,MATCH(C602,LOTES!$F$5:$F$1004,0)),""))</f>
        <v/>
      </c>
      <c r="F602" s="27"/>
      <c r="G602" s="27"/>
      <c r="H602" s="27"/>
      <c r="I602" s="20" t="str">
        <f aca="false">IF(AND(ISNUMBER(F602),ISNUMBER(G602),ISNUMBER(H602),F602&gt;G602,H602&gt;0),(F602-H602)/(F602-G602)*1000,"")</f>
        <v/>
      </c>
      <c r="J602" s="17" t="str">
        <f aca="false">IF(AND(ISNUMBER(F602),ISNUMBER(G602),ISNUMBER(H602),F602&gt;G602,H602&gt;0),(F602-H602)/H602,"")</f>
        <v/>
      </c>
      <c r="K602" s="20" t="str">
        <f aca="false">IF(AND(ISNUMBER(F602),ISNUMBER(G602),ISNUMBER(H602),F602&gt;G602,H602&gt;0),H602/(F602-G602)*1000,"")</f>
        <v/>
      </c>
      <c r="L602" s="11" t="str">
        <f aca="false">IF(K602="","",IF(K602&gt;=CONFIG!$E$21,CONFIG!$D$21,IF(K602&gt;=CONFIG!$E$20,CONFIG!$D$20,CONFIG!$D$19)))</f>
        <v/>
      </c>
      <c r="M602" s="20" t="str">
        <f aca="false">IF(K602="","",IF(K602&gt;=CONFIG!$E$21,CONFIG!$F$21,IF(K602&gt;=CONFIG!$E$20,CONFIG!$F$20,CONFIG!$F$19)))</f>
        <v/>
      </c>
      <c r="N602" s="19" t="str">
        <f aca="false">IF(I602="","",IF(I602&lt;=M602,"OK","ALTA"))</f>
        <v/>
      </c>
      <c r="O602" s="13"/>
    </row>
    <row r="603" customFormat="false" ht="15" hidden="false" customHeight="false" outlineLevel="0" collapsed="false">
      <c r="A603" s="11" t="str">
        <f aca="false">IF(C603="","",ROW()-4)</f>
        <v/>
      </c>
      <c r="B603" s="12"/>
      <c r="C603" s="13"/>
      <c r="D603" s="11" t="str">
        <f aca="false">IF(C603="","",IFERROR(INDEX(LOTES!$D$5:$D$1004,MATCH(C603,LOTES!$F$5:$F$1004,0)),"¿Lote?"))</f>
        <v/>
      </c>
      <c r="E603" s="11" t="str">
        <f aca="false">IF(C603="","",IFERROR(INDEX(LOTES!$C$5:$C$1004,MATCH(C603,LOTES!$F$5:$F$1004,0)),""))</f>
        <v/>
      </c>
      <c r="F603" s="27"/>
      <c r="G603" s="27"/>
      <c r="H603" s="27"/>
      <c r="I603" s="20" t="str">
        <f aca="false">IF(AND(ISNUMBER(F603),ISNUMBER(G603),ISNUMBER(H603),F603&gt;G603,H603&gt;0),(F603-H603)/(F603-G603)*1000,"")</f>
        <v/>
      </c>
      <c r="J603" s="17" t="str">
        <f aca="false">IF(AND(ISNUMBER(F603),ISNUMBER(G603),ISNUMBER(H603),F603&gt;G603,H603&gt;0),(F603-H603)/H603,"")</f>
        <v/>
      </c>
      <c r="K603" s="20" t="str">
        <f aca="false">IF(AND(ISNUMBER(F603),ISNUMBER(G603),ISNUMBER(H603),F603&gt;G603,H603&gt;0),H603/(F603-G603)*1000,"")</f>
        <v/>
      </c>
      <c r="L603" s="11" t="str">
        <f aca="false">IF(K603="","",IF(K603&gt;=CONFIG!$E$21,CONFIG!$D$21,IF(K603&gt;=CONFIG!$E$20,CONFIG!$D$20,CONFIG!$D$19)))</f>
        <v/>
      </c>
      <c r="M603" s="20" t="str">
        <f aca="false">IF(K603="","",IF(K603&gt;=CONFIG!$E$21,CONFIG!$F$21,IF(K603&gt;=CONFIG!$E$20,CONFIG!$F$20,CONFIG!$F$19)))</f>
        <v/>
      </c>
      <c r="N603" s="19" t="str">
        <f aca="false">IF(I603="","",IF(I603&lt;=M603,"OK","ALTA"))</f>
        <v/>
      </c>
      <c r="O603" s="13"/>
    </row>
    <row r="604" customFormat="false" ht="15" hidden="false" customHeight="false" outlineLevel="0" collapsed="false">
      <c r="A604" s="11" t="str">
        <f aca="false">IF(C604="","",ROW()-4)</f>
        <v/>
      </c>
      <c r="B604" s="12"/>
      <c r="C604" s="13"/>
      <c r="D604" s="11" t="str">
        <f aca="false">IF(C604="","",IFERROR(INDEX(LOTES!$D$5:$D$1004,MATCH(C604,LOTES!$F$5:$F$1004,0)),"¿Lote?"))</f>
        <v/>
      </c>
      <c r="E604" s="11" t="str">
        <f aca="false">IF(C604="","",IFERROR(INDEX(LOTES!$C$5:$C$1004,MATCH(C604,LOTES!$F$5:$F$1004,0)),""))</f>
        <v/>
      </c>
      <c r="F604" s="27"/>
      <c r="G604" s="27"/>
      <c r="H604" s="27"/>
      <c r="I604" s="20" t="str">
        <f aca="false">IF(AND(ISNUMBER(F604),ISNUMBER(G604),ISNUMBER(H604),F604&gt;G604,H604&gt;0),(F604-H604)/(F604-G604)*1000,"")</f>
        <v/>
      </c>
      <c r="J604" s="17" t="str">
        <f aca="false">IF(AND(ISNUMBER(F604),ISNUMBER(G604),ISNUMBER(H604),F604&gt;G604,H604&gt;0),(F604-H604)/H604,"")</f>
        <v/>
      </c>
      <c r="K604" s="20" t="str">
        <f aca="false">IF(AND(ISNUMBER(F604),ISNUMBER(G604),ISNUMBER(H604),F604&gt;G604,H604&gt;0),H604/(F604-G604)*1000,"")</f>
        <v/>
      </c>
      <c r="L604" s="11" t="str">
        <f aca="false">IF(K604="","",IF(K604&gt;=CONFIG!$E$21,CONFIG!$D$21,IF(K604&gt;=CONFIG!$E$20,CONFIG!$D$20,CONFIG!$D$19)))</f>
        <v/>
      </c>
      <c r="M604" s="20" t="str">
        <f aca="false">IF(K604="","",IF(K604&gt;=CONFIG!$E$21,CONFIG!$F$21,IF(K604&gt;=CONFIG!$E$20,CONFIG!$F$20,CONFIG!$F$19)))</f>
        <v/>
      </c>
      <c r="N604" s="19" t="str">
        <f aca="false">IF(I604="","",IF(I604&lt;=M604,"OK","ALTA"))</f>
        <v/>
      </c>
      <c r="O604" s="13"/>
    </row>
    <row r="605" customFormat="false" ht="15" hidden="false" customHeight="false" outlineLevel="0" collapsed="false">
      <c r="A605" s="11" t="str">
        <f aca="false">IF(C605="","",ROW()-4)</f>
        <v/>
      </c>
      <c r="B605" s="12"/>
      <c r="C605" s="13"/>
      <c r="D605" s="11" t="str">
        <f aca="false">IF(C605="","",IFERROR(INDEX(LOTES!$D$5:$D$1004,MATCH(C605,LOTES!$F$5:$F$1004,0)),"¿Lote?"))</f>
        <v/>
      </c>
      <c r="E605" s="11" t="str">
        <f aca="false">IF(C605="","",IFERROR(INDEX(LOTES!$C$5:$C$1004,MATCH(C605,LOTES!$F$5:$F$1004,0)),""))</f>
        <v/>
      </c>
      <c r="F605" s="27"/>
      <c r="G605" s="27"/>
      <c r="H605" s="27"/>
      <c r="I605" s="20" t="str">
        <f aca="false">IF(AND(ISNUMBER(F605),ISNUMBER(G605),ISNUMBER(H605),F605&gt;G605,H605&gt;0),(F605-H605)/(F605-G605)*1000,"")</f>
        <v/>
      </c>
      <c r="J605" s="17" t="str">
        <f aca="false">IF(AND(ISNUMBER(F605),ISNUMBER(G605),ISNUMBER(H605),F605&gt;G605,H605&gt;0),(F605-H605)/H605,"")</f>
        <v/>
      </c>
      <c r="K605" s="20" t="str">
        <f aca="false">IF(AND(ISNUMBER(F605),ISNUMBER(G605),ISNUMBER(H605),F605&gt;G605,H605&gt;0),H605/(F605-G605)*1000,"")</f>
        <v/>
      </c>
      <c r="L605" s="11" t="str">
        <f aca="false">IF(K605="","",IF(K605&gt;=CONFIG!$E$21,CONFIG!$D$21,IF(K605&gt;=CONFIG!$E$20,CONFIG!$D$20,CONFIG!$D$19)))</f>
        <v/>
      </c>
      <c r="M605" s="20" t="str">
        <f aca="false">IF(K605="","",IF(K605&gt;=CONFIG!$E$21,CONFIG!$F$21,IF(K605&gt;=CONFIG!$E$20,CONFIG!$F$20,CONFIG!$F$19)))</f>
        <v/>
      </c>
      <c r="N605" s="19" t="str">
        <f aca="false">IF(I605="","",IF(I605&lt;=M605,"OK","ALTA"))</f>
        <v/>
      </c>
      <c r="O605" s="13"/>
    </row>
    <row r="606" customFormat="false" ht="15" hidden="false" customHeight="false" outlineLevel="0" collapsed="false">
      <c r="A606" s="11" t="str">
        <f aca="false">IF(C606="","",ROW()-4)</f>
        <v/>
      </c>
      <c r="B606" s="12"/>
      <c r="C606" s="13"/>
      <c r="D606" s="11" t="str">
        <f aca="false">IF(C606="","",IFERROR(INDEX(LOTES!$D$5:$D$1004,MATCH(C606,LOTES!$F$5:$F$1004,0)),"¿Lote?"))</f>
        <v/>
      </c>
      <c r="E606" s="11" t="str">
        <f aca="false">IF(C606="","",IFERROR(INDEX(LOTES!$C$5:$C$1004,MATCH(C606,LOTES!$F$5:$F$1004,0)),""))</f>
        <v/>
      </c>
      <c r="F606" s="27"/>
      <c r="G606" s="27"/>
      <c r="H606" s="27"/>
      <c r="I606" s="20" t="str">
        <f aca="false">IF(AND(ISNUMBER(F606),ISNUMBER(G606),ISNUMBER(H606),F606&gt;G606,H606&gt;0),(F606-H606)/(F606-G606)*1000,"")</f>
        <v/>
      </c>
      <c r="J606" s="17" t="str">
        <f aca="false">IF(AND(ISNUMBER(F606),ISNUMBER(G606),ISNUMBER(H606),F606&gt;G606,H606&gt;0),(F606-H606)/H606,"")</f>
        <v/>
      </c>
      <c r="K606" s="20" t="str">
        <f aca="false">IF(AND(ISNUMBER(F606),ISNUMBER(G606),ISNUMBER(H606),F606&gt;G606,H606&gt;0),H606/(F606-G606)*1000,"")</f>
        <v/>
      </c>
      <c r="L606" s="11" t="str">
        <f aca="false">IF(K606="","",IF(K606&gt;=CONFIG!$E$21,CONFIG!$D$21,IF(K606&gt;=CONFIG!$E$20,CONFIG!$D$20,CONFIG!$D$19)))</f>
        <v/>
      </c>
      <c r="M606" s="20" t="str">
        <f aca="false">IF(K606="","",IF(K606&gt;=CONFIG!$E$21,CONFIG!$F$21,IF(K606&gt;=CONFIG!$E$20,CONFIG!$F$20,CONFIG!$F$19)))</f>
        <v/>
      </c>
      <c r="N606" s="19" t="str">
        <f aca="false">IF(I606="","",IF(I606&lt;=M606,"OK","ALTA"))</f>
        <v/>
      </c>
      <c r="O606" s="13"/>
    </row>
    <row r="607" customFormat="false" ht="15" hidden="false" customHeight="false" outlineLevel="0" collapsed="false">
      <c r="A607" s="11" t="str">
        <f aca="false">IF(C607="","",ROW()-4)</f>
        <v/>
      </c>
      <c r="B607" s="12"/>
      <c r="C607" s="13"/>
      <c r="D607" s="11" t="str">
        <f aca="false">IF(C607="","",IFERROR(INDEX(LOTES!$D$5:$D$1004,MATCH(C607,LOTES!$F$5:$F$1004,0)),"¿Lote?"))</f>
        <v/>
      </c>
      <c r="E607" s="11" t="str">
        <f aca="false">IF(C607="","",IFERROR(INDEX(LOTES!$C$5:$C$1004,MATCH(C607,LOTES!$F$5:$F$1004,0)),""))</f>
        <v/>
      </c>
      <c r="F607" s="27"/>
      <c r="G607" s="27"/>
      <c r="H607" s="27"/>
      <c r="I607" s="20" t="str">
        <f aca="false">IF(AND(ISNUMBER(F607),ISNUMBER(G607),ISNUMBER(H607),F607&gt;G607,H607&gt;0),(F607-H607)/(F607-G607)*1000,"")</f>
        <v/>
      </c>
      <c r="J607" s="17" t="str">
        <f aca="false">IF(AND(ISNUMBER(F607),ISNUMBER(G607),ISNUMBER(H607),F607&gt;G607,H607&gt;0),(F607-H607)/H607,"")</f>
        <v/>
      </c>
      <c r="K607" s="20" t="str">
        <f aca="false">IF(AND(ISNUMBER(F607),ISNUMBER(G607),ISNUMBER(H607),F607&gt;G607,H607&gt;0),H607/(F607-G607)*1000,"")</f>
        <v/>
      </c>
      <c r="L607" s="11" t="str">
        <f aca="false">IF(K607="","",IF(K607&gt;=CONFIG!$E$21,CONFIG!$D$21,IF(K607&gt;=CONFIG!$E$20,CONFIG!$D$20,CONFIG!$D$19)))</f>
        <v/>
      </c>
      <c r="M607" s="20" t="str">
        <f aca="false">IF(K607="","",IF(K607&gt;=CONFIG!$E$21,CONFIG!$F$21,IF(K607&gt;=CONFIG!$E$20,CONFIG!$F$20,CONFIG!$F$19)))</f>
        <v/>
      </c>
      <c r="N607" s="19" t="str">
        <f aca="false">IF(I607="","",IF(I607&lt;=M607,"OK","ALTA"))</f>
        <v/>
      </c>
      <c r="O607" s="13"/>
    </row>
    <row r="608" customFormat="false" ht="15" hidden="false" customHeight="false" outlineLevel="0" collapsed="false">
      <c r="A608" s="11" t="str">
        <f aca="false">IF(C608="","",ROW()-4)</f>
        <v/>
      </c>
      <c r="B608" s="12"/>
      <c r="C608" s="13"/>
      <c r="D608" s="11" t="str">
        <f aca="false">IF(C608="","",IFERROR(INDEX(LOTES!$D$5:$D$1004,MATCH(C608,LOTES!$F$5:$F$1004,0)),"¿Lote?"))</f>
        <v/>
      </c>
      <c r="E608" s="11" t="str">
        <f aca="false">IF(C608="","",IFERROR(INDEX(LOTES!$C$5:$C$1004,MATCH(C608,LOTES!$F$5:$F$1004,0)),""))</f>
        <v/>
      </c>
      <c r="F608" s="27"/>
      <c r="G608" s="27"/>
      <c r="H608" s="27"/>
      <c r="I608" s="20" t="str">
        <f aca="false">IF(AND(ISNUMBER(F608),ISNUMBER(G608),ISNUMBER(H608),F608&gt;G608,H608&gt;0),(F608-H608)/(F608-G608)*1000,"")</f>
        <v/>
      </c>
      <c r="J608" s="17" t="str">
        <f aca="false">IF(AND(ISNUMBER(F608),ISNUMBER(G608),ISNUMBER(H608),F608&gt;G608,H608&gt;0),(F608-H608)/H608,"")</f>
        <v/>
      </c>
      <c r="K608" s="20" t="str">
        <f aca="false">IF(AND(ISNUMBER(F608),ISNUMBER(G608),ISNUMBER(H608),F608&gt;G608,H608&gt;0),H608/(F608-G608)*1000,"")</f>
        <v/>
      </c>
      <c r="L608" s="11" t="str">
        <f aca="false">IF(K608="","",IF(K608&gt;=CONFIG!$E$21,CONFIG!$D$21,IF(K608&gt;=CONFIG!$E$20,CONFIG!$D$20,CONFIG!$D$19)))</f>
        <v/>
      </c>
      <c r="M608" s="20" t="str">
        <f aca="false">IF(K608="","",IF(K608&gt;=CONFIG!$E$21,CONFIG!$F$21,IF(K608&gt;=CONFIG!$E$20,CONFIG!$F$20,CONFIG!$F$19)))</f>
        <v/>
      </c>
      <c r="N608" s="19" t="str">
        <f aca="false">IF(I608="","",IF(I608&lt;=M608,"OK","ALTA"))</f>
        <v/>
      </c>
      <c r="O608" s="13"/>
    </row>
    <row r="609" customFormat="false" ht="15" hidden="false" customHeight="false" outlineLevel="0" collapsed="false">
      <c r="A609" s="11" t="str">
        <f aca="false">IF(C609="","",ROW()-4)</f>
        <v/>
      </c>
      <c r="B609" s="12"/>
      <c r="C609" s="13"/>
      <c r="D609" s="11" t="str">
        <f aca="false">IF(C609="","",IFERROR(INDEX(LOTES!$D$5:$D$1004,MATCH(C609,LOTES!$F$5:$F$1004,0)),"¿Lote?"))</f>
        <v/>
      </c>
      <c r="E609" s="11" t="str">
        <f aca="false">IF(C609="","",IFERROR(INDEX(LOTES!$C$5:$C$1004,MATCH(C609,LOTES!$F$5:$F$1004,0)),""))</f>
        <v/>
      </c>
      <c r="F609" s="27"/>
      <c r="G609" s="27"/>
      <c r="H609" s="27"/>
      <c r="I609" s="20" t="str">
        <f aca="false">IF(AND(ISNUMBER(F609),ISNUMBER(G609),ISNUMBER(H609),F609&gt;G609,H609&gt;0),(F609-H609)/(F609-G609)*1000,"")</f>
        <v/>
      </c>
      <c r="J609" s="17" t="str">
        <f aca="false">IF(AND(ISNUMBER(F609),ISNUMBER(G609),ISNUMBER(H609),F609&gt;G609,H609&gt;0),(F609-H609)/H609,"")</f>
        <v/>
      </c>
      <c r="K609" s="20" t="str">
        <f aca="false">IF(AND(ISNUMBER(F609),ISNUMBER(G609),ISNUMBER(H609),F609&gt;G609,H609&gt;0),H609/(F609-G609)*1000,"")</f>
        <v/>
      </c>
      <c r="L609" s="11" t="str">
        <f aca="false">IF(K609="","",IF(K609&gt;=CONFIG!$E$21,CONFIG!$D$21,IF(K609&gt;=CONFIG!$E$20,CONFIG!$D$20,CONFIG!$D$19)))</f>
        <v/>
      </c>
      <c r="M609" s="20" t="str">
        <f aca="false">IF(K609="","",IF(K609&gt;=CONFIG!$E$21,CONFIG!$F$21,IF(K609&gt;=CONFIG!$E$20,CONFIG!$F$20,CONFIG!$F$19)))</f>
        <v/>
      </c>
      <c r="N609" s="19" t="str">
        <f aca="false">IF(I609="","",IF(I609&lt;=M609,"OK","ALTA"))</f>
        <v/>
      </c>
      <c r="O609" s="13"/>
    </row>
    <row r="610" customFormat="false" ht="15" hidden="false" customHeight="false" outlineLevel="0" collapsed="false">
      <c r="A610" s="11" t="str">
        <f aca="false">IF(C610="","",ROW()-4)</f>
        <v/>
      </c>
      <c r="B610" s="12"/>
      <c r="C610" s="13"/>
      <c r="D610" s="11" t="str">
        <f aca="false">IF(C610="","",IFERROR(INDEX(LOTES!$D$5:$D$1004,MATCH(C610,LOTES!$F$5:$F$1004,0)),"¿Lote?"))</f>
        <v/>
      </c>
      <c r="E610" s="11" t="str">
        <f aca="false">IF(C610="","",IFERROR(INDEX(LOTES!$C$5:$C$1004,MATCH(C610,LOTES!$F$5:$F$1004,0)),""))</f>
        <v/>
      </c>
      <c r="F610" s="27"/>
      <c r="G610" s="27"/>
      <c r="H610" s="27"/>
      <c r="I610" s="20" t="str">
        <f aca="false">IF(AND(ISNUMBER(F610),ISNUMBER(G610),ISNUMBER(H610),F610&gt;G610,H610&gt;0),(F610-H610)/(F610-G610)*1000,"")</f>
        <v/>
      </c>
      <c r="J610" s="17" t="str">
        <f aca="false">IF(AND(ISNUMBER(F610),ISNUMBER(G610),ISNUMBER(H610),F610&gt;G610,H610&gt;0),(F610-H610)/H610,"")</f>
        <v/>
      </c>
      <c r="K610" s="20" t="str">
        <f aca="false">IF(AND(ISNUMBER(F610),ISNUMBER(G610),ISNUMBER(H610),F610&gt;G610,H610&gt;0),H610/(F610-G610)*1000,"")</f>
        <v/>
      </c>
      <c r="L610" s="11" t="str">
        <f aca="false">IF(K610="","",IF(K610&gt;=CONFIG!$E$21,CONFIG!$D$21,IF(K610&gt;=CONFIG!$E$20,CONFIG!$D$20,CONFIG!$D$19)))</f>
        <v/>
      </c>
      <c r="M610" s="20" t="str">
        <f aca="false">IF(K610="","",IF(K610&gt;=CONFIG!$E$21,CONFIG!$F$21,IF(K610&gt;=CONFIG!$E$20,CONFIG!$F$20,CONFIG!$F$19)))</f>
        <v/>
      </c>
      <c r="N610" s="19" t="str">
        <f aca="false">IF(I610="","",IF(I610&lt;=M610,"OK","ALTA"))</f>
        <v/>
      </c>
      <c r="O610" s="13"/>
    </row>
    <row r="611" customFormat="false" ht="15" hidden="false" customHeight="false" outlineLevel="0" collapsed="false">
      <c r="A611" s="11" t="str">
        <f aca="false">IF(C611="","",ROW()-4)</f>
        <v/>
      </c>
      <c r="B611" s="12"/>
      <c r="C611" s="13"/>
      <c r="D611" s="11" t="str">
        <f aca="false">IF(C611="","",IFERROR(INDEX(LOTES!$D$5:$D$1004,MATCH(C611,LOTES!$F$5:$F$1004,0)),"¿Lote?"))</f>
        <v/>
      </c>
      <c r="E611" s="11" t="str">
        <f aca="false">IF(C611="","",IFERROR(INDEX(LOTES!$C$5:$C$1004,MATCH(C611,LOTES!$F$5:$F$1004,0)),""))</f>
        <v/>
      </c>
      <c r="F611" s="27"/>
      <c r="G611" s="27"/>
      <c r="H611" s="27"/>
      <c r="I611" s="20" t="str">
        <f aca="false">IF(AND(ISNUMBER(F611),ISNUMBER(G611),ISNUMBER(H611),F611&gt;G611,H611&gt;0),(F611-H611)/(F611-G611)*1000,"")</f>
        <v/>
      </c>
      <c r="J611" s="17" t="str">
        <f aca="false">IF(AND(ISNUMBER(F611),ISNUMBER(G611),ISNUMBER(H611),F611&gt;G611,H611&gt;0),(F611-H611)/H611,"")</f>
        <v/>
      </c>
      <c r="K611" s="20" t="str">
        <f aca="false">IF(AND(ISNUMBER(F611),ISNUMBER(G611),ISNUMBER(H611),F611&gt;G611,H611&gt;0),H611/(F611-G611)*1000,"")</f>
        <v/>
      </c>
      <c r="L611" s="11" t="str">
        <f aca="false">IF(K611="","",IF(K611&gt;=CONFIG!$E$21,CONFIG!$D$21,IF(K611&gt;=CONFIG!$E$20,CONFIG!$D$20,CONFIG!$D$19)))</f>
        <v/>
      </c>
      <c r="M611" s="20" t="str">
        <f aca="false">IF(K611="","",IF(K611&gt;=CONFIG!$E$21,CONFIG!$F$21,IF(K611&gt;=CONFIG!$E$20,CONFIG!$F$20,CONFIG!$F$19)))</f>
        <v/>
      </c>
      <c r="N611" s="19" t="str">
        <f aca="false">IF(I611="","",IF(I611&lt;=M611,"OK","ALTA"))</f>
        <v/>
      </c>
      <c r="O611" s="13"/>
    </row>
    <row r="612" customFormat="false" ht="15" hidden="false" customHeight="false" outlineLevel="0" collapsed="false">
      <c r="A612" s="11" t="str">
        <f aca="false">IF(C612="","",ROW()-4)</f>
        <v/>
      </c>
      <c r="B612" s="12"/>
      <c r="C612" s="13"/>
      <c r="D612" s="11" t="str">
        <f aca="false">IF(C612="","",IFERROR(INDEX(LOTES!$D$5:$D$1004,MATCH(C612,LOTES!$F$5:$F$1004,0)),"¿Lote?"))</f>
        <v/>
      </c>
      <c r="E612" s="11" t="str">
        <f aca="false">IF(C612="","",IFERROR(INDEX(LOTES!$C$5:$C$1004,MATCH(C612,LOTES!$F$5:$F$1004,0)),""))</f>
        <v/>
      </c>
      <c r="F612" s="27"/>
      <c r="G612" s="27"/>
      <c r="H612" s="27"/>
      <c r="I612" s="20" t="str">
        <f aca="false">IF(AND(ISNUMBER(F612),ISNUMBER(G612),ISNUMBER(H612),F612&gt;G612,H612&gt;0),(F612-H612)/(F612-G612)*1000,"")</f>
        <v/>
      </c>
      <c r="J612" s="17" t="str">
        <f aca="false">IF(AND(ISNUMBER(F612),ISNUMBER(G612),ISNUMBER(H612),F612&gt;G612,H612&gt;0),(F612-H612)/H612,"")</f>
        <v/>
      </c>
      <c r="K612" s="20" t="str">
        <f aca="false">IF(AND(ISNUMBER(F612),ISNUMBER(G612),ISNUMBER(H612),F612&gt;G612,H612&gt;0),H612/(F612-G612)*1000,"")</f>
        <v/>
      </c>
      <c r="L612" s="11" t="str">
        <f aca="false">IF(K612="","",IF(K612&gt;=CONFIG!$E$21,CONFIG!$D$21,IF(K612&gt;=CONFIG!$E$20,CONFIG!$D$20,CONFIG!$D$19)))</f>
        <v/>
      </c>
      <c r="M612" s="20" t="str">
        <f aca="false">IF(K612="","",IF(K612&gt;=CONFIG!$E$21,CONFIG!$F$21,IF(K612&gt;=CONFIG!$E$20,CONFIG!$F$20,CONFIG!$F$19)))</f>
        <v/>
      </c>
      <c r="N612" s="19" t="str">
        <f aca="false">IF(I612="","",IF(I612&lt;=M612,"OK","ALTA"))</f>
        <v/>
      </c>
      <c r="O612" s="13"/>
    </row>
    <row r="613" customFormat="false" ht="15" hidden="false" customHeight="false" outlineLevel="0" collapsed="false">
      <c r="A613" s="11" t="str">
        <f aca="false">IF(C613="","",ROW()-4)</f>
        <v/>
      </c>
      <c r="B613" s="12"/>
      <c r="C613" s="13"/>
      <c r="D613" s="11" t="str">
        <f aca="false">IF(C613="","",IFERROR(INDEX(LOTES!$D$5:$D$1004,MATCH(C613,LOTES!$F$5:$F$1004,0)),"¿Lote?"))</f>
        <v/>
      </c>
      <c r="E613" s="11" t="str">
        <f aca="false">IF(C613="","",IFERROR(INDEX(LOTES!$C$5:$C$1004,MATCH(C613,LOTES!$F$5:$F$1004,0)),""))</f>
        <v/>
      </c>
      <c r="F613" s="27"/>
      <c r="G613" s="27"/>
      <c r="H613" s="27"/>
      <c r="I613" s="20" t="str">
        <f aca="false">IF(AND(ISNUMBER(F613),ISNUMBER(G613),ISNUMBER(H613),F613&gt;G613,H613&gt;0),(F613-H613)/(F613-G613)*1000,"")</f>
        <v/>
      </c>
      <c r="J613" s="17" t="str">
        <f aca="false">IF(AND(ISNUMBER(F613),ISNUMBER(G613),ISNUMBER(H613),F613&gt;G613,H613&gt;0),(F613-H613)/H613,"")</f>
        <v/>
      </c>
      <c r="K613" s="20" t="str">
        <f aca="false">IF(AND(ISNUMBER(F613),ISNUMBER(G613),ISNUMBER(H613),F613&gt;G613,H613&gt;0),H613/(F613-G613)*1000,"")</f>
        <v/>
      </c>
      <c r="L613" s="11" t="str">
        <f aca="false">IF(K613="","",IF(K613&gt;=CONFIG!$E$21,CONFIG!$D$21,IF(K613&gt;=CONFIG!$E$20,CONFIG!$D$20,CONFIG!$D$19)))</f>
        <v/>
      </c>
      <c r="M613" s="20" t="str">
        <f aca="false">IF(K613="","",IF(K613&gt;=CONFIG!$E$21,CONFIG!$F$21,IF(K613&gt;=CONFIG!$E$20,CONFIG!$F$20,CONFIG!$F$19)))</f>
        <v/>
      </c>
      <c r="N613" s="19" t="str">
        <f aca="false">IF(I613="","",IF(I613&lt;=M613,"OK","ALTA"))</f>
        <v/>
      </c>
      <c r="O613" s="13"/>
    </row>
    <row r="614" customFormat="false" ht="15" hidden="false" customHeight="false" outlineLevel="0" collapsed="false">
      <c r="A614" s="11" t="str">
        <f aca="false">IF(C614="","",ROW()-4)</f>
        <v/>
      </c>
      <c r="B614" s="12"/>
      <c r="C614" s="13"/>
      <c r="D614" s="11" t="str">
        <f aca="false">IF(C614="","",IFERROR(INDEX(LOTES!$D$5:$D$1004,MATCH(C614,LOTES!$F$5:$F$1004,0)),"¿Lote?"))</f>
        <v/>
      </c>
      <c r="E614" s="11" t="str">
        <f aca="false">IF(C614="","",IFERROR(INDEX(LOTES!$C$5:$C$1004,MATCH(C614,LOTES!$F$5:$F$1004,0)),""))</f>
        <v/>
      </c>
      <c r="F614" s="27"/>
      <c r="G614" s="27"/>
      <c r="H614" s="27"/>
      <c r="I614" s="20" t="str">
        <f aca="false">IF(AND(ISNUMBER(F614),ISNUMBER(G614),ISNUMBER(H614),F614&gt;G614,H614&gt;0),(F614-H614)/(F614-G614)*1000,"")</f>
        <v/>
      </c>
      <c r="J614" s="17" t="str">
        <f aca="false">IF(AND(ISNUMBER(F614),ISNUMBER(G614),ISNUMBER(H614),F614&gt;G614,H614&gt;0),(F614-H614)/H614,"")</f>
        <v/>
      </c>
      <c r="K614" s="20" t="str">
        <f aca="false">IF(AND(ISNUMBER(F614),ISNUMBER(G614),ISNUMBER(H614),F614&gt;G614,H614&gt;0),H614/(F614-G614)*1000,"")</f>
        <v/>
      </c>
      <c r="L614" s="11" t="str">
        <f aca="false">IF(K614="","",IF(K614&gt;=CONFIG!$E$21,CONFIG!$D$21,IF(K614&gt;=CONFIG!$E$20,CONFIG!$D$20,CONFIG!$D$19)))</f>
        <v/>
      </c>
      <c r="M614" s="20" t="str">
        <f aca="false">IF(K614="","",IF(K614&gt;=CONFIG!$E$21,CONFIG!$F$21,IF(K614&gt;=CONFIG!$E$20,CONFIG!$F$20,CONFIG!$F$19)))</f>
        <v/>
      </c>
      <c r="N614" s="19" t="str">
        <f aca="false">IF(I614="","",IF(I614&lt;=M614,"OK","ALTA"))</f>
        <v/>
      </c>
      <c r="O614" s="13"/>
    </row>
    <row r="615" customFormat="false" ht="15" hidden="false" customHeight="false" outlineLevel="0" collapsed="false">
      <c r="A615" s="11" t="str">
        <f aca="false">IF(C615="","",ROW()-4)</f>
        <v/>
      </c>
      <c r="B615" s="12"/>
      <c r="C615" s="13"/>
      <c r="D615" s="11" t="str">
        <f aca="false">IF(C615="","",IFERROR(INDEX(LOTES!$D$5:$D$1004,MATCH(C615,LOTES!$F$5:$F$1004,0)),"¿Lote?"))</f>
        <v/>
      </c>
      <c r="E615" s="11" t="str">
        <f aca="false">IF(C615="","",IFERROR(INDEX(LOTES!$C$5:$C$1004,MATCH(C615,LOTES!$F$5:$F$1004,0)),""))</f>
        <v/>
      </c>
      <c r="F615" s="27"/>
      <c r="G615" s="27"/>
      <c r="H615" s="27"/>
      <c r="I615" s="20" t="str">
        <f aca="false">IF(AND(ISNUMBER(F615),ISNUMBER(G615),ISNUMBER(H615),F615&gt;G615,H615&gt;0),(F615-H615)/(F615-G615)*1000,"")</f>
        <v/>
      </c>
      <c r="J615" s="17" t="str">
        <f aca="false">IF(AND(ISNUMBER(F615),ISNUMBER(G615),ISNUMBER(H615),F615&gt;G615,H615&gt;0),(F615-H615)/H615,"")</f>
        <v/>
      </c>
      <c r="K615" s="20" t="str">
        <f aca="false">IF(AND(ISNUMBER(F615),ISNUMBER(G615),ISNUMBER(H615),F615&gt;G615,H615&gt;0),H615/(F615-G615)*1000,"")</f>
        <v/>
      </c>
      <c r="L615" s="11" t="str">
        <f aca="false">IF(K615="","",IF(K615&gt;=CONFIG!$E$21,CONFIG!$D$21,IF(K615&gt;=CONFIG!$E$20,CONFIG!$D$20,CONFIG!$D$19)))</f>
        <v/>
      </c>
      <c r="M615" s="20" t="str">
        <f aca="false">IF(K615="","",IF(K615&gt;=CONFIG!$E$21,CONFIG!$F$21,IF(K615&gt;=CONFIG!$E$20,CONFIG!$F$20,CONFIG!$F$19)))</f>
        <v/>
      </c>
      <c r="N615" s="19" t="str">
        <f aca="false">IF(I615="","",IF(I615&lt;=M615,"OK","ALTA"))</f>
        <v/>
      </c>
      <c r="O615" s="13"/>
    </row>
    <row r="616" customFormat="false" ht="15" hidden="false" customHeight="false" outlineLevel="0" collapsed="false">
      <c r="A616" s="11" t="str">
        <f aca="false">IF(C616="","",ROW()-4)</f>
        <v/>
      </c>
      <c r="B616" s="12"/>
      <c r="C616" s="13"/>
      <c r="D616" s="11" t="str">
        <f aca="false">IF(C616="","",IFERROR(INDEX(LOTES!$D$5:$D$1004,MATCH(C616,LOTES!$F$5:$F$1004,0)),"¿Lote?"))</f>
        <v/>
      </c>
      <c r="E616" s="11" t="str">
        <f aca="false">IF(C616="","",IFERROR(INDEX(LOTES!$C$5:$C$1004,MATCH(C616,LOTES!$F$5:$F$1004,0)),""))</f>
        <v/>
      </c>
      <c r="F616" s="27"/>
      <c r="G616" s="27"/>
      <c r="H616" s="27"/>
      <c r="I616" s="20" t="str">
        <f aca="false">IF(AND(ISNUMBER(F616),ISNUMBER(G616),ISNUMBER(H616),F616&gt;G616,H616&gt;0),(F616-H616)/(F616-G616)*1000,"")</f>
        <v/>
      </c>
      <c r="J616" s="17" t="str">
        <f aca="false">IF(AND(ISNUMBER(F616),ISNUMBER(G616),ISNUMBER(H616),F616&gt;G616,H616&gt;0),(F616-H616)/H616,"")</f>
        <v/>
      </c>
      <c r="K616" s="20" t="str">
        <f aca="false">IF(AND(ISNUMBER(F616),ISNUMBER(G616),ISNUMBER(H616),F616&gt;G616,H616&gt;0),H616/(F616-G616)*1000,"")</f>
        <v/>
      </c>
      <c r="L616" s="11" t="str">
        <f aca="false">IF(K616="","",IF(K616&gt;=CONFIG!$E$21,CONFIG!$D$21,IF(K616&gt;=CONFIG!$E$20,CONFIG!$D$20,CONFIG!$D$19)))</f>
        <v/>
      </c>
      <c r="M616" s="20" t="str">
        <f aca="false">IF(K616="","",IF(K616&gt;=CONFIG!$E$21,CONFIG!$F$21,IF(K616&gt;=CONFIG!$E$20,CONFIG!$F$20,CONFIG!$F$19)))</f>
        <v/>
      </c>
      <c r="N616" s="19" t="str">
        <f aca="false">IF(I616="","",IF(I616&lt;=M616,"OK","ALTA"))</f>
        <v/>
      </c>
      <c r="O616" s="13"/>
    </row>
    <row r="617" customFormat="false" ht="15" hidden="false" customHeight="false" outlineLevel="0" collapsed="false">
      <c r="A617" s="11" t="str">
        <f aca="false">IF(C617="","",ROW()-4)</f>
        <v/>
      </c>
      <c r="B617" s="12"/>
      <c r="C617" s="13"/>
      <c r="D617" s="11" t="str">
        <f aca="false">IF(C617="","",IFERROR(INDEX(LOTES!$D$5:$D$1004,MATCH(C617,LOTES!$F$5:$F$1004,0)),"¿Lote?"))</f>
        <v/>
      </c>
      <c r="E617" s="11" t="str">
        <f aca="false">IF(C617="","",IFERROR(INDEX(LOTES!$C$5:$C$1004,MATCH(C617,LOTES!$F$5:$F$1004,0)),""))</f>
        <v/>
      </c>
      <c r="F617" s="27"/>
      <c r="G617" s="27"/>
      <c r="H617" s="27"/>
      <c r="I617" s="20" t="str">
        <f aca="false">IF(AND(ISNUMBER(F617),ISNUMBER(G617),ISNUMBER(H617),F617&gt;G617,H617&gt;0),(F617-H617)/(F617-G617)*1000,"")</f>
        <v/>
      </c>
      <c r="J617" s="17" t="str">
        <f aca="false">IF(AND(ISNUMBER(F617),ISNUMBER(G617),ISNUMBER(H617),F617&gt;G617,H617&gt;0),(F617-H617)/H617,"")</f>
        <v/>
      </c>
      <c r="K617" s="20" t="str">
        <f aca="false">IF(AND(ISNUMBER(F617),ISNUMBER(G617),ISNUMBER(H617),F617&gt;G617,H617&gt;0),H617/(F617-G617)*1000,"")</f>
        <v/>
      </c>
      <c r="L617" s="11" t="str">
        <f aca="false">IF(K617="","",IF(K617&gt;=CONFIG!$E$21,CONFIG!$D$21,IF(K617&gt;=CONFIG!$E$20,CONFIG!$D$20,CONFIG!$D$19)))</f>
        <v/>
      </c>
      <c r="M617" s="20" t="str">
        <f aca="false">IF(K617="","",IF(K617&gt;=CONFIG!$E$21,CONFIG!$F$21,IF(K617&gt;=CONFIG!$E$20,CONFIG!$F$20,CONFIG!$F$19)))</f>
        <v/>
      </c>
      <c r="N617" s="19" t="str">
        <f aca="false">IF(I617="","",IF(I617&lt;=M617,"OK","ALTA"))</f>
        <v/>
      </c>
      <c r="O617" s="13"/>
    </row>
    <row r="618" customFormat="false" ht="15" hidden="false" customHeight="false" outlineLevel="0" collapsed="false">
      <c r="A618" s="11" t="str">
        <f aca="false">IF(C618="","",ROW()-4)</f>
        <v/>
      </c>
      <c r="B618" s="12"/>
      <c r="C618" s="13"/>
      <c r="D618" s="11" t="str">
        <f aca="false">IF(C618="","",IFERROR(INDEX(LOTES!$D$5:$D$1004,MATCH(C618,LOTES!$F$5:$F$1004,0)),"¿Lote?"))</f>
        <v/>
      </c>
      <c r="E618" s="11" t="str">
        <f aca="false">IF(C618="","",IFERROR(INDEX(LOTES!$C$5:$C$1004,MATCH(C618,LOTES!$F$5:$F$1004,0)),""))</f>
        <v/>
      </c>
      <c r="F618" s="27"/>
      <c r="G618" s="27"/>
      <c r="H618" s="27"/>
      <c r="I618" s="20" t="str">
        <f aca="false">IF(AND(ISNUMBER(F618),ISNUMBER(G618),ISNUMBER(H618),F618&gt;G618,H618&gt;0),(F618-H618)/(F618-G618)*1000,"")</f>
        <v/>
      </c>
      <c r="J618" s="17" t="str">
        <f aca="false">IF(AND(ISNUMBER(F618),ISNUMBER(G618),ISNUMBER(H618),F618&gt;G618,H618&gt;0),(F618-H618)/H618,"")</f>
        <v/>
      </c>
      <c r="K618" s="20" t="str">
        <f aca="false">IF(AND(ISNUMBER(F618),ISNUMBER(G618),ISNUMBER(H618),F618&gt;G618,H618&gt;0),H618/(F618-G618)*1000,"")</f>
        <v/>
      </c>
      <c r="L618" s="11" t="str">
        <f aca="false">IF(K618="","",IF(K618&gt;=CONFIG!$E$21,CONFIG!$D$21,IF(K618&gt;=CONFIG!$E$20,CONFIG!$D$20,CONFIG!$D$19)))</f>
        <v/>
      </c>
      <c r="M618" s="20" t="str">
        <f aca="false">IF(K618="","",IF(K618&gt;=CONFIG!$E$21,CONFIG!$F$21,IF(K618&gt;=CONFIG!$E$20,CONFIG!$F$20,CONFIG!$F$19)))</f>
        <v/>
      </c>
      <c r="N618" s="19" t="str">
        <f aca="false">IF(I618="","",IF(I618&lt;=M618,"OK","ALTA"))</f>
        <v/>
      </c>
      <c r="O618" s="13"/>
    </row>
    <row r="619" customFormat="false" ht="15" hidden="false" customHeight="false" outlineLevel="0" collapsed="false">
      <c r="A619" s="11" t="str">
        <f aca="false">IF(C619="","",ROW()-4)</f>
        <v/>
      </c>
      <c r="B619" s="12"/>
      <c r="C619" s="13"/>
      <c r="D619" s="11" t="str">
        <f aca="false">IF(C619="","",IFERROR(INDEX(LOTES!$D$5:$D$1004,MATCH(C619,LOTES!$F$5:$F$1004,0)),"¿Lote?"))</f>
        <v/>
      </c>
      <c r="E619" s="11" t="str">
        <f aca="false">IF(C619="","",IFERROR(INDEX(LOTES!$C$5:$C$1004,MATCH(C619,LOTES!$F$5:$F$1004,0)),""))</f>
        <v/>
      </c>
      <c r="F619" s="27"/>
      <c r="G619" s="27"/>
      <c r="H619" s="27"/>
      <c r="I619" s="20" t="str">
        <f aca="false">IF(AND(ISNUMBER(F619),ISNUMBER(G619),ISNUMBER(H619),F619&gt;G619,H619&gt;0),(F619-H619)/(F619-G619)*1000,"")</f>
        <v/>
      </c>
      <c r="J619" s="17" t="str">
        <f aca="false">IF(AND(ISNUMBER(F619),ISNUMBER(G619),ISNUMBER(H619),F619&gt;G619,H619&gt;0),(F619-H619)/H619,"")</f>
        <v/>
      </c>
      <c r="K619" s="20" t="str">
        <f aca="false">IF(AND(ISNUMBER(F619),ISNUMBER(G619),ISNUMBER(H619),F619&gt;G619,H619&gt;0),H619/(F619-G619)*1000,"")</f>
        <v/>
      </c>
      <c r="L619" s="11" t="str">
        <f aca="false">IF(K619="","",IF(K619&gt;=CONFIG!$E$21,CONFIG!$D$21,IF(K619&gt;=CONFIG!$E$20,CONFIG!$D$20,CONFIG!$D$19)))</f>
        <v/>
      </c>
      <c r="M619" s="20" t="str">
        <f aca="false">IF(K619="","",IF(K619&gt;=CONFIG!$E$21,CONFIG!$F$21,IF(K619&gt;=CONFIG!$E$20,CONFIG!$F$20,CONFIG!$F$19)))</f>
        <v/>
      </c>
      <c r="N619" s="19" t="str">
        <f aca="false">IF(I619="","",IF(I619&lt;=M619,"OK","ALTA"))</f>
        <v/>
      </c>
      <c r="O619" s="13"/>
    </row>
    <row r="620" customFormat="false" ht="15" hidden="false" customHeight="false" outlineLevel="0" collapsed="false">
      <c r="A620" s="11" t="str">
        <f aca="false">IF(C620="","",ROW()-4)</f>
        <v/>
      </c>
      <c r="B620" s="12"/>
      <c r="C620" s="13"/>
      <c r="D620" s="11" t="str">
        <f aca="false">IF(C620="","",IFERROR(INDEX(LOTES!$D$5:$D$1004,MATCH(C620,LOTES!$F$5:$F$1004,0)),"¿Lote?"))</f>
        <v/>
      </c>
      <c r="E620" s="11" t="str">
        <f aca="false">IF(C620="","",IFERROR(INDEX(LOTES!$C$5:$C$1004,MATCH(C620,LOTES!$F$5:$F$1004,0)),""))</f>
        <v/>
      </c>
      <c r="F620" s="27"/>
      <c r="G620" s="27"/>
      <c r="H620" s="27"/>
      <c r="I620" s="20" t="str">
        <f aca="false">IF(AND(ISNUMBER(F620),ISNUMBER(G620),ISNUMBER(H620),F620&gt;G620,H620&gt;0),(F620-H620)/(F620-G620)*1000,"")</f>
        <v/>
      </c>
      <c r="J620" s="17" t="str">
        <f aca="false">IF(AND(ISNUMBER(F620),ISNUMBER(G620),ISNUMBER(H620),F620&gt;G620,H620&gt;0),(F620-H620)/H620,"")</f>
        <v/>
      </c>
      <c r="K620" s="20" t="str">
        <f aca="false">IF(AND(ISNUMBER(F620),ISNUMBER(G620),ISNUMBER(H620),F620&gt;G620,H620&gt;0),H620/(F620-G620)*1000,"")</f>
        <v/>
      </c>
      <c r="L620" s="11" t="str">
        <f aca="false">IF(K620="","",IF(K620&gt;=CONFIG!$E$21,CONFIG!$D$21,IF(K620&gt;=CONFIG!$E$20,CONFIG!$D$20,CONFIG!$D$19)))</f>
        <v/>
      </c>
      <c r="M620" s="20" t="str">
        <f aca="false">IF(K620="","",IF(K620&gt;=CONFIG!$E$21,CONFIG!$F$21,IF(K620&gt;=CONFIG!$E$20,CONFIG!$F$20,CONFIG!$F$19)))</f>
        <v/>
      </c>
      <c r="N620" s="19" t="str">
        <f aca="false">IF(I620="","",IF(I620&lt;=M620,"OK","ALTA"))</f>
        <v/>
      </c>
      <c r="O620" s="13"/>
    </row>
    <row r="621" customFormat="false" ht="15" hidden="false" customHeight="false" outlineLevel="0" collapsed="false">
      <c r="A621" s="11" t="str">
        <f aca="false">IF(C621="","",ROW()-4)</f>
        <v/>
      </c>
      <c r="B621" s="12"/>
      <c r="C621" s="13"/>
      <c r="D621" s="11" t="str">
        <f aca="false">IF(C621="","",IFERROR(INDEX(LOTES!$D$5:$D$1004,MATCH(C621,LOTES!$F$5:$F$1004,0)),"¿Lote?"))</f>
        <v/>
      </c>
      <c r="E621" s="11" t="str">
        <f aca="false">IF(C621="","",IFERROR(INDEX(LOTES!$C$5:$C$1004,MATCH(C621,LOTES!$F$5:$F$1004,0)),""))</f>
        <v/>
      </c>
      <c r="F621" s="27"/>
      <c r="G621" s="27"/>
      <c r="H621" s="27"/>
      <c r="I621" s="20" t="str">
        <f aca="false">IF(AND(ISNUMBER(F621),ISNUMBER(G621),ISNUMBER(H621),F621&gt;G621,H621&gt;0),(F621-H621)/(F621-G621)*1000,"")</f>
        <v/>
      </c>
      <c r="J621" s="17" t="str">
        <f aca="false">IF(AND(ISNUMBER(F621),ISNUMBER(G621),ISNUMBER(H621),F621&gt;G621,H621&gt;0),(F621-H621)/H621,"")</f>
        <v/>
      </c>
      <c r="K621" s="20" t="str">
        <f aca="false">IF(AND(ISNUMBER(F621),ISNUMBER(G621),ISNUMBER(H621),F621&gt;G621,H621&gt;0),H621/(F621-G621)*1000,"")</f>
        <v/>
      </c>
      <c r="L621" s="11" t="str">
        <f aca="false">IF(K621="","",IF(K621&gt;=CONFIG!$E$21,CONFIG!$D$21,IF(K621&gt;=CONFIG!$E$20,CONFIG!$D$20,CONFIG!$D$19)))</f>
        <v/>
      </c>
      <c r="M621" s="20" t="str">
        <f aca="false">IF(K621="","",IF(K621&gt;=CONFIG!$E$21,CONFIG!$F$21,IF(K621&gt;=CONFIG!$E$20,CONFIG!$F$20,CONFIG!$F$19)))</f>
        <v/>
      </c>
      <c r="N621" s="19" t="str">
        <f aca="false">IF(I621="","",IF(I621&lt;=M621,"OK","ALTA"))</f>
        <v/>
      </c>
      <c r="O621" s="13"/>
    </row>
    <row r="622" customFormat="false" ht="15" hidden="false" customHeight="false" outlineLevel="0" collapsed="false">
      <c r="A622" s="11" t="str">
        <f aca="false">IF(C622="","",ROW()-4)</f>
        <v/>
      </c>
      <c r="B622" s="12"/>
      <c r="C622" s="13"/>
      <c r="D622" s="11" t="str">
        <f aca="false">IF(C622="","",IFERROR(INDEX(LOTES!$D$5:$D$1004,MATCH(C622,LOTES!$F$5:$F$1004,0)),"¿Lote?"))</f>
        <v/>
      </c>
      <c r="E622" s="11" t="str">
        <f aca="false">IF(C622="","",IFERROR(INDEX(LOTES!$C$5:$C$1004,MATCH(C622,LOTES!$F$5:$F$1004,0)),""))</f>
        <v/>
      </c>
      <c r="F622" s="27"/>
      <c r="G622" s="27"/>
      <c r="H622" s="27"/>
      <c r="I622" s="20" t="str">
        <f aca="false">IF(AND(ISNUMBER(F622),ISNUMBER(G622),ISNUMBER(H622),F622&gt;G622,H622&gt;0),(F622-H622)/(F622-G622)*1000,"")</f>
        <v/>
      </c>
      <c r="J622" s="17" t="str">
        <f aca="false">IF(AND(ISNUMBER(F622),ISNUMBER(G622),ISNUMBER(H622),F622&gt;G622,H622&gt;0),(F622-H622)/H622,"")</f>
        <v/>
      </c>
      <c r="K622" s="20" t="str">
        <f aca="false">IF(AND(ISNUMBER(F622),ISNUMBER(G622),ISNUMBER(H622),F622&gt;G622,H622&gt;0),H622/(F622-G622)*1000,"")</f>
        <v/>
      </c>
      <c r="L622" s="11" t="str">
        <f aca="false">IF(K622="","",IF(K622&gt;=CONFIG!$E$21,CONFIG!$D$21,IF(K622&gt;=CONFIG!$E$20,CONFIG!$D$20,CONFIG!$D$19)))</f>
        <v/>
      </c>
      <c r="M622" s="20" t="str">
        <f aca="false">IF(K622="","",IF(K622&gt;=CONFIG!$E$21,CONFIG!$F$21,IF(K622&gt;=CONFIG!$E$20,CONFIG!$F$20,CONFIG!$F$19)))</f>
        <v/>
      </c>
      <c r="N622" s="19" t="str">
        <f aca="false">IF(I622="","",IF(I622&lt;=M622,"OK","ALTA"))</f>
        <v/>
      </c>
      <c r="O622" s="13"/>
    </row>
    <row r="623" customFormat="false" ht="15" hidden="false" customHeight="false" outlineLevel="0" collapsed="false">
      <c r="A623" s="11" t="str">
        <f aca="false">IF(C623="","",ROW()-4)</f>
        <v/>
      </c>
      <c r="B623" s="12"/>
      <c r="C623" s="13"/>
      <c r="D623" s="11" t="str">
        <f aca="false">IF(C623="","",IFERROR(INDEX(LOTES!$D$5:$D$1004,MATCH(C623,LOTES!$F$5:$F$1004,0)),"¿Lote?"))</f>
        <v/>
      </c>
      <c r="E623" s="11" t="str">
        <f aca="false">IF(C623="","",IFERROR(INDEX(LOTES!$C$5:$C$1004,MATCH(C623,LOTES!$F$5:$F$1004,0)),""))</f>
        <v/>
      </c>
      <c r="F623" s="27"/>
      <c r="G623" s="27"/>
      <c r="H623" s="27"/>
      <c r="I623" s="20" t="str">
        <f aca="false">IF(AND(ISNUMBER(F623),ISNUMBER(G623),ISNUMBER(H623),F623&gt;G623,H623&gt;0),(F623-H623)/(F623-G623)*1000,"")</f>
        <v/>
      </c>
      <c r="J623" s="17" t="str">
        <f aca="false">IF(AND(ISNUMBER(F623),ISNUMBER(G623),ISNUMBER(H623),F623&gt;G623,H623&gt;0),(F623-H623)/H623,"")</f>
        <v/>
      </c>
      <c r="K623" s="20" t="str">
        <f aca="false">IF(AND(ISNUMBER(F623),ISNUMBER(G623),ISNUMBER(H623),F623&gt;G623,H623&gt;0),H623/(F623-G623)*1000,"")</f>
        <v/>
      </c>
      <c r="L623" s="11" t="str">
        <f aca="false">IF(K623="","",IF(K623&gt;=CONFIG!$E$21,CONFIG!$D$21,IF(K623&gt;=CONFIG!$E$20,CONFIG!$D$20,CONFIG!$D$19)))</f>
        <v/>
      </c>
      <c r="M623" s="20" t="str">
        <f aca="false">IF(K623="","",IF(K623&gt;=CONFIG!$E$21,CONFIG!$F$21,IF(K623&gt;=CONFIG!$E$20,CONFIG!$F$20,CONFIG!$F$19)))</f>
        <v/>
      </c>
      <c r="N623" s="19" t="str">
        <f aca="false">IF(I623="","",IF(I623&lt;=M623,"OK","ALTA"))</f>
        <v/>
      </c>
      <c r="O623" s="13"/>
    </row>
    <row r="624" customFormat="false" ht="15" hidden="false" customHeight="false" outlineLevel="0" collapsed="false">
      <c r="A624" s="11" t="str">
        <f aca="false">IF(C624="","",ROW()-4)</f>
        <v/>
      </c>
      <c r="B624" s="12"/>
      <c r="C624" s="13"/>
      <c r="D624" s="11" t="str">
        <f aca="false">IF(C624="","",IFERROR(INDEX(LOTES!$D$5:$D$1004,MATCH(C624,LOTES!$F$5:$F$1004,0)),"¿Lote?"))</f>
        <v/>
      </c>
      <c r="E624" s="11" t="str">
        <f aca="false">IF(C624="","",IFERROR(INDEX(LOTES!$C$5:$C$1004,MATCH(C624,LOTES!$F$5:$F$1004,0)),""))</f>
        <v/>
      </c>
      <c r="F624" s="27"/>
      <c r="G624" s="27"/>
      <c r="H624" s="27"/>
      <c r="I624" s="20" t="str">
        <f aca="false">IF(AND(ISNUMBER(F624),ISNUMBER(G624),ISNUMBER(H624),F624&gt;G624,H624&gt;0),(F624-H624)/(F624-G624)*1000,"")</f>
        <v/>
      </c>
      <c r="J624" s="17" t="str">
        <f aca="false">IF(AND(ISNUMBER(F624),ISNUMBER(G624),ISNUMBER(H624),F624&gt;G624,H624&gt;0),(F624-H624)/H624,"")</f>
        <v/>
      </c>
      <c r="K624" s="20" t="str">
        <f aca="false">IF(AND(ISNUMBER(F624),ISNUMBER(G624),ISNUMBER(H624),F624&gt;G624,H624&gt;0),H624/(F624-G624)*1000,"")</f>
        <v/>
      </c>
      <c r="L624" s="11" t="str">
        <f aca="false">IF(K624="","",IF(K624&gt;=CONFIG!$E$21,CONFIG!$D$21,IF(K624&gt;=CONFIG!$E$20,CONFIG!$D$20,CONFIG!$D$19)))</f>
        <v/>
      </c>
      <c r="M624" s="20" t="str">
        <f aca="false">IF(K624="","",IF(K624&gt;=CONFIG!$E$21,CONFIG!$F$21,IF(K624&gt;=CONFIG!$E$20,CONFIG!$F$20,CONFIG!$F$19)))</f>
        <v/>
      </c>
      <c r="N624" s="19" t="str">
        <f aca="false">IF(I624="","",IF(I624&lt;=M624,"OK","ALTA"))</f>
        <v/>
      </c>
      <c r="O624" s="13"/>
    </row>
    <row r="625" customFormat="false" ht="15" hidden="false" customHeight="false" outlineLevel="0" collapsed="false">
      <c r="A625" s="11" t="str">
        <f aca="false">IF(C625="","",ROW()-4)</f>
        <v/>
      </c>
      <c r="B625" s="12"/>
      <c r="C625" s="13"/>
      <c r="D625" s="11" t="str">
        <f aca="false">IF(C625="","",IFERROR(INDEX(LOTES!$D$5:$D$1004,MATCH(C625,LOTES!$F$5:$F$1004,0)),"¿Lote?"))</f>
        <v/>
      </c>
      <c r="E625" s="11" t="str">
        <f aca="false">IF(C625="","",IFERROR(INDEX(LOTES!$C$5:$C$1004,MATCH(C625,LOTES!$F$5:$F$1004,0)),""))</f>
        <v/>
      </c>
      <c r="F625" s="27"/>
      <c r="G625" s="27"/>
      <c r="H625" s="27"/>
      <c r="I625" s="20" t="str">
        <f aca="false">IF(AND(ISNUMBER(F625),ISNUMBER(G625),ISNUMBER(H625),F625&gt;G625,H625&gt;0),(F625-H625)/(F625-G625)*1000,"")</f>
        <v/>
      </c>
      <c r="J625" s="17" t="str">
        <f aca="false">IF(AND(ISNUMBER(F625),ISNUMBER(G625),ISNUMBER(H625),F625&gt;G625,H625&gt;0),(F625-H625)/H625,"")</f>
        <v/>
      </c>
      <c r="K625" s="20" t="str">
        <f aca="false">IF(AND(ISNUMBER(F625),ISNUMBER(G625),ISNUMBER(H625),F625&gt;G625,H625&gt;0),H625/(F625-G625)*1000,"")</f>
        <v/>
      </c>
      <c r="L625" s="11" t="str">
        <f aca="false">IF(K625="","",IF(K625&gt;=CONFIG!$E$21,CONFIG!$D$21,IF(K625&gt;=CONFIG!$E$20,CONFIG!$D$20,CONFIG!$D$19)))</f>
        <v/>
      </c>
      <c r="M625" s="20" t="str">
        <f aca="false">IF(K625="","",IF(K625&gt;=CONFIG!$E$21,CONFIG!$F$21,IF(K625&gt;=CONFIG!$E$20,CONFIG!$F$20,CONFIG!$F$19)))</f>
        <v/>
      </c>
      <c r="N625" s="19" t="str">
        <f aca="false">IF(I625="","",IF(I625&lt;=M625,"OK","ALTA"))</f>
        <v/>
      </c>
      <c r="O625" s="13"/>
    </row>
    <row r="626" customFormat="false" ht="15" hidden="false" customHeight="false" outlineLevel="0" collapsed="false">
      <c r="A626" s="11" t="str">
        <f aca="false">IF(C626="","",ROW()-4)</f>
        <v/>
      </c>
      <c r="B626" s="12"/>
      <c r="C626" s="13"/>
      <c r="D626" s="11" t="str">
        <f aca="false">IF(C626="","",IFERROR(INDEX(LOTES!$D$5:$D$1004,MATCH(C626,LOTES!$F$5:$F$1004,0)),"¿Lote?"))</f>
        <v/>
      </c>
      <c r="E626" s="11" t="str">
        <f aca="false">IF(C626="","",IFERROR(INDEX(LOTES!$C$5:$C$1004,MATCH(C626,LOTES!$F$5:$F$1004,0)),""))</f>
        <v/>
      </c>
      <c r="F626" s="27"/>
      <c r="G626" s="27"/>
      <c r="H626" s="27"/>
      <c r="I626" s="20" t="str">
        <f aca="false">IF(AND(ISNUMBER(F626),ISNUMBER(G626),ISNUMBER(H626),F626&gt;G626,H626&gt;0),(F626-H626)/(F626-G626)*1000,"")</f>
        <v/>
      </c>
      <c r="J626" s="17" t="str">
        <f aca="false">IF(AND(ISNUMBER(F626),ISNUMBER(G626),ISNUMBER(H626),F626&gt;G626,H626&gt;0),(F626-H626)/H626,"")</f>
        <v/>
      </c>
      <c r="K626" s="20" t="str">
        <f aca="false">IF(AND(ISNUMBER(F626),ISNUMBER(G626),ISNUMBER(H626),F626&gt;G626,H626&gt;0),H626/(F626-G626)*1000,"")</f>
        <v/>
      </c>
      <c r="L626" s="11" t="str">
        <f aca="false">IF(K626="","",IF(K626&gt;=CONFIG!$E$21,CONFIG!$D$21,IF(K626&gt;=CONFIG!$E$20,CONFIG!$D$20,CONFIG!$D$19)))</f>
        <v/>
      </c>
      <c r="M626" s="20" t="str">
        <f aca="false">IF(K626="","",IF(K626&gt;=CONFIG!$E$21,CONFIG!$F$21,IF(K626&gt;=CONFIG!$E$20,CONFIG!$F$20,CONFIG!$F$19)))</f>
        <v/>
      </c>
      <c r="N626" s="19" t="str">
        <f aca="false">IF(I626="","",IF(I626&lt;=M626,"OK","ALTA"))</f>
        <v/>
      </c>
      <c r="O626" s="13"/>
    </row>
    <row r="627" customFormat="false" ht="15" hidden="false" customHeight="false" outlineLevel="0" collapsed="false">
      <c r="A627" s="11" t="str">
        <f aca="false">IF(C627="","",ROW()-4)</f>
        <v/>
      </c>
      <c r="B627" s="12"/>
      <c r="C627" s="13"/>
      <c r="D627" s="11" t="str">
        <f aca="false">IF(C627="","",IFERROR(INDEX(LOTES!$D$5:$D$1004,MATCH(C627,LOTES!$F$5:$F$1004,0)),"¿Lote?"))</f>
        <v/>
      </c>
      <c r="E627" s="11" t="str">
        <f aca="false">IF(C627="","",IFERROR(INDEX(LOTES!$C$5:$C$1004,MATCH(C627,LOTES!$F$5:$F$1004,0)),""))</f>
        <v/>
      </c>
      <c r="F627" s="27"/>
      <c r="G627" s="27"/>
      <c r="H627" s="27"/>
      <c r="I627" s="20" t="str">
        <f aca="false">IF(AND(ISNUMBER(F627),ISNUMBER(G627),ISNUMBER(H627),F627&gt;G627,H627&gt;0),(F627-H627)/(F627-G627)*1000,"")</f>
        <v/>
      </c>
      <c r="J627" s="17" t="str">
        <f aca="false">IF(AND(ISNUMBER(F627),ISNUMBER(G627),ISNUMBER(H627),F627&gt;G627,H627&gt;0),(F627-H627)/H627,"")</f>
        <v/>
      </c>
      <c r="K627" s="20" t="str">
        <f aca="false">IF(AND(ISNUMBER(F627),ISNUMBER(G627),ISNUMBER(H627),F627&gt;G627,H627&gt;0),H627/(F627-G627)*1000,"")</f>
        <v/>
      </c>
      <c r="L627" s="11" t="str">
        <f aca="false">IF(K627="","",IF(K627&gt;=CONFIG!$E$21,CONFIG!$D$21,IF(K627&gt;=CONFIG!$E$20,CONFIG!$D$20,CONFIG!$D$19)))</f>
        <v/>
      </c>
      <c r="M627" s="20" t="str">
        <f aca="false">IF(K627="","",IF(K627&gt;=CONFIG!$E$21,CONFIG!$F$21,IF(K627&gt;=CONFIG!$E$20,CONFIG!$F$20,CONFIG!$F$19)))</f>
        <v/>
      </c>
      <c r="N627" s="19" t="str">
        <f aca="false">IF(I627="","",IF(I627&lt;=M627,"OK","ALTA"))</f>
        <v/>
      </c>
      <c r="O627" s="13"/>
    </row>
    <row r="628" customFormat="false" ht="15" hidden="false" customHeight="false" outlineLevel="0" collapsed="false">
      <c r="A628" s="11" t="str">
        <f aca="false">IF(C628="","",ROW()-4)</f>
        <v/>
      </c>
      <c r="B628" s="12"/>
      <c r="C628" s="13"/>
      <c r="D628" s="11" t="str">
        <f aca="false">IF(C628="","",IFERROR(INDEX(LOTES!$D$5:$D$1004,MATCH(C628,LOTES!$F$5:$F$1004,0)),"¿Lote?"))</f>
        <v/>
      </c>
      <c r="E628" s="11" t="str">
        <f aca="false">IF(C628="","",IFERROR(INDEX(LOTES!$C$5:$C$1004,MATCH(C628,LOTES!$F$5:$F$1004,0)),""))</f>
        <v/>
      </c>
      <c r="F628" s="27"/>
      <c r="G628" s="27"/>
      <c r="H628" s="27"/>
      <c r="I628" s="20" t="str">
        <f aca="false">IF(AND(ISNUMBER(F628),ISNUMBER(G628),ISNUMBER(H628),F628&gt;G628,H628&gt;0),(F628-H628)/(F628-G628)*1000,"")</f>
        <v/>
      </c>
      <c r="J628" s="17" t="str">
        <f aca="false">IF(AND(ISNUMBER(F628),ISNUMBER(G628),ISNUMBER(H628),F628&gt;G628,H628&gt;0),(F628-H628)/H628,"")</f>
        <v/>
      </c>
      <c r="K628" s="20" t="str">
        <f aca="false">IF(AND(ISNUMBER(F628),ISNUMBER(G628),ISNUMBER(H628),F628&gt;G628,H628&gt;0),H628/(F628-G628)*1000,"")</f>
        <v/>
      </c>
      <c r="L628" s="11" t="str">
        <f aca="false">IF(K628="","",IF(K628&gt;=CONFIG!$E$21,CONFIG!$D$21,IF(K628&gt;=CONFIG!$E$20,CONFIG!$D$20,CONFIG!$D$19)))</f>
        <v/>
      </c>
      <c r="M628" s="20" t="str">
        <f aca="false">IF(K628="","",IF(K628&gt;=CONFIG!$E$21,CONFIG!$F$21,IF(K628&gt;=CONFIG!$E$20,CONFIG!$F$20,CONFIG!$F$19)))</f>
        <v/>
      </c>
      <c r="N628" s="19" t="str">
        <f aca="false">IF(I628="","",IF(I628&lt;=M628,"OK","ALTA"))</f>
        <v/>
      </c>
      <c r="O628" s="13"/>
    </row>
    <row r="629" customFormat="false" ht="15" hidden="false" customHeight="false" outlineLevel="0" collapsed="false">
      <c r="A629" s="11" t="str">
        <f aca="false">IF(C629="","",ROW()-4)</f>
        <v/>
      </c>
      <c r="B629" s="12"/>
      <c r="C629" s="13"/>
      <c r="D629" s="11" t="str">
        <f aca="false">IF(C629="","",IFERROR(INDEX(LOTES!$D$5:$D$1004,MATCH(C629,LOTES!$F$5:$F$1004,0)),"¿Lote?"))</f>
        <v/>
      </c>
      <c r="E629" s="11" t="str">
        <f aca="false">IF(C629="","",IFERROR(INDEX(LOTES!$C$5:$C$1004,MATCH(C629,LOTES!$F$5:$F$1004,0)),""))</f>
        <v/>
      </c>
      <c r="F629" s="27"/>
      <c r="G629" s="27"/>
      <c r="H629" s="27"/>
      <c r="I629" s="20" t="str">
        <f aca="false">IF(AND(ISNUMBER(F629),ISNUMBER(G629),ISNUMBER(H629),F629&gt;G629,H629&gt;0),(F629-H629)/(F629-G629)*1000,"")</f>
        <v/>
      </c>
      <c r="J629" s="17" t="str">
        <f aca="false">IF(AND(ISNUMBER(F629),ISNUMBER(G629),ISNUMBER(H629),F629&gt;G629,H629&gt;0),(F629-H629)/H629,"")</f>
        <v/>
      </c>
      <c r="K629" s="20" t="str">
        <f aca="false">IF(AND(ISNUMBER(F629),ISNUMBER(G629),ISNUMBER(H629),F629&gt;G629,H629&gt;0),H629/(F629-G629)*1000,"")</f>
        <v/>
      </c>
      <c r="L629" s="11" t="str">
        <f aca="false">IF(K629="","",IF(K629&gt;=CONFIG!$E$21,CONFIG!$D$21,IF(K629&gt;=CONFIG!$E$20,CONFIG!$D$20,CONFIG!$D$19)))</f>
        <v/>
      </c>
      <c r="M629" s="20" t="str">
        <f aca="false">IF(K629="","",IF(K629&gt;=CONFIG!$E$21,CONFIG!$F$21,IF(K629&gt;=CONFIG!$E$20,CONFIG!$F$20,CONFIG!$F$19)))</f>
        <v/>
      </c>
      <c r="N629" s="19" t="str">
        <f aca="false">IF(I629="","",IF(I629&lt;=M629,"OK","ALTA"))</f>
        <v/>
      </c>
      <c r="O629" s="13"/>
    </row>
    <row r="630" customFormat="false" ht="15" hidden="false" customHeight="false" outlineLevel="0" collapsed="false">
      <c r="A630" s="11" t="str">
        <f aca="false">IF(C630="","",ROW()-4)</f>
        <v/>
      </c>
      <c r="B630" s="12"/>
      <c r="C630" s="13"/>
      <c r="D630" s="11" t="str">
        <f aca="false">IF(C630="","",IFERROR(INDEX(LOTES!$D$5:$D$1004,MATCH(C630,LOTES!$F$5:$F$1004,0)),"¿Lote?"))</f>
        <v/>
      </c>
      <c r="E630" s="11" t="str">
        <f aca="false">IF(C630="","",IFERROR(INDEX(LOTES!$C$5:$C$1004,MATCH(C630,LOTES!$F$5:$F$1004,0)),""))</f>
        <v/>
      </c>
      <c r="F630" s="27"/>
      <c r="G630" s="27"/>
      <c r="H630" s="27"/>
      <c r="I630" s="20" t="str">
        <f aca="false">IF(AND(ISNUMBER(F630),ISNUMBER(G630),ISNUMBER(H630),F630&gt;G630,H630&gt;0),(F630-H630)/(F630-G630)*1000,"")</f>
        <v/>
      </c>
      <c r="J630" s="17" t="str">
        <f aca="false">IF(AND(ISNUMBER(F630),ISNUMBER(G630),ISNUMBER(H630),F630&gt;G630,H630&gt;0),(F630-H630)/H630,"")</f>
        <v/>
      </c>
      <c r="K630" s="20" t="str">
        <f aca="false">IF(AND(ISNUMBER(F630),ISNUMBER(G630),ISNUMBER(H630),F630&gt;G630,H630&gt;0),H630/(F630-G630)*1000,"")</f>
        <v/>
      </c>
      <c r="L630" s="11" t="str">
        <f aca="false">IF(K630="","",IF(K630&gt;=CONFIG!$E$21,CONFIG!$D$21,IF(K630&gt;=CONFIG!$E$20,CONFIG!$D$20,CONFIG!$D$19)))</f>
        <v/>
      </c>
      <c r="M630" s="20" t="str">
        <f aca="false">IF(K630="","",IF(K630&gt;=CONFIG!$E$21,CONFIG!$F$21,IF(K630&gt;=CONFIG!$E$20,CONFIG!$F$20,CONFIG!$F$19)))</f>
        <v/>
      </c>
      <c r="N630" s="19" t="str">
        <f aca="false">IF(I630="","",IF(I630&lt;=M630,"OK","ALTA"))</f>
        <v/>
      </c>
      <c r="O630" s="13"/>
    </row>
    <row r="631" customFormat="false" ht="15" hidden="false" customHeight="false" outlineLevel="0" collapsed="false">
      <c r="A631" s="11" t="str">
        <f aca="false">IF(C631="","",ROW()-4)</f>
        <v/>
      </c>
      <c r="B631" s="12"/>
      <c r="C631" s="13"/>
      <c r="D631" s="11" t="str">
        <f aca="false">IF(C631="","",IFERROR(INDEX(LOTES!$D$5:$D$1004,MATCH(C631,LOTES!$F$5:$F$1004,0)),"¿Lote?"))</f>
        <v/>
      </c>
      <c r="E631" s="11" t="str">
        <f aca="false">IF(C631="","",IFERROR(INDEX(LOTES!$C$5:$C$1004,MATCH(C631,LOTES!$F$5:$F$1004,0)),""))</f>
        <v/>
      </c>
      <c r="F631" s="27"/>
      <c r="G631" s="27"/>
      <c r="H631" s="27"/>
      <c r="I631" s="20" t="str">
        <f aca="false">IF(AND(ISNUMBER(F631),ISNUMBER(G631),ISNUMBER(H631),F631&gt;G631,H631&gt;0),(F631-H631)/(F631-G631)*1000,"")</f>
        <v/>
      </c>
      <c r="J631" s="17" t="str">
        <f aca="false">IF(AND(ISNUMBER(F631),ISNUMBER(G631),ISNUMBER(H631),F631&gt;G631,H631&gt;0),(F631-H631)/H631,"")</f>
        <v/>
      </c>
      <c r="K631" s="20" t="str">
        <f aca="false">IF(AND(ISNUMBER(F631),ISNUMBER(G631),ISNUMBER(H631),F631&gt;G631,H631&gt;0),H631/(F631-G631)*1000,"")</f>
        <v/>
      </c>
      <c r="L631" s="11" t="str">
        <f aca="false">IF(K631="","",IF(K631&gt;=CONFIG!$E$21,CONFIG!$D$21,IF(K631&gt;=CONFIG!$E$20,CONFIG!$D$20,CONFIG!$D$19)))</f>
        <v/>
      </c>
      <c r="M631" s="20" t="str">
        <f aca="false">IF(K631="","",IF(K631&gt;=CONFIG!$E$21,CONFIG!$F$21,IF(K631&gt;=CONFIG!$E$20,CONFIG!$F$20,CONFIG!$F$19)))</f>
        <v/>
      </c>
      <c r="N631" s="19" t="str">
        <f aca="false">IF(I631="","",IF(I631&lt;=M631,"OK","ALTA"))</f>
        <v/>
      </c>
      <c r="O631" s="13"/>
    </row>
    <row r="632" customFormat="false" ht="15" hidden="false" customHeight="false" outlineLevel="0" collapsed="false">
      <c r="A632" s="11" t="str">
        <f aca="false">IF(C632="","",ROW()-4)</f>
        <v/>
      </c>
      <c r="B632" s="12"/>
      <c r="C632" s="13"/>
      <c r="D632" s="11" t="str">
        <f aca="false">IF(C632="","",IFERROR(INDEX(LOTES!$D$5:$D$1004,MATCH(C632,LOTES!$F$5:$F$1004,0)),"¿Lote?"))</f>
        <v/>
      </c>
      <c r="E632" s="11" t="str">
        <f aca="false">IF(C632="","",IFERROR(INDEX(LOTES!$C$5:$C$1004,MATCH(C632,LOTES!$F$5:$F$1004,0)),""))</f>
        <v/>
      </c>
      <c r="F632" s="27"/>
      <c r="G632" s="27"/>
      <c r="H632" s="27"/>
      <c r="I632" s="20" t="str">
        <f aca="false">IF(AND(ISNUMBER(F632),ISNUMBER(G632),ISNUMBER(H632),F632&gt;G632,H632&gt;0),(F632-H632)/(F632-G632)*1000,"")</f>
        <v/>
      </c>
      <c r="J632" s="17" t="str">
        <f aca="false">IF(AND(ISNUMBER(F632),ISNUMBER(G632),ISNUMBER(H632),F632&gt;G632,H632&gt;0),(F632-H632)/H632,"")</f>
        <v/>
      </c>
      <c r="K632" s="20" t="str">
        <f aca="false">IF(AND(ISNUMBER(F632),ISNUMBER(G632),ISNUMBER(H632),F632&gt;G632,H632&gt;0),H632/(F632-G632)*1000,"")</f>
        <v/>
      </c>
      <c r="L632" s="11" t="str">
        <f aca="false">IF(K632="","",IF(K632&gt;=CONFIG!$E$21,CONFIG!$D$21,IF(K632&gt;=CONFIG!$E$20,CONFIG!$D$20,CONFIG!$D$19)))</f>
        <v/>
      </c>
      <c r="M632" s="20" t="str">
        <f aca="false">IF(K632="","",IF(K632&gt;=CONFIG!$E$21,CONFIG!$F$21,IF(K632&gt;=CONFIG!$E$20,CONFIG!$F$20,CONFIG!$F$19)))</f>
        <v/>
      </c>
      <c r="N632" s="19" t="str">
        <f aca="false">IF(I632="","",IF(I632&lt;=M632,"OK","ALTA"))</f>
        <v/>
      </c>
      <c r="O632" s="13"/>
    </row>
    <row r="633" customFormat="false" ht="15" hidden="false" customHeight="false" outlineLevel="0" collapsed="false">
      <c r="A633" s="11" t="str">
        <f aca="false">IF(C633="","",ROW()-4)</f>
        <v/>
      </c>
      <c r="B633" s="12"/>
      <c r="C633" s="13"/>
      <c r="D633" s="11" t="str">
        <f aca="false">IF(C633="","",IFERROR(INDEX(LOTES!$D$5:$D$1004,MATCH(C633,LOTES!$F$5:$F$1004,0)),"¿Lote?"))</f>
        <v/>
      </c>
      <c r="E633" s="11" t="str">
        <f aca="false">IF(C633="","",IFERROR(INDEX(LOTES!$C$5:$C$1004,MATCH(C633,LOTES!$F$5:$F$1004,0)),""))</f>
        <v/>
      </c>
      <c r="F633" s="27"/>
      <c r="G633" s="27"/>
      <c r="H633" s="27"/>
      <c r="I633" s="20" t="str">
        <f aca="false">IF(AND(ISNUMBER(F633),ISNUMBER(G633),ISNUMBER(H633),F633&gt;G633,H633&gt;0),(F633-H633)/(F633-G633)*1000,"")</f>
        <v/>
      </c>
      <c r="J633" s="17" t="str">
        <f aca="false">IF(AND(ISNUMBER(F633),ISNUMBER(G633),ISNUMBER(H633),F633&gt;G633,H633&gt;0),(F633-H633)/H633,"")</f>
        <v/>
      </c>
      <c r="K633" s="20" t="str">
        <f aca="false">IF(AND(ISNUMBER(F633),ISNUMBER(G633),ISNUMBER(H633),F633&gt;G633,H633&gt;0),H633/(F633-G633)*1000,"")</f>
        <v/>
      </c>
      <c r="L633" s="11" t="str">
        <f aca="false">IF(K633="","",IF(K633&gt;=CONFIG!$E$21,CONFIG!$D$21,IF(K633&gt;=CONFIG!$E$20,CONFIG!$D$20,CONFIG!$D$19)))</f>
        <v/>
      </c>
      <c r="M633" s="20" t="str">
        <f aca="false">IF(K633="","",IF(K633&gt;=CONFIG!$E$21,CONFIG!$F$21,IF(K633&gt;=CONFIG!$E$20,CONFIG!$F$20,CONFIG!$F$19)))</f>
        <v/>
      </c>
      <c r="N633" s="19" t="str">
        <f aca="false">IF(I633="","",IF(I633&lt;=M633,"OK","ALTA"))</f>
        <v/>
      </c>
      <c r="O633" s="13"/>
    </row>
    <row r="634" customFormat="false" ht="15" hidden="false" customHeight="false" outlineLevel="0" collapsed="false">
      <c r="A634" s="11" t="str">
        <f aca="false">IF(C634="","",ROW()-4)</f>
        <v/>
      </c>
      <c r="B634" s="12"/>
      <c r="C634" s="13"/>
      <c r="D634" s="11" t="str">
        <f aca="false">IF(C634="","",IFERROR(INDEX(LOTES!$D$5:$D$1004,MATCH(C634,LOTES!$F$5:$F$1004,0)),"¿Lote?"))</f>
        <v/>
      </c>
      <c r="E634" s="11" t="str">
        <f aca="false">IF(C634="","",IFERROR(INDEX(LOTES!$C$5:$C$1004,MATCH(C634,LOTES!$F$5:$F$1004,0)),""))</f>
        <v/>
      </c>
      <c r="F634" s="27"/>
      <c r="G634" s="27"/>
      <c r="H634" s="27"/>
      <c r="I634" s="20" t="str">
        <f aca="false">IF(AND(ISNUMBER(F634),ISNUMBER(G634),ISNUMBER(H634),F634&gt;G634,H634&gt;0),(F634-H634)/(F634-G634)*1000,"")</f>
        <v/>
      </c>
      <c r="J634" s="17" t="str">
        <f aca="false">IF(AND(ISNUMBER(F634),ISNUMBER(G634),ISNUMBER(H634),F634&gt;G634,H634&gt;0),(F634-H634)/H634,"")</f>
        <v/>
      </c>
      <c r="K634" s="20" t="str">
        <f aca="false">IF(AND(ISNUMBER(F634),ISNUMBER(G634),ISNUMBER(H634),F634&gt;G634,H634&gt;0),H634/(F634-G634)*1000,"")</f>
        <v/>
      </c>
      <c r="L634" s="11" t="str">
        <f aca="false">IF(K634="","",IF(K634&gt;=CONFIG!$E$21,CONFIG!$D$21,IF(K634&gt;=CONFIG!$E$20,CONFIG!$D$20,CONFIG!$D$19)))</f>
        <v/>
      </c>
      <c r="M634" s="20" t="str">
        <f aca="false">IF(K634="","",IF(K634&gt;=CONFIG!$E$21,CONFIG!$F$21,IF(K634&gt;=CONFIG!$E$20,CONFIG!$F$20,CONFIG!$F$19)))</f>
        <v/>
      </c>
      <c r="N634" s="19" t="str">
        <f aca="false">IF(I634="","",IF(I634&lt;=M634,"OK","ALTA"))</f>
        <v/>
      </c>
      <c r="O634" s="13"/>
    </row>
    <row r="635" customFormat="false" ht="15" hidden="false" customHeight="false" outlineLevel="0" collapsed="false">
      <c r="A635" s="11" t="str">
        <f aca="false">IF(C635="","",ROW()-4)</f>
        <v/>
      </c>
      <c r="B635" s="12"/>
      <c r="C635" s="13"/>
      <c r="D635" s="11" t="str">
        <f aca="false">IF(C635="","",IFERROR(INDEX(LOTES!$D$5:$D$1004,MATCH(C635,LOTES!$F$5:$F$1004,0)),"¿Lote?"))</f>
        <v/>
      </c>
      <c r="E635" s="11" t="str">
        <f aca="false">IF(C635="","",IFERROR(INDEX(LOTES!$C$5:$C$1004,MATCH(C635,LOTES!$F$5:$F$1004,0)),""))</f>
        <v/>
      </c>
      <c r="F635" s="27"/>
      <c r="G635" s="27"/>
      <c r="H635" s="27"/>
      <c r="I635" s="20" t="str">
        <f aca="false">IF(AND(ISNUMBER(F635),ISNUMBER(G635),ISNUMBER(H635),F635&gt;G635,H635&gt;0),(F635-H635)/(F635-G635)*1000,"")</f>
        <v/>
      </c>
      <c r="J635" s="17" t="str">
        <f aca="false">IF(AND(ISNUMBER(F635),ISNUMBER(G635),ISNUMBER(H635),F635&gt;G635,H635&gt;0),(F635-H635)/H635,"")</f>
        <v/>
      </c>
      <c r="K635" s="20" t="str">
        <f aca="false">IF(AND(ISNUMBER(F635),ISNUMBER(G635),ISNUMBER(H635),F635&gt;G635,H635&gt;0),H635/(F635-G635)*1000,"")</f>
        <v/>
      </c>
      <c r="L635" s="11" t="str">
        <f aca="false">IF(K635="","",IF(K635&gt;=CONFIG!$E$21,CONFIG!$D$21,IF(K635&gt;=CONFIG!$E$20,CONFIG!$D$20,CONFIG!$D$19)))</f>
        <v/>
      </c>
      <c r="M635" s="20" t="str">
        <f aca="false">IF(K635="","",IF(K635&gt;=CONFIG!$E$21,CONFIG!$F$21,IF(K635&gt;=CONFIG!$E$20,CONFIG!$F$20,CONFIG!$F$19)))</f>
        <v/>
      </c>
      <c r="N635" s="19" t="str">
        <f aca="false">IF(I635="","",IF(I635&lt;=M635,"OK","ALTA"))</f>
        <v/>
      </c>
      <c r="O635" s="13"/>
    </row>
    <row r="636" customFormat="false" ht="15" hidden="false" customHeight="false" outlineLevel="0" collapsed="false">
      <c r="A636" s="11" t="str">
        <f aca="false">IF(C636="","",ROW()-4)</f>
        <v/>
      </c>
      <c r="B636" s="12"/>
      <c r="C636" s="13"/>
      <c r="D636" s="11" t="str">
        <f aca="false">IF(C636="","",IFERROR(INDEX(LOTES!$D$5:$D$1004,MATCH(C636,LOTES!$F$5:$F$1004,0)),"¿Lote?"))</f>
        <v/>
      </c>
      <c r="E636" s="11" t="str">
        <f aca="false">IF(C636="","",IFERROR(INDEX(LOTES!$C$5:$C$1004,MATCH(C636,LOTES!$F$5:$F$1004,0)),""))</f>
        <v/>
      </c>
      <c r="F636" s="27"/>
      <c r="G636" s="27"/>
      <c r="H636" s="27"/>
      <c r="I636" s="20" t="str">
        <f aca="false">IF(AND(ISNUMBER(F636),ISNUMBER(G636),ISNUMBER(H636),F636&gt;G636,H636&gt;0),(F636-H636)/(F636-G636)*1000,"")</f>
        <v/>
      </c>
      <c r="J636" s="17" t="str">
        <f aca="false">IF(AND(ISNUMBER(F636),ISNUMBER(G636),ISNUMBER(H636),F636&gt;G636,H636&gt;0),(F636-H636)/H636,"")</f>
        <v/>
      </c>
      <c r="K636" s="20" t="str">
        <f aca="false">IF(AND(ISNUMBER(F636),ISNUMBER(G636),ISNUMBER(H636),F636&gt;G636,H636&gt;0),H636/(F636-G636)*1000,"")</f>
        <v/>
      </c>
      <c r="L636" s="11" t="str">
        <f aca="false">IF(K636="","",IF(K636&gt;=CONFIG!$E$21,CONFIG!$D$21,IF(K636&gt;=CONFIG!$E$20,CONFIG!$D$20,CONFIG!$D$19)))</f>
        <v/>
      </c>
      <c r="M636" s="20" t="str">
        <f aca="false">IF(K636="","",IF(K636&gt;=CONFIG!$E$21,CONFIG!$F$21,IF(K636&gt;=CONFIG!$E$20,CONFIG!$F$20,CONFIG!$F$19)))</f>
        <v/>
      </c>
      <c r="N636" s="19" t="str">
        <f aca="false">IF(I636="","",IF(I636&lt;=M636,"OK","ALTA"))</f>
        <v/>
      </c>
      <c r="O636" s="13"/>
    </row>
    <row r="637" customFormat="false" ht="15" hidden="false" customHeight="false" outlineLevel="0" collapsed="false">
      <c r="A637" s="11" t="str">
        <f aca="false">IF(C637="","",ROW()-4)</f>
        <v/>
      </c>
      <c r="B637" s="12"/>
      <c r="C637" s="13"/>
      <c r="D637" s="11" t="str">
        <f aca="false">IF(C637="","",IFERROR(INDEX(LOTES!$D$5:$D$1004,MATCH(C637,LOTES!$F$5:$F$1004,0)),"¿Lote?"))</f>
        <v/>
      </c>
      <c r="E637" s="11" t="str">
        <f aca="false">IF(C637="","",IFERROR(INDEX(LOTES!$C$5:$C$1004,MATCH(C637,LOTES!$F$5:$F$1004,0)),""))</f>
        <v/>
      </c>
      <c r="F637" s="27"/>
      <c r="G637" s="27"/>
      <c r="H637" s="27"/>
      <c r="I637" s="20" t="str">
        <f aca="false">IF(AND(ISNUMBER(F637),ISNUMBER(G637),ISNUMBER(H637),F637&gt;G637,H637&gt;0),(F637-H637)/(F637-G637)*1000,"")</f>
        <v/>
      </c>
      <c r="J637" s="17" t="str">
        <f aca="false">IF(AND(ISNUMBER(F637),ISNUMBER(G637),ISNUMBER(H637),F637&gt;G637,H637&gt;0),(F637-H637)/H637,"")</f>
        <v/>
      </c>
      <c r="K637" s="20" t="str">
        <f aca="false">IF(AND(ISNUMBER(F637),ISNUMBER(G637),ISNUMBER(H637),F637&gt;G637,H637&gt;0),H637/(F637-G637)*1000,"")</f>
        <v/>
      </c>
      <c r="L637" s="11" t="str">
        <f aca="false">IF(K637="","",IF(K637&gt;=CONFIG!$E$21,CONFIG!$D$21,IF(K637&gt;=CONFIG!$E$20,CONFIG!$D$20,CONFIG!$D$19)))</f>
        <v/>
      </c>
      <c r="M637" s="20" t="str">
        <f aca="false">IF(K637="","",IF(K637&gt;=CONFIG!$E$21,CONFIG!$F$21,IF(K637&gt;=CONFIG!$E$20,CONFIG!$F$20,CONFIG!$F$19)))</f>
        <v/>
      </c>
      <c r="N637" s="19" t="str">
        <f aca="false">IF(I637="","",IF(I637&lt;=M637,"OK","ALTA"))</f>
        <v/>
      </c>
      <c r="O637" s="13"/>
    </row>
    <row r="638" customFormat="false" ht="15" hidden="false" customHeight="false" outlineLevel="0" collapsed="false">
      <c r="A638" s="11" t="str">
        <f aca="false">IF(C638="","",ROW()-4)</f>
        <v/>
      </c>
      <c r="B638" s="12"/>
      <c r="C638" s="13"/>
      <c r="D638" s="11" t="str">
        <f aca="false">IF(C638="","",IFERROR(INDEX(LOTES!$D$5:$D$1004,MATCH(C638,LOTES!$F$5:$F$1004,0)),"¿Lote?"))</f>
        <v/>
      </c>
      <c r="E638" s="11" t="str">
        <f aca="false">IF(C638="","",IFERROR(INDEX(LOTES!$C$5:$C$1004,MATCH(C638,LOTES!$F$5:$F$1004,0)),""))</f>
        <v/>
      </c>
      <c r="F638" s="27"/>
      <c r="G638" s="27"/>
      <c r="H638" s="27"/>
      <c r="I638" s="20" t="str">
        <f aca="false">IF(AND(ISNUMBER(F638),ISNUMBER(G638),ISNUMBER(H638),F638&gt;G638,H638&gt;0),(F638-H638)/(F638-G638)*1000,"")</f>
        <v/>
      </c>
      <c r="J638" s="17" t="str">
        <f aca="false">IF(AND(ISNUMBER(F638),ISNUMBER(G638),ISNUMBER(H638),F638&gt;G638,H638&gt;0),(F638-H638)/H638,"")</f>
        <v/>
      </c>
      <c r="K638" s="20" t="str">
        <f aca="false">IF(AND(ISNUMBER(F638),ISNUMBER(G638),ISNUMBER(H638),F638&gt;G638,H638&gt;0),H638/(F638-G638)*1000,"")</f>
        <v/>
      </c>
      <c r="L638" s="11" t="str">
        <f aca="false">IF(K638="","",IF(K638&gt;=CONFIG!$E$21,CONFIG!$D$21,IF(K638&gt;=CONFIG!$E$20,CONFIG!$D$20,CONFIG!$D$19)))</f>
        <v/>
      </c>
      <c r="M638" s="20" t="str">
        <f aca="false">IF(K638="","",IF(K638&gt;=CONFIG!$E$21,CONFIG!$F$21,IF(K638&gt;=CONFIG!$E$20,CONFIG!$F$20,CONFIG!$F$19)))</f>
        <v/>
      </c>
      <c r="N638" s="19" t="str">
        <f aca="false">IF(I638="","",IF(I638&lt;=M638,"OK","ALTA"))</f>
        <v/>
      </c>
      <c r="O638" s="13"/>
    </row>
    <row r="639" customFormat="false" ht="15" hidden="false" customHeight="false" outlineLevel="0" collapsed="false">
      <c r="A639" s="11" t="str">
        <f aca="false">IF(C639="","",ROW()-4)</f>
        <v/>
      </c>
      <c r="B639" s="12"/>
      <c r="C639" s="13"/>
      <c r="D639" s="11" t="str">
        <f aca="false">IF(C639="","",IFERROR(INDEX(LOTES!$D$5:$D$1004,MATCH(C639,LOTES!$F$5:$F$1004,0)),"¿Lote?"))</f>
        <v/>
      </c>
      <c r="E639" s="11" t="str">
        <f aca="false">IF(C639="","",IFERROR(INDEX(LOTES!$C$5:$C$1004,MATCH(C639,LOTES!$F$5:$F$1004,0)),""))</f>
        <v/>
      </c>
      <c r="F639" s="27"/>
      <c r="G639" s="27"/>
      <c r="H639" s="27"/>
      <c r="I639" s="20" t="str">
        <f aca="false">IF(AND(ISNUMBER(F639),ISNUMBER(G639),ISNUMBER(H639),F639&gt;G639,H639&gt;0),(F639-H639)/(F639-G639)*1000,"")</f>
        <v/>
      </c>
      <c r="J639" s="17" t="str">
        <f aca="false">IF(AND(ISNUMBER(F639),ISNUMBER(G639),ISNUMBER(H639),F639&gt;G639,H639&gt;0),(F639-H639)/H639,"")</f>
        <v/>
      </c>
      <c r="K639" s="20" t="str">
        <f aca="false">IF(AND(ISNUMBER(F639),ISNUMBER(G639),ISNUMBER(H639),F639&gt;G639,H639&gt;0),H639/(F639-G639)*1000,"")</f>
        <v/>
      </c>
      <c r="L639" s="11" t="str">
        <f aca="false">IF(K639="","",IF(K639&gt;=CONFIG!$E$21,CONFIG!$D$21,IF(K639&gt;=CONFIG!$E$20,CONFIG!$D$20,CONFIG!$D$19)))</f>
        <v/>
      </c>
      <c r="M639" s="20" t="str">
        <f aca="false">IF(K639="","",IF(K639&gt;=CONFIG!$E$21,CONFIG!$F$21,IF(K639&gt;=CONFIG!$E$20,CONFIG!$F$20,CONFIG!$F$19)))</f>
        <v/>
      </c>
      <c r="N639" s="19" t="str">
        <f aca="false">IF(I639="","",IF(I639&lt;=M639,"OK","ALTA"))</f>
        <v/>
      </c>
      <c r="O639" s="13"/>
    </row>
    <row r="640" customFormat="false" ht="15" hidden="false" customHeight="false" outlineLevel="0" collapsed="false">
      <c r="A640" s="11" t="str">
        <f aca="false">IF(C640="","",ROW()-4)</f>
        <v/>
      </c>
      <c r="B640" s="12"/>
      <c r="C640" s="13"/>
      <c r="D640" s="11" t="str">
        <f aca="false">IF(C640="","",IFERROR(INDEX(LOTES!$D$5:$D$1004,MATCH(C640,LOTES!$F$5:$F$1004,0)),"¿Lote?"))</f>
        <v/>
      </c>
      <c r="E640" s="11" t="str">
        <f aca="false">IF(C640="","",IFERROR(INDEX(LOTES!$C$5:$C$1004,MATCH(C640,LOTES!$F$5:$F$1004,0)),""))</f>
        <v/>
      </c>
      <c r="F640" s="27"/>
      <c r="G640" s="27"/>
      <c r="H640" s="27"/>
      <c r="I640" s="20" t="str">
        <f aca="false">IF(AND(ISNUMBER(F640),ISNUMBER(G640),ISNUMBER(H640),F640&gt;G640,H640&gt;0),(F640-H640)/(F640-G640)*1000,"")</f>
        <v/>
      </c>
      <c r="J640" s="17" t="str">
        <f aca="false">IF(AND(ISNUMBER(F640),ISNUMBER(G640),ISNUMBER(H640),F640&gt;G640,H640&gt;0),(F640-H640)/H640,"")</f>
        <v/>
      </c>
      <c r="K640" s="20" t="str">
        <f aca="false">IF(AND(ISNUMBER(F640),ISNUMBER(G640),ISNUMBER(H640),F640&gt;G640,H640&gt;0),H640/(F640-G640)*1000,"")</f>
        <v/>
      </c>
      <c r="L640" s="11" t="str">
        <f aca="false">IF(K640="","",IF(K640&gt;=CONFIG!$E$21,CONFIG!$D$21,IF(K640&gt;=CONFIG!$E$20,CONFIG!$D$20,CONFIG!$D$19)))</f>
        <v/>
      </c>
      <c r="M640" s="20" t="str">
        <f aca="false">IF(K640="","",IF(K640&gt;=CONFIG!$E$21,CONFIG!$F$21,IF(K640&gt;=CONFIG!$E$20,CONFIG!$F$20,CONFIG!$F$19)))</f>
        <v/>
      </c>
      <c r="N640" s="19" t="str">
        <f aca="false">IF(I640="","",IF(I640&lt;=M640,"OK","ALTA"))</f>
        <v/>
      </c>
      <c r="O640" s="13"/>
    </row>
    <row r="641" customFormat="false" ht="15" hidden="false" customHeight="false" outlineLevel="0" collapsed="false">
      <c r="A641" s="11" t="str">
        <f aca="false">IF(C641="","",ROW()-4)</f>
        <v/>
      </c>
      <c r="B641" s="12"/>
      <c r="C641" s="13"/>
      <c r="D641" s="11" t="str">
        <f aca="false">IF(C641="","",IFERROR(INDEX(LOTES!$D$5:$D$1004,MATCH(C641,LOTES!$F$5:$F$1004,0)),"¿Lote?"))</f>
        <v/>
      </c>
      <c r="E641" s="11" t="str">
        <f aca="false">IF(C641="","",IFERROR(INDEX(LOTES!$C$5:$C$1004,MATCH(C641,LOTES!$F$5:$F$1004,0)),""))</f>
        <v/>
      </c>
      <c r="F641" s="27"/>
      <c r="G641" s="27"/>
      <c r="H641" s="27"/>
      <c r="I641" s="20" t="str">
        <f aca="false">IF(AND(ISNUMBER(F641),ISNUMBER(G641),ISNUMBER(H641),F641&gt;G641,H641&gt;0),(F641-H641)/(F641-G641)*1000,"")</f>
        <v/>
      </c>
      <c r="J641" s="17" t="str">
        <f aca="false">IF(AND(ISNUMBER(F641),ISNUMBER(G641),ISNUMBER(H641),F641&gt;G641,H641&gt;0),(F641-H641)/H641,"")</f>
        <v/>
      </c>
      <c r="K641" s="20" t="str">
        <f aca="false">IF(AND(ISNUMBER(F641),ISNUMBER(G641),ISNUMBER(H641),F641&gt;G641,H641&gt;0),H641/(F641-G641)*1000,"")</f>
        <v/>
      </c>
      <c r="L641" s="11" t="str">
        <f aca="false">IF(K641="","",IF(K641&gt;=CONFIG!$E$21,CONFIG!$D$21,IF(K641&gt;=CONFIG!$E$20,CONFIG!$D$20,CONFIG!$D$19)))</f>
        <v/>
      </c>
      <c r="M641" s="20" t="str">
        <f aca="false">IF(K641="","",IF(K641&gt;=CONFIG!$E$21,CONFIG!$F$21,IF(K641&gt;=CONFIG!$E$20,CONFIG!$F$20,CONFIG!$F$19)))</f>
        <v/>
      </c>
      <c r="N641" s="19" t="str">
        <f aca="false">IF(I641="","",IF(I641&lt;=M641,"OK","ALTA"))</f>
        <v/>
      </c>
      <c r="O641" s="13"/>
    </row>
    <row r="642" customFormat="false" ht="15" hidden="false" customHeight="false" outlineLevel="0" collapsed="false">
      <c r="A642" s="11" t="str">
        <f aca="false">IF(C642="","",ROW()-4)</f>
        <v/>
      </c>
      <c r="B642" s="12"/>
      <c r="C642" s="13"/>
      <c r="D642" s="11" t="str">
        <f aca="false">IF(C642="","",IFERROR(INDEX(LOTES!$D$5:$D$1004,MATCH(C642,LOTES!$F$5:$F$1004,0)),"¿Lote?"))</f>
        <v/>
      </c>
      <c r="E642" s="11" t="str">
        <f aca="false">IF(C642="","",IFERROR(INDEX(LOTES!$C$5:$C$1004,MATCH(C642,LOTES!$F$5:$F$1004,0)),""))</f>
        <v/>
      </c>
      <c r="F642" s="27"/>
      <c r="G642" s="27"/>
      <c r="H642" s="27"/>
      <c r="I642" s="20" t="str">
        <f aca="false">IF(AND(ISNUMBER(F642),ISNUMBER(G642),ISNUMBER(H642),F642&gt;G642,H642&gt;0),(F642-H642)/(F642-G642)*1000,"")</f>
        <v/>
      </c>
      <c r="J642" s="17" t="str">
        <f aca="false">IF(AND(ISNUMBER(F642),ISNUMBER(G642),ISNUMBER(H642),F642&gt;G642,H642&gt;0),(F642-H642)/H642,"")</f>
        <v/>
      </c>
      <c r="K642" s="20" t="str">
        <f aca="false">IF(AND(ISNUMBER(F642),ISNUMBER(G642),ISNUMBER(H642),F642&gt;G642,H642&gt;0),H642/(F642-G642)*1000,"")</f>
        <v/>
      </c>
      <c r="L642" s="11" t="str">
        <f aca="false">IF(K642="","",IF(K642&gt;=CONFIG!$E$21,CONFIG!$D$21,IF(K642&gt;=CONFIG!$E$20,CONFIG!$D$20,CONFIG!$D$19)))</f>
        <v/>
      </c>
      <c r="M642" s="20" t="str">
        <f aca="false">IF(K642="","",IF(K642&gt;=CONFIG!$E$21,CONFIG!$F$21,IF(K642&gt;=CONFIG!$E$20,CONFIG!$F$20,CONFIG!$F$19)))</f>
        <v/>
      </c>
      <c r="N642" s="19" t="str">
        <f aca="false">IF(I642="","",IF(I642&lt;=M642,"OK","ALTA"))</f>
        <v/>
      </c>
      <c r="O642" s="13"/>
    </row>
    <row r="643" customFormat="false" ht="15" hidden="false" customHeight="false" outlineLevel="0" collapsed="false">
      <c r="A643" s="11" t="str">
        <f aca="false">IF(C643="","",ROW()-4)</f>
        <v/>
      </c>
      <c r="B643" s="12"/>
      <c r="C643" s="13"/>
      <c r="D643" s="11" t="str">
        <f aca="false">IF(C643="","",IFERROR(INDEX(LOTES!$D$5:$D$1004,MATCH(C643,LOTES!$F$5:$F$1004,0)),"¿Lote?"))</f>
        <v/>
      </c>
      <c r="E643" s="11" t="str">
        <f aca="false">IF(C643="","",IFERROR(INDEX(LOTES!$C$5:$C$1004,MATCH(C643,LOTES!$F$5:$F$1004,0)),""))</f>
        <v/>
      </c>
      <c r="F643" s="27"/>
      <c r="G643" s="27"/>
      <c r="H643" s="27"/>
      <c r="I643" s="20" t="str">
        <f aca="false">IF(AND(ISNUMBER(F643),ISNUMBER(G643),ISNUMBER(H643),F643&gt;G643,H643&gt;0),(F643-H643)/(F643-G643)*1000,"")</f>
        <v/>
      </c>
      <c r="J643" s="17" t="str">
        <f aca="false">IF(AND(ISNUMBER(F643),ISNUMBER(G643),ISNUMBER(H643),F643&gt;G643,H643&gt;0),(F643-H643)/H643,"")</f>
        <v/>
      </c>
      <c r="K643" s="20" t="str">
        <f aca="false">IF(AND(ISNUMBER(F643),ISNUMBER(G643),ISNUMBER(H643),F643&gt;G643,H643&gt;0),H643/(F643-G643)*1000,"")</f>
        <v/>
      </c>
      <c r="L643" s="11" t="str">
        <f aca="false">IF(K643="","",IF(K643&gt;=CONFIG!$E$21,CONFIG!$D$21,IF(K643&gt;=CONFIG!$E$20,CONFIG!$D$20,CONFIG!$D$19)))</f>
        <v/>
      </c>
      <c r="M643" s="20" t="str">
        <f aca="false">IF(K643="","",IF(K643&gt;=CONFIG!$E$21,CONFIG!$F$21,IF(K643&gt;=CONFIG!$E$20,CONFIG!$F$20,CONFIG!$F$19)))</f>
        <v/>
      </c>
      <c r="N643" s="19" t="str">
        <f aca="false">IF(I643="","",IF(I643&lt;=M643,"OK","ALTA"))</f>
        <v/>
      </c>
      <c r="O643" s="13"/>
    </row>
    <row r="644" customFormat="false" ht="15" hidden="false" customHeight="false" outlineLevel="0" collapsed="false">
      <c r="A644" s="11" t="str">
        <f aca="false">IF(C644="","",ROW()-4)</f>
        <v/>
      </c>
      <c r="B644" s="12"/>
      <c r="C644" s="13"/>
      <c r="D644" s="11" t="str">
        <f aca="false">IF(C644="","",IFERROR(INDEX(LOTES!$D$5:$D$1004,MATCH(C644,LOTES!$F$5:$F$1004,0)),"¿Lote?"))</f>
        <v/>
      </c>
      <c r="E644" s="11" t="str">
        <f aca="false">IF(C644="","",IFERROR(INDEX(LOTES!$C$5:$C$1004,MATCH(C644,LOTES!$F$5:$F$1004,0)),""))</f>
        <v/>
      </c>
      <c r="F644" s="27"/>
      <c r="G644" s="27"/>
      <c r="H644" s="27"/>
      <c r="I644" s="20" t="str">
        <f aca="false">IF(AND(ISNUMBER(F644),ISNUMBER(G644),ISNUMBER(H644),F644&gt;G644,H644&gt;0),(F644-H644)/(F644-G644)*1000,"")</f>
        <v/>
      </c>
      <c r="J644" s="17" t="str">
        <f aca="false">IF(AND(ISNUMBER(F644),ISNUMBER(G644),ISNUMBER(H644),F644&gt;G644,H644&gt;0),(F644-H644)/H644,"")</f>
        <v/>
      </c>
      <c r="K644" s="20" t="str">
        <f aca="false">IF(AND(ISNUMBER(F644),ISNUMBER(G644),ISNUMBER(H644),F644&gt;G644,H644&gt;0),H644/(F644-G644)*1000,"")</f>
        <v/>
      </c>
      <c r="L644" s="11" t="str">
        <f aca="false">IF(K644="","",IF(K644&gt;=CONFIG!$E$21,CONFIG!$D$21,IF(K644&gt;=CONFIG!$E$20,CONFIG!$D$20,CONFIG!$D$19)))</f>
        <v/>
      </c>
      <c r="M644" s="20" t="str">
        <f aca="false">IF(K644="","",IF(K644&gt;=CONFIG!$E$21,CONFIG!$F$21,IF(K644&gt;=CONFIG!$E$20,CONFIG!$F$20,CONFIG!$F$19)))</f>
        <v/>
      </c>
      <c r="N644" s="19" t="str">
        <f aca="false">IF(I644="","",IF(I644&lt;=M644,"OK","ALTA"))</f>
        <v/>
      </c>
      <c r="O644" s="13"/>
    </row>
    <row r="645" customFormat="false" ht="15" hidden="false" customHeight="false" outlineLevel="0" collapsed="false">
      <c r="A645" s="11" t="str">
        <f aca="false">IF(C645="","",ROW()-4)</f>
        <v/>
      </c>
      <c r="B645" s="12"/>
      <c r="C645" s="13"/>
      <c r="D645" s="11" t="str">
        <f aca="false">IF(C645="","",IFERROR(INDEX(LOTES!$D$5:$D$1004,MATCH(C645,LOTES!$F$5:$F$1004,0)),"¿Lote?"))</f>
        <v/>
      </c>
      <c r="E645" s="11" t="str">
        <f aca="false">IF(C645="","",IFERROR(INDEX(LOTES!$C$5:$C$1004,MATCH(C645,LOTES!$F$5:$F$1004,0)),""))</f>
        <v/>
      </c>
      <c r="F645" s="27"/>
      <c r="G645" s="27"/>
      <c r="H645" s="27"/>
      <c r="I645" s="20" t="str">
        <f aca="false">IF(AND(ISNUMBER(F645),ISNUMBER(G645),ISNUMBER(H645),F645&gt;G645,H645&gt;0),(F645-H645)/(F645-G645)*1000,"")</f>
        <v/>
      </c>
      <c r="J645" s="17" t="str">
        <f aca="false">IF(AND(ISNUMBER(F645),ISNUMBER(G645),ISNUMBER(H645),F645&gt;G645,H645&gt;0),(F645-H645)/H645,"")</f>
        <v/>
      </c>
      <c r="K645" s="20" t="str">
        <f aca="false">IF(AND(ISNUMBER(F645),ISNUMBER(G645),ISNUMBER(H645),F645&gt;G645,H645&gt;0),H645/(F645-G645)*1000,"")</f>
        <v/>
      </c>
      <c r="L645" s="11" t="str">
        <f aca="false">IF(K645="","",IF(K645&gt;=CONFIG!$E$21,CONFIG!$D$21,IF(K645&gt;=CONFIG!$E$20,CONFIG!$D$20,CONFIG!$D$19)))</f>
        <v/>
      </c>
      <c r="M645" s="20" t="str">
        <f aca="false">IF(K645="","",IF(K645&gt;=CONFIG!$E$21,CONFIG!$F$21,IF(K645&gt;=CONFIG!$E$20,CONFIG!$F$20,CONFIG!$F$19)))</f>
        <v/>
      </c>
      <c r="N645" s="19" t="str">
        <f aca="false">IF(I645="","",IF(I645&lt;=M645,"OK","ALTA"))</f>
        <v/>
      </c>
      <c r="O645" s="13"/>
    </row>
    <row r="646" customFormat="false" ht="15" hidden="false" customHeight="false" outlineLevel="0" collapsed="false">
      <c r="A646" s="11" t="str">
        <f aca="false">IF(C646="","",ROW()-4)</f>
        <v/>
      </c>
      <c r="B646" s="12"/>
      <c r="C646" s="13"/>
      <c r="D646" s="11" t="str">
        <f aca="false">IF(C646="","",IFERROR(INDEX(LOTES!$D$5:$D$1004,MATCH(C646,LOTES!$F$5:$F$1004,0)),"¿Lote?"))</f>
        <v/>
      </c>
      <c r="E646" s="11" t="str">
        <f aca="false">IF(C646="","",IFERROR(INDEX(LOTES!$C$5:$C$1004,MATCH(C646,LOTES!$F$5:$F$1004,0)),""))</f>
        <v/>
      </c>
      <c r="F646" s="27"/>
      <c r="G646" s="27"/>
      <c r="H646" s="27"/>
      <c r="I646" s="20" t="str">
        <f aca="false">IF(AND(ISNUMBER(F646),ISNUMBER(G646),ISNUMBER(H646),F646&gt;G646,H646&gt;0),(F646-H646)/(F646-G646)*1000,"")</f>
        <v/>
      </c>
      <c r="J646" s="17" t="str">
        <f aca="false">IF(AND(ISNUMBER(F646),ISNUMBER(G646),ISNUMBER(H646),F646&gt;G646,H646&gt;0),(F646-H646)/H646,"")</f>
        <v/>
      </c>
      <c r="K646" s="20" t="str">
        <f aca="false">IF(AND(ISNUMBER(F646),ISNUMBER(G646),ISNUMBER(H646),F646&gt;G646,H646&gt;0),H646/(F646-G646)*1000,"")</f>
        <v/>
      </c>
      <c r="L646" s="11" t="str">
        <f aca="false">IF(K646="","",IF(K646&gt;=CONFIG!$E$21,CONFIG!$D$21,IF(K646&gt;=CONFIG!$E$20,CONFIG!$D$20,CONFIG!$D$19)))</f>
        <v/>
      </c>
      <c r="M646" s="20" t="str">
        <f aca="false">IF(K646="","",IF(K646&gt;=CONFIG!$E$21,CONFIG!$F$21,IF(K646&gt;=CONFIG!$E$20,CONFIG!$F$20,CONFIG!$F$19)))</f>
        <v/>
      </c>
      <c r="N646" s="19" t="str">
        <f aca="false">IF(I646="","",IF(I646&lt;=M646,"OK","ALTA"))</f>
        <v/>
      </c>
      <c r="O646" s="13"/>
    </row>
    <row r="647" customFormat="false" ht="15" hidden="false" customHeight="false" outlineLevel="0" collapsed="false">
      <c r="A647" s="11" t="str">
        <f aca="false">IF(C647="","",ROW()-4)</f>
        <v/>
      </c>
      <c r="B647" s="12"/>
      <c r="C647" s="13"/>
      <c r="D647" s="11" t="str">
        <f aca="false">IF(C647="","",IFERROR(INDEX(LOTES!$D$5:$D$1004,MATCH(C647,LOTES!$F$5:$F$1004,0)),"¿Lote?"))</f>
        <v/>
      </c>
      <c r="E647" s="11" t="str">
        <f aca="false">IF(C647="","",IFERROR(INDEX(LOTES!$C$5:$C$1004,MATCH(C647,LOTES!$F$5:$F$1004,0)),""))</f>
        <v/>
      </c>
      <c r="F647" s="27"/>
      <c r="G647" s="27"/>
      <c r="H647" s="27"/>
      <c r="I647" s="20" t="str">
        <f aca="false">IF(AND(ISNUMBER(F647),ISNUMBER(G647),ISNUMBER(H647),F647&gt;G647,H647&gt;0),(F647-H647)/(F647-G647)*1000,"")</f>
        <v/>
      </c>
      <c r="J647" s="17" t="str">
        <f aca="false">IF(AND(ISNUMBER(F647),ISNUMBER(G647),ISNUMBER(H647),F647&gt;G647,H647&gt;0),(F647-H647)/H647,"")</f>
        <v/>
      </c>
      <c r="K647" s="20" t="str">
        <f aca="false">IF(AND(ISNUMBER(F647),ISNUMBER(G647),ISNUMBER(H647),F647&gt;G647,H647&gt;0),H647/(F647-G647)*1000,"")</f>
        <v/>
      </c>
      <c r="L647" s="11" t="str">
        <f aca="false">IF(K647="","",IF(K647&gt;=CONFIG!$E$21,CONFIG!$D$21,IF(K647&gt;=CONFIG!$E$20,CONFIG!$D$20,CONFIG!$D$19)))</f>
        <v/>
      </c>
      <c r="M647" s="20" t="str">
        <f aca="false">IF(K647="","",IF(K647&gt;=CONFIG!$E$21,CONFIG!$F$21,IF(K647&gt;=CONFIG!$E$20,CONFIG!$F$20,CONFIG!$F$19)))</f>
        <v/>
      </c>
      <c r="N647" s="19" t="str">
        <f aca="false">IF(I647="","",IF(I647&lt;=M647,"OK","ALTA"))</f>
        <v/>
      </c>
      <c r="O647" s="13"/>
    </row>
    <row r="648" customFormat="false" ht="15" hidden="false" customHeight="false" outlineLevel="0" collapsed="false">
      <c r="A648" s="11" t="str">
        <f aca="false">IF(C648="","",ROW()-4)</f>
        <v/>
      </c>
      <c r="B648" s="12"/>
      <c r="C648" s="13"/>
      <c r="D648" s="11" t="str">
        <f aca="false">IF(C648="","",IFERROR(INDEX(LOTES!$D$5:$D$1004,MATCH(C648,LOTES!$F$5:$F$1004,0)),"¿Lote?"))</f>
        <v/>
      </c>
      <c r="E648" s="11" t="str">
        <f aca="false">IF(C648="","",IFERROR(INDEX(LOTES!$C$5:$C$1004,MATCH(C648,LOTES!$F$5:$F$1004,0)),""))</f>
        <v/>
      </c>
      <c r="F648" s="27"/>
      <c r="G648" s="27"/>
      <c r="H648" s="27"/>
      <c r="I648" s="20" t="str">
        <f aca="false">IF(AND(ISNUMBER(F648),ISNUMBER(G648),ISNUMBER(H648),F648&gt;G648,H648&gt;0),(F648-H648)/(F648-G648)*1000,"")</f>
        <v/>
      </c>
      <c r="J648" s="17" t="str">
        <f aca="false">IF(AND(ISNUMBER(F648),ISNUMBER(G648),ISNUMBER(H648),F648&gt;G648,H648&gt;0),(F648-H648)/H648,"")</f>
        <v/>
      </c>
      <c r="K648" s="20" t="str">
        <f aca="false">IF(AND(ISNUMBER(F648),ISNUMBER(G648),ISNUMBER(H648),F648&gt;G648,H648&gt;0),H648/(F648-G648)*1000,"")</f>
        <v/>
      </c>
      <c r="L648" s="11" t="str">
        <f aca="false">IF(K648="","",IF(K648&gt;=CONFIG!$E$21,CONFIG!$D$21,IF(K648&gt;=CONFIG!$E$20,CONFIG!$D$20,CONFIG!$D$19)))</f>
        <v/>
      </c>
      <c r="M648" s="20" t="str">
        <f aca="false">IF(K648="","",IF(K648&gt;=CONFIG!$E$21,CONFIG!$F$21,IF(K648&gt;=CONFIG!$E$20,CONFIG!$F$20,CONFIG!$F$19)))</f>
        <v/>
      </c>
      <c r="N648" s="19" t="str">
        <f aca="false">IF(I648="","",IF(I648&lt;=M648,"OK","ALTA"))</f>
        <v/>
      </c>
      <c r="O648" s="13"/>
    </row>
    <row r="649" customFormat="false" ht="15" hidden="false" customHeight="false" outlineLevel="0" collapsed="false">
      <c r="A649" s="11" t="str">
        <f aca="false">IF(C649="","",ROW()-4)</f>
        <v/>
      </c>
      <c r="B649" s="12"/>
      <c r="C649" s="13"/>
      <c r="D649" s="11" t="str">
        <f aca="false">IF(C649="","",IFERROR(INDEX(LOTES!$D$5:$D$1004,MATCH(C649,LOTES!$F$5:$F$1004,0)),"¿Lote?"))</f>
        <v/>
      </c>
      <c r="E649" s="11" t="str">
        <f aca="false">IF(C649="","",IFERROR(INDEX(LOTES!$C$5:$C$1004,MATCH(C649,LOTES!$F$5:$F$1004,0)),""))</f>
        <v/>
      </c>
      <c r="F649" s="27"/>
      <c r="G649" s="27"/>
      <c r="H649" s="27"/>
      <c r="I649" s="20" t="str">
        <f aca="false">IF(AND(ISNUMBER(F649),ISNUMBER(G649),ISNUMBER(H649),F649&gt;G649,H649&gt;0),(F649-H649)/(F649-G649)*1000,"")</f>
        <v/>
      </c>
      <c r="J649" s="17" t="str">
        <f aca="false">IF(AND(ISNUMBER(F649),ISNUMBER(G649),ISNUMBER(H649),F649&gt;G649,H649&gt;0),(F649-H649)/H649,"")</f>
        <v/>
      </c>
      <c r="K649" s="20" t="str">
        <f aca="false">IF(AND(ISNUMBER(F649),ISNUMBER(G649),ISNUMBER(H649),F649&gt;G649,H649&gt;0),H649/(F649-G649)*1000,"")</f>
        <v/>
      </c>
      <c r="L649" s="11" t="str">
        <f aca="false">IF(K649="","",IF(K649&gt;=CONFIG!$E$21,CONFIG!$D$21,IF(K649&gt;=CONFIG!$E$20,CONFIG!$D$20,CONFIG!$D$19)))</f>
        <v/>
      </c>
      <c r="M649" s="20" t="str">
        <f aca="false">IF(K649="","",IF(K649&gt;=CONFIG!$E$21,CONFIG!$F$21,IF(K649&gt;=CONFIG!$E$20,CONFIG!$F$20,CONFIG!$F$19)))</f>
        <v/>
      </c>
      <c r="N649" s="19" t="str">
        <f aca="false">IF(I649="","",IF(I649&lt;=M649,"OK","ALTA"))</f>
        <v/>
      </c>
      <c r="O649" s="13"/>
    </row>
    <row r="650" customFormat="false" ht="15" hidden="false" customHeight="false" outlineLevel="0" collapsed="false">
      <c r="A650" s="11" t="str">
        <f aca="false">IF(C650="","",ROW()-4)</f>
        <v/>
      </c>
      <c r="B650" s="12"/>
      <c r="C650" s="13"/>
      <c r="D650" s="11" t="str">
        <f aca="false">IF(C650="","",IFERROR(INDEX(LOTES!$D$5:$D$1004,MATCH(C650,LOTES!$F$5:$F$1004,0)),"¿Lote?"))</f>
        <v/>
      </c>
      <c r="E650" s="11" t="str">
        <f aca="false">IF(C650="","",IFERROR(INDEX(LOTES!$C$5:$C$1004,MATCH(C650,LOTES!$F$5:$F$1004,0)),""))</f>
        <v/>
      </c>
      <c r="F650" s="27"/>
      <c r="G650" s="27"/>
      <c r="H650" s="27"/>
      <c r="I650" s="20" t="str">
        <f aca="false">IF(AND(ISNUMBER(F650),ISNUMBER(G650),ISNUMBER(H650),F650&gt;G650,H650&gt;0),(F650-H650)/(F650-G650)*1000,"")</f>
        <v/>
      </c>
      <c r="J650" s="17" t="str">
        <f aca="false">IF(AND(ISNUMBER(F650),ISNUMBER(G650),ISNUMBER(H650),F650&gt;G650,H650&gt;0),(F650-H650)/H650,"")</f>
        <v/>
      </c>
      <c r="K650" s="20" t="str">
        <f aca="false">IF(AND(ISNUMBER(F650),ISNUMBER(G650),ISNUMBER(H650),F650&gt;G650,H650&gt;0),H650/(F650-G650)*1000,"")</f>
        <v/>
      </c>
      <c r="L650" s="11" t="str">
        <f aca="false">IF(K650="","",IF(K650&gt;=CONFIG!$E$21,CONFIG!$D$21,IF(K650&gt;=CONFIG!$E$20,CONFIG!$D$20,CONFIG!$D$19)))</f>
        <v/>
      </c>
      <c r="M650" s="20" t="str">
        <f aca="false">IF(K650="","",IF(K650&gt;=CONFIG!$E$21,CONFIG!$F$21,IF(K650&gt;=CONFIG!$E$20,CONFIG!$F$20,CONFIG!$F$19)))</f>
        <v/>
      </c>
      <c r="N650" s="19" t="str">
        <f aca="false">IF(I650="","",IF(I650&lt;=M650,"OK","ALTA"))</f>
        <v/>
      </c>
      <c r="O650" s="13"/>
    </row>
    <row r="651" customFormat="false" ht="15" hidden="false" customHeight="false" outlineLevel="0" collapsed="false">
      <c r="A651" s="11" t="str">
        <f aca="false">IF(C651="","",ROW()-4)</f>
        <v/>
      </c>
      <c r="B651" s="12"/>
      <c r="C651" s="13"/>
      <c r="D651" s="11" t="str">
        <f aca="false">IF(C651="","",IFERROR(INDEX(LOTES!$D$5:$D$1004,MATCH(C651,LOTES!$F$5:$F$1004,0)),"¿Lote?"))</f>
        <v/>
      </c>
      <c r="E651" s="11" t="str">
        <f aca="false">IF(C651="","",IFERROR(INDEX(LOTES!$C$5:$C$1004,MATCH(C651,LOTES!$F$5:$F$1004,0)),""))</f>
        <v/>
      </c>
      <c r="F651" s="27"/>
      <c r="G651" s="27"/>
      <c r="H651" s="27"/>
      <c r="I651" s="20" t="str">
        <f aca="false">IF(AND(ISNUMBER(F651),ISNUMBER(G651),ISNUMBER(H651),F651&gt;G651,H651&gt;0),(F651-H651)/(F651-G651)*1000,"")</f>
        <v/>
      </c>
      <c r="J651" s="17" t="str">
        <f aca="false">IF(AND(ISNUMBER(F651),ISNUMBER(G651),ISNUMBER(H651),F651&gt;G651,H651&gt;0),(F651-H651)/H651,"")</f>
        <v/>
      </c>
      <c r="K651" s="20" t="str">
        <f aca="false">IF(AND(ISNUMBER(F651),ISNUMBER(G651),ISNUMBER(H651),F651&gt;G651,H651&gt;0),H651/(F651-G651)*1000,"")</f>
        <v/>
      </c>
      <c r="L651" s="11" t="str">
        <f aca="false">IF(K651="","",IF(K651&gt;=CONFIG!$E$21,CONFIG!$D$21,IF(K651&gt;=CONFIG!$E$20,CONFIG!$D$20,CONFIG!$D$19)))</f>
        <v/>
      </c>
      <c r="M651" s="20" t="str">
        <f aca="false">IF(K651="","",IF(K651&gt;=CONFIG!$E$21,CONFIG!$F$21,IF(K651&gt;=CONFIG!$E$20,CONFIG!$F$20,CONFIG!$F$19)))</f>
        <v/>
      </c>
      <c r="N651" s="19" t="str">
        <f aca="false">IF(I651="","",IF(I651&lt;=M651,"OK","ALTA"))</f>
        <v/>
      </c>
      <c r="O651" s="13"/>
    </row>
    <row r="652" customFormat="false" ht="15" hidden="false" customHeight="false" outlineLevel="0" collapsed="false">
      <c r="A652" s="11" t="str">
        <f aca="false">IF(C652="","",ROW()-4)</f>
        <v/>
      </c>
      <c r="B652" s="12"/>
      <c r="C652" s="13"/>
      <c r="D652" s="11" t="str">
        <f aca="false">IF(C652="","",IFERROR(INDEX(LOTES!$D$5:$D$1004,MATCH(C652,LOTES!$F$5:$F$1004,0)),"¿Lote?"))</f>
        <v/>
      </c>
      <c r="E652" s="11" t="str">
        <f aca="false">IF(C652="","",IFERROR(INDEX(LOTES!$C$5:$C$1004,MATCH(C652,LOTES!$F$5:$F$1004,0)),""))</f>
        <v/>
      </c>
      <c r="F652" s="27"/>
      <c r="G652" s="27"/>
      <c r="H652" s="27"/>
      <c r="I652" s="20" t="str">
        <f aca="false">IF(AND(ISNUMBER(F652),ISNUMBER(G652),ISNUMBER(H652),F652&gt;G652,H652&gt;0),(F652-H652)/(F652-G652)*1000,"")</f>
        <v/>
      </c>
      <c r="J652" s="17" t="str">
        <f aca="false">IF(AND(ISNUMBER(F652),ISNUMBER(G652),ISNUMBER(H652),F652&gt;G652,H652&gt;0),(F652-H652)/H652,"")</f>
        <v/>
      </c>
      <c r="K652" s="20" t="str">
        <f aca="false">IF(AND(ISNUMBER(F652),ISNUMBER(G652),ISNUMBER(H652),F652&gt;G652,H652&gt;0),H652/(F652-G652)*1000,"")</f>
        <v/>
      </c>
      <c r="L652" s="11" t="str">
        <f aca="false">IF(K652="","",IF(K652&gt;=CONFIG!$E$21,CONFIG!$D$21,IF(K652&gt;=CONFIG!$E$20,CONFIG!$D$20,CONFIG!$D$19)))</f>
        <v/>
      </c>
      <c r="M652" s="20" t="str">
        <f aca="false">IF(K652="","",IF(K652&gt;=CONFIG!$E$21,CONFIG!$F$21,IF(K652&gt;=CONFIG!$E$20,CONFIG!$F$20,CONFIG!$F$19)))</f>
        <v/>
      </c>
      <c r="N652" s="19" t="str">
        <f aca="false">IF(I652="","",IF(I652&lt;=M652,"OK","ALTA"))</f>
        <v/>
      </c>
      <c r="O652" s="13"/>
    </row>
    <row r="653" customFormat="false" ht="15" hidden="false" customHeight="false" outlineLevel="0" collapsed="false">
      <c r="A653" s="11" t="str">
        <f aca="false">IF(C653="","",ROW()-4)</f>
        <v/>
      </c>
      <c r="B653" s="12"/>
      <c r="C653" s="13"/>
      <c r="D653" s="11" t="str">
        <f aca="false">IF(C653="","",IFERROR(INDEX(LOTES!$D$5:$D$1004,MATCH(C653,LOTES!$F$5:$F$1004,0)),"¿Lote?"))</f>
        <v/>
      </c>
      <c r="E653" s="11" t="str">
        <f aca="false">IF(C653="","",IFERROR(INDEX(LOTES!$C$5:$C$1004,MATCH(C653,LOTES!$F$5:$F$1004,0)),""))</f>
        <v/>
      </c>
      <c r="F653" s="27"/>
      <c r="G653" s="27"/>
      <c r="H653" s="27"/>
      <c r="I653" s="20" t="str">
        <f aca="false">IF(AND(ISNUMBER(F653),ISNUMBER(G653),ISNUMBER(H653),F653&gt;G653,H653&gt;0),(F653-H653)/(F653-G653)*1000,"")</f>
        <v/>
      </c>
      <c r="J653" s="17" t="str">
        <f aca="false">IF(AND(ISNUMBER(F653),ISNUMBER(G653),ISNUMBER(H653),F653&gt;G653,H653&gt;0),(F653-H653)/H653,"")</f>
        <v/>
      </c>
      <c r="K653" s="20" t="str">
        <f aca="false">IF(AND(ISNUMBER(F653),ISNUMBER(G653),ISNUMBER(H653),F653&gt;G653,H653&gt;0),H653/(F653-G653)*1000,"")</f>
        <v/>
      </c>
      <c r="L653" s="11" t="str">
        <f aca="false">IF(K653="","",IF(K653&gt;=CONFIG!$E$21,CONFIG!$D$21,IF(K653&gt;=CONFIG!$E$20,CONFIG!$D$20,CONFIG!$D$19)))</f>
        <v/>
      </c>
      <c r="M653" s="20" t="str">
        <f aca="false">IF(K653="","",IF(K653&gt;=CONFIG!$E$21,CONFIG!$F$21,IF(K653&gt;=CONFIG!$E$20,CONFIG!$F$20,CONFIG!$F$19)))</f>
        <v/>
      </c>
      <c r="N653" s="19" t="str">
        <f aca="false">IF(I653="","",IF(I653&lt;=M653,"OK","ALTA"))</f>
        <v/>
      </c>
      <c r="O653" s="13"/>
    </row>
    <row r="654" customFormat="false" ht="15" hidden="false" customHeight="false" outlineLevel="0" collapsed="false">
      <c r="A654" s="11" t="str">
        <f aca="false">IF(C654="","",ROW()-4)</f>
        <v/>
      </c>
      <c r="B654" s="12"/>
      <c r="C654" s="13"/>
      <c r="D654" s="11" t="str">
        <f aca="false">IF(C654="","",IFERROR(INDEX(LOTES!$D$5:$D$1004,MATCH(C654,LOTES!$F$5:$F$1004,0)),"¿Lote?"))</f>
        <v/>
      </c>
      <c r="E654" s="11" t="str">
        <f aca="false">IF(C654="","",IFERROR(INDEX(LOTES!$C$5:$C$1004,MATCH(C654,LOTES!$F$5:$F$1004,0)),""))</f>
        <v/>
      </c>
      <c r="F654" s="27"/>
      <c r="G654" s="27"/>
      <c r="H654" s="27"/>
      <c r="I654" s="20" t="str">
        <f aca="false">IF(AND(ISNUMBER(F654),ISNUMBER(G654),ISNUMBER(H654),F654&gt;G654,H654&gt;0),(F654-H654)/(F654-G654)*1000,"")</f>
        <v/>
      </c>
      <c r="J654" s="17" t="str">
        <f aca="false">IF(AND(ISNUMBER(F654),ISNUMBER(G654),ISNUMBER(H654),F654&gt;G654,H654&gt;0),(F654-H654)/H654,"")</f>
        <v/>
      </c>
      <c r="K654" s="20" t="str">
        <f aca="false">IF(AND(ISNUMBER(F654),ISNUMBER(G654),ISNUMBER(H654),F654&gt;G654,H654&gt;0),H654/(F654-G654)*1000,"")</f>
        <v/>
      </c>
      <c r="L654" s="11" t="str">
        <f aca="false">IF(K654="","",IF(K654&gt;=CONFIG!$E$21,CONFIG!$D$21,IF(K654&gt;=CONFIG!$E$20,CONFIG!$D$20,CONFIG!$D$19)))</f>
        <v/>
      </c>
      <c r="M654" s="20" t="str">
        <f aca="false">IF(K654="","",IF(K654&gt;=CONFIG!$E$21,CONFIG!$F$21,IF(K654&gt;=CONFIG!$E$20,CONFIG!$F$20,CONFIG!$F$19)))</f>
        <v/>
      </c>
      <c r="N654" s="19" t="str">
        <f aca="false">IF(I654="","",IF(I654&lt;=M654,"OK","ALTA"))</f>
        <v/>
      </c>
      <c r="O654" s="13"/>
    </row>
    <row r="655" customFormat="false" ht="15" hidden="false" customHeight="false" outlineLevel="0" collapsed="false">
      <c r="A655" s="11" t="str">
        <f aca="false">IF(C655="","",ROW()-4)</f>
        <v/>
      </c>
      <c r="B655" s="12"/>
      <c r="C655" s="13"/>
      <c r="D655" s="11" t="str">
        <f aca="false">IF(C655="","",IFERROR(INDEX(LOTES!$D$5:$D$1004,MATCH(C655,LOTES!$F$5:$F$1004,0)),"¿Lote?"))</f>
        <v/>
      </c>
      <c r="E655" s="11" t="str">
        <f aca="false">IF(C655="","",IFERROR(INDEX(LOTES!$C$5:$C$1004,MATCH(C655,LOTES!$F$5:$F$1004,0)),""))</f>
        <v/>
      </c>
      <c r="F655" s="27"/>
      <c r="G655" s="27"/>
      <c r="H655" s="27"/>
      <c r="I655" s="20" t="str">
        <f aca="false">IF(AND(ISNUMBER(F655),ISNUMBER(G655),ISNUMBER(H655),F655&gt;G655,H655&gt;0),(F655-H655)/(F655-G655)*1000,"")</f>
        <v/>
      </c>
      <c r="J655" s="17" t="str">
        <f aca="false">IF(AND(ISNUMBER(F655),ISNUMBER(G655),ISNUMBER(H655),F655&gt;G655,H655&gt;0),(F655-H655)/H655,"")</f>
        <v/>
      </c>
      <c r="K655" s="20" t="str">
        <f aca="false">IF(AND(ISNUMBER(F655),ISNUMBER(G655),ISNUMBER(H655),F655&gt;G655,H655&gt;0),H655/(F655-G655)*1000,"")</f>
        <v/>
      </c>
      <c r="L655" s="11" t="str">
        <f aca="false">IF(K655="","",IF(K655&gt;=CONFIG!$E$21,CONFIG!$D$21,IF(K655&gt;=CONFIG!$E$20,CONFIG!$D$20,CONFIG!$D$19)))</f>
        <v/>
      </c>
      <c r="M655" s="20" t="str">
        <f aca="false">IF(K655="","",IF(K655&gt;=CONFIG!$E$21,CONFIG!$F$21,IF(K655&gt;=CONFIG!$E$20,CONFIG!$F$20,CONFIG!$F$19)))</f>
        <v/>
      </c>
      <c r="N655" s="19" t="str">
        <f aca="false">IF(I655="","",IF(I655&lt;=M655,"OK","ALTA"))</f>
        <v/>
      </c>
      <c r="O655" s="13"/>
    </row>
    <row r="656" customFormat="false" ht="15" hidden="false" customHeight="false" outlineLevel="0" collapsed="false">
      <c r="A656" s="11" t="str">
        <f aca="false">IF(C656="","",ROW()-4)</f>
        <v/>
      </c>
      <c r="B656" s="12"/>
      <c r="C656" s="13"/>
      <c r="D656" s="11" t="str">
        <f aca="false">IF(C656="","",IFERROR(INDEX(LOTES!$D$5:$D$1004,MATCH(C656,LOTES!$F$5:$F$1004,0)),"¿Lote?"))</f>
        <v/>
      </c>
      <c r="E656" s="11" t="str">
        <f aca="false">IF(C656="","",IFERROR(INDEX(LOTES!$C$5:$C$1004,MATCH(C656,LOTES!$F$5:$F$1004,0)),""))</f>
        <v/>
      </c>
      <c r="F656" s="27"/>
      <c r="G656" s="27"/>
      <c r="H656" s="27"/>
      <c r="I656" s="20" t="str">
        <f aca="false">IF(AND(ISNUMBER(F656),ISNUMBER(G656),ISNUMBER(H656),F656&gt;G656,H656&gt;0),(F656-H656)/(F656-G656)*1000,"")</f>
        <v/>
      </c>
      <c r="J656" s="17" t="str">
        <f aca="false">IF(AND(ISNUMBER(F656),ISNUMBER(G656),ISNUMBER(H656),F656&gt;G656,H656&gt;0),(F656-H656)/H656,"")</f>
        <v/>
      </c>
      <c r="K656" s="20" t="str">
        <f aca="false">IF(AND(ISNUMBER(F656),ISNUMBER(G656),ISNUMBER(H656),F656&gt;G656,H656&gt;0),H656/(F656-G656)*1000,"")</f>
        <v/>
      </c>
      <c r="L656" s="11" t="str">
        <f aca="false">IF(K656="","",IF(K656&gt;=CONFIG!$E$21,CONFIG!$D$21,IF(K656&gt;=CONFIG!$E$20,CONFIG!$D$20,CONFIG!$D$19)))</f>
        <v/>
      </c>
      <c r="M656" s="20" t="str">
        <f aca="false">IF(K656="","",IF(K656&gt;=CONFIG!$E$21,CONFIG!$F$21,IF(K656&gt;=CONFIG!$E$20,CONFIG!$F$20,CONFIG!$F$19)))</f>
        <v/>
      </c>
      <c r="N656" s="19" t="str">
        <f aca="false">IF(I656="","",IF(I656&lt;=M656,"OK","ALTA"))</f>
        <v/>
      </c>
      <c r="O656" s="13"/>
    </row>
    <row r="657" customFormat="false" ht="15" hidden="false" customHeight="false" outlineLevel="0" collapsed="false">
      <c r="A657" s="11" t="str">
        <f aca="false">IF(C657="","",ROW()-4)</f>
        <v/>
      </c>
      <c r="B657" s="12"/>
      <c r="C657" s="13"/>
      <c r="D657" s="11" t="str">
        <f aca="false">IF(C657="","",IFERROR(INDEX(LOTES!$D$5:$D$1004,MATCH(C657,LOTES!$F$5:$F$1004,0)),"¿Lote?"))</f>
        <v/>
      </c>
      <c r="E657" s="11" t="str">
        <f aca="false">IF(C657="","",IFERROR(INDEX(LOTES!$C$5:$C$1004,MATCH(C657,LOTES!$F$5:$F$1004,0)),""))</f>
        <v/>
      </c>
      <c r="F657" s="27"/>
      <c r="G657" s="27"/>
      <c r="H657" s="27"/>
      <c r="I657" s="20" t="str">
        <f aca="false">IF(AND(ISNUMBER(F657),ISNUMBER(G657),ISNUMBER(H657),F657&gt;G657,H657&gt;0),(F657-H657)/(F657-G657)*1000,"")</f>
        <v/>
      </c>
      <c r="J657" s="17" t="str">
        <f aca="false">IF(AND(ISNUMBER(F657),ISNUMBER(G657),ISNUMBER(H657),F657&gt;G657,H657&gt;0),(F657-H657)/H657,"")</f>
        <v/>
      </c>
      <c r="K657" s="20" t="str">
        <f aca="false">IF(AND(ISNUMBER(F657),ISNUMBER(G657),ISNUMBER(H657),F657&gt;G657,H657&gt;0),H657/(F657-G657)*1000,"")</f>
        <v/>
      </c>
      <c r="L657" s="11" t="str">
        <f aca="false">IF(K657="","",IF(K657&gt;=CONFIG!$E$21,CONFIG!$D$21,IF(K657&gt;=CONFIG!$E$20,CONFIG!$D$20,CONFIG!$D$19)))</f>
        <v/>
      </c>
      <c r="M657" s="20" t="str">
        <f aca="false">IF(K657="","",IF(K657&gt;=CONFIG!$E$21,CONFIG!$F$21,IF(K657&gt;=CONFIG!$E$20,CONFIG!$F$20,CONFIG!$F$19)))</f>
        <v/>
      </c>
      <c r="N657" s="19" t="str">
        <f aca="false">IF(I657="","",IF(I657&lt;=M657,"OK","ALTA"))</f>
        <v/>
      </c>
      <c r="O657" s="13"/>
    </row>
    <row r="658" customFormat="false" ht="15" hidden="false" customHeight="false" outlineLevel="0" collapsed="false">
      <c r="A658" s="11" t="str">
        <f aca="false">IF(C658="","",ROW()-4)</f>
        <v/>
      </c>
      <c r="B658" s="12"/>
      <c r="C658" s="13"/>
      <c r="D658" s="11" t="str">
        <f aca="false">IF(C658="","",IFERROR(INDEX(LOTES!$D$5:$D$1004,MATCH(C658,LOTES!$F$5:$F$1004,0)),"¿Lote?"))</f>
        <v/>
      </c>
      <c r="E658" s="11" t="str">
        <f aca="false">IF(C658="","",IFERROR(INDEX(LOTES!$C$5:$C$1004,MATCH(C658,LOTES!$F$5:$F$1004,0)),""))</f>
        <v/>
      </c>
      <c r="F658" s="27"/>
      <c r="G658" s="27"/>
      <c r="H658" s="27"/>
      <c r="I658" s="20" t="str">
        <f aca="false">IF(AND(ISNUMBER(F658),ISNUMBER(G658),ISNUMBER(H658),F658&gt;G658,H658&gt;0),(F658-H658)/(F658-G658)*1000,"")</f>
        <v/>
      </c>
      <c r="J658" s="17" t="str">
        <f aca="false">IF(AND(ISNUMBER(F658),ISNUMBER(G658),ISNUMBER(H658),F658&gt;G658,H658&gt;0),(F658-H658)/H658,"")</f>
        <v/>
      </c>
      <c r="K658" s="20" t="str">
        <f aca="false">IF(AND(ISNUMBER(F658),ISNUMBER(G658),ISNUMBER(H658),F658&gt;G658,H658&gt;0),H658/(F658-G658)*1000,"")</f>
        <v/>
      </c>
      <c r="L658" s="11" t="str">
        <f aca="false">IF(K658="","",IF(K658&gt;=CONFIG!$E$21,CONFIG!$D$21,IF(K658&gt;=CONFIG!$E$20,CONFIG!$D$20,CONFIG!$D$19)))</f>
        <v/>
      </c>
      <c r="M658" s="20" t="str">
        <f aca="false">IF(K658="","",IF(K658&gt;=CONFIG!$E$21,CONFIG!$F$21,IF(K658&gt;=CONFIG!$E$20,CONFIG!$F$20,CONFIG!$F$19)))</f>
        <v/>
      </c>
      <c r="N658" s="19" t="str">
        <f aca="false">IF(I658="","",IF(I658&lt;=M658,"OK","ALTA"))</f>
        <v/>
      </c>
      <c r="O658" s="13"/>
    </row>
    <row r="659" customFormat="false" ht="15" hidden="false" customHeight="false" outlineLevel="0" collapsed="false">
      <c r="A659" s="11" t="str">
        <f aca="false">IF(C659="","",ROW()-4)</f>
        <v/>
      </c>
      <c r="B659" s="12"/>
      <c r="C659" s="13"/>
      <c r="D659" s="11" t="str">
        <f aca="false">IF(C659="","",IFERROR(INDEX(LOTES!$D$5:$D$1004,MATCH(C659,LOTES!$F$5:$F$1004,0)),"¿Lote?"))</f>
        <v/>
      </c>
      <c r="E659" s="11" t="str">
        <f aca="false">IF(C659="","",IFERROR(INDEX(LOTES!$C$5:$C$1004,MATCH(C659,LOTES!$F$5:$F$1004,0)),""))</f>
        <v/>
      </c>
      <c r="F659" s="27"/>
      <c r="G659" s="27"/>
      <c r="H659" s="27"/>
      <c r="I659" s="20" t="str">
        <f aca="false">IF(AND(ISNUMBER(F659),ISNUMBER(G659),ISNUMBER(H659),F659&gt;G659,H659&gt;0),(F659-H659)/(F659-G659)*1000,"")</f>
        <v/>
      </c>
      <c r="J659" s="17" t="str">
        <f aca="false">IF(AND(ISNUMBER(F659),ISNUMBER(G659),ISNUMBER(H659),F659&gt;G659,H659&gt;0),(F659-H659)/H659,"")</f>
        <v/>
      </c>
      <c r="K659" s="20" t="str">
        <f aca="false">IF(AND(ISNUMBER(F659),ISNUMBER(G659),ISNUMBER(H659),F659&gt;G659,H659&gt;0),H659/(F659-G659)*1000,"")</f>
        <v/>
      </c>
      <c r="L659" s="11" t="str">
        <f aca="false">IF(K659="","",IF(K659&gt;=CONFIG!$E$21,CONFIG!$D$21,IF(K659&gt;=CONFIG!$E$20,CONFIG!$D$20,CONFIG!$D$19)))</f>
        <v/>
      </c>
      <c r="M659" s="20" t="str">
        <f aca="false">IF(K659="","",IF(K659&gt;=CONFIG!$E$21,CONFIG!$F$21,IF(K659&gt;=CONFIG!$E$20,CONFIG!$F$20,CONFIG!$F$19)))</f>
        <v/>
      </c>
      <c r="N659" s="19" t="str">
        <f aca="false">IF(I659="","",IF(I659&lt;=M659,"OK","ALTA"))</f>
        <v/>
      </c>
      <c r="O659" s="13"/>
    </row>
    <row r="660" customFormat="false" ht="15" hidden="false" customHeight="false" outlineLevel="0" collapsed="false">
      <c r="A660" s="11" t="str">
        <f aca="false">IF(C660="","",ROW()-4)</f>
        <v/>
      </c>
      <c r="B660" s="12"/>
      <c r="C660" s="13"/>
      <c r="D660" s="11" t="str">
        <f aca="false">IF(C660="","",IFERROR(INDEX(LOTES!$D$5:$D$1004,MATCH(C660,LOTES!$F$5:$F$1004,0)),"¿Lote?"))</f>
        <v/>
      </c>
      <c r="E660" s="11" t="str">
        <f aca="false">IF(C660="","",IFERROR(INDEX(LOTES!$C$5:$C$1004,MATCH(C660,LOTES!$F$5:$F$1004,0)),""))</f>
        <v/>
      </c>
      <c r="F660" s="27"/>
      <c r="G660" s="27"/>
      <c r="H660" s="27"/>
      <c r="I660" s="20" t="str">
        <f aca="false">IF(AND(ISNUMBER(F660),ISNUMBER(G660),ISNUMBER(H660),F660&gt;G660,H660&gt;0),(F660-H660)/(F660-G660)*1000,"")</f>
        <v/>
      </c>
      <c r="J660" s="17" t="str">
        <f aca="false">IF(AND(ISNUMBER(F660),ISNUMBER(G660),ISNUMBER(H660),F660&gt;G660,H660&gt;0),(F660-H660)/H660,"")</f>
        <v/>
      </c>
      <c r="K660" s="20" t="str">
        <f aca="false">IF(AND(ISNUMBER(F660),ISNUMBER(G660),ISNUMBER(H660),F660&gt;G660,H660&gt;0),H660/(F660-G660)*1000,"")</f>
        <v/>
      </c>
      <c r="L660" s="11" t="str">
        <f aca="false">IF(K660="","",IF(K660&gt;=CONFIG!$E$21,CONFIG!$D$21,IF(K660&gt;=CONFIG!$E$20,CONFIG!$D$20,CONFIG!$D$19)))</f>
        <v/>
      </c>
      <c r="M660" s="20" t="str">
        <f aca="false">IF(K660="","",IF(K660&gt;=CONFIG!$E$21,CONFIG!$F$21,IF(K660&gt;=CONFIG!$E$20,CONFIG!$F$20,CONFIG!$F$19)))</f>
        <v/>
      </c>
      <c r="N660" s="19" t="str">
        <f aca="false">IF(I660="","",IF(I660&lt;=M660,"OK","ALTA"))</f>
        <v/>
      </c>
      <c r="O660" s="13"/>
    </row>
    <row r="661" customFormat="false" ht="15" hidden="false" customHeight="false" outlineLevel="0" collapsed="false">
      <c r="A661" s="11" t="str">
        <f aca="false">IF(C661="","",ROW()-4)</f>
        <v/>
      </c>
      <c r="B661" s="12"/>
      <c r="C661" s="13"/>
      <c r="D661" s="11" t="str">
        <f aca="false">IF(C661="","",IFERROR(INDEX(LOTES!$D$5:$D$1004,MATCH(C661,LOTES!$F$5:$F$1004,0)),"¿Lote?"))</f>
        <v/>
      </c>
      <c r="E661" s="11" t="str">
        <f aca="false">IF(C661="","",IFERROR(INDEX(LOTES!$C$5:$C$1004,MATCH(C661,LOTES!$F$5:$F$1004,0)),""))</f>
        <v/>
      </c>
      <c r="F661" s="27"/>
      <c r="G661" s="27"/>
      <c r="H661" s="27"/>
      <c r="I661" s="20" t="str">
        <f aca="false">IF(AND(ISNUMBER(F661),ISNUMBER(G661),ISNUMBER(H661),F661&gt;G661,H661&gt;0),(F661-H661)/(F661-G661)*1000,"")</f>
        <v/>
      </c>
      <c r="J661" s="17" t="str">
        <f aca="false">IF(AND(ISNUMBER(F661),ISNUMBER(G661),ISNUMBER(H661),F661&gt;G661,H661&gt;0),(F661-H661)/H661,"")</f>
        <v/>
      </c>
      <c r="K661" s="20" t="str">
        <f aca="false">IF(AND(ISNUMBER(F661),ISNUMBER(G661),ISNUMBER(H661),F661&gt;G661,H661&gt;0),H661/(F661-G661)*1000,"")</f>
        <v/>
      </c>
      <c r="L661" s="11" t="str">
        <f aca="false">IF(K661="","",IF(K661&gt;=CONFIG!$E$21,CONFIG!$D$21,IF(K661&gt;=CONFIG!$E$20,CONFIG!$D$20,CONFIG!$D$19)))</f>
        <v/>
      </c>
      <c r="M661" s="20" t="str">
        <f aca="false">IF(K661="","",IF(K661&gt;=CONFIG!$E$21,CONFIG!$F$21,IF(K661&gt;=CONFIG!$E$20,CONFIG!$F$20,CONFIG!$F$19)))</f>
        <v/>
      </c>
      <c r="N661" s="19" t="str">
        <f aca="false">IF(I661="","",IF(I661&lt;=M661,"OK","ALTA"))</f>
        <v/>
      </c>
      <c r="O661" s="13"/>
    </row>
    <row r="662" customFormat="false" ht="15" hidden="false" customHeight="false" outlineLevel="0" collapsed="false">
      <c r="A662" s="11" t="str">
        <f aca="false">IF(C662="","",ROW()-4)</f>
        <v/>
      </c>
      <c r="B662" s="12"/>
      <c r="C662" s="13"/>
      <c r="D662" s="11" t="str">
        <f aca="false">IF(C662="","",IFERROR(INDEX(LOTES!$D$5:$D$1004,MATCH(C662,LOTES!$F$5:$F$1004,0)),"¿Lote?"))</f>
        <v/>
      </c>
      <c r="E662" s="11" t="str">
        <f aca="false">IF(C662="","",IFERROR(INDEX(LOTES!$C$5:$C$1004,MATCH(C662,LOTES!$F$5:$F$1004,0)),""))</f>
        <v/>
      </c>
      <c r="F662" s="27"/>
      <c r="G662" s="27"/>
      <c r="H662" s="27"/>
      <c r="I662" s="20" t="str">
        <f aca="false">IF(AND(ISNUMBER(F662),ISNUMBER(G662),ISNUMBER(H662),F662&gt;G662,H662&gt;0),(F662-H662)/(F662-G662)*1000,"")</f>
        <v/>
      </c>
      <c r="J662" s="17" t="str">
        <f aca="false">IF(AND(ISNUMBER(F662),ISNUMBER(G662),ISNUMBER(H662),F662&gt;G662,H662&gt;0),(F662-H662)/H662,"")</f>
        <v/>
      </c>
      <c r="K662" s="20" t="str">
        <f aca="false">IF(AND(ISNUMBER(F662),ISNUMBER(G662),ISNUMBER(H662),F662&gt;G662,H662&gt;0),H662/(F662-G662)*1000,"")</f>
        <v/>
      </c>
      <c r="L662" s="11" t="str">
        <f aca="false">IF(K662="","",IF(K662&gt;=CONFIG!$E$21,CONFIG!$D$21,IF(K662&gt;=CONFIG!$E$20,CONFIG!$D$20,CONFIG!$D$19)))</f>
        <v/>
      </c>
      <c r="M662" s="20" t="str">
        <f aca="false">IF(K662="","",IF(K662&gt;=CONFIG!$E$21,CONFIG!$F$21,IF(K662&gt;=CONFIG!$E$20,CONFIG!$F$20,CONFIG!$F$19)))</f>
        <v/>
      </c>
      <c r="N662" s="19" t="str">
        <f aca="false">IF(I662="","",IF(I662&lt;=M662,"OK","ALTA"))</f>
        <v/>
      </c>
      <c r="O662" s="13"/>
    </row>
    <row r="663" customFormat="false" ht="15" hidden="false" customHeight="false" outlineLevel="0" collapsed="false">
      <c r="A663" s="11" t="str">
        <f aca="false">IF(C663="","",ROW()-4)</f>
        <v/>
      </c>
      <c r="B663" s="12"/>
      <c r="C663" s="13"/>
      <c r="D663" s="11" t="str">
        <f aca="false">IF(C663="","",IFERROR(INDEX(LOTES!$D$5:$D$1004,MATCH(C663,LOTES!$F$5:$F$1004,0)),"¿Lote?"))</f>
        <v/>
      </c>
      <c r="E663" s="11" t="str">
        <f aca="false">IF(C663="","",IFERROR(INDEX(LOTES!$C$5:$C$1004,MATCH(C663,LOTES!$F$5:$F$1004,0)),""))</f>
        <v/>
      </c>
      <c r="F663" s="27"/>
      <c r="G663" s="27"/>
      <c r="H663" s="27"/>
      <c r="I663" s="20" t="str">
        <f aca="false">IF(AND(ISNUMBER(F663),ISNUMBER(G663),ISNUMBER(H663),F663&gt;G663,H663&gt;0),(F663-H663)/(F663-G663)*1000,"")</f>
        <v/>
      </c>
      <c r="J663" s="17" t="str">
        <f aca="false">IF(AND(ISNUMBER(F663),ISNUMBER(G663),ISNUMBER(H663),F663&gt;G663,H663&gt;0),(F663-H663)/H663,"")</f>
        <v/>
      </c>
      <c r="K663" s="20" t="str">
        <f aca="false">IF(AND(ISNUMBER(F663),ISNUMBER(G663),ISNUMBER(H663),F663&gt;G663,H663&gt;0),H663/(F663-G663)*1000,"")</f>
        <v/>
      </c>
      <c r="L663" s="11" t="str">
        <f aca="false">IF(K663="","",IF(K663&gt;=CONFIG!$E$21,CONFIG!$D$21,IF(K663&gt;=CONFIG!$E$20,CONFIG!$D$20,CONFIG!$D$19)))</f>
        <v/>
      </c>
      <c r="M663" s="20" t="str">
        <f aca="false">IF(K663="","",IF(K663&gt;=CONFIG!$E$21,CONFIG!$F$21,IF(K663&gt;=CONFIG!$E$20,CONFIG!$F$20,CONFIG!$F$19)))</f>
        <v/>
      </c>
      <c r="N663" s="19" t="str">
        <f aca="false">IF(I663="","",IF(I663&lt;=M663,"OK","ALTA"))</f>
        <v/>
      </c>
      <c r="O663" s="13"/>
    </row>
    <row r="664" customFormat="false" ht="15" hidden="false" customHeight="false" outlineLevel="0" collapsed="false">
      <c r="A664" s="11" t="str">
        <f aca="false">IF(C664="","",ROW()-4)</f>
        <v/>
      </c>
      <c r="B664" s="12"/>
      <c r="C664" s="13"/>
      <c r="D664" s="11" t="str">
        <f aca="false">IF(C664="","",IFERROR(INDEX(LOTES!$D$5:$D$1004,MATCH(C664,LOTES!$F$5:$F$1004,0)),"¿Lote?"))</f>
        <v/>
      </c>
      <c r="E664" s="11" t="str">
        <f aca="false">IF(C664="","",IFERROR(INDEX(LOTES!$C$5:$C$1004,MATCH(C664,LOTES!$F$5:$F$1004,0)),""))</f>
        <v/>
      </c>
      <c r="F664" s="27"/>
      <c r="G664" s="27"/>
      <c r="H664" s="27"/>
      <c r="I664" s="20" t="str">
        <f aca="false">IF(AND(ISNUMBER(F664),ISNUMBER(G664),ISNUMBER(H664),F664&gt;G664,H664&gt;0),(F664-H664)/(F664-G664)*1000,"")</f>
        <v/>
      </c>
      <c r="J664" s="17" t="str">
        <f aca="false">IF(AND(ISNUMBER(F664),ISNUMBER(G664),ISNUMBER(H664),F664&gt;G664,H664&gt;0),(F664-H664)/H664,"")</f>
        <v/>
      </c>
      <c r="K664" s="20" t="str">
        <f aca="false">IF(AND(ISNUMBER(F664),ISNUMBER(G664),ISNUMBER(H664),F664&gt;G664,H664&gt;0),H664/(F664-G664)*1000,"")</f>
        <v/>
      </c>
      <c r="L664" s="11" t="str">
        <f aca="false">IF(K664="","",IF(K664&gt;=CONFIG!$E$21,CONFIG!$D$21,IF(K664&gt;=CONFIG!$E$20,CONFIG!$D$20,CONFIG!$D$19)))</f>
        <v/>
      </c>
      <c r="M664" s="20" t="str">
        <f aca="false">IF(K664="","",IF(K664&gt;=CONFIG!$E$21,CONFIG!$F$21,IF(K664&gt;=CONFIG!$E$20,CONFIG!$F$20,CONFIG!$F$19)))</f>
        <v/>
      </c>
      <c r="N664" s="19" t="str">
        <f aca="false">IF(I664="","",IF(I664&lt;=M664,"OK","ALTA"))</f>
        <v/>
      </c>
      <c r="O664" s="13"/>
    </row>
    <row r="665" customFormat="false" ht="15" hidden="false" customHeight="false" outlineLevel="0" collapsed="false">
      <c r="A665" s="11" t="str">
        <f aca="false">IF(C665="","",ROW()-4)</f>
        <v/>
      </c>
      <c r="B665" s="12"/>
      <c r="C665" s="13"/>
      <c r="D665" s="11" t="str">
        <f aca="false">IF(C665="","",IFERROR(INDEX(LOTES!$D$5:$D$1004,MATCH(C665,LOTES!$F$5:$F$1004,0)),"¿Lote?"))</f>
        <v/>
      </c>
      <c r="E665" s="11" t="str">
        <f aca="false">IF(C665="","",IFERROR(INDEX(LOTES!$C$5:$C$1004,MATCH(C665,LOTES!$F$5:$F$1004,0)),""))</f>
        <v/>
      </c>
      <c r="F665" s="27"/>
      <c r="G665" s="27"/>
      <c r="H665" s="27"/>
      <c r="I665" s="20" t="str">
        <f aca="false">IF(AND(ISNUMBER(F665),ISNUMBER(G665),ISNUMBER(H665),F665&gt;G665,H665&gt;0),(F665-H665)/(F665-G665)*1000,"")</f>
        <v/>
      </c>
      <c r="J665" s="17" t="str">
        <f aca="false">IF(AND(ISNUMBER(F665),ISNUMBER(G665),ISNUMBER(H665),F665&gt;G665,H665&gt;0),(F665-H665)/H665,"")</f>
        <v/>
      </c>
      <c r="K665" s="20" t="str">
        <f aca="false">IF(AND(ISNUMBER(F665),ISNUMBER(G665),ISNUMBER(H665),F665&gt;G665,H665&gt;0),H665/(F665-G665)*1000,"")</f>
        <v/>
      </c>
      <c r="L665" s="11" t="str">
        <f aca="false">IF(K665="","",IF(K665&gt;=CONFIG!$E$21,CONFIG!$D$21,IF(K665&gt;=CONFIG!$E$20,CONFIG!$D$20,CONFIG!$D$19)))</f>
        <v/>
      </c>
      <c r="M665" s="20" t="str">
        <f aca="false">IF(K665="","",IF(K665&gt;=CONFIG!$E$21,CONFIG!$F$21,IF(K665&gt;=CONFIG!$E$20,CONFIG!$F$20,CONFIG!$F$19)))</f>
        <v/>
      </c>
      <c r="N665" s="19" t="str">
        <f aca="false">IF(I665="","",IF(I665&lt;=M665,"OK","ALTA"))</f>
        <v/>
      </c>
      <c r="O665" s="13"/>
    </row>
    <row r="666" customFormat="false" ht="15" hidden="false" customHeight="false" outlineLevel="0" collapsed="false">
      <c r="A666" s="11" t="str">
        <f aca="false">IF(C666="","",ROW()-4)</f>
        <v/>
      </c>
      <c r="B666" s="12"/>
      <c r="C666" s="13"/>
      <c r="D666" s="11" t="str">
        <f aca="false">IF(C666="","",IFERROR(INDEX(LOTES!$D$5:$D$1004,MATCH(C666,LOTES!$F$5:$F$1004,0)),"¿Lote?"))</f>
        <v/>
      </c>
      <c r="E666" s="11" t="str">
        <f aca="false">IF(C666="","",IFERROR(INDEX(LOTES!$C$5:$C$1004,MATCH(C666,LOTES!$F$5:$F$1004,0)),""))</f>
        <v/>
      </c>
      <c r="F666" s="27"/>
      <c r="G666" s="27"/>
      <c r="H666" s="27"/>
      <c r="I666" s="20" t="str">
        <f aca="false">IF(AND(ISNUMBER(F666),ISNUMBER(G666),ISNUMBER(H666),F666&gt;G666,H666&gt;0),(F666-H666)/(F666-G666)*1000,"")</f>
        <v/>
      </c>
      <c r="J666" s="17" t="str">
        <f aca="false">IF(AND(ISNUMBER(F666),ISNUMBER(G666),ISNUMBER(H666),F666&gt;G666,H666&gt;0),(F666-H666)/H666,"")</f>
        <v/>
      </c>
      <c r="K666" s="20" t="str">
        <f aca="false">IF(AND(ISNUMBER(F666),ISNUMBER(G666),ISNUMBER(H666),F666&gt;G666,H666&gt;0),H666/(F666-G666)*1000,"")</f>
        <v/>
      </c>
      <c r="L666" s="11" t="str">
        <f aca="false">IF(K666="","",IF(K666&gt;=CONFIG!$E$21,CONFIG!$D$21,IF(K666&gt;=CONFIG!$E$20,CONFIG!$D$20,CONFIG!$D$19)))</f>
        <v/>
      </c>
      <c r="M666" s="20" t="str">
        <f aca="false">IF(K666="","",IF(K666&gt;=CONFIG!$E$21,CONFIG!$F$21,IF(K666&gt;=CONFIG!$E$20,CONFIG!$F$20,CONFIG!$F$19)))</f>
        <v/>
      </c>
      <c r="N666" s="19" t="str">
        <f aca="false">IF(I666="","",IF(I666&lt;=M666,"OK","ALTA"))</f>
        <v/>
      </c>
      <c r="O666" s="13"/>
    </row>
    <row r="667" customFormat="false" ht="15" hidden="false" customHeight="false" outlineLevel="0" collapsed="false">
      <c r="A667" s="11" t="str">
        <f aca="false">IF(C667="","",ROW()-4)</f>
        <v/>
      </c>
      <c r="B667" s="12"/>
      <c r="C667" s="13"/>
      <c r="D667" s="11" t="str">
        <f aca="false">IF(C667="","",IFERROR(INDEX(LOTES!$D$5:$D$1004,MATCH(C667,LOTES!$F$5:$F$1004,0)),"¿Lote?"))</f>
        <v/>
      </c>
      <c r="E667" s="11" t="str">
        <f aca="false">IF(C667="","",IFERROR(INDEX(LOTES!$C$5:$C$1004,MATCH(C667,LOTES!$F$5:$F$1004,0)),""))</f>
        <v/>
      </c>
      <c r="F667" s="27"/>
      <c r="G667" s="27"/>
      <c r="H667" s="27"/>
      <c r="I667" s="20" t="str">
        <f aca="false">IF(AND(ISNUMBER(F667),ISNUMBER(G667),ISNUMBER(H667),F667&gt;G667,H667&gt;0),(F667-H667)/(F667-G667)*1000,"")</f>
        <v/>
      </c>
      <c r="J667" s="17" t="str">
        <f aca="false">IF(AND(ISNUMBER(F667),ISNUMBER(G667),ISNUMBER(H667),F667&gt;G667,H667&gt;0),(F667-H667)/H667,"")</f>
        <v/>
      </c>
      <c r="K667" s="20" t="str">
        <f aca="false">IF(AND(ISNUMBER(F667),ISNUMBER(G667),ISNUMBER(H667),F667&gt;G667,H667&gt;0),H667/(F667-G667)*1000,"")</f>
        <v/>
      </c>
      <c r="L667" s="11" t="str">
        <f aca="false">IF(K667="","",IF(K667&gt;=CONFIG!$E$21,CONFIG!$D$21,IF(K667&gt;=CONFIG!$E$20,CONFIG!$D$20,CONFIG!$D$19)))</f>
        <v/>
      </c>
      <c r="M667" s="20" t="str">
        <f aca="false">IF(K667="","",IF(K667&gt;=CONFIG!$E$21,CONFIG!$F$21,IF(K667&gt;=CONFIG!$E$20,CONFIG!$F$20,CONFIG!$F$19)))</f>
        <v/>
      </c>
      <c r="N667" s="19" t="str">
        <f aca="false">IF(I667="","",IF(I667&lt;=M667,"OK","ALTA"))</f>
        <v/>
      </c>
      <c r="O667" s="13"/>
    </row>
    <row r="668" customFormat="false" ht="15" hidden="false" customHeight="false" outlineLevel="0" collapsed="false">
      <c r="A668" s="11" t="str">
        <f aca="false">IF(C668="","",ROW()-4)</f>
        <v/>
      </c>
      <c r="B668" s="12"/>
      <c r="C668" s="13"/>
      <c r="D668" s="11" t="str">
        <f aca="false">IF(C668="","",IFERROR(INDEX(LOTES!$D$5:$D$1004,MATCH(C668,LOTES!$F$5:$F$1004,0)),"¿Lote?"))</f>
        <v/>
      </c>
      <c r="E668" s="11" t="str">
        <f aca="false">IF(C668="","",IFERROR(INDEX(LOTES!$C$5:$C$1004,MATCH(C668,LOTES!$F$5:$F$1004,0)),""))</f>
        <v/>
      </c>
      <c r="F668" s="27"/>
      <c r="G668" s="27"/>
      <c r="H668" s="27"/>
      <c r="I668" s="20" t="str">
        <f aca="false">IF(AND(ISNUMBER(F668),ISNUMBER(G668),ISNUMBER(H668),F668&gt;G668,H668&gt;0),(F668-H668)/(F668-G668)*1000,"")</f>
        <v/>
      </c>
      <c r="J668" s="17" t="str">
        <f aca="false">IF(AND(ISNUMBER(F668),ISNUMBER(G668),ISNUMBER(H668),F668&gt;G668,H668&gt;0),(F668-H668)/H668,"")</f>
        <v/>
      </c>
      <c r="K668" s="20" t="str">
        <f aca="false">IF(AND(ISNUMBER(F668),ISNUMBER(G668),ISNUMBER(H668),F668&gt;G668,H668&gt;0),H668/(F668-G668)*1000,"")</f>
        <v/>
      </c>
      <c r="L668" s="11" t="str">
        <f aca="false">IF(K668="","",IF(K668&gt;=CONFIG!$E$21,CONFIG!$D$21,IF(K668&gt;=CONFIG!$E$20,CONFIG!$D$20,CONFIG!$D$19)))</f>
        <v/>
      </c>
      <c r="M668" s="20" t="str">
        <f aca="false">IF(K668="","",IF(K668&gt;=CONFIG!$E$21,CONFIG!$F$21,IF(K668&gt;=CONFIG!$E$20,CONFIG!$F$20,CONFIG!$F$19)))</f>
        <v/>
      </c>
      <c r="N668" s="19" t="str">
        <f aca="false">IF(I668="","",IF(I668&lt;=M668,"OK","ALTA"))</f>
        <v/>
      </c>
      <c r="O668" s="13"/>
    </row>
    <row r="669" customFormat="false" ht="15" hidden="false" customHeight="false" outlineLevel="0" collapsed="false">
      <c r="A669" s="11" t="str">
        <f aca="false">IF(C669="","",ROW()-4)</f>
        <v/>
      </c>
      <c r="B669" s="12"/>
      <c r="C669" s="13"/>
      <c r="D669" s="11" t="str">
        <f aca="false">IF(C669="","",IFERROR(INDEX(LOTES!$D$5:$D$1004,MATCH(C669,LOTES!$F$5:$F$1004,0)),"¿Lote?"))</f>
        <v/>
      </c>
      <c r="E669" s="11" t="str">
        <f aca="false">IF(C669="","",IFERROR(INDEX(LOTES!$C$5:$C$1004,MATCH(C669,LOTES!$F$5:$F$1004,0)),""))</f>
        <v/>
      </c>
      <c r="F669" s="27"/>
      <c r="G669" s="27"/>
      <c r="H669" s="27"/>
      <c r="I669" s="20" t="str">
        <f aca="false">IF(AND(ISNUMBER(F669),ISNUMBER(G669),ISNUMBER(H669),F669&gt;G669,H669&gt;0),(F669-H669)/(F669-G669)*1000,"")</f>
        <v/>
      </c>
      <c r="J669" s="17" t="str">
        <f aca="false">IF(AND(ISNUMBER(F669),ISNUMBER(G669),ISNUMBER(H669),F669&gt;G669,H669&gt;0),(F669-H669)/H669,"")</f>
        <v/>
      </c>
      <c r="K669" s="20" t="str">
        <f aca="false">IF(AND(ISNUMBER(F669),ISNUMBER(G669),ISNUMBER(H669),F669&gt;G669,H669&gt;0),H669/(F669-G669)*1000,"")</f>
        <v/>
      </c>
      <c r="L669" s="11" t="str">
        <f aca="false">IF(K669="","",IF(K669&gt;=CONFIG!$E$21,CONFIG!$D$21,IF(K669&gt;=CONFIG!$E$20,CONFIG!$D$20,CONFIG!$D$19)))</f>
        <v/>
      </c>
      <c r="M669" s="20" t="str">
        <f aca="false">IF(K669="","",IF(K669&gt;=CONFIG!$E$21,CONFIG!$F$21,IF(K669&gt;=CONFIG!$E$20,CONFIG!$F$20,CONFIG!$F$19)))</f>
        <v/>
      </c>
      <c r="N669" s="19" t="str">
        <f aca="false">IF(I669="","",IF(I669&lt;=M669,"OK","ALTA"))</f>
        <v/>
      </c>
      <c r="O669" s="13"/>
    </row>
    <row r="670" customFormat="false" ht="15" hidden="false" customHeight="false" outlineLevel="0" collapsed="false">
      <c r="A670" s="11" t="str">
        <f aca="false">IF(C670="","",ROW()-4)</f>
        <v/>
      </c>
      <c r="B670" s="12"/>
      <c r="C670" s="13"/>
      <c r="D670" s="11" t="str">
        <f aca="false">IF(C670="","",IFERROR(INDEX(LOTES!$D$5:$D$1004,MATCH(C670,LOTES!$F$5:$F$1004,0)),"¿Lote?"))</f>
        <v/>
      </c>
      <c r="E670" s="11" t="str">
        <f aca="false">IF(C670="","",IFERROR(INDEX(LOTES!$C$5:$C$1004,MATCH(C670,LOTES!$F$5:$F$1004,0)),""))</f>
        <v/>
      </c>
      <c r="F670" s="27"/>
      <c r="G670" s="27"/>
      <c r="H670" s="27"/>
      <c r="I670" s="20" t="str">
        <f aca="false">IF(AND(ISNUMBER(F670),ISNUMBER(G670),ISNUMBER(H670),F670&gt;G670,H670&gt;0),(F670-H670)/(F670-G670)*1000,"")</f>
        <v/>
      </c>
      <c r="J670" s="17" t="str">
        <f aca="false">IF(AND(ISNUMBER(F670),ISNUMBER(G670),ISNUMBER(H670),F670&gt;G670,H670&gt;0),(F670-H670)/H670,"")</f>
        <v/>
      </c>
      <c r="K670" s="20" t="str">
        <f aca="false">IF(AND(ISNUMBER(F670),ISNUMBER(G670),ISNUMBER(H670),F670&gt;G670,H670&gt;0),H670/(F670-G670)*1000,"")</f>
        <v/>
      </c>
      <c r="L670" s="11" t="str">
        <f aca="false">IF(K670="","",IF(K670&gt;=CONFIG!$E$21,CONFIG!$D$21,IF(K670&gt;=CONFIG!$E$20,CONFIG!$D$20,CONFIG!$D$19)))</f>
        <v/>
      </c>
      <c r="M670" s="20" t="str">
        <f aca="false">IF(K670="","",IF(K670&gt;=CONFIG!$E$21,CONFIG!$F$21,IF(K670&gt;=CONFIG!$E$20,CONFIG!$F$20,CONFIG!$F$19)))</f>
        <v/>
      </c>
      <c r="N670" s="19" t="str">
        <f aca="false">IF(I670="","",IF(I670&lt;=M670,"OK","ALTA"))</f>
        <v/>
      </c>
      <c r="O670" s="13"/>
    </row>
    <row r="671" customFormat="false" ht="15" hidden="false" customHeight="false" outlineLevel="0" collapsed="false">
      <c r="A671" s="11" t="str">
        <f aca="false">IF(C671="","",ROW()-4)</f>
        <v/>
      </c>
      <c r="B671" s="12"/>
      <c r="C671" s="13"/>
      <c r="D671" s="11" t="str">
        <f aca="false">IF(C671="","",IFERROR(INDEX(LOTES!$D$5:$D$1004,MATCH(C671,LOTES!$F$5:$F$1004,0)),"¿Lote?"))</f>
        <v/>
      </c>
      <c r="E671" s="11" t="str">
        <f aca="false">IF(C671="","",IFERROR(INDEX(LOTES!$C$5:$C$1004,MATCH(C671,LOTES!$F$5:$F$1004,0)),""))</f>
        <v/>
      </c>
      <c r="F671" s="27"/>
      <c r="G671" s="27"/>
      <c r="H671" s="27"/>
      <c r="I671" s="20" t="str">
        <f aca="false">IF(AND(ISNUMBER(F671),ISNUMBER(G671),ISNUMBER(H671),F671&gt;G671,H671&gt;0),(F671-H671)/(F671-G671)*1000,"")</f>
        <v/>
      </c>
      <c r="J671" s="17" t="str">
        <f aca="false">IF(AND(ISNUMBER(F671),ISNUMBER(G671),ISNUMBER(H671),F671&gt;G671,H671&gt;0),(F671-H671)/H671,"")</f>
        <v/>
      </c>
      <c r="K671" s="20" t="str">
        <f aca="false">IF(AND(ISNUMBER(F671),ISNUMBER(G671),ISNUMBER(H671),F671&gt;G671,H671&gt;0),H671/(F671-G671)*1000,"")</f>
        <v/>
      </c>
      <c r="L671" s="11" t="str">
        <f aca="false">IF(K671="","",IF(K671&gt;=CONFIG!$E$21,CONFIG!$D$21,IF(K671&gt;=CONFIG!$E$20,CONFIG!$D$20,CONFIG!$D$19)))</f>
        <v/>
      </c>
      <c r="M671" s="20" t="str">
        <f aca="false">IF(K671="","",IF(K671&gt;=CONFIG!$E$21,CONFIG!$F$21,IF(K671&gt;=CONFIG!$E$20,CONFIG!$F$20,CONFIG!$F$19)))</f>
        <v/>
      </c>
      <c r="N671" s="19" t="str">
        <f aca="false">IF(I671="","",IF(I671&lt;=M671,"OK","ALTA"))</f>
        <v/>
      </c>
      <c r="O671" s="13"/>
    </row>
    <row r="672" customFormat="false" ht="15" hidden="false" customHeight="false" outlineLevel="0" collapsed="false">
      <c r="A672" s="11" t="str">
        <f aca="false">IF(C672="","",ROW()-4)</f>
        <v/>
      </c>
      <c r="B672" s="12"/>
      <c r="C672" s="13"/>
      <c r="D672" s="11" t="str">
        <f aca="false">IF(C672="","",IFERROR(INDEX(LOTES!$D$5:$D$1004,MATCH(C672,LOTES!$F$5:$F$1004,0)),"¿Lote?"))</f>
        <v/>
      </c>
      <c r="E672" s="11" t="str">
        <f aca="false">IF(C672="","",IFERROR(INDEX(LOTES!$C$5:$C$1004,MATCH(C672,LOTES!$F$5:$F$1004,0)),""))</f>
        <v/>
      </c>
      <c r="F672" s="27"/>
      <c r="G672" s="27"/>
      <c r="H672" s="27"/>
      <c r="I672" s="20" t="str">
        <f aca="false">IF(AND(ISNUMBER(F672),ISNUMBER(G672),ISNUMBER(H672),F672&gt;G672,H672&gt;0),(F672-H672)/(F672-G672)*1000,"")</f>
        <v/>
      </c>
      <c r="J672" s="17" t="str">
        <f aca="false">IF(AND(ISNUMBER(F672),ISNUMBER(G672),ISNUMBER(H672),F672&gt;G672,H672&gt;0),(F672-H672)/H672,"")</f>
        <v/>
      </c>
      <c r="K672" s="20" t="str">
        <f aca="false">IF(AND(ISNUMBER(F672),ISNUMBER(G672),ISNUMBER(H672),F672&gt;G672,H672&gt;0),H672/(F672-G672)*1000,"")</f>
        <v/>
      </c>
      <c r="L672" s="11" t="str">
        <f aca="false">IF(K672="","",IF(K672&gt;=CONFIG!$E$21,CONFIG!$D$21,IF(K672&gt;=CONFIG!$E$20,CONFIG!$D$20,CONFIG!$D$19)))</f>
        <v/>
      </c>
      <c r="M672" s="20" t="str">
        <f aca="false">IF(K672="","",IF(K672&gt;=CONFIG!$E$21,CONFIG!$F$21,IF(K672&gt;=CONFIG!$E$20,CONFIG!$F$20,CONFIG!$F$19)))</f>
        <v/>
      </c>
      <c r="N672" s="19" t="str">
        <f aca="false">IF(I672="","",IF(I672&lt;=M672,"OK","ALTA"))</f>
        <v/>
      </c>
      <c r="O672" s="13"/>
    </row>
    <row r="673" customFormat="false" ht="15" hidden="false" customHeight="false" outlineLevel="0" collapsed="false">
      <c r="A673" s="11" t="str">
        <f aca="false">IF(C673="","",ROW()-4)</f>
        <v/>
      </c>
      <c r="B673" s="12"/>
      <c r="C673" s="13"/>
      <c r="D673" s="11" t="str">
        <f aca="false">IF(C673="","",IFERROR(INDEX(LOTES!$D$5:$D$1004,MATCH(C673,LOTES!$F$5:$F$1004,0)),"¿Lote?"))</f>
        <v/>
      </c>
      <c r="E673" s="11" t="str">
        <f aca="false">IF(C673="","",IFERROR(INDEX(LOTES!$C$5:$C$1004,MATCH(C673,LOTES!$F$5:$F$1004,0)),""))</f>
        <v/>
      </c>
      <c r="F673" s="27"/>
      <c r="G673" s="27"/>
      <c r="H673" s="27"/>
      <c r="I673" s="20" t="str">
        <f aca="false">IF(AND(ISNUMBER(F673),ISNUMBER(G673),ISNUMBER(H673),F673&gt;G673,H673&gt;0),(F673-H673)/(F673-G673)*1000,"")</f>
        <v/>
      </c>
      <c r="J673" s="17" t="str">
        <f aca="false">IF(AND(ISNUMBER(F673),ISNUMBER(G673),ISNUMBER(H673),F673&gt;G673,H673&gt;0),(F673-H673)/H673,"")</f>
        <v/>
      </c>
      <c r="K673" s="20" t="str">
        <f aca="false">IF(AND(ISNUMBER(F673),ISNUMBER(G673),ISNUMBER(H673),F673&gt;G673,H673&gt;0),H673/(F673-G673)*1000,"")</f>
        <v/>
      </c>
      <c r="L673" s="11" t="str">
        <f aca="false">IF(K673="","",IF(K673&gt;=CONFIG!$E$21,CONFIG!$D$21,IF(K673&gt;=CONFIG!$E$20,CONFIG!$D$20,CONFIG!$D$19)))</f>
        <v/>
      </c>
      <c r="M673" s="20" t="str">
        <f aca="false">IF(K673="","",IF(K673&gt;=CONFIG!$E$21,CONFIG!$F$21,IF(K673&gt;=CONFIG!$E$20,CONFIG!$F$20,CONFIG!$F$19)))</f>
        <v/>
      </c>
      <c r="N673" s="19" t="str">
        <f aca="false">IF(I673="","",IF(I673&lt;=M673,"OK","ALTA"))</f>
        <v/>
      </c>
      <c r="O673" s="13"/>
    </row>
    <row r="674" customFormat="false" ht="15" hidden="false" customHeight="false" outlineLevel="0" collapsed="false">
      <c r="A674" s="11" t="str">
        <f aca="false">IF(C674="","",ROW()-4)</f>
        <v/>
      </c>
      <c r="B674" s="12"/>
      <c r="C674" s="13"/>
      <c r="D674" s="11" t="str">
        <f aca="false">IF(C674="","",IFERROR(INDEX(LOTES!$D$5:$D$1004,MATCH(C674,LOTES!$F$5:$F$1004,0)),"¿Lote?"))</f>
        <v/>
      </c>
      <c r="E674" s="11" t="str">
        <f aca="false">IF(C674="","",IFERROR(INDEX(LOTES!$C$5:$C$1004,MATCH(C674,LOTES!$F$5:$F$1004,0)),""))</f>
        <v/>
      </c>
      <c r="F674" s="27"/>
      <c r="G674" s="27"/>
      <c r="H674" s="27"/>
      <c r="I674" s="20" t="str">
        <f aca="false">IF(AND(ISNUMBER(F674),ISNUMBER(G674),ISNUMBER(H674),F674&gt;G674,H674&gt;0),(F674-H674)/(F674-G674)*1000,"")</f>
        <v/>
      </c>
      <c r="J674" s="17" t="str">
        <f aca="false">IF(AND(ISNUMBER(F674),ISNUMBER(G674),ISNUMBER(H674),F674&gt;G674,H674&gt;0),(F674-H674)/H674,"")</f>
        <v/>
      </c>
      <c r="K674" s="20" t="str">
        <f aca="false">IF(AND(ISNUMBER(F674),ISNUMBER(G674),ISNUMBER(H674),F674&gt;G674,H674&gt;0),H674/(F674-G674)*1000,"")</f>
        <v/>
      </c>
      <c r="L674" s="11" t="str">
        <f aca="false">IF(K674="","",IF(K674&gt;=CONFIG!$E$21,CONFIG!$D$21,IF(K674&gt;=CONFIG!$E$20,CONFIG!$D$20,CONFIG!$D$19)))</f>
        <v/>
      </c>
      <c r="M674" s="20" t="str">
        <f aca="false">IF(K674="","",IF(K674&gt;=CONFIG!$E$21,CONFIG!$F$21,IF(K674&gt;=CONFIG!$E$20,CONFIG!$F$20,CONFIG!$F$19)))</f>
        <v/>
      </c>
      <c r="N674" s="19" t="str">
        <f aca="false">IF(I674="","",IF(I674&lt;=M674,"OK","ALTA"))</f>
        <v/>
      </c>
      <c r="O674" s="13"/>
    </row>
    <row r="675" customFormat="false" ht="15" hidden="false" customHeight="false" outlineLevel="0" collapsed="false">
      <c r="A675" s="11" t="str">
        <f aca="false">IF(C675="","",ROW()-4)</f>
        <v/>
      </c>
      <c r="B675" s="12"/>
      <c r="C675" s="13"/>
      <c r="D675" s="11" t="str">
        <f aca="false">IF(C675="","",IFERROR(INDEX(LOTES!$D$5:$D$1004,MATCH(C675,LOTES!$F$5:$F$1004,0)),"¿Lote?"))</f>
        <v/>
      </c>
      <c r="E675" s="11" t="str">
        <f aca="false">IF(C675="","",IFERROR(INDEX(LOTES!$C$5:$C$1004,MATCH(C675,LOTES!$F$5:$F$1004,0)),""))</f>
        <v/>
      </c>
      <c r="F675" s="27"/>
      <c r="G675" s="27"/>
      <c r="H675" s="27"/>
      <c r="I675" s="20" t="str">
        <f aca="false">IF(AND(ISNUMBER(F675),ISNUMBER(G675),ISNUMBER(H675),F675&gt;G675,H675&gt;0),(F675-H675)/(F675-G675)*1000,"")</f>
        <v/>
      </c>
      <c r="J675" s="17" t="str">
        <f aca="false">IF(AND(ISNUMBER(F675),ISNUMBER(G675),ISNUMBER(H675),F675&gt;G675,H675&gt;0),(F675-H675)/H675,"")</f>
        <v/>
      </c>
      <c r="K675" s="20" t="str">
        <f aca="false">IF(AND(ISNUMBER(F675),ISNUMBER(G675),ISNUMBER(H675),F675&gt;G675,H675&gt;0),H675/(F675-G675)*1000,"")</f>
        <v/>
      </c>
      <c r="L675" s="11" t="str">
        <f aca="false">IF(K675="","",IF(K675&gt;=CONFIG!$E$21,CONFIG!$D$21,IF(K675&gt;=CONFIG!$E$20,CONFIG!$D$20,CONFIG!$D$19)))</f>
        <v/>
      </c>
      <c r="M675" s="20" t="str">
        <f aca="false">IF(K675="","",IF(K675&gt;=CONFIG!$E$21,CONFIG!$F$21,IF(K675&gt;=CONFIG!$E$20,CONFIG!$F$20,CONFIG!$F$19)))</f>
        <v/>
      </c>
      <c r="N675" s="19" t="str">
        <f aca="false">IF(I675="","",IF(I675&lt;=M675,"OK","ALTA"))</f>
        <v/>
      </c>
      <c r="O675" s="13"/>
    </row>
    <row r="676" customFormat="false" ht="15" hidden="false" customHeight="false" outlineLevel="0" collapsed="false">
      <c r="A676" s="11" t="str">
        <f aca="false">IF(C676="","",ROW()-4)</f>
        <v/>
      </c>
      <c r="B676" s="12"/>
      <c r="C676" s="13"/>
      <c r="D676" s="11" t="str">
        <f aca="false">IF(C676="","",IFERROR(INDEX(LOTES!$D$5:$D$1004,MATCH(C676,LOTES!$F$5:$F$1004,0)),"¿Lote?"))</f>
        <v/>
      </c>
      <c r="E676" s="11" t="str">
        <f aca="false">IF(C676="","",IFERROR(INDEX(LOTES!$C$5:$C$1004,MATCH(C676,LOTES!$F$5:$F$1004,0)),""))</f>
        <v/>
      </c>
      <c r="F676" s="27"/>
      <c r="G676" s="27"/>
      <c r="H676" s="27"/>
      <c r="I676" s="20" t="str">
        <f aca="false">IF(AND(ISNUMBER(F676),ISNUMBER(G676),ISNUMBER(H676),F676&gt;G676,H676&gt;0),(F676-H676)/(F676-G676)*1000,"")</f>
        <v/>
      </c>
      <c r="J676" s="17" t="str">
        <f aca="false">IF(AND(ISNUMBER(F676),ISNUMBER(G676),ISNUMBER(H676),F676&gt;G676,H676&gt;0),(F676-H676)/H676,"")</f>
        <v/>
      </c>
      <c r="K676" s="20" t="str">
        <f aca="false">IF(AND(ISNUMBER(F676),ISNUMBER(G676),ISNUMBER(H676),F676&gt;G676,H676&gt;0),H676/(F676-G676)*1000,"")</f>
        <v/>
      </c>
      <c r="L676" s="11" t="str">
        <f aca="false">IF(K676="","",IF(K676&gt;=CONFIG!$E$21,CONFIG!$D$21,IF(K676&gt;=CONFIG!$E$20,CONFIG!$D$20,CONFIG!$D$19)))</f>
        <v/>
      </c>
      <c r="M676" s="20" t="str">
        <f aca="false">IF(K676="","",IF(K676&gt;=CONFIG!$E$21,CONFIG!$F$21,IF(K676&gt;=CONFIG!$E$20,CONFIG!$F$20,CONFIG!$F$19)))</f>
        <v/>
      </c>
      <c r="N676" s="19" t="str">
        <f aca="false">IF(I676="","",IF(I676&lt;=M676,"OK","ALTA"))</f>
        <v/>
      </c>
      <c r="O676" s="13"/>
    </row>
    <row r="677" customFormat="false" ht="15" hidden="false" customHeight="false" outlineLevel="0" collapsed="false">
      <c r="A677" s="11" t="str">
        <f aca="false">IF(C677="","",ROW()-4)</f>
        <v/>
      </c>
      <c r="B677" s="12"/>
      <c r="C677" s="13"/>
      <c r="D677" s="11" t="str">
        <f aca="false">IF(C677="","",IFERROR(INDEX(LOTES!$D$5:$D$1004,MATCH(C677,LOTES!$F$5:$F$1004,0)),"¿Lote?"))</f>
        <v/>
      </c>
      <c r="E677" s="11" t="str">
        <f aca="false">IF(C677="","",IFERROR(INDEX(LOTES!$C$5:$C$1004,MATCH(C677,LOTES!$F$5:$F$1004,0)),""))</f>
        <v/>
      </c>
      <c r="F677" s="27"/>
      <c r="G677" s="27"/>
      <c r="H677" s="27"/>
      <c r="I677" s="20" t="str">
        <f aca="false">IF(AND(ISNUMBER(F677),ISNUMBER(G677),ISNUMBER(H677),F677&gt;G677,H677&gt;0),(F677-H677)/(F677-G677)*1000,"")</f>
        <v/>
      </c>
      <c r="J677" s="17" t="str">
        <f aca="false">IF(AND(ISNUMBER(F677),ISNUMBER(G677),ISNUMBER(H677),F677&gt;G677,H677&gt;0),(F677-H677)/H677,"")</f>
        <v/>
      </c>
      <c r="K677" s="20" t="str">
        <f aca="false">IF(AND(ISNUMBER(F677),ISNUMBER(G677),ISNUMBER(H677),F677&gt;G677,H677&gt;0),H677/(F677-G677)*1000,"")</f>
        <v/>
      </c>
      <c r="L677" s="11" t="str">
        <f aca="false">IF(K677="","",IF(K677&gt;=CONFIG!$E$21,CONFIG!$D$21,IF(K677&gt;=CONFIG!$E$20,CONFIG!$D$20,CONFIG!$D$19)))</f>
        <v/>
      </c>
      <c r="M677" s="20" t="str">
        <f aca="false">IF(K677="","",IF(K677&gt;=CONFIG!$E$21,CONFIG!$F$21,IF(K677&gt;=CONFIG!$E$20,CONFIG!$F$20,CONFIG!$F$19)))</f>
        <v/>
      </c>
      <c r="N677" s="19" t="str">
        <f aca="false">IF(I677="","",IF(I677&lt;=M677,"OK","ALTA"))</f>
        <v/>
      </c>
      <c r="O677" s="13"/>
    </row>
    <row r="678" customFormat="false" ht="15" hidden="false" customHeight="false" outlineLevel="0" collapsed="false">
      <c r="A678" s="11" t="str">
        <f aca="false">IF(C678="","",ROW()-4)</f>
        <v/>
      </c>
      <c r="B678" s="12"/>
      <c r="C678" s="13"/>
      <c r="D678" s="11" t="str">
        <f aca="false">IF(C678="","",IFERROR(INDEX(LOTES!$D$5:$D$1004,MATCH(C678,LOTES!$F$5:$F$1004,0)),"¿Lote?"))</f>
        <v/>
      </c>
      <c r="E678" s="11" t="str">
        <f aca="false">IF(C678="","",IFERROR(INDEX(LOTES!$C$5:$C$1004,MATCH(C678,LOTES!$F$5:$F$1004,0)),""))</f>
        <v/>
      </c>
      <c r="F678" s="27"/>
      <c r="G678" s="27"/>
      <c r="H678" s="27"/>
      <c r="I678" s="20" t="str">
        <f aca="false">IF(AND(ISNUMBER(F678),ISNUMBER(G678),ISNUMBER(H678),F678&gt;G678,H678&gt;0),(F678-H678)/(F678-G678)*1000,"")</f>
        <v/>
      </c>
      <c r="J678" s="17" t="str">
        <f aca="false">IF(AND(ISNUMBER(F678),ISNUMBER(G678),ISNUMBER(H678),F678&gt;G678,H678&gt;0),(F678-H678)/H678,"")</f>
        <v/>
      </c>
      <c r="K678" s="20" t="str">
        <f aca="false">IF(AND(ISNUMBER(F678),ISNUMBER(G678),ISNUMBER(H678),F678&gt;G678,H678&gt;0),H678/(F678-G678)*1000,"")</f>
        <v/>
      </c>
      <c r="L678" s="11" t="str">
        <f aca="false">IF(K678="","",IF(K678&gt;=CONFIG!$E$21,CONFIG!$D$21,IF(K678&gt;=CONFIG!$E$20,CONFIG!$D$20,CONFIG!$D$19)))</f>
        <v/>
      </c>
      <c r="M678" s="20" t="str">
        <f aca="false">IF(K678="","",IF(K678&gt;=CONFIG!$E$21,CONFIG!$F$21,IF(K678&gt;=CONFIG!$E$20,CONFIG!$F$20,CONFIG!$F$19)))</f>
        <v/>
      </c>
      <c r="N678" s="19" t="str">
        <f aca="false">IF(I678="","",IF(I678&lt;=M678,"OK","ALTA"))</f>
        <v/>
      </c>
      <c r="O678" s="13"/>
    </row>
    <row r="679" customFormat="false" ht="15" hidden="false" customHeight="false" outlineLevel="0" collapsed="false">
      <c r="A679" s="11" t="str">
        <f aca="false">IF(C679="","",ROW()-4)</f>
        <v/>
      </c>
      <c r="B679" s="12"/>
      <c r="C679" s="13"/>
      <c r="D679" s="11" t="str">
        <f aca="false">IF(C679="","",IFERROR(INDEX(LOTES!$D$5:$D$1004,MATCH(C679,LOTES!$F$5:$F$1004,0)),"¿Lote?"))</f>
        <v/>
      </c>
      <c r="E679" s="11" t="str">
        <f aca="false">IF(C679="","",IFERROR(INDEX(LOTES!$C$5:$C$1004,MATCH(C679,LOTES!$F$5:$F$1004,0)),""))</f>
        <v/>
      </c>
      <c r="F679" s="27"/>
      <c r="G679" s="27"/>
      <c r="H679" s="27"/>
      <c r="I679" s="20" t="str">
        <f aca="false">IF(AND(ISNUMBER(F679),ISNUMBER(G679),ISNUMBER(H679),F679&gt;G679,H679&gt;0),(F679-H679)/(F679-G679)*1000,"")</f>
        <v/>
      </c>
      <c r="J679" s="17" t="str">
        <f aca="false">IF(AND(ISNUMBER(F679),ISNUMBER(G679),ISNUMBER(H679),F679&gt;G679,H679&gt;0),(F679-H679)/H679,"")</f>
        <v/>
      </c>
      <c r="K679" s="20" t="str">
        <f aca="false">IF(AND(ISNUMBER(F679),ISNUMBER(G679),ISNUMBER(H679),F679&gt;G679,H679&gt;0),H679/(F679-G679)*1000,"")</f>
        <v/>
      </c>
      <c r="L679" s="11" t="str">
        <f aca="false">IF(K679="","",IF(K679&gt;=CONFIG!$E$21,CONFIG!$D$21,IF(K679&gt;=CONFIG!$E$20,CONFIG!$D$20,CONFIG!$D$19)))</f>
        <v/>
      </c>
      <c r="M679" s="20" t="str">
        <f aca="false">IF(K679="","",IF(K679&gt;=CONFIG!$E$21,CONFIG!$F$21,IF(K679&gt;=CONFIG!$E$20,CONFIG!$F$20,CONFIG!$F$19)))</f>
        <v/>
      </c>
      <c r="N679" s="19" t="str">
        <f aca="false">IF(I679="","",IF(I679&lt;=M679,"OK","ALTA"))</f>
        <v/>
      </c>
      <c r="O679" s="13"/>
    </row>
    <row r="680" customFormat="false" ht="15" hidden="false" customHeight="false" outlineLevel="0" collapsed="false">
      <c r="A680" s="11" t="str">
        <f aca="false">IF(C680="","",ROW()-4)</f>
        <v/>
      </c>
      <c r="B680" s="12"/>
      <c r="C680" s="13"/>
      <c r="D680" s="11" t="str">
        <f aca="false">IF(C680="","",IFERROR(INDEX(LOTES!$D$5:$D$1004,MATCH(C680,LOTES!$F$5:$F$1004,0)),"¿Lote?"))</f>
        <v/>
      </c>
      <c r="E680" s="11" t="str">
        <f aca="false">IF(C680="","",IFERROR(INDEX(LOTES!$C$5:$C$1004,MATCH(C680,LOTES!$F$5:$F$1004,0)),""))</f>
        <v/>
      </c>
      <c r="F680" s="27"/>
      <c r="G680" s="27"/>
      <c r="H680" s="27"/>
      <c r="I680" s="20" t="str">
        <f aca="false">IF(AND(ISNUMBER(F680),ISNUMBER(G680),ISNUMBER(H680),F680&gt;G680,H680&gt;0),(F680-H680)/(F680-G680)*1000,"")</f>
        <v/>
      </c>
      <c r="J680" s="17" t="str">
        <f aca="false">IF(AND(ISNUMBER(F680),ISNUMBER(G680),ISNUMBER(H680),F680&gt;G680,H680&gt;0),(F680-H680)/H680,"")</f>
        <v/>
      </c>
      <c r="K680" s="20" t="str">
        <f aca="false">IF(AND(ISNUMBER(F680),ISNUMBER(G680),ISNUMBER(H680),F680&gt;G680,H680&gt;0),H680/(F680-G680)*1000,"")</f>
        <v/>
      </c>
      <c r="L680" s="11" t="str">
        <f aca="false">IF(K680="","",IF(K680&gt;=CONFIG!$E$21,CONFIG!$D$21,IF(K680&gt;=CONFIG!$E$20,CONFIG!$D$20,CONFIG!$D$19)))</f>
        <v/>
      </c>
      <c r="M680" s="20" t="str">
        <f aca="false">IF(K680="","",IF(K680&gt;=CONFIG!$E$21,CONFIG!$F$21,IF(K680&gt;=CONFIG!$E$20,CONFIG!$F$20,CONFIG!$F$19)))</f>
        <v/>
      </c>
      <c r="N680" s="19" t="str">
        <f aca="false">IF(I680="","",IF(I680&lt;=M680,"OK","ALTA"))</f>
        <v/>
      </c>
      <c r="O680" s="13"/>
    </row>
    <row r="681" customFormat="false" ht="15" hidden="false" customHeight="false" outlineLevel="0" collapsed="false">
      <c r="A681" s="11" t="str">
        <f aca="false">IF(C681="","",ROW()-4)</f>
        <v/>
      </c>
      <c r="B681" s="12"/>
      <c r="C681" s="13"/>
      <c r="D681" s="11" t="str">
        <f aca="false">IF(C681="","",IFERROR(INDEX(LOTES!$D$5:$D$1004,MATCH(C681,LOTES!$F$5:$F$1004,0)),"¿Lote?"))</f>
        <v/>
      </c>
      <c r="E681" s="11" t="str">
        <f aca="false">IF(C681="","",IFERROR(INDEX(LOTES!$C$5:$C$1004,MATCH(C681,LOTES!$F$5:$F$1004,0)),""))</f>
        <v/>
      </c>
      <c r="F681" s="27"/>
      <c r="G681" s="27"/>
      <c r="H681" s="27"/>
      <c r="I681" s="20" t="str">
        <f aca="false">IF(AND(ISNUMBER(F681),ISNUMBER(G681),ISNUMBER(H681),F681&gt;G681,H681&gt;0),(F681-H681)/(F681-G681)*1000,"")</f>
        <v/>
      </c>
      <c r="J681" s="17" t="str">
        <f aca="false">IF(AND(ISNUMBER(F681),ISNUMBER(G681),ISNUMBER(H681),F681&gt;G681,H681&gt;0),(F681-H681)/H681,"")</f>
        <v/>
      </c>
      <c r="K681" s="20" t="str">
        <f aca="false">IF(AND(ISNUMBER(F681),ISNUMBER(G681),ISNUMBER(H681),F681&gt;G681,H681&gt;0),H681/(F681-G681)*1000,"")</f>
        <v/>
      </c>
      <c r="L681" s="11" t="str">
        <f aca="false">IF(K681="","",IF(K681&gt;=CONFIG!$E$21,CONFIG!$D$21,IF(K681&gt;=CONFIG!$E$20,CONFIG!$D$20,CONFIG!$D$19)))</f>
        <v/>
      </c>
      <c r="M681" s="20" t="str">
        <f aca="false">IF(K681="","",IF(K681&gt;=CONFIG!$E$21,CONFIG!$F$21,IF(K681&gt;=CONFIG!$E$20,CONFIG!$F$20,CONFIG!$F$19)))</f>
        <v/>
      </c>
      <c r="N681" s="19" t="str">
        <f aca="false">IF(I681="","",IF(I681&lt;=M681,"OK","ALTA"))</f>
        <v/>
      </c>
      <c r="O681" s="13"/>
    </row>
    <row r="682" customFormat="false" ht="15" hidden="false" customHeight="false" outlineLevel="0" collapsed="false">
      <c r="A682" s="11" t="str">
        <f aca="false">IF(C682="","",ROW()-4)</f>
        <v/>
      </c>
      <c r="B682" s="12"/>
      <c r="C682" s="13"/>
      <c r="D682" s="11" t="str">
        <f aca="false">IF(C682="","",IFERROR(INDEX(LOTES!$D$5:$D$1004,MATCH(C682,LOTES!$F$5:$F$1004,0)),"¿Lote?"))</f>
        <v/>
      </c>
      <c r="E682" s="11" t="str">
        <f aca="false">IF(C682="","",IFERROR(INDEX(LOTES!$C$5:$C$1004,MATCH(C682,LOTES!$F$5:$F$1004,0)),""))</f>
        <v/>
      </c>
      <c r="F682" s="27"/>
      <c r="G682" s="27"/>
      <c r="H682" s="27"/>
      <c r="I682" s="20" t="str">
        <f aca="false">IF(AND(ISNUMBER(F682),ISNUMBER(G682),ISNUMBER(H682),F682&gt;G682,H682&gt;0),(F682-H682)/(F682-G682)*1000,"")</f>
        <v/>
      </c>
      <c r="J682" s="17" t="str">
        <f aca="false">IF(AND(ISNUMBER(F682),ISNUMBER(G682),ISNUMBER(H682),F682&gt;G682,H682&gt;0),(F682-H682)/H682,"")</f>
        <v/>
      </c>
      <c r="K682" s="20" t="str">
        <f aca="false">IF(AND(ISNUMBER(F682),ISNUMBER(G682),ISNUMBER(H682),F682&gt;G682,H682&gt;0),H682/(F682-G682)*1000,"")</f>
        <v/>
      </c>
      <c r="L682" s="11" t="str">
        <f aca="false">IF(K682="","",IF(K682&gt;=CONFIG!$E$21,CONFIG!$D$21,IF(K682&gt;=CONFIG!$E$20,CONFIG!$D$20,CONFIG!$D$19)))</f>
        <v/>
      </c>
      <c r="M682" s="20" t="str">
        <f aca="false">IF(K682="","",IF(K682&gt;=CONFIG!$E$21,CONFIG!$F$21,IF(K682&gt;=CONFIG!$E$20,CONFIG!$F$20,CONFIG!$F$19)))</f>
        <v/>
      </c>
      <c r="N682" s="19" t="str">
        <f aca="false">IF(I682="","",IF(I682&lt;=M682,"OK","ALTA"))</f>
        <v/>
      </c>
      <c r="O682" s="13"/>
    </row>
    <row r="683" customFormat="false" ht="15" hidden="false" customHeight="false" outlineLevel="0" collapsed="false">
      <c r="A683" s="11" t="str">
        <f aca="false">IF(C683="","",ROW()-4)</f>
        <v/>
      </c>
      <c r="B683" s="12"/>
      <c r="C683" s="13"/>
      <c r="D683" s="11" t="str">
        <f aca="false">IF(C683="","",IFERROR(INDEX(LOTES!$D$5:$D$1004,MATCH(C683,LOTES!$F$5:$F$1004,0)),"¿Lote?"))</f>
        <v/>
      </c>
      <c r="E683" s="11" t="str">
        <f aca="false">IF(C683="","",IFERROR(INDEX(LOTES!$C$5:$C$1004,MATCH(C683,LOTES!$F$5:$F$1004,0)),""))</f>
        <v/>
      </c>
      <c r="F683" s="27"/>
      <c r="G683" s="27"/>
      <c r="H683" s="27"/>
      <c r="I683" s="20" t="str">
        <f aca="false">IF(AND(ISNUMBER(F683),ISNUMBER(G683),ISNUMBER(H683),F683&gt;G683,H683&gt;0),(F683-H683)/(F683-G683)*1000,"")</f>
        <v/>
      </c>
      <c r="J683" s="17" t="str">
        <f aca="false">IF(AND(ISNUMBER(F683),ISNUMBER(G683),ISNUMBER(H683),F683&gt;G683,H683&gt;0),(F683-H683)/H683,"")</f>
        <v/>
      </c>
      <c r="K683" s="20" t="str">
        <f aca="false">IF(AND(ISNUMBER(F683),ISNUMBER(G683),ISNUMBER(H683),F683&gt;G683,H683&gt;0),H683/(F683-G683)*1000,"")</f>
        <v/>
      </c>
      <c r="L683" s="11" t="str">
        <f aca="false">IF(K683="","",IF(K683&gt;=CONFIG!$E$21,CONFIG!$D$21,IF(K683&gt;=CONFIG!$E$20,CONFIG!$D$20,CONFIG!$D$19)))</f>
        <v/>
      </c>
      <c r="M683" s="20" t="str">
        <f aca="false">IF(K683="","",IF(K683&gt;=CONFIG!$E$21,CONFIG!$F$21,IF(K683&gt;=CONFIG!$E$20,CONFIG!$F$20,CONFIG!$F$19)))</f>
        <v/>
      </c>
      <c r="N683" s="19" t="str">
        <f aca="false">IF(I683="","",IF(I683&lt;=M683,"OK","ALTA"))</f>
        <v/>
      </c>
      <c r="O683" s="13"/>
    </row>
    <row r="684" customFormat="false" ht="15" hidden="false" customHeight="false" outlineLevel="0" collapsed="false">
      <c r="A684" s="11" t="str">
        <f aca="false">IF(C684="","",ROW()-4)</f>
        <v/>
      </c>
      <c r="B684" s="12"/>
      <c r="C684" s="13"/>
      <c r="D684" s="11" t="str">
        <f aca="false">IF(C684="","",IFERROR(INDEX(LOTES!$D$5:$D$1004,MATCH(C684,LOTES!$F$5:$F$1004,0)),"¿Lote?"))</f>
        <v/>
      </c>
      <c r="E684" s="11" t="str">
        <f aca="false">IF(C684="","",IFERROR(INDEX(LOTES!$C$5:$C$1004,MATCH(C684,LOTES!$F$5:$F$1004,0)),""))</f>
        <v/>
      </c>
      <c r="F684" s="27"/>
      <c r="G684" s="27"/>
      <c r="H684" s="27"/>
      <c r="I684" s="20" t="str">
        <f aca="false">IF(AND(ISNUMBER(F684),ISNUMBER(G684),ISNUMBER(H684),F684&gt;G684,H684&gt;0),(F684-H684)/(F684-G684)*1000,"")</f>
        <v/>
      </c>
      <c r="J684" s="17" t="str">
        <f aca="false">IF(AND(ISNUMBER(F684),ISNUMBER(G684),ISNUMBER(H684),F684&gt;G684,H684&gt;0),(F684-H684)/H684,"")</f>
        <v/>
      </c>
      <c r="K684" s="20" t="str">
        <f aca="false">IF(AND(ISNUMBER(F684),ISNUMBER(G684),ISNUMBER(H684),F684&gt;G684,H684&gt;0),H684/(F684-G684)*1000,"")</f>
        <v/>
      </c>
      <c r="L684" s="11" t="str">
        <f aca="false">IF(K684="","",IF(K684&gt;=CONFIG!$E$21,CONFIG!$D$21,IF(K684&gt;=CONFIG!$E$20,CONFIG!$D$20,CONFIG!$D$19)))</f>
        <v/>
      </c>
      <c r="M684" s="20" t="str">
        <f aca="false">IF(K684="","",IF(K684&gt;=CONFIG!$E$21,CONFIG!$F$21,IF(K684&gt;=CONFIG!$E$20,CONFIG!$F$20,CONFIG!$F$19)))</f>
        <v/>
      </c>
      <c r="N684" s="19" t="str">
        <f aca="false">IF(I684="","",IF(I684&lt;=M684,"OK","ALTA"))</f>
        <v/>
      </c>
      <c r="O684" s="13"/>
    </row>
    <row r="685" customFormat="false" ht="15" hidden="false" customHeight="false" outlineLevel="0" collapsed="false">
      <c r="A685" s="11" t="str">
        <f aca="false">IF(C685="","",ROW()-4)</f>
        <v/>
      </c>
      <c r="B685" s="12"/>
      <c r="C685" s="13"/>
      <c r="D685" s="11" t="str">
        <f aca="false">IF(C685="","",IFERROR(INDEX(LOTES!$D$5:$D$1004,MATCH(C685,LOTES!$F$5:$F$1004,0)),"¿Lote?"))</f>
        <v/>
      </c>
      <c r="E685" s="11" t="str">
        <f aca="false">IF(C685="","",IFERROR(INDEX(LOTES!$C$5:$C$1004,MATCH(C685,LOTES!$F$5:$F$1004,0)),""))</f>
        <v/>
      </c>
      <c r="F685" s="27"/>
      <c r="G685" s="27"/>
      <c r="H685" s="27"/>
      <c r="I685" s="20" t="str">
        <f aca="false">IF(AND(ISNUMBER(F685),ISNUMBER(G685),ISNUMBER(H685),F685&gt;G685,H685&gt;0),(F685-H685)/(F685-G685)*1000,"")</f>
        <v/>
      </c>
      <c r="J685" s="17" t="str">
        <f aca="false">IF(AND(ISNUMBER(F685),ISNUMBER(G685),ISNUMBER(H685),F685&gt;G685,H685&gt;0),(F685-H685)/H685,"")</f>
        <v/>
      </c>
      <c r="K685" s="20" t="str">
        <f aca="false">IF(AND(ISNUMBER(F685),ISNUMBER(G685),ISNUMBER(H685),F685&gt;G685,H685&gt;0),H685/(F685-G685)*1000,"")</f>
        <v/>
      </c>
      <c r="L685" s="11" t="str">
        <f aca="false">IF(K685="","",IF(K685&gt;=CONFIG!$E$21,CONFIG!$D$21,IF(K685&gt;=CONFIG!$E$20,CONFIG!$D$20,CONFIG!$D$19)))</f>
        <v/>
      </c>
      <c r="M685" s="20" t="str">
        <f aca="false">IF(K685="","",IF(K685&gt;=CONFIG!$E$21,CONFIG!$F$21,IF(K685&gt;=CONFIG!$E$20,CONFIG!$F$20,CONFIG!$F$19)))</f>
        <v/>
      </c>
      <c r="N685" s="19" t="str">
        <f aca="false">IF(I685="","",IF(I685&lt;=M685,"OK","ALTA"))</f>
        <v/>
      </c>
      <c r="O685" s="13"/>
    </row>
    <row r="686" customFormat="false" ht="15" hidden="false" customHeight="false" outlineLevel="0" collapsed="false">
      <c r="A686" s="11" t="str">
        <f aca="false">IF(C686="","",ROW()-4)</f>
        <v/>
      </c>
      <c r="B686" s="12"/>
      <c r="C686" s="13"/>
      <c r="D686" s="11" t="str">
        <f aca="false">IF(C686="","",IFERROR(INDEX(LOTES!$D$5:$D$1004,MATCH(C686,LOTES!$F$5:$F$1004,0)),"¿Lote?"))</f>
        <v/>
      </c>
      <c r="E686" s="11" t="str">
        <f aca="false">IF(C686="","",IFERROR(INDEX(LOTES!$C$5:$C$1004,MATCH(C686,LOTES!$F$5:$F$1004,0)),""))</f>
        <v/>
      </c>
      <c r="F686" s="27"/>
      <c r="G686" s="27"/>
      <c r="H686" s="27"/>
      <c r="I686" s="20" t="str">
        <f aca="false">IF(AND(ISNUMBER(F686),ISNUMBER(G686),ISNUMBER(H686),F686&gt;G686,H686&gt;0),(F686-H686)/(F686-G686)*1000,"")</f>
        <v/>
      </c>
      <c r="J686" s="17" t="str">
        <f aca="false">IF(AND(ISNUMBER(F686),ISNUMBER(G686),ISNUMBER(H686),F686&gt;G686,H686&gt;0),(F686-H686)/H686,"")</f>
        <v/>
      </c>
      <c r="K686" s="20" t="str">
        <f aca="false">IF(AND(ISNUMBER(F686),ISNUMBER(G686),ISNUMBER(H686),F686&gt;G686,H686&gt;0),H686/(F686-G686)*1000,"")</f>
        <v/>
      </c>
      <c r="L686" s="11" t="str">
        <f aca="false">IF(K686="","",IF(K686&gt;=CONFIG!$E$21,CONFIG!$D$21,IF(K686&gt;=CONFIG!$E$20,CONFIG!$D$20,CONFIG!$D$19)))</f>
        <v/>
      </c>
      <c r="M686" s="20" t="str">
        <f aca="false">IF(K686="","",IF(K686&gt;=CONFIG!$E$21,CONFIG!$F$21,IF(K686&gt;=CONFIG!$E$20,CONFIG!$F$20,CONFIG!$F$19)))</f>
        <v/>
      </c>
      <c r="N686" s="19" t="str">
        <f aca="false">IF(I686="","",IF(I686&lt;=M686,"OK","ALTA"))</f>
        <v/>
      </c>
      <c r="O686" s="13"/>
    </row>
    <row r="687" customFormat="false" ht="15" hidden="false" customHeight="false" outlineLevel="0" collapsed="false">
      <c r="A687" s="11" t="str">
        <f aca="false">IF(C687="","",ROW()-4)</f>
        <v/>
      </c>
      <c r="B687" s="12"/>
      <c r="C687" s="13"/>
      <c r="D687" s="11" t="str">
        <f aca="false">IF(C687="","",IFERROR(INDEX(LOTES!$D$5:$D$1004,MATCH(C687,LOTES!$F$5:$F$1004,0)),"¿Lote?"))</f>
        <v/>
      </c>
      <c r="E687" s="11" t="str">
        <f aca="false">IF(C687="","",IFERROR(INDEX(LOTES!$C$5:$C$1004,MATCH(C687,LOTES!$F$5:$F$1004,0)),""))</f>
        <v/>
      </c>
      <c r="F687" s="27"/>
      <c r="G687" s="27"/>
      <c r="H687" s="27"/>
      <c r="I687" s="20" t="str">
        <f aca="false">IF(AND(ISNUMBER(F687),ISNUMBER(G687),ISNUMBER(H687),F687&gt;G687,H687&gt;0),(F687-H687)/(F687-G687)*1000,"")</f>
        <v/>
      </c>
      <c r="J687" s="17" t="str">
        <f aca="false">IF(AND(ISNUMBER(F687),ISNUMBER(G687),ISNUMBER(H687),F687&gt;G687,H687&gt;0),(F687-H687)/H687,"")</f>
        <v/>
      </c>
      <c r="K687" s="20" t="str">
        <f aca="false">IF(AND(ISNUMBER(F687),ISNUMBER(G687),ISNUMBER(H687),F687&gt;G687,H687&gt;0),H687/(F687-G687)*1000,"")</f>
        <v/>
      </c>
      <c r="L687" s="11" t="str">
        <f aca="false">IF(K687="","",IF(K687&gt;=CONFIG!$E$21,CONFIG!$D$21,IF(K687&gt;=CONFIG!$E$20,CONFIG!$D$20,CONFIG!$D$19)))</f>
        <v/>
      </c>
      <c r="M687" s="20" t="str">
        <f aca="false">IF(K687="","",IF(K687&gt;=CONFIG!$E$21,CONFIG!$F$21,IF(K687&gt;=CONFIG!$E$20,CONFIG!$F$20,CONFIG!$F$19)))</f>
        <v/>
      </c>
      <c r="N687" s="19" t="str">
        <f aca="false">IF(I687="","",IF(I687&lt;=M687,"OK","ALTA"))</f>
        <v/>
      </c>
      <c r="O687" s="13"/>
    </row>
    <row r="688" customFormat="false" ht="15" hidden="false" customHeight="false" outlineLevel="0" collapsed="false">
      <c r="A688" s="11" t="str">
        <f aca="false">IF(C688="","",ROW()-4)</f>
        <v/>
      </c>
      <c r="B688" s="12"/>
      <c r="C688" s="13"/>
      <c r="D688" s="11" t="str">
        <f aca="false">IF(C688="","",IFERROR(INDEX(LOTES!$D$5:$D$1004,MATCH(C688,LOTES!$F$5:$F$1004,0)),"¿Lote?"))</f>
        <v/>
      </c>
      <c r="E688" s="11" t="str">
        <f aca="false">IF(C688="","",IFERROR(INDEX(LOTES!$C$5:$C$1004,MATCH(C688,LOTES!$F$5:$F$1004,0)),""))</f>
        <v/>
      </c>
      <c r="F688" s="27"/>
      <c r="G688" s="27"/>
      <c r="H688" s="27"/>
      <c r="I688" s="20" t="str">
        <f aca="false">IF(AND(ISNUMBER(F688),ISNUMBER(G688),ISNUMBER(H688),F688&gt;G688,H688&gt;0),(F688-H688)/(F688-G688)*1000,"")</f>
        <v/>
      </c>
      <c r="J688" s="17" t="str">
        <f aca="false">IF(AND(ISNUMBER(F688),ISNUMBER(G688),ISNUMBER(H688),F688&gt;G688,H688&gt;0),(F688-H688)/H688,"")</f>
        <v/>
      </c>
      <c r="K688" s="20" t="str">
        <f aca="false">IF(AND(ISNUMBER(F688),ISNUMBER(G688),ISNUMBER(H688),F688&gt;G688,H688&gt;0),H688/(F688-G688)*1000,"")</f>
        <v/>
      </c>
      <c r="L688" s="11" t="str">
        <f aca="false">IF(K688="","",IF(K688&gt;=CONFIG!$E$21,CONFIG!$D$21,IF(K688&gt;=CONFIG!$E$20,CONFIG!$D$20,CONFIG!$D$19)))</f>
        <v/>
      </c>
      <c r="M688" s="20" t="str">
        <f aca="false">IF(K688="","",IF(K688&gt;=CONFIG!$E$21,CONFIG!$F$21,IF(K688&gt;=CONFIG!$E$20,CONFIG!$F$20,CONFIG!$F$19)))</f>
        <v/>
      </c>
      <c r="N688" s="19" t="str">
        <f aca="false">IF(I688="","",IF(I688&lt;=M688,"OK","ALTA"))</f>
        <v/>
      </c>
      <c r="O688" s="13"/>
    </row>
    <row r="689" customFormat="false" ht="15" hidden="false" customHeight="false" outlineLevel="0" collapsed="false">
      <c r="A689" s="11" t="str">
        <f aca="false">IF(C689="","",ROW()-4)</f>
        <v/>
      </c>
      <c r="B689" s="12"/>
      <c r="C689" s="13"/>
      <c r="D689" s="11" t="str">
        <f aca="false">IF(C689="","",IFERROR(INDEX(LOTES!$D$5:$D$1004,MATCH(C689,LOTES!$F$5:$F$1004,0)),"¿Lote?"))</f>
        <v/>
      </c>
      <c r="E689" s="11" t="str">
        <f aca="false">IF(C689="","",IFERROR(INDEX(LOTES!$C$5:$C$1004,MATCH(C689,LOTES!$F$5:$F$1004,0)),""))</f>
        <v/>
      </c>
      <c r="F689" s="27"/>
      <c r="G689" s="27"/>
      <c r="H689" s="27"/>
      <c r="I689" s="20" t="str">
        <f aca="false">IF(AND(ISNUMBER(F689),ISNUMBER(G689),ISNUMBER(H689),F689&gt;G689,H689&gt;0),(F689-H689)/(F689-G689)*1000,"")</f>
        <v/>
      </c>
      <c r="J689" s="17" t="str">
        <f aca="false">IF(AND(ISNUMBER(F689),ISNUMBER(G689),ISNUMBER(H689),F689&gt;G689,H689&gt;0),(F689-H689)/H689,"")</f>
        <v/>
      </c>
      <c r="K689" s="20" t="str">
        <f aca="false">IF(AND(ISNUMBER(F689),ISNUMBER(G689),ISNUMBER(H689),F689&gt;G689,H689&gt;0),H689/(F689-G689)*1000,"")</f>
        <v/>
      </c>
      <c r="L689" s="11" t="str">
        <f aca="false">IF(K689="","",IF(K689&gt;=CONFIG!$E$21,CONFIG!$D$21,IF(K689&gt;=CONFIG!$E$20,CONFIG!$D$20,CONFIG!$D$19)))</f>
        <v/>
      </c>
      <c r="M689" s="20" t="str">
        <f aca="false">IF(K689="","",IF(K689&gt;=CONFIG!$E$21,CONFIG!$F$21,IF(K689&gt;=CONFIG!$E$20,CONFIG!$F$20,CONFIG!$F$19)))</f>
        <v/>
      </c>
      <c r="N689" s="19" t="str">
        <f aca="false">IF(I689="","",IF(I689&lt;=M689,"OK","ALTA"))</f>
        <v/>
      </c>
      <c r="O689" s="13"/>
    </row>
    <row r="690" customFormat="false" ht="15" hidden="false" customHeight="false" outlineLevel="0" collapsed="false">
      <c r="A690" s="11" t="str">
        <f aca="false">IF(C690="","",ROW()-4)</f>
        <v/>
      </c>
      <c r="B690" s="12"/>
      <c r="C690" s="13"/>
      <c r="D690" s="11" t="str">
        <f aca="false">IF(C690="","",IFERROR(INDEX(LOTES!$D$5:$D$1004,MATCH(C690,LOTES!$F$5:$F$1004,0)),"¿Lote?"))</f>
        <v/>
      </c>
      <c r="E690" s="11" t="str">
        <f aca="false">IF(C690="","",IFERROR(INDEX(LOTES!$C$5:$C$1004,MATCH(C690,LOTES!$F$5:$F$1004,0)),""))</f>
        <v/>
      </c>
      <c r="F690" s="27"/>
      <c r="G690" s="27"/>
      <c r="H690" s="27"/>
      <c r="I690" s="20" t="str">
        <f aca="false">IF(AND(ISNUMBER(F690),ISNUMBER(G690),ISNUMBER(H690),F690&gt;G690,H690&gt;0),(F690-H690)/(F690-G690)*1000,"")</f>
        <v/>
      </c>
      <c r="J690" s="17" t="str">
        <f aca="false">IF(AND(ISNUMBER(F690),ISNUMBER(G690),ISNUMBER(H690),F690&gt;G690,H690&gt;0),(F690-H690)/H690,"")</f>
        <v/>
      </c>
      <c r="K690" s="20" t="str">
        <f aca="false">IF(AND(ISNUMBER(F690),ISNUMBER(G690),ISNUMBER(H690),F690&gt;G690,H690&gt;0),H690/(F690-G690)*1000,"")</f>
        <v/>
      </c>
      <c r="L690" s="11" t="str">
        <f aca="false">IF(K690="","",IF(K690&gt;=CONFIG!$E$21,CONFIG!$D$21,IF(K690&gt;=CONFIG!$E$20,CONFIG!$D$20,CONFIG!$D$19)))</f>
        <v/>
      </c>
      <c r="M690" s="20" t="str">
        <f aca="false">IF(K690="","",IF(K690&gt;=CONFIG!$E$21,CONFIG!$F$21,IF(K690&gt;=CONFIG!$E$20,CONFIG!$F$20,CONFIG!$F$19)))</f>
        <v/>
      </c>
      <c r="N690" s="19" t="str">
        <f aca="false">IF(I690="","",IF(I690&lt;=M690,"OK","ALTA"))</f>
        <v/>
      </c>
      <c r="O690" s="13"/>
    </row>
    <row r="691" customFormat="false" ht="15" hidden="false" customHeight="false" outlineLevel="0" collapsed="false">
      <c r="A691" s="11" t="str">
        <f aca="false">IF(C691="","",ROW()-4)</f>
        <v/>
      </c>
      <c r="B691" s="12"/>
      <c r="C691" s="13"/>
      <c r="D691" s="11" t="str">
        <f aca="false">IF(C691="","",IFERROR(INDEX(LOTES!$D$5:$D$1004,MATCH(C691,LOTES!$F$5:$F$1004,0)),"¿Lote?"))</f>
        <v/>
      </c>
      <c r="E691" s="11" t="str">
        <f aca="false">IF(C691="","",IFERROR(INDEX(LOTES!$C$5:$C$1004,MATCH(C691,LOTES!$F$5:$F$1004,0)),""))</f>
        <v/>
      </c>
      <c r="F691" s="27"/>
      <c r="G691" s="27"/>
      <c r="H691" s="27"/>
      <c r="I691" s="20" t="str">
        <f aca="false">IF(AND(ISNUMBER(F691),ISNUMBER(G691),ISNUMBER(H691),F691&gt;G691,H691&gt;0),(F691-H691)/(F691-G691)*1000,"")</f>
        <v/>
      </c>
      <c r="J691" s="17" t="str">
        <f aca="false">IF(AND(ISNUMBER(F691),ISNUMBER(G691),ISNUMBER(H691),F691&gt;G691,H691&gt;0),(F691-H691)/H691,"")</f>
        <v/>
      </c>
      <c r="K691" s="20" t="str">
        <f aca="false">IF(AND(ISNUMBER(F691),ISNUMBER(G691),ISNUMBER(H691),F691&gt;G691,H691&gt;0),H691/(F691-G691)*1000,"")</f>
        <v/>
      </c>
      <c r="L691" s="11" t="str">
        <f aca="false">IF(K691="","",IF(K691&gt;=CONFIG!$E$21,CONFIG!$D$21,IF(K691&gt;=CONFIG!$E$20,CONFIG!$D$20,CONFIG!$D$19)))</f>
        <v/>
      </c>
      <c r="M691" s="20" t="str">
        <f aca="false">IF(K691="","",IF(K691&gt;=CONFIG!$E$21,CONFIG!$F$21,IF(K691&gt;=CONFIG!$E$20,CONFIG!$F$20,CONFIG!$F$19)))</f>
        <v/>
      </c>
      <c r="N691" s="19" t="str">
        <f aca="false">IF(I691="","",IF(I691&lt;=M691,"OK","ALTA"))</f>
        <v/>
      </c>
      <c r="O691" s="13"/>
    </row>
    <row r="692" customFormat="false" ht="15" hidden="false" customHeight="false" outlineLevel="0" collapsed="false">
      <c r="A692" s="11" t="str">
        <f aca="false">IF(C692="","",ROW()-4)</f>
        <v/>
      </c>
      <c r="B692" s="12"/>
      <c r="C692" s="13"/>
      <c r="D692" s="11" t="str">
        <f aca="false">IF(C692="","",IFERROR(INDEX(LOTES!$D$5:$D$1004,MATCH(C692,LOTES!$F$5:$F$1004,0)),"¿Lote?"))</f>
        <v/>
      </c>
      <c r="E692" s="11" t="str">
        <f aca="false">IF(C692="","",IFERROR(INDEX(LOTES!$C$5:$C$1004,MATCH(C692,LOTES!$F$5:$F$1004,0)),""))</f>
        <v/>
      </c>
      <c r="F692" s="27"/>
      <c r="G692" s="27"/>
      <c r="H692" s="27"/>
      <c r="I692" s="20" t="str">
        <f aca="false">IF(AND(ISNUMBER(F692),ISNUMBER(G692),ISNUMBER(H692),F692&gt;G692,H692&gt;0),(F692-H692)/(F692-G692)*1000,"")</f>
        <v/>
      </c>
      <c r="J692" s="17" t="str">
        <f aca="false">IF(AND(ISNUMBER(F692),ISNUMBER(G692),ISNUMBER(H692),F692&gt;G692,H692&gt;0),(F692-H692)/H692,"")</f>
        <v/>
      </c>
      <c r="K692" s="20" t="str">
        <f aca="false">IF(AND(ISNUMBER(F692),ISNUMBER(G692),ISNUMBER(H692),F692&gt;G692,H692&gt;0),H692/(F692-G692)*1000,"")</f>
        <v/>
      </c>
      <c r="L692" s="11" t="str">
        <f aca="false">IF(K692="","",IF(K692&gt;=CONFIG!$E$21,CONFIG!$D$21,IF(K692&gt;=CONFIG!$E$20,CONFIG!$D$20,CONFIG!$D$19)))</f>
        <v/>
      </c>
      <c r="M692" s="20" t="str">
        <f aca="false">IF(K692="","",IF(K692&gt;=CONFIG!$E$21,CONFIG!$F$21,IF(K692&gt;=CONFIG!$E$20,CONFIG!$F$20,CONFIG!$F$19)))</f>
        <v/>
      </c>
      <c r="N692" s="19" t="str">
        <f aca="false">IF(I692="","",IF(I692&lt;=M692,"OK","ALTA"))</f>
        <v/>
      </c>
      <c r="O692" s="13"/>
    </row>
    <row r="693" customFormat="false" ht="15" hidden="false" customHeight="false" outlineLevel="0" collapsed="false">
      <c r="A693" s="11" t="str">
        <f aca="false">IF(C693="","",ROW()-4)</f>
        <v/>
      </c>
      <c r="B693" s="12"/>
      <c r="C693" s="13"/>
      <c r="D693" s="11" t="str">
        <f aca="false">IF(C693="","",IFERROR(INDEX(LOTES!$D$5:$D$1004,MATCH(C693,LOTES!$F$5:$F$1004,0)),"¿Lote?"))</f>
        <v/>
      </c>
      <c r="E693" s="11" t="str">
        <f aca="false">IF(C693="","",IFERROR(INDEX(LOTES!$C$5:$C$1004,MATCH(C693,LOTES!$F$5:$F$1004,0)),""))</f>
        <v/>
      </c>
      <c r="F693" s="27"/>
      <c r="G693" s="27"/>
      <c r="H693" s="27"/>
      <c r="I693" s="20" t="str">
        <f aca="false">IF(AND(ISNUMBER(F693),ISNUMBER(G693),ISNUMBER(H693),F693&gt;G693,H693&gt;0),(F693-H693)/(F693-G693)*1000,"")</f>
        <v/>
      </c>
      <c r="J693" s="17" t="str">
        <f aca="false">IF(AND(ISNUMBER(F693),ISNUMBER(G693),ISNUMBER(H693),F693&gt;G693,H693&gt;0),(F693-H693)/H693,"")</f>
        <v/>
      </c>
      <c r="K693" s="20" t="str">
        <f aca="false">IF(AND(ISNUMBER(F693),ISNUMBER(G693),ISNUMBER(H693),F693&gt;G693,H693&gt;0),H693/(F693-G693)*1000,"")</f>
        <v/>
      </c>
      <c r="L693" s="11" t="str">
        <f aca="false">IF(K693="","",IF(K693&gt;=CONFIG!$E$21,CONFIG!$D$21,IF(K693&gt;=CONFIG!$E$20,CONFIG!$D$20,CONFIG!$D$19)))</f>
        <v/>
      </c>
      <c r="M693" s="20" t="str">
        <f aca="false">IF(K693="","",IF(K693&gt;=CONFIG!$E$21,CONFIG!$F$21,IF(K693&gt;=CONFIG!$E$20,CONFIG!$F$20,CONFIG!$F$19)))</f>
        <v/>
      </c>
      <c r="N693" s="19" t="str">
        <f aca="false">IF(I693="","",IF(I693&lt;=M693,"OK","ALTA"))</f>
        <v/>
      </c>
      <c r="O693" s="13"/>
    </row>
    <row r="694" customFormat="false" ht="15" hidden="false" customHeight="false" outlineLevel="0" collapsed="false">
      <c r="A694" s="11" t="str">
        <f aca="false">IF(C694="","",ROW()-4)</f>
        <v/>
      </c>
      <c r="B694" s="12"/>
      <c r="C694" s="13"/>
      <c r="D694" s="11" t="str">
        <f aca="false">IF(C694="","",IFERROR(INDEX(LOTES!$D$5:$D$1004,MATCH(C694,LOTES!$F$5:$F$1004,0)),"¿Lote?"))</f>
        <v/>
      </c>
      <c r="E694" s="11" t="str">
        <f aca="false">IF(C694="","",IFERROR(INDEX(LOTES!$C$5:$C$1004,MATCH(C694,LOTES!$F$5:$F$1004,0)),""))</f>
        <v/>
      </c>
      <c r="F694" s="27"/>
      <c r="G694" s="27"/>
      <c r="H694" s="27"/>
      <c r="I694" s="20" t="str">
        <f aca="false">IF(AND(ISNUMBER(F694),ISNUMBER(G694),ISNUMBER(H694),F694&gt;G694,H694&gt;0),(F694-H694)/(F694-G694)*1000,"")</f>
        <v/>
      </c>
      <c r="J694" s="17" t="str">
        <f aca="false">IF(AND(ISNUMBER(F694),ISNUMBER(G694),ISNUMBER(H694),F694&gt;G694,H694&gt;0),(F694-H694)/H694,"")</f>
        <v/>
      </c>
      <c r="K694" s="20" t="str">
        <f aca="false">IF(AND(ISNUMBER(F694),ISNUMBER(G694),ISNUMBER(H694),F694&gt;G694,H694&gt;0),H694/(F694-G694)*1000,"")</f>
        <v/>
      </c>
      <c r="L694" s="11" t="str">
        <f aca="false">IF(K694="","",IF(K694&gt;=CONFIG!$E$21,CONFIG!$D$21,IF(K694&gt;=CONFIG!$E$20,CONFIG!$D$20,CONFIG!$D$19)))</f>
        <v/>
      </c>
      <c r="M694" s="20" t="str">
        <f aca="false">IF(K694="","",IF(K694&gt;=CONFIG!$E$21,CONFIG!$F$21,IF(K694&gt;=CONFIG!$E$20,CONFIG!$F$20,CONFIG!$F$19)))</f>
        <v/>
      </c>
      <c r="N694" s="19" t="str">
        <f aca="false">IF(I694="","",IF(I694&lt;=M694,"OK","ALTA"))</f>
        <v/>
      </c>
      <c r="O694" s="13"/>
    </row>
    <row r="695" customFormat="false" ht="15" hidden="false" customHeight="false" outlineLevel="0" collapsed="false">
      <c r="A695" s="11" t="str">
        <f aca="false">IF(C695="","",ROW()-4)</f>
        <v/>
      </c>
      <c r="B695" s="12"/>
      <c r="C695" s="13"/>
      <c r="D695" s="11" t="str">
        <f aca="false">IF(C695="","",IFERROR(INDEX(LOTES!$D$5:$D$1004,MATCH(C695,LOTES!$F$5:$F$1004,0)),"¿Lote?"))</f>
        <v/>
      </c>
      <c r="E695" s="11" t="str">
        <f aca="false">IF(C695="","",IFERROR(INDEX(LOTES!$C$5:$C$1004,MATCH(C695,LOTES!$F$5:$F$1004,0)),""))</f>
        <v/>
      </c>
      <c r="F695" s="27"/>
      <c r="G695" s="27"/>
      <c r="H695" s="27"/>
      <c r="I695" s="20" t="str">
        <f aca="false">IF(AND(ISNUMBER(F695),ISNUMBER(G695),ISNUMBER(H695),F695&gt;G695,H695&gt;0),(F695-H695)/(F695-G695)*1000,"")</f>
        <v/>
      </c>
      <c r="J695" s="17" t="str">
        <f aca="false">IF(AND(ISNUMBER(F695),ISNUMBER(G695),ISNUMBER(H695),F695&gt;G695,H695&gt;0),(F695-H695)/H695,"")</f>
        <v/>
      </c>
      <c r="K695" s="20" t="str">
        <f aca="false">IF(AND(ISNUMBER(F695),ISNUMBER(G695),ISNUMBER(H695),F695&gt;G695,H695&gt;0),H695/(F695-G695)*1000,"")</f>
        <v/>
      </c>
      <c r="L695" s="11" t="str">
        <f aca="false">IF(K695="","",IF(K695&gt;=CONFIG!$E$21,CONFIG!$D$21,IF(K695&gt;=CONFIG!$E$20,CONFIG!$D$20,CONFIG!$D$19)))</f>
        <v/>
      </c>
      <c r="M695" s="20" t="str">
        <f aca="false">IF(K695="","",IF(K695&gt;=CONFIG!$E$21,CONFIG!$F$21,IF(K695&gt;=CONFIG!$E$20,CONFIG!$F$20,CONFIG!$F$19)))</f>
        <v/>
      </c>
      <c r="N695" s="19" t="str">
        <f aca="false">IF(I695="","",IF(I695&lt;=M695,"OK","ALTA"))</f>
        <v/>
      </c>
      <c r="O695" s="13"/>
    </row>
    <row r="696" customFormat="false" ht="15" hidden="false" customHeight="false" outlineLevel="0" collapsed="false">
      <c r="A696" s="11" t="str">
        <f aca="false">IF(C696="","",ROW()-4)</f>
        <v/>
      </c>
      <c r="B696" s="12"/>
      <c r="C696" s="13"/>
      <c r="D696" s="11" t="str">
        <f aca="false">IF(C696="","",IFERROR(INDEX(LOTES!$D$5:$D$1004,MATCH(C696,LOTES!$F$5:$F$1004,0)),"¿Lote?"))</f>
        <v/>
      </c>
      <c r="E696" s="11" t="str">
        <f aca="false">IF(C696="","",IFERROR(INDEX(LOTES!$C$5:$C$1004,MATCH(C696,LOTES!$F$5:$F$1004,0)),""))</f>
        <v/>
      </c>
      <c r="F696" s="27"/>
      <c r="G696" s="27"/>
      <c r="H696" s="27"/>
      <c r="I696" s="20" t="str">
        <f aca="false">IF(AND(ISNUMBER(F696),ISNUMBER(G696),ISNUMBER(H696),F696&gt;G696,H696&gt;0),(F696-H696)/(F696-G696)*1000,"")</f>
        <v/>
      </c>
      <c r="J696" s="17" t="str">
        <f aca="false">IF(AND(ISNUMBER(F696),ISNUMBER(G696),ISNUMBER(H696),F696&gt;G696,H696&gt;0),(F696-H696)/H696,"")</f>
        <v/>
      </c>
      <c r="K696" s="20" t="str">
        <f aca="false">IF(AND(ISNUMBER(F696),ISNUMBER(G696),ISNUMBER(H696),F696&gt;G696,H696&gt;0),H696/(F696-G696)*1000,"")</f>
        <v/>
      </c>
      <c r="L696" s="11" t="str">
        <f aca="false">IF(K696="","",IF(K696&gt;=CONFIG!$E$21,CONFIG!$D$21,IF(K696&gt;=CONFIG!$E$20,CONFIG!$D$20,CONFIG!$D$19)))</f>
        <v/>
      </c>
      <c r="M696" s="20" t="str">
        <f aca="false">IF(K696="","",IF(K696&gt;=CONFIG!$E$21,CONFIG!$F$21,IF(K696&gt;=CONFIG!$E$20,CONFIG!$F$20,CONFIG!$F$19)))</f>
        <v/>
      </c>
      <c r="N696" s="19" t="str">
        <f aca="false">IF(I696="","",IF(I696&lt;=M696,"OK","ALTA"))</f>
        <v/>
      </c>
      <c r="O696" s="13"/>
    </row>
    <row r="697" customFormat="false" ht="15" hidden="false" customHeight="false" outlineLevel="0" collapsed="false">
      <c r="A697" s="11" t="str">
        <f aca="false">IF(C697="","",ROW()-4)</f>
        <v/>
      </c>
      <c r="B697" s="12"/>
      <c r="C697" s="13"/>
      <c r="D697" s="11" t="str">
        <f aca="false">IF(C697="","",IFERROR(INDEX(LOTES!$D$5:$D$1004,MATCH(C697,LOTES!$F$5:$F$1004,0)),"¿Lote?"))</f>
        <v/>
      </c>
      <c r="E697" s="11" t="str">
        <f aca="false">IF(C697="","",IFERROR(INDEX(LOTES!$C$5:$C$1004,MATCH(C697,LOTES!$F$5:$F$1004,0)),""))</f>
        <v/>
      </c>
      <c r="F697" s="27"/>
      <c r="G697" s="27"/>
      <c r="H697" s="27"/>
      <c r="I697" s="20" t="str">
        <f aca="false">IF(AND(ISNUMBER(F697),ISNUMBER(G697),ISNUMBER(H697),F697&gt;G697,H697&gt;0),(F697-H697)/(F697-G697)*1000,"")</f>
        <v/>
      </c>
      <c r="J697" s="17" t="str">
        <f aca="false">IF(AND(ISNUMBER(F697),ISNUMBER(G697),ISNUMBER(H697),F697&gt;G697,H697&gt;0),(F697-H697)/H697,"")</f>
        <v/>
      </c>
      <c r="K697" s="20" t="str">
        <f aca="false">IF(AND(ISNUMBER(F697),ISNUMBER(G697),ISNUMBER(H697),F697&gt;G697,H697&gt;0),H697/(F697-G697)*1000,"")</f>
        <v/>
      </c>
      <c r="L697" s="11" t="str">
        <f aca="false">IF(K697="","",IF(K697&gt;=CONFIG!$E$21,CONFIG!$D$21,IF(K697&gt;=CONFIG!$E$20,CONFIG!$D$20,CONFIG!$D$19)))</f>
        <v/>
      </c>
      <c r="M697" s="20" t="str">
        <f aca="false">IF(K697="","",IF(K697&gt;=CONFIG!$E$21,CONFIG!$F$21,IF(K697&gt;=CONFIG!$E$20,CONFIG!$F$20,CONFIG!$F$19)))</f>
        <v/>
      </c>
      <c r="N697" s="19" t="str">
        <f aca="false">IF(I697="","",IF(I697&lt;=M697,"OK","ALTA"))</f>
        <v/>
      </c>
      <c r="O697" s="13"/>
    </row>
    <row r="698" customFormat="false" ht="15" hidden="false" customHeight="false" outlineLevel="0" collapsed="false">
      <c r="A698" s="11" t="str">
        <f aca="false">IF(C698="","",ROW()-4)</f>
        <v/>
      </c>
      <c r="B698" s="12"/>
      <c r="C698" s="13"/>
      <c r="D698" s="11" t="str">
        <f aca="false">IF(C698="","",IFERROR(INDEX(LOTES!$D$5:$D$1004,MATCH(C698,LOTES!$F$5:$F$1004,0)),"¿Lote?"))</f>
        <v/>
      </c>
      <c r="E698" s="11" t="str">
        <f aca="false">IF(C698="","",IFERROR(INDEX(LOTES!$C$5:$C$1004,MATCH(C698,LOTES!$F$5:$F$1004,0)),""))</f>
        <v/>
      </c>
      <c r="F698" s="27"/>
      <c r="G698" s="27"/>
      <c r="H698" s="27"/>
      <c r="I698" s="20" t="str">
        <f aca="false">IF(AND(ISNUMBER(F698),ISNUMBER(G698),ISNUMBER(H698),F698&gt;G698,H698&gt;0),(F698-H698)/(F698-G698)*1000,"")</f>
        <v/>
      </c>
      <c r="J698" s="17" t="str">
        <f aca="false">IF(AND(ISNUMBER(F698),ISNUMBER(G698),ISNUMBER(H698),F698&gt;G698,H698&gt;0),(F698-H698)/H698,"")</f>
        <v/>
      </c>
      <c r="K698" s="20" t="str">
        <f aca="false">IF(AND(ISNUMBER(F698),ISNUMBER(G698),ISNUMBER(H698),F698&gt;G698,H698&gt;0),H698/(F698-G698)*1000,"")</f>
        <v/>
      </c>
      <c r="L698" s="11" t="str">
        <f aca="false">IF(K698="","",IF(K698&gt;=CONFIG!$E$21,CONFIG!$D$21,IF(K698&gt;=CONFIG!$E$20,CONFIG!$D$20,CONFIG!$D$19)))</f>
        <v/>
      </c>
      <c r="M698" s="20" t="str">
        <f aca="false">IF(K698="","",IF(K698&gt;=CONFIG!$E$21,CONFIG!$F$21,IF(K698&gt;=CONFIG!$E$20,CONFIG!$F$20,CONFIG!$F$19)))</f>
        <v/>
      </c>
      <c r="N698" s="19" t="str">
        <f aca="false">IF(I698="","",IF(I698&lt;=M698,"OK","ALTA"))</f>
        <v/>
      </c>
      <c r="O698" s="13"/>
    </row>
    <row r="699" customFormat="false" ht="15" hidden="false" customHeight="false" outlineLevel="0" collapsed="false">
      <c r="A699" s="11" t="str">
        <f aca="false">IF(C699="","",ROW()-4)</f>
        <v/>
      </c>
      <c r="B699" s="12"/>
      <c r="C699" s="13"/>
      <c r="D699" s="11" t="str">
        <f aca="false">IF(C699="","",IFERROR(INDEX(LOTES!$D$5:$D$1004,MATCH(C699,LOTES!$F$5:$F$1004,0)),"¿Lote?"))</f>
        <v/>
      </c>
      <c r="E699" s="11" t="str">
        <f aca="false">IF(C699="","",IFERROR(INDEX(LOTES!$C$5:$C$1004,MATCH(C699,LOTES!$F$5:$F$1004,0)),""))</f>
        <v/>
      </c>
      <c r="F699" s="27"/>
      <c r="G699" s="27"/>
      <c r="H699" s="27"/>
      <c r="I699" s="20" t="str">
        <f aca="false">IF(AND(ISNUMBER(F699),ISNUMBER(G699),ISNUMBER(H699),F699&gt;G699,H699&gt;0),(F699-H699)/(F699-G699)*1000,"")</f>
        <v/>
      </c>
      <c r="J699" s="17" t="str">
        <f aca="false">IF(AND(ISNUMBER(F699),ISNUMBER(G699),ISNUMBER(H699),F699&gt;G699,H699&gt;0),(F699-H699)/H699,"")</f>
        <v/>
      </c>
      <c r="K699" s="20" t="str">
        <f aca="false">IF(AND(ISNUMBER(F699),ISNUMBER(G699),ISNUMBER(H699),F699&gt;G699,H699&gt;0),H699/(F699-G699)*1000,"")</f>
        <v/>
      </c>
      <c r="L699" s="11" t="str">
        <f aca="false">IF(K699="","",IF(K699&gt;=CONFIG!$E$21,CONFIG!$D$21,IF(K699&gt;=CONFIG!$E$20,CONFIG!$D$20,CONFIG!$D$19)))</f>
        <v/>
      </c>
      <c r="M699" s="20" t="str">
        <f aca="false">IF(K699="","",IF(K699&gt;=CONFIG!$E$21,CONFIG!$F$21,IF(K699&gt;=CONFIG!$E$20,CONFIG!$F$20,CONFIG!$F$19)))</f>
        <v/>
      </c>
      <c r="N699" s="19" t="str">
        <f aca="false">IF(I699="","",IF(I699&lt;=M699,"OK","ALTA"))</f>
        <v/>
      </c>
      <c r="O699" s="13"/>
    </row>
    <row r="700" customFormat="false" ht="15" hidden="false" customHeight="false" outlineLevel="0" collapsed="false">
      <c r="A700" s="11" t="str">
        <f aca="false">IF(C700="","",ROW()-4)</f>
        <v/>
      </c>
      <c r="B700" s="12"/>
      <c r="C700" s="13"/>
      <c r="D700" s="11" t="str">
        <f aca="false">IF(C700="","",IFERROR(INDEX(LOTES!$D$5:$D$1004,MATCH(C700,LOTES!$F$5:$F$1004,0)),"¿Lote?"))</f>
        <v/>
      </c>
      <c r="E700" s="11" t="str">
        <f aca="false">IF(C700="","",IFERROR(INDEX(LOTES!$C$5:$C$1004,MATCH(C700,LOTES!$F$5:$F$1004,0)),""))</f>
        <v/>
      </c>
      <c r="F700" s="27"/>
      <c r="G700" s="27"/>
      <c r="H700" s="27"/>
      <c r="I700" s="20" t="str">
        <f aca="false">IF(AND(ISNUMBER(F700),ISNUMBER(G700),ISNUMBER(H700),F700&gt;G700,H700&gt;0),(F700-H700)/(F700-G700)*1000,"")</f>
        <v/>
      </c>
      <c r="J700" s="17" t="str">
        <f aca="false">IF(AND(ISNUMBER(F700),ISNUMBER(G700),ISNUMBER(H700),F700&gt;G700,H700&gt;0),(F700-H700)/H700,"")</f>
        <v/>
      </c>
      <c r="K700" s="20" t="str">
        <f aca="false">IF(AND(ISNUMBER(F700),ISNUMBER(G700),ISNUMBER(H700),F700&gt;G700,H700&gt;0),H700/(F700-G700)*1000,"")</f>
        <v/>
      </c>
      <c r="L700" s="11" t="str">
        <f aca="false">IF(K700="","",IF(K700&gt;=CONFIG!$E$21,CONFIG!$D$21,IF(K700&gt;=CONFIG!$E$20,CONFIG!$D$20,CONFIG!$D$19)))</f>
        <v/>
      </c>
      <c r="M700" s="20" t="str">
        <f aca="false">IF(K700="","",IF(K700&gt;=CONFIG!$E$21,CONFIG!$F$21,IF(K700&gt;=CONFIG!$E$20,CONFIG!$F$20,CONFIG!$F$19)))</f>
        <v/>
      </c>
      <c r="N700" s="19" t="str">
        <f aca="false">IF(I700="","",IF(I700&lt;=M700,"OK","ALTA"))</f>
        <v/>
      </c>
      <c r="O700" s="13"/>
    </row>
    <row r="701" customFormat="false" ht="15" hidden="false" customHeight="false" outlineLevel="0" collapsed="false">
      <c r="A701" s="11" t="str">
        <f aca="false">IF(C701="","",ROW()-4)</f>
        <v/>
      </c>
      <c r="B701" s="12"/>
      <c r="C701" s="13"/>
      <c r="D701" s="11" t="str">
        <f aca="false">IF(C701="","",IFERROR(INDEX(LOTES!$D$5:$D$1004,MATCH(C701,LOTES!$F$5:$F$1004,0)),"¿Lote?"))</f>
        <v/>
      </c>
      <c r="E701" s="11" t="str">
        <f aca="false">IF(C701="","",IFERROR(INDEX(LOTES!$C$5:$C$1004,MATCH(C701,LOTES!$F$5:$F$1004,0)),""))</f>
        <v/>
      </c>
      <c r="F701" s="27"/>
      <c r="G701" s="27"/>
      <c r="H701" s="27"/>
      <c r="I701" s="20" t="str">
        <f aca="false">IF(AND(ISNUMBER(F701),ISNUMBER(G701),ISNUMBER(H701),F701&gt;G701,H701&gt;0),(F701-H701)/(F701-G701)*1000,"")</f>
        <v/>
      </c>
      <c r="J701" s="17" t="str">
        <f aca="false">IF(AND(ISNUMBER(F701),ISNUMBER(G701),ISNUMBER(H701),F701&gt;G701,H701&gt;0),(F701-H701)/H701,"")</f>
        <v/>
      </c>
      <c r="K701" s="20" t="str">
        <f aca="false">IF(AND(ISNUMBER(F701),ISNUMBER(G701),ISNUMBER(H701),F701&gt;G701,H701&gt;0),H701/(F701-G701)*1000,"")</f>
        <v/>
      </c>
      <c r="L701" s="11" t="str">
        <f aca="false">IF(K701="","",IF(K701&gt;=CONFIG!$E$21,CONFIG!$D$21,IF(K701&gt;=CONFIG!$E$20,CONFIG!$D$20,CONFIG!$D$19)))</f>
        <v/>
      </c>
      <c r="M701" s="20" t="str">
        <f aca="false">IF(K701="","",IF(K701&gt;=CONFIG!$E$21,CONFIG!$F$21,IF(K701&gt;=CONFIG!$E$20,CONFIG!$F$20,CONFIG!$F$19)))</f>
        <v/>
      </c>
      <c r="N701" s="19" t="str">
        <f aca="false">IF(I701="","",IF(I701&lt;=M701,"OK","ALTA"))</f>
        <v/>
      </c>
      <c r="O701" s="13"/>
    </row>
    <row r="702" customFormat="false" ht="15" hidden="false" customHeight="false" outlineLevel="0" collapsed="false">
      <c r="A702" s="11" t="str">
        <f aca="false">IF(C702="","",ROW()-4)</f>
        <v/>
      </c>
      <c r="B702" s="12"/>
      <c r="C702" s="13"/>
      <c r="D702" s="11" t="str">
        <f aca="false">IF(C702="","",IFERROR(INDEX(LOTES!$D$5:$D$1004,MATCH(C702,LOTES!$F$5:$F$1004,0)),"¿Lote?"))</f>
        <v/>
      </c>
      <c r="E702" s="11" t="str">
        <f aca="false">IF(C702="","",IFERROR(INDEX(LOTES!$C$5:$C$1004,MATCH(C702,LOTES!$F$5:$F$1004,0)),""))</f>
        <v/>
      </c>
      <c r="F702" s="27"/>
      <c r="G702" s="27"/>
      <c r="H702" s="27"/>
      <c r="I702" s="20" t="str">
        <f aca="false">IF(AND(ISNUMBER(F702),ISNUMBER(G702),ISNUMBER(H702),F702&gt;G702,H702&gt;0),(F702-H702)/(F702-G702)*1000,"")</f>
        <v/>
      </c>
      <c r="J702" s="17" t="str">
        <f aca="false">IF(AND(ISNUMBER(F702),ISNUMBER(G702),ISNUMBER(H702),F702&gt;G702,H702&gt;0),(F702-H702)/H702,"")</f>
        <v/>
      </c>
      <c r="K702" s="20" t="str">
        <f aca="false">IF(AND(ISNUMBER(F702),ISNUMBER(G702),ISNUMBER(H702),F702&gt;G702,H702&gt;0),H702/(F702-G702)*1000,"")</f>
        <v/>
      </c>
      <c r="L702" s="11" t="str">
        <f aca="false">IF(K702="","",IF(K702&gt;=CONFIG!$E$21,CONFIG!$D$21,IF(K702&gt;=CONFIG!$E$20,CONFIG!$D$20,CONFIG!$D$19)))</f>
        <v/>
      </c>
      <c r="M702" s="20" t="str">
        <f aca="false">IF(K702="","",IF(K702&gt;=CONFIG!$E$21,CONFIG!$F$21,IF(K702&gt;=CONFIG!$E$20,CONFIG!$F$20,CONFIG!$F$19)))</f>
        <v/>
      </c>
      <c r="N702" s="19" t="str">
        <f aca="false">IF(I702="","",IF(I702&lt;=M702,"OK","ALTA"))</f>
        <v/>
      </c>
      <c r="O702" s="13"/>
    </row>
    <row r="703" customFormat="false" ht="15" hidden="false" customHeight="false" outlineLevel="0" collapsed="false">
      <c r="A703" s="11" t="str">
        <f aca="false">IF(C703="","",ROW()-4)</f>
        <v/>
      </c>
      <c r="B703" s="12"/>
      <c r="C703" s="13"/>
      <c r="D703" s="11" t="str">
        <f aca="false">IF(C703="","",IFERROR(INDEX(LOTES!$D$5:$D$1004,MATCH(C703,LOTES!$F$5:$F$1004,0)),"¿Lote?"))</f>
        <v/>
      </c>
      <c r="E703" s="11" t="str">
        <f aca="false">IF(C703="","",IFERROR(INDEX(LOTES!$C$5:$C$1004,MATCH(C703,LOTES!$F$5:$F$1004,0)),""))</f>
        <v/>
      </c>
      <c r="F703" s="27"/>
      <c r="G703" s="27"/>
      <c r="H703" s="27"/>
      <c r="I703" s="20" t="str">
        <f aca="false">IF(AND(ISNUMBER(F703),ISNUMBER(G703),ISNUMBER(H703),F703&gt;G703,H703&gt;0),(F703-H703)/(F703-G703)*1000,"")</f>
        <v/>
      </c>
      <c r="J703" s="17" t="str">
        <f aca="false">IF(AND(ISNUMBER(F703),ISNUMBER(G703),ISNUMBER(H703),F703&gt;G703,H703&gt;0),(F703-H703)/H703,"")</f>
        <v/>
      </c>
      <c r="K703" s="20" t="str">
        <f aca="false">IF(AND(ISNUMBER(F703),ISNUMBER(G703),ISNUMBER(H703),F703&gt;G703,H703&gt;0),H703/(F703-G703)*1000,"")</f>
        <v/>
      </c>
      <c r="L703" s="11" t="str">
        <f aca="false">IF(K703="","",IF(K703&gt;=CONFIG!$E$21,CONFIG!$D$21,IF(K703&gt;=CONFIG!$E$20,CONFIG!$D$20,CONFIG!$D$19)))</f>
        <v/>
      </c>
      <c r="M703" s="20" t="str">
        <f aca="false">IF(K703="","",IF(K703&gt;=CONFIG!$E$21,CONFIG!$F$21,IF(K703&gt;=CONFIG!$E$20,CONFIG!$F$20,CONFIG!$F$19)))</f>
        <v/>
      </c>
      <c r="N703" s="19" t="str">
        <f aca="false">IF(I703="","",IF(I703&lt;=M703,"OK","ALTA"))</f>
        <v/>
      </c>
      <c r="O703" s="13"/>
    </row>
    <row r="704" customFormat="false" ht="15" hidden="false" customHeight="false" outlineLevel="0" collapsed="false">
      <c r="A704" s="11" t="str">
        <f aca="false">IF(C704="","",ROW()-4)</f>
        <v/>
      </c>
      <c r="B704" s="12"/>
      <c r="C704" s="13"/>
      <c r="D704" s="11" t="str">
        <f aca="false">IF(C704="","",IFERROR(INDEX(LOTES!$D$5:$D$1004,MATCH(C704,LOTES!$F$5:$F$1004,0)),"¿Lote?"))</f>
        <v/>
      </c>
      <c r="E704" s="11" t="str">
        <f aca="false">IF(C704="","",IFERROR(INDEX(LOTES!$C$5:$C$1004,MATCH(C704,LOTES!$F$5:$F$1004,0)),""))</f>
        <v/>
      </c>
      <c r="F704" s="27"/>
      <c r="G704" s="27"/>
      <c r="H704" s="27"/>
      <c r="I704" s="20" t="str">
        <f aca="false">IF(AND(ISNUMBER(F704),ISNUMBER(G704),ISNUMBER(H704),F704&gt;G704,H704&gt;0),(F704-H704)/(F704-G704)*1000,"")</f>
        <v/>
      </c>
      <c r="J704" s="17" t="str">
        <f aca="false">IF(AND(ISNUMBER(F704),ISNUMBER(G704),ISNUMBER(H704),F704&gt;G704,H704&gt;0),(F704-H704)/H704,"")</f>
        <v/>
      </c>
      <c r="K704" s="20" t="str">
        <f aca="false">IF(AND(ISNUMBER(F704),ISNUMBER(G704),ISNUMBER(H704),F704&gt;G704,H704&gt;0),H704/(F704-G704)*1000,"")</f>
        <v/>
      </c>
      <c r="L704" s="11" t="str">
        <f aca="false">IF(K704="","",IF(K704&gt;=CONFIG!$E$21,CONFIG!$D$21,IF(K704&gt;=CONFIG!$E$20,CONFIG!$D$20,CONFIG!$D$19)))</f>
        <v/>
      </c>
      <c r="M704" s="20" t="str">
        <f aca="false">IF(K704="","",IF(K704&gt;=CONFIG!$E$21,CONFIG!$F$21,IF(K704&gt;=CONFIG!$E$20,CONFIG!$F$20,CONFIG!$F$19)))</f>
        <v/>
      </c>
      <c r="N704" s="19" t="str">
        <f aca="false">IF(I704="","",IF(I704&lt;=M704,"OK","ALTA"))</f>
        <v/>
      </c>
      <c r="O704" s="13"/>
    </row>
    <row r="705" customFormat="false" ht="15" hidden="false" customHeight="false" outlineLevel="0" collapsed="false">
      <c r="A705" s="11" t="str">
        <f aca="false">IF(C705="","",ROW()-4)</f>
        <v/>
      </c>
      <c r="B705" s="12"/>
      <c r="C705" s="13"/>
      <c r="D705" s="11" t="str">
        <f aca="false">IF(C705="","",IFERROR(INDEX(LOTES!$D$5:$D$1004,MATCH(C705,LOTES!$F$5:$F$1004,0)),"¿Lote?"))</f>
        <v/>
      </c>
      <c r="E705" s="11" t="str">
        <f aca="false">IF(C705="","",IFERROR(INDEX(LOTES!$C$5:$C$1004,MATCH(C705,LOTES!$F$5:$F$1004,0)),""))</f>
        <v/>
      </c>
      <c r="F705" s="27"/>
      <c r="G705" s="27"/>
      <c r="H705" s="27"/>
      <c r="I705" s="20" t="str">
        <f aca="false">IF(AND(ISNUMBER(F705),ISNUMBER(G705),ISNUMBER(H705),F705&gt;G705,H705&gt;0),(F705-H705)/(F705-G705)*1000,"")</f>
        <v/>
      </c>
      <c r="J705" s="17" t="str">
        <f aca="false">IF(AND(ISNUMBER(F705),ISNUMBER(G705),ISNUMBER(H705),F705&gt;G705,H705&gt;0),(F705-H705)/H705,"")</f>
        <v/>
      </c>
      <c r="K705" s="20" t="str">
        <f aca="false">IF(AND(ISNUMBER(F705),ISNUMBER(G705),ISNUMBER(H705),F705&gt;G705,H705&gt;0),H705/(F705-G705)*1000,"")</f>
        <v/>
      </c>
      <c r="L705" s="11" t="str">
        <f aca="false">IF(K705="","",IF(K705&gt;=CONFIG!$E$21,CONFIG!$D$21,IF(K705&gt;=CONFIG!$E$20,CONFIG!$D$20,CONFIG!$D$19)))</f>
        <v/>
      </c>
      <c r="M705" s="20" t="str">
        <f aca="false">IF(K705="","",IF(K705&gt;=CONFIG!$E$21,CONFIG!$F$21,IF(K705&gt;=CONFIG!$E$20,CONFIG!$F$20,CONFIG!$F$19)))</f>
        <v/>
      </c>
      <c r="N705" s="19" t="str">
        <f aca="false">IF(I705="","",IF(I705&lt;=M705,"OK","ALTA"))</f>
        <v/>
      </c>
      <c r="O705" s="13"/>
    </row>
    <row r="706" customFormat="false" ht="15" hidden="false" customHeight="false" outlineLevel="0" collapsed="false">
      <c r="A706" s="11" t="str">
        <f aca="false">IF(C706="","",ROW()-4)</f>
        <v/>
      </c>
      <c r="B706" s="12"/>
      <c r="C706" s="13"/>
      <c r="D706" s="11" t="str">
        <f aca="false">IF(C706="","",IFERROR(INDEX(LOTES!$D$5:$D$1004,MATCH(C706,LOTES!$F$5:$F$1004,0)),"¿Lote?"))</f>
        <v/>
      </c>
      <c r="E706" s="11" t="str">
        <f aca="false">IF(C706="","",IFERROR(INDEX(LOTES!$C$5:$C$1004,MATCH(C706,LOTES!$F$5:$F$1004,0)),""))</f>
        <v/>
      </c>
      <c r="F706" s="27"/>
      <c r="G706" s="27"/>
      <c r="H706" s="27"/>
      <c r="I706" s="20" t="str">
        <f aca="false">IF(AND(ISNUMBER(F706),ISNUMBER(G706),ISNUMBER(H706),F706&gt;G706,H706&gt;0),(F706-H706)/(F706-G706)*1000,"")</f>
        <v/>
      </c>
      <c r="J706" s="17" t="str">
        <f aca="false">IF(AND(ISNUMBER(F706),ISNUMBER(G706),ISNUMBER(H706),F706&gt;G706,H706&gt;0),(F706-H706)/H706,"")</f>
        <v/>
      </c>
      <c r="K706" s="20" t="str">
        <f aca="false">IF(AND(ISNUMBER(F706),ISNUMBER(G706),ISNUMBER(H706),F706&gt;G706,H706&gt;0),H706/(F706-G706)*1000,"")</f>
        <v/>
      </c>
      <c r="L706" s="11" t="str">
        <f aca="false">IF(K706="","",IF(K706&gt;=CONFIG!$E$21,CONFIG!$D$21,IF(K706&gt;=CONFIG!$E$20,CONFIG!$D$20,CONFIG!$D$19)))</f>
        <v/>
      </c>
      <c r="M706" s="20" t="str">
        <f aca="false">IF(K706="","",IF(K706&gt;=CONFIG!$E$21,CONFIG!$F$21,IF(K706&gt;=CONFIG!$E$20,CONFIG!$F$20,CONFIG!$F$19)))</f>
        <v/>
      </c>
      <c r="N706" s="19" t="str">
        <f aca="false">IF(I706="","",IF(I706&lt;=M706,"OK","ALTA"))</f>
        <v/>
      </c>
      <c r="O706" s="13"/>
    </row>
    <row r="707" customFormat="false" ht="15" hidden="false" customHeight="false" outlineLevel="0" collapsed="false">
      <c r="A707" s="11" t="str">
        <f aca="false">IF(C707="","",ROW()-4)</f>
        <v/>
      </c>
      <c r="B707" s="12"/>
      <c r="C707" s="13"/>
      <c r="D707" s="11" t="str">
        <f aca="false">IF(C707="","",IFERROR(INDEX(LOTES!$D$5:$D$1004,MATCH(C707,LOTES!$F$5:$F$1004,0)),"¿Lote?"))</f>
        <v/>
      </c>
      <c r="E707" s="11" t="str">
        <f aca="false">IF(C707="","",IFERROR(INDEX(LOTES!$C$5:$C$1004,MATCH(C707,LOTES!$F$5:$F$1004,0)),""))</f>
        <v/>
      </c>
      <c r="F707" s="27"/>
      <c r="G707" s="27"/>
      <c r="H707" s="27"/>
      <c r="I707" s="20" t="str">
        <f aca="false">IF(AND(ISNUMBER(F707),ISNUMBER(G707),ISNUMBER(H707),F707&gt;G707,H707&gt;0),(F707-H707)/(F707-G707)*1000,"")</f>
        <v/>
      </c>
      <c r="J707" s="17" t="str">
        <f aca="false">IF(AND(ISNUMBER(F707),ISNUMBER(G707),ISNUMBER(H707),F707&gt;G707,H707&gt;0),(F707-H707)/H707,"")</f>
        <v/>
      </c>
      <c r="K707" s="20" t="str">
        <f aca="false">IF(AND(ISNUMBER(F707),ISNUMBER(G707),ISNUMBER(H707),F707&gt;G707,H707&gt;0),H707/(F707-G707)*1000,"")</f>
        <v/>
      </c>
      <c r="L707" s="11" t="str">
        <f aca="false">IF(K707="","",IF(K707&gt;=CONFIG!$E$21,CONFIG!$D$21,IF(K707&gt;=CONFIG!$E$20,CONFIG!$D$20,CONFIG!$D$19)))</f>
        <v/>
      </c>
      <c r="M707" s="20" t="str">
        <f aca="false">IF(K707="","",IF(K707&gt;=CONFIG!$E$21,CONFIG!$F$21,IF(K707&gt;=CONFIG!$E$20,CONFIG!$F$20,CONFIG!$F$19)))</f>
        <v/>
      </c>
      <c r="N707" s="19" t="str">
        <f aca="false">IF(I707="","",IF(I707&lt;=M707,"OK","ALTA"))</f>
        <v/>
      </c>
      <c r="O707" s="13"/>
    </row>
    <row r="708" customFormat="false" ht="15" hidden="false" customHeight="false" outlineLevel="0" collapsed="false">
      <c r="A708" s="11" t="str">
        <f aca="false">IF(C708="","",ROW()-4)</f>
        <v/>
      </c>
      <c r="B708" s="12"/>
      <c r="C708" s="13"/>
      <c r="D708" s="11" t="str">
        <f aca="false">IF(C708="","",IFERROR(INDEX(LOTES!$D$5:$D$1004,MATCH(C708,LOTES!$F$5:$F$1004,0)),"¿Lote?"))</f>
        <v/>
      </c>
      <c r="E708" s="11" t="str">
        <f aca="false">IF(C708="","",IFERROR(INDEX(LOTES!$C$5:$C$1004,MATCH(C708,LOTES!$F$5:$F$1004,0)),""))</f>
        <v/>
      </c>
      <c r="F708" s="27"/>
      <c r="G708" s="27"/>
      <c r="H708" s="27"/>
      <c r="I708" s="20" t="str">
        <f aca="false">IF(AND(ISNUMBER(F708),ISNUMBER(G708),ISNUMBER(H708),F708&gt;G708,H708&gt;0),(F708-H708)/(F708-G708)*1000,"")</f>
        <v/>
      </c>
      <c r="J708" s="17" t="str">
        <f aca="false">IF(AND(ISNUMBER(F708),ISNUMBER(G708),ISNUMBER(H708),F708&gt;G708,H708&gt;0),(F708-H708)/H708,"")</f>
        <v/>
      </c>
      <c r="K708" s="20" t="str">
        <f aca="false">IF(AND(ISNUMBER(F708),ISNUMBER(G708),ISNUMBER(H708),F708&gt;G708,H708&gt;0),H708/(F708-G708)*1000,"")</f>
        <v/>
      </c>
      <c r="L708" s="11" t="str">
        <f aca="false">IF(K708="","",IF(K708&gt;=CONFIG!$E$21,CONFIG!$D$21,IF(K708&gt;=CONFIG!$E$20,CONFIG!$D$20,CONFIG!$D$19)))</f>
        <v/>
      </c>
      <c r="M708" s="20" t="str">
        <f aca="false">IF(K708="","",IF(K708&gt;=CONFIG!$E$21,CONFIG!$F$21,IF(K708&gt;=CONFIG!$E$20,CONFIG!$F$20,CONFIG!$F$19)))</f>
        <v/>
      </c>
      <c r="N708" s="19" t="str">
        <f aca="false">IF(I708="","",IF(I708&lt;=M708,"OK","ALTA"))</f>
        <v/>
      </c>
      <c r="O708" s="13"/>
    </row>
    <row r="709" customFormat="false" ht="15" hidden="false" customHeight="false" outlineLevel="0" collapsed="false">
      <c r="A709" s="11" t="str">
        <f aca="false">IF(C709="","",ROW()-4)</f>
        <v/>
      </c>
      <c r="B709" s="12"/>
      <c r="C709" s="13"/>
      <c r="D709" s="11" t="str">
        <f aca="false">IF(C709="","",IFERROR(INDEX(LOTES!$D$5:$D$1004,MATCH(C709,LOTES!$F$5:$F$1004,0)),"¿Lote?"))</f>
        <v/>
      </c>
      <c r="E709" s="11" t="str">
        <f aca="false">IF(C709="","",IFERROR(INDEX(LOTES!$C$5:$C$1004,MATCH(C709,LOTES!$F$5:$F$1004,0)),""))</f>
        <v/>
      </c>
      <c r="F709" s="27"/>
      <c r="G709" s="27"/>
      <c r="H709" s="27"/>
      <c r="I709" s="20" t="str">
        <f aca="false">IF(AND(ISNUMBER(F709),ISNUMBER(G709),ISNUMBER(H709),F709&gt;G709,H709&gt;0),(F709-H709)/(F709-G709)*1000,"")</f>
        <v/>
      </c>
      <c r="J709" s="17" t="str">
        <f aca="false">IF(AND(ISNUMBER(F709),ISNUMBER(G709),ISNUMBER(H709),F709&gt;G709,H709&gt;0),(F709-H709)/H709,"")</f>
        <v/>
      </c>
      <c r="K709" s="20" t="str">
        <f aca="false">IF(AND(ISNUMBER(F709),ISNUMBER(G709),ISNUMBER(H709),F709&gt;G709,H709&gt;0),H709/(F709-G709)*1000,"")</f>
        <v/>
      </c>
      <c r="L709" s="11" t="str">
        <f aca="false">IF(K709="","",IF(K709&gt;=CONFIG!$E$21,CONFIG!$D$21,IF(K709&gt;=CONFIG!$E$20,CONFIG!$D$20,CONFIG!$D$19)))</f>
        <v/>
      </c>
      <c r="M709" s="20" t="str">
        <f aca="false">IF(K709="","",IF(K709&gt;=CONFIG!$E$21,CONFIG!$F$21,IF(K709&gt;=CONFIG!$E$20,CONFIG!$F$20,CONFIG!$F$19)))</f>
        <v/>
      </c>
      <c r="N709" s="19" t="str">
        <f aca="false">IF(I709="","",IF(I709&lt;=M709,"OK","ALTA"))</f>
        <v/>
      </c>
      <c r="O709" s="13"/>
    </row>
    <row r="710" customFormat="false" ht="15" hidden="false" customHeight="false" outlineLevel="0" collapsed="false">
      <c r="A710" s="11" t="str">
        <f aca="false">IF(C710="","",ROW()-4)</f>
        <v/>
      </c>
      <c r="B710" s="12"/>
      <c r="C710" s="13"/>
      <c r="D710" s="11" t="str">
        <f aca="false">IF(C710="","",IFERROR(INDEX(LOTES!$D$5:$D$1004,MATCH(C710,LOTES!$F$5:$F$1004,0)),"¿Lote?"))</f>
        <v/>
      </c>
      <c r="E710" s="11" t="str">
        <f aca="false">IF(C710="","",IFERROR(INDEX(LOTES!$C$5:$C$1004,MATCH(C710,LOTES!$F$5:$F$1004,0)),""))</f>
        <v/>
      </c>
      <c r="F710" s="27"/>
      <c r="G710" s="27"/>
      <c r="H710" s="27"/>
      <c r="I710" s="20" t="str">
        <f aca="false">IF(AND(ISNUMBER(F710),ISNUMBER(G710),ISNUMBER(H710),F710&gt;G710,H710&gt;0),(F710-H710)/(F710-G710)*1000,"")</f>
        <v/>
      </c>
      <c r="J710" s="17" t="str">
        <f aca="false">IF(AND(ISNUMBER(F710),ISNUMBER(G710),ISNUMBER(H710),F710&gt;G710,H710&gt;0),(F710-H710)/H710,"")</f>
        <v/>
      </c>
      <c r="K710" s="20" t="str">
        <f aca="false">IF(AND(ISNUMBER(F710),ISNUMBER(G710),ISNUMBER(H710),F710&gt;G710,H710&gt;0),H710/(F710-G710)*1000,"")</f>
        <v/>
      </c>
      <c r="L710" s="11" t="str">
        <f aca="false">IF(K710="","",IF(K710&gt;=CONFIG!$E$21,CONFIG!$D$21,IF(K710&gt;=CONFIG!$E$20,CONFIG!$D$20,CONFIG!$D$19)))</f>
        <v/>
      </c>
      <c r="M710" s="20" t="str">
        <f aca="false">IF(K710="","",IF(K710&gt;=CONFIG!$E$21,CONFIG!$F$21,IF(K710&gt;=CONFIG!$E$20,CONFIG!$F$20,CONFIG!$F$19)))</f>
        <v/>
      </c>
      <c r="N710" s="19" t="str">
        <f aca="false">IF(I710="","",IF(I710&lt;=M710,"OK","ALTA"))</f>
        <v/>
      </c>
      <c r="O710" s="13"/>
    </row>
    <row r="711" customFormat="false" ht="15" hidden="false" customHeight="false" outlineLevel="0" collapsed="false">
      <c r="A711" s="11" t="str">
        <f aca="false">IF(C711="","",ROW()-4)</f>
        <v/>
      </c>
      <c r="B711" s="12"/>
      <c r="C711" s="13"/>
      <c r="D711" s="11" t="str">
        <f aca="false">IF(C711="","",IFERROR(INDEX(LOTES!$D$5:$D$1004,MATCH(C711,LOTES!$F$5:$F$1004,0)),"¿Lote?"))</f>
        <v/>
      </c>
      <c r="E711" s="11" t="str">
        <f aca="false">IF(C711="","",IFERROR(INDEX(LOTES!$C$5:$C$1004,MATCH(C711,LOTES!$F$5:$F$1004,0)),""))</f>
        <v/>
      </c>
      <c r="F711" s="27"/>
      <c r="G711" s="27"/>
      <c r="H711" s="27"/>
      <c r="I711" s="20" t="str">
        <f aca="false">IF(AND(ISNUMBER(F711),ISNUMBER(G711),ISNUMBER(H711),F711&gt;G711,H711&gt;0),(F711-H711)/(F711-G711)*1000,"")</f>
        <v/>
      </c>
      <c r="J711" s="17" t="str">
        <f aca="false">IF(AND(ISNUMBER(F711),ISNUMBER(G711),ISNUMBER(H711),F711&gt;G711,H711&gt;0),(F711-H711)/H711,"")</f>
        <v/>
      </c>
      <c r="K711" s="20" t="str">
        <f aca="false">IF(AND(ISNUMBER(F711),ISNUMBER(G711),ISNUMBER(H711),F711&gt;G711,H711&gt;0),H711/(F711-G711)*1000,"")</f>
        <v/>
      </c>
      <c r="L711" s="11" t="str">
        <f aca="false">IF(K711="","",IF(K711&gt;=CONFIG!$E$21,CONFIG!$D$21,IF(K711&gt;=CONFIG!$E$20,CONFIG!$D$20,CONFIG!$D$19)))</f>
        <v/>
      </c>
      <c r="M711" s="20" t="str">
        <f aca="false">IF(K711="","",IF(K711&gt;=CONFIG!$E$21,CONFIG!$F$21,IF(K711&gt;=CONFIG!$E$20,CONFIG!$F$20,CONFIG!$F$19)))</f>
        <v/>
      </c>
      <c r="N711" s="19" t="str">
        <f aca="false">IF(I711="","",IF(I711&lt;=M711,"OK","ALTA"))</f>
        <v/>
      </c>
      <c r="O711" s="13"/>
    </row>
    <row r="712" customFormat="false" ht="15" hidden="false" customHeight="false" outlineLevel="0" collapsed="false">
      <c r="A712" s="11" t="str">
        <f aca="false">IF(C712="","",ROW()-4)</f>
        <v/>
      </c>
      <c r="B712" s="12"/>
      <c r="C712" s="13"/>
      <c r="D712" s="11" t="str">
        <f aca="false">IF(C712="","",IFERROR(INDEX(LOTES!$D$5:$D$1004,MATCH(C712,LOTES!$F$5:$F$1004,0)),"¿Lote?"))</f>
        <v/>
      </c>
      <c r="E712" s="11" t="str">
        <f aca="false">IF(C712="","",IFERROR(INDEX(LOTES!$C$5:$C$1004,MATCH(C712,LOTES!$F$5:$F$1004,0)),""))</f>
        <v/>
      </c>
      <c r="F712" s="27"/>
      <c r="G712" s="27"/>
      <c r="H712" s="27"/>
      <c r="I712" s="20" t="str">
        <f aca="false">IF(AND(ISNUMBER(F712),ISNUMBER(G712),ISNUMBER(H712),F712&gt;G712,H712&gt;0),(F712-H712)/(F712-G712)*1000,"")</f>
        <v/>
      </c>
      <c r="J712" s="17" t="str">
        <f aca="false">IF(AND(ISNUMBER(F712),ISNUMBER(G712),ISNUMBER(H712),F712&gt;G712,H712&gt;0),(F712-H712)/H712,"")</f>
        <v/>
      </c>
      <c r="K712" s="20" t="str">
        <f aca="false">IF(AND(ISNUMBER(F712),ISNUMBER(G712),ISNUMBER(H712),F712&gt;G712,H712&gt;0),H712/(F712-G712)*1000,"")</f>
        <v/>
      </c>
      <c r="L712" s="11" t="str">
        <f aca="false">IF(K712="","",IF(K712&gt;=CONFIG!$E$21,CONFIG!$D$21,IF(K712&gt;=CONFIG!$E$20,CONFIG!$D$20,CONFIG!$D$19)))</f>
        <v/>
      </c>
      <c r="M712" s="20" t="str">
        <f aca="false">IF(K712="","",IF(K712&gt;=CONFIG!$E$21,CONFIG!$F$21,IF(K712&gt;=CONFIG!$E$20,CONFIG!$F$20,CONFIG!$F$19)))</f>
        <v/>
      </c>
      <c r="N712" s="19" t="str">
        <f aca="false">IF(I712="","",IF(I712&lt;=M712,"OK","ALTA"))</f>
        <v/>
      </c>
      <c r="O712" s="13"/>
    </row>
    <row r="713" customFormat="false" ht="15" hidden="false" customHeight="false" outlineLevel="0" collapsed="false">
      <c r="A713" s="11" t="str">
        <f aca="false">IF(C713="","",ROW()-4)</f>
        <v/>
      </c>
      <c r="B713" s="12"/>
      <c r="C713" s="13"/>
      <c r="D713" s="11" t="str">
        <f aca="false">IF(C713="","",IFERROR(INDEX(LOTES!$D$5:$D$1004,MATCH(C713,LOTES!$F$5:$F$1004,0)),"¿Lote?"))</f>
        <v/>
      </c>
      <c r="E713" s="11" t="str">
        <f aca="false">IF(C713="","",IFERROR(INDEX(LOTES!$C$5:$C$1004,MATCH(C713,LOTES!$F$5:$F$1004,0)),""))</f>
        <v/>
      </c>
      <c r="F713" s="27"/>
      <c r="G713" s="27"/>
      <c r="H713" s="27"/>
      <c r="I713" s="20" t="str">
        <f aca="false">IF(AND(ISNUMBER(F713),ISNUMBER(G713),ISNUMBER(H713),F713&gt;G713,H713&gt;0),(F713-H713)/(F713-G713)*1000,"")</f>
        <v/>
      </c>
      <c r="J713" s="17" t="str">
        <f aca="false">IF(AND(ISNUMBER(F713),ISNUMBER(G713),ISNUMBER(H713),F713&gt;G713,H713&gt;0),(F713-H713)/H713,"")</f>
        <v/>
      </c>
      <c r="K713" s="20" t="str">
        <f aca="false">IF(AND(ISNUMBER(F713),ISNUMBER(G713),ISNUMBER(H713),F713&gt;G713,H713&gt;0),H713/(F713-G713)*1000,"")</f>
        <v/>
      </c>
      <c r="L713" s="11" t="str">
        <f aca="false">IF(K713="","",IF(K713&gt;=CONFIG!$E$21,CONFIG!$D$21,IF(K713&gt;=CONFIG!$E$20,CONFIG!$D$20,CONFIG!$D$19)))</f>
        <v/>
      </c>
      <c r="M713" s="20" t="str">
        <f aca="false">IF(K713="","",IF(K713&gt;=CONFIG!$E$21,CONFIG!$F$21,IF(K713&gt;=CONFIG!$E$20,CONFIG!$F$20,CONFIG!$F$19)))</f>
        <v/>
      </c>
      <c r="N713" s="19" t="str">
        <f aca="false">IF(I713="","",IF(I713&lt;=M713,"OK","ALTA"))</f>
        <v/>
      </c>
      <c r="O713" s="13"/>
    </row>
    <row r="714" customFormat="false" ht="15" hidden="false" customHeight="false" outlineLevel="0" collapsed="false">
      <c r="A714" s="11" t="str">
        <f aca="false">IF(C714="","",ROW()-4)</f>
        <v/>
      </c>
      <c r="B714" s="12"/>
      <c r="C714" s="13"/>
      <c r="D714" s="11" t="str">
        <f aca="false">IF(C714="","",IFERROR(INDEX(LOTES!$D$5:$D$1004,MATCH(C714,LOTES!$F$5:$F$1004,0)),"¿Lote?"))</f>
        <v/>
      </c>
      <c r="E714" s="11" t="str">
        <f aca="false">IF(C714="","",IFERROR(INDEX(LOTES!$C$5:$C$1004,MATCH(C714,LOTES!$F$5:$F$1004,0)),""))</f>
        <v/>
      </c>
      <c r="F714" s="27"/>
      <c r="G714" s="27"/>
      <c r="H714" s="27"/>
      <c r="I714" s="20" t="str">
        <f aca="false">IF(AND(ISNUMBER(F714),ISNUMBER(G714),ISNUMBER(H714),F714&gt;G714,H714&gt;0),(F714-H714)/(F714-G714)*1000,"")</f>
        <v/>
      </c>
      <c r="J714" s="17" t="str">
        <f aca="false">IF(AND(ISNUMBER(F714),ISNUMBER(G714),ISNUMBER(H714),F714&gt;G714,H714&gt;0),(F714-H714)/H714,"")</f>
        <v/>
      </c>
      <c r="K714" s="20" t="str">
        <f aca="false">IF(AND(ISNUMBER(F714),ISNUMBER(G714),ISNUMBER(H714),F714&gt;G714,H714&gt;0),H714/(F714-G714)*1000,"")</f>
        <v/>
      </c>
      <c r="L714" s="11" t="str">
        <f aca="false">IF(K714="","",IF(K714&gt;=CONFIG!$E$21,CONFIG!$D$21,IF(K714&gt;=CONFIG!$E$20,CONFIG!$D$20,CONFIG!$D$19)))</f>
        <v/>
      </c>
      <c r="M714" s="20" t="str">
        <f aca="false">IF(K714="","",IF(K714&gt;=CONFIG!$E$21,CONFIG!$F$21,IF(K714&gt;=CONFIG!$E$20,CONFIG!$F$20,CONFIG!$F$19)))</f>
        <v/>
      </c>
      <c r="N714" s="19" t="str">
        <f aca="false">IF(I714="","",IF(I714&lt;=M714,"OK","ALTA"))</f>
        <v/>
      </c>
      <c r="O714" s="13"/>
    </row>
    <row r="715" customFormat="false" ht="15" hidden="false" customHeight="false" outlineLevel="0" collapsed="false">
      <c r="A715" s="11" t="str">
        <f aca="false">IF(C715="","",ROW()-4)</f>
        <v/>
      </c>
      <c r="B715" s="12"/>
      <c r="C715" s="13"/>
      <c r="D715" s="11" t="str">
        <f aca="false">IF(C715="","",IFERROR(INDEX(LOTES!$D$5:$D$1004,MATCH(C715,LOTES!$F$5:$F$1004,0)),"¿Lote?"))</f>
        <v/>
      </c>
      <c r="E715" s="11" t="str">
        <f aca="false">IF(C715="","",IFERROR(INDEX(LOTES!$C$5:$C$1004,MATCH(C715,LOTES!$F$5:$F$1004,0)),""))</f>
        <v/>
      </c>
      <c r="F715" s="27"/>
      <c r="G715" s="27"/>
      <c r="H715" s="27"/>
      <c r="I715" s="20" t="str">
        <f aca="false">IF(AND(ISNUMBER(F715),ISNUMBER(G715),ISNUMBER(H715),F715&gt;G715,H715&gt;0),(F715-H715)/(F715-G715)*1000,"")</f>
        <v/>
      </c>
      <c r="J715" s="17" t="str">
        <f aca="false">IF(AND(ISNUMBER(F715),ISNUMBER(G715),ISNUMBER(H715),F715&gt;G715,H715&gt;0),(F715-H715)/H715,"")</f>
        <v/>
      </c>
      <c r="K715" s="20" t="str">
        <f aca="false">IF(AND(ISNUMBER(F715),ISNUMBER(G715),ISNUMBER(H715),F715&gt;G715,H715&gt;0),H715/(F715-G715)*1000,"")</f>
        <v/>
      </c>
      <c r="L715" s="11" t="str">
        <f aca="false">IF(K715="","",IF(K715&gt;=CONFIG!$E$21,CONFIG!$D$21,IF(K715&gt;=CONFIG!$E$20,CONFIG!$D$20,CONFIG!$D$19)))</f>
        <v/>
      </c>
      <c r="M715" s="20" t="str">
        <f aca="false">IF(K715="","",IF(K715&gt;=CONFIG!$E$21,CONFIG!$F$21,IF(K715&gt;=CONFIG!$E$20,CONFIG!$F$20,CONFIG!$F$19)))</f>
        <v/>
      </c>
      <c r="N715" s="19" t="str">
        <f aca="false">IF(I715="","",IF(I715&lt;=M715,"OK","ALTA"))</f>
        <v/>
      </c>
      <c r="O715" s="13"/>
    </row>
    <row r="716" customFormat="false" ht="15" hidden="false" customHeight="false" outlineLevel="0" collapsed="false">
      <c r="A716" s="11" t="str">
        <f aca="false">IF(C716="","",ROW()-4)</f>
        <v/>
      </c>
      <c r="B716" s="12"/>
      <c r="C716" s="13"/>
      <c r="D716" s="11" t="str">
        <f aca="false">IF(C716="","",IFERROR(INDEX(LOTES!$D$5:$D$1004,MATCH(C716,LOTES!$F$5:$F$1004,0)),"¿Lote?"))</f>
        <v/>
      </c>
      <c r="E716" s="11" t="str">
        <f aca="false">IF(C716="","",IFERROR(INDEX(LOTES!$C$5:$C$1004,MATCH(C716,LOTES!$F$5:$F$1004,0)),""))</f>
        <v/>
      </c>
      <c r="F716" s="27"/>
      <c r="G716" s="27"/>
      <c r="H716" s="27"/>
      <c r="I716" s="20" t="str">
        <f aca="false">IF(AND(ISNUMBER(F716),ISNUMBER(G716),ISNUMBER(H716),F716&gt;G716,H716&gt;0),(F716-H716)/(F716-G716)*1000,"")</f>
        <v/>
      </c>
      <c r="J716" s="17" t="str">
        <f aca="false">IF(AND(ISNUMBER(F716),ISNUMBER(G716),ISNUMBER(H716),F716&gt;G716,H716&gt;0),(F716-H716)/H716,"")</f>
        <v/>
      </c>
      <c r="K716" s="20" t="str">
        <f aca="false">IF(AND(ISNUMBER(F716),ISNUMBER(G716),ISNUMBER(H716),F716&gt;G716,H716&gt;0),H716/(F716-G716)*1000,"")</f>
        <v/>
      </c>
      <c r="L716" s="11" t="str">
        <f aca="false">IF(K716="","",IF(K716&gt;=CONFIG!$E$21,CONFIG!$D$21,IF(K716&gt;=CONFIG!$E$20,CONFIG!$D$20,CONFIG!$D$19)))</f>
        <v/>
      </c>
      <c r="M716" s="20" t="str">
        <f aca="false">IF(K716="","",IF(K716&gt;=CONFIG!$E$21,CONFIG!$F$21,IF(K716&gt;=CONFIG!$E$20,CONFIG!$F$20,CONFIG!$F$19)))</f>
        <v/>
      </c>
      <c r="N716" s="19" t="str">
        <f aca="false">IF(I716="","",IF(I716&lt;=M716,"OK","ALTA"))</f>
        <v/>
      </c>
      <c r="O716" s="13"/>
    </row>
    <row r="717" customFormat="false" ht="15" hidden="false" customHeight="false" outlineLevel="0" collapsed="false">
      <c r="A717" s="11" t="str">
        <f aca="false">IF(C717="","",ROW()-4)</f>
        <v/>
      </c>
      <c r="B717" s="12"/>
      <c r="C717" s="13"/>
      <c r="D717" s="11" t="str">
        <f aca="false">IF(C717="","",IFERROR(INDEX(LOTES!$D$5:$D$1004,MATCH(C717,LOTES!$F$5:$F$1004,0)),"¿Lote?"))</f>
        <v/>
      </c>
      <c r="E717" s="11" t="str">
        <f aca="false">IF(C717="","",IFERROR(INDEX(LOTES!$C$5:$C$1004,MATCH(C717,LOTES!$F$5:$F$1004,0)),""))</f>
        <v/>
      </c>
      <c r="F717" s="27"/>
      <c r="G717" s="27"/>
      <c r="H717" s="27"/>
      <c r="I717" s="20" t="str">
        <f aca="false">IF(AND(ISNUMBER(F717),ISNUMBER(G717),ISNUMBER(H717),F717&gt;G717,H717&gt;0),(F717-H717)/(F717-G717)*1000,"")</f>
        <v/>
      </c>
      <c r="J717" s="17" t="str">
        <f aca="false">IF(AND(ISNUMBER(F717),ISNUMBER(G717),ISNUMBER(H717),F717&gt;G717,H717&gt;0),(F717-H717)/H717,"")</f>
        <v/>
      </c>
      <c r="K717" s="20" t="str">
        <f aca="false">IF(AND(ISNUMBER(F717),ISNUMBER(G717),ISNUMBER(H717),F717&gt;G717,H717&gt;0),H717/(F717-G717)*1000,"")</f>
        <v/>
      </c>
      <c r="L717" s="11" t="str">
        <f aca="false">IF(K717="","",IF(K717&gt;=CONFIG!$E$21,CONFIG!$D$21,IF(K717&gt;=CONFIG!$E$20,CONFIG!$D$20,CONFIG!$D$19)))</f>
        <v/>
      </c>
      <c r="M717" s="20" t="str">
        <f aca="false">IF(K717="","",IF(K717&gt;=CONFIG!$E$21,CONFIG!$F$21,IF(K717&gt;=CONFIG!$E$20,CONFIG!$F$20,CONFIG!$F$19)))</f>
        <v/>
      </c>
      <c r="N717" s="19" t="str">
        <f aca="false">IF(I717="","",IF(I717&lt;=M717,"OK","ALTA"))</f>
        <v/>
      </c>
      <c r="O717" s="13"/>
    </row>
    <row r="718" customFormat="false" ht="15" hidden="false" customHeight="false" outlineLevel="0" collapsed="false">
      <c r="A718" s="11" t="str">
        <f aca="false">IF(C718="","",ROW()-4)</f>
        <v/>
      </c>
      <c r="B718" s="12"/>
      <c r="C718" s="13"/>
      <c r="D718" s="11" t="str">
        <f aca="false">IF(C718="","",IFERROR(INDEX(LOTES!$D$5:$D$1004,MATCH(C718,LOTES!$F$5:$F$1004,0)),"¿Lote?"))</f>
        <v/>
      </c>
      <c r="E718" s="11" t="str">
        <f aca="false">IF(C718="","",IFERROR(INDEX(LOTES!$C$5:$C$1004,MATCH(C718,LOTES!$F$5:$F$1004,0)),""))</f>
        <v/>
      </c>
      <c r="F718" s="27"/>
      <c r="G718" s="27"/>
      <c r="H718" s="27"/>
      <c r="I718" s="20" t="str">
        <f aca="false">IF(AND(ISNUMBER(F718),ISNUMBER(G718),ISNUMBER(H718),F718&gt;G718,H718&gt;0),(F718-H718)/(F718-G718)*1000,"")</f>
        <v/>
      </c>
      <c r="J718" s="17" t="str">
        <f aca="false">IF(AND(ISNUMBER(F718),ISNUMBER(G718),ISNUMBER(H718),F718&gt;G718,H718&gt;0),(F718-H718)/H718,"")</f>
        <v/>
      </c>
      <c r="K718" s="20" t="str">
        <f aca="false">IF(AND(ISNUMBER(F718),ISNUMBER(G718),ISNUMBER(H718),F718&gt;G718,H718&gt;0),H718/(F718-G718)*1000,"")</f>
        <v/>
      </c>
      <c r="L718" s="11" t="str">
        <f aca="false">IF(K718="","",IF(K718&gt;=CONFIG!$E$21,CONFIG!$D$21,IF(K718&gt;=CONFIG!$E$20,CONFIG!$D$20,CONFIG!$D$19)))</f>
        <v/>
      </c>
      <c r="M718" s="20" t="str">
        <f aca="false">IF(K718="","",IF(K718&gt;=CONFIG!$E$21,CONFIG!$F$21,IF(K718&gt;=CONFIG!$E$20,CONFIG!$F$20,CONFIG!$F$19)))</f>
        <v/>
      </c>
      <c r="N718" s="19" t="str">
        <f aca="false">IF(I718="","",IF(I718&lt;=M718,"OK","ALTA"))</f>
        <v/>
      </c>
      <c r="O718" s="13"/>
    </row>
    <row r="719" customFormat="false" ht="15" hidden="false" customHeight="false" outlineLevel="0" collapsed="false">
      <c r="A719" s="11" t="str">
        <f aca="false">IF(C719="","",ROW()-4)</f>
        <v/>
      </c>
      <c r="B719" s="12"/>
      <c r="C719" s="13"/>
      <c r="D719" s="11" t="str">
        <f aca="false">IF(C719="","",IFERROR(INDEX(LOTES!$D$5:$D$1004,MATCH(C719,LOTES!$F$5:$F$1004,0)),"¿Lote?"))</f>
        <v/>
      </c>
      <c r="E719" s="11" t="str">
        <f aca="false">IF(C719="","",IFERROR(INDEX(LOTES!$C$5:$C$1004,MATCH(C719,LOTES!$F$5:$F$1004,0)),""))</f>
        <v/>
      </c>
      <c r="F719" s="27"/>
      <c r="G719" s="27"/>
      <c r="H719" s="27"/>
      <c r="I719" s="20" t="str">
        <f aca="false">IF(AND(ISNUMBER(F719),ISNUMBER(G719),ISNUMBER(H719),F719&gt;G719,H719&gt;0),(F719-H719)/(F719-G719)*1000,"")</f>
        <v/>
      </c>
      <c r="J719" s="17" t="str">
        <f aca="false">IF(AND(ISNUMBER(F719),ISNUMBER(G719),ISNUMBER(H719),F719&gt;G719,H719&gt;0),(F719-H719)/H719,"")</f>
        <v/>
      </c>
      <c r="K719" s="20" t="str">
        <f aca="false">IF(AND(ISNUMBER(F719),ISNUMBER(G719),ISNUMBER(H719),F719&gt;G719,H719&gt;0),H719/(F719-G719)*1000,"")</f>
        <v/>
      </c>
      <c r="L719" s="11" t="str">
        <f aca="false">IF(K719="","",IF(K719&gt;=CONFIG!$E$21,CONFIG!$D$21,IF(K719&gt;=CONFIG!$E$20,CONFIG!$D$20,CONFIG!$D$19)))</f>
        <v/>
      </c>
      <c r="M719" s="20" t="str">
        <f aca="false">IF(K719="","",IF(K719&gt;=CONFIG!$E$21,CONFIG!$F$21,IF(K719&gt;=CONFIG!$E$20,CONFIG!$F$20,CONFIG!$F$19)))</f>
        <v/>
      </c>
      <c r="N719" s="19" t="str">
        <f aca="false">IF(I719="","",IF(I719&lt;=M719,"OK","ALTA"))</f>
        <v/>
      </c>
      <c r="O719" s="13"/>
    </row>
    <row r="720" customFormat="false" ht="15" hidden="false" customHeight="false" outlineLevel="0" collapsed="false">
      <c r="A720" s="11" t="str">
        <f aca="false">IF(C720="","",ROW()-4)</f>
        <v/>
      </c>
      <c r="B720" s="12"/>
      <c r="C720" s="13"/>
      <c r="D720" s="11" t="str">
        <f aca="false">IF(C720="","",IFERROR(INDEX(LOTES!$D$5:$D$1004,MATCH(C720,LOTES!$F$5:$F$1004,0)),"¿Lote?"))</f>
        <v/>
      </c>
      <c r="E720" s="11" t="str">
        <f aca="false">IF(C720="","",IFERROR(INDEX(LOTES!$C$5:$C$1004,MATCH(C720,LOTES!$F$5:$F$1004,0)),""))</f>
        <v/>
      </c>
      <c r="F720" s="27"/>
      <c r="G720" s="27"/>
      <c r="H720" s="27"/>
      <c r="I720" s="20" t="str">
        <f aca="false">IF(AND(ISNUMBER(F720),ISNUMBER(G720),ISNUMBER(H720),F720&gt;G720,H720&gt;0),(F720-H720)/(F720-G720)*1000,"")</f>
        <v/>
      </c>
      <c r="J720" s="17" t="str">
        <f aca="false">IF(AND(ISNUMBER(F720),ISNUMBER(G720),ISNUMBER(H720),F720&gt;G720,H720&gt;0),(F720-H720)/H720,"")</f>
        <v/>
      </c>
      <c r="K720" s="20" t="str">
        <f aca="false">IF(AND(ISNUMBER(F720),ISNUMBER(G720),ISNUMBER(H720),F720&gt;G720,H720&gt;0),H720/(F720-G720)*1000,"")</f>
        <v/>
      </c>
      <c r="L720" s="11" t="str">
        <f aca="false">IF(K720="","",IF(K720&gt;=CONFIG!$E$21,CONFIG!$D$21,IF(K720&gt;=CONFIG!$E$20,CONFIG!$D$20,CONFIG!$D$19)))</f>
        <v/>
      </c>
      <c r="M720" s="20" t="str">
        <f aca="false">IF(K720="","",IF(K720&gt;=CONFIG!$E$21,CONFIG!$F$21,IF(K720&gt;=CONFIG!$E$20,CONFIG!$F$20,CONFIG!$F$19)))</f>
        <v/>
      </c>
      <c r="N720" s="19" t="str">
        <f aca="false">IF(I720="","",IF(I720&lt;=M720,"OK","ALTA"))</f>
        <v/>
      </c>
      <c r="O720" s="13"/>
    </row>
    <row r="721" customFormat="false" ht="15" hidden="false" customHeight="false" outlineLevel="0" collapsed="false">
      <c r="A721" s="11" t="str">
        <f aca="false">IF(C721="","",ROW()-4)</f>
        <v/>
      </c>
      <c r="B721" s="12"/>
      <c r="C721" s="13"/>
      <c r="D721" s="11" t="str">
        <f aca="false">IF(C721="","",IFERROR(INDEX(LOTES!$D$5:$D$1004,MATCH(C721,LOTES!$F$5:$F$1004,0)),"¿Lote?"))</f>
        <v/>
      </c>
      <c r="E721" s="11" t="str">
        <f aca="false">IF(C721="","",IFERROR(INDEX(LOTES!$C$5:$C$1004,MATCH(C721,LOTES!$F$5:$F$1004,0)),""))</f>
        <v/>
      </c>
      <c r="F721" s="27"/>
      <c r="G721" s="27"/>
      <c r="H721" s="27"/>
      <c r="I721" s="20" t="str">
        <f aca="false">IF(AND(ISNUMBER(F721),ISNUMBER(G721),ISNUMBER(H721),F721&gt;G721,H721&gt;0),(F721-H721)/(F721-G721)*1000,"")</f>
        <v/>
      </c>
      <c r="J721" s="17" t="str">
        <f aca="false">IF(AND(ISNUMBER(F721),ISNUMBER(G721),ISNUMBER(H721),F721&gt;G721,H721&gt;0),(F721-H721)/H721,"")</f>
        <v/>
      </c>
      <c r="K721" s="20" t="str">
        <f aca="false">IF(AND(ISNUMBER(F721),ISNUMBER(G721),ISNUMBER(H721),F721&gt;G721,H721&gt;0),H721/(F721-G721)*1000,"")</f>
        <v/>
      </c>
      <c r="L721" s="11" t="str">
        <f aca="false">IF(K721="","",IF(K721&gt;=CONFIG!$E$21,CONFIG!$D$21,IF(K721&gt;=CONFIG!$E$20,CONFIG!$D$20,CONFIG!$D$19)))</f>
        <v/>
      </c>
      <c r="M721" s="20" t="str">
        <f aca="false">IF(K721="","",IF(K721&gt;=CONFIG!$E$21,CONFIG!$F$21,IF(K721&gt;=CONFIG!$E$20,CONFIG!$F$20,CONFIG!$F$19)))</f>
        <v/>
      </c>
      <c r="N721" s="19" t="str">
        <f aca="false">IF(I721="","",IF(I721&lt;=M721,"OK","ALTA"))</f>
        <v/>
      </c>
      <c r="O721" s="13"/>
    </row>
    <row r="722" customFormat="false" ht="15" hidden="false" customHeight="false" outlineLevel="0" collapsed="false">
      <c r="A722" s="11" t="str">
        <f aca="false">IF(C722="","",ROW()-4)</f>
        <v/>
      </c>
      <c r="B722" s="12"/>
      <c r="C722" s="13"/>
      <c r="D722" s="11" t="str">
        <f aca="false">IF(C722="","",IFERROR(INDEX(LOTES!$D$5:$D$1004,MATCH(C722,LOTES!$F$5:$F$1004,0)),"¿Lote?"))</f>
        <v/>
      </c>
      <c r="E722" s="11" t="str">
        <f aca="false">IF(C722="","",IFERROR(INDEX(LOTES!$C$5:$C$1004,MATCH(C722,LOTES!$F$5:$F$1004,0)),""))</f>
        <v/>
      </c>
      <c r="F722" s="27"/>
      <c r="G722" s="27"/>
      <c r="H722" s="27"/>
      <c r="I722" s="20" t="str">
        <f aca="false">IF(AND(ISNUMBER(F722),ISNUMBER(G722),ISNUMBER(H722),F722&gt;G722,H722&gt;0),(F722-H722)/(F722-G722)*1000,"")</f>
        <v/>
      </c>
      <c r="J722" s="17" t="str">
        <f aca="false">IF(AND(ISNUMBER(F722),ISNUMBER(G722),ISNUMBER(H722),F722&gt;G722,H722&gt;0),(F722-H722)/H722,"")</f>
        <v/>
      </c>
      <c r="K722" s="20" t="str">
        <f aca="false">IF(AND(ISNUMBER(F722),ISNUMBER(G722),ISNUMBER(H722),F722&gt;G722,H722&gt;0),H722/(F722-G722)*1000,"")</f>
        <v/>
      </c>
      <c r="L722" s="11" t="str">
        <f aca="false">IF(K722="","",IF(K722&gt;=CONFIG!$E$21,CONFIG!$D$21,IF(K722&gt;=CONFIG!$E$20,CONFIG!$D$20,CONFIG!$D$19)))</f>
        <v/>
      </c>
      <c r="M722" s="20" t="str">
        <f aca="false">IF(K722="","",IF(K722&gt;=CONFIG!$E$21,CONFIG!$F$21,IF(K722&gt;=CONFIG!$E$20,CONFIG!$F$20,CONFIG!$F$19)))</f>
        <v/>
      </c>
      <c r="N722" s="19" t="str">
        <f aca="false">IF(I722="","",IF(I722&lt;=M722,"OK","ALTA"))</f>
        <v/>
      </c>
      <c r="O722" s="13"/>
    </row>
    <row r="723" customFormat="false" ht="15" hidden="false" customHeight="false" outlineLevel="0" collapsed="false">
      <c r="A723" s="11" t="str">
        <f aca="false">IF(C723="","",ROW()-4)</f>
        <v/>
      </c>
      <c r="B723" s="12"/>
      <c r="C723" s="13"/>
      <c r="D723" s="11" t="str">
        <f aca="false">IF(C723="","",IFERROR(INDEX(LOTES!$D$5:$D$1004,MATCH(C723,LOTES!$F$5:$F$1004,0)),"¿Lote?"))</f>
        <v/>
      </c>
      <c r="E723" s="11" t="str">
        <f aca="false">IF(C723="","",IFERROR(INDEX(LOTES!$C$5:$C$1004,MATCH(C723,LOTES!$F$5:$F$1004,0)),""))</f>
        <v/>
      </c>
      <c r="F723" s="27"/>
      <c r="G723" s="27"/>
      <c r="H723" s="27"/>
      <c r="I723" s="20" t="str">
        <f aca="false">IF(AND(ISNUMBER(F723),ISNUMBER(G723),ISNUMBER(H723),F723&gt;G723,H723&gt;0),(F723-H723)/(F723-G723)*1000,"")</f>
        <v/>
      </c>
      <c r="J723" s="17" t="str">
        <f aca="false">IF(AND(ISNUMBER(F723),ISNUMBER(G723),ISNUMBER(H723),F723&gt;G723,H723&gt;0),(F723-H723)/H723,"")</f>
        <v/>
      </c>
      <c r="K723" s="20" t="str">
        <f aca="false">IF(AND(ISNUMBER(F723),ISNUMBER(G723),ISNUMBER(H723),F723&gt;G723,H723&gt;0),H723/(F723-G723)*1000,"")</f>
        <v/>
      </c>
      <c r="L723" s="11" t="str">
        <f aca="false">IF(K723="","",IF(K723&gt;=CONFIG!$E$21,CONFIG!$D$21,IF(K723&gt;=CONFIG!$E$20,CONFIG!$D$20,CONFIG!$D$19)))</f>
        <v/>
      </c>
      <c r="M723" s="20" t="str">
        <f aca="false">IF(K723="","",IF(K723&gt;=CONFIG!$E$21,CONFIG!$F$21,IF(K723&gt;=CONFIG!$E$20,CONFIG!$F$20,CONFIG!$F$19)))</f>
        <v/>
      </c>
      <c r="N723" s="19" t="str">
        <f aca="false">IF(I723="","",IF(I723&lt;=M723,"OK","ALTA"))</f>
        <v/>
      </c>
      <c r="O723" s="13"/>
    </row>
    <row r="724" customFormat="false" ht="15" hidden="false" customHeight="false" outlineLevel="0" collapsed="false">
      <c r="A724" s="11" t="str">
        <f aca="false">IF(C724="","",ROW()-4)</f>
        <v/>
      </c>
      <c r="B724" s="12"/>
      <c r="C724" s="13"/>
      <c r="D724" s="11" t="str">
        <f aca="false">IF(C724="","",IFERROR(INDEX(LOTES!$D$5:$D$1004,MATCH(C724,LOTES!$F$5:$F$1004,0)),"¿Lote?"))</f>
        <v/>
      </c>
      <c r="E724" s="11" t="str">
        <f aca="false">IF(C724="","",IFERROR(INDEX(LOTES!$C$5:$C$1004,MATCH(C724,LOTES!$F$5:$F$1004,0)),""))</f>
        <v/>
      </c>
      <c r="F724" s="27"/>
      <c r="G724" s="27"/>
      <c r="H724" s="27"/>
      <c r="I724" s="20" t="str">
        <f aca="false">IF(AND(ISNUMBER(F724),ISNUMBER(G724),ISNUMBER(H724),F724&gt;G724,H724&gt;0),(F724-H724)/(F724-G724)*1000,"")</f>
        <v/>
      </c>
      <c r="J724" s="17" t="str">
        <f aca="false">IF(AND(ISNUMBER(F724),ISNUMBER(G724),ISNUMBER(H724),F724&gt;G724,H724&gt;0),(F724-H724)/H724,"")</f>
        <v/>
      </c>
      <c r="K724" s="20" t="str">
        <f aca="false">IF(AND(ISNUMBER(F724),ISNUMBER(G724),ISNUMBER(H724),F724&gt;G724,H724&gt;0),H724/(F724-G724)*1000,"")</f>
        <v/>
      </c>
      <c r="L724" s="11" t="str">
        <f aca="false">IF(K724="","",IF(K724&gt;=CONFIG!$E$21,CONFIG!$D$21,IF(K724&gt;=CONFIG!$E$20,CONFIG!$D$20,CONFIG!$D$19)))</f>
        <v/>
      </c>
      <c r="M724" s="20" t="str">
        <f aca="false">IF(K724="","",IF(K724&gt;=CONFIG!$E$21,CONFIG!$F$21,IF(K724&gt;=CONFIG!$E$20,CONFIG!$F$20,CONFIG!$F$19)))</f>
        <v/>
      </c>
      <c r="N724" s="19" t="str">
        <f aca="false">IF(I724="","",IF(I724&lt;=M724,"OK","ALTA"))</f>
        <v/>
      </c>
      <c r="O724" s="13"/>
    </row>
    <row r="725" customFormat="false" ht="15" hidden="false" customHeight="false" outlineLevel="0" collapsed="false">
      <c r="A725" s="11" t="str">
        <f aca="false">IF(C725="","",ROW()-4)</f>
        <v/>
      </c>
      <c r="B725" s="12"/>
      <c r="C725" s="13"/>
      <c r="D725" s="11" t="str">
        <f aca="false">IF(C725="","",IFERROR(INDEX(LOTES!$D$5:$D$1004,MATCH(C725,LOTES!$F$5:$F$1004,0)),"¿Lote?"))</f>
        <v/>
      </c>
      <c r="E725" s="11" t="str">
        <f aca="false">IF(C725="","",IFERROR(INDEX(LOTES!$C$5:$C$1004,MATCH(C725,LOTES!$F$5:$F$1004,0)),""))</f>
        <v/>
      </c>
      <c r="F725" s="27"/>
      <c r="G725" s="27"/>
      <c r="H725" s="27"/>
      <c r="I725" s="20" t="str">
        <f aca="false">IF(AND(ISNUMBER(F725),ISNUMBER(G725),ISNUMBER(H725),F725&gt;G725,H725&gt;0),(F725-H725)/(F725-G725)*1000,"")</f>
        <v/>
      </c>
      <c r="J725" s="17" t="str">
        <f aca="false">IF(AND(ISNUMBER(F725),ISNUMBER(G725),ISNUMBER(H725),F725&gt;G725,H725&gt;0),(F725-H725)/H725,"")</f>
        <v/>
      </c>
      <c r="K725" s="20" t="str">
        <f aca="false">IF(AND(ISNUMBER(F725),ISNUMBER(G725),ISNUMBER(H725),F725&gt;G725,H725&gt;0),H725/(F725-G725)*1000,"")</f>
        <v/>
      </c>
      <c r="L725" s="11" t="str">
        <f aca="false">IF(K725="","",IF(K725&gt;=CONFIG!$E$21,CONFIG!$D$21,IF(K725&gt;=CONFIG!$E$20,CONFIG!$D$20,CONFIG!$D$19)))</f>
        <v/>
      </c>
      <c r="M725" s="20" t="str">
        <f aca="false">IF(K725="","",IF(K725&gt;=CONFIG!$E$21,CONFIG!$F$21,IF(K725&gt;=CONFIG!$E$20,CONFIG!$F$20,CONFIG!$F$19)))</f>
        <v/>
      </c>
      <c r="N725" s="19" t="str">
        <f aca="false">IF(I725="","",IF(I725&lt;=M725,"OK","ALTA"))</f>
        <v/>
      </c>
      <c r="O725" s="13"/>
    </row>
    <row r="726" customFormat="false" ht="15" hidden="false" customHeight="false" outlineLevel="0" collapsed="false">
      <c r="A726" s="11" t="str">
        <f aca="false">IF(C726="","",ROW()-4)</f>
        <v/>
      </c>
      <c r="B726" s="12"/>
      <c r="C726" s="13"/>
      <c r="D726" s="11" t="str">
        <f aca="false">IF(C726="","",IFERROR(INDEX(LOTES!$D$5:$D$1004,MATCH(C726,LOTES!$F$5:$F$1004,0)),"¿Lote?"))</f>
        <v/>
      </c>
      <c r="E726" s="11" t="str">
        <f aca="false">IF(C726="","",IFERROR(INDEX(LOTES!$C$5:$C$1004,MATCH(C726,LOTES!$F$5:$F$1004,0)),""))</f>
        <v/>
      </c>
      <c r="F726" s="27"/>
      <c r="G726" s="27"/>
      <c r="H726" s="27"/>
      <c r="I726" s="20" t="str">
        <f aca="false">IF(AND(ISNUMBER(F726),ISNUMBER(G726),ISNUMBER(H726),F726&gt;G726,H726&gt;0),(F726-H726)/(F726-G726)*1000,"")</f>
        <v/>
      </c>
      <c r="J726" s="17" t="str">
        <f aca="false">IF(AND(ISNUMBER(F726),ISNUMBER(G726),ISNUMBER(H726),F726&gt;G726,H726&gt;0),(F726-H726)/H726,"")</f>
        <v/>
      </c>
      <c r="K726" s="20" t="str">
        <f aca="false">IF(AND(ISNUMBER(F726),ISNUMBER(G726),ISNUMBER(H726),F726&gt;G726,H726&gt;0),H726/(F726-G726)*1000,"")</f>
        <v/>
      </c>
      <c r="L726" s="11" t="str">
        <f aca="false">IF(K726="","",IF(K726&gt;=CONFIG!$E$21,CONFIG!$D$21,IF(K726&gt;=CONFIG!$E$20,CONFIG!$D$20,CONFIG!$D$19)))</f>
        <v/>
      </c>
      <c r="M726" s="20" t="str">
        <f aca="false">IF(K726="","",IF(K726&gt;=CONFIG!$E$21,CONFIG!$F$21,IF(K726&gt;=CONFIG!$E$20,CONFIG!$F$20,CONFIG!$F$19)))</f>
        <v/>
      </c>
      <c r="N726" s="19" t="str">
        <f aca="false">IF(I726="","",IF(I726&lt;=M726,"OK","ALTA"))</f>
        <v/>
      </c>
      <c r="O726" s="13"/>
    </row>
    <row r="727" customFormat="false" ht="15" hidden="false" customHeight="false" outlineLevel="0" collapsed="false">
      <c r="A727" s="11" t="str">
        <f aca="false">IF(C727="","",ROW()-4)</f>
        <v/>
      </c>
      <c r="B727" s="12"/>
      <c r="C727" s="13"/>
      <c r="D727" s="11" t="str">
        <f aca="false">IF(C727="","",IFERROR(INDEX(LOTES!$D$5:$D$1004,MATCH(C727,LOTES!$F$5:$F$1004,0)),"¿Lote?"))</f>
        <v/>
      </c>
      <c r="E727" s="11" t="str">
        <f aca="false">IF(C727="","",IFERROR(INDEX(LOTES!$C$5:$C$1004,MATCH(C727,LOTES!$F$5:$F$1004,0)),""))</f>
        <v/>
      </c>
      <c r="F727" s="27"/>
      <c r="G727" s="27"/>
      <c r="H727" s="27"/>
      <c r="I727" s="20" t="str">
        <f aca="false">IF(AND(ISNUMBER(F727),ISNUMBER(G727),ISNUMBER(H727),F727&gt;G727,H727&gt;0),(F727-H727)/(F727-G727)*1000,"")</f>
        <v/>
      </c>
      <c r="J727" s="17" t="str">
        <f aca="false">IF(AND(ISNUMBER(F727),ISNUMBER(G727),ISNUMBER(H727),F727&gt;G727,H727&gt;0),(F727-H727)/H727,"")</f>
        <v/>
      </c>
      <c r="K727" s="20" t="str">
        <f aca="false">IF(AND(ISNUMBER(F727),ISNUMBER(G727),ISNUMBER(H727),F727&gt;G727,H727&gt;0),H727/(F727-G727)*1000,"")</f>
        <v/>
      </c>
      <c r="L727" s="11" t="str">
        <f aca="false">IF(K727="","",IF(K727&gt;=CONFIG!$E$21,CONFIG!$D$21,IF(K727&gt;=CONFIG!$E$20,CONFIG!$D$20,CONFIG!$D$19)))</f>
        <v/>
      </c>
      <c r="M727" s="20" t="str">
        <f aca="false">IF(K727="","",IF(K727&gt;=CONFIG!$E$21,CONFIG!$F$21,IF(K727&gt;=CONFIG!$E$20,CONFIG!$F$20,CONFIG!$F$19)))</f>
        <v/>
      </c>
      <c r="N727" s="19" t="str">
        <f aca="false">IF(I727="","",IF(I727&lt;=M727,"OK","ALTA"))</f>
        <v/>
      </c>
      <c r="O727" s="13"/>
    </row>
    <row r="728" customFormat="false" ht="15" hidden="false" customHeight="false" outlineLevel="0" collapsed="false">
      <c r="A728" s="11" t="str">
        <f aca="false">IF(C728="","",ROW()-4)</f>
        <v/>
      </c>
      <c r="B728" s="12"/>
      <c r="C728" s="13"/>
      <c r="D728" s="11" t="str">
        <f aca="false">IF(C728="","",IFERROR(INDEX(LOTES!$D$5:$D$1004,MATCH(C728,LOTES!$F$5:$F$1004,0)),"¿Lote?"))</f>
        <v/>
      </c>
      <c r="E728" s="11" t="str">
        <f aca="false">IF(C728="","",IFERROR(INDEX(LOTES!$C$5:$C$1004,MATCH(C728,LOTES!$F$5:$F$1004,0)),""))</f>
        <v/>
      </c>
      <c r="F728" s="27"/>
      <c r="G728" s="27"/>
      <c r="H728" s="27"/>
      <c r="I728" s="20" t="str">
        <f aca="false">IF(AND(ISNUMBER(F728),ISNUMBER(G728),ISNUMBER(H728),F728&gt;G728,H728&gt;0),(F728-H728)/(F728-G728)*1000,"")</f>
        <v/>
      </c>
      <c r="J728" s="17" t="str">
        <f aca="false">IF(AND(ISNUMBER(F728),ISNUMBER(G728),ISNUMBER(H728),F728&gt;G728,H728&gt;0),(F728-H728)/H728,"")</f>
        <v/>
      </c>
      <c r="K728" s="20" t="str">
        <f aca="false">IF(AND(ISNUMBER(F728),ISNUMBER(G728),ISNUMBER(H728),F728&gt;G728,H728&gt;0),H728/(F728-G728)*1000,"")</f>
        <v/>
      </c>
      <c r="L728" s="11" t="str">
        <f aca="false">IF(K728="","",IF(K728&gt;=CONFIG!$E$21,CONFIG!$D$21,IF(K728&gt;=CONFIG!$E$20,CONFIG!$D$20,CONFIG!$D$19)))</f>
        <v/>
      </c>
      <c r="M728" s="20" t="str">
        <f aca="false">IF(K728="","",IF(K728&gt;=CONFIG!$E$21,CONFIG!$F$21,IF(K728&gt;=CONFIG!$E$20,CONFIG!$F$20,CONFIG!$F$19)))</f>
        <v/>
      </c>
      <c r="N728" s="19" t="str">
        <f aca="false">IF(I728="","",IF(I728&lt;=M728,"OK","ALTA"))</f>
        <v/>
      </c>
      <c r="O728" s="13"/>
    </row>
    <row r="729" customFormat="false" ht="15" hidden="false" customHeight="false" outlineLevel="0" collapsed="false">
      <c r="A729" s="11" t="str">
        <f aca="false">IF(C729="","",ROW()-4)</f>
        <v/>
      </c>
      <c r="B729" s="12"/>
      <c r="C729" s="13"/>
      <c r="D729" s="11" t="str">
        <f aca="false">IF(C729="","",IFERROR(INDEX(LOTES!$D$5:$D$1004,MATCH(C729,LOTES!$F$5:$F$1004,0)),"¿Lote?"))</f>
        <v/>
      </c>
      <c r="E729" s="11" t="str">
        <f aca="false">IF(C729="","",IFERROR(INDEX(LOTES!$C$5:$C$1004,MATCH(C729,LOTES!$F$5:$F$1004,0)),""))</f>
        <v/>
      </c>
      <c r="F729" s="27"/>
      <c r="G729" s="27"/>
      <c r="H729" s="27"/>
      <c r="I729" s="20" t="str">
        <f aca="false">IF(AND(ISNUMBER(F729),ISNUMBER(G729),ISNUMBER(H729),F729&gt;G729,H729&gt;0),(F729-H729)/(F729-G729)*1000,"")</f>
        <v/>
      </c>
      <c r="J729" s="17" t="str">
        <f aca="false">IF(AND(ISNUMBER(F729),ISNUMBER(G729),ISNUMBER(H729),F729&gt;G729,H729&gt;0),(F729-H729)/H729,"")</f>
        <v/>
      </c>
      <c r="K729" s="20" t="str">
        <f aca="false">IF(AND(ISNUMBER(F729),ISNUMBER(G729),ISNUMBER(H729),F729&gt;G729,H729&gt;0),H729/(F729-G729)*1000,"")</f>
        <v/>
      </c>
      <c r="L729" s="11" t="str">
        <f aca="false">IF(K729="","",IF(K729&gt;=CONFIG!$E$21,CONFIG!$D$21,IF(K729&gt;=CONFIG!$E$20,CONFIG!$D$20,CONFIG!$D$19)))</f>
        <v/>
      </c>
      <c r="M729" s="20" t="str">
        <f aca="false">IF(K729="","",IF(K729&gt;=CONFIG!$E$21,CONFIG!$F$21,IF(K729&gt;=CONFIG!$E$20,CONFIG!$F$20,CONFIG!$F$19)))</f>
        <v/>
      </c>
      <c r="N729" s="19" t="str">
        <f aca="false">IF(I729="","",IF(I729&lt;=M729,"OK","ALTA"))</f>
        <v/>
      </c>
      <c r="O729" s="13"/>
    </row>
    <row r="730" customFormat="false" ht="15" hidden="false" customHeight="false" outlineLevel="0" collapsed="false">
      <c r="A730" s="11" t="str">
        <f aca="false">IF(C730="","",ROW()-4)</f>
        <v/>
      </c>
      <c r="B730" s="12"/>
      <c r="C730" s="13"/>
      <c r="D730" s="11" t="str">
        <f aca="false">IF(C730="","",IFERROR(INDEX(LOTES!$D$5:$D$1004,MATCH(C730,LOTES!$F$5:$F$1004,0)),"¿Lote?"))</f>
        <v/>
      </c>
      <c r="E730" s="11" t="str">
        <f aca="false">IF(C730="","",IFERROR(INDEX(LOTES!$C$5:$C$1004,MATCH(C730,LOTES!$F$5:$F$1004,0)),""))</f>
        <v/>
      </c>
      <c r="F730" s="27"/>
      <c r="G730" s="27"/>
      <c r="H730" s="27"/>
      <c r="I730" s="20" t="str">
        <f aca="false">IF(AND(ISNUMBER(F730),ISNUMBER(G730),ISNUMBER(H730),F730&gt;G730,H730&gt;0),(F730-H730)/(F730-G730)*1000,"")</f>
        <v/>
      </c>
      <c r="J730" s="17" t="str">
        <f aca="false">IF(AND(ISNUMBER(F730),ISNUMBER(G730),ISNUMBER(H730),F730&gt;G730,H730&gt;0),(F730-H730)/H730,"")</f>
        <v/>
      </c>
      <c r="K730" s="20" t="str">
        <f aca="false">IF(AND(ISNUMBER(F730),ISNUMBER(G730),ISNUMBER(H730),F730&gt;G730,H730&gt;0),H730/(F730-G730)*1000,"")</f>
        <v/>
      </c>
      <c r="L730" s="11" t="str">
        <f aca="false">IF(K730="","",IF(K730&gt;=CONFIG!$E$21,CONFIG!$D$21,IF(K730&gt;=CONFIG!$E$20,CONFIG!$D$20,CONFIG!$D$19)))</f>
        <v/>
      </c>
      <c r="M730" s="20" t="str">
        <f aca="false">IF(K730="","",IF(K730&gt;=CONFIG!$E$21,CONFIG!$F$21,IF(K730&gt;=CONFIG!$E$20,CONFIG!$F$20,CONFIG!$F$19)))</f>
        <v/>
      </c>
      <c r="N730" s="19" t="str">
        <f aca="false">IF(I730="","",IF(I730&lt;=M730,"OK","ALTA"))</f>
        <v/>
      </c>
      <c r="O730" s="13"/>
    </row>
    <row r="731" customFormat="false" ht="15" hidden="false" customHeight="false" outlineLevel="0" collapsed="false">
      <c r="A731" s="11" t="str">
        <f aca="false">IF(C731="","",ROW()-4)</f>
        <v/>
      </c>
      <c r="B731" s="12"/>
      <c r="C731" s="13"/>
      <c r="D731" s="11" t="str">
        <f aca="false">IF(C731="","",IFERROR(INDEX(LOTES!$D$5:$D$1004,MATCH(C731,LOTES!$F$5:$F$1004,0)),"¿Lote?"))</f>
        <v/>
      </c>
      <c r="E731" s="11" t="str">
        <f aca="false">IF(C731="","",IFERROR(INDEX(LOTES!$C$5:$C$1004,MATCH(C731,LOTES!$F$5:$F$1004,0)),""))</f>
        <v/>
      </c>
      <c r="F731" s="27"/>
      <c r="G731" s="27"/>
      <c r="H731" s="27"/>
      <c r="I731" s="20" t="str">
        <f aca="false">IF(AND(ISNUMBER(F731),ISNUMBER(G731),ISNUMBER(H731),F731&gt;G731,H731&gt;0),(F731-H731)/(F731-G731)*1000,"")</f>
        <v/>
      </c>
      <c r="J731" s="17" t="str">
        <f aca="false">IF(AND(ISNUMBER(F731),ISNUMBER(G731),ISNUMBER(H731),F731&gt;G731,H731&gt;0),(F731-H731)/H731,"")</f>
        <v/>
      </c>
      <c r="K731" s="20" t="str">
        <f aca="false">IF(AND(ISNUMBER(F731),ISNUMBER(G731),ISNUMBER(H731),F731&gt;G731,H731&gt;0),H731/(F731-G731)*1000,"")</f>
        <v/>
      </c>
      <c r="L731" s="11" t="str">
        <f aca="false">IF(K731="","",IF(K731&gt;=CONFIG!$E$21,CONFIG!$D$21,IF(K731&gt;=CONFIG!$E$20,CONFIG!$D$20,CONFIG!$D$19)))</f>
        <v/>
      </c>
      <c r="M731" s="20" t="str">
        <f aca="false">IF(K731="","",IF(K731&gt;=CONFIG!$E$21,CONFIG!$F$21,IF(K731&gt;=CONFIG!$E$20,CONFIG!$F$20,CONFIG!$F$19)))</f>
        <v/>
      </c>
      <c r="N731" s="19" t="str">
        <f aca="false">IF(I731="","",IF(I731&lt;=M731,"OK","ALTA"))</f>
        <v/>
      </c>
      <c r="O731" s="13"/>
    </row>
    <row r="732" customFormat="false" ht="15" hidden="false" customHeight="false" outlineLevel="0" collapsed="false">
      <c r="A732" s="11" t="str">
        <f aca="false">IF(C732="","",ROW()-4)</f>
        <v/>
      </c>
      <c r="B732" s="12"/>
      <c r="C732" s="13"/>
      <c r="D732" s="11" t="str">
        <f aca="false">IF(C732="","",IFERROR(INDEX(LOTES!$D$5:$D$1004,MATCH(C732,LOTES!$F$5:$F$1004,0)),"¿Lote?"))</f>
        <v/>
      </c>
      <c r="E732" s="11" t="str">
        <f aca="false">IF(C732="","",IFERROR(INDEX(LOTES!$C$5:$C$1004,MATCH(C732,LOTES!$F$5:$F$1004,0)),""))</f>
        <v/>
      </c>
      <c r="F732" s="27"/>
      <c r="G732" s="27"/>
      <c r="H732" s="27"/>
      <c r="I732" s="20" t="str">
        <f aca="false">IF(AND(ISNUMBER(F732),ISNUMBER(G732),ISNUMBER(H732),F732&gt;G732,H732&gt;0),(F732-H732)/(F732-G732)*1000,"")</f>
        <v/>
      </c>
      <c r="J732" s="17" t="str">
        <f aca="false">IF(AND(ISNUMBER(F732),ISNUMBER(G732),ISNUMBER(H732),F732&gt;G732,H732&gt;0),(F732-H732)/H732,"")</f>
        <v/>
      </c>
      <c r="K732" s="20" t="str">
        <f aca="false">IF(AND(ISNUMBER(F732),ISNUMBER(G732),ISNUMBER(H732),F732&gt;G732,H732&gt;0),H732/(F732-G732)*1000,"")</f>
        <v/>
      </c>
      <c r="L732" s="11" t="str">
        <f aca="false">IF(K732="","",IF(K732&gt;=CONFIG!$E$21,CONFIG!$D$21,IF(K732&gt;=CONFIG!$E$20,CONFIG!$D$20,CONFIG!$D$19)))</f>
        <v/>
      </c>
      <c r="M732" s="20" t="str">
        <f aca="false">IF(K732="","",IF(K732&gt;=CONFIG!$E$21,CONFIG!$F$21,IF(K732&gt;=CONFIG!$E$20,CONFIG!$F$20,CONFIG!$F$19)))</f>
        <v/>
      </c>
      <c r="N732" s="19" t="str">
        <f aca="false">IF(I732="","",IF(I732&lt;=M732,"OK","ALTA"))</f>
        <v/>
      </c>
      <c r="O732" s="13"/>
    </row>
    <row r="733" customFormat="false" ht="15" hidden="false" customHeight="false" outlineLevel="0" collapsed="false">
      <c r="A733" s="11" t="str">
        <f aca="false">IF(C733="","",ROW()-4)</f>
        <v/>
      </c>
      <c r="B733" s="12"/>
      <c r="C733" s="13"/>
      <c r="D733" s="11" t="str">
        <f aca="false">IF(C733="","",IFERROR(INDEX(LOTES!$D$5:$D$1004,MATCH(C733,LOTES!$F$5:$F$1004,0)),"¿Lote?"))</f>
        <v/>
      </c>
      <c r="E733" s="11" t="str">
        <f aca="false">IF(C733="","",IFERROR(INDEX(LOTES!$C$5:$C$1004,MATCH(C733,LOTES!$F$5:$F$1004,0)),""))</f>
        <v/>
      </c>
      <c r="F733" s="27"/>
      <c r="G733" s="27"/>
      <c r="H733" s="27"/>
      <c r="I733" s="20" t="str">
        <f aca="false">IF(AND(ISNUMBER(F733),ISNUMBER(G733),ISNUMBER(H733),F733&gt;G733,H733&gt;0),(F733-H733)/(F733-G733)*1000,"")</f>
        <v/>
      </c>
      <c r="J733" s="17" t="str">
        <f aca="false">IF(AND(ISNUMBER(F733),ISNUMBER(G733),ISNUMBER(H733),F733&gt;G733,H733&gt;0),(F733-H733)/H733,"")</f>
        <v/>
      </c>
      <c r="K733" s="20" t="str">
        <f aca="false">IF(AND(ISNUMBER(F733),ISNUMBER(G733),ISNUMBER(H733),F733&gt;G733,H733&gt;0),H733/(F733-G733)*1000,"")</f>
        <v/>
      </c>
      <c r="L733" s="11" t="str">
        <f aca="false">IF(K733="","",IF(K733&gt;=CONFIG!$E$21,CONFIG!$D$21,IF(K733&gt;=CONFIG!$E$20,CONFIG!$D$20,CONFIG!$D$19)))</f>
        <v/>
      </c>
      <c r="M733" s="20" t="str">
        <f aca="false">IF(K733="","",IF(K733&gt;=CONFIG!$E$21,CONFIG!$F$21,IF(K733&gt;=CONFIG!$E$20,CONFIG!$F$20,CONFIG!$F$19)))</f>
        <v/>
      </c>
      <c r="N733" s="19" t="str">
        <f aca="false">IF(I733="","",IF(I733&lt;=M733,"OK","ALTA"))</f>
        <v/>
      </c>
      <c r="O733" s="13"/>
    </row>
    <row r="734" customFormat="false" ht="15" hidden="false" customHeight="false" outlineLevel="0" collapsed="false">
      <c r="A734" s="11" t="str">
        <f aca="false">IF(C734="","",ROW()-4)</f>
        <v/>
      </c>
      <c r="B734" s="12"/>
      <c r="C734" s="13"/>
      <c r="D734" s="11" t="str">
        <f aca="false">IF(C734="","",IFERROR(INDEX(LOTES!$D$5:$D$1004,MATCH(C734,LOTES!$F$5:$F$1004,0)),"¿Lote?"))</f>
        <v/>
      </c>
      <c r="E734" s="11" t="str">
        <f aca="false">IF(C734="","",IFERROR(INDEX(LOTES!$C$5:$C$1004,MATCH(C734,LOTES!$F$5:$F$1004,0)),""))</f>
        <v/>
      </c>
      <c r="F734" s="27"/>
      <c r="G734" s="27"/>
      <c r="H734" s="27"/>
      <c r="I734" s="20" t="str">
        <f aca="false">IF(AND(ISNUMBER(F734),ISNUMBER(G734),ISNUMBER(H734),F734&gt;G734,H734&gt;0),(F734-H734)/(F734-G734)*1000,"")</f>
        <v/>
      </c>
      <c r="J734" s="17" t="str">
        <f aca="false">IF(AND(ISNUMBER(F734),ISNUMBER(G734),ISNUMBER(H734),F734&gt;G734,H734&gt;0),(F734-H734)/H734,"")</f>
        <v/>
      </c>
      <c r="K734" s="20" t="str">
        <f aca="false">IF(AND(ISNUMBER(F734),ISNUMBER(G734),ISNUMBER(H734),F734&gt;G734,H734&gt;0),H734/(F734-G734)*1000,"")</f>
        <v/>
      </c>
      <c r="L734" s="11" t="str">
        <f aca="false">IF(K734="","",IF(K734&gt;=CONFIG!$E$21,CONFIG!$D$21,IF(K734&gt;=CONFIG!$E$20,CONFIG!$D$20,CONFIG!$D$19)))</f>
        <v/>
      </c>
      <c r="M734" s="20" t="str">
        <f aca="false">IF(K734="","",IF(K734&gt;=CONFIG!$E$21,CONFIG!$F$21,IF(K734&gt;=CONFIG!$E$20,CONFIG!$F$20,CONFIG!$F$19)))</f>
        <v/>
      </c>
      <c r="N734" s="19" t="str">
        <f aca="false">IF(I734="","",IF(I734&lt;=M734,"OK","ALTA"))</f>
        <v/>
      </c>
      <c r="O734" s="13"/>
    </row>
    <row r="735" customFormat="false" ht="15" hidden="false" customHeight="false" outlineLevel="0" collapsed="false">
      <c r="A735" s="11" t="str">
        <f aca="false">IF(C735="","",ROW()-4)</f>
        <v/>
      </c>
      <c r="B735" s="12"/>
      <c r="C735" s="13"/>
      <c r="D735" s="11" t="str">
        <f aca="false">IF(C735="","",IFERROR(INDEX(LOTES!$D$5:$D$1004,MATCH(C735,LOTES!$F$5:$F$1004,0)),"¿Lote?"))</f>
        <v/>
      </c>
      <c r="E735" s="11" t="str">
        <f aca="false">IF(C735="","",IFERROR(INDEX(LOTES!$C$5:$C$1004,MATCH(C735,LOTES!$F$5:$F$1004,0)),""))</f>
        <v/>
      </c>
      <c r="F735" s="27"/>
      <c r="G735" s="27"/>
      <c r="H735" s="27"/>
      <c r="I735" s="20" t="str">
        <f aca="false">IF(AND(ISNUMBER(F735),ISNUMBER(G735),ISNUMBER(H735),F735&gt;G735,H735&gt;0),(F735-H735)/(F735-G735)*1000,"")</f>
        <v/>
      </c>
      <c r="J735" s="17" t="str">
        <f aca="false">IF(AND(ISNUMBER(F735),ISNUMBER(G735),ISNUMBER(H735),F735&gt;G735,H735&gt;0),(F735-H735)/H735,"")</f>
        <v/>
      </c>
      <c r="K735" s="20" t="str">
        <f aca="false">IF(AND(ISNUMBER(F735),ISNUMBER(G735),ISNUMBER(H735),F735&gt;G735,H735&gt;0),H735/(F735-G735)*1000,"")</f>
        <v/>
      </c>
      <c r="L735" s="11" t="str">
        <f aca="false">IF(K735="","",IF(K735&gt;=CONFIG!$E$21,CONFIG!$D$21,IF(K735&gt;=CONFIG!$E$20,CONFIG!$D$20,CONFIG!$D$19)))</f>
        <v/>
      </c>
      <c r="M735" s="20" t="str">
        <f aca="false">IF(K735="","",IF(K735&gt;=CONFIG!$E$21,CONFIG!$F$21,IF(K735&gt;=CONFIG!$E$20,CONFIG!$F$20,CONFIG!$F$19)))</f>
        <v/>
      </c>
      <c r="N735" s="19" t="str">
        <f aca="false">IF(I735="","",IF(I735&lt;=M735,"OK","ALTA"))</f>
        <v/>
      </c>
      <c r="O735" s="13"/>
    </row>
    <row r="736" customFormat="false" ht="15" hidden="false" customHeight="false" outlineLevel="0" collapsed="false">
      <c r="A736" s="11" t="str">
        <f aca="false">IF(C736="","",ROW()-4)</f>
        <v/>
      </c>
      <c r="B736" s="12"/>
      <c r="C736" s="13"/>
      <c r="D736" s="11" t="str">
        <f aca="false">IF(C736="","",IFERROR(INDEX(LOTES!$D$5:$D$1004,MATCH(C736,LOTES!$F$5:$F$1004,0)),"¿Lote?"))</f>
        <v/>
      </c>
      <c r="E736" s="11" t="str">
        <f aca="false">IF(C736="","",IFERROR(INDEX(LOTES!$C$5:$C$1004,MATCH(C736,LOTES!$F$5:$F$1004,0)),""))</f>
        <v/>
      </c>
      <c r="F736" s="27"/>
      <c r="G736" s="27"/>
      <c r="H736" s="27"/>
      <c r="I736" s="20" t="str">
        <f aca="false">IF(AND(ISNUMBER(F736),ISNUMBER(G736),ISNUMBER(H736),F736&gt;G736,H736&gt;0),(F736-H736)/(F736-G736)*1000,"")</f>
        <v/>
      </c>
      <c r="J736" s="17" t="str">
        <f aca="false">IF(AND(ISNUMBER(F736),ISNUMBER(G736),ISNUMBER(H736),F736&gt;G736,H736&gt;0),(F736-H736)/H736,"")</f>
        <v/>
      </c>
      <c r="K736" s="20" t="str">
        <f aca="false">IF(AND(ISNUMBER(F736),ISNUMBER(G736),ISNUMBER(H736),F736&gt;G736,H736&gt;0),H736/(F736-G736)*1000,"")</f>
        <v/>
      </c>
      <c r="L736" s="11" t="str">
        <f aca="false">IF(K736="","",IF(K736&gt;=CONFIG!$E$21,CONFIG!$D$21,IF(K736&gt;=CONFIG!$E$20,CONFIG!$D$20,CONFIG!$D$19)))</f>
        <v/>
      </c>
      <c r="M736" s="20" t="str">
        <f aca="false">IF(K736="","",IF(K736&gt;=CONFIG!$E$21,CONFIG!$F$21,IF(K736&gt;=CONFIG!$E$20,CONFIG!$F$20,CONFIG!$F$19)))</f>
        <v/>
      </c>
      <c r="N736" s="19" t="str">
        <f aca="false">IF(I736="","",IF(I736&lt;=M736,"OK","ALTA"))</f>
        <v/>
      </c>
      <c r="O736" s="13"/>
    </row>
    <row r="737" customFormat="false" ht="15" hidden="false" customHeight="false" outlineLevel="0" collapsed="false">
      <c r="A737" s="11" t="str">
        <f aca="false">IF(C737="","",ROW()-4)</f>
        <v/>
      </c>
      <c r="B737" s="12"/>
      <c r="C737" s="13"/>
      <c r="D737" s="11" t="str">
        <f aca="false">IF(C737="","",IFERROR(INDEX(LOTES!$D$5:$D$1004,MATCH(C737,LOTES!$F$5:$F$1004,0)),"¿Lote?"))</f>
        <v/>
      </c>
      <c r="E737" s="11" t="str">
        <f aca="false">IF(C737="","",IFERROR(INDEX(LOTES!$C$5:$C$1004,MATCH(C737,LOTES!$F$5:$F$1004,0)),""))</f>
        <v/>
      </c>
      <c r="F737" s="27"/>
      <c r="G737" s="27"/>
      <c r="H737" s="27"/>
      <c r="I737" s="20" t="str">
        <f aca="false">IF(AND(ISNUMBER(F737),ISNUMBER(G737),ISNUMBER(H737),F737&gt;G737,H737&gt;0),(F737-H737)/(F737-G737)*1000,"")</f>
        <v/>
      </c>
      <c r="J737" s="17" t="str">
        <f aca="false">IF(AND(ISNUMBER(F737),ISNUMBER(G737),ISNUMBER(H737),F737&gt;G737,H737&gt;0),(F737-H737)/H737,"")</f>
        <v/>
      </c>
      <c r="K737" s="20" t="str">
        <f aca="false">IF(AND(ISNUMBER(F737),ISNUMBER(G737),ISNUMBER(H737),F737&gt;G737,H737&gt;0),H737/(F737-G737)*1000,"")</f>
        <v/>
      </c>
      <c r="L737" s="11" t="str">
        <f aca="false">IF(K737="","",IF(K737&gt;=CONFIG!$E$21,CONFIG!$D$21,IF(K737&gt;=CONFIG!$E$20,CONFIG!$D$20,CONFIG!$D$19)))</f>
        <v/>
      </c>
      <c r="M737" s="20" t="str">
        <f aca="false">IF(K737="","",IF(K737&gt;=CONFIG!$E$21,CONFIG!$F$21,IF(K737&gt;=CONFIG!$E$20,CONFIG!$F$20,CONFIG!$F$19)))</f>
        <v/>
      </c>
      <c r="N737" s="19" t="str">
        <f aca="false">IF(I737="","",IF(I737&lt;=M737,"OK","ALTA"))</f>
        <v/>
      </c>
      <c r="O737" s="13"/>
    </row>
    <row r="738" customFormat="false" ht="15" hidden="false" customHeight="false" outlineLevel="0" collapsed="false">
      <c r="A738" s="11" t="str">
        <f aca="false">IF(C738="","",ROW()-4)</f>
        <v/>
      </c>
      <c r="B738" s="12"/>
      <c r="C738" s="13"/>
      <c r="D738" s="11" t="str">
        <f aca="false">IF(C738="","",IFERROR(INDEX(LOTES!$D$5:$D$1004,MATCH(C738,LOTES!$F$5:$F$1004,0)),"¿Lote?"))</f>
        <v/>
      </c>
      <c r="E738" s="11" t="str">
        <f aca="false">IF(C738="","",IFERROR(INDEX(LOTES!$C$5:$C$1004,MATCH(C738,LOTES!$F$5:$F$1004,0)),""))</f>
        <v/>
      </c>
      <c r="F738" s="27"/>
      <c r="G738" s="27"/>
      <c r="H738" s="27"/>
      <c r="I738" s="20" t="str">
        <f aca="false">IF(AND(ISNUMBER(F738),ISNUMBER(G738),ISNUMBER(H738),F738&gt;G738,H738&gt;0),(F738-H738)/(F738-G738)*1000,"")</f>
        <v/>
      </c>
      <c r="J738" s="17" t="str">
        <f aca="false">IF(AND(ISNUMBER(F738),ISNUMBER(G738),ISNUMBER(H738),F738&gt;G738,H738&gt;0),(F738-H738)/H738,"")</f>
        <v/>
      </c>
      <c r="K738" s="20" t="str">
        <f aca="false">IF(AND(ISNUMBER(F738),ISNUMBER(G738),ISNUMBER(H738),F738&gt;G738,H738&gt;0),H738/(F738-G738)*1000,"")</f>
        <v/>
      </c>
      <c r="L738" s="11" t="str">
        <f aca="false">IF(K738="","",IF(K738&gt;=CONFIG!$E$21,CONFIG!$D$21,IF(K738&gt;=CONFIG!$E$20,CONFIG!$D$20,CONFIG!$D$19)))</f>
        <v/>
      </c>
      <c r="M738" s="20" t="str">
        <f aca="false">IF(K738="","",IF(K738&gt;=CONFIG!$E$21,CONFIG!$F$21,IF(K738&gt;=CONFIG!$E$20,CONFIG!$F$20,CONFIG!$F$19)))</f>
        <v/>
      </c>
      <c r="N738" s="19" t="str">
        <f aca="false">IF(I738="","",IF(I738&lt;=M738,"OK","ALTA"))</f>
        <v/>
      </c>
      <c r="O738" s="13"/>
    </row>
    <row r="739" customFormat="false" ht="15" hidden="false" customHeight="false" outlineLevel="0" collapsed="false">
      <c r="A739" s="11" t="str">
        <f aca="false">IF(C739="","",ROW()-4)</f>
        <v/>
      </c>
      <c r="B739" s="12"/>
      <c r="C739" s="13"/>
      <c r="D739" s="11" t="str">
        <f aca="false">IF(C739="","",IFERROR(INDEX(LOTES!$D$5:$D$1004,MATCH(C739,LOTES!$F$5:$F$1004,0)),"¿Lote?"))</f>
        <v/>
      </c>
      <c r="E739" s="11" t="str">
        <f aca="false">IF(C739="","",IFERROR(INDEX(LOTES!$C$5:$C$1004,MATCH(C739,LOTES!$F$5:$F$1004,0)),""))</f>
        <v/>
      </c>
      <c r="F739" s="27"/>
      <c r="G739" s="27"/>
      <c r="H739" s="27"/>
      <c r="I739" s="20" t="str">
        <f aca="false">IF(AND(ISNUMBER(F739),ISNUMBER(G739),ISNUMBER(H739),F739&gt;G739,H739&gt;0),(F739-H739)/(F739-G739)*1000,"")</f>
        <v/>
      </c>
      <c r="J739" s="17" t="str">
        <f aca="false">IF(AND(ISNUMBER(F739),ISNUMBER(G739),ISNUMBER(H739),F739&gt;G739,H739&gt;0),(F739-H739)/H739,"")</f>
        <v/>
      </c>
      <c r="K739" s="20" t="str">
        <f aca="false">IF(AND(ISNUMBER(F739),ISNUMBER(G739),ISNUMBER(H739),F739&gt;G739,H739&gt;0),H739/(F739-G739)*1000,"")</f>
        <v/>
      </c>
      <c r="L739" s="11" t="str">
        <f aca="false">IF(K739="","",IF(K739&gt;=CONFIG!$E$21,CONFIG!$D$21,IF(K739&gt;=CONFIG!$E$20,CONFIG!$D$20,CONFIG!$D$19)))</f>
        <v/>
      </c>
      <c r="M739" s="20" t="str">
        <f aca="false">IF(K739="","",IF(K739&gt;=CONFIG!$E$21,CONFIG!$F$21,IF(K739&gt;=CONFIG!$E$20,CONFIG!$F$20,CONFIG!$F$19)))</f>
        <v/>
      </c>
      <c r="N739" s="19" t="str">
        <f aca="false">IF(I739="","",IF(I739&lt;=M739,"OK","ALTA"))</f>
        <v/>
      </c>
      <c r="O739" s="13"/>
    </row>
    <row r="740" customFormat="false" ht="15" hidden="false" customHeight="false" outlineLevel="0" collapsed="false">
      <c r="A740" s="11" t="str">
        <f aca="false">IF(C740="","",ROW()-4)</f>
        <v/>
      </c>
      <c r="B740" s="12"/>
      <c r="C740" s="13"/>
      <c r="D740" s="11" t="str">
        <f aca="false">IF(C740="","",IFERROR(INDEX(LOTES!$D$5:$D$1004,MATCH(C740,LOTES!$F$5:$F$1004,0)),"¿Lote?"))</f>
        <v/>
      </c>
      <c r="E740" s="11" t="str">
        <f aca="false">IF(C740="","",IFERROR(INDEX(LOTES!$C$5:$C$1004,MATCH(C740,LOTES!$F$5:$F$1004,0)),""))</f>
        <v/>
      </c>
      <c r="F740" s="27"/>
      <c r="G740" s="27"/>
      <c r="H740" s="27"/>
      <c r="I740" s="20" t="str">
        <f aca="false">IF(AND(ISNUMBER(F740),ISNUMBER(G740),ISNUMBER(H740),F740&gt;G740,H740&gt;0),(F740-H740)/(F740-G740)*1000,"")</f>
        <v/>
      </c>
      <c r="J740" s="17" t="str">
        <f aca="false">IF(AND(ISNUMBER(F740),ISNUMBER(G740),ISNUMBER(H740),F740&gt;G740,H740&gt;0),(F740-H740)/H740,"")</f>
        <v/>
      </c>
      <c r="K740" s="20" t="str">
        <f aca="false">IF(AND(ISNUMBER(F740),ISNUMBER(G740),ISNUMBER(H740),F740&gt;G740,H740&gt;0),H740/(F740-G740)*1000,"")</f>
        <v/>
      </c>
      <c r="L740" s="11" t="str">
        <f aca="false">IF(K740="","",IF(K740&gt;=CONFIG!$E$21,CONFIG!$D$21,IF(K740&gt;=CONFIG!$E$20,CONFIG!$D$20,CONFIG!$D$19)))</f>
        <v/>
      </c>
      <c r="M740" s="20" t="str">
        <f aca="false">IF(K740="","",IF(K740&gt;=CONFIG!$E$21,CONFIG!$F$21,IF(K740&gt;=CONFIG!$E$20,CONFIG!$F$20,CONFIG!$F$19)))</f>
        <v/>
      </c>
      <c r="N740" s="19" t="str">
        <f aca="false">IF(I740="","",IF(I740&lt;=M740,"OK","ALTA"))</f>
        <v/>
      </c>
      <c r="O740" s="13"/>
    </row>
    <row r="741" customFormat="false" ht="15" hidden="false" customHeight="false" outlineLevel="0" collapsed="false">
      <c r="A741" s="11" t="str">
        <f aca="false">IF(C741="","",ROW()-4)</f>
        <v/>
      </c>
      <c r="B741" s="12"/>
      <c r="C741" s="13"/>
      <c r="D741" s="11" t="str">
        <f aca="false">IF(C741="","",IFERROR(INDEX(LOTES!$D$5:$D$1004,MATCH(C741,LOTES!$F$5:$F$1004,0)),"¿Lote?"))</f>
        <v/>
      </c>
      <c r="E741" s="11" t="str">
        <f aca="false">IF(C741="","",IFERROR(INDEX(LOTES!$C$5:$C$1004,MATCH(C741,LOTES!$F$5:$F$1004,0)),""))</f>
        <v/>
      </c>
      <c r="F741" s="27"/>
      <c r="G741" s="27"/>
      <c r="H741" s="27"/>
      <c r="I741" s="20" t="str">
        <f aca="false">IF(AND(ISNUMBER(F741),ISNUMBER(G741),ISNUMBER(H741),F741&gt;G741,H741&gt;0),(F741-H741)/(F741-G741)*1000,"")</f>
        <v/>
      </c>
      <c r="J741" s="17" t="str">
        <f aca="false">IF(AND(ISNUMBER(F741),ISNUMBER(G741),ISNUMBER(H741),F741&gt;G741,H741&gt;0),(F741-H741)/H741,"")</f>
        <v/>
      </c>
      <c r="K741" s="20" t="str">
        <f aca="false">IF(AND(ISNUMBER(F741),ISNUMBER(G741),ISNUMBER(H741),F741&gt;G741,H741&gt;0),H741/(F741-G741)*1000,"")</f>
        <v/>
      </c>
      <c r="L741" s="11" t="str">
        <f aca="false">IF(K741="","",IF(K741&gt;=CONFIG!$E$21,CONFIG!$D$21,IF(K741&gt;=CONFIG!$E$20,CONFIG!$D$20,CONFIG!$D$19)))</f>
        <v/>
      </c>
      <c r="M741" s="20" t="str">
        <f aca="false">IF(K741="","",IF(K741&gt;=CONFIG!$E$21,CONFIG!$F$21,IF(K741&gt;=CONFIG!$E$20,CONFIG!$F$20,CONFIG!$F$19)))</f>
        <v/>
      </c>
      <c r="N741" s="19" t="str">
        <f aca="false">IF(I741="","",IF(I741&lt;=M741,"OK","ALTA"))</f>
        <v/>
      </c>
      <c r="O741" s="13"/>
    </row>
    <row r="742" customFormat="false" ht="15" hidden="false" customHeight="false" outlineLevel="0" collapsed="false">
      <c r="A742" s="11" t="str">
        <f aca="false">IF(C742="","",ROW()-4)</f>
        <v/>
      </c>
      <c r="B742" s="12"/>
      <c r="C742" s="13"/>
      <c r="D742" s="11" t="str">
        <f aca="false">IF(C742="","",IFERROR(INDEX(LOTES!$D$5:$D$1004,MATCH(C742,LOTES!$F$5:$F$1004,0)),"¿Lote?"))</f>
        <v/>
      </c>
      <c r="E742" s="11" t="str">
        <f aca="false">IF(C742="","",IFERROR(INDEX(LOTES!$C$5:$C$1004,MATCH(C742,LOTES!$F$5:$F$1004,0)),""))</f>
        <v/>
      </c>
      <c r="F742" s="27"/>
      <c r="G742" s="27"/>
      <c r="H742" s="27"/>
      <c r="I742" s="20" t="str">
        <f aca="false">IF(AND(ISNUMBER(F742),ISNUMBER(G742),ISNUMBER(H742),F742&gt;G742,H742&gt;0),(F742-H742)/(F742-G742)*1000,"")</f>
        <v/>
      </c>
      <c r="J742" s="17" t="str">
        <f aca="false">IF(AND(ISNUMBER(F742),ISNUMBER(G742),ISNUMBER(H742),F742&gt;G742,H742&gt;0),(F742-H742)/H742,"")</f>
        <v/>
      </c>
      <c r="K742" s="20" t="str">
        <f aca="false">IF(AND(ISNUMBER(F742),ISNUMBER(G742),ISNUMBER(H742),F742&gt;G742,H742&gt;0),H742/(F742-G742)*1000,"")</f>
        <v/>
      </c>
      <c r="L742" s="11" t="str">
        <f aca="false">IF(K742="","",IF(K742&gt;=CONFIG!$E$21,CONFIG!$D$21,IF(K742&gt;=CONFIG!$E$20,CONFIG!$D$20,CONFIG!$D$19)))</f>
        <v/>
      </c>
      <c r="M742" s="20" t="str">
        <f aca="false">IF(K742="","",IF(K742&gt;=CONFIG!$E$21,CONFIG!$F$21,IF(K742&gt;=CONFIG!$E$20,CONFIG!$F$20,CONFIG!$F$19)))</f>
        <v/>
      </c>
      <c r="N742" s="19" t="str">
        <f aca="false">IF(I742="","",IF(I742&lt;=M742,"OK","ALTA"))</f>
        <v/>
      </c>
      <c r="O742" s="13"/>
    </row>
    <row r="743" customFormat="false" ht="15" hidden="false" customHeight="false" outlineLevel="0" collapsed="false">
      <c r="A743" s="11" t="str">
        <f aca="false">IF(C743="","",ROW()-4)</f>
        <v/>
      </c>
      <c r="B743" s="12"/>
      <c r="C743" s="13"/>
      <c r="D743" s="11" t="str">
        <f aca="false">IF(C743="","",IFERROR(INDEX(LOTES!$D$5:$D$1004,MATCH(C743,LOTES!$F$5:$F$1004,0)),"¿Lote?"))</f>
        <v/>
      </c>
      <c r="E743" s="11" t="str">
        <f aca="false">IF(C743="","",IFERROR(INDEX(LOTES!$C$5:$C$1004,MATCH(C743,LOTES!$F$5:$F$1004,0)),""))</f>
        <v/>
      </c>
      <c r="F743" s="27"/>
      <c r="G743" s="27"/>
      <c r="H743" s="27"/>
      <c r="I743" s="20" t="str">
        <f aca="false">IF(AND(ISNUMBER(F743),ISNUMBER(G743),ISNUMBER(H743),F743&gt;G743,H743&gt;0),(F743-H743)/(F743-G743)*1000,"")</f>
        <v/>
      </c>
      <c r="J743" s="17" t="str">
        <f aca="false">IF(AND(ISNUMBER(F743),ISNUMBER(G743),ISNUMBER(H743),F743&gt;G743,H743&gt;0),(F743-H743)/H743,"")</f>
        <v/>
      </c>
      <c r="K743" s="20" t="str">
        <f aca="false">IF(AND(ISNUMBER(F743),ISNUMBER(G743),ISNUMBER(H743),F743&gt;G743,H743&gt;0),H743/(F743-G743)*1000,"")</f>
        <v/>
      </c>
      <c r="L743" s="11" t="str">
        <f aca="false">IF(K743="","",IF(K743&gt;=CONFIG!$E$21,CONFIG!$D$21,IF(K743&gt;=CONFIG!$E$20,CONFIG!$D$20,CONFIG!$D$19)))</f>
        <v/>
      </c>
      <c r="M743" s="20" t="str">
        <f aca="false">IF(K743="","",IF(K743&gt;=CONFIG!$E$21,CONFIG!$F$21,IF(K743&gt;=CONFIG!$E$20,CONFIG!$F$20,CONFIG!$F$19)))</f>
        <v/>
      </c>
      <c r="N743" s="19" t="str">
        <f aca="false">IF(I743="","",IF(I743&lt;=M743,"OK","ALTA"))</f>
        <v/>
      </c>
      <c r="O743" s="13"/>
    </row>
    <row r="744" customFormat="false" ht="15" hidden="false" customHeight="false" outlineLevel="0" collapsed="false">
      <c r="A744" s="11" t="str">
        <f aca="false">IF(C744="","",ROW()-4)</f>
        <v/>
      </c>
      <c r="B744" s="12"/>
      <c r="C744" s="13"/>
      <c r="D744" s="11" t="str">
        <f aca="false">IF(C744="","",IFERROR(INDEX(LOTES!$D$5:$D$1004,MATCH(C744,LOTES!$F$5:$F$1004,0)),"¿Lote?"))</f>
        <v/>
      </c>
      <c r="E744" s="11" t="str">
        <f aca="false">IF(C744="","",IFERROR(INDEX(LOTES!$C$5:$C$1004,MATCH(C744,LOTES!$F$5:$F$1004,0)),""))</f>
        <v/>
      </c>
      <c r="F744" s="27"/>
      <c r="G744" s="27"/>
      <c r="H744" s="27"/>
      <c r="I744" s="20" t="str">
        <f aca="false">IF(AND(ISNUMBER(F744),ISNUMBER(G744),ISNUMBER(H744),F744&gt;G744,H744&gt;0),(F744-H744)/(F744-G744)*1000,"")</f>
        <v/>
      </c>
      <c r="J744" s="17" t="str">
        <f aca="false">IF(AND(ISNUMBER(F744),ISNUMBER(G744),ISNUMBER(H744),F744&gt;G744,H744&gt;0),(F744-H744)/H744,"")</f>
        <v/>
      </c>
      <c r="K744" s="20" t="str">
        <f aca="false">IF(AND(ISNUMBER(F744),ISNUMBER(G744),ISNUMBER(H744),F744&gt;G744,H744&gt;0),H744/(F744-G744)*1000,"")</f>
        <v/>
      </c>
      <c r="L744" s="11" t="str">
        <f aca="false">IF(K744="","",IF(K744&gt;=CONFIG!$E$21,CONFIG!$D$21,IF(K744&gt;=CONFIG!$E$20,CONFIG!$D$20,CONFIG!$D$19)))</f>
        <v/>
      </c>
      <c r="M744" s="20" t="str">
        <f aca="false">IF(K744="","",IF(K744&gt;=CONFIG!$E$21,CONFIG!$F$21,IF(K744&gt;=CONFIG!$E$20,CONFIG!$F$20,CONFIG!$F$19)))</f>
        <v/>
      </c>
      <c r="N744" s="19" t="str">
        <f aca="false">IF(I744="","",IF(I744&lt;=M744,"OK","ALTA"))</f>
        <v/>
      </c>
      <c r="O744" s="13"/>
    </row>
    <row r="745" customFormat="false" ht="15" hidden="false" customHeight="false" outlineLevel="0" collapsed="false">
      <c r="A745" s="11" t="str">
        <f aca="false">IF(C745="","",ROW()-4)</f>
        <v/>
      </c>
      <c r="B745" s="12"/>
      <c r="C745" s="13"/>
      <c r="D745" s="11" t="str">
        <f aca="false">IF(C745="","",IFERROR(INDEX(LOTES!$D$5:$D$1004,MATCH(C745,LOTES!$F$5:$F$1004,0)),"¿Lote?"))</f>
        <v/>
      </c>
      <c r="E745" s="11" t="str">
        <f aca="false">IF(C745="","",IFERROR(INDEX(LOTES!$C$5:$C$1004,MATCH(C745,LOTES!$F$5:$F$1004,0)),""))</f>
        <v/>
      </c>
      <c r="F745" s="27"/>
      <c r="G745" s="27"/>
      <c r="H745" s="27"/>
      <c r="I745" s="20" t="str">
        <f aca="false">IF(AND(ISNUMBER(F745),ISNUMBER(G745),ISNUMBER(H745),F745&gt;G745,H745&gt;0),(F745-H745)/(F745-G745)*1000,"")</f>
        <v/>
      </c>
      <c r="J745" s="17" t="str">
        <f aca="false">IF(AND(ISNUMBER(F745),ISNUMBER(G745),ISNUMBER(H745),F745&gt;G745,H745&gt;0),(F745-H745)/H745,"")</f>
        <v/>
      </c>
      <c r="K745" s="20" t="str">
        <f aca="false">IF(AND(ISNUMBER(F745),ISNUMBER(G745),ISNUMBER(H745),F745&gt;G745,H745&gt;0),H745/(F745-G745)*1000,"")</f>
        <v/>
      </c>
      <c r="L745" s="11" t="str">
        <f aca="false">IF(K745="","",IF(K745&gt;=CONFIG!$E$21,CONFIG!$D$21,IF(K745&gt;=CONFIG!$E$20,CONFIG!$D$20,CONFIG!$D$19)))</f>
        <v/>
      </c>
      <c r="M745" s="20" t="str">
        <f aca="false">IF(K745="","",IF(K745&gt;=CONFIG!$E$21,CONFIG!$F$21,IF(K745&gt;=CONFIG!$E$20,CONFIG!$F$20,CONFIG!$F$19)))</f>
        <v/>
      </c>
      <c r="N745" s="19" t="str">
        <f aca="false">IF(I745="","",IF(I745&lt;=M745,"OK","ALTA"))</f>
        <v/>
      </c>
      <c r="O745" s="13"/>
    </row>
    <row r="746" customFormat="false" ht="15" hidden="false" customHeight="false" outlineLevel="0" collapsed="false">
      <c r="A746" s="11" t="str">
        <f aca="false">IF(C746="","",ROW()-4)</f>
        <v/>
      </c>
      <c r="B746" s="12"/>
      <c r="C746" s="13"/>
      <c r="D746" s="11" t="str">
        <f aca="false">IF(C746="","",IFERROR(INDEX(LOTES!$D$5:$D$1004,MATCH(C746,LOTES!$F$5:$F$1004,0)),"¿Lote?"))</f>
        <v/>
      </c>
      <c r="E746" s="11" t="str">
        <f aca="false">IF(C746="","",IFERROR(INDEX(LOTES!$C$5:$C$1004,MATCH(C746,LOTES!$F$5:$F$1004,0)),""))</f>
        <v/>
      </c>
      <c r="F746" s="27"/>
      <c r="G746" s="27"/>
      <c r="H746" s="27"/>
      <c r="I746" s="20" t="str">
        <f aca="false">IF(AND(ISNUMBER(F746),ISNUMBER(G746),ISNUMBER(H746),F746&gt;G746,H746&gt;0),(F746-H746)/(F746-G746)*1000,"")</f>
        <v/>
      </c>
      <c r="J746" s="17" t="str">
        <f aca="false">IF(AND(ISNUMBER(F746),ISNUMBER(G746),ISNUMBER(H746),F746&gt;G746,H746&gt;0),(F746-H746)/H746,"")</f>
        <v/>
      </c>
      <c r="K746" s="20" t="str">
        <f aca="false">IF(AND(ISNUMBER(F746),ISNUMBER(G746),ISNUMBER(H746),F746&gt;G746,H746&gt;0),H746/(F746-G746)*1000,"")</f>
        <v/>
      </c>
      <c r="L746" s="11" t="str">
        <f aca="false">IF(K746="","",IF(K746&gt;=CONFIG!$E$21,CONFIG!$D$21,IF(K746&gt;=CONFIG!$E$20,CONFIG!$D$20,CONFIG!$D$19)))</f>
        <v/>
      </c>
      <c r="M746" s="20" t="str">
        <f aca="false">IF(K746="","",IF(K746&gt;=CONFIG!$E$21,CONFIG!$F$21,IF(K746&gt;=CONFIG!$E$20,CONFIG!$F$20,CONFIG!$F$19)))</f>
        <v/>
      </c>
      <c r="N746" s="19" t="str">
        <f aca="false">IF(I746="","",IF(I746&lt;=M746,"OK","ALTA"))</f>
        <v/>
      </c>
      <c r="O746" s="13"/>
    </row>
    <row r="747" customFormat="false" ht="15" hidden="false" customHeight="false" outlineLevel="0" collapsed="false">
      <c r="A747" s="11" t="str">
        <f aca="false">IF(C747="","",ROW()-4)</f>
        <v/>
      </c>
      <c r="B747" s="12"/>
      <c r="C747" s="13"/>
      <c r="D747" s="11" t="str">
        <f aca="false">IF(C747="","",IFERROR(INDEX(LOTES!$D$5:$D$1004,MATCH(C747,LOTES!$F$5:$F$1004,0)),"¿Lote?"))</f>
        <v/>
      </c>
      <c r="E747" s="11" t="str">
        <f aca="false">IF(C747="","",IFERROR(INDEX(LOTES!$C$5:$C$1004,MATCH(C747,LOTES!$F$5:$F$1004,0)),""))</f>
        <v/>
      </c>
      <c r="F747" s="27"/>
      <c r="G747" s="27"/>
      <c r="H747" s="27"/>
      <c r="I747" s="20" t="str">
        <f aca="false">IF(AND(ISNUMBER(F747),ISNUMBER(G747),ISNUMBER(H747),F747&gt;G747,H747&gt;0),(F747-H747)/(F747-G747)*1000,"")</f>
        <v/>
      </c>
      <c r="J747" s="17" t="str">
        <f aca="false">IF(AND(ISNUMBER(F747),ISNUMBER(G747),ISNUMBER(H747),F747&gt;G747,H747&gt;0),(F747-H747)/H747,"")</f>
        <v/>
      </c>
      <c r="K747" s="20" t="str">
        <f aca="false">IF(AND(ISNUMBER(F747),ISNUMBER(G747),ISNUMBER(H747),F747&gt;G747,H747&gt;0),H747/(F747-G747)*1000,"")</f>
        <v/>
      </c>
      <c r="L747" s="11" t="str">
        <f aca="false">IF(K747="","",IF(K747&gt;=CONFIG!$E$21,CONFIG!$D$21,IF(K747&gt;=CONFIG!$E$20,CONFIG!$D$20,CONFIG!$D$19)))</f>
        <v/>
      </c>
      <c r="M747" s="20" t="str">
        <f aca="false">IF(K747="","",IF(K747&gt;=CONFIG!$E$21,CONFIG!$F$21,IF(K747&gt;=CONFIG!$E$20,CONFIG!$F$20,CONFIG!$F$19)))</f>
        <v/>
      </c>
      <c r="N747" s="19" t="str">
        <f aca="false">IF(I747="","",IF(I747&lt;=M747,"OK","ALTA"))</f>
        <v/>
      </c>
      <c r="O747" s="13"/>
    </row>
    <row r="748" customFormat="false" ht="15" hidden="false" customHeight="false" outlineLevel="0" collapsed="false">
      <c r="A748" s="11" t="str">
        <f aca="false">IF(C748="","",ROW()-4)</f>
        <v/>
      </c>
      <c r="B748" s="12"/>
      <c r="C748" s="13"/>
      <c r="D748" s="11" t="str">
        <f aca="false">IF(C748="","",IFERROR(INDEX(LOTES!$D$5:$D$1004,MATCH(C748,LOTES!$F$5:$F$1004,0)),"¿Lote?"))</f>
        <v/>
      </c>
      <c r="E748" s="11" t="str">
        <f aca="false">IF(C748="","",IFERROR(INDEX(LOTES!$C$5:$C$1004,MATCH(C748,LOTES!$F$5:$F$1004,0)),""))</f>
        <v/>
      </c>
      <c r="F748" s="27"/>
      <c r="G748" s="27"/>
      <c r="H748" s="27"/>
      <c r="I748" s="20" t="str">
        <f aca="false">IF(AND(ISNUMBER(F748),ISNUMBER(G748),ISNUMBER(H748),F748&gt;G748,H748&gt;0),(F748-H748)/(F748-G748)*1000,"")</f>
        <v/>
      </c>
      <c r="J748" s="17" t="str">
        <f aca="false">IF(AND(ISNUMBER(F748),ISNUMBER(G748),ISNUMBER(H748),F748&gt;G748,H748&gt;0),(F748-H748)/H748,"")</f>
        <v/>
      </c>
      <c r="K748" s="20" t="str">
        <f aca="false">IF(AND(ISNUMBER(F748),ISNUMBER(G748),ISNUMBER(H748),F748&gt;G748,H748&gt;0),H748/(F748-G748)*1000,"")</f>
        <v/>
      </c>
      <c r="L748" s="11" t="str">
        <f aca="false">IF(K748="","",IF(K748&gt;=CONFIG!$E$21,CONFIG!$D$21,IF(K748&gt;=CONFIG!$E$20,CONFIG!$D$20,CONFIG!$D$19)))</f>
        <v/>
      </c>
      <c r="M748" s="20" t="str">
        <f aca="false">IF(K748="","",IF(K748&gt;=CONFIG!$E$21,CONFIG!$F$21,IF(K748&gt;=CONFIG!$E$20,CONFIG!$F$20,CONFIG!$F$19)))</f>
        <v/>
      </c>
      <c r="N748" s="19" t="str">
        <f aca="false">IF(I748="","",IF(I748&lt;=M748,"OK","ALTA"))</f>
        <v/>
      </c>
      <c r="O748" s="13"/>
    </row>
    <row r="749" customFormat="false" ht="15" hidden="false" customHeight="false" outlineLevel="0" collapsed="false">
      <c r="A749" s="11" t="str">
        <f aca="false">IF(C749="","",ROW()-4)</f>
        <v/>
      </c>
      <c r="B749" s="12"/>
      <c r="C749" s="13"/>
      <c r="D749" s="11" t="str">
        <f aca="false">IF(C749="","",IFERROR(INDEX(LOTES!$D$5:$D$1004,MATCH(C749,LOTES!$F$5:$F$1004,0)),"¿Lote?"))</f>
        <v/>
      </c>
      <c r="E749" s="11" t="str">
        <f aca="false">IF(C749="","",IFERROR(INDEX(LOTES!$C$5:$C$1004,MATCH(C749,LOTES!$F$5:$F$1004,0)),""))</f>
        <v/>
      </c>
      <c r="F749" s="27"/>
      <c r="G749" s="27"/>
      <c r="H749" s="27"/>
      <c r="I749" s="20" t="str">
        <f aca="false">IF(AND(ISNUMBER(F749),ISNUMBER(G749),ISNUMBER(H749),F749&gt;G749,H749&gt;0),(F749-H749)/(F749-G749)*1000,"")</f>
        <v/>
      </c>
      <c r="J749" s="17" t="str">
        <f aca="false">IF(AND(ISNUMBER(F749),ISNUMBER(G749),ISNUMBER(H749),F749&gt;G749,H749&gt;0),(F749-H749)/H749,"")</f>
        <v/>
      </c>
      <c r="K749" s="20" t="str">
        <f aca="false">IF(AND(ISNUMBER(F749),ISNUMBER(G749),ISNUMBER(H749),F749&gt;G749,H749&gt;0),H749/(F749-G749)*1000,"")</f>
        <v/>
      </c>
      <c r="L749" s="11" t="str">
        <f aca="false">IF(K749="","",IF(K749&gt;=CONFIG!$E$21,CONFIG!$D$21,IF(K749&gt;=CONFIG!$E$20,CONFIG!$D$20,CONFIG!$D$19)))</f>
        <v/>
      </c>
      <c r="M749" s="20" t="str">
        <f aca="false">IF(K749="","",IF(K749&gt;=CONFIG!$E$21,CONFIG!$F$21,IF(K749&gt;=CONFIG!$E$20,CONFIG!$F$20,CONFIG!$F$19)))</f>
        <v/>
      </c>
      <c r="N749" s="19" t="str">
        <f aca="false">IF(I749="","",IF(I749&lt;=M749,"OK","ALTA"))</f>
        <v/>
      </c>
      <c r="O749" s="13"/>
    </row>
    <row r="750" customFormat="false" ht="15" hidden="false" customHeight="false" outlineLevel="0" collapsed="false">
      <c r="A750" s="11" t="str">
        <f aca="false">IF(C750="","",ROW()-4)</f>
        <v/>
      </c>
      <c r="B750" s="12"/>
      <c r="C750" s="13"/>
      <c r="D750" s="11" t="str">
        <f aca="false">IF(C750="","",IFERROR(INDEX(LOTES!$D$5:$D$1004,MATCH(C750,LOTES!$F$5:$F$1004,0)),"¿Lote?"))</f>
        <v/>
      </c>
      <c r="E750" s="11" t="str">
        <f aca="false">IF(C750="","",IFERROR(INDEX(LOTES!$C$5:$C$1004,MATCH(C750,LOTES!$F$5:$F$1004,0)),""))</f>
        <v/>
      </c>
      <c r="F750" s="27"/>
      <c r="G750" s="27"/>
      <c r="H750" s="27"/>
      <c r="I750" s="20" t="str">
        <f aca="false">IF(AND(ISNUMBER(F750),ISNUMBER(G750),ISNUMBER(H750),F750&gt;G750,H750&gt;0),(F750-H750)/(F750-G750)*1000,"")</f>
        <v/>
      </c>
      <c r="J750" s="17" t="str">
        <f aca="false">IF(AND(ISNUMBER(F750),ISNUMBER(G750),ISNUMBER(H750),F750&gt;G750,H750&gt;0),(F750-H750)/H750,"")</f>
        <v/>
      </c>
      <c r="K750" s="20" t="str">
        <f aca="false">IF(AND(ISNUMBER(F750),ISNUMBER(G750),ISNUMBER(H750),F750&gt;G750,H750&gt;0),H750/(F750-G750)*1000,"")</f>
        <v/>
      </c>
      <c r="L750" s="11" t="str">
        <f aca="false">IF(K750="","",IF(K750&gt;=CONFIG!$E$21,CONFIG!$D$21,IF(K750&gt;=CONFIG!$E$20,CONFIG!$D$20,CONFIG!$D$19)))</f>
        <v/>
      </c>
      <c r="M750" s="20" t="str">
        <f aca="false">IF(K750="","",IF(K750&gt;=CONFIG!$E$21,CONFIG!$F$21,IF(K750&gt;=CONFIG!$E$20,CONFIG!$F$20,CONFIG!$F$19)))</f>
        <v/>
      </c>
      <c r="N750" s="19" t="str">
        <f aca="false">IF(I750="","",IF(I750&lt;=M750,"OK","ALTA"))</f>
        <v/>
      </c>
      <c r="O750" s="13"/>
    </row>
    <row r="751" customFormat="false" ht="15" hidden="false" customHeight="false" outlineLevel="0" collapsed="false">
      <c r="A751" s="11" t="str">
        <f aca="false">IF(C751="","",ROW()-4)</f>
        <v/>
      </c>
      <c r="B751" s="12"/>
      <c r="C751" s="13"/>
      <c r="D751" s="11" t="str">
        <f aca="false">IF(C751="","",IFERROR(INDEX(LOTES!$D$5:$D$1004,MATCH(C751,LOTES!$F$5:$F$1004,0)),"¿Lote?"))</f>
        <v/>
      </c>
      <c r="E751" s="11" t="str">
        <f aca="false">IF(C751="","",IFERROR(INDEX(LOTES!$C$5:$C$1004,MATCH(C751,LOTES!$F$5:$F$1004,0)),""))</f>
        <v/>
      </c>
      <c r="F751" s="27"/>
      <c r="G751" s="27"/>
      <c r="H751" s="27"/>
      <c r="I751" s="20" t="str">
        <f aca="false">IF(AND(ISNUMBER(F751),ISNUMBER(G751),ISNUMBER(H751),F751&gt;G751,H751&gt;0),(F751-H751)/(F751-G751)*1000,"")</f>
        <v/>
      </c>
      <c r="J751" s="17" t="str">
        <f aca="false">IF(AND(ISNUMBER(F751),ISNUMBER(G751),ISNUMBER(H751),F751&gt;G751,H751&gt;0),(F751-H751)/H751,"")</f>
        <v/>
      </c>
      <c r="K751" s="20" t="str">
        <f aca="false">IF(AND(ISNUMBER(F751),ISNUMBER(G751),ISNUMBER(H751),F751&gt;G751,H751&gt;0),H751/(F751-G751)*1000,"")</f>
        <v/>
      </c>
      <c r="L751" s="11" t="str">
        <f aca="false">IF(K751="","",IF(K751&gt;=CONFIG!$E$21,CONFIG!$D$21,IF(K751&gt;=CONFIG!$E$20,CONFIG!$D$20,CONFIG!$D$19)))</f>
        <v/>
      </c>
      <c r="M751" s="20" t="str">
        <f aca="false">IF(K751="","",IF(K751&gt;=CONFIG!$E$21,CONFIG!$F$21,IF(K751&gt;=CONFIG!$E$20,CONFIG!$F$20,CONFIG!$F$19)))</f>
        <v/>
      </c>
      <c r="N751" s="19" t="str">
        <f aca="false">IF(I751="","",IF(I751&lt;=M751,"OK","ALTA"))</f>
        <v/>
      </c>
      <c r="O751" s="13"/>
    </row>
    <row r="752" customFormat="false" ht="15" hidden="false" customHeight="false" outlineLevel="0" collapsed="false">
      <c r="A752" s="11" t="str">
        <f aca="false">IF(C752="","",ROW()-4)</f>
        <v/>
      </c>
      <c r="B752" s="12"/>
      <c r="C752" s="13"/>
      <c r="D752" s="11" t="str">
        <f aca="false">IF(C752="","",IFERROR(INDEX(LOTES!$D$5:$D$1004,MATCH(C752,LOTES!$F$5:$F$1004,0)),"¿Lote?"))</f>
        <v/>
      </c>
      <c r="E752" s="11" t="str">
        <f aca="false">IF(C752="","",IFERROR(INDEX(LOTES!$C$5:$C$1004,MATCH(C752,LOTES!$F$5:$F$1004,0)),""))</f>
        <v/>
      </c>
      <c r="F752" s="27"/>
      <c r="G752" s="27"/>
      <c r="H752" s="27"/>
      <c r="I752" s="20" t="str">
        <f aca="false">IF(AND(ISNUMBER(F752),ISNUMBER(G752),ISNUMBER(H752),F752&gt;G752,H752&gt;0),(F752-H752)/(F752-G752)*1000,"")</f>
        <v/>
      </c>
      <c r="J752" s="17" t="str">
        <f aca="false">IF(AND(ISNUMBER(F752),ISNUMBER(G752),ISNUMBER(H752),F752&gt;G752,H752&gt;0),(F752-H752)/H752,"")</f>
        <v/>
      </c>
      <c r="K752" s="20" t="str">
        <f aca="false">IF(AND(ISNUMBER(F752),ISNUMBER(G752),ISNUMBER(H752),F752&gt;G752,H752&gt;0),H752/(F752-G752)*1000,"")</f>
        <v/>
      </c>
      <c r="L752" s="11" t="str">
        <f aca="false">IF(K752="","",IF(K752&gt;=CONFIG!$E$21,CONFIG!$D$21,IF(K752&gt;=CONFIG!$E$20,CONFIG!$D$20,CONFIG!$D$19)))</f>
        <v/>
      </c>
      <c r="M752" s="20" t="str">
        <f aca="false">IF(K752="","",IF(K752&gt;=CONFIG!$E$21,CONFIG!$F$21,IF(K752&gt;=CONFIG!$E$20,CONFIG!$F$20,CONFIG!$F$19)))</f>
        <v/>
      </c>
      <c r="N752" s="19" t="str">
        <f aca="false">IF(I752="","",IF(I752&lt;=M752,"OK","ALTA"))</f>
        <v/>
      </c>
      <c r="O752" s="13"/>
    </row>
    <row r="753" customFormat="false" ht="15" hidden="false" customHeight="false" outlineLevel="0" collapsed="false">
      <c r="A753" s="11" t="str">
        <f aca="false">IF(C753="","",ROW()-4)</f>
        <v/>
      </c>
      <c r="B753" s="12"/>
      <c r="C753" s="13"/>
      <c r="D753" s="11" t="str">
        <f aca="false">IF(C753="","",IFERROR(INDEX(LOTES!$D$5:$D$1004,MATCH(C753,LOTES!$F$5:$F$1004,0)),"¿Lote?"))</f>
        <v/>
      </c>
      <c r="E753" s="11" t="str">
        <f aca="false">IF(C753="","",IFERROR(INDEX(LOTES!$C$5:$C$1004,MATCH(C753,LOTES!$F$5:$F$1004,0)),""))</f>
        <v/>
      </c>
      <c r="F753" s="27"/>
      <c r="G753" s="27"/>
      <c r="H753" s="27"/>
      <c r="I753" s="20" t="str">
        <f aca="false">IF(AND(ISNUMBER(F753),ISNUMBER(G753),ISNUMBER(H753),F753&gt;G753,H753&gt;0),(F753-H753)/(F753-G753)*1000,"")</f>
        <v/>
      </c>
      <c r="J753" s="17" t="str">
        <f aca="false">IF(AND(ISNUMBER(F753),ISNUMBER(G753),ISNUMBER(H753),F753&gt;G753,H753&gt;0),(F753-H753)/H753,"")</f>
        <v/>
      </c>
      <c r="K753" s="20" t="str">
        <f aca="false">IF(AND(ISNUMBER(F753),ISNUMBER(G753),ISNUMBER(H753),F753&gt;G753,H753&gt;0),H753/(F753-G753)*1000,"")</f>
        <v/>
      </c>
      <c r="L753" s="11" t="str">
        <f aca="false">IF(K753="","",IF(K753&gt;=CONFIG!$E$21,CONFIG!$D$21,IF(K753&gt;=CONFIG!$E$20,CONFIG!$D$20,CONFIG!$D$19)))</f>
        <v/>
      </c>
      <c r="M753" s="20" t="str">
        <f aca="false">IF(K753="","",IF(K753&gt;=CONFIG!$E$21,CONFIG!$F$21,IF(K753&gt;=CONFIG!$E$20,CONFIG!$F$20,CONFIG!$F$19)))</f>
        <v/>
      </c>
      <c r="N753" s="19" t="str">
        <f aca="false">IF(I753="","",IF(I753&lt;=M753,"OK","ALTA"))</f>
        <v/>
      </c>
      <c r="O753" s="13"/>
    </row>
    <row r="754" customFormat="false" ht="15" hidden="false" customHeight="false" outlineLevel="0" collapsed="false">
      <c r="A754" s="11" t="str">
        <f aca="false">IF(C754="","",ROW()-4)</f>
        <v/>
      </c>
      <c r="B754" s="12"/>
      <c r="C754" s="13"/>
      <c r="D754" s="11" t="str">
        <f aca="false">IF(C754="","",IFERROR(INDEX(LOTES!$D$5:$D$1004,MATCH(C754,LOTES!$F$5:$F$1004,0)),"¿Lote?"))</f>
        <v/>
      </c>
      <c r="E754" s="11" t="str">
        <f aca="false">IF(C754="","",IFERROR(INDEX(LOTES!$C$5:$C$1004,MATCH(C754,LOTES!$F$5:$F$1004,0)),""))</f>
        <v/>
      </c>
      <c r="F754" s="27"/>
      <c r="G754" s="27"/>
      <c r="H754" s="27"/>
      <c r="I754" s="20" t="str">
        <f aca="false">IF(AND(ISNUMBER(F754),ISNUMBER(G754),ISNUMBER(H754),F754&gt;G754,H754&gt;0),(F754-H754)/(F754-G754)*1000,"")</f>
        <v/>
      </c>
      <c r="J754" s="17" t="str">
        <f aca="false">IF(AND(ISNUMBER(F754),ISNUMBER(G754),ISNUMBER(H754),F754&gt;G754,H754&gt;0),(F754-H754)/H754,"")</f>
        <v/>
      </c>
      <c r="K754" s="20" t="str">
        <f aca="false">IF(AND(ISNUMBER(F754),ISNUMBER(G754),ISNUMBER(H754),F754&gt;G754,H754&gt;0),H754/(F754-G754)*1000,"")</f>
        <v/>
      </c>
      <c r="L754" s="11" t="str">
        <f aca="false">IF(K754="","",IF(K754&gt;=CONFIG!$E$21,CONFIG!$D$21,IF(K754&gt;=CONFIG!$E$20,CONFIG!$D$20,CONFIG!$D$19)))</f>
        <v/>
      </c>
      <c r="M754" s="20" t="str">
        <f aca="false">IF(K754="","",IF(K754&gt;=CONFIG!$E$21,CONFIG!$F$21,IF(K754&gt;=CONFIG!$E$20,CONFIG!$F$20,CONFIG!$F$19)))</f>
        <v/>
      </c>
      <c r="N754" s="19" t="str">
        <f aca="false">IF(I754="","",IF(I754&lt;=M754,"OK","ALTA"))</f>
        <v/>
      </c>
      <c r="O754" s="13"/>
    </row>
    <row r="755" customFormat="false" ht="15" hidden="false" customHeight="false" outlineLevel="0" collapsed="false">
      <c r="A755" s="11" t="str">
        <f aca="false">IF(C755="","",ROW()-4)</f>
        <v/>
      </c>
      <c r="B755" s="12"/>
      <c r="C755" s="13"/>
      <c r="D755" s="11" t="str">
        <f aca="false">IF(C755="","",IFERROR(INDEX(LOTES!$D$5:$D$1004,MATCH(C755,LOTES!$F$5:$F$1004,0)),"¿Lote?"))</f>
        <v/>
      </c>
      <c r="E755" s="11" t="str">
        <f aca="false">IF(C755="","",IFERROR(INDEX(LOTES!$C$5:$C$1004,MATCH(C755,LOTES!$F$5:$F$1004,0)),""))</f>
        <v/>
      </c>
      <c r="F755" s="27"/>
      <c r="G755" s="27"/>
      <c r="H755" s="27"/>
      <c r="I755" s="20" t="str">
        <f aca="false">IF(AND(ISNUMBER(F755),ISNUMBER(G755),ISNUMBER(H755),F755&gt;G755,H755&gt;0),(F755-H755)/(F755-G755)*1000,"")</f>
        <v/>
      </c>
      <c r="J755" s="17" t="str">
        <f aca="false">IF(AND(ISNUMBER(F755),ISNUMBER(G755),ISNUMBER(H755),F755&gt;G755,H755&gt;0),(F755-H755)/H755,"")</f>
        <v/>
      </c>
      <c r="K755" s="20" t="str">
        <f aca="false">IF(AND(ISNUMBER(F755),ISNUMBER(G755),ISNUMBER(H755),F755&gt;G755,H755&gt;0),H755/(F755-G755)*1000,"")</f>
        <v/>
      </c>
      <c r="L755" s="11" t="str">
        <f aca="false">IF(K755="","",IF(K755&gt;=CONFIG!$E$21,CONFIG!$D$21,IF(K755&gt;=CONFIG!$E$20,CONFIG!$D$20,CONFIG!$D$19)))</f>
        <v/>
      </c>
      <c r="M755" s="20" t="str">
        <f aca="false">IF(K755="","",IF(K755&gt;=CONFIG!$E$21,CONFIG!$F$21,IF(K755&gt;=CONFIG!$E$20,CONFIG!$F$20,CONFIG!$F$19)))</f>
        <v/>
      </c>
      <c r="N755" s="19" t="str">
        <f aca="false">IF(I755="","",IF(I755&lt;=M755,"OK","ALTA"))</f>
        <v/>
      </c>
      <c r="O755" s="13"/>
    </row>
    <row r="756" customFormat="false" ht="15" hidden="false" customHeight="false" outlineLevel="0" collapsed="false">
      <c r="A756" s="11" t="str">
        <f aca="false">IF(C756="","",ROW()-4)</f>
        <v/>
      </c>
      <c r="B756" s="12"/>
      <c r="C756" s="13"/>
      <c r="D756" s="11" t="str">
        <f aca="false">IF(C756="","",IFERROR(INDEX(LOTES!$D$5:$D$1004,MATCH(C756,LOTES!$F$5:$F$1004,0)),"¿Lote?"))</f>
        <v/>
      </c>
      <c r="E756" s="11" t="str">
        <f aca="false">IF(C756="","",IFERROR(INDEX(LOTES!$C$5:$C$1004,MATCH(C756,LOTES!$F$5:$F$1004,0)),""))</f>
        <v/>
      </c>
      <c r="F756" s="27"/>
      <c r="G756" s="27"/>
      <c r="H756" s="27"/>
      <c r="I756" s="20" t="str">
        <f aca="false">IF(AND(ISNUMBER(F756),ISNUMBER(G756),ISNUMBER(H756),F756&gt;G756,H756&gt;0),(F756-H756)/(F756-G756)*1000,"")</f>
        <v/>
      </c>
      <c r="J756" s="17" t="str">
        <f aca="false">IF(AND(ISNUMBER(F756),ISNUMBER(G756),ISNUMBER(H756),F756&gt;G756,H756&gt;0),(F756-H756)/H756,"")</f>
        <v/>
      </c>
      <c r="K756" s="20" t="str">
        <f aca="false">IF(AND(ISNUMBER(F756),ISNUMBER(G756),ISNUMBER(H756),F756&gt;G756,H756&gt;0),H756/(F756-G756)*1000,"")</f>
        <v/>
      </c>
      <c r="L756" s="11" t="str">
        <f aca="false">IF(K756="","",IF(K756&gt;=CONFIG!$E$21,CONFIG!$D$21,IF(K756&gt;=CONFIG!$E$20,CONFIG!$D$20,CONFIG!$D$19)))</f>
        <v/>
      </c>
      <c r="M756" s="20" t="str">
        <f aca="false">IF(K756="","",IF(K756&gt;=CONFIG!$E$21,CONFIG!$F$21,IF(K756&gt;=CONFIG!$E$20,CONFIG!$F$20,CONFIG!$F$19)))</f>
        <v/>
      </c>
      <c r="N756" s="19" t="str">
        <f aca="false">IF(I756="","",IF(I756&lt;=M756,"OK","ALTA"))</f>
        <v/>
      </c>
      <c r="O756" s="13"/>
    </row>
    <row r="757" customFormat="false" ht="15" hidden="false" customHeight="false" outlineLevel="0" collapsed="false">
      <c r="A757" s="11" t="str">
        <f aca="false">IF(C757="","",ROW()-4)</f>
        <v/>
      </c>
      <c r="B757" s="12"/>
      <c r="C757" s="13"/>
      <c r="D757" s="11" t="str">
        <f aca="false">IF(C757="","",IFERROR(INDEX(LOTES!$D$5:$D$1004,MATCH(C757,LOTES!$F$5:$F$1004,0)),"¿Lote?"))</f>
        <v/>
      </c>
      <c r="E757" s="11" t="str">
        <f aca="false">IF(C757="","",IFERROR(INDEX(LOTES!$C$5:$C$1004,MATCH(C757,LOTES!$F$5:$F$1004,0)),""))</f>
        <v/>
      </c>
      <c r="F757" s="27"/>
      <c r="G757" s="27"/>
      <c r="H757" s="27"/>
      <c r="I757" s="20" t="str">
        <f aca="false">IF(AND(ISNUMBER(F757),ISNUMBER(G757),ISNUMBER(H757),F757&gt;G757,H757&gt;0),(F757-H757)/(F757-G757)*1000,"")</f>
        <v/>
      </c>
      <c r="J757" s="17" t="str">
        <f aca="false">IF(AND(ISNUMBER(F757),ISNUMBER(G757),ISNUMBER(H757),F757&gt;G757,H757&gt;0),(F757-H757)/H757,"")</f>
        <v/>
      </c>
      <c r="K757" s="20" t="str">
        <f aca="false">IF(AND(ISNUMBER(F757),ISNUMBER(G757),ISNUMBER(H757),F757&gt;G757,H757&gt;0),H757/(F757-G757)*1000,"")</f>
        <v/>
      </c>
      <c r="L757" s="11" t="str">
        <f aca="false">IF(K757="","",IF(K757&gt;=CONFIG!$E$21,CONFIG!$D$21,IF(K757&gt;=CONFIG!$E$20,CONFIG!$D$20,CONFIG!$D$19)))</f>
        <v/>
      </c>
      <c r="M757" s="20" t="str">
        <f aca="false">IF(K757="","",IF(K757&gt;=CONFIG!$E$21,CONFIG!$F$21,IF(K757&gt;=CONFIG!$E$20,CONFIG!$F$20,CONFIG!$F$19)))</f>
        <v/>
      </c>
      <c r="N757" s="19" t="str">
        <f aca="false">IF(I757="","",IF(I757&lt;=M757,"OK","ALTA"))</f>
        <v/>
      </c>
      <c r="O757" s="13"/>
    </row>
    <row r="758" customFormat="false" ht="15" hidden="false" customHeight="false" outlineLevel="0" collapsed="false">
      <c r="A758" s="11" t="str">
        <f aca="false">IF(C758="","",ROW()-4)</f>
        <v/>
      </c>
      <c r="B758" s="12"/>
      <c r="C758" s="13"/>
      <c r="D758" s="11" t="str">
        <f aca="false">IF(C758="","",IFERROR(INDEX(LOTES!$D$5:$D$1004,MATCH(C758,LOTES!$F$5:$F$1004,0)),"¿Lote?"))</f>
        <v/>
      </c>
      <c r="E758" s="11" t="str">
        <f aca="false">IF(C758="","",IFERROR(INDEX(LOTES!$C$5:$C$1004,MATCH(C758,LOTES!$F$5:$F$1004,0)),""))</f>
        <v/>
      </c>
      <c r="F758" s="27"/>
      <c r="G758" s="27"/>
      <c r="H758" s="27"/>
      <c r="I758" s="20" t="str">
        <f aca="false">IF(AND(ISNUMBER(F758),ISNUMBER(G758),ISNUMBER(H758),F758&gt;G758,H758&gt;0),(F758-H758)/(F758-G758)*1000,"")</f>
        <v/>
      </c>
      <c r="J758" s="17" t="str">
        <f aca="false">IF(AND(ISNUMBER(F758),ISNUMBER(G758),ISNUMBER(H758),F758&gt;G758,H758&gt;0),(F758-H758)/H758,"")</f>
        <v/>
      </c>
      <c r="K758" s="20" t="str">
        <f aca="false">IF(AND(ISNUMBER(F758),ISNUMBER(G758),ISNUMBER(H758),F758&gt;G758,H758&gt;0),H758/(F758-G758)*1000,"")</f>
        <v/>
      </c>
      <c r="L758" s="11" t="str">
        <f aca="false">IF(K758="","",IF(K758&gt;=CONFIG!$E$21,CONFIG!$D$21,IF(K758&gt;=CONFIG!$E$20,CONFIG!$D$20,CONFIG!$D$19)))</f>
        <v/>
      </c>
      <c r="M758" s="20" t="str">
        <f aca="false">IF(K758="","",IF(K758&gt;=CONFIG!$E$21,CONFIG!$F$21,IF(K758&gt;=CONFIG!$E$20,CONFIG!$F$20,CONFIG!$F$19)))</f>
        <v/>
      </c>
      <c r="N758" s="19" t="str">
        <f aca="false">IF(I758="","",IF(I758&lt;=M758,"OK","ALTA"))</f>
        <v/>
      </c>
      <c r="O758" s="13"/>
    </row>
    <row r="759" customFormat="false" ht="15" hidden="false" customHeight="false" outlineLevel="0" collapsed="false">
      <c r="A759" s="11" t="str">
        <f aca="false">IF(C759="","",ROW()-4)</f>
        <v/>
      </c>
      <c r="B759" s="12"/>
      <c r="C759" s="13"/>
      <c r="D759" s="11" t="str">
        <f aca="false">IF(C759="","",IFERROR(INDEX(LOTES!$D$5:$D$1004,MATCH(C759,LOTES!$F$5:$F$1004,0)),"¿Lote?"))</f>
        <v/>
      </c>
      <c r="E759" s="11" t="str">
        <f aca="false">IF(C759="","",IFERROR(INDEX(LOTES!$C$5:$C$1004,MATCH(C759,LOTES!$F$5:$F$1004,0)),""))</f>
        <v/>
      </c>
      <c r="F759" s="27"/>
      <c r="G759" s="27"/>
      <c r="H759" s="27"/>
      <c r="I759" s="20" t="str">
        <f aca="false">IF(AND(ISNUMBER(F759),ISNUMBER(G759),ISNUMBER(H759),F759&gt;G759,H759&gt;0),(F759-H759)/(F759-G759)*1000,"")</f>
        <v/>
      </c>
      <c r="J759" s="17" t="str">
        <f aca="false">IF(AND(ISNUMBER(F759),ISNUMBER(G759),ISNUMBER(H759),F759&gt;G759,H759&gt;0),(F759-H759)/H759,"")</f>
        <v/>
      </c>
      <c r="K759" s="20" t="str">
        <f aca="false">IF(AND(ISNUMBER(F759),ISNUMBER(G759),ISNUMBER(H759),F759&gt;G759,H759&gt;0),H759/(F759-G759)*1000,"")</f>
        <v/>
      </c>
      <c r="L759" s="11" t="str">
        <f aca="false">IF(K759="","",IF(K759&gt;=CONFIG!$E$21,CONFIG!$D$21,IF(K759&gt;=CONFIG!$E$20,CONFIG!$D$20,CONFIG!$D$19)))</f>
        <v/>
      </c>
      <c r="M759" s="20" t="str">
        <f aca="false">IF(K759="","",IF(K759&gt;=CONFIG!$E$21,CONFIG!$F$21,IF(K759&gt;=CONFIG!$E$20,CONFIG!$F$20,CONFIG!$F$19)))</f>
        <v/>
      </c>
      <c r="N759" s="19" t="str">
        <f aca="false">IF(I759="","",IF(I759&lt;=M759,"OK","ALTA"))</f>
        <v/>
      </c>
      <c r="O759" s="13"/>
    </row>
    <row r="760" customFormat="false" ht="15" hidden="false" customHeight="false" outlineLevel="0" collapsed="false">
      <c r="A760" s="11" t="str">
        <f aca="false">IF(C760="","",ROW()-4)</f>
        <v/>
      </c>
      <c r="B760" s="12"/>
      <c r="C760" s="13"/>
      <c r="D760" s="11" t="str">
        <f aca="false">IF(C760="","",IFERROR(INDEX(LOTES!$D$5:$D$1004,MATCH(C760,LOTES!$F$5:$F$1004,0)),"¿Lote?"))</f>
        <v/>
      </c>
      <c r="E760" s="11" t="str">
        <f aca="false">IF(C760="","",IFERROR(INDEX(LOTES!$C$5:$C$1004,MATCH(C760,LOTES!$F$5:$F$1004,0)),""))</f>
        <v/>
      </c>
      <c r="F760" s="27"/>
      <c r="G760" s="27"/>
      <c r="H760" s="27"/>
      <c r="I760" s="20" t="str">
        <f aca="false">IF(AND(ISNUMBER(F760),ISNUMBER(G760),ISNUMBER(H760),F760&gt;G760,H760&gt;0),(F760-H760)/(F760-G760)*1000,"")</f>
        <v/>
      </c>
      <c r="J760" s="17" t="str">
        <f aca="false">IF(AND(ISNUMBER(F760),ISNUMBER(G760),ISNUMBER(H760),F760&gt;G760,H760&gt;0),(F760-H760)/H760,"")</f>
        <v/>
      </c>
      <c r="K760" s="20" t="str">
        <f aca="false">IF(AND(ISNUMBER(F760),ISNUMBER(G760),ISNUMBER(H760),F760&gt;G760,H760&gt;0),H760/(F760-G760)*1000,"")</f>
        <v/>
      </c>
      <c r="L760" s="11" t="str">
        <f aca="false">IF(K760="","",IF(K760&gt;=CONFIG!$E$21,CONFIG!$D$21,IF(K760&gt;=CONFIG!$E$20,CONFIG!$D$20,CONFIG!$D$19)))</f>
        <v/>
      </c>
      <c r="M760" s="20" t="str">
        <f aca="false">IF(K760="","",IF(K760&gt;=CONFIG!$E$21,CONFIG!$F$21,IF(K760&gt;=CONFIG!$E$20,CONFIG!$F$20,CONFIG!$F$19)))</f>
        <v/>
      </c>
      <c r="N760" s="19" t="str">
        <f aca="false">IF(I760="","",IF(I760&lt;=M760,"OK","ALTA"))</f>
        <v/>
      </c>
      <c r="O760" s="13"/>
    </row>
    <row r="761" customFormat="false" ht="15" hidden="false" customHeight="false" outlineLevel="0" collapsed="false">
      <c r="A761" s="11" t="str">
        <f aca="false">IF(C761="","",ROW()-4)</f>
        <v/>
      </c>
      <c r="B761" s="12"/>
      <c r="C761" s="13"/>
      <c r="D761" s="11" t="str">
        <f aca="false">IF(C761="","",IFERROR(INDEX(LOTES!$D$5:$D$1004,MATCH(C761,LOTES!$F$5:$F$1004,0)),"¿Lote?"))</f>
        <v/>
      </c>
      <c r="E761" s="11" t="str">
        <f aca="false">IF(C761="","",IFERROR(INDEX(LOTES!$C$5:$C$1004,MATCH(C761,LOTES!$F$5:$F$1004,0)),""))</f>
        <v/>
      </c>
      <c r="F761" s="27"/>
      <c r="G761" s="27"/>
      <c r="H761" s="27"/>
      <c r="I761" s="20" t="str">
        <f aca="false">IF(AND(ISNUMBER(F761),ISNUMBER(G761),ISNUMBER(H761),F761&gt;G761,H761&gt;0),(F761-H761)/(F761-G761)*1000,"")</f>
        <v/>
      </c>
      <c r="J761" s="17" t="str">
        <f aca="false">IF(AND(ISNUMBER(F761),ISNUMBER(G761),ISNUMBER(H761),F761&gt;G761,H761&gt;0),(F761-H761)/H761,"")</f>
        <v/>
      </c>
      <c r="K761" s="20" t="str">
        <f aca="false">IF(AND(ISNUMBER(F761),ISNUMBER(G761),ISNUMBER(H761),F761&gt;G761,H761&gt;0),H761/(F761-G761)*1000,"")</f>
        <v/>
      </c>
      <c r="L761" s="11" t="str">
        <f aca="false">IF(K761="","",IF(K761&gt;=CONFIG!$E$21,CONFIG!$D$21,IF(K761&gt;=CONFIG!$E$20,CONFIG!$D$20,CONFIG!$D$19)))</f>
        <v/>
      </c>
      <c r="M761" s="20" t="str">
        <f aca="false">IF(K761="","",IF(K761&gt;=CONFIG!$E$21,CONFIG!$F$21,IF(K761&gt;=CONFIG!$E$20,CONFIG!$F$20,CONFIG!$F$19)))</f>
        <v/>
      </c>
      <c r="N761" s="19" t="str">
        <f aca="false">IF(I761="","",IF(I761&lt;=M761,"OK","ALTA"))</f>
        <v/>
      </c>
      <c r="O761" s="13"/>
    </row>
    <row r="762" customFormat="false" ht="15" hidden="false" customHeight="false" outlineLevel="0" collapsed="false">
      <c r="A762" s="11" t="str">
        <f aca="false">IF(C762="","",ROW()-4)</f>
        <v/>
      </c>
      <c r="B762" s="12"/>
      <c r="C762" s="13"/>
      <c r="D762" s="11" t="str">
        <f aca="false">IF(C762="","",IFERROR(INDEX(LOTES!$D$5:$D$1004,MATCH(C762,LOTES!$F$5:$F$1004,0)),"¿Lote?"))</f>
        <v/>
      </c>
      <c r="E762" s="11" t="str">
        <f aca="false">IF(C762="","",IFERROR(INDEX(LOTES!$C$5:$C$1004,MATCH(C762,LOTES!$F$5:$F$1004,0)),""))</f>
        <v/>
      </c>
      <c r="F762" s="27"/>
      <c r="G762" s="27"/>
      <c r="H762" s="27"/>
      <c r="I762" s="20" t="str">
        <f aca="false">IF(AND(ISNUMBER(F762),ISNUMBER(G762),ISNUMBER(H762),F762&gt;G762,H762&gt;0),(F762-H762)/(F762-G762)*1000,"")</f>
        <v/>
      </c>
      <c r="J762" s="17" t="str">
        <f aca="false">IF(AND(ISNUMBER(F762),ISNUMBER(G762),ISNUMBER(H762),F762&gt;G762,H762&gt;0),(F762-H762)/H762,"")</f>
        <v/>
      </c>
      <c r="K762" s="20" t="str">
        <f aca="false">IF(AND(ISNUMBER(F762),ISNUMBER(G762),ISNUMBER(H762),F762&gt;G762,H762&gt;0),H762/(F762-G762)*1000,"")</f>
        <v/>
      </c>
      <c r="L762" s="11" t="str">
        <f aca="false">IF(K762="","",IF(K762&gt;=CONFIG!$E$21,CONFIG!$D$21,IF(K762&gt;=CONFIG!$E$20,CONFIG!$D$20,CONFIG!$D$19)))</f>
        <v/>
      </c>
      <c r="M762" s="20" t="str">
        <f aca="false">IF(K762="","",IF(K762&gt;=CONFIG!$E$21,CONFIG!$F$21,IF(K762&gt;=CONFIG!$E$20,CONFIG!$F$20,CONFIG!$F$19)))</f>
        <v/>
      </c>
      <c r="N762" s="19" t="str">
        <f aca="false">IF(I762="","",IF(I762&lt;=M762,"OK","ALTA"))</f>
        <v/>
      </c>
      <c r="O762" s="13"/>
    </row>
    <row r="763" customFormat="false" ht="15" hidden="false" customHeight="false" outlineLevel="0" collapsed="false">
      <c r="A763" s="11" t="str">
        <f aca="false">IF(C763="","",ROW()-4)</f>
        <v/>
      </c>
      <c r="B763" s="12"/>
      <c r="C763" s="13"/>
      <c r="D763" s="11" t="str">
        <f aca="false">IF(C763="","",IFERROR(INDEX(LOTES!$D$5:$D$1004,MATCH(C763,LOTES!$F$5:$F$1004,0)),"¿Lote?"))</f>
        <v/>
      </c>
      <c r="E763" s="11" t="str">
        <f aca="false">IF(C763="","",IFERROR(INDEX(LOTES!$C$5:$C$1004,MATCH(C763,LOTES!$F$5:$F$1004,0)),""))</f>
        <v/>
      </c>
      <c r="F763" s="27"/>
      <c r="G763" s="27"/>
      <c r="H763" s="27"/>
      <c r="I763" s="20" t="str">
        <f aca="false">IF(AND(ISNUMBER(F763),ISNUMBER(G763),ISNUMBER(H763),F763&gt;G763,H763&gt;0),(F763-H763)/(F763-G763)*1000,"")</f>
        <v/>
      </c>
      <c r="J763" s="17" t="str">
        <f aca="false">IF(AND(ISNUMBER(F763),ISNUMBER(G763),ISNUMBER(H763),F763&gt;G763,H763&gt;0),(F763-H763)/H763,"")</f>
        <v/>
      </c>
      <c r="K763" s="20" t="str">
        <f aca="false">IF(AND(ISNUMBER(F763),ISNUMBER(G763),ISNUMBER(H763),F763&gt;G763,H763&gt;0),H763/(F763-G763)*1000,"")</f>
        <v/>
      </c>
      <c r="L763" s="11" t="str">
        <f aca="false">IF(K763="","",IF(K763&gt;=CONFIG!$E$21,CONFIG!$D$21,IF(K763&gt;=CONFIG!$E$20,CONFIG!$D$20,CONFIG!$D$19)))</f>
        <v/>
      </c>
      <c r="M763" s="20" t="str">
        <f aca="false">IF(K763="","",IF(K763&gt;=CONFIG!$E$21,CONFIG!$F$21,IF(K763&gt;=CONFIG!$E$20,CONFIG!$F$20,CONFIG!$F$19)))</f>
        <v/>
      </c>
      <c r="N763" s="19" t="str">
        <f aca="false">IF(I763="","",IF(I763&lt;=M763,"OK","ALTA"))</f>
        <v/>
      </c>
      <c r="O763" s="13"/>
    </row>
    <row r="764" customFormat="false" ht="15" hidden="false" customHeight="false" outlineLevel="0" collapsed="false">
      <c r="A764" s="11" t="str">
        <f aca="false">IF(C764="","",ROW()-4)</f>
        <v/>
      </c>
      <c r="B764" s="12"/>
      <c r="C764" s="13"/>
      <c r="D764" s="11" t="str">
        <f aca="false">IF(C764="","",IFERROR(INDEX(LOTES!$D$5:$D$1004,MATCH(C764,LOTES!$F$5:$F$1004,0)),"¿Lote?"))</f>
        <v/>
      </c>
      <c r="E764" s="11" t="str">
        <f aca="false">IF(C764="","",IFERROR(INDEX(LOTES!$C$5:$C$1004,MATCH(C764,LOTES!$F$5:$F$1004,0)),""))</f>
        <v/>
      </c>
      <c r="F764" s="27"/>
      <c r="G764" s="27"/>
      <c r="H764" s="27"/>
      <c r="I764" s="20" t="str">
        <f aca="false">IF(AND(ISNUMBER(F764),ISNUMBER(G764),ISNUMBER(H764),F764&gt;G764,H764&gt;0),(F764-H764)/(F764-G764)*1000,"")</f>
        <v/>
      </c>
      <c r="J764" s="17" t="str">
        <f aca="false">IF(AND(ISNUMBER(F764),ISNUMBER(G764),ISNUMBER(H764),F764&gt;G764,H764&gt;0),(F764-H764)/H764,"")</f>
        <v/>
      </c>
      <c r="K764" s="20" t="str">
        <f aca="false">IF(AND(ISNUMBER(F764),ISNUMBER(G764),ISNUMBER(H764),F764&gt;G764,H764&gt;0),H764/(F764-G764)*1000,"")</f>
        <v/>
      </c>
      <c r="L764" s="11" t="str">
        <f aca="false">IF(K764="","",IF(K764&gt;=CONFIG!$E$21,CONFIG!$D$21,IF(K764&gt;=CONFIG!$E$20,CONFIG!$D$20,CONFIG!$D$19)))</f>
        <v/>
      </c>
      <c r="M764" s="20" t="str">
        <f aca="false">IF(K764="","",IF(K764&gt;=CONFIG!$E$21,CONFIG!$F$21,IF(K764&gt;=CONFIG!$E$20,CONFIG!$F$20,CONFIG!$F$19)))</f>
        <v/>
      </c>
      <c r="N764" s="19" t="str">
        <f aca="false">IF(I764="","",IF(I764&lt;=M764,"OK","ALTA"))</f>
        <v/>
      </c>
      <c r="O764" s="13"/>
    </row>
    <row r="765" customFormat="false" ht="15" hidden="false" customHeight="false" outlineLevel="0" collapsed="false">
      <c r="A765" s="11" t="str">
        <f aca="false">IF(C765="","",ROW()-4)</f>
        <v/>
      </c>
      <c r="B765" s="12"/>
      <c r="C765" s="13"/>
      <c r="D765" s="11" t="str">
        <f aca="false">IF(C765="","",IFERROR(INDEX(LOTES!$D$5:$D$1004,MATCH(C765,LOTES!$F$5:$F$1004,0)),"¿Lote?"))</f>
        <v/>
      </c>
      <c r="E765" s="11" t="str">
        <f aca="false">IF(C765="","",IFERROR(INDEX(LOTES!$C$5:$C$1004,MATCH(C765,LOTES!$F$5:$F$1004,0)),""))</f>
        <v/>
      </c>
      <c r="F765" s="27"/>
      <c r="G765" s="27"/>
      <c r="H765" s="27"/>
      <c r="I765" s="20" t="str">
        <f aca="false">IF(AND(ISNUMBER(F765),ISNUMBER(G765),ISNUMBER(H765),F765&gt;G765,H765&gt;0),(F765-H765)/(F765-G765)*1000,"")</f>
        <v/>
      </c>
      <c r="J765" s="17" t="str">
        <f aca="false">IF(AND(ISNUMBER(F765),ISNUMBER(G765),ISNUMBER(H765),F765&gt;G765,H765&gt;0),(F765-H765)/H765,"")</f>
        <v/>
      </c>
      <c r="K765" s="20" t="str">
        <f aca="false">IF(AND(ISNUMBER(F765),ISNUMBER(G765),ISNUMBER(H765),F765&gt;G765,H765&gt;0),H765/(F765-G765)*1000,"")</f>
        <v/>
      </c>
      <c r="L765" s="11" t="str">
        <f aca="false">IF(K765="","",IF(K765&gt;=CONFIG!$E$21,CONFIG!$D$21,IF(K765&gt;=CONFIG!$E$20,CONFIG!$D$20,CONFIG!$D$19)))</f>
        <v/>
      </c>
      <c r="M765" s="20" t="str">
        <f aca="false">IF(K765="","",IF(K765&gt;=CONFIG!$E$21,CONFIG!$F$21,IF(K765&gt;=CONFIG!$E$20,CONFIG!$F$20,CONFIG!$F$19)))</f>
        <v/>
      </c>
      <c r="N765" s="19" t="str">
        <f aca="false">IF(I765="","",IF(I765&lt;=M765,"OK","ALTA"))</f>
        <v/>
      </c>
      <c r="O765" s="13"/>
    </row>
    <row r="766" customFormat="false" ht="15" hidden="false" customHeight="false" outlineLevel="0" collapsed="false">
      <c r="A766" s="11" t="str">
        <f aca="false">IF(C766="","",ROW()-4)</f>
        <v/>
      </c>
      <c r="B766" s="12"/>
      <c r="C766" s="13"/>
      <c r="D766" s="11" t="str">
        <f aca="false">IF(C766="","",IFERROR(INDEX(LOTES!$D$5:$D$1004,MATCH(C766,LOTES!$F$5:$F$1004,0)),"¿Lote?"))</f>
        <v/>
      </c>
      <c r="E766" s="11" t="str">
        <f aca="false">IF(C766="","",IFERROR(INDEX(LOTES!$C$5:$C$1004,MATCH(C766,LOTES!$F$5:$F$1004,0)),""))</f>
        <v/>
      </c>
      <c r="F766" s="27"/>
      <c r="G766" s="27"/>
      <c r="H766" s="27"/>
      <c r="I766" s="20" t="str">
        <f aca="false">IF(AND(ISNUMBER(F766),ISNUMBER(G766),ISNUMBER(H766),F766&gt;G766,H766&gt;0),(F766-H766)/(F766-G766)*1000,"")</f>
        <v/>
      </c>
      <c r="J766" s="17" t="str">
        <f aca="false">IF(AND(ISNUMBER(F766),ISNUMBER(G766),ISNUMBER(H766),F766&gt;G766,H766&gt;0),(F766-H766)/H766,"")</f>
        <v/>
      </c>
      <c r="K766" s="20" t="str">
        <f aca="false">IF(AND(ISNUMBER(F766),ISNUMBER(G766),ISNUMBER(H766),F766&gt;G766,H766&gt;0),H766/(F766-G766)*1000,"")</f>
        <v/>
      </c>
      <c r="L766" s="11" t="str">
        <f aca="false">IF(K766="","",IF(K766&gt;=CONFIG!$E$21,CONFIG!$D$21,IF(K766&gt;=CONFIG!$E$20,CONFIG!$D$20,CONFIG!$D$19)))</f>
        <v/>
      </c>
      <c r="M766" s="20" t="str">
        <f aca="false">IF(K766="","",IF(K766&gt;=CONFIG!$E$21,CONFIG!$F$21,IF(K766&gt;=CONFIG!$E$20,CONFIG!$F$20,CONFIG!$F$19)))</f>
        <v/>
      </c>
      <c r="N766" s="19" t="str">
        <f aca="false">IF(I766="","",IF(I766&lt;=M766,"OK","ALTA"))</f>
        <v/>
      </c>
      <c r="O766" s="13"/>
    </row>
    <row r="767" customFormat="false" ht="15" hidden="false" customHeight="false" outlineLevel="0" collapsed="false">
      <c r="A767" s="11" t="str">
        <f aca="false">IF(C767="","",ROW()-4)</f>
        <v/>
      </c>
      <c r="B767" s="12"/>
      <c r="C767" s="13"/>
      <c r="D767" s="11" t="str">
        <f aca="false">IF(C767="","",IFERROR(INDEX(LOTES!$D$5:$D$1004,MATCH(C767,LOTES!$F$5:$F$1004,0)),"¿Lote?"))</f>
        <v/>
      </c>
      <c r="E767" s="11" t="str">
        <f aca="false">IF(C767="","",IFERROR(INDEX(LOTES!$C$5:$C$1004,MATCH(C767,LOTES!$F$5:$F$1004,0)),""))</f>
        <v/>
      </c>
      <c r="F767" s="27"/>
      <c r="G767" s="27"/>
      <c r="H767" s="27"/>
      <c r="I767" s="20" t="str">
        <f aca="false">IF(AND(ISNUMBER(F767),ISNUMBER(G767),ISNUMBER(H767),F767&gt;G767,H767&gt;0),(F767-H767)/(F767-G767)*1000,"")</f>
        <v/>
      </c>
      <c r="J767" s="17" t="str">
        <f aca="false">IF(AND(ISNUMBER(F767),ISNUMBER(G767),ISNUMBER(H767),F767&gt;G767,H767&gt;0),(F767-H767)/H767,"")</f>
        <v/>
      </c>
      <c r="K767" s="20" t="str">
        <f aca="false">IF(AND(ISNUMBER(F767),ISNUMBER(G767),ISNUMBER(H767),F767&gt;G767,H767&gt;0),H767/(F767-G767)*1000,"")</f>
        <v/>
      </c>
      <c r="L767" s="11" t="str">
        <f aca="false">IF(K767="","",IF(K767&gt;=CONFIG!$E$21,CONFIG!$D$21,IF(K767&gt;=CONFIG!$E$20,CONFIG!$D$20,CONFIG!$D$19)))</f>
        <v/>
      </c>
      <c r="M767" s="20" t="str">
        <f aca="false">IF(K767="","",IF(K767&gt;=CONFIG!$E$21,CONFIG!$F$21,IF(K767&gt;=CONFIG!$E$20,CONFIG!$F$20,CONFIG!$F$19)))</f>
        <v/>
      </c>
      <c r="N767" s="19" t="str">
        <f aca="false">IF(I767="","",IF(I767&lt;=M767,"OK","ALTA"))</f>
        <v/>
      </c>
      <c r="O767" s="13"/>
    </row>
    <row r="768" customFormat="false" ht="15" hidden="false" customHeight="false" outlineLevel="0" collapsed="false">
      <c r="A768" s="11" t="str">
        <f aca="false">IF(C768="","",ROW()-4)</f>
        <v/>
      </c>
      <c r="B768" s="12"/>
      <c r="C768" s="13"/>
      <c r="D768" s="11" t="str">
        <f aca="false">IF(C768="","",IFERROR(INDEX(LOTES!$D$5:$D$1004,MATCH(C768,LOTES!$F$5:$F$1004,0)),"¿Lote?"))</f>
        <v/>
      </c>
      <c r="E768" s="11" t="str">
        <f aca="false">IF(C768="","",IFERROR(INDEX(LOTES!$C$5:$C$1004,MATCH(C768,LOTES!$F$5:$F$1004,0)),""))</f>
        <v/>
      </c>
      <c r="F768" s="27"/>
      <c r="G768" s="27"/>
      <c r="H768" s="27"/>
      <c r="I768" s="20" t="str">
        <f aca="false">IF(AND(ISNUMBER(F768),ISNUMBER(G768),ISNUMBER(H768),F768&gt;G768,H768&gt;0),(F768-H768)/(F768-G768)*1000,"")</f>
        <v/>
      </c>
      <c r="J768" s="17" t="str">
        <f aca="false">IF(AND(ISNUMBER(F768),ISNUMBER(G768),ISNUMBER(H768),F768&gt;G768,H768&gt;0),(F768-H768)/H768,"")</f>
        <v/>
      </c>
      <c r="K768" s="20" t="str">
        <f aca="false">IF(AND(ISNUMBER(F768),ISNUMBER(G768),ISNUMBER(H768),F768&gt;G768,H768&gt;0),H768/(F768-G768)*1000,"")</f>
        <v/>
      </c>
      <c r="L768" s="11" t="str">
        <f aca="false">IF(K768="","",IF(K768&gt;=CONFIG!$E$21,CONFIG!$D$21,IF(K768&gt;=CONFIG!$E$20,CONFIG!$D$20,CONFIG!$D$19)))</f>
        <v/>
      </c>
      <c r="M768" s="20" t="str">
        <f aca="false">IF(K768="","",IF(K768&gt;=CONFIG!$E$21,CONFIG!$F$21,IF(K768&gt;=CONFIG!$E$20,CONFIG!$F$20,CONFIG!$F$19)))</f>
        <v/>
      </c>
      <c r="N768" s="19" t="str">
        <f aca="false">IF(I768="","",IF(I768&lt;=M768,"OK","ALTA"))</f>
        <v/>
      </c>
      <c r="O768" s="13"/>
    </row>
    <row r="769" customFormat="false" ht="15" hidden="false" customHeight="false" outlineLevel="0" collapsed="false">
      <c r="A769" s="11" t="str">
        <f aca="false">IF(C769="","",ROW()-4)</f>
        <v/>
      </c>
      <c r="B769" s="12"/>
      <c r="C769" s="13"/>
      <c r="D769" s="11" t="str">
        <f aca="false">IF(C769="","",IFERROR(INDEX(LOTES!$D$5:$D$1004,MATCH(C769,LOTES!$F$5:$F$1004,0)),"¿Lote?"))</f>
        <v/>
      </c>
      <c r="E769" s="11" t="str">
        <f aca="false">IF(C769="","",IFERROR(INDEX(LOTES!$C$5:$C$1004,MATCH(C769,LOTES!$F$5:$F$1004,0)),""))</f>
        <v/>
      </c>
      <c r="F769" s="27"/>
      <c r="G769" s="27"/>
      <c r="H769" s="27"/>
      <c r="I769" s="20" t="str">
        <f aca="false">IF(AND(ISNUMBER(F769),ISNUMBER(G769),ISNUMBER(H769),F769&gt;G769,H769&gt;0),(F769-H769)/(F769-G769)*1000,"")</f>
        <v/>
      </c>
      <c r="J769" s="17" t="str">
        <f aca="false">IF(AND(ISNUMBER(F769),ISNUMBER(G769),ISNUMBER(H769),F769&gt;G769,H769&gt;0),(F769-H769)/H769,"")</f>
        <v/>
      </c>
      <c r="K769" s="20" t="str">
        <f aca="false">IF(AND(ISNUMBER(F769),ISNUMBER(G769),ISNUMBER(H769),F769&gt;G769,H769&gt;0),H769/(F769-G769)*1000,"")</f>
        <v/>
      </c>
      <c r="L769" s="11" t="str">
        <f aca="false">IF(K769="","",IF(K769&gt;=CONFIG!$E$21,CONFIG!$D$21,IF(K769&gt;=CONFIG!$E$20,CONFIG!$D$20,CONFIG!$D$19)))</f>
        <v/>
      </c>
      <c r="M769" s="20" t="str">
        <f aca="false">IF(K769="","",IF(K769&gt;=CONFIG!$E$21,CONFIG!$F$21,IF(K769&gt;=CONFIG!$E$20,CONFIG!$F$20,CONFIG!$F$19)))</f>
        <v/>
      </c>
      <c r="N769" s="19" t="str">
        <f aca="false">IF(I769="","",IF(I769&lt;=M769,"OK","ALTA"))</f>
        <v/>
      </c>
      <c r="O769" s="13"/>
    </row>
    <row r="770" customFormat="false" ht="15" hidden="false" customHeight="false" outlineLevel="0" collapsed="false">
      <c r="A770" s="11" t="str">
        <f aca="false">IF(C770="","",ROW()-4)</f>
        <v/>
      </c>
      <c r="B770" s="12"/>
      <c r="C770" s="13"/>
      <c r="D770" s="11" t="str">
        <f aca="false">IF(C770="","",IFERROR(INDEX(LOTES!$D$5:$D$1004,MATCH(C770,LOTES!$F$5:$F$1004,0)),"¿Lote?"))</f>
        <v/>
      </c>
      <c r="E770" s="11" t="str">
        <f aca="false">IF(C770="","",IFERROR(INDEX(LOTES!$C$5:$C$1004,MATCH(C770,LOTES!$F$5:$F$1004,0)),""))</f>
        <v/>
      </c>
      <c r="F770" s="27"/>
      <c r="G770" s="27"/>
      <c r="H770" s="27"/>
      <c r="I770" s="20" t="str">
        <f aca="false">IF(AND(ISNUMBER(F770),ISNUMBER(G770),ISNUMBER(H770),F770&gt;G770,H770&gt;0),(F770-H770)/(F770-G770)*1000,"")</f>
        <v/>
      </c>
      <c r="J770" s="17" t="str">
        <f aca="false">IF(AND(ISNUMBER(F770),ISNUMBER(G770),ISNUMBER(H770),F770&gt;G770,H770&gt;0),(F770-H770)/H770,"")</f>
        <v/>
      </c>
      <c r="K770" s="20" t="str">
        <f aca="false">IF(AND(ISNUMBER(F770),ISNUMBER(G770),ISNUMBER(H770),F770&gt;G770,H770&gt;0),H770/(F770-G770)*1000,"")</f>
        <v/>
      </c>
      <c r="L770" s="11" t="str">
        <f aca="false">IF(K770="","",IF(K770&gt;=CONFIG!$E$21,CONFIG!$D$21,IF(K770&gt;=CONFIG!$E$20,CONFIG!$D$20,CONFIG!$D$19)))</f>
        <v/>
      </c>
      <c r="M770" s="20" t="str">
        <f aca="false">IF(K770="","",IF(K770&gt;=CONFIG!$E$21,CONFIG!$F$21,IF(K770&gt;=CONFIG!$E$20,CONFIG!$F$20,CONFIG!$F$19)))</f>
        <v/>
      </c>
      <c r="N770" s="19" t="str">
        <f aca="false">IF(I770="","",IF(I770&lt;=M770,"OK","ALTA"))</f>
        <v/>
      </c>
      <c r="O770" s="13"/>
    </row>
    <row r="771" customFormat="false" ht="15" hidden="false" customHeight="false" outlineLevel="0" collapsed="false">
      <c r="A771" s="11" t="str">
        <f aca="false">IF(C771="","",ROW()-4)</f>
        <v/>
      </c>
      <c r="B771" s="12"/>
      <c r="C771" s="13"/>
      <c r="D771" s="11" t="str">
        <f aca="false">IF(C771="","",IFERROR(INDEX(LOTES!$D$5:$D$1004,MATCH(C771,LOTES!$F$5:$F$1004,0)),"¿Lote?"))</f>
        <v/>
      </c>
      <c r="E771" s="11" t="str">
        <f aca="false">IF(C771="","",IFERROR(INDEX(LOTES!$C$5:$C$1004,MATCH(C771,LOTES!$F$5:$F$1004,0)),""))</f>
        <v/>
      </c>
      <c r="F771" s="27"/>
      <c r="G771" s="27"/>
      <c r="H771" s="27"/>
      <c r="I771" s="20" t="str">
        <f aca="false">IF(AND(ISNUMBER(F771),ISNUMBER(G771),ISNUMBER(H771),F771&gt;G771,H771&gt;0),(F771-H771)/(F771-G771)*1000,"")</f>
        <v/>
      </c>
      <c r="J771" s="17" t="str">
        <f aca="false">IF(AND(ISNUMBER(F771),ISNUMBER(G771),ISNUMBER(H771),F771&gt;G771,H771&gt;0),(F771-H771)/H771,"")</f>
        <v/>
      </c>
      <c r="K771" s="20" t="str">
        <f aca="false">IF(AND(ISNUMBER(F771),ISNUMBER(G771),ISNUMBER(H771),F771&gt;G771,H771&gt;0),H771/(F771-G771)*1000,"")</f>
        <v/>
      </c>
      <c r="L771" s="11" t="str">
        <f aca="false">IF(K771="","",IF(K771&gt;=CONFIG!$E$21,CONFIG!$D$21,IF(K771&gt;=CONFIG!$E$20,CONFIG!$D$20,CONFIG!$D$19)))</f>
        <v/>
      </c>
      <c r="M771" s="20" t="str">
        <f aca="false">IF(K771="","",IF(K771&gt;=CONFIG!$E$21,CONFIG!$F$21,IF(K771&gt;=CONFIG!$E$20,CONFIG!$F$20,CONFIG!$F$19)))</f>
        <v/>
      </c>
      <c r="N771" s="19" t="str">
        <f aca="false">IF(I771="","",IF(I771&lt;=M771,"OK","ALTA"))</f>
        <v/>
      </c>
      <c r="O771" s="13"/>
    </row>
    <row r="772" customFormat="false" ht="15" hidden="false" customHeight="false" outlineLevel="0" collapsed="false">
      <c r="A772" s="11" t="str">
        <f aca="false">IF(C772="","",ROW()-4)</f>
        <v/>
      </c>
      <c r="B772" s="12"/>
      <c r="C772" s="13"/>
      <c r="D772" s="11" t="str">
        <f aca="false">IF(C772="","",IFERROR(INDEX(LOTES!$D$5:$D$1004,MATCH(C772,LOTES!$F$5:$F$1004,0)),"¿Lote?"))</f>
        <v/>
      </c>
      <c r="E772" s="11" t="str">
        <f aca="false">IF(C772="","",IFERROR(INDEX(LOTES!$C$5:$C$1004,MATCH(C772,LOTES!$F$5:$F$1004,0)),""))</f>
        <v/>
      </c>
      <c r="F772" s="27"/>
      <c r="G772" s="27"/>
      <c r="H772" s="27"/>
      <c r="I772" s="20" t="str">
        <f aca="false">IF(AND(ISNUMBER(F772),ISNUMBER(G772),ISNUMBER(H772),F772&gt;G772,H772&gt;0),(F772-H772)/(F772-G772)*1000,"")</f>
        <v/>
      </c>
      <c r="J772" s="17" t="str">
        <f aca="false">IF(AND(ISNUMBER(F772),ISNUMBER(G772),ISNUMBER(H772),F772&gt;G772,H772&gt;0),(F772-H772)/H772,"")</f>
        <v/>
      </c>
      <c r="K772" s="20" t="str">
        <f aca="false">IF(AND(ISNUMBER(F772),ISNUMBER(G772),ISNUMBER(H772),F772&gt;G772,H772&gt;0),H772/(F772-G772)*1000,"")</f>
        <v/>
      </c>
      <c r="L772" s="11" t="str">
        <f aca="false">IF(K772="","",IF(K772&gt;=CONFIG!$E$21,CONFIG!$D$21,IF(K772&gt;=CONFIG!$E$20,CONFIG!$D$20,CONFIG!$D$19)))</f>
        <v/>
      </c>
      <c r="M772" s="20" t="str">
        <f aca="false">IF(K772="","",IF(K772&gt;=CONFIG!$E$21,CONFIG!$F$21,IF(K772&gt;=CONFIG!$E$20,CONFIG!$F$20,CONFIG!$F$19)))</f>
        <v/>
      </c>
      <c r="N772" s="19" t="str">
        <f aca="false">IF(I772="","",IF(I772&lt;=M772,"OK","ALTA"))</f>
        <v/>
      </c>
      <c r="O772" s="13"/>
    </row>
    <row r="773" customFormat="false" ht="15" hidden="false" customHeight="false" outlineLevel="0" collapsed="false">
      <c r="A773" s="11" t="str">
        <f aca="false">IF(C773="","",ROW()-4)</f>
        <v/>
      </c>
      <c r="B773" s="12"/>
      <c r="C773" s="13"/>
      <c r="D773" s="11" t="str">
        <f aca="false">IF(C773="","",IFERROR(INDEX(LOTES!$D$5:$D$1004,MATCH(C773,LOTES!$F$5:$F$1004,0)),"¿Lote?"))</f>
        <v/>
      </c>
      <c r="E773" s="11" t="str">
        <f aca="false">IF(C773="","",IFERROR(INDEX(LOTES!$C$5:$C$1004,MATCH(C773,LOTES!$F$5:$F$1004,0)),""))</f>
        <v/>
      </c>
      <c r="F773" s="27"/>
      <c r="G773" s="27"/>
      <c r="H773" s="27"/>
      <c r="I773" s="20" t="str">
        <f aca="false">IF(AND(ISNUMBER(F773),ISNUMBER(G773),ISNUMBER(H773),F773&gt;G773,H773&gt;0),(F773-H773)/(F773-G773)*1000,"")</f>
        <v/>
      </c>
      <c r="J773" s="17" t="str">
        <f aca="false">IF(AND(ISNUMBER(F773),ISNUMBER(G773),ISNUMBER(H773),F773&gt;G773,H773&gt;0),(F773-H773)/H773,"")</f>
        <v/>
      </c>
      <c r="K773" s="20" t="str">
        <f aca="false">IF(AND(ISNUMBER(F773),ISNUMBER(G773),ISNUMBER(H773),F773&gt;G773,H773&gt;0),H773/(F773-G773)*1000,"")</f>
        <v/>
      </c>
      <c r="L773" s="11" t="str">
        <f aca="false">IF(K773="","",IF(K773&gt;=CONFIG!$E$21,CONFIG!$D$21,IF(K773&gt;=CONFIG!$E$20,CONFIG!$D$20,CONFIG!$D$19)))</f>
        <v/>
      </c>
      <c r="M773" s="20" t="str">
        <f aca="false">IF(K773="","",IF(K773&gt;=CONFIG!$E$21,CONFIG!$F$21,IF(K773&gt;=CONFIG!$E$20,CONFIG!$F$20,CONFIG!$F$19)))</f>
        <v/>
      </c>
      <c r="N773" s="19" t="str">
        <f aca="false">IF(I773="","",IF(I773&lt;=M773,"OK","ALTA"))</f>
        <v/>
      </c>
      <c r="O773" s="13"/>
    </row>
    <row r="774" customFormat="false" ht="15" hidden="false" customHeight="false" outlineLevel="0" collapsed="false">
      <c r="A774" s="11" t="str">
        <f aca="false">IF(C774="","",ROW()-4)</f>
        <v/>
      </c>
      <c r="B774" s="12"/>
      <c r="C774" s="13"/>
      <c r="D774" s="11" t="str">
        <f aca="false">IF(C774="","",IFERROR(INDEX(LOTES!$D$5:$D$1004,MATCH(C774,LOTES!$F$5:$F$1004,0)),"¿Lote?"))</f>
        <v/>
      </c>
      <c r="E774" s="11" t="str">
        <f aca="false">IF(C774="","",IFERROR(INDEX(LOTES!$C$5:$C$1004,MATCH(C774,LOTES!$F$5:$F$1004,0)),""))</f>
        <v/>
      </c>
      <c r="F774" s="27"/>
      <c r="G774" s="27"/>
      <c r="H774" s="27"/>
      <c r="I774" s="20" t="str">
        <f aca="false">IF(AND(ISNUMBER(F774),ISNUMBER(G774),ISNUMBER(H774),F774&gt;G774,H774&gt;0),(F774-H774)/(F774-G774)*1000,"")</f>
        <v/>
      </c>
      <c r="J774" s="17" t="str">
        <f aca="false">IF(AND(ISNUMBER(F774),ISNUMBER(G774),ISNUMBER(H774),F774&gt;G774,H774&gt;0),(F774-H774)/H774,"")</f>
        <v/>
      </c>
      <c r="K774" s="20" t="str">
        <f aca="false">IF(AND(ISNUMBER(F774),ISNUMBER(G774),ISNUMBER(H774),F774&gt;G774,H774&gt;0),H774/(F774-G774)*1000,"")</f>
        <v/>
      </c>
      <c r="L774" s="11" t="str">
        <f aca="false">IF(K774="","",IF(K774&gt;=CONFIG!$E$21,CONFIG!$D$21,IF(K774&gt;=CONFIG!$E$20,CONFIG!$D$20,CONFIG!$D$19)))</f>
        <v/>
      </c>
      <c r="M774" s="20" t="str">
        <f aca="false">IF(K774="","",IF(K774&gt;=CONFIG!$E$21,CONFIG!$F$21,IF(K774&gt;=CONFIG!$E$20,CONFIG!$F$20,CONFIG!$F$19)))</f>
        <v/>
      </c>
      <c r="N774" s="19" t="str">
        <f aca="false">IF(I774="","",IF(I774&lt;=M774,"OK","ALTA"))</f>
        <v/>
      </c>
      <c r="O774" s="13"/>
    </row>
    <row r="775" customFormat="false" ht="15" hidden="false" customHeight="false" outlineLevel="0" collapsed="false">
      <c r="A775" s="11" t="str">
        <f aca="false">IF(C775="","",ROW()-4)</f>
        <v/>
      </c>
      <c r="B775" s="12"/>
      <c r="C775" s="13"/>
      <c r="D775" s="11" t="str">
        <f aca="false">IF(C775="","",IFERROR(INDEX(LOTES!$D$5:$D$1004,MATCH(C775,LOTES!$F$5:$F$1004,0)),"¿Lote?"))</f>
        <v/>
      </c>
      <c r="E775" s="11" t="str">
        <f aca="false">IF(C775="","",IFERROR(INDEX(LOTES!$C$5:$C$1004,MATCH(C775,LOTES!$F$5:$F$1004,0)),""))</f>
        <v/>
      </c>
      <c r="F775" s="27"/>
      <c r="G775" s="27"/>
      <c r="H775" s="27"/>
      <c r="I775" s="20" t="str">
        <f aca="false">IF(AND(ISNUMBER(F775),ISNUMBER(G775),ISNUMBER(H775),F775&gt;G775,H775&gt;0),(F775-H775)/(F775-G775)*1000,"")</f>
        <v/>
      </c>
      <c r="J775" s="17" t="str">
        <f aca="false">IF(AND(ISNUMBER(F775),ISNUMBER(G775),ISNUMBER(H775),F775&gt;G775,H775&gt;0),(F775-H775)/H775,"")</f>
        <v/>
      </c>
      <c r="K775" s="20" t="str">
        <f aca="false">IF(AND(ISNUMBER(F775),ISNUMBER(G775),ISNUMBER(H775),F775&gt;G775,H775&gt;0),H775/(F775-G775)*1000,"")</f>
        <v/>
      </c>
      <c r="L775" s="11" t="str">
        <f aca="false">IF(K775="","",IF(K775&gt;=CONFIG!$E$21,CONFIG!$D$21,IF(K775&gt;=CONFIG!$E$20,CONFIG!$D$20,CONFIG!$D$19)))</f>
        <v/>
      </c>
      <c r="M775" s="20" t="str">
        <f aca="false">IF(K775="","",IF(K775&gt;=CONFIG!$E$21,CONFIG!$F$21,IF(K775&gt;=CONFIG!$E$20,CONFIG!$F$20,CONFIG!$F$19)))</f>
        <v/>
      </c>
      <c r="N775" s="19" t="str">
        <f aca="false">IF(I775="","",IF(I775&lt;=M775,"OK","ALTA"))</f>
        <v/>
      </c>
      <c r="O775" s="13"/>
    </row>
    <row r="776" customFormat="false" ht="15" hidden="false" customHeight="false" outlineLevel="0" collapsed="false">
      <c r="A776" s="11" t="str">
        <f aca="false">IF(C776="","",ROW()-4)</f>
        <v/>
      </c>
      <c r="B776" s="12"/>
      <c r="C776" s="13"/>
      <c r="D776" s="11" t="str">
        <f aca="false">IF(C776="","",IFERROR(INDEX(LOTES!$D$5:$D$1004,MATCH(C776,LOTES!$F$5:$F$1004,0)),"¿Lote?"))</f>
        <v/>
      </c>
      <c r="E776" s="11" t="str">
        <f aca="false">IF(C776="","",IFERROR(INDEX(LOTES!$C$5:$C$1004,MATCH(C776,LOTES!$F$5:$F$1004,0)),""))</f>
        <v/>
      </c>
      <c r="F776" s="27"/>
      <c r="G776" s="27"/>
      <c r="H776" s="27"/>
      <c r="I776" s="20" t="str">
        <f aca="false">IF(AND(ISNUMBER(F776),ISNUMBER(G776),ISNUMBER(H776),F776&gt;G776,H776&gt;0),(F776-H776)/(F776-G776)*1000,"")</f>
        <v/>
      </c>
      <c r="J776" s="17" t="str">
        <f aca="false">IF(AND(ISNUMBER(F776),ISNUMBER(G776),ISNUMBER(H776),F776&gt;G776,H776&gt;0),(F776-H776)/H776,"")</f>
        <v/>
      </c>
      <c r="K776" s="20" t="str">
        <f aca="false">IF(AND(ISNUMBER(F776),ISNUMBER(G776),ISNUMBER(H776),F776&gt;G776,H776&gt;0),H776/(F776-G776)*1000,"")</f>
        <v/>
      </c>
      <c r="L776" s="11" t="str">
        <f aca="false">IF(K776="","",IF(K776&gt;=CONFIG!$E$21,CONFIG!$D$21,IF(K776&gt;=CONFIG!$E$20,CONFIG!$D$20,CONFIG!$D$19)))</f>
        <v/>
      </c>
      <c r="M776" s="20" t="str">
        <f aca="false">IF(K776="","",IF(K776&gt;=CONFIG!$E$21,CONFIG!$F$21,IF(K776&gt;=CONFIG!$E$20,CONFIG!$F$20,CONFIG!$F$19)))</f>
        <v/>
      </c>
      <c r="N776" s="19" t="str">
        <f aca="false">IF(I776="","",IF(I776&lt;=M776,"OK","ALTA"))</f>
        <v/>
      </c>
      <c r="O776" s="13"/>
    </row>
    <row r="777" customFormat="false" ht="15" hidden="false" customHeight="false" outlineLevel="0" collapsed="false">
      <c r="A777" s="11" t="str">
        <f aca="false">IF(C777="","",ROW()-4)</f>
        <v/>
      </c>
      <c r="B777" s="12"/>
      <c r="C777" s="13"/>
      <c r="D777" s="11" t="str">
        <f aca="false">IF(C777="","",IFERROR(INDEX(LOTES!$D$5:$D$1004,MATCH(C777,LOTES!$F$5:$F$1004,0)),"¿Lote?"))</f>
        <v/>
      </c>
      <c r="E777" s="11" t="str">
        <f aca="false">IF(C777="","",IFERROR(INDEX(LOTES!$C$5:$C$1004,MATCH(C777,LOTES!$F$5:$F$1004,0)),""))</f>
        <v/>
      </c>
      <c r="F777" s="27"/>
      <c r="G777" s="27"/>
      <c r="H777" s="27"/>
      <c r="I777" s="20" t="str">
        <f aca="false">IF(AND(ISNUMBER(F777),ISNUMBER(G777),ISNUMBER(H777),F777&gt;G777,H777&gt;0),(F777-H777)/(F777-G777)*1000,"")</f>
        <v/>
      </c>
      <c r="J777" s="17" t="str">
        <f aca="false">IF(AND(ISNUMBER(F777),ISNUMBER(G777),ISNUMBER(H777),F777&gt;G777,H777&gt;0),(F777-H777)/H777,"")</f>
        <v/>
      </c>
      <c r="K777" s="20" t="str">
        <f aca="false">IF(AND(ISNUMBER(F777),ISNUMBER(G777),ISNUMBER(H777),F777&gt;G777,H777&gt;0),H777/(F777-G777)*1000,"")</f>
        <v/>
      </c>
      <c r="L777" s="11" t="str">
        <f aca="false">IF(K777="","",IF(K777&gt;=CONFIG!$E$21,CONFIG!$D$21,IF(K777&gt;=CONFIG!$E$20,CONFIG!$D$20,CONFIG!$D$19)))</f>
        <v/>
      </c>
      <c r="M777" s="20" t="str">
        <f aca="false">IF(K777="","",IF(K777&gt;=CONFIG!$E$21,CONFIG!$F$21,IF(K777&gt;=CONFIG!$E$20,CONFIG!$F$20,CONFIG!$F$19)))</f>
        <v/>
      </c>
      <c r="N777" s="19" t="str">
        <f aca="false">IF(I777="","",IF(I777&lt;=M777,"OK","ALTA"))</f>
        <v/>
      </c>
      <c r="O777" s="13"/>
    </row>
    <row r="778" customFormat="false" ht="15" hidden="false" customHeight="false" outlineLevel="0" collapsed="false">
      <c r="A778" s="11" t="str">
        <f aca="false">IF(C778="","",ROW()-4)</f>
        <v/>
      </c>
      <c r="B778" s="12"/>
      <c r="C778" s="13"/>
      <c r="D778" s="11" t="str">
        <f aca="false">IF(C778="","",IFERROR(INDEX(LOTES!$D$5:$D$1004,MATCH(C778,LOTES!$F$5:$F$1004,0)),"¿Lote?"))</f>
        <v/>
      </c>
      <c r="E778" s="11" t="str">
        <f aca="false">IF(C778="","",IFERROR(INDEX(LOTES!$C$5:$C$1004,MATCH(C778,LOTES!$F$5:$F$1004,0)),""))</f>
        <v/>
      </c>
      <c r="F778" s="27"/>
      <c r="G778" s="27"/>
      <c r="H778" s="27"/>
      <c r="I778" s="20" t="str">
        <f aca="false">IF(AND(ISNUMBER(F778),ISNUMBER(G778),ISNUMBER(H778),F778&gt;G778,H778&gt;0),(F778-H778)/(F778-G778)*1000,"")</f>
        <v/>
      </c>
      <c r="J778" s="17" t="str">
        <f aca="false">IF(AND(ISNUMBER(F778),ISNUMBER(G778),ISNUMBER(H778),F778&gt;G778,H778&gt;0),(F778-H778)/H778,"")</f>
        <v/>
      </c>
      <c r="K778" s="20" t="str">
        <f aca="false">IF(AND(ISNUMBER(F778),ISNUMBER(G778),ISNUMBER(H778),F778&gt;G778,H778&gt;0),H778/(F778-G778)*1000,"")</f>
        <v/>
      </c>
      <c r="L778" s="11" t="str">
        <f aca="false">IF(K778="","",IF(K778&gt;=CONFIG!$E$21,CONFIG!$D$21,IF(K778&gt;=CONFIG!$E$20,CONFIG!$D$20,CONFIG!$D$19)))</f>
        <v/>
      </c>
      <c r="M778" s="20" t="str">
        <f aca="false">IF(K778="","",IF(K778&gt;=CONFIG!$E$21,CONFIG!$F$21,IF(K778&gt;=CONFIG!$E$20,CONFIG!$F$20,CONFIG!$F$19)))</f>
        <v/>
      </c>
      <c r="N778" s="19" t="str">
        <f aca="false">IF(I778="","",IF(I778&lt;=M778,"OK","ALTA"))</f>
        <v/>
      </c>
      <c r="O778" s="13"/>
    </row>
    <row r="779" customFormat="false" ht="15" hidden="false" customHeight="false" outlineLevel="0" collapsed="false">
      <c r="A779" s="11" t="str">
        <f aca="false">IF(C779="","",ROW()-4)</f>
        <v/>
      </c>
      <c r="B779" s="12"/>
      <c r="C779" s="13"/>
      <c r="D779" s="11" t="str">
        <f aca="false">IF(C779="","",IFERROR(INDEX(LOTES!$D$5:$D$1004,MATCH(C779,LOTES!$F$5:$F$1004,0)),"¿Lote?"))</f>
        <v/>
      </c>
      <c r="E779" s="11" t="str">
        <f aca="false">IF(C779="","",IFERROR(INDEX(LOTES!$C$5:$C$1004,MATCH(C779,LOTES!$F$5:$F$1004,0)),""))</f>
        <v/>
      </c>
      <c r="F779" s="27"/>
      <c r="G779" s="27"/>
      <c r="H779" s="27"/>
      <c r="I779" s="20" t="str">
        <f aca="false">IF(AND(ISNUMBER(F779),ISNUMBER(G779),ISNUMBER(H779),F779&gt;G779,H779&gt;0),(F779-H779)/(F779-G779)*1000,"")</f>
        <v/>
      </c>
      <c r="J779" s="17" t="str">
        <f aca="false">IF(AND(ISNUMBER(F779),ISNUMBER(G779),ISNUMBER(H779),F779&gt;G779,H779&gt;0),(F779-H779)/H779,"")</f>
        <v/>
      </c>
      <c r="K779" s="20" t="str">
        <f aca="false">IF(AND(ISNUMBER(F779),ISNUMBER(G779),ISNUMBER(H779),F779&gt;G779,H779&gt;0),H779/(F779-G779)*1000,"")</f>
        <v/>
      </c>
      <c r="L779" s="11" t="str">
        <f aca="false">IF(K779="","",IF(K779&gt;=CONFIG!$E$21,CONFIG!$D$21,IF(K779&gt;=CONFIG!$E$20,CONFIG!$D$20,CONFIG!$D$19)))</f>
        <v/>
      </c>
      <c r="M779" s="20" t="str">
        <f aca="false">IF(K779="","",IF(K779&gt;=CONFIG!$E$21,CONFIG!$F$21,IF(K779&gt;=CONFIG!$E$20,CONFIG!$F$20,CONFIG!$F$19)))</f>
        <v/>
      </c>
      <c r="N779" s="19" t="str">
        <f aca="false">IF(I779="","",IF(I779&lt;=M779,"OK","ALTA"))</f>
        <v/>
      </c>
      <c r="O779" s="13"/>
    </row>
    <row r="780" customFormat="false" ht="15" hidden="false" customHeight="false" outlineLevel="0" collapsed="false">
      <c r="A780" s="11" t="str">
        <f aca="false">IF(C780="","",ROW()-4)</f>
        <v/>
      </c>
      <c r="B780" s="12"/>
      <c r="C780" s="13"/>
      <c r="D780" s="11" t="str">
        <f aca="false">IF(C780="","",IFERROR(INDEX(LOTES!$D$5:$D$1004,MATCH(C780,LOTES!$F$5:$F$1004,0)),"¿Lote?"))</f>
        <v/>
      </c>
      <c r="E780" s="11" t="str">
        <f aca="false">IF(C780="","",IFERROR(INDEX(LOTES!$C$5:$C$1004,MATCH(C780,LOTES!$F$5:$F$1004,0)),""))</f>
        <v/>
      </c>
      <c r="F780" s="27"/>
      <c r="G780" s="27"/>
      <c r="H780" s="27"/>
      <c r="I780" s="20" t="str">
        <f aca="false">IF(AND(ISNUMBER(F780),ISNUMBER(G780),ISNUMBER(H780),F780&gt;G780,H780&gt;0),(F780-H780)/(F780-G780)*1000,"")</f>
        <v/>
      </c>
      <c r="J780" s="17" t="str">
        <f aca="false">IF(AND(ISNUMBER(F780),ISNUMBER(G780),ISNUMBER(H780),F780&gt;G780,H780&gt;0),(F780-H780)/H780,"")</f>
        <v/>
      </c>
      <c r="K780" s="20" t="str">
        <f aca="false">IF(AND(ISNUMBER(F780),ISNUMBER(G780),ISNUMBER(H780),F780&gt;G780,H780&gt;0),H780/(F780-G780)*1000,"")</f>
        <v/>
      </c>
      <c r="L780" s="11" t="str">
        <f aca="false">IF(K780="","",IF(K780&gt;=CONFIG!$E$21,CONFIG!$D$21,IF(K780&gt;=CONFIG!$E$20,CONFIG!$D$20,CONFIG!$D$19)))</f>
        <v/>
      </c>
      <c r="M780" s="20" t="str">
        <f aca="false">IF(K780="","",IF(K780&gt;=CONFIG!$E$21,CONFIG!$F$21,IF(K780&gt;=CONFIG!$E$20,CONFIG!$F$20,CONFIG!$F$19)))</f>
        <v/>
      </c>
      <c r="N780" s="19" t="str">
        <f aca="false">IF(I780="","",IF(I780&lt;=M780,"OK","ALTA"))</f>
        <v/>
      </c>
      <c r="O780" s="13"/>
    </row>
    <row r="781" customFormat="false" ht="15" hidden="false" customHeight="false" outlineLevel="0" collapsed="false">
      <c r="A781" s="11" t="str">
        <f aca="false">IF(C781="","",ROW()-4)</f>
        <v/>
      </c>
      <c r="B781" s="12"/>
      <c r="C781" s="13"/>
      <c r="D781" s="11" t="str">
        <f aca="false">IF(C781="","",IFERROR(INDEX(LOTES!$D$5:$D$1004,MATCH(C781,LOTES!$F$5:$F$1004,0)),"¿Lote?"))</f>
        <v/>
      </c>
      <c r="E781" s="11" t="str">
        <f aca="false">IF(C781="","",IFERROR(INDEX(LOTES!$C$5:$C$1004,MATCH(C781,LOTES!$F$5:$F$1004,0)),""))</f>
        <v/>
      </c>
      <c r="F781" s="27"/>
      <c r="G781" s="27"/>
      <c r="H781" s="27"/>
      <c r="I781" s="20" t="str">
        <f aca="false">IF(AND(ISNUMBER(F781),ISNUMBER(G781),ISNUMBER(H781),F781&gt;G781,H781&gt;0),(F781-H781)/(F781-G781)*1000,"")</f>
        <v/>
      </c>
      <c r="J781" s="17" t="str">
        <f aca="false">IF(AND(ISNUMBER(F781),ISNUMBER(G781),ISNUMBER(H781),F781&gt;G781,H781&gt;0),(F781-H781)/H781,"")</f>
        <v/>
      </c>
      <c r="K781" s="20" t="str">
        <f aca="false">IF(AND(ISNUMBER(F781),ISNUMBER(G781),ISNUMBER(H781),F781&gt;G781,H781&gt;0),H781/(F781-G781)*1000,"")</f>
        <v/>
      </c>
      <c r="L781" s="11" t="str">
        <f aca="false">IF(K781="","",IF(K781&gt;=CONFIG!$E$21,CONFIG!$D$21,IF(K781&gt;=CONFIG!$E$20,CONFIG!$D$20,CONFIG!$D$19)))</f>
        <v/>
      </c>
      <c r="M781" s="20" t="str">
        <f aca="false">IF(K781="","",IF(K781&gt;=CONFIG!$E$21,CONFIG!$F$21,IF(K781&gt;=CONFIG!$E$20,CONFIG!$F$20,CONFIG!$F$19)))</f>
        <v/>
      </c>
      <c r="N781" s="19" t="str">
        <f aca="false">IF(I781="","",IF(I781&lt;=M781,"OK","ALTA"))</f>
        <v/>
      </c>
      <c r="O781" s="13"/>
    </row>
    <row r="782" customFormat="false" ht="15" hidden="false" customHeight="false" outlineLevel="0" collapsed="false">
      <c r="A782" s="11" t="str">
        <f aca="false">IF(C782="","",ROW()-4)</f>
        <v/>
      </c>
      <c r="B782" s="12"/>
      <c r="C782" s="13"/>
      <c r="D782" s="11" t="str">
        <f aca="false">IF(C782="","",IFERROR(INDEX(LOTES!$D$5:$D$1004,MATCH(C782,LOTES!$F$5:$F$1004,0)),"¿Lote?"))</f>
        <v/>
      </c>
      <c r="E782" s="11" t="str">
        <f aca="false">IF(C782="","",IFERROR(INDEX(LOTES!$C$5:$C$1004,MATCH(C782,LOTES!$F$5:$F$1004,0)),""))</f>
        <v/>
      </c>
      <c r="F782" s="27"/>
      <c r="G782" s="27"/>
      <c r="H782" s="27"/>
      <c r="I782" s="20" t="str">
        <f aca="false">IF(AND(ISNUMBER(F782),ISNUMBER(G782),ISNUMBER(H782),F782&gt;G782,H782&gt;0),(F782-H782)/(F782-G782)*1000,"")</f>
        <v/>
      </c>
      <c r="J782" s="17" t="str">
        <f aca="false">IF(AND(ISNUMBER(F782),ISNUMBER(G782),ISNUMBER(H782),F782&gt;G782,H782&gt;0),(F782-H782)/H782,"")</f>
        <v/>
      </c>
      <c r="K782" s="20" t="str">
        <f aca="false">IF(AND(ISNUMBER(F782),ISNUMBER(G782),ISNUMBER(H782),F782&gt;G782,H782&gt;0),H782/(F782-G782)*1000,"")</f>
        <v/>
      </c>
      <c r="L782" s="11" t="str">
        <f aca="false">IF(K782="","",IF(K782&gt;=CONFIG!$E$21,CONFIG!$D$21,IF(K782&gt;=CONFIG!$E$20,CONFIG!$D$20,CONFIG!$D$19)))</f>
        <v/>
      </c>
      <c r="M782" s="20" t="str">
        <f aca="false">IF(K782="","",IF(K782&gt;=CONFIG!$E$21,CONFIG!$F$21,IF(K782&gt;=CONFIG!$E$20,CONFIG!$F$20,CONFIG!$F$19)))</f>
        <v/>
      </c>
      <c r="N782" s="19" t="str">
        <f aca="false">IF(I782="","",IF(I782&lt;=M782,"OK","ALTA"))</f>
        <v/>
      </c>
      <c r="O782" s="13"/>
    </row>
    <row r="783" customFormat="false" ht="15" hidden="false" customHeight="false" outlineLevel="0" collapsed="false">
      <c r="A783" s="11" t="str">
        <f aca="false">IF(C783="","",ROW()-4)</f>
        <v/>
      </c>
      <c r="B783" s="12"/>
      <c r="C783" s="13"/>
      <c r="D783" s="11" t="str">
        <f aca="false">IF(C783="","",IFERROR(INDEX(LOTES!$D$5:$D$1004,MATCH(C783,LOTES!$F$5:$F$1004,0)),"¿Lote?"))</f>
        <v/>
      </c>
      <c r="E783" s="11" t="str">
        <f aca="false">IF(C783="","",IFERROR(INDEX(LOTES!$C$5:$C$1004,MATCH(C783,LOTES!$F$5:$F$1004,0)),""))</f>
        <v/>
      </c>
      <c r="F783" s="27"/>
      <c r="G783" s="27"/>
      <c r="H783" s="27"/>
      <c r="I783" s="20" t="str">
        <f aca="false">IF(AND(ISNUMBER(F783),ISNUMBER(G783),ISNUMBER(H783),F783&gt;G783,H783&gt;0),(F783-H783)/(F783-G783)*1000,"")</f>
        <v/>
      </c>
      <c r="J783" s="17" t="str">
        <f aca="false">IF(AND(ISNUMBER(F783),ISNUMBER(G783),ISNUMBER(H783),F783&gt;G783,H783&gt;0),(F783-H783)/H783,"")</f>
        <v/>
      </c>
      <c r="K783" s="20" t="str">
        <f aca="false">IF(AND(ISNUMBER(F783),ISNUMBER(G783),ISNUMBER(H783),F783&gt;G783,H783&gt;0),H783/(F783-G783)*1000,"")</f>
        <v/>
      </c>
      <c r="L783" s="11" t="str">
        <f aca="false">IF(K783="","",IF(K783&gt;=CONFIG!$E$21,CONFIG!$D$21,IF(K783&gt;=CONFIG!$E$20,CONFIG!$D$20,CONFIG!$D$19)))</f>
        <v/>
      </c>
      <c r="M783" s="20" t="str">
        <f aca="false">IF(K783="","",IF(K783&gt;=CONFIG!$E$21,CONFIG!$F$21,IF(K783&gt;=CONFIG!$E$20,CONFIG!$F$20,CONFIG!$F$19)))</f>
        <v/>
      </c>
      <c r="N783" s="19" t="str">
        <f aca="false">IF(I783="","",IF(I783&lt;=M783,"OK","ALTA"))</f>
        <v/>
      </c>
      <c r="O783" s="13"/>
    </row>
    <row r="784" customFormat="false" ht="15" hidden="false" customHeight="false" outlineLevel="0" collapsed="false">
      <c r="A784" s="11" t="str">
        <f aca="false">IF(C784="","",ROW()-4)</f>
        <v/>
      </c>
      <c r="B784" s="12"/>
      <c r="C784" s="13"/>
      <c r="D784" s="11" t="str">
        <f aca="false">IF(C784="","",IFERROR(INDEX(LOTES!$D$5:$D$1004,MATCH(C784,LOTES!$F$5:$F$1004,0)),"¿Lote?"))</f>
        <v/>
      </c>
      <c r="E784" s="11" t="str">
        <f aca="false">IF(C784="","",IFERROR(INDEX(LOTES!$C$5:$C$1004,MATCH(C784,LOTES!$F$5:$F$1004,0)),""))</f>
        <v/>
      </c>
      <c r="F784" s="27"/>
      <c r="G784" s="27"/>
      <c r="H784" s="27"/>
      <c r="I784" s="20" t="str">
        <f aca="false">IF(AND(ISNUMBER(F784),ISNUMBER(G784),ISNUMBER(H784),F784&gt;G784,H784&gt;0),(F784-H784)/(F784-G784)*1000,"")</f>
        <v/>
      </c>
      <c r="J784" s="17" t="str">
        <f aca="false">IF(AND(ISNUMBER(F784),ISNUMBER(G784),ISNUMBER(H784),F784&gt;G784,H784&gt;0),(F784-H784)/H784,"")</f>
        <v/>
      </c>
      <c r="K784" s="20" t="str">
        <f aca="false">IF(AND(ISNUMBER(F784),ISNUMBER(G784),ISNUMBER(H784),F784&gt;G784,H784&gt;0),H784/(F784-G784)*1000,"")</f>
        <v/>
      </c>
      <c r="L784" s="11" t="str">
        <f aca="false">IF(K784="","",IF(K784&gt;=CONFIG!$E$21,CONFIG!$D$21,IF(K784&gt;=CONFIG!$E$20,CONFIG!$D$20,CONFIG!$D$19)))</f>
        <v/>
      </c>
      <c r="M784" s="20" t="str">
        <f aca="false">IF(K784="","",IF(K784&gt;=CONFIG!$E$21,CONFIG!$F$21,IF(K784&gt;=CONFIG!$E$20,CONFIG!$F$20,CONFIG!$F$19)))</f>
        <v/>
      </c>
      <c r="N784" s="19" t="str">
        <f aca="false">IF(I784="","",IF(I784&lt;=M784,"OK","ALTA"))</f>
        <v/>
      </c>
      <c r="O784" s="13"/>
    </row>
    <row r="785" customFormat="false" ht="15" hidden="false" customHeight="false" outlineLevel="0" collapsed="false">
      <c r="A785" s="11" t="str">
        <f aca="false">IF(C785="","",ROW()-4)</f>
        <v/>
      </c>
      <c r="B785" s="12"/>
      <c r="C785" s="13"/>
      <c r="D785" s="11" t="str">
        <f aca="false">IF(C785="","",IFERROR(INDEX(LOTES!$D$5:$D$1004,MATCH(C785,LOTES!$F$5:$F$1004,0)),"¿Lote?"))</f>
        <v/>
      </c>
      <c r="E785" s="11" t="str">
        <f aca="false">IF(C785="","",IFERROR(INDEX(LOTES!$C$5:$C$1004,MATCH(C785,LOTES!$F$5:$F$1004,0)),""))</f>
        <v/>
      </c>
      <c r="F785" s="27"/>
      <c r="G785" s="27"/>
      <c r="H785" s="27"/>
      <c r="I785" s="20" t="str">
        <f aca="false">IF(AND(ISNUMBER(F785),ISNUMBER(G785),ISNUMBER(H785),F785&gt;G785,H785&gt;0),(F785-H785)/(F785-G785)*1000,"")</f>
        <v/>
      </c>
      <c r="J785" s="17" t="str">
        <f aca="false">IF(AND(ISNUMBER(F785),ISNUMBER(G785),ISNUMBER(H785),F785&gt;G785,H785&gt;0),(F785-H785)/H785,"")</f>
        <v/>
      </c>
      <c r="K785" s="20" t="str">
        <f aca="false">IF(AND(ISNUMBER(F785),ISNUMBER(G785),ISNUMBER(H785),F785&gt;G785,H785&gt;0),H785/(F785-G785)*1000,"")</f>
        <v/>
      </c>
      <c r="L785" s="11" t="str">
        <f aca="false">IF(K785="","",IF(K785&gt;=CONFIG!$E$21,CONFIG!$D$21,IF(K785&gt;=CONFIG!$E$20,CONFIG!$D$20,CONFIG!$D$19)))</f>
        <v/>
      </c>
      <c r="M785" s="20" t="str">
        <f aca="false">IF(K785="","",IF(K785&gt;=CONFIG!$E$21,CONFIG!$F$21,IF(K785&gt;=CONFIG!$E$20,CONFIG!$F$20,CONFIG!$F$19)))</f>
        <v/>
      </c>
      <c r="N785" s="19" t="str">
        <f aca="false">IF(I785="","",IF(I785&lt;=M785,"OK","ALTA"))</f>
        <v/>
      </c>
      <c r="O785" s="13"/>
    </row>
    <row r="786" customFormat="false" ht="15" hidden="false" customHeight="false" outlineLevel="0" collapsed="false">
      <c r="A786" s="11" t="str">
        <f aca="false">IF(C786="","",ROW()-4)</f>
        <v/>
      </c>
      <c r="B786" s="12"/>
      <c r="C786" s="13"/>
      <c r="D786" s="11" t="str">
        <f aca="false">IF(C786="","",IFERROR(INDEX(LOTES!$D$5:$D$1004,MATCH(C786,LOTES!$F$5:$F$1004,0)),"¿Lote?"))</f>
        <v/>
      </c>
      <c r="E786" s="11" t="str">
        <f aca="false">IF(C786="","",IFERROR(INDEX(LOTES!$C$5:$C$1004,MATCH(C786,LOTES!$F$5:$F$1004,0)),""))</f>
        <v/>
      </c>
      <c r="F786" s="27"/>
      <c r="G786" s="27"/>
      <c r="H786" s="27"/>
      <c r="I786" s="20" t="str">
        <f aca="false">IF(AND(ISNUMBER(F786),ISNUMBER(G786),ISNUMBER(H786),F786&gt;G786,H786&gt;0),(F786-H786)/(F786-G786)*1000,"")</f>
        <v/>
      </c>
      <c r="J786" s="17" t="str">
        <f aca="false">IF(AND(ISNUMBER(F786),ISNUMBER(G786),ISNUMBER(H786),F786&gt;G786,H786&gt;0),(F786-H786)/H786,"")</f>
        <v/>
      </c>
      <c r="K786" s="20" t="str">
        <f aca="false">IF(AND(ISNUMBER(F786),ISNUMBER(G786),ISNUMBER(H786),F786&gt;G786,H786&gt;0),H786/(F786-G786)*1000,"")</f>
        <v/>
      </c>
      <c r="L786" s="11" t="str">
        <f aca="false">IF(K786="","",IF(K786&gt;=CONFIG!$E$21,CONFIG!$D$21,IF(K786&gt;=CONFIG!$E$20,CONFIG!$D$20,CONFIG!$D$19)))</f>
        <v/>
      </c>
      <c r="M786" s="20" t="str">
        <f aca="false">IF(K786="","",IF(K786&gt;=CONFIG!$E$21,CONFIG!$F$21,IF(K786&gt;=CONFIG!$E$20,CONFIG!$F$20,CONFIG!$F$19)))</f>
        <v/>
      </c>
      <c r="N786" s="19" t="str">
        <f aca="false">IF(I786="","",IF(I786&lt;=M786,"OK","ALTA"))</f>
        <v/>
      </c>
      <c r="O786" s="13"/>
    </row>
    <row r="787" customFormat="false" ht="15" hidden="false" customHeight="false" outlineLevel="0" collapsed="false">
      <c r="A787" s="11" t="str">
        <f aca="false">IF(C787="","",ROW()-4)</f>
        <v/>
      </c>
      <c r="B787" s="12"/>
      <c r="C787" s="13"/>
      <c r="D787" s="11" t="str">
        <f aca="false">IF(C787="","",IFERROR(INDEX(LOTES!$D$5:$D$1004,MATCH(C787,LOTES!$F$5:$F$1004,0)),"¿Lote?"))</f>
        <v/>
      </c>
      <c r="E787" s="11" t="str">
        <f aca="false">IF(C787="","",IFERROR(INDEX(LOTES!$C$5:$C$1004,MATCH(C787,LOTES!$F$5:$F$1004,0)),""))</f>
        <v/>
      </c>
      <c r="F787" s="27"/>
      <c r="G787" s="27"/>
      <c r="H787" s="27"/>
      <c r="I787" s="20" t="str">
        <f aca="false">IF(AND(ISNUMBER(F787),ISNUMBER(G787),ISNUMBER(H787),F787&gt;G787,H787&gt;0),(F787-H787)/(F787-G787)*1000,"")</f>
        <v/>
      </c>
      <c r="J787" s="17" t="str">
        <f aca="false">IF(AND(ISNUMBER(F787),ISNUMBER(G787),ISNUMBER(H787),F787&gt;G787,H787&gt;0),(F787-H787)/H787,"")</f>
        <v/>
      </c>
      <c r="K787" s="20" t="str">
        <f aca="false">IF(AND(ISNUMBER(F787),ISNUMBER(G787),ISNUMBER(H787),F787&gt;G787,H787&gt;0),H787/(F787-G787)*1000,"")</f>
        <v/>
      </c>
      <c r="L787" s="11" t="str">
        <f aca="false">IF(K787="","",IF(K787&gt;=CONFIG!$E$21,CONFIG!$D$21,IF(K787&gt;=CONFIG!$E$20,CONFIG!$D$20,CONFIG!$D$19)))</f>
        <v/>
      </c>
      <c r="M787" s="20" t="str">
        <f aca="false">IF(K787="","",IF(K787&gt;=CONFIG!$E$21,CONFIG!$F$21,IF(K787&gt;=CONFIG!$E$20,CONFIG!$F$20,CONFIG!$F$19)))</f>
        <v/>
      </c>
      <c r="N787" s="19" t="str">
        <f aca="false">IF(I787="","",IF(I787&lt;=M787,"OK","ALTA"))</f>
        <v/>
      </c>
      <c r="O787" s="13"/>
    </row>
    <row r="788" customFormat="false" ht="15" hidden="false" customHeight="false" outlineLevel="0" collapsed="false">
      <c r="A788" s="11" t="str">
        <f aca="false">IF(C788="","",ROW()-4)</f>
        <v/>
      </c>
      <c r="B788" s="12"/>
      <c r="C788" s="13"/>
      <c r="D788" s="11" t="str">
        <f aca="false">IF(C788="","",IFERROR(INDEX(LOTES!$D$5:$D$1004,MATCH(C788,LOTES!$F$5:$F$1004,0)),"¿Lote?"))</f>
        <v/>
      </c>
      <c r="E788" s="11" t="str">
        <f aca="false">IF(C788="","",IFERROR(INDEX(LOTES!$C$5:$C$1004,MATCH(C788,LOTES!$F$5:$F$1004,0)),""))</f>
        <v/>
      </c>
      <c r="F788" s="27"/>
      <c r="G788" s="27"/>
      <c r="H788" s="27"/>
      <c r="I788" s="20" t="str">
        <f aca="false">IF(AND(ISNUMBER(F788),ISNUMBER(G788),ISNUMBER(H788),F788&gt;G788,H788&gt;0),(F788-H788)/(F788-G788)*1000,"")</f>
        <v/>
      </c>
      <c r="J788" s="17" t="str">
        <f aca="false">IF(AND(ISNUMBER(F788),ISNUMBER(G788),ISNUMBER(H788),F788&gt;G788,H788&gt;0),(F788-H788)/H788,"")</f>
        <v/>
      </c>
      <c r="K788" s="20" t="str">
        <f aca="false">IF(AND(ISNUMBER(F788),ISNUMBER(G788),ISNUMBER(H788),F788&gt;G788,H788&gt;0),H788/(F788-G788)*1000,"")</f>
        <v/>
      </c>
      <c r="L788" s="11" t="str">
        <f aca="false">IF(K788="","",IF(K788&gt;=CONFIG!$E$21,CONFIG!$D$21,IF(K788&gt;=CONFIG!$E$20,CONFIG!$D$20,CONFIG!$D$19)))</f>
        <v/>
      </c>
      <c r="M788" s="20" t="str">
        <f aca="false">IF(K788="","",IF(K788&gt;=CONFIG!$E$21,CONFIG!$F$21,IF(K788&gt;=CONFIG!$E$20,CONFIG!$F$20,CONFIG!$F$19)))</f>
        <v/>
      </c>
      <c r="N788" s="19" t="str">
        <f aca="false">IF(I788="","",IF(I788&lt;=M788,"OK","ALTA"))</f>
        <v/>
      </c>
      <c r="O788" s="13"/>
    </row>
    <row r="789" customFormat="false" ht="15" hidden="false" customHeight="false" outlineLevel="0" collapsed="false">
      <c r="A789" s="11" t="str">
        <f aca="false">IF(C789="","",ROW()-4)</f>
        <v/>
      </c>
      <c r="B789" s="12"/>
      <c r="C789" s="13"/>
      <c r="D789" s="11" t="str">
        <f aca="false">IF(C789="","",IFERROR(INDEX(LOTES!$D$5:$D$1004,MATCH(C789,LOTES!$F$5:$F$1004,0)),"¿Lote?"))</f>
        <v/>
      </c>
      <c r="E789" s="11" t="str">
        <f aca="false">IF(C789="","",IFERROR(INDEX(LOTES!$C$5:$C$1004,MATCH(C789,LOTES!$F$5:$F$1004,0)),""))</f>
        <v/>
      </c>
      <c r="F789" s="27"/>
      <c r="G789" s="27"/>
      <c r="H789" s="27"/>
      <c r="I789" s="20" t="str">
        <f aca="false">IF(AND(ISNUMBER(F789),ISNUMBER(G789),ISNUMBER(H789),F789&gt;G789,H789&gt;0),(F789-H789)/(F789-G789)*1000,"")</f>
        <v/>
      </c>
      <c r="J789" s="17" t="str">
        <f aca="false">IF(AND(ISNUMBER(F789),ISNUMBER(G789),ISNUMBER(H789),F789&gt;G789,H789&gt;0),(F789-H789)/H789,"")</f>
        <v/>
      </c>
      <c r="K789" s="20" t="str">
        <f aca="false">IF(AND(ISNUMBER(F789),ISNUMBER(G789),ISNUMBER(H789),F789&gt;G789,H789&gt;0),H789/(F789-G789)*1000,"")</f>
        <v/>
      </c>
      <c r="L789" s="11" t="str">
        <f aca="false">IF(K789="","",IF(K789&gt;=CONFIG!$E$21,CONFIG!$D$21,IF(K789&gt;=CONFIG!$E$20,CONFIG!$D$20,CONFIG!$D$19)))</f>
        <v/>
      </c>
      <c r="M789" s="20" t="str">
        <f aca="false">IF(K789="","",IF(K789&gt;=CONFIG!$E$21,CONFIG!$F$21,IF(K789&gt;=CONFIG!$E$20,CONFIG!$F$20,CONFIG!$F$19)))</f>
        <v/>
      </c>
      <c r="N789" s="19" t="str">
        <f aca="false">IF(I789="","",IF(I789&lt;=M789,"OK","ALTA"))</f>
        <v/>
      </c>
      <c r="O789" s="13"/>
    </row>
    <row r="790" customFormat="false" ht="15" hidden="false" customHeight="false" outlineLevel="0" collapsed="false">
      <c r="A790" s="11" t="str">
        <f aca="false">IF(C790="","",ROW()-4)</f>
        <v/>
      </c>
      <c r="B790" s="12"/>
      <c r="C790" s="13"/>
      <c r="D790" s="11" t="str">
        <f aca="false">IF(C790="","",IFERROR(INDEX(LOTES!$D$5:$D$1004,MATCH(C790,LOTES!$F$5:$F$1004,0)),"¿Lote?"))</f>
        <v/>
      </c>
      <c r="E790" s="11" t="str">
        <f aca="false">IF(C790="","",IFERROR(INDEX(LOTES!$C$5:$C$1004,MATCH(C790,LOTES!$F$5:$F$1004,0)),""))</f>
        <v/>
      </c>
      <c r="F790" s="27"/>
      <c r="G790" s="27"/>
      <c r="H790" s="27"/>
      <c r="I790" s="20" t="str">
        <f aca="false">IF(AND(ISNUMBER(F790),ISNUMBER(G790),ISNUMBER(H790),F790&gt;G790,H790&gt;0),(F790-H790)/(F790-G790)*1000,"")</f>
        <v/>
      </c>
      <c r="J790" s="17" t="str">
        <f aca="false">IF(AND(ISNUMBER(F790),ISNUMBER(G790),ISNUMBER(H790),F790&gt;G790,H790&gt;0),(F790-H790)/H790,"")</f>
        <v/>
      </c>
      <c r="K790" s="20" t="str">
        <f aca="false">IF(AND(ISNUMBER(F790),ISNUMBER(G790),ISNUMBER(H790),F790&gt;G790,H790&gt;0),H790/(F790-G790)*1000,"")</f>
        <v/>
      </c>
      <c r="L790" s="11" t="str">
        <f aca="false">IF(K790="","",IF(K790&gt;=CONFIG!$E$21,CONFIG!$D$21,IF(K790&gt;=CONFIG!$E$20,CONFIG!$D$20,CONFIG!$D$19)))</f>
        <v/>
      </c>
      <c r="M790" s="20" t="str">
        <f aca="false">IF(K790="","",IF(K790&gt;=CONFIG!$E$21,CONFIG!$F$21,IF(K790&gt;=CONFIG!$E$20,CONFIG!$F$20,CONFIG!$F$19)))</f>
        <v/>
      </c>
      <c r="N790" s="19" t="str">
        <f aca="false">IF(I790="","",IF(I790&lt;=M790,"OK","ALTA"))</f>
        <v/>
      </c>
      <c r="O790" s="13"/>
    </row>
    <row r="791" customFormat="false" ht="15" hidden="false" customHeight="false" outlineLevel="0" collapsed="false">
      <c r="A791" s="11" t="str">
        <f aca="false">IF(C791="","",ROW()-4)</f>
        <v/>
      </c>
      <c r="B791" s="12"/>
      <c r="C791" s="13"/>
      <c r="D791" s="11" t="str">
        <f aca="false">IF(C791="","",IFERROR(INDEX(LOTES!$D$5:$D$1004,MATCH(C791,LOTES!$F$5:$F$1004,0)),"¿Lote?"))</f>
        <v/>
      </c>
      <c r="E791" s="11" t="str">
        <f aca="false">IF(C791="","",IFERROR(INDEX(LOTES!$C$5:$C$1004,MATCH(C791,LOTES!$F$5:$F$1004,0)),""))</f>
        <v/>
      </c>
      <c r="F791" s="27"/>
      <c r="G791" s="27"/>
      <c r="H791" s="27"/>
      <c r="I791" s="20" t="str">
        <f aca="false">IF(AND(ISNUMBER(F791),ISNUMBER(G791),ISNUMBER(H791),F791&gt;G791,H791&gt;0),(F791-H791)/(F791-G791)*1000,"")</f>
        <v/>
      </c>
      <c r="J791" s="17" t="str">
        <f aca="false">IF(AND(ISNUMBER(F791),ISNUMBER(G791),ISNUMBER(H791),F791&gt;G791,H791&gt;0),(F791-H791)/H791,"")</f>
        <v/>
      </c>
      <c r="K791" s="20" t="str">
        <f aca="false">IF(AND(ISNUMBER(F791),ISNUMBER(G791),ISNUMBER(H791),F791&gt;G791,H791&gt;0),H791/(F791-G791)*1000,"")</f>
        <v/>
      </c>
      <c r="L791" s="11" t="str">
        <f aca="false">IF(K791="","",IF(K791&gt;=CONFIG!$E$21,CONFIG!$D$21,IF(K791&gt;=CONFIG!$E$20,CONFIG!$D$20,CONFIG!$D$19)))</f>
        <v/>
      </c>
      <c r="M791" s="20" t="str">
        <f aca="false">IF(K791="","",IF(K791&gt;=CONFIG!$E$21,CONFIG!$F$21,IF(K791&gt;=CONFIG!$E$20,CONFIG!$F$20,CONFIG!$F$19)))</f>
        <v/>
      </c>
      <c r="N791" s="19" t="str">
        <f aca="false">IF(I791="","",IF(I791&lt;=M791,"OK","ALTA"))</f>
        <v/>
      </c>
      <c r="O791" s="13"/>
    </row>
    <row r="792" customFormat="false" ht="15" hidden="false" customHeight="false" outlineLevel="0" collapsed="false">
      <c r="A792" s="11" t="str">
        <f aca="false">IF(C792="","",ROW()-4)</f>
        <v/>
      </c>
      <c r="B792" s="12"/>
      <c r="C792" s="13"/>
      <c r="D792" s="11" t="str">
        <f aca="false">IF(C792="","",IFERROR(INDEX(LOTES!$D$5:$D$1004,MATCH(C792,LOTES!$F$5:$F$1004,0)),"¿Lote?"))</f>
        <v/>
      </c>
      <c r="E792" s="11" t="str">
        <f aca="false">IF(C792="","",IFERROR(INDEX(LOTES!$C$5:$C$1004,MATCH(C792,LOTES!$F$5:$F$1004,0)),""))</f>
        <v/>
      </c>
      <c r="F792" s="27"/>
      <c r="G792" s="27"/>
      <c r="H792" s="27"/>
      <c r="I792" s="20" t="str">
        <f aca="false">IF(AND(ISNUMBER(F792),ISNUMBER(G792),ISNUMBER(H792),F792&gt;G792,H792&gt;0),(F792-H792)/(F792-G792)*1000,"")</f>
        <v/>
      </c>
      <c r="J792" s="17" t="str">
        <f aca="false">IF(AND(ISNUMBER(F792),ISNUMBER(G792),ISNUMBER(H792),F792&gt;G792,H792&gt;0),(F792-H792)/H792,"")</f>
        <v/>
      </c>
      <c r="K792" s="20" t="str">
        <f aca="false">IF(AND(ISNUMBER(F792),ISNUMBER(G792),ISNUMBER(H792),F792&gt;G792,H792&gt;0),H792/(F792-G792)*1000,"")</f>
        <v/>
      </c>
      <c r="L792" s="11" t="str">
        <f aca="false">IF(K792="","",IF(K792&gt;=CONFIG!$E$21,CONFIG!$D$21,IF(K792&gt;=CONFIG!$E$20,CONFIG!$D$20,CONFIG!$D$19)))</f>
        <v/>
      </c>
      <c r="M792" s="20" t="str">
        <f aca="false">IF(K792="","",IF(K792&gt;=CONFIG!$E$21,CONFIG!$F$21,IF(K792&gt;=CONFIG!$E$20,CONFIG!$F$20,CONFIG!$F$19)))</f>
        <v/>
      </c>
      <c r="N792" s="19" t="str">
        <f aca="false">IF(I792="","",IF(I792&lt;=M792,"OK","ALTA"))</f>
        <v/>
      </c>
      <c r="O792" s="13"/>
    </row>
    <row r="793" customFormat="false" ht="15" hidden="false" customHeight="false" outlineLevel="0" collapsed="false">
      <c r="A793" s="11" t="str">
        <f aca="false">IF(C793="","",ROW()-4)</f>
        <v/>
      </c>
      <c r="B793" s="12"/>
      <c r="C793" s="13"/>
      <c r="D793" s="11" t="str">
        <f aca="false">IF(C793="","",IFERROR(INDEX(LOTES!$D$5:$D$1004,MATCH(C793,LOTES!$F$5:$F$1004,0)),"¿Lote?"))</f>
        <v/>
      </c>
      <c r="E793" s="11" t="str">
        <f aca="false">IF(C793="","",IFERROR(INDEX(LOTES!$C$5:$C$1004,MATCH(C793,LOTES!$F$5:$F$1004,0)),""))</f>
        <v/>
      </c>
      <c r="F793" s="27"/>
      <c r="G793" s="27"/>
      <c r="H793" s="27"/>
      <c r="I793" s="20" t="str">
        <f aca="false">IF(AND(ISNUMBER(F793),ISNUMBER(G793),ISNUMBER(H793),F793&gt;G793,H793&gt;0),(F793-H793)/(F793-G793)*1000,"")</f>
        <v/>
      </c>
      <c r="J793" s="17" t="str">
        <f aca="false">IF(AND(ISNUMBER(F793),ISNUMBER(G793),ISNUMBER(H793),F793&gt;G793,H793&gt;0),(F793-H793)/H793,"")</f>
        <v/>
      </c>
      <c r="K793" s="20" t="str">
        <f aca="false">IF(AND(ISNUMBER(F793),ISNUMBER(G793),ISNUMBER(H793),F793&gt;G793,H793&gt;0),H793/(F793-G793)*1000,"")</f>
        <v/>
      </c>
      <c r="L793" s="11" t="str">
        <f aca="false">IF(K793="","",IF(K793&gt;=CONFIG!$E$21,CONFIG!$D$21,IF(K793&gt;=CONFIG!$E$20,CONFIG!$D$20,CONFIG!$D$19)))</f>
        <v/>
      </c>
      <c r="M793" s="20" t="str">
        <f aca="false">IF(K793="","",IF(K793&gt;=CONFIG!$E$21,CONFIG!$F$21,IF(K793&gt;=CONFIG!$E$20,CONFIG!$F$20,CONFIG!$F$19)))</f>
        <v/>
      </c>
      <c r="N793" s="19" t="str">
        <f aca="false">IF(I793="","",IF(I793&lt;=M793,"OK","ALTA"))</f>
        <v/>
      </c>
      <c r="O793" s="13"/>
    </row>
    <row r="794" customFormat="false" ht="15" hidden="false" customHeight="false" outlineLevel="0" collapsed="false">
      <c r="A794" s="11" t="str">
        <f aca="false">IF(C794="","",ROW()-4)</f>
        <v/>
      </c>
      <c r="B794" s="12"/>
      <c r="C794" s="13"/>
      <c r="D794" s="11" t="str">
        <f aca="false">IF(C794="","",IFERROR(INDEX(LOTES!$D$5:$D$1004,MATCH(C794,LOTES!$F$5:$F$1004,0)),"¿Lote?"))</f>
        <v/>
      </c>
      <c r="E794" s="11" t="str">
        <f aca="false">IF(C794="","",IFERROR(INDEX(LOTES!$C$5:$C$1004,MATCH(C794,LOTES!$F$5:$F$1004,0)),""))</f>
        <v/>
      </c>
      <c r="F794" s="27"/>
      <c r="G794" s="27"/>
      <c r="H794" s="27"/>
      <c r="I794" s="20" t="str">
        <f aca="false">IF(AND(ISNUMBER(F794),ISNUMBER(G794),ISNUMBER(H794),F794&gt;G794,H794&gt;0),(F794-H794)/(F794-G794)*1000,"")</f>
        <v/>
      </c>
      <c r="J794" s="17" t="str">
        <f aca="false">IF(AND(ISNUMBER(F794),ISNUMBER(G794),ISNUMBER(H794),F794&gt;G794,H794&gt;0),(F794-H794)/H794,"")</f>
        <v/>
      </c>
      <c r="K794" s="20" t="str">
        <f aca="false">IF(AND(ISNUMBER(F794),ISNUMBER(G794),ISNUMBER(H794),F794&gt;G794,H794&gt;0),H794/(F794-G794)*1000,"")</f>
        <v/>
      </c>
      <c r="L794" s="11" t="str">
        <f aca="false">IF(K794="","",IF(K794&gt;=CONFIG!$E$21,CONFIG!$D$21,IF(K794&gt;=CONFIG!$E$20,CONFIG!$D$20,CONFIG!$D$19)))</f>
        <v/>
      </c>
      <c r="M794" s="20" t="str">
        <f aca="false">IF(K794="","",IF(K794&gt;=CONFIG!$E$21,CONFIG!$F$21,IF(K794&gt;=CONFIG!$E$20,CONFIG!$F$20,CONFIG!$F$19)))</f>
        <v/>
      </c>
      <c r="N794" s="19" t="str">
        <f aca="false">IF(I794="","",IF(I794&lt;=M794,"OK","ALTA"))</f>
        <v/>
      </c>
      <c r="O794" s="13"/>
    </row>
    <row r="795" customFormat="false" ht="15" hidden="false" customHeight="false" outlineLevel="0" collapsed="false">
      <c r="A795" s="11" t="str">
        <f aca="false">IF(C795="","",ROW()-4)</f>
        <v/>
      </c>
      <c r="B795" s="12"/>
      <c r="C795" s="13"/>
      <c r="D795" s="11" t="str">
        <f aca="false">IF(C795="","",IFERROR(INDEX(LOTES!$D$5:$D$1004,MATCH(C795,LOTES!$F$5:$F$1004,0)),"¿Lote?"))</f>
        <v/>
      </c>
      <c r="E795" s="11" t="str">
        <f aca="false">IF(C795="","",IFERROR(INDEX(LOTES!$C$5:$C$1004,MATCH(C795,LOTES!$F$5:$F$1004,0)),""))</f>
        <v/>
      </c>
      <c r="F795" s="27"/>
      <c r="G795" s="27"/>
      <c r="H795" s="27"/>
      <c r="I795" s="20" t="str">
        <f aca="false">IF(AND(ISNUMBER(F795),ISNUMBER(G795),ISNUMBER(H795),F795&gt;G795,H795&gt;0),(F795-H795)/(F795-G795)*1000,"")</f>
        <v/>
      </c>
      <c r="J795" s="17" t="str">
        <f aca="false">IF(AND(ISNUMBER(F795),ISNUMBER(G795),ISNUMBER(H795),F795&gt;G795,H795&gt;0),(F795-H795)/H795,"")</f>
        <v/>
      </c>
      <c r="K795" s="20" t="str">
        <f aca="false">IF(AND(ISNUMBER(F795),ISNUMBER(G795),ISNUMBER(H795),F795&gt;G795,H795&gt;0),H795/(F795-G795)*1000,"")</f>
        <v/>
      </c>
      <c r="L795" s="11" t="str">
        <f aca="false">IF(K795="","",IF(K795&gt;=CONFIG!$E$21,CONFIG!$D$21,IF(K795&gt;=CONFIG!$E$20,CONFIG!$D$20,CONFIG!$D$19)))</f>
        <v/>
      </c>
      <c r="M795" s="20" t="str">
        <f aca="false">IF(K795="","",IF(K795&gt;=CONFIG!$E$21,CONFIG!$F$21,IF(K795&gt;=CONFIG!$E$20,CONFIG!$F$20,CONFIG!$F$19)))</f>
        <v/>
      </c>
      <c r="N795" s="19" t="str">
        <f aca="false">IF(I795="","",IF(I795&lt;=M795,"OK","ALTA"))</f>
        <v/>
      </c>
      <c r="O795" s="13"/>
    </row>
    <row r="796" customFormat="false" ht="15" hidden="false" customHeight="false" outlineLevel="0" collapsed="false">
      <c r="A796" s="11" t="str">
        <f aca="false">IF(C796="","",ROW()-4)</f>
        <v/>
      </c>
      <c r="B796" s="12"/>
      <c r="C796" s="13"/>
      <c r="D796" s="11" t="str">
        <f aca="false">IF(C796="","",IFERROR(INDEX(LOTES!$D$5:$D$1004,MATCH(C796,LOTES!$F$5:$F$1004,0)),"¿Lote?"))</f>
        <v/>
      </c>
      <c r="E796" s="11" t="str">
        <f aca="false">IF(C796="","",IFERROR(INDEX(LOTES!$C$5:$C$1004,MATCH(C796,LOTES!$F$5:$F$1004,0)),""))</f>
        <v/>
      </c>
      <c r="F796" s="27"/>
      <c r="G796" s="27"/>
      <c r="H796" s="27"/>
      <c r="I796" s="20" t="str">
        <f aca="false">IF(AND(ISNUMBER(F796),ISNUMBER(G796),ISNUMBER(H796),F796&gt;G796,H796&gt;0),(F796-H796)/(F796-G796)*1000,"")</f>
        <v/>
      </c>
      <c r="J796" s="17" t="str">
        <f aca="false">IF(AND(ISNUMBER(F796),ISNUMBER(G796),ISNUMBER(H796),F796&gt;G796,H796&gt;0),(F796-H796)/H796,"")</f>
        <v/>
      </c>
      <c r="K796" s="20" t="str">
        <f aca="false">IF(AND(ISNUMBER(F796),ISNUMBER(G796),ISNUMBER(H796),F796&gt;G796,H796&gt;0),H796/(F796-G796)*1000,"")</f>
        <v/>
      </c>
      <c r="L796" s="11" t="str">
        <f aca="false">IF(K796="","",IF(K796&gt;=CONFIG!$E$21,CONFIG!$D$21,IF(K796&gt;=CONFIG!$E$20,CONFIG!$D$20,CONFIG!$D$19)))</f>
        <v/>
      </c>
      <c r="M796" s="20" t="str">
        <f aca="false">IF(K796="","",IF(K796&gt;=CONFIG!$E$21,CONFIG!$F$21,IF(K796&gt;=CONFIG!$E$20,CONFIG!$F$20,CONFIG!$F$19)))</f>
        <v/>
      </c>
      <c r="N796" s="19" t="str">
        <f aca="false">IF(I796="","",IF(I796&lt;=M796,"OK","ALTA"))</f>
        <v/>
      </c>
      <c r="O796" s="13"/>
    </row>
    <row r="797" customFormat="false" ht="15" hidden="false" customHeight="false" outlineLevel="0" collapsed="false">
      <c r="A797" s="11" t="str">
        <f aca="false">IF(C797="","",ROW()-4)</f>
        <v/>
      </c>
      <c r="B797" s="12"/>
      <c r="C797" s="13"/>
      <c r="D797" s="11" t="str">
        <f aca="false">IF(C797="","",IFERROR(INDEX(LOTES!$D$5:$D$1004,MATCH(C797,LOTES!$F$5:$F$1004,0)),"¿Lote?"))</f>
        <v/>
      </c>
      <c r="E797" s="11" t="str">
        <f aca="false">IF(C797="","",IFERROR(INDEX(LOTES!$C$5:$C$1004,MATCH(C797,LOTES!$F$5:$F$1004,0)),""))</f>
        <v/>
      </c>
      <c r="F797" s="27"/>
      <c r="G797" s="27"/>
      <c r="H797" s="27"/>
      <c r="I797" s="20" t="str">
        <f aca="false">IF(AND(ISNUMBER(F797),ISNUMBER(G797),ISNUMBER(H797),F797&gt;G797,H797&gt;0),(F797-H797)/(F797-G797)*1000,"")</f>
        <v/>
      </c>
      <c r="J797" s="17" t="str">
        <f aca="false">IF(AND(ISNUMBER(F797),ISNUMBER(G797),ISNUMBER(H797),F797&gt;G797,H797&gt;0),(F797-H797)/H797,"")</f>
        <v/>
      </c>
      <c r="K797" s="20" t="str">
        <f aca="false">IF(AND(ISNUMBER(F797),ISNUMBER(G797),ISNUMBER(H797),F797&gt;G797,H797&gt;0),H797/(F797-G797)*1000,"")</f>
        <v/>
      </c>
      <c r="L797" s="11" t="str">
        <f aca="false">IF(K797="","",IF(K797&gt;=CONFIG!$E$21,CONFIG!$D$21,IF(K797&gt;=CONFIG!$E$20,CONFIG!$D$20,CONFIG!$D$19)))</f>
        <v/>
      </c>
      <c r="M797" s="20" t="str">
        <f aca="false">IF(K797="","",IF(K797&gt;=CONFIG!$E$21,CONFIG!$F$21,IF(K797&gt;=CONFIG!$E$20,CONFIG!$F$20,CONFIG!$F$19)))</f>
        <v/>
      </c>
      <c r="N797" s="19" t="str">
        <f aca="false">IF(I797="","",IF(I797&lt;=M797,"OK","ALTA"))</f>
        <v/>
      </c>
      <c r="O797" s="13"/>
    </row>
    <row r="798" customFormat="false" ht="15" hidden="false" customHeight="false" outlineLevel="0" collapsed="false">
      <c r="A798" s="11" t="str">
        <f aca="false">IF(C798="","",ROW()-4)</f>
        <v/>
      </c>
      <c r="B798" s="12"/>
      <c r="C798" s="13"/>
      <c r="D798" s="11" t="str">
        <f aca="false">IF(C798="","",IFERROR(INDEX(LOTES!$D$5:$D$1004,MATCH(C798,LOTES!$F$5:$F$1004,0)),"¿Lote?"))</f>
        <v/>
      </c>
      <c r="E798" s="11" t="str">
        <f aca="false">IF(C798="","",IFERROR(INDEX(LOTES!$C$5:$C$1004,MATCH(C798,LOTES!$F$5:$F$1004,0)),""))</f>
        <v/>
      </c>
      <c r="F798" s="27"/>
      <c r="G798" s="27"/>
      <c r="H798" s="27"/>
      <c r="I798" s="20" t="str">
        <f aca="false">IF(AND(ISNUMBER(F798),ISNUMBER(G798),ISNUMBER(H798),F798&gt;G798,H798&gt;0),(F798-H798)/(F798-G798)*1000,"")</f>
        <v/>
      </c>
      <c r="J798" s="17" t="str">
        <f aca="false">IF(AND(ISNUMBER(F798),ISNUMBER(G798),ISNUMBER(H798),F798&gt;G798,H798&gt;0),(F798-H798)/H798,"")</f>
        <v/>
      </c>
      <c r="K798" s="20" t="str">
        <f aca="false">IF(AND(ISNUMBER(F798),ISNUMBER(G798),ISNUMBER(H798),F798&gt;G798,H798&gt;0),H798/(F798-G798)*1000,"")</f>
        <v/>
      </c>
      <c r="L798" s="11" t="str">
        <f aca="false">IF(K798="","",IF(K798&gt;=CONFIG!$E$21,CONFIG!$D$21,IF(K798&gt;=CONFIG!$E$20,CONFIG!$D$20,CONFIG!$D$19)))</f>
        <v/>
      </c>
      <c r="M798" s="20" t="str">
        <f aca="false">IF(K798="","",IF(K798&gt;=CONFIG!$E$21,CONFIG!$F$21,IF(K798&gt;=CONFIG!$E$20,CONFIG!$F$20,CONFIG!$F$19)))</f>
        <v/>
      </c>
      <c r="N798" s="19" t="str">
        <f aca="false">IF(I798="","",IF(I798&lt;=M798,"OK","ALTA"))</f>
        <v/>
      </c>
      <c r="O798" s="13"/>
    </row>
    <row r="799" customFormat="false" ht="15" hidden="false" customHeight="false" outlineLevel="0" collapsed="false">
      <c r="A799" s="11" t="str">
        <f aca="false">IF(C799="","",ROW()-4)</f>
        <v/>
      </c>
      <c r="B799" s="12"/>
      <c r="C799" s="13"/>
      <c r="D799" s="11" t="str">
        <f aca="false">IF(C799="","",IFERROR(INDEX(LOTES!$D$5:$D$1004,MATCH(C799,LOTES!$F$5:$F$1004,0)),"¿Lote?"))</f>
        <v/>
      </c>
      <c r="E799" s="11" t="str">
        <f aca="false">IF(C799="","",IFERROR(INDEX(LOTES!$C$5:$C$1004,MATCH(C799,LOTES!$F$5:$F$1004,0)),""))</f>
        <v/>
      </c>
      <c r="F799" s="27"/>
      <c r="G799" s="27"/>
      <c r="H799" s="27"/>
      <c r="I799" s="20" t="str">
        <f aca="false">IF(AND(ISNUMBER(F799),ISNUMBER(G799),ISNUMBER(H799),F799&gt;G799,H799&gt;0),(F799-H799)/(F799-G799)*1000,"")</f>
        <v/>
      </c>
      <c r="J799" s="17" t="str">
        <f aca="false">IF(AND(ISNUMBER(F799),ISNUMBER(G799),ISNUMBER(H799),F799&gt;G799,H799&gt;0),(F799-H799)/H799,"")</f>
        <v/>
      </c>
      <c r="K799" s="20" t="str">
        <f aca="false">IF(AND(ISNUMBER(F799),ISNUMBER(G799),ISNUMBER(H799),F799&gt;G799,H799&gt;0),H799/(F799-G799)*1000,"")</f>
        <v/>
      </c>
      <c r="L799" s="11" t="str">
        <f aca="false">IF(K799="","",IF(K799&gt;=CONFIG!$E$21,CONFIG!$D$21,IF(K799&gt;=CONFIG!$E$20,CONFIG!$D$20,CONFIG!$D$19)))</f>
        <v/>
      </c>
      <c r="M799" s="20" t="str">
        <f aca="false">IF(K799="","",IF(K799&gt;=CONFIG!$E$21,CONFIG!$F$21,IF(K799&gt;=CONFIG!$E$20,CONFIG!$F$20,CONFIG!$F$19)))</f>
        <v/>
      </c>
      <c r="N799" s="19" t="str">
        <f aca="false">IF(I799="","",IF(I799&lt;=M799,"OK","ALTA"))</f>
        <v/>
      </c>
      <c r="O799" s="13"/>
    </row>
    <row r="800" customFormat="false" ht="15" hidden="false" customHeight="false" outlineLevel="0" collapsed="false">
      <c r="A800" s="11" t="str">
        <f aca="false">IF(C800="","",ROW()-4)</f>
        <v/>
      </c>
      <c r="B800" s="12"/>
      <c r="C800" s="13"/>
      <c r="D800" s="11" t="str">
        <f aca="false">IF(C800="","",IFERROR(INDEX(LOTES!$D$5:$D$1004,MATCH(C800,LOTES!$F$5:$F$1004,0)),"¿Lote?"))</f>
        <v/>
      </c>
      <c r="E800" s="11" t="str">
        <f aca="false">IF(C800="","",IFERROR(INDEX(LOTES!$C$5:$C$1004,MATCH(C800,LOTES!$F$5:$F$1004,0)),""))</f>
        <v/>
      </c>
      <c r="F800" s="27"/>
      <c r="G800" s="27"/>
      <c r="H800" s="27"/>
      <c r="I800" s="20" t="str">
        <f aca="false">IF(AND(ISNUMBER(F800),ISNUMBER(G800),ISNUMBER(H800),F800&gt;G800,H800&gt;0),(F800-H800)/(F800-G800)*1000,"")</f>
        <v/>
      </c>
      <c r="J800" s="17" t="str">
        <f aca="false">IF(AND(ISNUMBER(F800),ISNUMBER(G800),ISNUMBER(H800),F800&gt;G800,H800&gt;0),(F800-H800)/H800,"")</f>
        <v/>
      </c>
      <c r="K800" s="20" t="str">
        <f aca="false">IF(AND(ISNUMBER(F800),ISNUMBER(G800),ISNUMBER(H800),F800&gt;G800,H800&gt;0),H800/(F800-G800)*1000,"")</f>
        <v/>
      </c>
      <c r="L800" s="11" t="str">
        <f aca="false">IF(K800="","",IF(K800&gt;=CONFIG!$E$21,CONFIG!$D$21,IF(K800&gt;=CONFIG!$E$20,CONFIG!$D$20,CONFIG!$D$19)))</f>
        <v/>
      </c>
      <c r="M800" s="20" t="str">
        <f aca="false">IF(K800="","",IF(K800&gt;=CONFIG!$E$21,CONFIG!$F$21,IF(K800&gt;=CONFIG!$E$20,CONFIG!$F$20,CONFIG!$F$19)))</f>
        <v/>
      </c>
      <c r="N800" s="19" t="str">
        <f aca="false">IF(I800="","",IF(I800&lt;=M800,"OK","ALTA"))</f>
        <v/>
      </c>
      <c r="O800" s="13"/>
    </row>
    <row r="801" customFormat="false" ht="15" hidden="false" customHeight="false" outlineLevel="0" collapsed="false">
      <c r="A801" s="11" t="str">
        <f aca="false">IF(C801="","",ROW()-4)</f>
        <v/>
      </c>
      <c r="B801" s="12"/>
      <c r="C801" s="13"/>
      <c r="D801" s="11" t="str">
        <f aca="false">IF(C801="","",IFERROR(INDEX(LOTES!$D$5:$D$1004,MATCH(C801,LOTES!$F$5:$F$1004,0)),"¿Lote?"))</f>
        <v/>
      </c>
      <c r="E801" s="11" t="str">
        <f aca="false">IF(C801="","",IFERROR(INDEX(LOTES!$C$5:$C$1004,MATCH(C801,LOTES!$F$5:$F$1004,0)),""))</f>
        <v/>
      </c>
      <c r="F801" s="27"/>
      <c r="G801" s="27"/>
      <c r="H801" s="27"/>
      <c r="I801" s="20" t="str">
        <f aca="false">IF(AND(ISNUMBER(F801),ISNUMBER(G801),ISNUMBER(H801),F801&gt;G801,H801&gt;0),(F801-H801)/(F801-G801)*1000,"")</f>
        <v/>
      </c>
      <c r="J801" s="17" t="str">
        <f aca="false">IF(AND(ISNUMBER(F801),ISNUMBER(G801),ISNUMBER(H801),F801&gt;G801,H801&gt;0),(F801-H801)/H801,"")</f>
        <v/>
      </c>
      <c r="K801" s="20" t="str">
        <f aca="false">IF(AND(ISNUMBER(F801),ISNUMBER(G801),ISNUMBER(H801),F801&gt;G801,H801&gt;0),H801/(F801-G801)*1000,"")</f>
        <v/>
      </c>
      <c r="L801" s="11" t="str">
        <f aca="false">IF(K801="","",IF(K801&gt;=CONFIG!$E$21,CONFIG!$D$21,IF(K801&gt;=CONFIG!$E$20,CONFIG!$D$20,CONFIG!$D$19)))</f>
        <v/>
      </c>
      <c r="M801" s="20" t="str">
        <f aca="false">IF(K801="","",IF(K801&gt;=CONFIG!$E$21,CONFIG!$F$21,IF(K801&gt;=CONFIG!$E$20,CONFIG!$F$20,CONFIG!$F$19)))</f>
        <v/>
      </c>
      <c r="N801" s="19" t="str">
        <f aca="false">IF(I801="","",IF(I801&lt;=M801,"OK","ALTA"))</f>
        <v/>
      </c>
      <c r="O801" s="13"/>
    </row>
    <row r="802" customFormat="false" ht="15" hidden="false" customHeight="false" outlineLevel="0" collapsed="false">
      <c r="A802" s="11" t="str">
        <f aca="false">IF(C802="","",ROW()-4)</f>
        <v/>
      </c>
      <c r="B802" s="12"/>
      <c r="C802" s="13"/>
      <c r="D802" s="11" t="str">
        <f aca="false">IF(C802="","",IFERROR(INDEX(LOTES!$D$5:$D$1004,MATCH(C802,LOTES!$F$5:$F$1004,0)),"¿Lote?"))</f>
        <v/>
      </c>
      <c r="E802" s="11" t="str">
        <f aca="false">IF(C802="","",IFERROR(INDEX(LOTES!$C$5:$C$1004,MATCH(C802,LOTES!$F$5:$F$1004,0)),""))</f>
        <v/>
      </c>
      <c r="F802" s="27"/>
      <c r="G802" s="27"/>
      <c r="H802" s="27"/>
      <c r="I802" s="20" t="str">
        <f aca="false">IF(AND(ISNUMBER(F802),ISNUMBER(G802),ISNUMBER(H802),F802&gt;G802,H802&gt;0),(F802-H802)/(F802-G802)*1000,"")</f>
        <v/>
      </c>
      <c r="J802" s="17" t="str">
        <f aca="false">IF(AND(ISNUMBER(F802),ISNUMBER(G802),ISNUMBER(H802),F802&gt;G802,H802&gt;0),(F802-H802)/H802,"")</f>
        <v/>
      </c>
      <c r="K802" s="20" t="str">
        <f aca="false">IF(AND(ISNUMBER(F802),ISNUMBER(G802),ISNUMBER(H802),F802&gt;G802,H802&gt;0),H802/(F802-G802)*1000,"")</f>
        <v/>
      </c>
      <c r="L802" s="11" t="str">
        <f aca="false">IF(K802="","",IF(K802&gt;=CONFIG!$E$21,CONFIG!$D$21,IF(K802&gt;=CONFIG!$E$20,CONFIG!$D$20,CONFIG!$D$19)))</f>
        <v/>
      </c>
      <c r="M802" s="20" t="str">
        <f aca="false">IF(K802="","",IF(K802&gt;=CONFIG!$E$21,CONFIG!$F$21,IF(K802&gt;=CONFIG!$E$20,CONFIG!$F$20,CONFIG!$F$19)))</f>
        <v/>
      </c>
      <c r="N802" s="19" t="str">
        <f aca="false">IF(I802="","",IF(I802&lt;=M802,"OK","ALTA"))</f>
        <v/>
      </c>
      <c r="O802" s="13"/>
    </row>
    <row r="803" customFormat="false" ht="15" hidden="false" customHeight="false" outlineLevel="0" collapsed="false">
      <c r="A803" s="11" t="str">
        <f aca="false">IF(C803="","",ROW()-4)</f>
        <v/>
      </c>
      <c r="B803" s="12"/>
      <c r="C803" s="13"/>
      <c r="D803" s="11" t="str">
        <f aca="false">IF(C803="","",IFERROR(INDEX(LOTES!$D$5:$D$1004,MATCH(C803,LOTES!$F$5:$F$1004,0)),"¿Lote?"))</f>
        <v/>
      </c>
      <c r="E803" s="11" t="str">
        <f aca="false">IF(C803="","",IFERROR(INDEX(LOTES!$C$5:$C$1004,MATCH(C803,LOTES!$F$5:$F$1004,0)),""))</f>
        <v/>
      </c>
      <c r="F803" s="27"/>
      <c r="G803" s="27"/>
      <c r="H803" s="27"/>
      <c r="I803" s="20" t="str">
        <f aca="false">IF(AND(ISNUMBER(F803),ISNUMBER(G803),ISNUMBER(H803),F803&gt;G803,H803&gt;0),(F803-H803)/(F803-G803)*1000,"")</f>
        <v/>
      </c>
      <c r="J803" s="17" t="str">
        <f aca="false">IF(AND(ISNUMBER(F803),ISNUMBER(G803),ISNUMBER(H803),F803&gt;G803,H803&gt;0),(F803-H803)/H803,"")</f>
        <v/>
      </c>
      <c r="K803" s="20" t="str">
        <f aca="false">IF(AND(ISNUMBER(F803),ISNUMBER(G803),ISNUMBER(H803),F803&gt;G803,H803&gt;0),H803/(F803-G803)*1000,"")</f>
        <v/>
      </c>
      <c r="L803" s="11" t="str">
        <f aca="false">IF(K803="","",IF(K803&gt;=CONFIG!$E$21,CONFIG!$D$21,IF(K803&gt;=CONFIG!$E$20,CONFIG!$D$20,CONFIG!$D$19)))</f>
        <v/>
      </c>
      <c r="M803" s="20" t="str">
        <f aca="false">IF(K803="","",IF(K803&gt;=CONFIG!$E$21,CONFIG!$F$21,IF(K803&gt;=CONFIG!$E$20,CONFIG!$F$20,CONFIG!$F$19)))</f>
        <v/>
      </c>
      <c r="N803" s="19" t="str">
        <f aca="false">IF(I803="","",IF(I803&lt;=M803,"OK","ALTA"))</f>
        <v/>
      </c>
      <c r="O803" s="13"/>
    </row>
    <row r="804" customFormat="false" ht="15" hidden="false" customHeight="false" outlineLevel="0" collapsed="false">
      <c r="A804" s="11" t="str">
        <f aca="false">IF(C804="","",ROW()-4)</f>
        <v/>
      </c>
      <c r="B804" s="12"/>
      <c r="C804" s="13"/>
      <c r="D804" s="11" t="str">
        <f aca="false">IF(C804="","",IFERROR(INDEX(LOTES!$D$5:$D$1004,MATCH(C804,LOTES!$F$5:$F$1004,0)),"¿Lote?"))</f>
        <v/>
      </c>
      <c r="E804" s="11" t="str">
        <f aca="false">IF(C804="","",IFERROR(INDEX(LOTES!$C$5:$C$1004,MATCH(C804,LOTES!$F$5:$F$1004,0)),""))</f>
        <v/>
      </c>
      <c r="F804" s="27"/>
      <c r="G804" s="27"/>
      <c r="H804" s="27"/>
      <c r="I804" s="20" t="str">
        <f aca="false">IF(AND(ISNUMBER(F804),ISNUMBER(G804),ISNUMBER(H804),F804&gt;G804,H804&gt;0),(F804-H804)/(F804-G804)*1000,"")</f>
        <v/>
      </c>
      <c r="J804" s="17" t="str">
        <f aca="false">IF(AND(ISNUMBER(F804),ISNUMBER(G804),ISNUMBER(H804),F804&gt;G804,H804&gt;0),(F804-H804)/H804,"")</f>
        <v/>
      </c>
      <c r="K804" s="20" t="str">
        <f aca="false">IF(AND(ISNUMBER(F804),ISNUMBER(G804),ISNUMBER(H804),F804&gt;G804,H804&gt;0),H804/(F804-G804)*1000,"")</f>
        <v/>
      </c>
      <c r="L804" s="11" t="str">
        <f aca="false">IF(K804="","",IF(K804&gt;=CONFIG!$E$21,CONFIG!$D$21,IF(K804&gt;=CONFIG!$E$20,CONFIG!$D$20,CONFIG!$D$19)))</f>
        <v/>
      </c>
      <c r="M804" s="20" t="str">
        <f aca="false">IF(K804="","",IF(K804&gt;=CONFIG!$E$21,CONFIG!$F$21,IF(K804&gt;=CONFIG!$E$20,CONFIG!$F$20,CONFIG!$F$19)))</f>
        <v/>
      </c>
      <c r="N804" s="19" t="str">
        <f aca="false">IF(I804="","",IF(I804&lt;=M804,"OK","ALTA"))</f>
        <v/>
      </c>
      <c r="O804" s="13"/>
    </row>
    <row r="805" customFormat="false" ht="15" hidden="false" customHeight="false" outlineLevel="0" collapsed="false">
      <c r="A805" s="11" t="str">
        <f aca="false">IF(C805="","",ROW()-4)</f>
        <v/>
      </c>
      <c r="B805" s="12"/>
      <c r="C805" s="13"/>
      <c r="D805" s="11" t="str">
        <f aca="false">IF(C805="","",IFERROR(INDEX(LOTES!$D$5:$D$1004,MATCH(C805,LOTES!$F$5:$F$1004,0)),"¿Lote?"))</f>
        <v/>
      </c>
      <c r="E805" s="11" t="str">
        <f aca="false">IF(C805="","",IFERROR(INDEX(LOTES!$C$5:$C$1004,MATCH(C805,LOTES!$F$5:$F$1004,0)),""))</f>
        <v/>
      </c>
      <c r="F805" s="27"/>
      <c r="G805" s="27"/>
      <c r="H805" s="27"/>
      <c r="I805" s="20" t="str">
        <f aca="false">IF(AND(ISNUMBER(F805),ISNUMBER(G805),ISNUMBER(H805),F805&gt;G805,H805&gt;0),(F805-H805)/(F805-G805)*1000,"")</f>
        <v/>
      </c>
      <c r="J805" s="17" t="str">
        <f aca="false">IF(AND(ISNUMBER(F805),ISNUMBER(G805),ISNUMBER(H805),F805&gt;G805,H805&gt;0),(F805-H805)/H805,"")</f>
        <v/>
      </c>
      <c r="K805" s="20" t="str">
        <f aca="false">IF(AND(ISNUMBER(F805),ISNUMBER(G805),ISNUMBER(H805),F805&gt;G805,H805&gt;0),H805/(F805-G805)*1000,"")</f>
        <v/>
      </c>
      <c r="L805" s="11" t="str">
        <f aca="false">IF(K805="","",IF(K805&gt;=CONFIG!$E$21,CONFIG!$D$21,IF(K805&gt;=CONFIG!$E$20,CONFIG!$D$20,CONFIG!$D$19)))</f>
        <v/>
      </c>
      <c r="M805" s="20" t="str">
        <f aca="false">IF(K805="","",IF(K805&gt;=CONFIG!$E$21,CONFIG!$F$21,IF(K805&gt;=CONFIG!$E$20,CONFIG!$F$20,CONFIG!$F$19)))</f>
        <v/>
      </c>
      <c r="N805" s="19" t="str">
        <f aca="false">IF(I805="","",IF(I805&lt;=M805,"OK","ALTA"))</f>
        <v/>
      </c>
      <c r="O805" s="13"/>
    </row>
    <row r="806" customFormat="false" ht="15" hidden="false" customHeight="false" outlineLevel="0" collapsed="false">
      <c r="A806" s="11" t="str">
        <f aca="false">IF(C806="","",ROW()-4)</f>
        <v/>
      </c>
      <c r="B806" s="12"/>
      <c r="C806" s="13"/>
      <c r="D806" s="11" t="str">
        <f aca="false">IF(C806="","",IFERROR(INDEX(LOTES!$D$5:$D$1004,MATCH(C806,LOTES!$F$5:$F$1004,0)),"¿Lote?"))</f>
        <v/>
      </c>
      <c r="E806" s="11" t="str">
        <f aca="false">IF(C806="","",IFERROR(INDEX(LOTES!$C$5:$C$1004,MATCH(C806,LOTES!$F$5:$F$1004,0)),""))</f>
        <v/>
      </c>
      <c r="F806" s="27"/>
      <c r="G806" s="27"/>
      <c r="H806" s="27"/>
      <c r="I806" s="20" t="str">
        <f aca="false">IF(AND(ISNUMBER(F806),ISNUMBER(G806),ISNUMBER(H806),F806&gt;G806,H806&gt;0),(F806-H806)/(F806-G806)*1000,"")</f>
        <v/>
      </c>
      <c r="J806" s="17" t="str">
        <f aca="false">IF(AND(ISNUMBER(F806),ISNUMBER(G806),ISNUMBER(H806),F806&gt;G806,H806&gt;0),(F806-H806)/H806,"")</f>
        <v/>
      </c>
      <c r="K806" s="20" t="str">
        <f aca="false">IF(AND(ISNUMBER(F806),ISNUMBER(G806),ISNUMBER(H806),F806&gt;G806,H806&gt;0),H806/(F806-G806)*1000,"")</f>
        <v/>
      </c>
      <c r="L806" s="11" t="str">
        <f aca="false">IF(K806="","",IF(K806&gt;=CONFIG!$E$21,CONFIG!$D$21,IF(K806&gt;=CONFIG!$E$20,CONFIG!$D$20,CONFIG!$D$19)))</f>
        <v/>
      </c>
      <c r="M806" s="20" t="str">
        <f aca="false">IF(K806="","",IF(K806&gt;=CONFIG!$E$21,CONFIG!$F$21,IF(K806&gt;=CONFIG!$E$20,CONFIG!$F$20,CONFIG!$F$19)))</f>
        <v/>
      </c>
      <c r="N806" s="19" t="str">
        <f aca="false">IF(I806="","",IF(I806&lt;=M806,"OK","ALTA"))</f>
        <v/>
      </c>
      <c r="O806" s="13"/>
    </row>
    <row r="807" customFormat="false" ht="15" hidden="false" customHeight="false" outlineLevel="0" collapsed="false">
      <c r="A807" s="11" t="str">
        <f aca="false">IF(C807="","",ROW()-4)</f>
        <v/>
      </c>
      <c r="B807" s="12"/>
      <c r="C807" s="13"/>
      <c r="D807" s="11" t="str">
        <f aca="false">IF(C807="","",IFERROR(INDEX(LOTES!$D$5:$D$1004,MATCH(C807,LOTES!$F$5:$F$1004,0)),"¿Lote?"))</f>
        <v/>
      </c>
      <c r="E807" s="11" t="str">
        <f aca="false">IF(C807="","",IFERROR(INDEX(LOTES!$C$5:$C$1004,MATCH(C807,LOTES!$F$5:$F$1004,0)),""))</f>
        <v/>
      </c>
      <c r="F807" s="27"/>
      <c r="G807" s="27"/>
      <c r="H807" s="27"/>
      <c r="I807" s="20" t="str">
        <f aca="false">IF(AND(ISNUMBER(F807),ISNUMBER(G807),ISNUMBER(H807),F807&gt;G807,H807&gt;0),(F807-H807)/(F807-G807)*1000,"")</f>
        <v/>
      </c>
      <c r="J807" s="17" t="str">
        <f aca="false">IF(AND(ISNUMBER(F807),ISNUMBER(G807),ISNUMBER(H807),F807&gt;G807,H807&gt;0),(F807-H807)/H807,"")</f>
        <v/>
      </c>
      <c r="K807" s="20" t="str">
        <f aca="false">IF(AND(ISNUMBER(F807),ISNUMBER(G807),ISNUMBER(H807),F807&gt;G807,H807&gt;0),H807/(F807-G807)*1000,"")</f>
        <v/>
      </c>
      <c r="L807" s="11" t="str">
        <f aca="false">IF(K807="","",IF(K807&gt;=CONFIG!$E$21,CONFIG!$D$21,IF(K807&gt;=CONFIG!$E$20,CONFIG!$D$20,CONFIG!$D$19)))</f>
        <v/>
      </c>
      <c r="M807" s="20" t="str">
        <f aca="false">IF(K807="","",IF(K807&gt;=CONFIG!$E$21,CONFIG!$F$21,IF(K807&gt;=CONFIG!$E$20,CONFIG!$F$20,CONFIG!$F$19)))</f>
        <v/>
      </c>
      <c r="N807" s="19" t="str">
        <f aca="false">IF(I807="","",IF(I807&lt;=M807,"OK","ALTA"))</f>
        <v/>
      </c>
      <c r="O807" s="13"/>
    </row>
    <row r="808" customFormat="false" ht="15" hidden="false" customHeight="false" outlineLevel="0" collapsed="false">
      <c r="A808" s="11" t="str">
        <f aca="false">IF(C808="","",ROW()-4)</f>
        <v/>
      </c>
      <c r="B808" s="12"/>
      <c r="C808" s="13"/>
      <c r="D808" s="11" t="str">
        <f aca="false">IF(C808="","",IFERROR(INDEX(LOTES!$D$5:$D$1004,MATCH(C808,LOTES!$F$5:$F$1004,0)),"¿Lote?"))</f>
        <v/>
      </c>
      <c r="E808" s="11" t="str">
        <f aca="false">IF(C808="","",IFERROR(INDEX(LOTES!$C$5:$C$1004,MATCH(C808,LOTES!$F$5:$F$1004,0)),""))</f>
        <v/>
      </c>
      <c r="F808" s="27"/>
      <c r="G808" s="27"/>
      <c r="H808" s="27"/>
      <c r="I808" s="20" t="str">
        <f aca="false">IF(AND(ISNUMBER(F808),ISNUMBER(G808),ISNUMBER(H808),F808&gt;G808,H808&gt;0),(F808-H808)/(F808-G808)*1000,"")</f>
        <v/>
      </c>
      <c r="J808" s="17" t="str">
        <f aca="false">IF(AND(ISNUMBER(F808),ISNUMBER(G808),ISNUMBER(H808),F808&gt;G808,H808&gt;0),(F808-H808)/H808,"")</f>
        <v/>
      </c>
      <c r="K808" s="20" t="str">
        <f aca="false">IF(AND(ISNUMBER(F808),ISNUMBER(G808),ISNUMBER(H808),F808&gt;G808,H808&gt;0),H808/(F808-G808)*1000,"")</f>
        <v/>
      </c>
      <c r="L808" s="11" t="str">
        <f aca="false">IF(K808="","",IF(K808&gt;=CONFIG!$E$21,CONFIG!$D$21,IF(K808&gt;=CONFIG!$E$20,CONFIG!$D$20,CONFIG!$D$19)))</f>
        <v/>
      </c>
      <c r="M808" s="20" t="str">
        <f aca="false">IF(K808="","",IF(K808&gt;=CONFIG!$E$21,CONFIG!$F$21,IF(K808&gt;=CONFIG!$E$20,CONFIG!$F$20,CONFIG!$F$19)))</f>
        <v/>
      </c>
      <c r="N808" s="19" t="str">
        <f aca="false">IF(I808="","",IF(I808&lt;=M808,"OK","ALTA"))</f>
        <v/>
      </c>
      <c r="O808" s="13"/>
    </row>
    <row r="809" customFormat="false" ht="15" hidden="false" customHeight="false" outlineLevel="0" collapsed="false">
      <c r="A809" s="11" t="str">
        <f aca="false">IF(C809="","",ROW()-4)</f>
        <v/>
      </c>
      <c r="B809" s="12"/>
      <c r="C809" s="13"/>
      <c r="D809" s="11" t="str">
        <f aca="false">IF(C809="","",IFERROR(INDEX(LOTES!$D$5:$D$1004,MATCH(C809,LOTES!$F$5:$F$1004,0)),"¿Lote?"))</f>
        <v/>
      </c>
      <c r="E809" s="11" t="str">
        <f aca="false">IF(C809="","",IFERROR(INDEX(LOTES!$C$5:$C$1004,MATCH(C809,LOTES!$F$5:$F$1004,0)),""))</f>
        <v/>
      </c>
      <c r="F809" s="27"/>
      <c r="G809" s="27"/>
      <c r="H809" s="27"/>
      <c r="I809" s="20" t="str">
        <f aca="false">IF(AND(ISNUMBER(F809),ISNUMBER(G809),ISNUMBER(H809),F809&gt;G809,H809&gt;0),(F809-H809)/(F809-G809)*1000,"")</f>
        <v/>
      </c>
      <c r="J809" s="17" t="str">
        <f aca="false">IF(AND(ISNUMBER(F809),ISNUMBER(G809),ISNUMBER(H809),F809&gt;G809,H809&gt;0),(F809-H809)/H809,"")</f>
        <v/>
      </c>
      <c r="K809" s="20" t="str">
        <f aca="false">IF(AND(ISNUMBER(F809),ISNUMBER(G809),ISNUMBER(H809),F809&gt;G809,H809&gt;0),H809/(F809-G809)*1000,"")</f>
        <v/>
      </c>
      <c r="L809" s="11" t="str">
        <f aca="false">IF(K809="","",IF(K809&gt;=CONFIG!$E$21,CONFIG!$D$21,IF(K809&gt;=CONFIG!$E$20,CONFIG!$D$20,CONFIG!$D$19)))</f>
        <v/>
      </c>
      <c r="M809" s="20" t="str">
        <f aca="false">IF(K809="","",IF(K809&gt;=CONFIG!$E$21,CONFIG!$F$21,IF(K809&gt;=CONFIG!$E$20,CONFIG!$F$20,CONFIG!$F$19)))</f>
        <v/>
      </c>
      <c r="N809" s="19" t="str">
        <f aca="false">IF(I809="","",IF(I809&lt;=M809,"OK","ALTA"))</f>
        <v/>
      </c>
      <c r="O809" s="13"/>
    </row>
    <row r="810" customFormat="false" ht="15" hidden="false" customHeight="false" outlineLevel="0" collapsed="false">
      <c r="A810" s="11" t="str">
        <f aca="false">IF(C810="","",ROW()-4)</f>
        <v/>
      </c>
      <c r="B810" s="12"/>
      <c r="C810" s="13"/>
      <c r="D810" s="11" t="str">
        <f aca="false">IF(C810="","",IFERROR(INDEX(LOTES!$D$5:$D$1004,MATCH(C810,LOTES!$F$5:$F$1004,0)),"¿Lote?"))</f>
        <v/>
      </c>
      <c r="E810" s="11" t="str">
        <f aca="false">IF(C810="","",IFERROR(INDEX(LOTES!$C$5:$C$1004,MATCH(C810,LOTES!$F$5:$F$1004,0)),""))</f>
        <v/>
      </c>
      <c r="F810" s="27"/>
      <c r="G810" s="27"/>
      <c r="H810" s="27"/>
      <c r="I810" s="20" t="str">
        <f aca="false">IF(AND(ISNUMBER(F810),ISNUMBER(G810),ISNUMBER(H810),F810&gt;G810,H810&gt;0),(F810-H810)/(F810-G810)*1000,"")</f>
        <v/>
      </c>
      <c r="J810" s="17" t="str">
        <f aca="false">IF(AND(ISNUMBER(F810),ISNUMBER(G810),ISNUMBER(H810),F810&gt;G810,H810&gt;0),(F810-H810)/H810,"")</f>
        <v/>
      </c>
      <c r="K810" s="20" t="str">
        <f aca="false">IF(AND(ISNUMBER(F810),ISNUMBER(G810),ISNUMBER(H810),F810&gt;G810,H810&gt;0),H810/(F810-G810)*1000,"")</f>
        <v/>
      </c>
      <c r="L810" s="11" t="str">
        <f aca="false">IF(K810="","",IF(K810&gt;=CONFIG!$E$21,CONFIG!$D$21,IF(K810&gt;=CONFIG!$E$20,CONFIG!$D$20,CONFIG!$D$19)))</f>
        <v/>
      </c>
      <c r="M810" s="20" t="str">
        <f aca="false">IF(K810="","",IF(K810&gt;=CONFIG!$E$21,CONFIG!$F$21,IF(K810&gt;=CONFIG!$E$20,CONFIG!$F$20,CONFIG!$F$19)))</f>
        <v/>
      </c>
      <c r="N810" s="19" t="str">
        <f aca="false">IF(I810="","",IF(I810&lt;=M810,"OK","ALTA"))</f>
        <v/>
      </c>
      <c r="O810" s="13"/>
    </row>
    <row r="811" customFormat="false" ht="15" hidden="false" customHeight="false" outlineLevel="0" collapsed="false">
      <c r="A811" s="11" t="str">
        <f aca="false">IF(C811="","",ROW()-4)</f>
        <v/>
      </c>
      <c r="B811" s="12"/>
      <c r="C811" s="13"/>
      <c r="D811" s="11" t="str">
        <f aca="false">IF(C811="","",IFERROR(INDEX(LOTES!$D$5:$D$1004,MATCH(C811,LOTES!$F$5:$F$1004,0)),"¿Lote?"))</f>
        <v/>
      </c>
      <c r="E811" s="11" t="str">
        <f aca="false">IF(C811="","",IFERROR(INDEX(LOTES!$C$5:$C$1004,MATCH(C811,LOTES!$F$5:$F$1004,0)),""))</f>
        <v/>
      </c>
      <c r="F811" s="27"/>
      <c r="G811" s="27"/>
      <c r="H811" s="27"/>
      <c r="I811" s="20" t="str">
        <f aca="false">IF(AND(ISNUMBER(F811),ISNUMBER(G811),ISNUMBER(H811),F811&gt;G811,H811&gt;0),(F811-H811)/(F811-G811)*1000,"")</f>
        <v/>
      </c>
      <c r="J811" s="17" t="str">
        <f aca="false">IF(AND(ISNUMBER(F811),ISNUMBER(G811),ISNUMBER(H811),F811&gt;G811,H811&gt;0),(F811-H811)/H811,"")</f>
        <v/>
      </c>
      <c r="K811" s="20" t="str">
        <f aca="false">IF(AND(ISNUMBER(F811),ISNUMBER(G811),ISNUMBER(H811),F811&gt;G811,H811&gt;0),H811/(F811-G811)*1000,"")</f>
        <v/>
      </c>
      <c r="L811" s="11" t="str">
        <f aca="false">IF(K811="","",IF(K811&gt;=CONFIG!$E$21,CONFIG!$D$21,IF(K811&gt;=CONFIG!$E$20,CONFIG!$D$20,CONFIG!$D$19)))</f>
        <v/>
      </c>
      <c r="M811" s="20" t="str">
        <f aca="false">IF(K811="","",IF(K811&gt;=CONFIG!$E$21,CONFIG!$F$21,IF(K811&gt;=CONFIG!$E$20,CONFIG!$F$20,CONFIG!$F$19)))</f>
        <v/>
      </c>
      <c r="N811" s="19" t="str">
        <f aca="false">IF(I811="","",IF(I811&lt;=M811,"OK","ALTA"))</f>
        <v/>
      </c>
      <c r="O811" s="13"/>
    </row>
    <row r="812" customFormat="false" ht="15" hidden="false" customHeight="false" outlineLevel="0" collapsed="false">
      <c r="A812" s="11" t="str">
        <f aca="false">IF(C812="","",ROW()-4)</f>
        <v/>
      </c>
      <c r="B812" s="12"/>
      <c r="C812" s="13"/>
      <c r="D812" s="11" t="str">
        <f aca="false">IF(C812="","",IFERROR(INDEX(LOTES!$D$5:$D$1004,MATCH(C812,LOTES!$F$5:$F$1004,0)),"¿Lote?"))</f>
        <v/>
      </c>
      <c r="E812" s="11" t="str">
        <f aca="false">IF(C812="","",IFERROR(INDEX(LOTES!$C$5:$C$1004,MATCH(C812,LOTES!$F$5:$F$1004,0)),""))</f>
        <v/>
      </c>
      <c r="F812" s="27"/>
      <c r="G812" s="27"/>
      <c r="H812" s="27"/>
      <c r="I812" s="20" t="str">
        <f aca="false">IF(AND(ISNUMBER(F812),ISNUMBER(G812),ISNUMBER(H812),F812&gt;G812,H812&gt;0),(F812-H812)/(F812-G812)*1000,"")</f>
        <v/>
      </c>
      <c r="J812" s="17" t="str">
        <f aca="false">IF(AND(ISNUMBER(F812),ISNUMBER(G812),ISNUMBER(H812),F812&gt;G812,H812&gt;0),(F812-H812)/H812,"")</f>
        <v/>
      </c>
      <c r="K812" s="20" t="str">
        <f aca="false">IF(AND(ISNUMBER(F812),ISNUMBER(G812),ISNUMBER(H812),F812&gt;G812,H812&gt;0),H812/(F812-G812)*1000,"")</f>
        <v/>
      </c>
      <c r="L812" s="11" t="str">
        <f aca="false">IF(K812="","",IF(K812&gt;=CONFIG!$E$21,CONFIG!$D$21,IF(K812&gt;=CONFIG!$E$20,CONFIG!$D$20,CONFIG!$D$19)))</f>
        <v/>
      </c>
      <c r="M812" s="20" t="str">
        <f aca="false">IF(K812="","",IF(K812&gt;=CONFIG!$E$21,CONFIG!$F$21,IF(K812&gt;=CONFIG!$E$20,CONFIG!$F$20,CONFIG!$F$19)))</f>
        <v/>
      </c>
      <c r="N812" s="19" t="str">
        <f aca="false">IF(I812="","",IF(I812&lt;=M812,"OK","ALTA"))</f>
        <v/>
      </c>
      <c r="O812" s="13"/>
    </row>
    <row r="813" customFormat="false" ht="15" hidden="false" customHeight="false" outlineLevel="0" collapsed="false">
      <c r="A813" s="11" t="str">
        <f aca="false">IF(C813="","",ROW()-4)</f>
        <v/>
      </c>
      <c r="B813" s="12"/>
      <c r="C813" s="13"/>
      <c r="D813" s="11" t="str">
        <f aca="false">IF(C813="","",IFERROR(INDEX(LOTES!$D$5:$D$1004,MATCH(C813,LOTES!$F$5:$F$1004,0)),"¿Lote?"))</f>
        <v/>
      </c>
      <c r="E813" s="11" t="str">
        <f aca="false">IF(C813="","",IFERROR(INDEX(LOTES!$C$5:$C$1004,MATCH(C813,LOTES!$F$5:$F$1004,0)),""))</f>
        <v/>
      </c>
      <c r="F813" s="27"/>
      <c r="G813" s="27"/>
      <c r="H813" s="27"/>
      <c r="I813" s="20" t="str">
        <f aca="false">IF(AND(ISNUMBER(F813),ISNUMBER(G813),ISNUMBER(H813),F813&gt;G813,H813&gt;0),(F813-H813)/(F813-G813)*1000,"")</f>
        <v/>
      </c>
      <c r="J813" s="17" t="str">
        <f aca="false">IF(AND(ISNUMBER(F813),ISNUMBER(G813),ISNUMBER(H813),F813&gt;G813,H813&gt;0),(F813-H813)/H813,"")</f>
        <v/>
      </c>
      <c r="K813" s="20" t="str">
        <f aca="false">IF(AND(ISNUMBER(F813),ISNUMBER(G813),ISNUMBER(H813),F813&gt;G813,H813&gt;0),H813/(F813-G813)*1000,"")</f>
        <v/>
      </c>
      <c r="L813" s="11" t="str">
        <f aca="false">IF(K813="","",IF(K813&gt;=CONFIG!$E$21,CONFIG!$D$21,IF(K813&gt;=CONFIG!$E$20,CONFIG!$D$20,CONFIG!$D$19)))</f>
        <v/>
      </c>
      <c r="M813" s="20" t="str">
        <f aca="false">IF(K813="","",IF(K813&gt;=CONFIG!$E$21,CONFIG!$F$21,IF(K813&gt;=CONFIG!$E$20,CONFIG!$F$20,CONFIG!$F$19)))</f>
        <v/>
      </c>
      <c r="N813" s="19" t="str">
        <f aca="false">IF(I813="","",IF(I813&lt;=M813,"OK","ALTA"))</f>
        <v/>
      </c>
      <c r="O813" s="13"/>
    </row>
    <row r="814" customFormat="false" ht="15" hidden="false" customHeight="false" outlineLevel="0" collapsed="false">
      <c r="A814" s="11" t="str">
        <f aca="false">IF(C814="","",ROW()-4)</f>
        <v/>
      </c>
      <c r="B814" s="12"/>
      <c r="C814" s="13"/>
      <c r="D814" s="11" t="str">
        <f aca="false">IF(C814="","",IFERROR(INDEX(LOTES!$D$5:$D$1004,MATCH(C814,LOTES!$F$5:$F$1004,0)),"¿Lote?"))</f>
        <v/>
      </c>
      <c r="E814" s="11" t="str">
        <f aca="false">IF(C814="","",IFERROR(INDEX(LOTES!$C$5:$C$1004,MATCH(C814,LOTES!$F$5:$F$1004,0)),""))</f>
        <v/>
      </c>
      <c r="F814" s="27"/>
      <c r="G814" s="27"/>
      <c r="H814" s="27"/>
      <c r="I814" s="20" t="str">
        <f aca="false">IF(AND(ISNUMBER(F814),ISNUMBER(G814),ISNUMBER(H814),F814&gt;G814,H814&gt;0),(F814-H814)/(F814-G814)*1000,"")</f>
        <v/>
      </c>
      <c r="J814" s="17" t="str">
        <f aca="false">IF(AND(ISNUMBER(F814),ISNUMBER(G814),ISNUMBER(H814),F814&gt;G814,H814&gt;0),(F814-H814)/H814,"")</f>
        <v/>
      </c>
      <c r="K814" s="20" t="str">
        <f aca="false">IF(AND(ISNUMBER(F814),ISNUMBER(G814),ISNUMBER(H814),F814&gt;G814,H814&gt;0),H814/(F814-G814)*1000,"")</f>
        <v/>
      </c>
      <c r="L814" s="11" t="str">
        <f aca="false">IF(K814="","",IF(K814&gt;=CONFIG!$E$21,CONFIG!$D$21,IF(K814&gt;=CONFIG!$E$20,CONFIG!$D$20,CONFIG!$D$19)))</f>
        <v/>
      </c>
      <c r="M814" s="20" t="str">
        <f aca="false">IF(K814="","",IF(K814&gt;=CONFIG!$E$21,CONFIG!$F$21,IF(K814&gt;=CONFIG!$E$20,CONFIG!$F$20,CONFIG!$F$19)))</f>
        <v/>
      </c>
      <c r="N814" s="19" t="str">
        <f aca="false">IF(I814="","",IF(I814&lt;=M814,"OK","ALTA"))</f>
        <v/>
      </c>
      <c r="O814" s="13"/>
    </row>
    <row r="815" customFormat="false" ht="15" hidden="false" customHeight="false" outlineLevel="0" collapsed="false">
      <c r="A815" s="11" t="str">
        <f aca="false">IF(C815="","",ROW()-4)</f>
        <v/>
      </c>
      <c r="B815" s="12"/>
      <c r="C815" s="13"/>
      <c r="D815" s="11" t="str">
        <f aca="false">IF(C815="","",IFERROR(INDEX(LOTES!$D$5:$D$1004,MATCH(C815,LOTES!$F$5:$F$1004,0)),"¿Lote?"))</f>
        <v/>
      </c>
      <c r="E815" s="11" t="str">
        <f aca="false">IF(C815="","",IFERROR(INDEX(LOTES!$C$5:$C$1004,MATCH(C815,LOTES!$F$5:$F$1004,0)),""))</f>
        <v/>
      </c>
      <c r="F815" s="27"/>
      <c r="G815" s="27"/>
      <c r="H815" s="27"/>
      <c r="I815" s="20" t="str">
        <f aca="false">IF(AND(ISNUMBER(F815),ISNUMBER(G815),ISNUMBER(H815),F815&gt;G815,H815&gt;0),(F815-H815)/(F815-G815)*1000,"")</f>
        <v/>
      </c>
      <c r="J815" s="17" t="str">
        <f aca="false">IF(AND(ISNUMBER(F815),ISNUMBER(G815),ISNUMBER(H815),F815&gt;G815,H815&gt;0),(F815-H815)/H815,"")</f>
        <v/>
      </c>
      <c r="K815" s="20" t="str">
        <f aca="false">IF(AND(ISNUMBER(F815),ISNUMBER(G815),ISNUMBER(H815),F815&gt;G815,H815&gt;0),H815/(F815-G815)*1000,"")</f>
        <v/>
      </c>
      <c r="L815" s="11" t="str">
        <f aca="false">IF(K815="","",IF(K815&gt;=CONFIG!$E$21,CONFIG!$D$21,IF(K815&gt;=CONFIG!$E$20,CONFIG!$D$20,CONFIG!$D$19)))</f>
        <v/>
      </c>
      <c r="M815" s="20" t="str">
        <f aca="false">IF(K815="","",IF(K815&gt;=CONFIG!$E$21,CONFIG!$F$21,IF(K815&gt;=CONFIG!$E$20,CONFIG!$F$20,CONFIG!$F$19)))</f>
        <v/>
      </c>
      <c r="N815" s="19" t="str">
        <f aca="false">IF(I815="","",IF(I815&lt;=M815,"OK","ALTA"))</f>
        <v/>
      </c>
      <c r="O815" s="13"/>
    </row>
    <row r="816" customFormat="false" ht="15" hidden="false" customHeight="false" outlineLevel="0" collapsed="false">
      <c r="A816" s="11" t="str">
        <f aca="false">IF(C816="","",ROW()-4)</f>
        <v/>
      </c>
      <c r="B816" s="12"/>
      <c r="C816" s="13"/>
      <c r="D816" s="11" t="str">
        <f aca="false">IF(C816="","",IFERROR(INDEX(LOTES!$D$5:$D$1004,MATCH(C816,LOTES!$F$5:$F$1004,0)),"¿Lote?"))</f>
        <v/>
      </c>
      <c r="E816" s="11" t="str">
        <f aca="false">IF(C816="","",IFERROR(INDEX(LOTES!$C$5:$C$1004,MATCH(C816,LOTES!$F$5:$F$1004,0)),""))</f>
        <v/>
      </c>
      <c r="F816" s="27"/>
      <c r="G816" s="27"/>
      <c r="H816" s="27"/>
      <c r="I816" s="20" t="str">
        <f aca="false">IF(AND(ISNUMBER(F816),ISNUMBER(G816),ISNUMBER(H816),F816&gt;G816,H816&gt;0),(F816-H816)/(F816-G816)*1000,"")</f>
        <v/>
      </c>
      <c r="J816" s="17" t="str">
        <f aca="false">IF(AND(ISNUMBER(F816),ISNUMBER(G816),ISNUMBER(H816),F816&gt;G816,H816&gt;0),(F816-H816)/H816,"")</f>
        <v/>
      </c>
      <c r="K816" s="20" t="str">
        <f aca="false">IF(AND(ISNUMBER(F816),ISNUMBER(G816),ISNUMBER(H816),F816&gt;G816,H816&gt;0),H816/(F816-G816)*1000,"")</f>
        <v/>
      </c>
      <c r="L816" s="11" t="str">
        <f aca="false">IF(K816="","",IF(K816&gt;=CONFIG!$E$21,CONFIG!$D$21,IF(K816&gt;=CONFIG!$E$20,CONFIG!$D$20,CONFIG!$D$19)))</f>
        <v/>
      </c>
      <c r="M816" s="20" t="str">
        <f aca="false">IF(K816="","",IF(K816&gt;=CONFIG!$E$21,CONFIG!$F$21,IF(K816&gt;=CONFIG!$E$20,CONFIG!$F$20,CONFIG!$F$19)))</f>
        <v/>
      </c>
      <c r="N816" s="19" t="str">
        <f aca="false">IF(I816="","",IF(I816&lt;=M816,"OK","ALTA"))</f>
        <v/>
      </c>
      <c r="O816" s="13"/>
    </row>
    <row r="817" customFormat="false" ht="15" hidden="false" customHeight="false" outlineLevel="0" collapsed="false">
      <c r="A817" s="11" t="str">
        <f aca="false">IF(C817="","",ROW()-4)</f>
        <v/>
      </c>
      <c r="B817" s="12"/>
      <c r="C817" s="13"/>
      <c r="D817" s="11" t="str">
        <f aca="false">IF(C817="","",IFERROR(INDEX(LOTES!$D$5:$D$1004,MATCH(C817,LOTES!$F$5:$F$1004,0)),"¿Lote?"))</f>
        <v/>
      </c>
      <c r="E817" s="11" t="str">
        <f aca="false">IF(C817="","",IFERROR(INDEX(LOTES!$C$5:$C$1004,MATCH(C817,LOTES!$F$5:$F$1004,0)),""))</f>
        <v/>
      </c>
      <c r="F817" s="27"/>
      <c r="G817" s="27"/>
      <c r="H817" s="27"/>
      <c r="I817" s="20" t="str">
        <f aca="false">IF(AND(ISNUMBER(F817),ISNUMBER(G817),ISNUMBER(H817),F817&gt;G817,H817&gt;0),(F817-H817)/(F817-G817)*1000,"")</f>
        <v/>
      </c>
      <c r="J817" s="17" t="str">
        <f aca="false">IF(AND(ISNUMBER(F817),ISNUMBER(G817),ISNUMBER(H817),F817&gt;G817,H817&gt;0),(F817-H817)/H817,"")</f>
        <v/>
      </c>
      <c r="K817" s="20" t="str">
        <f aca="false">IF(AND(ISNUMBER(F817),ISNUMBER(G817),ISNUMBER(H817),F817&gt;G817,H817&gt;0),H817/(F817-G817)*1000,"")</f>
        <v/>
      </c>
      <c r="L817" s="11" t="str">
        <f aca="false">IF(K817="","",IF(K817&gt;=CONFIG!$E$21,CONFIG!$D$21,IF(K817&gt;=CONFIG!$E$20,CONFIG!$D$20,CONFIG!$D$19)))</f>
        <v/>
      </c>
      <c r="M817" s="20" t="str">
        <f aca="false">IF(K817="","",IF(K817&gt;=CONFIG!$E$21,CONFIG!$F$21,IF(K817&gt;=CONFIG!$E$20,CONFIG!$F$20,CONFIG!$F$19)))</f>
        <v/>
      </c>
      <c r="N817" s="19" t="str">
        <f aca="false">IF(I817="","",IF(I817&lt;=M817,"OK","ALTA"))</f>
        <v/>
      </c>
      <c r="O817" s="13"/>
    </row>
    <row r="818" customFormat="false" ht="15" hidden="false" customHeight="false" outlineLevel="0" collapsed="false">
      <c r="A818" s="11" t="str">
        <f aca="false">IF(C818="","",ROW()-4)</f>
        <v/>
      </c>
      <c r="B818" s="12"/>
      <c r="C818" s="13"/>
      <c r="D818" s="11" t="str">
        <f aca="false">IF(C818="","",IFERROR(INDEX(LOTES!$D$5:$D$1004,MATCH(C818,LOTES!$F$5:$F$1004,0)),"¿Lote?"))</f>
        <v/>
      </c>
      <c r="E818" s="11" t="str">
        <f aca="false">IF(C818="","",IFERROR(INDEX(LOTES!$C$5:$C$1004,MATCH(C818,LOTES!$F$5:$F$1004,0)),""))</f>
        <v/>
      </c>
      <c r="F818" s="27"/>
      <c r="G818" s="27"/>
      <c r="H818" s="27"/>
      <c r="I818" s="20" t="str">
        <f aca="false">IF(AND(ISNUMBER(F818),ISNUMBER(G818),ISNUMBER(H818),F818&gt;G818,H818&gt;0),(F818-H818)/(F818-G818)*1000,"")</f>
        <v/>
      </c>
      <c r="J818" s="17" t="str">
        <f aca="false">IF(AND(ISNUMBER(F818),ISNUMBER(G818),ISNUMBER(H818),F818&gt;G818,H818&gt;0),(F818-H818)/H818,"")</f>
        <v/>
      </c>
      <c r="K818" s="20" t="str">
        <f aca="false">IF(AND(ISNUMBER(F818),ISNUMBER(G818),ISNUMBER(H818),F818&gt;G818,H818&gt;0),H818/(F818-G818)*1000,"")</f>
        <v/>
      </c>
      <c r="L818" s="11" t="str">
        <f aca="false">IF(K818="","",IF(K818&gt;=CONFIG!$E$21,CONFIG!$D$21,IF(K818&gt;=CONFIG!$E$20,CONFIG!$D$20,CONFIG!$D$19)))</f>
        <v/>
      </c>
      <c r="M818" s="20" t="str">
        <f aca="false">IF(K818="","",IF(K818&gt;=CONFIG!$E$21,CONFIG!$F$21,IF(K818&gt;=CONFIG!$E$20,CONFIG!$F$20,CONFIG!$F$19)))</f>
        <v/>
      </c>
      <c r="N818" s="19" t="str">
        <f aca="false">IF(I818="","",IF(I818&lt;=M818,"OK","ALTA"))</f>
        <v/>
      </c>
      <c r="O818" s="13"/>
    </row>
    <row r="819" customFormat="false" ht="15" hidden="false" customHeight="false" outlineLevel="0" collapsed="false">
      <c r="A819" s="11" t="str">
        <f aca="false">IF(C819="","",ROW()-4)</f>
        <v/>
      </c>
      <c r="B819" s="12"/>
      <c r="C819" s="13"/>
      <c r="D819" s="11" t="str">
        <f aca="false">IF(C819="","",IFERROR(INDEX(LOTES!$D$5:$D$1004,MATCH(C819,LOTES!$F$5:$F$1004,0)),"¿Lote?"))</f>
        <v/>
      </c>
      <c r="E819" s="11" t="str">
        <f aca="false">IF(C819="","",IFERROR(INDEX(LOTES!$C$5:$C$1004,MATCH(C819,LOTES!$F$5:$F$1004,0)),""))</f>
        <v/>
      </c>
      <c r="F819" s="27"/>
      <c r="G819" s="27"/>
      <c r="H819" s="27"/>
      <c r="I819" s="20" t="str">
        <f aca="false">IF(AND(ISNUMBER(F819),ISNUMBER(G819),ISNUMBER(H819),F819&gt;G819,H819&gt;0),(F819-H819)/(F819-G819)*1000,"")</f>
        <v/>
      </c>
      <c r="J819" s="17" t="str">
        <f aca="false">IF(AND(ISNUMBER(F819),ISNUMBER(G819),ISNUMBER(H819),F819&gt;G819,H819&gt;0),(F819-H819)/H819,"")</f>
        <v/>
      </c>
      <c r="K819" s="20" t="str">
        <f aca="false">IF(AND(ISNUMBER(F819),ISNUMBER(G819),ISNUMBER(H819),F819&gt;G819,H819&gt;0),H819/(F819-G819)*1000,"")</f>
        <v/>
      </c>
      <c r="L819" s="11" t="str">
        <f aca="false">IF(K819="","",IF(K819&gt;=CONFIG!$E$21,CONFIG!$D$21,IF(K819&gt;=CONFIG!$E$20,CONFIG!$D$20,CONFIG!$D$19)))</f>
        <v/>
      </c>
      <c r="M819" s="20" t="str">
        <f aca="false">IF(K819="","",IF(K819&gt;=CONFIG!$E$21,CONFIG!$F$21,IF(K819&gt;=CONFIG!$E$20,CONFIG!$F$20,CONFIG!$F$19)))</f>
        <v/>
      </c>
      <c r="N819" s="19" t="str">
        <f aca="false">IF(I819="","",IF(I819&lt;=M819,"OK","ALTA"))</f>
        <v/>
      </c>
      <c r="O819" s="13"/>
    </row>
    <row r="820" customFormat="false" ht="15" hidden="false" customHeight="false" outlineLevel="0" collapsed="false">
      <c r="A820" s="11" t="str">
        <f aca="false">IF(C820="","",ROW()-4)</f>
        <v/>
      </c>
      <c r="B820" s="12"/>
      <c r="C820" s="13"/>
      <c r="D820" s="11" t="str">
        <f aca="false">IF(C820="","",IFERROR(INDEX(LOTES!$D$5:$D$1004,MATCH(C820,LOTES!$F$5:$F$1004,0)),"¿Lote?"))</f>
        <v/>
      </c>
      <c r="E820" s="11" t="str">
        <f aca="false">IF(C820="","",IFERROR(INDEX(LOTES!$C$5:$C$1004,MATCH(C820,LOTES!$F$5:$F$1004,0)),""))</f>
        <v/>
      </c>
      <c r="F820" s="27"/>
      <c r="G820" s="27"/>
      <c r="H820" s="27"/>
      <c r="I820" s="20" t="str">
        <f aca="false">IF(AND(ISNUMBER(F820),ISNUMBER(G820),ISNUMBER(H820),F820&gt;G820,H820&gt;0),(F820-H820)/(F820-G820)*1000,"")</f>
        <v/>
      </c>
      <c r="J820" s="17" t="str">
        <f aca="false">IF(AND(ISNUMBER(F820),ISNUMBER(G820),ISNUMBER(H820),F820&gt;G820,H820&gt;0),(F820-H820)/H820,"")</f>
        <v/>
      </c>
      <c r="K820" s="20" t="str">
        <f aca="false">IF(AND(ISNUMBER(F820),ISNUMBER(G820),ISNUMBER(H820),F820&gt;G820,H820&gt;0),H820/(F820-G820)*1000,"")</f>
        <v/>
      </c>
      <c r="L820" s="11" t="str">
        <f aca="false">IF(K820="","",IF(K820&gt;=CONFIG!$E$21,CONFIG!$D$21,IF(K820&gt;=CONFIG!$E$20,CONFIG!$D$20,CONFIG!$D$19)))</f>
        <v/>
      </c>
      <c r="M820" s="20" t="str">
        <f aca="false">IF(K820="","",IF(K820&gt;=CONFIG!$E$21,CONFIG!$F$21,IF(K820&gt;=CONFIG!$E$20,CONFIG!$F$20,CONFIG!$F$19)))</f>
        <v/>
      </c>
      <c r="N820" s="19" t="str">
        <f aca="false">IF(I820="","",IF(I820&lt;=M820,"OK","ALTA"))</f>
        <v/>
      </c>
      <c r="O820" s="13"/>
    </row>
    <row r="821" customFormat="false" ht="15" hidden="false" customHeight="false" outlineLevel="0" collapsed="false">
      <c r="A821" s="11" t="str">
        <f aca="false">IF(C821="","",ROW()-4)</f>
        <v/>
      </c>
      <c r="B821" s="12"/>
      <c r="C821" s="13"/>
      <c r="D821" s="11" t="str">
        <f aca="false">IF(C821="","",IFERROR(INDEX(LOTES!$D$5:$D$1004,MATCH(C821,LOTES!$F$5:$F$1004,0)),"¿Lote?"))</f>
        <v/>
      </c>
      <c r="E821" s="11" t="str">
        <f aca="false">IF(C821="","",IFERROR(INDEX(LOTES!$C$5:$C$1004,MATCH(C821,LOTES!$F$5:$F$1004,0)),""))</f>
        <v/>
      </c>
      <c r="F821" s="27"/>
      <c r="G821" s="27"/>
      <c r="H821" s="27"/>
      <c r="I821" s="20" t="str">
        <f aca="false">IF(AND(ISNUMBER(F821),ISNUMBER(G821),ISNUMBER(H821),F821&gt;G821,H821&gt;0),(F821-H821)/(F821-G821)*1000,"")</f>
        <v/>
      </c>
      <c r="J821" s="17" t="str">
        <f aca="false">IF(AND(ISNUMBER(F821),ISNUMBER(G821),ISNUMBER(H821),F821&gt;G821,H821&gt;0),(F821-H821)/H821,"")</f>
        <v/>
      </c>
      <c r="K821" s="20" t="str">
        <f aca="false">IF(AND(ISNUMBER(F821),ISNUMBER(G821),ISNUMBER(H821),F821&gt;G821,H821&gt;0),H821/(F821-G821)*1000,"")</f>
        <v/>
      </c>
      <c r="L821" s="11" t="str">
        <f aca="false">IF(K821="","",IF(K821&gt;=CONFIG!$E$21,CONFIG!$D$21,IF(K821&gt;=CONFIG!$E$20,CONFIG!$D$20,CONFIG!$D$19)))</f>
        <v/>
      </c>
      <c r="M821" s="20" t="str">
        <f aca="false">IF(K821="","",IF(K821&gt;=CONFIG!$E$21,CONFIG!$F$21,IF(K821&gt;=CONFIG!$E$20,CONFIG!$F$20,CONFIG!$F$19)))</f>
        <v/>
      </c>
      <c r="N821" s="19" t="str">
        <f aca="false">IF(I821="","",IF(I821&lt;=M821,"OK","ALTA"))</f>
        <v/>
      </c>
      <c r="O821" s="13"/>
    </row>
    <row r="822" customFormat="false" ht="15" hidden="false" customHeight="false" outlineLevel="0" collapsed="false">
      <c r="A822" s="11" t="str">
        <f aca="false">IF(C822="","",ROW()-4)</f>
        <v/>
      </c>
      <c r="B822" s="12"/>
      <c r="C822" s="13"/>
      <c r="D822" s="11" t="str">
        <f aca="false">IF(C822="","",IFERROR(INDEX(LOTES!$D$5:$D$1004,MATCH(C822,LOTES!$F$5:$F$1004,0)),"¿Lote?"))</f>
        <v/>
      </c>
      <c r="E822" s="11" t="str">
        <f aca="false">IF(C822="","",IFERROR(INDEX(LOTES!$C$5:$C$1004,MATCH(C822,LOTES!$F$5:$F$1004,0)),""))</f>
        <v/>
      </c>
      <c r="F822" s="27"/>
      <c r="G822" s="27"/>
      <c r="H822" s="27"/>
      <c r="I822" s="20" t="str">
        <f aca="false">IF(AND(ISNUMBER(F822),ISNUMBER(G822),ISNUMBER(H822),F822&gt;G822,H822&gt;0),(F822-H822)/(F822-G822)*1000,"")</f>
        <v/>
      </c>
      <c r="J822" s="17" t="str">
        <f aca="false">IF(AND(ISNUMBER(F822),ISNUMBER(G822),ISNUMBER(H822),F822&gt;G822,H822&gt;0),(F822-H822)/H822,"")</f>
        <v/>
      </c>
      <c r="K822" s="20" t="str">
        <f aca="false">IF(AND(ISNUMBER(F822),ISNUMBER(G822),ISNUMBER(H822),F822&gt;G822,H822&gt;0),H822/(F822-G822)*1000,"")</f>
        <v/>
      </c>
      <c r="L822" s="11" t="str">
        <f aca="false">IF(K822="","",IF(K822&gt;=CONFIG!$E$21,CONFIG!$D$21,IF(K822&gt;=CONFIG!$E$20,CONFIG!$D$20,CONFIG!$D$19)))</f>
        <v/>
      </c>
      <c r="M822" s="20" t="str">
        <f aca="false">IF(K822="","",IF(K822&gt;=CONFIG!$E$21,CONFIG!$F$21,IF(K822&gt;=CONFIG!$E$20,CONFIG!$F$20,CONFIG!$F$19)))</f>
        <v/>
      </c>
      <c r="N822" s="19" t="str">
        <f aca="false">IF(I822="","",IF(I822&lt;=M822,"OK","ALTA"))</f>
        <v/>
      </c>
      <c r="O822" s="13"/>
    </row>
    <row r="823" customFormat="false" ht="15" hidden="false" customHeight="false" outlineLevel="0" collapsed="false">
      <c r="A823" s="11" t="str">
        <f aca="false">IF(C823="","",ROW()-4)</f>
        <v/>
      </c>
      <c r="B823" s="12"/>
      <c r="C823" s="13"/>
      <c r="D823" s="11" t="str">
        <f aca="false">IF(C823="","",IFERROR(INDEX(LOTES!$D$5:$D$1004,MATCH(C823,LOTES!$F$5:$F$1004,0)),"¿Lote?"))</f>
        <v/>
      </c>
      <c r="E823" s="11" t="str">
        <f aca="false">IF(C823="","",IFERROR(INDEX(LOTES!$C$5:$C$1004,MATCH(C823,LOTES!$F$5:$F$1004,0)),""))</f>
        <v/>
      </c>
      <c r="F823" s="27"/>
      <c r="G823" s="27"/>
      <c r="H823" s="27"/>
      <c r="I823" s="20" t="str">
        <f aca="false">IF(AND(ISNUMBER(F823),ISNUMBER(G823),ISNUMBER(H823),F823&gt;G823,H823&gt;0),(F823-H823)/(F823-G823)*1000,"")</f>
        <v/>
      </c>
      <c r="J823" s="17" t="str">
        <f aca="false">IF(AND(ISNUMBER(F823),ISNUMBER(G823),ISNUMBER(H823),F823&gt;G823,H823&gt;0),(F823-H823)/H823,"")</f>
        <v/>
      </c>
      <c r="K823" s="20" t="str">
        <f aca="false">IF(AND(ISNUMBER(F823),ISNUMBER(G823),ISNUMBER(H823),F823&gt;G823,H823&gt;0),H823/(F823-G823)*1000,"")</f>
        <v/>
      </c>
      <c r="L823" s="11" t="str">
        <f aca="false">IF(K823="","",IF(K823&gt;=CONFIG!$E$21,CONFIG!$D$21,IF(K823&gt;=CONFIG!$E$20,CONFIG!$D$20,CONFIG!$D$19)))</f>
        <v/>
      </c>
      <c r="M823" s="20" t="str">
        <f aca="false">IF(K823="","",IF(K823&gt;=CONFIG!$E$21,CONFIG!$F$21,IF(K823&gt;=CONFIG!$E$20,CONFIG!$F$20,CONFIG!$F$19)))</f>
        <v/>
      </c>
      <c r="N823" s="19" t="str">
        <f aca="false">IF(I823="","",IF(I823&lt;=M823,"OK","ALTA"))</f>
        <v/>
      </c>
      <c r="O823" s="13"/>
    </row>
    <row r="824" customFormat="false" ht="15" hidden="false" customHeight="false" outlineLevel="0" collapsed="false">
      <c r="A824" s="11" t="str">
        <f aca="false">IF(C824="","",ROW()-4)</f>
        <v/>
      </c>
      <c r="B824" s="12"/>
      <c r="C824" s="13"/>
      <c r="D824" s="11" t="str">
        <f aca="false">IF(C824="","",IFERROR(INDEX(LOTES!$D$5:$D$1004,MATCH(C824,LOTES!$F$5:$F$1004,0)),"¿Lote?"))</f>
        <v/>
      </c>
      <c r="E824" s="11" t="str">
        <f aca="false">IF(C824="","",IFERROR(INDEX(LOTES!$C$5:$C$1004,MATCH(C824,LOTES!$F$5:$F$1004,0)),""))</f>
        <v/>
      </c>
      <c r="F824" s="27"/>
      <c r="G824" s="27"/>
      <c r="H824" s="27"/>
      <c r="I824" s="20" t="str">
        <f aca="false">IF(AND(ISNUMBER(F824),ISNUMBER(G824),ISNUMBER(H824),F824&gt;G824,H824&gt;0),(F824-H824)/(F824-G824)*1000,"")</f>
        <v/>
      </c>
      <c r="J824" s="17" t="str">
        <f aca="false">IF(AND(ISNUMBER(F824),ISNUMBER(G824),ISNUMBER(H824),F824&gt;G824,H824&gt;0),(F824-H824)/H824,"")</f>
        <v/>
      </c>
      <c r="K824" s="20" t="str">
        <f aca="false">IF(AND(ISNUMBER(F824),ISNUMBER(G824),ISNUMBER(H824),F824&gt;G824,H824&gt;0),H824/(F824-G824)*1000,"")</f>
        <v/>
      </c>
      <c r="L824" s="11" t="str">
        <f aca="false">IF(K824="","",IF(K824&gt;=CONFIG!$E$21,CONFIG!$D$21,IF(K824&gt;=CONFIG!$E$20,CONFIG!$D$20,CONFIG!$D$19)))</f>
        <v/>
      </c>
      <c r="M824" s="20" t="str">
        <f aca="false">IF(K824="","",IF(K824&gt;=CONFIG!$E$21,CONFIG!$F$21,IF(K824&gt;=CONFIG!$E$20,CONFIG!$F$20,CONFIG!$F$19)))</f>
        <v/>
      </c>
      <c r="N824" s="19" t="str">
        <f aca="false">IF(I824="","",IF(I824&lt;=M824,"OK","ALTA"))</f>
        <v/>
      </c>
      <c r="O824" s="13"/>
    </row>
    <row r="825" customFormat="false" ht="15" hidden="false" customHeight="false" outlineLevel="0" collapsed="false">
      <c r="A825" s="11" t="str">
        <f aca="false">IF(C825="","",ROW()-4)</f>
        <v/>
      </c>
      <c r="B825" s="12"/>
      <c r="C825" s="13"/>
      <c r="D825" s="11" t="str">
        <f aca="false">IF(C825="","",IFERROR(INDEX(LOTES!$D$5:$D$1004,MATCH(C825,LOTES!$F$5:$F$1004,0)),"¿Lote?"))</f>
        <v/>
      </c>
      <c r="E825" s="11" t="str">
        <f aca="false">IF(C825="","",IFERROR(INDEX(LOTES!$C$5:$C$1004,MATCH(C825,LOTES!$F$5:$F$1004,0)),""))</f>
        <v/>
      </c>
      <c r="F825" s="27"/>
      <c r="G825" s="27"/>
      <c r="H825" s="27"/>
      <c r="I825" s="20" t="str">
        <f aca="false">IF(AND(ISNUMBER(F825),ISNUMBER(G825),ISNUMBER(H825),F825&gt;G825,H825&gt;0),(F825-H825)/(F825-G825)*1000,"")</f>
        <v/>
      </c>
      <c r="J825" s="17" t="str">
        <f aca="false">IF(AND(ISNUMBER(F825),ISNUMBER(G825),ISNUMBER(H825),F825&gt;G825,H825&gt;0),(F825-H825)/H825,"")</f>
        <v/>
      </c>
      <c r="K825" s="20" t="str">
        <f aca="false">IF(AND(ISNUMBER(F825),ISNUMBER(G825),ISNUMBER(H825),F825&gt;G825,H825&gt;0),H825/(F825-G825)*1000,"")</f>
        <v/>
      </c>
      <c r="L825" s="11" t="str">
        <f aca="false">IF(K825="","",IF(K825&gt;=CONFIG!$E$21,CONFIG!$D$21,IF(K825&gt;=CONFIG!$E$20,CONFIG!$D$20,CONFIG!$D$19)))</f>
        <v/>
      </c>
      <c r="M825" s="20" t="str">
        <f aca="false">IF(K825="","",IF(K825&gt;=CONFIG!$E$21,CONFIG!$F$21,IF(K825&gt;=CONFIG!$E$20,CONFIG!$F$20,CONFIG!$F$19)))</f>
        <v/>
      </c>
      <c r="N825" s="19" t="str">
        <f aca="false">IF(I825="","",IF(I825&lt;=M825,"OK","ALTA"))</f>
        <v/>
      </c>
      <c r="O825" s="13"/>
    </row>
    <row r="826" customFormat="false" ht="15" hidden="false" customHeight="false" outlineLevel="0" collapsed="false">
      <c r="A826" s="11" t="str">
        <f aca="false">IF(C826="","",ROW()-4)</f>
        <v/>
      </c>
      <c r="B826" s="12"/>
      <c r="C826" s="13"/>
      <c r="D826" s="11" t="str">
        <f aca="false">IF(C826="","",IFERROR(INDEX(LOTES!$D$5:$D$1004,MATCH(C826,LOTES!$F$5:$F$1004,0)),"¿Lote?"))</f>
        <v/>
      </c>
      <c r="E826" s="11" t="str">
        <f aca="false">IF(C826="","",IFERROR(INDEX(LOTES!$C$5:$C$1004,MATCH(C826,LOTES!$F$5:$F$1004,0)),""))</f>
        <v/>
      </c>
      <c r="F826" s="27"/>
      <c r="G826" s="27"/>
      <c r="H826" s="27"/>
      <c r="I826" s="20" t="str">
        <f aca="false">IF(AND(ISNUMBER(F826),ISNUMBER(G826),ISNUMBER(H826),F826&gt;G826,H826&gt;0),(F826-H826)/(F826-G826)*1000,"")</f>
        <v/>
      </c>
      <c r="J826" s="17" t="str">
        <f aca="false">IF(AND(ISNUMBER(F826),ISNUMBER(G826),ISNUMBER(H826),F826&gt;G826,H826&gt;0),(F826-H826)/H826,"")</f>
        <v/>
      </c>
      <c r="K826" s="20" t="str">
        <f aca="false">IF(AND(ISNUMBER(F826),ISNUMBER(G826),ISNUMBER(H826),F826&gt;G826,H826&gt;0),H826/(F826-G826)*1000,"")</f>
        <v/>
      </c>
      <c r="L826" s="11" t="str">
        <f aca="false">IF(K826="","",IF(K826&gt;=CONFIG!$E$21,CONFIG!$D$21,IF(K826&gt;=CONFIG!$E$20,CONFIG!$D$20,CONFIG!$D$19)))</f>
        <v/>
      </c>
      <c r="M826" s="20" t="str">
        <f aca="false">IF(K826="","",IF(K826&gt;=CONFIG!$E$21,CONFIG!$F$21,IF(K826&gt;=CONFIG!$E$20,CONFIG!$F$20,CONFIG!$F$19)))</f>
        <v/>
      </c>
      <c r="N826" s="19" t="str">
        <f aca="false">IF(I826="","",IF(I826&lt;=M826,"OK","ALTA"))</f>
        <v/>
      </c>
      <c r="O826" s="13"/>
    </row>
    <row r="827" customFormat="false" ht="15" hidden="false" customHeight="false" outlineLevel="0" collapsed="false">
      <c r="A827" s="11" t="str">
        <f aca="false">IF(C827="","",ROW()-4)</f>
        <v/>
      </c>
      <c r="B827" s="12"/>
      <c r="C827" s="13"/>
      <c r="D827" s="11" t="str">
        <f aca="false">IF(C827="","",IFERROR(INDEX(LOTES!$D$5:$D$1004,MATCH(C827,LOTES!$F$5:$F$1004,0)),"¿Lote?"))</f>
        <v/>
      </c>
      <c r="E827" s="11" t="str">
        <f aca="false">IF(C827="","",IFERROR(INDEX(LOTES!$C$5:$C$1004,MATCH(C827,LOTES!$F$5:$F$1004,0)),""))</f>
        <v/>
      </c>
      <c r="F827" s="27"/>
      <c r="G827" s="27"/>
      <c r="H827" s="27"/>
      <c r="I827" s="20" t="str">
        <f aca="false">IF(AND(ISNUMBER(F827),ISNUMBER(G827),ISNUMBER(H827),F827&gt;G827,H827&gt;0),(F827-H827)/(F827-G827)*1000,"")</f>
        <v/>
      </c>
      <c r="J827" s="17" t="str">
        <f aca="false">IF(AND(ISNUMBER(F827),ISNUMBER(G827),ISNUMBER(H827),F827&gt;G827,H827&gt;0),(F827-H827)/H827,"")</f>
        <v/>
      </c>
      <c r="K827" s="20" t="str">
        <f aca="false">IF(AND(ISNUMBER(F827),ISNUMBER(G827),ISNUMBER(H827),F827&gt;G827,H827&gt;0),H827/(F827-G827)*1000,"")</f>
        <v/>
      </c>
      <c r="L827" s="11" t="str">
        <f aca="false">IF(K827="","",IF(K827&gt;=CONFIG!$E$21,CONFIG!$D$21,IF(K827&gt;=CONFIG!$E$20,CONFIG!$D$20,CONFIG!$D$19)))</f>
        <v/>
      </c>
      <c r="M827" s="20" t="str">
        <f aca="false">IF(K827="","",IF(K827&gt;=CONFIG!$E$21,CONFIG!$F$21,IF(K827&gt;=CONFIG!$E$20,CONFIG!$F$20,CONFIG!$F$19)))</f>
        <v/>
      </c>
      <c r="N827" s="19" t="str">
        <f aca="false">IF(I827="","",IF(I827&lt;=M827,"OK","ALTA"))</f>
        <v/>
      </c>
      <c r="O827" s="13"/>
    </row>
    <row r="828" customFormat="false" ht="15" hidden="false" customHeight="false" outlineLevel="0" collapsed="false">
      <c r="A828" s="11" t="str">
        <f aca="false">IF(C828="","",ROW()-4)</f>
        <v/>
      </c>
      <c r="B828" s="12"/>
      <c r="C828" s="13"/>
      <c r="D828" s="11" t="str">
        <f aca="false">IF(C828="","",IFERROR(INDEX(LOTES!$D$5:$D$1004,MATCH(C828,LOTES!$F$5:$F$1004,0)),"¿Lote?"))</f>
        <v/>
      </c>
      <c r="E828" s="11" t="str">
        <f aca="false">IF(C828="","",IFERROR(INDEX(LOTES!$C$5:$C$1004,MATCH(C828,LOTES!$F$5:$F$1004,0)),""))</f>
        <v/>
      </c>
      <c r="F828" s="27"/>
      <c r="G828" s="27"/>
      <c r="H828" s="27"/>
      <c r="I828" s="20" t="str">
        <f aca="false">IF(AND(ISNUMBER(F828),ISNUMBER(G828),ISNUMBER(H828),F828&gt;G828,H828&gt;0),(F828-H828)/(F828-G828)*1000,"")</f>
        <v/>
      </c>
      <c r="J828" s="17" t="str">
        <f aca="false">IF(AND(ISNUMBER(F828),ISNUMBER(G828),ISNUMBER(H828),F828&gt;G828,H828&gt;0),(F828-H828)/H828,"")</f>
        <v/>
      </c>
      <c r="K828" s="20" t="str">
        <f aca="false">IF(AND(ISNUMBER(F828),ISNUMBER(G828),ISNUMBER(H828),F828&gt;G828,H828&gt;0),H828/(F828-G828)*1000,"")</f>
        <v/>
      </c>
      <c r="L828" s="11" t="str">
        <f aca="false">IF(K828="","",IF(K828&gt;=CONFIG!$E$21,CONFIG!$D$21,IF(K828&gt;=CONFIG!$E$20,CONFIG!$D$20,CONFIG!$D$19)))</f>
        <v/>
      </c>
      <c r="M828" s="20" t="str">
        <f aca="false">IF(K828="","",IF(K828&gt;=CONFIG!$E$21,CONFIG!$F$21,IF(K828&gt;=CONFIG!$E$20,CONFIG!$F$20,CONFIG!$F$19)))</f>
        <v/>
      </c>
      <c r="N828" s="19" t="str">
        <f aca="false">IF(I828="","",IF(I828&lt;=M828,"OK","ALTA"))</f>
        <v/>
      </c>
      <c r="O828" s="13"/>
    </row>
    <row r="829" customFormat="false" ht="15" hidden="false" customHeight="false" outlineLevel="0" collapsed="false">
      <c r="A829" s="11" t="str">
        <f aca="false">IF(C829="","",ROW()-4)</f>
        <v/>
      </c>
      <c r="B829" s="12"/>
      <c r="C829" s="13"/>
      <c r="D829" s="11" t="str">
        <f aca="false">IF(C829="","",IFERROR(INDEX(LOTES!$D$5:$D$1004,MATCH(C829,LOTES!$F$5:$F$1004,0)),"¿Lote?"))</f>
        <v/>
      </c>
      <c r="E829" s="11" t="str">
        <f aca="false">IF(C829="","",IFERROR(INDEX(LOTES!$C$5:$C$1004,MATCH(C829,LOTES!$F$5:$F$1004,0)),""))</f>
        <v/>
      </c>
      <c r="F829" s="27"/>
      <c r="G829" s="27"/>
      <c r="H829" s="27"/>
      <c r="I829" s="20" t="str">
        <f aca="false">IF(AND(ISNUMBER(F829),ISNUMBER(G829),ISNUMBER(H829),F829&gt;G829,H829&gt;0),(F829-H829)/(F829-G829)*1000,"")</f>
        <v/>
      </c>
      <c r="J829" s="17" t="str">
        <f aca="false">IF(AND(ISNUMBER(F829),ISNUMBER(G829),ISNUMBER(H829),F829&gt;G829,H829&gt;0),(F829-H829)/H829,"")</f>
        <v/>
      </c>
      <c r="K829" s="20" t="str">
        <f aca="false">IF(AND(ISNUMBER(F829),ISNUMBER(G829),ISNUMBER(H829),F829&gt;G829,H829&gt;0),H829/(F829-G829)*1000,"")</f>
        <v/>
      </c>
      <c r="L829" s="11" t="str">
        <f aca="false">IF(K829="","",IF(K829&gt;=CONFIG!$E$21,CONFIG!$D$21,IF(K829&gt;=CONFIG!$E$20,CONFIG!$D$20,CONFIG!$D$19)))</f>
        <v/>
      </c>
      <c r="M829" s="20" t="str">
        <f aca="false">IF(K829="","",IF(K829&gt;=CONFIG!$E$21,CONFIG!$F$21,IF(K829&gt;=CONFIG!$E$20,CONFIG!$F$20,CONFIG!$F$19)))</f>
        <v/>
      </c>
      <c r="N829" s="19" t="str">
        <f aca="false">IF(I829="","",IF(I829&lt;=M829,"OK","ALTA"))</f>
        <v/>
      </c>
      <c r="O829" s="13"/>
    </row>
    <row r="830" customFormat="false" ht="15" hidden="false" customHeight="false" outlineLevel="0" collapsed="false">
      <c r="A830" s="11" t="str">
        <f aca="false">IF(C830="","",ROW()-4)</f>
        <v/>
      </c>
      <c r="B830" s="12"/>
      <c r="C830" s="13"/>
      <c r="D830" s="11" t="str">
        <f aca="false">IF(C830="","",IFERROR(INDEX(LOTES!$D$5:$D$1004,MATCH(C830,LOTES!$F$5:$F$1004,0)),"¿Lote?"))</f>
        <v/>
      </c>
      <c r="E830" s="11" t="str">
        <f aca="false">IF(C830="","",IFERROR(INDEX(LOTES!$C$5:$C$1004,MATCH(C830,LOTES!$F$5:$F$1004,0)),""))</f>
        <v/>
      </c>
      <c r="F830" s="27"/>
      <c r="G830" s="27"/>
      <c r="H830" s="27"/>
      <c r="I830" s="20" t="str">
        <f aca="false">IF(AND(ISNUMBER(F830),ISNUMBER(G830),ISNUMBER(H830),F830&gt;G830,H830&gt;0),(F830-H830)/(F830-G830)*1000,"")</f>
        <v/>
      </c>
      <c r="J830" s="17" t="str">
        <f aca="false">IF(AND(ISNUMBER(F830),ISNUMBER(G830),ISNUMBER(H830),F830&gt;G830,H830&gt;0),(F830-H830)/H830,"")</f>
        <v/>
      </c>
      <c r="K830" s="20" t="str">
        <f aca="false">IF(AND(ISNUMBER(F830),ISNUMBER(G830),ISNUMBER(H830),F830&gt;G830,H830&gt;0),H830/(F830-G830)*1000,"")</f>
        <v/>
      </c>
      <c r="L830" s="11" t="str">
        <f aca="false">IF(K830="","",IF(K830&gt;=CONFIG!$E$21,CONFIG!$D$21,IF(K830&gt;=CONFIG!$E$20,CONFIG!$D$20,CONFIG!$D$19)))</f>
        <v/>
      </c>
      <c r="M830" s="20" t="str">
        <f aca="false">IF(K830="","",IF(K830&gt;=CONFIG!$E$21,CONFIG!$F$21,IF(K830&gt;=CONFIG!$E$20,CONFIG!$F$20,CONFIG!$F$19)))</f>
        <v/>
      </c>
      <c r="N830" s="19" t="str">
        <f aca="false">IF(I830="","",IF(I830&lt;=M830,"OK","ALTA"))</f>
        <v/>
      </c>
      <c r="O830" s="13"/>
    </row>
    <row r="831" customFormat="false" ht="15" hidden="false" customHeight="false" outlineLevel="0" collapsed="false">
      <c r="A831" s="11" t="str">
        <f aca="false">IF(C831="","",ROW()-4)</f>
        <v/>
      </c>
      <c r="B831" s="12"/>
      <c r="C831" s="13"/>
      <c r="D831" s="11" t="str">
        <f aca="false">IF(C831="","",IFERROR(INDEX(LOTES!$D$5:$D$1004,MATCH(C831,LOTES!$F$5:$F$1004,0)),"¿Lote?"))</f>
        <v/>
      </c>
      <c r="E831" s="11" t="str">
        <f aca="false">IF(C831="","",IFERROR(INDEX(LOTES!$C$5:$C$1004,MATCH(C831,LOTES!$F$5:$F$1004,0)),""))</f>
        <v/>
      </c>
      <c r="F831" s="27"/>
      <c r="G831" s="27"/>
      <c r="H831" s="27"/>
      <c r="I831" s="20" t="str">
        <f aca="false">IF(AND(ISNUMBER(F831),ISNUMBER(G831),ISNUMBER(H831),F831&gt;G831,H831&gt;0),(F831-H831)/(F831-G831)*1000,"")</f>
        <v/>
      </c>
      <c r="J831" s="17" t="str">
        <f aca="false">IF(AND(ISNUMBER(F831),ISNUMBER(G831),ISNUMBER(H831),F831&gt;G831,H831&gt;0),(F831-H831)/H831,"")</f>
        <v/>
      </c>
      <c r="K831" s="20" t="str">
        <f aca="false">IF(AND(ISNUMBER(F831),ISNUMBER(G831),ISNUMBER(H831),F831&gt;G831,H831&gt;0),H831/(F831-G831)*1000,"")</f>
        <v/>
      </c>
      <c r="L831" s="11" t="str">
        <f aca="false">IF(K831="","",IF(K831&gt;=CONFIG!$E$21,CONFIG!$D$21,IF(K831&gt;=CONFIG!$E$20,CONFIG!$D$20,CONFIG!$D$19)))</f>
        <v/>
      </c>
      <c r="M831" s="20" t="str">
        <f aca="false">IF(K831="","",IF(K831&gt;=CONFIG!$E$21,CONFIG!$F$21,IF(K831&gt;=CONFIG!$E$20,CONFIG!$F$20,CONFIG!$F$19)))</f>
        <v/>
      </c>
      <c r="N831" s="19" t="str">
        <f aca="false">IF(I831="","",IF(I831&lt;=M831,"OK","ALTA"))</f>
        <v/>
      </c>
      <c r="O831" s="13"/>
    </row>
    <row r="832" customFormat="false" ht="15" hidden="false" customHeight="false" outlineLevel="0" collapsed="false">
      <c r="A832" s="11" t="str">
        <f aca="false">IF(C832="","",ROW()-4)</f>
        <v/>
      </c>
      <c r="B832" s="12"/>
      <c r="C832" s="13"/>
      <c r="D832" s="11" t="str">
        <f aca="false">IF(C832="","",IFERROR(INDEX(LOTES!$D$5:$D$1004,MATCH(C832,LOTES!$F$5:$F$1004,0)),"¿Lote?"))</f>
        <v/>
      </c>
      <c r="E832" s="11" t="str">
        <f aca="false">IF(C832="","",IFERROR(INDEX(LOTES!$C$5:$C$1004,MATCH(C832,LOTES!$F$5:$F$1004,0)),""))</f>
        <v/>
      </c>
      <c r="F832" s="27"/>
      <c r="G832" s="27"/>
      <c r="H832" s="27"/>
      <c r="I832" s="20" t="str">
        <f aca="false">IF(AND(ISNUMBER(F832),ISNUMBER(G832),ISNUMBER(H832),F832&gt;G832,H832&gt;0),(F832-H832)/(F832-G832)*1000,"")</f>
        <v/>
      </c>
      <c r="J832" s="17" t="str">
        <f aca="false">IF(AND(ISNUMBER(F832),ISNUMBER(G832),ISNUMBER(H832),F832&gt;G832,H832&gt;0),(F832-H832)/H832,"")</f>
        <v/>
      </c>
      <c r="K832" s="20" t="str">
        <f aca="false">IF(AND(ISNUMBER(F832),ISNUMBER(G832),ISNUMBER(H832),F832&gt;G832,H832&gt;0),H832/(F832-G832)*1000,"")</f>
        <v/>
      </c>
      <c r="L832" s="11" t="str">
        <f aca="false">IF(K832="","",IF(K832&gt;=CONFIG!$E$21,CONFIG!$D$21,IF(K832&gt;=CONFIG!$E$20,CONFIG!$D$20,CONFIG!$D$19)))</f>
        <v/>
      </c>
      <c r="M832" s="20" t="str">
        <f aca="false">IF(K832="","",IF(K832&gt;=CONFIG!$E$21,CONFIG!$F$21,IF(K832&gt;=CONFIG!$E$20,CONFIG!$F$20,CONFIG!$F$19)))</f>
        <v/>
      </c>
      <c r="N832" s="19" t="str">
        <f aca="false">IF(I832="","",IF(I832&lt;=M832,"OK","ALTA"))</f>
        <v/>
      </c>
      <c r="O832" s="13"/>
    </row>
    <row r="833" customFormat="false" ht="15" hidden="false" customHeight="false" outlineLevel="0" collapsed="false">
      <c r="A833" s="11" t="str">
        <f aca="false">IF(C833="","",ROW()-4)</f>
        <v/>
      </c>
      <c r="B833" s="12"/>
      <c r="C833" s="13"/>
      <c r="D833" s="11" t="str">
        <f aca="false">IF(C833="","",IFERROR(INDEX(LOTES!$D$5:$D$1004,MATCH(C833,LOTES!$F$5:$F$1004,0)),"¿Lote?"))</f>
        <v/>
      </c>
      <c r="E833" s="11" t="str">
        <f aca="false">IF(C833="","",IFERROR(INDEX(LOTES!$C$5:$C$1004,MATCH(C833,LOTES!$F$5:$F$1004,0)),""))</f>
        <v/>
      </c>
      <c r="F833" s="27"/>
      <c r="G833" s="27"/>
      <c r="H833" s="27"/>
      <c r="I833" s="20" t="str">
        <f aca="false">IF(AND(ISNUMBER(F833),ISNUMBER(G833),ISNUMBER(H833),F833&gt;G833,H833&gt;0),(F833-H833)/(F833-G833)*1000,"")</f>
        <v/>
      </c>
      <c r="J833" s="17" t="str">
        <f aca="false">IF(AND(ISNUMBER(F833),ISNUMBER(G833),ISNUMBER(H833),F833&gt;G833,H833&gt;0),(F833-H833)/H833,"")</f>
        <v/>
      </c>
      <c r="K833" s="20" t="str">
        <f aca="false">IF(AND(ISNUMBER(F833),ISNUMBER(G833),ISNUMBER(H833),F833&gt;G833,H833&gt;0),H833/(F833-G833)*1000,"")</f>
        <v/>
      </c>
      <c r="L833" s="11" t="str">
        <f aca="false">IF(K833="","",IF(K833&gt;=CONFIG!$E$21,CONFIG!$D$21,IF(K833&gt;=CONFIG!$E$20,CONFIG!$D$20,CONFIG!$D$19)))</f>
        <v/>
      </c>
      <c r="M833" s="20" t="str">
        <f aca="false">IF(K833="","",IF(K833&gt;=CONFIG!$E$21,CONFIG!$F$21,IF(K833&gt;=CONFIG!$E$20,CONFIG!$F$20,CONFIG!$F$19)))</f>
        <v/>
      </c>
      <c r="N833" s="19" t="str">
        <f aca="false">IF(I833="","",IF(I833&lt;=M833,"OK","ALTA"))</f>
        <v/>
      </c>
      <c r="O833" s="13"/>
    </row>
    <row r="834" customFormat="false" ht="15" hidden="false" customHeight="false" outlineLevel="0" collapsed="false">
      <c r="A834" s="11" t="str">
        <f aca="false">IF(C834="","",ROW()-4)</f>
        <v/>
      </c>
      <c r="B834" s="12"/>
      <c r="C834" s="13"/>
      <c r="D834" s="11" t="str">
        <f aca="false">IF(C834="","",IFERROR(INDEX(LOTES!$D$5:$D$1004,MATCH(C834,LOTES!$F$5:$F$1004,0)),"¿Lote?"))</f>
        <v/>
      </c>
      <c r="E834" s="11" t="str">
        <f aca="false">IF(C834="","",IFERROR(INDEX(LOTES!$C$5:$C$1004,MATCH(C834,LOTES!$F$5:$F$1004,0)),""))</f>
        <v/>
      </c>
      <c r="F834" s="27"/>
      <c r="G834" s="27"/>
      <c r="H834" s="27"/>
      <c r="I834" s="20" t="str">
        <f aca="false">IF(AND(ISNUMBER(F834),ISNUMBER(G834),ISNUMBER(H834),F834&gt;G834,H834&gt;0),(F834-H834)/(F834-G834)*1000,"")</f>
        <v/>
      </c>
      <c r="J834" s="17" t="str">
        <f aca="false">IF(AND(ISNUMBER(F834),ISNUMBER(G834),ISNUMBER(H834),F834&gt;G834,H834&gt;0),(F834-H834)/H834,"")</f>
        <v/>
      </c>
      <c r="K834" s="20" t="str">
        <f aca="false">IF(AND(ISNUMBER(F834),ISNUMBER(G834),ISNUMBER(H834),F834&gt;G834,H834&gt;0),H834/(F834-G834)*1000,"")</f>
        <v/>
      </c>
      <c r="L834" s="11" t="str">
        <f aca="false">IF(K834="","",IF(K834&gt;=CONFIG!$E$21,CONFIG!$D$21,IF(K834&gt;=CONFIG!$E$20,CONFIG!$D$20,CONFIG!$D$19)))</f>
        <v/>
      </c>
      <c r="M834" s="20" t="str">
        <f aca="false">IF(K834="","",IF(K834&gt;=CONFIG!$E$21,CONFIG!$F$21,IF(K834&gt;=CONFIG!$E$20,CONFIG!$F$20,CONFIG!$F$19)))</f>
        <v/>
      </c>
      <c r="N834" s="19" t="str">
        <f aca="false">IF(I834="","",IF(I834&lt;=M834,"OK","ALTA"))</f>
        <v/>
      </c>
      <c r="O834" s="13"/>
    </row>
    <row r="835" customFormat="false" ht="15" hidden="false" customHeight="false" outlineLevel="0" collapsed="false">
      <c r="A835" s="11" t="str">
        <f aca="false">IF(C835="","",ROW()-4)</f>
        <v/>
      </c>
      <c r="B835" s="12"/>
      <c r="C835" s="13"/>
      <c r="D835" s="11" t="str">
        <f aca="false">IF(C835="","",IFERROR(INDEX(LOTES!$D$5:$D$1004,MATCH(C835,LOTES!$F$5:$F$1004,0)),"¿Lote?"))</f>
        <v/>
      </c>
      <c r="E835" s="11" t="str">
        <f aca="false">IF(C835="","",IFERROR(INDEX(LOTES!$C$5:$C$1004,MATCH(C835,LOTES!$F$5:$F$1004,0)),""))</f>
        <v/>
      </c>
      <c r="F835" s="27"/>
      <c r="G835" s="27"/>
      <c r="H835" s="27"/>
      <c r="I835" s="20" t="str">
        <f aca="false">IF(AND(ISNUMBER(F835),ISNUMBER(G835),ISNUMBER(H835),F835&gt;G835,H835&gt;0),(F835-H835)/(F835-G835)*1000,"")</f>
        <v/>
      </c>
      <c r="J835" s="17" t="str">
        <f aca="false">IF(AND(ISNUMBER(F835),ISNUMBER(G835),ISNUMBER(H835),F835&gt;G835,H835&gt;0),(F835-H835)/H835,"")</f>
        <v/>
      </c>
      <c r="K835" s="20" t="str">
        <f aca="false">IF(AND(ISNUMBER(F835),ISNUMBER(G835),ISNUMBER(H835),F835&gt;G835,H835&gt;0),H835/(F835-G835)*1000,"")</f>
        <v/>
      </c>
      <c r="L835" s="11" t="str">
        <f aca="false">IF(K835="","",IF(K835&gt;=CONFIG!$E$21,CONFIG!$D$21,IF(K835&gt;=CONFIG!$E$20,CONFIG!$D$20,CONFIG!$D$19)))</f>
        <v/>
      </c>
      <c r="M835" s="20" t="str">
        <f aca="false">IF(K835="","",IF(K835&gt;=CONFIG!$E$21,CONFIG!$F$21,IF(K835&gt;=CONFIG!$E$20,CONFIG!$F$20,CONFIG!$F$19)))</f>
        <v/>
      </c>
      <c r="N835" s="19" t="str">
        <f aca="false">IF(I835="","",IF(I835&lt;=M835,"OK","ALTA"))</f>
        <v/>
      </c>
      <c r="O835" s="13"/>
    </row>
    <row r="836" customFormat="false" ht="15" hidden="false" customHeight="false" outlineLevel="0" collapsed="false">
      <c r="A836" s="11" t="str">
        <f aca="false">IF(C836="","",ROW()-4)</f>
        <v/>
      </c>
      <c r="B836" s="12"/>
      <c r="C836" s="13"/>
      <c r="D836" s="11" t="str">
        <f aca="false">IF(C836="","",IFERROR(INDEX(LOTES!$D$5:$D$1004,MATCH(C836,LOTES!$F$5:$F$1004,0)),"¿Lote?"))</f>
        <v/>
      </c>
      <c r="E836" s="11" t="str">
        <f aca="false">IF(C836="","",IFERROR(INDEX(LOTES!$C$5:$C$1004,MATCH(C836,LOTES!$F$5:$F$1004,0)),""))</f>
        <v/>
      </c>
      <c r="F836" s="27"/>
      <c r="G836" s="27"/>
      <c r="H836" s="27"/>
      <c r="I836" s="20" t="str">
        <f aca="false">IF(AND(ISNUMBER(F836),ISNUMBER(G836),ISNUMBER(H836),F836&gt;G836,H836&gt;0),(F836-H836)/(F836-G836)*1000,"")</f>
        <v/>
      </c>
      <c r="J836" s="17" t="str">
        <f aca="false">IF(AND(ISNUMBER(F836),ISNUMBER(G836),ISNUMBER(H836),F836&gt;G836,H836&gt;0),(F836-H836)/H836,"")</f>
        <v/>
      </c>
      <c r="K836" s="20" t="str">
        <f aca="false">IF(AND(ISNUMBER(F836),ISNUMBER(G836),ISNUMBER(H836),F836&gt;G836,H836&gt;0),H836/(F836-G836)*1000,"")</f>
        <v/>
      </c>
      <c r="L836" s="11" t="str">
        <f aca="false">IF(K836="","",IF(K836&gt;=CONFIG!$E$21,CONFIG!$D$21,IF(K836&gt;=CONFIG!$E$20,CONFIG!$D$20,CONFIG!$D$19)))</f>
        <v/>
      </c>
      <c r="M836" s="20" t="str">
        <f aca="false">IF(K836="","",IF(K836&gt;=CONFIG!$E$21,CONFIG!$F$21,IF(K836&gt;=CONFIG!$E$20,CONFIG!$F$20,CONFIG!$F$19)))</f>
        <v/>
      </c>
      <c r="N836" s="19" t="str">
        <f aca="false">IF(I836="","",IF(I836&lt;=M836,"OK","ALTA"))</f>
        <v/>
      </c>
      <c r="O836" s="13"/>
    </row>
    <row r="837" customFormat="false" ht="15" hidden="false" customHeight="false" outlineLevel="0" collapsed="false">
      <c r="A837" s="11" t="str">
        <f aca="false">IF(C837="","",ROW()-4)</f>
        <v/>
      </c>
      <c r="B837" s="12"/>
      <c r="C837" s="13"/>
      <c r="D837" s="11" t="str">
        <f aca="false">IF(C837="","",IFERROR(INDEX(LOTES!$D$5:$D$1004,MATCH(C837,LOTES!$F$5:$F$1004,0)),"¿Lote?"))</f>
        <v/>
      </c>
      <c r="E837" s="11" t="str">
        <f aca="false">IF(C837="","",IFERROR(INDEX(LOTES!$C$5:$C$1004,MATCH(C837,LOTES!$F$5:$F$1004,0)),""))</f>
        <v/>
      </c>
      <c r="F837" s="27"/>
      <c r="G837" s="27"/>
      <c r="H837" s="27"/>
      <c r="I837" s="20" t="str">
        <f aca="false">IF(AND(ISNUMBER(F837),ISNUMBER(G837),ISNUMBER(H837),F837&gt;G837,H837&gt;0),(F837-H837)/(F837-G837)*1000,"")</f>
        <v/>
      </c>
      <c r="J837" s="17" t="str">
        <f aca="false">IF(AND(ISNUMBER(F837),ISNUMBER(G837),ISNUMBER(H837),F837&gt;G837,H837&gt;0),(F837-H837)/H837,"")</f>
        <v/>
      </c>
      <c r="K837" s="20" t="str">
        <f aca="false">IF(AND(ISNUMBER(F837),ISNUMBER(G837),ISNUMBER(H837),F837&gt;G837,H837&gt;0),H837/(F837-G837)*1000,"")</f>
        <v/>
      </c>
      <c r="L837" s="11" t="str">
        <f aca="false">IF(K837="","",IF(K837&gt;=CONFIG!$E$21,CONFIG!$D$21,IF(K837&gt;=CONFIG!$E$20,CONFIG!$D$20,CONFIG!$D$19)))</f>
        <v/>
      </c>
      <c r="M837" s="20" t="str">
        <f aca="false">IF(K837="","",IF(K837&gt;=CONFIG!$E$21,CONFIG!$F$21,IF(K837&gt;=CONFIG!$E$20,CONFIG!$F$20,CONFIG!$F$19)))</f>
        <v/>
      </c>
      <c r="N837" s="19" t="str">
        <f aca="false">IF(I837="","",IF(I837&lt;=M837,"OK","ALTA"))</f>
        <v/>
      </c>
      <c r="O837" s="13"/>
    </row>
    <row r="838" customFormat="false" ht="15" hidden="false" customHeight="false" outlineLevel="0" collapsed="false">
      <c r="A838" s="11" t="str">
        <f aca="false">IF(C838="","",ROW()-4)</f>
        <v/>
      </c>
      <c r="B838" s="12"/>
      <c r="C838" s="13"/>
      <c r="D838" s="11" t="str">
        <f aca="false">IF(C838="","",IFERROR(INDEX(LOTES!$D$5:$D$1004,MATCH(C838,LOTES!$F$5:$F$1004,0)),"¿Lote?"))</f>
        <v/>
      </c>
      <c r="E838" s="11" t="str">
        <f aca="false">IF(C838="","",IFERROR(INDEX(LOTES!$C$5:$C$1004,MATCH(C838,LOTES!$F$5:$F$1004,0)),""))</f>
        <v/>
      </c>
      <c r="F838" s="27"/>
      <c r="G838" s="27"/>
      <c r="H838" s="27"/>
      <c r="I838" s="20" t="str">
        <f aca="false">IF(AND(ISNUMBER(F838),ISNUMBER(G838),ISNUMBER(H838),F838&gt;G838,H838&gt;0),(F838-H838)/(F838-G838)*1000,"")</f>
        <v/>
      </c>
      <c r="J838" s="17" t="str">
        <f aca="false">IF(AND(ISNUMBER(F838),ISNUMBER(G838),ISNUMBER(H838),F838&gt;G838,H838&gt;0),(F838-H838)/H838,"")</f>
        <v/>
      </c>
      <c r="K838" s="20" t="str">
        <f aca="false">IF(AND(ISNUMBER(F838),ISNUMBER(G838),ISNUMBER(H838),F838&gt;G838,H838&gt;0),H838/(F838-G838)*1000,"")</f>
        <v/>
      </c>
      <c r="L838" s="11" t="str">
        <f aca="false">IF(K838="","",IF(K838&gt;=CONFIG!$E$21,CONFIG!$D$21,IF(K838&gt;=CONFIG!$E$20,CONFIG!$D$20,CONFIG!$D$19)))</f>
        <v/>
      </c>
      <c r="M838" s="20" t="str">
        <f aca="false">IF(K838="","",IF(K838&gt;=CONFIG!$E$21,CONFIG!$F$21,IF(K838&gt;=CONFIG!$E$20,CONFIG!$F$20,CONFIG!$F$19)))</f>
        <v/>
      </c>
      <c r="N838" s="19" t="str">
        <f aca="false">IF(I838="","",IF(I838&lt;=M838,"OK","ALTA"))</f>
        <v/>
      </c>
      <c r="O838" s="13"/>
    </row>
    <row r="839" customFormat="false" ht="15" hidden="false" customHeight="false" outlineLevel="0" collapsed="false">
      <c r="A839" s="11" t="str">
        <f aca="false">IF(C839="","",ROW()-4)</f>
        <v/>
      </c>
      <c r="B839" s="12"/>
      <c r="C839" s="13"/>
      <c r="D839" s="11" t="str">
        <f aca="false">IF(C839="","",IFERROR(INDEX(LOTES!$D$5:$D$1004,MATCH(C839,LOTES!$F$5:$F$1004,0)),"¿Lote?"))</f>
        <v/>
      </c>
      <c r="E839" s="11" t="str">
        <f aca="false">IF(C839="","",IFERROR(INDEX(LOTES!$C$5:$C$1004,MATCH(C839,LOTES!$F$5:$F$1004,0)),""))</f>
        <v/>
      </c>
      <c r="F839" s="27"/>
      <c r="G839" s="27"/>
      <c r="H839" s="27"/>
      <c r="I839" s="20" t="str">
        <f aca="false">IF(AND(ISNUMBER(F839),ISNUMBER(G839),ISNUMBER(H839),F839&gt;G839,H839&gt;0),(F839-H839)/(F839-G839)*1000,"")</f>
        <v/>
      </c>
      <c r="J839" s="17" t="str">
        <f aca="false">IF(AND(ISNUMBER(F839),ISNUMBER(G839),ISNUMBER(H839),F839&gt;G839,H839&gt;0),(F839-H839)/H839,"")</f>
        <v/>
      </c>
      <c r="K839" s="20" t="str">
        <f aca="false">IF(AND(ISNUMBER(F839),ISNUMBER(G839),ISNUMBER(H839),F839&gt;G839,H839&gt;0),H839/(F839-G839)*1000,"")</f>
        <v/>
      </c>
      <c r="L839" s="11" t="str">
        <f aca="false">IF(K839="","",IF(K839&gt;=CONFIG!$E$21,CONFIG!$D$21,IF(K839&gt;=CONFIG!$E$20,CONFIG!$D$20,CONFIG!$D$19)))</f>
        <v/>
      </c>
      <c r="M839" s="20" t="str">
        <f aca="false">IF(K839="","",IF(K839&gt;=CONFIG!$E$21,CONFIG!$F$21,IF(K839&gt;=CONFIG!$E$20,CONFIG!$F$20,CONFIG!$F$19)))</f>
        <v/>
      </c>
      <c r="N839" s="19" t="str">
        <f aca="false">IF(I839="","",IF(I839&lt;=M839,"OK","ALTA"))</f>
        <v/>
      </c>
      <c r="O839" s="13"/>
    </row>
    <row r="840" customFormat="false" ht="15" hidden="false" customHeight="false" outlineLevel="0" collapsed="false">
      <c r="A840" s="11" t="str">
        <f aca="false">IF(C840="","",ROW()-4)</f>
        <v/>
      </c>
      <c r="B840" s="12"/>
      <c r="C840" s="13"/>
      <c r="D840" s="11" t="str">
        <f aca="false">IF(C840="","",IFERROR(INDEX(LOTES!$D$5:$D$1004,MATCH(C840,LOTES!$F$5:$F$1004,0)),"¿Lote?"))</f>
        <v/>
      </c>
      <c r="E840" s="11" t="str">
        <f aca="false">IF(C840="","",IFERROR(INDEX(LOTES!$C$5:$C$1004,MATCH(C840,LOTES!$F$5:$F$1004,0)),""))</f>
        <v/>
      </c>
      <c r="F840" s="27"/>
      <c r="G840" s="27"/>
      <c r="H840" s="27"/>
      <c r="I840" s="20" t="str">
        <f aca="false">IF(AND(ISNUMBER(F840),ISNUMBER(G840),ISNUMBER(H840),F840&gt;G840,H840&gt;0),(F840-H840)/(F840-G840)*1000,"")</f>
        <v/>
      </c>
      <c r="J840" s="17" t="str">
        <f aca="false">IF(AND(ISNUMBER(F840),ISNUMBER(G840),ISNUMBER(H840),F840&gt;G840,H840&gt;0),(F840-H840)/H840,"")</f>
        <v/>
      </c>
      <c r="K840" s="20" t="str">
        <f aca="false">IF(AND(ISNUMBER(F840),ISNUMBER(G840),ISNUMBER(H840),F840&gt;G840,H840&gt;0),H840/(F840-G840)*1000,"")</f>
        <v/>
      </c>
      <c r="L840" s="11" t="str">
        <f aca="false">IF(K840="","",IF(K840&gt;=CONFIG!$E$21,CONFIG!$D$21,IF(K840&gt;=CONFIG!$E$20,CONFIG!$D$20,CONFIG!$D$19)))</f>
        <v/>
      </c>
      <c r="M840" s="20" t="str">
        <f aca="false">IF(K840="","",IF(K840&gt;=CONFIG!$E$21,CONFIG!$F$21,IF(K840&gt;=CONFIG!$E$20,CONFIG!$F$20,CONFIG!$F$19)))</f>
        <v/>
      </c>
      <c r="N840" s="19" t="str">
        <f aca="false">IF(I840="","",IF(I840&lt;=M840,"OK","ALTA"))</f>
        <v/>
      </c>
      <c r="O840" s="13"/>
    </row>
    <row r="841" customFormat="false" ht="15" hidden="false" customHeight="false" outlineLevel="0" collapsed="false">
      <c r="A841" s="11" t="str">
        <f aca="false">IF(C841="","",ROW()-4)</f>
        <v/>
      </c>
      <c r="B841" s="12"/>
      <c r="C841" s="13"/>
      <c r="D841" s="11" t="str">
        <f aca="false">IF(C841="","",IFERROR(INDEX(LOTES!$D$5:$D$1004,MATCH(C841,LOTES!$F$5:$F$1004,0)),"¿Lote?"))</f>
        <v/>
      </c>
      <c r="E841" s="11" t="str">
        <f aca="false">IF(C841="","",IFERROR(INDEX(LOTES!$C$5:$C$1004,MATCH(C841,LOTES!$F$5:$F$1004,0)),""))</f>
        <v/>
      </c>
      <c r="F841" s="27"/>
      <c r="G841" s="27"/>
      <c r="H841" s="27"/>
      <c r="I841" s="20" t="str">
        <f aca="false">IF(AND(ISNUMBER(F841),ISNUMBER(G841),ISNUMBER(H841),F841&gt;G841,H841&gt;0),(F841-H841)/(F841-G841)*1000,"")</f>
        <v/>
      </c>
      <c r="J841" s="17" t="str">
        <f aca="false">IF(AND(ISNUMBER(F841),ISNUMBER(G841),ISNUMBER(H841),F841&gt;G841,H841&gt;0),(F841-H841)/H841,"")</f>
        <v/>
      </c>
      <c r="K841" s="20" t="str">
        <f aca="false">IF(AND(ISNUMBER(F841),ISNUMBER(G841),ISNUMBER(H841),F841&gt;G841,H841&gt;0),H841/(F841-G841)*1000,"")</f>
        <v/>
      </c>
      <c r="L841" s="11" t="str">
        <f aca="false">IF(K841="","",IF(K841&gt;=CONFIG!$E$21,CONFIG!$D$21,IF(K841&gt;=CONFIG!$E$20,CONFIG!$D$20,CONFIG!$D$19)))</f>
        <v/>
      </c>
      <c r="M841" s="20" t="str">
        <f aca="false">IF(K841="","",IF(K841&gt;=CONFIG!$E$21,CONFIG!$F$21,IF(K841&gt;=CONFIG!$E$20,CONFIG!$F$20,CONFIG!$F$19)))</f>
        <v/>
      </c>
      <c r="N841" s="19" t="str">
        <f aca="false">IF(I841="","",IF(I841&lt;=M841,"OK","ALTA"))</f>
        <v/>
      </c>
      <c r="O841" s="13"/>
    </row>
    <row r="842" customFormat="false" ht="15" hidden="false" customHeight="false" outlineLevel="0" collapsed="false">
      <c r="A842" s="11" t="str">
        <f aca="false">IF(C842="","",ROW()-4)</f>
        <v/>
      </c>
      <c r="B842" s="12"/>
      <c r="C842" s="13"/>
      <c r="D842" s="11" t="str">
        <f aca="false">IF(C842="","",IFERROR(INDEX(LOTES!$D$5:$D$1004,MATCH(C842,LOTES!$F$5:$F$1004,0)),"¿Lote?"))</f>
        <v/>
      </c>
      <c r="E842" s="11" t="str">
        <f aca="false">IF(C842="","",IFERROR(INDEX(LOTES!$C$5:$C$1004,MATCH(C842,LOTES!$F$5:$F$1004,0)),""))</f>
        <v/>
      </c>
      <c r="F842" s="27"/>
      <c r="G842" s="27"/>
      <c r="H842" s="27"/>
      <c r="I842" s="20" t="str">
        <f aca="false">IF(AND(ISNUMBER(F842),ISNUMBER(G842),ISNUMBER(H842),F842&gt;G842,H842&gt;0),(F842-H842)/(F842-G842)*1000,"")</f>
        <v/>
      </c>
      <c r="J842" s="17" t="str">
        <f aca="false">IF(AND(ISNUMBER(F842),ISNUMBER(G842),ISNUMBER(H842),F842&gt;G842,H842&gt;0),(F842-H842)/H842,"")</f>
        <v/>
      </c>
      <c r="K842" s="20" t="str">
        <f aca="false">IF(AND(ISNUMBER(F842),ISNUMBER(G842),ISNUMBER(H842),F842&gt;G842,H842&gt;0),H842/(F842-G842)*1000,"")</f>
        <v/>
      </c>
      <c r="L842" s="11" t="str">
        <f aca="false">IF(K842="","",IF(K842&gt;=CONFIG!$E$21,CONFIG!$D$21,IF(K842&gt;=CONFIG!$E$20,CONFIG!$D$20,CONFIG!$D$19)))</f>
        <v/>
      </c>
      <c r="M842" s="20" t="str">
        <f aca="false">IF(K842="","",IF(K842&gt;=CONFIG!$E$21,CONFIG!$F$21,IF(K842&gt;=CONFIG!$E$20,CONFIG!$F$20,CONFIG!$F$19)))</f>
        <v/>
      </c>
      <c r="N842" s="19" t="str">
        <f aca="false">IF(I842="","",IF(I842&lt;=M842,"OK","ALTA"))</f>
        <v/>
      </c>
      <c r="O842" s="13"/>
    </row>
    <row r="843" customFormat="false" ht="15" hidden="false" customHeight="false" outlineLevel="0" collapsed="false">
      <c r="A843" s="11" t="str">
        <f aca="false">IF(C843="","",ROW()-4)</f>
        <v/>
      </c>
      <c r="B843" s="12"/>
      <c r="C843" s="13"/>
      <c r="D843" s="11" t="str">
        <f aca="false">IF(C843="","",IFERROR(INDEX(LOTES!$D$5:$D$1004,MATCH(C843,LOTES!$F$5:$F$1004,0)),"¿Lote?"))</f>
        <v/>
      </c>
      <c r="E843" s="11" t="str">
        <f aca="false">IF(C843="","",IFERROR(INDEX(LOTES!$C$5:$C$1004,MATCH(C843,LOTES!$F$5:$F$1004,0)),""))</f>
        <v/>
      </c>
      <c r="F843" s="27"/>
      <c r="G843" s="27"/>
      <c r="H843" s="27"/>
      <c r="I843" s="20" t="str">
        <f aca="false">IF(AND(ISNUMBER(F843),ISNUMBER(G843),ISNUMBER(H843),F843&gt;G843,H843&gt;0),(F843-H843)/(F843-G843)*1000,"")</f>
        <v/>
      </c>
      <c r="J843" s="17" t="str">
        <f aca="false">IF(AND(ISNUMBER(F843),ISNUMBER(G843),ISNUMBER(H843),F843&gt;G843,H843&gt;0),(F843-H843)/H843,"")</f>
        <v/>
      </c>
      <c r="K843" s="20" t="str">
        <f aca="false">IF(AND(ISNUMBER(F843),ISNUMBER(G843),ISNUMBER(H843),F843&gt;G843,H843&gt;0),H843/(F843-G843)*1000,"")</f>
        <v/>
      </c>
      <c r="L843" s="11" t="str">
        <f aca="false">IF(K843="","",IF(K843&gt;=CONFIG!$E$21,CONFIG!$D$21,IF(K843&gt;=CONFIG!$E$20,CONFIG!$D$20,CONFIG!$D$19)))</f>
        <v/>
      </c>
      <c r="M843" s="20" t="str">
        <f aca="false">IF(K843="","",IF(K843&gt;=CONFIG!$E$21,CONFIG!$F$21,IF(K843&gt;=CONFIG!$E$20,CONFIG!$F$20,CONFIG!$F$19)))</f>
        <v/>
      </c>
      <c r="N843" s="19" t="str">
        <f aca="false">IF(I843="","",IF(I843&lt;=M843,"OK","ALTA"))</f>
        <v/>
      </c>
      <c r="O843" s="13"/>
    </row>
    <row r="844" customFormat="false" ht="15" hidden="false" customHeight="false" outlineLevel="0" collapsed="false">
      <c r="A844" s="11" t="str">
        <f aca="false">IF(C844="","",ROW()-4)</f>
        <v/>
      </c>
      <c r="B844" s="12"/>
      <c r="C844" s="13"/>
      <c r="D844" s="11" t="str">
        <f aca="false">IF(C844="","",IFERROR(INDEX(LOTES!$D$5:$D$1004,MATCH(C844,LOTES!$F$5:$F$1004,0)),"¿Lote?"))</f>
        <v/>
      </c>
      <c r="E844" s="11" t="str">
        <f aca="false">IF(C844="","",IFERROR(INDEX(LOTES!$C$5:$C$1004,MATCH(C844,LOTES!$F$5:$F$1004,0)),""))</f>
        <v/>
      </c>
      <c r="F844" s="27"/>
      <c r="G844" s="27"/>
      <c r="H844" s="27"/>
      <c r="I844" s="20" t="str">
        <f aca="false">IF(AND(ISNUMBER(F844),ISNUMBER(G844),ISNUMBER(H844),F844&gt;G844,H844&gt;0),(F844-H844)/(F844-G844)*1000,"")</f>
        <v/>
      </c>
      <c r="J844" s="17" t="str">
        <f aca="false">IF(AND(ISNUMBER(F844),ISNUMBER(G844),ISNUMBER(H844),F844&gt;G844,H844&gt;0),(F844-H844)/H844,"")</f>
        <v/>
      </c>
      <c r="K844" s="20" t="str">
        <f aca="false">IF(AND(ISNUMBER(F844),ISNUMBER(G844),ISNUMBER(H844),F844&gt;G844,H844&gt;0),H844/(F844-G844)*1000,"")</f>
        <v/>
      </c>
      <c r="L844" s="11" t="str">
        <f aca="false">IF(K844="","",IF(K844&gt;=CONFIG!$E$21,CONFIG!$D$21,IF(K844&gt;=CONFIG!$E$20,CONFIG!$D$20,CONFIG!$D$19)))</f>
        <v/>
      </c>
      <c r="M844" s="20" t="str">
        <f aca="false">IF(K844="","",IF(K844&gt;=CONFIG!$E$21,CONFIG!$F$21,IF(K844&gt;=CONFIG!$E$20,CONFIG!$F$20,CONFIG!$F$19)))</f>
        <v/>
      </c>
      <c r="N844" s="19" t="str">
        <f aca="false">IF(I844="","",IF(I844&lt;=M844,"OK","ALTA"))</f>
        <v/>
      </c>
      <c r="O844" s="13"/>
    </row>
    <row r="845" customFormat="false" ht="15" hidden="false" customHeight="false" outlineLevel="0" collapsed="false">
      <c r="A845" s="11" t="str">
        <f aca="false">IF(C845="","",ROW()-4)</f>
        <v/>
      </c>
      <c r="B845" s="12"/>
      <c r="C845" s="13"/>
      <c r="D845" s="11" t="str">
        <f aca="false">IF(C845="","",IFERROR(INDEX(LOTES!$D$5:$D$1004,MATCH(C845,LOTES!$F$5:$F$1004,0)),"¿Lote?"))</f>
        <v/>
      </c>
      <c r="E845" s="11" t="str">
        <f aca="false">IF(C845="","",IFERROR(INDEX(LOTES!$C$5:$C$1004,MATCH(C845,LOTES!$F$5:$F$1004,0)),""))</f>
        <v/>
      </c>
      <c r="F845" s="27"/>
      <c r="G845" s="27"/>
      <c r="H845" s="27"/>
      <c r="I845" s="20" t="str">
        <f aca="false">IF(AND(ISNUMBER(F845),ISNUMBER(G845),ISNUMBER(H845),F845&gt;G845,H845&gt;0),(F845-H845)/(F845-G845)*1000,"")</f>
        <v/>
      </c>
      <c r="J845" s="17" t="str">
        <f aca="false">IF(AND(ISNUMBER(F845),ISNUMBER(G845),ISNUMBER(H845),F845&gt;G845,H845&gt;0),(F845-H845)/H845,"")</f>
        <v/>
      </c>
      <c r="K845" s="20" t="str">
        <f aca="false">IF(AND(ISNUMBER(F845),ISNUMBER(G845),ISNUMBER(H845),F845&gt;G845,H845&gt;0),H845/(F845-G845)*1000,"")</f>
        <v/>
      </c>
      <c r="L845" s="11" t="str">
        <f aca="false">IF(K845="","",IF(K845&gt;=CONFIG!$E$21,CONFIG!$D$21,IF(K845&gt;=CONFIG!$E$20,CONFIG!$D$20,CONFIG!$D$19)))</f>
        <v/>
      </c>
      <c r="M845" s="20" t="str">
        <f aca="false">IF(K845="","",IF(K845&gt;=CONFIG!$E$21,CONFIG!$F$21,IF(K845&gt;=CONFIG!$E$20,CONFIG!$F$20,CONFIG!$F$19)))</f>
        <v/>
      </c>
      <c r="N845" s="19" t="str">
        <f aca="false">IF(I845="","",IF(I845&lt;=M845,"OK","ALTA"))</f>
        <v/>
      </c>
      <c r="O845" s="13"/>
    </row>
    <row r="846" customFormat="false" ht="15" hidden="false" customHeight="false" outlineLevel="0" collapsed="false">
      <c r="A846" s="11" t="str">
        <f aca="false">IF(C846="","",ROW()-4)</f>
        <v/>
      </c>
      <c r="B846" s="12"/>
      <c r="C846" s="13"/>
      <c r="D846" s="11" t="str">
        <f aca="false">IF(C846="","",IFERROR(INDEX(LOTES!$D$5:$D$1004,MATCH(C846,LOTES!$F$5:$F$1004,0)),"¿Lote?"))</f>
        <v/>
      </c>
      <c r="E846" s="11" t="str">
        <f aca="false">IF(C846="","",IFERROR(INDEX(LOTES!$C$5:$C$1004,MATCH(C846,LOTES!$F$5:$F$1004,0)),""))</f>
        <v/>
      </c>
      <c r="F846" s="27"/>
      <c r="G846" s="27"/>
      <c r="H846" s="27"/>
      <c r="I846" s="20" t="str">
        <f aca="false">IF(AND(ISNUMBER(F846),ISNUMBER(G846),ISNUMBER(H846),F846&gt;G846,H846&gt;0),(F846-H846)/(F846-G846)*1000,"")</f>
        <v/>
      </c>
      <c r="J846" s="17" t="str">
        <f aca="false">IF(AND(ISNUMBER(F846),ISNUMBER(G846),ISNUMBER(H846),F846&gt;G846,H846&gt;0),(F846-H846)/H846,"")</f>
        <v/>
      </c>
      <c r="K846" s="20" t="str">
        <f aca="false">IF(AND(ISNUMBER(F846),ISNUMBER(G846),ISNUMBER(H846),F846&gt;G846,H846&gt;0),H846/(F846-G846)*1000,"")</f>
        <v/>
      </c>
      <c r="L846" s="11" t="str">
        <f aca="false">IF(K846="","",IF(K846&gt;=CONFIG!$E$21,CONFIG!$D$21,IF(K846&gt;=CONFIG!$E$20,CONFIG!$D$20,CONFIG!$D$19)))</f>
        <v/>
      </c>
      <c r="M846" s="20" t="str">
        <f aca="false">IF(K846="","",IF(K846&gt;=CONFIG!$E$21,CONFIG!$F$21,IF(K846&gt;=CONFIG!$E$20,CONFIG!$F$20,CONFIG!$F$19)))</f>
        <v/>
      </c>
      <c r="N846" s="19" t="str">
        <f aca="false">IF(I846="","",IF(I846&lt;=M846,"OK","ALTA"))</f>
        <v/>
      </c>
      <c r="O846" s="13"/>
    </row>
    <row r="847" customFormat="false" ht="15" hidden="false" customHeight="false" outlineLevel="0" collapsed="false">
      <c r="A847" s="11" t="str">
        <f aca="false">IF(C847="","",ROW()-4)</f>
        <v/>
      </c>
      <c r="B847" s="12"/>
      <c r="C847" s="13"/>
      <c r="D847" s="11" t="str">
        <f aca="false">IF(C847="","",IFERROR(INDEX(LOTES!$D$5:$D$1004,MATCH(C847,LOTES!$F$5:$F$1004,0)),"¿Lote?"))</f>
        <v/>
      </c>
      <c r="E847" s="11" t="str">
        <f aca="false">IF(C847="","",IFERROR(INDEX(LOTES!$C$5:$C$1004,MATCH(C847,LOTES!$F$5:$F$1004,0)),""))</f>
        <v/>
      </c>
      <c r="F847" s="27"/>
      <c r="G847" s="27"/>
      <c r="H847" s="27"/>
      <c r="I847" s="20" t="str">
        <f aca="false">IF(AND(ISNUMBER(F847),ISNUMBER(G847),ISNUMBER(H847),F847&gt;G847,H847&gt;0),(F847-H847)/(F847-G847)*1000,"")</f>
        <v/>
      </c>
      <c r="J847" s="17" t="str">
        <f aca="false">IF(AND(ISNUMBER(F847),ISNUMBER(G847),ISNUMBER(H847),F847&gt;G847,H847&gt;0),(F847-H847)/H847,"")</f>
        <v/>
      </c>
      <c r="K847" s="20" t="str">
        <f aca="false">IF(AND(ISNUMBER(F847),ISNUMBER(G847),ISNUMBER(H847),F847&gt;G847,H847&gt;0),H847/(F847-G847)*1000,"")</f>
        <v/>
      </c>
      <c r="L847" s="11" t="str">
        <f aca="false">IF(K847="","",IF(K847&gt;=CONFIG!$E$21,CONFIG!$D$21,IF(K847&gt;=CONFIG!$E$20,CONFIG!$D$20,CONFIG!$D$19)))</f>
        <v/>
      </c>
      <c r="M847" s="20" t="str">
        <f aca="false">IF(K847="","",IF(K847&gt;=CONFIG!$E$21,CONFIG!$F$21,IF(K847&gt;=CONFIG!$E$20,CONFIG!$F$20,CONFIG!$F$19)))</f>
        <v/>
      </c>
      <c r="N847" s="19" t="str">
        <f aca="false">IF(I847="","",IF(I847&lt;=M847,"OK","ALTA"))</f>
        <v/>
      </c>
      <c r="O847" s="13"/>
    </row>
    <row r="848" customFormat="false" ht="15" hidden="false" customHeight="false" outlineLevel="0" collapsed="false">
      <c r="A848" s="11" t="str">
        <f aca="false">IF(C848="","",ROW()-4)</f>
        <v/>
      </c>
      <c r="B848" s="12"/>
      <c r="C848" s="13"/>
      <c r="D848" s="11" t="str">
        <f aca="false">IF(C848="","",IFERROR(INDEX(LOTES!$D$5:$D$1004,MATCH(C848,LOTES!$F$5:$F$1004,0)),"¿Lote?"))</f>
        <v/>
      </c>
      <c r="E848" s="11" t="str">
        <f aca="false">IF(C848="","",IFERROR(INDEX(LOTES!$C$5:$C$1004,MATCH(C848,LOTES!$F$5:$F$1004,0)),""))</f>
        <v/>
      </c>
      <c r="F848" s="27"/>
      <c r="G848" s="27"/>
      <c r="H848" s="27"/>
      <c r="I848" s="20" t="str">
        <f aca="false">IF(AND(ISNUMBER(F848),ISNUMBER(G848),ISNUMBER(H848),F848&gt;G848,H848&gt;0),(F848-H848)/(F848-G848)*1000,"")</f>
        <v/>
      </c>
      <c r="J848" s="17" t="str">
        <f aca="false">IF(AND(ISNUMBER(F848),ISNUMBER(G848),ISNUMBER(H848),F848&gt;G848,H848&gt;0),(F848-H848)/H848,"")</f>
        <v/>
      </c>
      <c r="K848" s="20" t="str">
        <f aca="false">IF(AND(ISNUMBER(F848),ISNUMBER(G848),ISNUMBER(H848),F848&gt;G848,H848&gt;0),H848/(F848-G848)*1000,"")</f>
        <v/>
      </c>
      <c r="L848" s="11" t="str">
        <f aca="false">IF(K848="","",IF(K848&gt;=CONFIG!$E$21,CONFIG!$D$21,IF(K848&gt;=CONFIG!$E$20,CONFIG!$D$20,CONFIG!$D$19)))</f>
        <v/>
      </c>
      <c r="M848" s="20" t="str">
        <f aca="false">IF(K848="","",IF(K848&gt;=CONFIG!$E$21,CONFIG!$F$21,IF(K848&gt;=CONFIG!$E$20,CONFIG!$F$20,CONFIG!$F$19)))</f>
        <v/>
      </c>
      <c r="N848" s="19" t="str">
        <f aca="false">IF(I848="","",IF(I848&lt;=M848,"OK","ALTA"))</f>
        <v/>
      </c>
      <c r="O848" s="13"/>
    </row>
    <row r="849" customFormat="false" ht="15" hidden="false" customHeight="false" outlineLevel="0" collapsed="false">
      <c r="A849" s="11" t="str">
        <f aca="false">IF(C849="","",ROW()-4)</f>
        <v/>
      </c>
      <c r="B849" s="12"/>
      <c r="C849" s="13"/>
      <c r="D849" s="11" t="str">
        <f aca="false">IF(C849="","",IFERROR(INDEX(LOTES!$D$5:$D$1004,MATCH(C849,LOTES!$F$5:$F$1004,0)),"¿Lote?"))</f>
        <v/>
      </c>
      <c r="E849" s="11" t="str">
        <f aca="false">IF(C849="","",IFERROR(INDEX(LOTES!$C$5:$C$1004,MATCH(C849,LOTES!$F$5:$F$1004,0)),""))</f>
        <v/>
      </c>
      <c r="F849" s="27"/>
      <c r="G849" s="27"/>
      <c r="H849" s="27"/>
      <c r="I849" s="20" t="str">
        <f aca="false">IF(AND(ISNUMBER(F849),ISNUMBER(G849),ISNUMBER(H849),F849&gt;G849,H849&gt;0),(F849-H849)/(F849-G849)*1000,"")</f>
        <v/>
      </c>
      <c r="J849" s="17" t="str">
        <f aca="false">IF(AND(ISNUMBER(F849),ISNUMBER(G849),ISNUMBER(H849),F849&gt;G849,H849&gt;0),(F849-H849)/H849,"")</f>
        <v/>
      </c>
      <c r="K849" s="20" t="str">
        <f aca="false">IF(AND(ISNUMBER(F849),ISNUMBER(G849),ISNUMBER(H849),F849&gt;G849,H849&gt;0),H849/(F849-G849)*1000,"")</f>
        <v/>
      </c>
      <c r="L849" s="11" t="str">
        <f aca="false">IF(K849="","",IF(K849&gt;=CONFIG!$E$21,CONFIG!$D$21,IF(K849&gt;=CONFIG!$E$20,CONFIG!$D$20,CONFIG!$D$19)))</f>
        <v/>
      </c>
      <c r="M849" s="20" t="str">
        <f aca="false">IF(K849="","",IF(K849&gt;=CONFIG!$E$21,CONFIG!$F$21,IF(K849&gt;=CONFIG!$E$20,CONFIG!$F$20,CONFIG!$F$19)))</f>
        <v/>
      </c>
      <c r="N849" s="19" t="str">
        <f aca="false">IF(I849="","",IF(I849&lt;=M849,"OK","ALTA"))</f>
        <v/>
      </c>
      <c r="O849" s="13"/>
    </row>
    <row r="850" customFormat="false" ht="15" hidden="false" customHeight="false" outlineLevel="0" collapsed="false">
      <c r="A850" s="11" t="str">
        <f aca="false">IF(C850="","",ROW()-4)</f>
        <v/>
      </c>
      <c r="B850" s="12"/>
      <c r="C850" s="13"/>
      <c r="D850" s="11" t="str">
        <f aca="false">IF(C850="","",IFERROR(INDEX(LOTES!$D$5:$D$1004,MATCH(C850,LOTES!$F$5:$F$1004,0)),"¿Lote?"))</f>
        <v/>
      </c>
      <c r="E850" s="11" t="str">
        <f aca="false">IF(C850="","",IFERROR(INDEX(LOTES!$C$5:$C$1004,MATCH(C850,LOTES!$F$5:$F$1004,0)),""))</f>
        <v/>
      </c>
      <c r="F850" s="27"/>
      <c r="G850" s="27"/>
      <c r="H850" s="27"/>
      <c r="I850" s="20" t="str">
        <f aca="false">IF(AND(ISNUMBER(F850),ISNUMBER(G850),ISNUMBER(H850),F850&gt;G850,H850&gt;0),(F850-H850)/(F850-G850)*1000,"")</f>
        <v/>
      </c>
      <c r="J850" s="17" t="str">
        <f aca="false">IF(AND(ISNUMBER(F850),ISNUMBER(G850),ISNUMBER(H850),F850&gt;G850,H850&gt;0),(F850-H850)/H850,"")</f>
        <v/>
      </c>
      <c r="K850" s="20" t="str">
        <f aca="false">IF(AND(ISNUMBER(F850),ISNUMBER(G850),ISNUMBER(H850),F850&gt;G850,H850&gt;0),H850/(F850-G850)*1000,"")</f>
        <v/>
      </c>
      <c r="L850" s="11" t="str">
        <f aca="false">IF(K850="","",IF(K850&gt;=CONFIG!$E$21,CONFIG!$D$21,IF(K850&gt;=CONFIG!$E$20,CONFIG!$D$20,CONFIG!$D$19)))</f>
        <v/>
      </c>
      <c r="M850" s="20" t="str">
        <f aca="false">IF(K850="","",IF(K850&gt;=CONFIG!$E$21,CONFIG!$F$21,IF(K850&gt;=CONFIG!$E$20,CONFIG!$F$20,CONFIG!$F$19)))</f>
        <v/>
      </c>
      <c r="N850" s="19" t="str">
        <f aca="false">IF(I850="","",IF(I850&lt;=M850,"OK","ALTA"))</f>
        <v/>
      </c>
      <c r="O850" s="13"/>
    </row>
    <row r="851" customFormat="false" ht="15" hidden="false" customHeight="false" outlineLevel="0" collapsed="false">
      <c r="A851" s="11" t="str">
        <f aca="false">IF(C851="","",ROW()-4)</f>
        <v/>
      </c>
      <c r="B851" s="12"/>
      <c r="C851" s="13"/>
      <c r="D851" s="11" t="str">
        <f aca="false">IF(C851="","",IFERROR(INDEX(LOTES!$D$5:$D$1004,MATCH(C851,LOTES!$F$5:$F$1004,0)),"¿Lote?"))</f>
        <v/>
      </c>
      <c r="E851" s="11" t="str">
        <f aca="false">IF(C851="","",IFERROR(INDEX(LOTES!$C$5:$C$1004,MATCH(C851,LOTES!$F$5:$F$1004,0)),""))</f>
        <v/>
      </c>
      <c r="F851" s="27"/>
      <c r="G851" s="27"/>
      <c r="H851" s="27"/>
      <c r="I851" s="20" t="str">
        <f aca="false">IF(AND(ISNUMBER(F851),ISNUMBER(G851),ISNUMBER(H851),F851&gt;G851,H851&gt;0),(F851-H851)/(F851-G851)*1000,"")</f>
        <v/>
      </c>
      <c r="J851" s="17" t="str">
        <f aca="false">IF(AND(ISNUMBER(F851),ISNUMBER(G851),ISNUMBER(H851),F851&gt;G851,H851&gt;0),(F851-H851)/H851,"")</f>
        <v/>
      </c>
      <c r="K851" s="20" t="str">
        <f aca="false">IF(AND(ISNUMBER(F851),ISNUMBER(G851),ISNUMBER(H851),F851&gt;G851,H851&gt;0),H851/(F851-G851)*1000,"")</f>
        <v/>
      </c>
      <c r="L851" s="11" t="str">
        <f aca="false">IF(K851="","",IF(K851&gt;=CONFIG!$E$21,CONFIG!$D$21,IF(K851&gt;=CONFIG!$E$20,CONFIG!$D$20,CONFIG!$D$19)))</f>
        <v/>
      </c>
      <c r="M851" s="20" t="str">
        <f aca="false">IF(K851="","",IF(K851&gt;=CONFIG!$E$21,CONFIG!$F$21,IF(K851&gt;=CONFIG!$E$20,CONFIG!$F$20,CONFIG!$F$19)))</f>
        <v/>
      </c>
      <c r="N851" s="19" t="str">
        <f aca="false">IF(I851="","",IF(I851&lt;=M851,"OK","ALTA"))</f>
        <v/>
      </c>
      <c r="O851" s="13"/>
    </row>
    <row r="852" customFormat="false" ht="15" hidden="false" customHeight="false" outlineLevel="0" collapsed="false">
      <c r="A852" s="11" t="str">
        <f aca="false">IF(C852="","",ROW()-4)</f>
        <v/>
      </c>
      <c r="B852" s="12"/>
      <c r="C852" s="13"/>
      <c r="D852" s="11" t="str">
        <f aca="false">IF(C852="","",IFERROR(INDEX(LOTES!$D$5:$D$1004,MATCH(C852,LOTES!$F$5:$F$1004,0)),"¿Lote?"))</f>
        <v/>
      </c>
      <c r="E852" s="11" t="str">
        <f aca="false">IF(C852="","",IFERROR(INDEX(LOTES!$C$5:$C$1004,MATCH(C852,LOTES!$F$5:$F$1004,0)),""))</f>
        <v/>
      </c>
      <c r="F852" s="27"/>
      <c r="G852" s="27"/>
      <c r="H852" s="27"/>
      <c r="I852" s="20" t="str">
        <f aca="false">IF(AND(ISNUMBER(F852),ISNUMBER(G852),ISNUMBER(H852),F852&gt;G852,H852&gt;0),(F852-H852)/(F852-G852)*1000,"")</f>
        <v/>
      </c>
      <c r="J852" s="17" t="str">
        <f aca="false">IF(AND(ISNUMBER(F852),ISNUMBER(G852),ISNUMBER(H852),F852&gt;G852,H852&gt;0),(F852-H852)/H852,"")</f>
        <v/>
      </c>
      <c r="K852" s="20" t="str">
        <f aca="false">IF(AND(ISNUMBER(F852),ISNUMBER(G852),ISNUMBER(H852),F852&gt;G852,H852&gt;0),H852/(F852-G852)*1000,"")</f>
        <v/>
      </c>
      <c r="L852" s="11" t="str">
        <f aca="false">IF(K852="","",IF(K852&gt;=CONFIG!$E$21,CONFIG!$D$21,IF(K852&gt;=CONFIG!$E$20,CONFIG!$D$20,CONFIG!$D$19)))</f>
        <v/>
      </c>
      <c r="M852" s="20" t="str">
        <f aca="false">IF(K852="","",IF(K852&gt;=CONFIG!$E$21,CONFIG!$F$21,IF(K852&gt;=CONFIG!$E$20,CONFIG!$F$20,CONFIG!$F$19)))</f>
        <v/>
      </c>
      <c r="N852" s="19" t="str">
        <f aca="false">IF(I852="","",IF(I852&lt;=M852,"OK","ALTA"))</f>
        <v/>
      </c>
      <c r="O852" s="13"/>
    </row>
    <row r="853" customFormat="false" ht="15" hidden="false" customHeight="false" outlineLevel="0" collapsed="false">
      <c r="A853" s="11" t="str">
        <f aca="false">IF(C853="","",ROW()-4)</f>
        <v/>
      </c>
      <c r="B853" s="12"/>
      <c r="C853" s="13"/>
      <c r="D853" s="11" t="str">
        <f aca="false">IF(C853="","",IFERROR(INDEX(LOTES!$D$5:$D$1004,MATCH(C853,LOTES!$F$5:$F$1004,0)),"¿Lote?"))</f>
        <v/>
      </c>
      <c r="E853" s="11" t="str">
        <f aca="false">IF(C853="","",IFERROR(INDEX(LOTES!$C$5:$C$1004,MATCH(C853,LOTES!$F$5:$F$1004,0)),""))</f>
        <v/>
      </c>
      <c r="F853" s="27"/>
      <c r="G853" s="27"/>
      <c r="H853" s="27"/>
      <c r="I853" s="20" t="str">
        <f aca="false">IF(AND(ISNUMBER(F853),ISNUMBER(G853),ISNUMBER(H853),F853&gt;G853,H853&gt;0),(F853-H853)/(F853-G853)*1000,"")</f>
        <v/>
      </c>
      <c r="J853" s="17" t="str">
        <f aca="false">IF(AND(ISNUMBER(F853),ISNUMBER(G853),ISNUMBER(H853),F853&gt;G853,H853&gt;0),(F853-H853)/H853,"")</f>
        <v/>
      </c>
      <c r="K853" s="20" t="str">
        <f aca="false">IF(AND(ISNUMBER(F853),ISNUMBER(G853),ISNUMBER(H853),F853&gt;G853,H853&gt;0),H853/(F853-G853)*1000,"")</f>
        <v/>
      </c>
      <c r="L853" s="11" t="str">
        <f aca="false">IF(K853="","",IF(K853&gt;=CONFIG!$E$21,CONFIG!$D$21,IF(K853&gt;=CONFIG!$E$20,CONFIG!$D$20,CONFIG!$D$19)))</f>
        <v/>
      </c>
      <c r="M853" s="20" t="str">
        <f aca="false">IF(K853="","",IF(K853&gt;=CONFIG!$E$21,CONFIG!$F$21,IF(K853&gt;=CONFIG!$E$20,CONFIG!$F$20,CONFIG!$F$19)))</f>
        <v/>
      </c>
      <c r="N853" s="19" t="str">
        <f aca="false">IF(I853="","",IF(I853&lt;=M853,"OK","ALTA"))</f>
        <v/>
      </c>
      <c r="O853" s="13"/>
    </row>
    <row r="854" customFormat="false" ht="15" hidden="false" customHeight="false" outlineLevel="0" collapsed="false">
      <c r="A854" s="11" t="str">
        <f aca="false">IF(C854="","",ROW()-4)</f>
        <v/>
      </c>
      <c r="B854" s="12"/>
      <c r="C854" s="13"/>
      <c r="D854" s="11" t="str">
        <f aca="false">IF(C854="","",IFERROR(INDEX(LOTES!$D$5:$D$1004,MATCH(C854,LOTES!$F$5:$F$1004,0)),"¿Lote?"))</f>
        <v/>
      </c>
      <c r="E854" s="11" t="str">
        <f aca="false">IF(C854="","",IFERROR(INDEX(LOTES!$C$5:$C$1004,MATCH(C854,LOTES!$F$5:$F$1004,0)),""))</f>
        <v/>
      </c>
      <c r="F854" s="27"/>
      <c r="G854" s="27"/>
      <c r="H854" s="27"/>
      <c r="I854" s="20" t="str">
        <f aca="false">IF(AND(ISNUMBER(F854),ISNUMBER(G854),ISNUMBER(H854),F854&gt;G854,H854&gt;0),(F854-H854)/(F854-G854)*1000,"")</f>
        <v/>
      </c>
      <c r="J854" s="17" t="str">
        <f aca="false">IF(AND(ISNUMBER(F854),ISNUMBER(G854),ISNUMBER(H854),F854&gt;G854,H854&gt;0),(F854-H854)/H854,"")</f>
        <v/>
      </c>
      <c r="K854" s="20" t="str">
        <f aca="false">IF(AND(ISNUMBER(F854),ISNUMBER(G854),ISNUMBER(H854),F854&gt;G854,H854&gt;0),H854/(F854-G854)*1000,"")</f>
        <v/>
      </c>
      <c r="L854" s="11" t="str">
        <f aca="false">IF(K854="","",IF(K854&gt;=CONFIG!$E$21,CONFIG!$D$21,IF(K854&gt;=CONFIG!$E$20,CONFIG!$D$20,CONFIG!$D$19)))</f>
        <v/>
      </c>
      <c r="M854" s="20" t="str">
        <f aca="false">IF(K854="","",IF(K854&gt;=CONFIG!$E$21,CONFIG!$F$21,IF(K854&gt;=CONFIG!$E$20,CONFIG!$F$20,CONFIG!$F$19)))</f>
        <v/>
      </c>
      <c r="N854" s="19" t="str">
        <f aca="false">IF(I854="","",IF(I854&lt;=M854,"OK","ALTA"))</f>
        <v/>
      </c>
      <c r="O854" s="13"/>
    </row>
    <row r="855" customFormat="false" ht="15" hidden="false" customHeight="false" outlineLevel="0" collapsed="false">
      <c r="A855" s="11" t="str">
        <f aca="false">IF(C855="","",ROW()-4)</f>
        <v/>
      </c>
      <c r="B855" s="12"/>
      <c r="C855" s="13"/>
      <c r="D855" s="11" t="str">
        <f aca="false">IF(C855="","",IFERROR(INDEX(LOTES!$D$5:$D$1004,MATCH(C855,LOTES!$F$5:$F$1004,0)),"¿Lote?"))</f>
        <v/>
      </c>
      <c r="E855" s="11" t="str">
        <f aca="false">IF(C855="","",IFERROR(INDEX(LOTES!$C$5:$C$1004,MATCH(C855,LOTES!$F$5:$F$1004,0)),""))</f>
        <v/>
      </c>
      <c r="F855" s="27"/>
      <c r="G855" s="27"/>
      <c r="H855" s="27"/>
      <c r="I855" s="20" t="str">
        <f aca="false">IF(AND(ISNUMBER(F855),ISNUMBER(G855),ISNUMBER(H855),F855&gt;G855,H855&gt;0),(F855-H855)/(F855-G855)*1000,"")</f>
        <v/>
      </c>
      <c r="J855" s="17" t="str">
        <f aca="false">IF(AND(ISNUMBER(F855),ISNUMBER(G855),ISNUMBER(H855),F855&gt;G855,H855&gt;0),(F855-H855)/H855,"")</f>
        <v/>
      </c>
      <c r="K855" s="20" t="str">
        <f aca="false">IF(AND(ISNUMBER(F855),ISNUMBER(G855),ISNUMBER(H855),F855&gt;G855,H855&gt;0),H855/(F855-G855)*1000,"")</f>
        <v/>
      </c>
      <c r="L855" s="11" t="str">
        <f aca="false">IF(K855="","",IF(K855&gt;=CONFIG!$E$21,CONFIG!$D$21,IF(K855&gt;=CONFIG!$E$20,CONFIG!$D$20,CONFIG!$D$19)))</f>
        <v/>
      </c>
      <c r="M855" s="20" t="str">
        <f aca="false">IF(K855="","",IF(K855&gt;=CONFIG!$E$21,CONFIG!$F$21,IF(K855&gt;=CONFIG!$E$20,CONFIG!$F$20,CONFIG!$F$19)))</f>
        <v/>
      </c>
      <c r="N855" s="19" t="str">
        <f aca="false">IF(I855="","",IF(I855&lt;=M855,"OK","ALTA"))</f>
        <v/>
      </c>
      <c r="O855" s="13"/>
    </row>
    <row r="856" customFormat="false" ht="15" hidden="false" customHeight="false" outlineLevel="0" collapsed="false">
      <c r="A856" s="11" t="str">
        <f aca="false">IF(C856="","",ROW()-4)</f>
        <v/>
      </c>
      <c r="B856" s="12"/>
      <c r="C856" s="13"/>
      <c r="D856" s="11" t="str">
        <f aca="false">IF(C856="","",IFERROR(INDEX(LOTES!$D$5:$D$1004,MATCH(C856,LOTES!$F$5:$F$1004,0)),"¿Lote?"))</f>
        <v/>
      </c>
      <c r="E856" s="11" t="str">
        <f aca="false">IF(C856="","",IFERROR(INDEX(LOTES!$C$5:$C$1004,MATCH(C856,LOTES!$F$5:$F$1004,0)),""))</f>
        <v/>
      </c>
      <c r="F856" s="27"/>
      <c r="G856" s="27"/>
      <c r="H856" s="27"/>
      <c r="I856" s="20" t="str">
        <f aca="false">IF(AND(ISNUMBER(F856),ISNUMBER(G856),ISNUMBER(H856),F856&gt;G856,H856&gt;0),(F856-H856)/(F856-G856)*1000,"")</f>
        <v/>
      </c>
      <c r="J856" s="17" t="str">
        <f aca="false">IF(AND(ISNUMBER(F856),ISNUMBER(G856),ISNUMBER(H856),F856&gt;G856,H856&gt;0),(F856-H856)/H856,"")</f>
        <v/>
      </c>
      <c r="K856" s="20" t="str">
        <f aca="false">IF(AND(ISNUMBER(F856),ISNUMBER(G856),ISNUMBER(H856),F856&gt;G856,H856&gt;0),H856/(F856-G856)*1000,"")</f>
        <v/>
      </c>
      <c r="L856" s="11" t="str">
        <f aca="false">IF(K856="","",IF(K856&gt;=CONFIG!$E$21,CONFIG!$D$21,IF(K856&gt;=CONFIG!$E$20,CONFIG!$D$20,CONFIG!$D$19)))</f>
        <v/>
      </c>
      <c r="M856" s="20" t="str">
        <f aca="false">IF(K856="","",IF(K856&gt;=CONFIG!$E$21,CONFIG!$F$21,IF(K856&gt;=CONFIG!$E$20,CONFIG!$F$20,CONFIG!$F$19)))</f>
        <v/>
      </c>
      <c r="N856" s="19" t="str">
        <f aca="false">IF(I856="","",IF(I856&lt;=M856,"OK","ALTA"))</f>
        <v/>
      </c>
      <c r="O856" s="13"/>
    </row>
    <row r="857" customFormat="false" ht="15" hidden="false" customHeight="false" outlineLevel="0" collapsed="false">
      <c r="A857" s="11" t="str">
        <f aca="false">IF(C857="","",ROW()-4)</f>
        <v/>
      </c>
      <c r="B857" s="12"/>
      <c r="C857" s="13"/>
      <c r="D857" s="11" t="str">
        <f aca="false">IF(C857="","",IFERROR(INDEX(LOTES!$D$5:$D$1004,MATCH(C857,LOTES!$F$5:$F$1004,0)),"¿Lote?"))</f>
        <v/>
      </c>
      <c r="E857" s="11" t="str">
        <f aca="false">IF(C857="","",IFERROR(INDEX(LOTES!$C$5:$C$1004,MATCH(C857,LOTES!$F$5:$F$1004,0)),""))</f>
        <v/>
      </c>
      <c r="F857" s="27"/>
      <c r="G857" s="27"/>
      <c r="H857" s="27"/>
      <c r="I857" s="20" t="str">
        <f aca="false">IF(AND(ISNUMBER(F857),ISNUMBER(G857),ISNUMBER(H857),F857&gt;G857,H857&gt;0),(F857-H857)/(F857-G857)*1000,"")</f>
        <v/>
      </c>
      <c r="J857" s="17" t="str">
        <f aca="false">IF(AND(ISNUMBER(F857),ISNUMBER(G857),ISNUMBER(H857),F857&gt;G857,H857&gt;0),(F857-H857)/H857,"")</f>
        <v/>
      </c>
      <c r="K857" s="20" t="str">
        <f aca="false">IF(AND(ISNUMBER(F857),ISNUMBER(G857),ISNUMBER(H857),F857&gt;G857,H857&gt;0),H857/(F857-G857)*1000,"")</f>
        <v/>
      </c>
      <c r="L857" s="11" t="str">
        <f aca="false">IF(K857="","",IF(K857&gt;=CONFIG!$E$21,CONFIG!$D$21,IF(K857&gt;=CONFIG!$E$20,CONFIG!$D$20,CONFIG!$D$19)))</f>
        <v/>
      </c>
      <c r="M857" s="20" t="str">
        <f aca="false">IF(K857="","",IF(K857&gt;=CONFIG!$E$21,CONFIG!$F$21,IF(K857&gt;=CONFIG!$E$20,CONFIG!$F$20,CONFIG!$F$19)))</f>
        <v/>
      </c>
      <c r="N857" s="19" t="str">
        <f aca="false">IF(I857="","",IF(I857&lt;=M857,"OK","ALTA"))</f>
        <v/>
      </c>
      <c r="O857" s="13"/>
    </row>
    <row r="858" customFormat="false" ht="15" hidden="false" customHeight="false" outlineLevel="0" collapsed="false">
      <c r="A858" s="11" t="str">
        <f aca="false">IF(C858="","",ROW()-4)</f>
        <v/>
      </c>
      <c r="B858" s="12"/>
      <c r="C858" s="13"/>
      <c r="D858" s="11" t="str">
        <f aca="false">IF(C858="","",IFERROR(INDEX(LOTES!$D$5:$D$1004,MATCH(C858,LOTES!$F$5:$F$1004,0)),"¿Lote?"))</f>
        <v/>
      </c>
      <c r="E858" s="11" t="str">
        <f aca="false">IF(C858="","",IFERROR(INDEX(LOTES!$C$5:$C$1004,MATCH(C858,LOTES!$F$5:$F$1004,0)),""))</f>
        <v/>
      </c>
      <c r="F858" s="27"/>
      <c r="G858" s="27"/>
      <c r="H858" s="27"/>
      <c r="I858" s="20" t="str">
        <f aca="false">IF(AND(ISNUMBER(F858),ISNUMBER(G858),ISNUMBER(H858),F858&gt;G858,H858&gt;0),(F858-H858)/(F858-G858)*1000,"")</f>
        <v/>
      </c>
      <c r="J858" s="17" t="str">
        <f aca="false">IF(AND(ISNUMBER(F858),ISNUMBER(G858),ISNUMBER(H858),F858&gt;G858,H858&gt;0),(F858-H858)/H858,"")</f>
        <v/>
      </c>
      <c r="K858" s="20" t="str">
        <f aca="false">IF(AND(ISNUMBER(F858),ISNUMBER(G858),ISNUMBER(H858),F858&gt;G858,H858&gt;0),H858/(F858-G858)*1000,"")</f>
        <v/>
      </c>
      <c r="L858" s="11" t="str">
        <f aca="false">IF(K858="","",IF(K858&gt;=CONFIG!$E$21,CONFIG!$D$21,IF(K858&gt;=CONFIG!$E$20,CONFIG!$D$20,CONFIG!$D$19)))</f>
        <v/>
      </c>
      <c r="M858" s="20" t="str">
        <f aca="false">IF(K858="","",IF(K858&gt;=CONFIG!$E$21,CONFIG!$F$21,IF(K858&gt;=CONFIG!$E$20,CONFIG!$F$20,CONFIG!$F$19)))</f>
        <v/>
      </c>
      <c r="N858" s="19" t="str">
        <f aca="false">IF(I858="","",IF(I858&lt;=M858,"OK","ALTA"))</f>
        <v/>
      </c>
      <c r="O858" s="13"/>
    </row>
    <row r="859" customFormat="false" ht="15" hidden="false" customHeight="false" outlineLevel="0" collapsed="false">
      <c r="A859" s="11" t="str">
        <f aca="false">IF(C859="","",ROW()-4)</f>
        <v/>
      </c>
      <c r="B859" s="12"/>
      <c r="C859" s="13"/>
      <c r="D859" s="11" t="str">
        <f aca="false">IF(C859="","",IFERROR(INDEX(LOTES!$D$5:$D$1004,MATCH(C859,LOTES!$F$5:$F$1004,0)),"¿Lote?"))</f>
        <v/>
      </c>
      <c r="E859" s="11" t="str">
        <f aca="false">IF(C859="","",IFERROR(INDEX(LOTES!$C$5:$C$1004,MATCH(C859,LOTES!$F$5:$F$1004,0)),""))</f>
        <v/>
      </c>
      <c r="F859" s="27"/>
      <c r="G859" s="27"/>
      <c r="H859" s="27"/>
      <c r="I859" s="20" t="str">
        <f aca="false">IF(AND(ISNUMBER(F859),ISNUMBER(G859),ISNUMBER(H859),F859&gt;G859,H859&gt;0),(F859-H859)/(F859-G859)*1000,"")</f>
        <v/>
      </c>
      <c r="J859" s="17" t="str">
        <f aca="false">IF(AND(ISNUMBER(F859),ISNUMBER(G859),ISNUMBER(H859),F859&gt;G859,H859&gt;0),(F859-H859)/H859,"")</f>
        <v/>
      </c>
      <c r="K859" s="20" t="str">
        <f aca="false">IF(AND(ISNUMBER(F859),ISNUMBER(G859),ISNUMBER(H859),F859&gt;G859,H859&gt;0),H859/(F859-G859)*1000,"")</f>
        <v/>
      </c>
      <c r="L859" s="11" t="str">
        <f aca="false">IF(K859="","",IF(K859&gt;=CONFIG!$E$21,CONFIG!$D$21,IF(K859&gt;=CONFIG!$E$20,CONFIG!$D$20,CONFIG!$D$19)))</f>
        <v/>
      </c>
      <c r="M859" s="20" t="str">
        <f aca="false">IF(K859="","",IF(K859&gt;=CONFIG!$E$21,CONFIG!$F$21,IF(K859&gt;=CONFIG!$E$20,CONFIG!$F$20,CONFIG!$F$19)))</f>
        <v/>
      </c>
      <c r="N859" s="19" t="str">
        <f aca="false">IF(I859="","",IF(I859&lt;=M859,"OK","ALTA"))</f>
        <v/>
      </c>
      <c r="O859" s="13"/>
    </row>
    <row r="860" customFormat="false" ht="15" hidden="false" customHeight="false" outlineLevel="0" collapsed="false">
      <c r="A860" s="11" t="str">
        <f aca="false">IF(C860="","",ROW()-4)</f>
        <v/>
      </c>
      <c r="B860" s="12"/>
      <c r="C860" s="13"/>
      <c r="D860" s="11" t="str">
        <f aca="false">IF(C860="","",IFERROR(INDEX(LOTES!$D$5:$D$1004,MATCH(C860,LOTES!$F$5:$F$1004,0)),"¿Lote?"))</f>
        <v/>
      </c>
      <c r="E860" s="11" t="str">
        <f aca="false">IF(C860="","",IFERROR(INDEX(LOTES!$C$5:$C$1004,MATCH(C860,LOTES!$F$5:$F$1004,0)),""))</f>
        <v/>
      </c>
      <c r="F860" s="27"/>
      <c r="G860" s="27"/>
      <c r="H860" s="27"/>
      <c r="I860" s="20" t="str">
        <f aca="false">IF(AND(ISNUMBER(F860),ISNUMBER(G860),ISNUMBER(H860),F860&gt;G860,H860&gt;0),(F860-H860)/(F860-G860)*1000,"")</f>
        <v/>
      </c>
      <c r="J860" s="17" t="str">
        <f aca="false">IF(AND(ISNUMBER(F860),ISNUMBER(G860),ISNUMBER(H860),F860&gt;G860,H860&gt;0),(F860-H860)/H860,"")</f>
        <v/>
      </c>
      <c r="K860" s="20" t="str">
        <f aca="false">IF(AND(ISNUMBER(F860),ISNUMBER(G860),ISNUMBER(H860),F860&gt;G860,H860&gt;0),H860/(F860-G860)*1000,"")</f>
        <v/>
      </c>
      <c r="L860" s="11" t="str">
        <f aca="false">IF(K860="","",IF(K860&gt;=CONFIG!$E$21,CONFIG!$D$21,IF(K860&gt;=CONFIG!$E$20,CONFIG!$D$20,CONFIG!$D$19)))</f>
        <v/>
      </c>
      <c r="M860" s="20" t="str">
        <f aca="false">IF(K860="","",IF(K860&gt;=CONFIG!$E$21,CONFIG!$F$21,IF(K860&gt;=CONFIG!$E$20,CONFIG!$F$20,CONFIG!$F$19)))</f>
        <v/>
      </c>
      <c r="N860" s="19" t="str">
        <f aca="false">IF(I860="","",IF(I860&lt;=M860,"OK","ALTA"))</f>
        <v/>
      </c>
      <c r="O860" s="13"/>
    </row>
    <row r="861" customFormat="false" ht="15" hidden="false" customHeight="false" outlineLevel="0" collapsed="false">
      <c r="A861" s="11" t="str">
        <f aca="false">IF(C861="","",ROW()-4)</f>
        <v/>
      </c>
      <c r="B861" s="12"/>
      <c r="C861" s="13"/>
      <c r="D861" s="11" t="str">
        <f aca="false">IF(C861="","",IFERROR(INDEX(LOTES!$D$5:$D$1004,MATCH(C861,LOTES!$F$5:$F$1004,0)),"¿Lote?"))</f>
        <v/>
      </c>
      <c r="E861" s="11" t="str">
        <f aca="false">IF(C861="","",IFERROR(INDEX(LOTES!$C$5:$C$1004,MATCH(C861,LOTES!$F$5:$F$1004,0)),""))</f>
        <v/>
      </c>
      <c r="F861" s="27"/>
      <c r="G861" s="27"/>
      <c r="H861" s="27"/>
      <c r="I861" s="20" t="str">
        <f aca="false">IF(AND(ISNUMBER(F861),ISNUMBER(G861),ISNUMBER(H861),F861&gt;G861,H861&gt;0),(F861-H861)/(F861-G861)*1000,"")</f>
        <v/>
      </c>
      <c r="J861" s="17" t="str">
        <f aca="false">IF(AND(ISNUMBER(F861),ISNUMBER(G861),ISNUMBER(H861),F861&gt;G861,H861&gt;0),(F861-H861)/H861,"")</f>
        <v/>
      </c>
      <c r="K861" s="20" t="str">
        <f aca="false">IF(AND(ISNUMBER(F861),ISNUMBER(G861),ISNUMBER(H861),F861&gt;G861,H861&gt;0),H861/(F861-G861)*1000,"")</f>
        <v/>
      </c>
      <c r="L861" s="11" t="str">
        <f aca="false">IF(K861="","",IF(K861&gt;=CONFIG!$E$21,CONFIG!$D$21,IF(K861&gt;=CONFIG!$E$20,CONFIG!$D$20,CONFIG!$D$19)))</f>
        <v/>
      </c>
      <c r="M861" s="20" t="str">
        <f aca="false">IF(K861="","",IF(K861&gt;=CONFIG!$E$21,CONFIG!$F$21,IF(K861&gt;=CONFIG!$E$20,CONFIG!$F$20,CONFIG!$F$19)))</f>
        <v/>
      </c>
      <c r="N861" s="19" t="str">
        <f aca="false">IF(I861="","",IF(I861&lt;=M861,"OK","ALTA"))</f>
        <v/>
      </c>
      <c r="O861" s="13"/>
    </row>
    <row r="862" customFormat="false" ht="15" hidden="false" customHeight="false" outlineLevel="0" collapsed="false">
      <c r="A862" s="11" t="str">
        <f aca="false">IF(C862="","",ROW()-4)</f>
        <v/>
      </c>
      <c r="B862" s="12"/>
      <c r="C862" s="13"/>
      <c r="D862" s="11" t="str">
        <f aca="false">IF(C862="","",IFERROR(INDEX(LOTES!$D$5:$D$1004,MATCH(C862,LOTES!$F$5:$F$1004,0)),"¿Lote?"))</f>
        <v/>
      </c>
      <c r="E862" s="11" t="str">
        <f aca="false">IF(C862="","",IFERROR(INDEX(LOTES!$C$5:$C$1004,MATCH(C862,LOTES!$F$5:$F$1004,0)),""))</f>
        <v/>
      </c>
      <c r="F862" s="27"/>
      <c r="G862" s="27"/>
      <c r="H862" s="27"/>
      <c r="I862" s="20" t="str">
        <f aca="false">IF(AND(ISNUMBER(F862),ISNUMBER(G862),ISNUMBER(H862),F862&gt;G862,H862&gt;0),(F862-H862)/(F862-G862)*1000,"")</f>
        <v/>
      </c>
      <c r="J862" s="17" t="str">
        <f aca="false">IF(AND(ISNUMBER(F862),ISNUMBER(G862),ISNUMBER(H862),F862&gt;G862,H862&gt;0),(F862-H862)/H862,"")</f>
        <v/>
      </c>
      <c r="K862" s="20" t="str">
        <f aca="false">IF(AND(ISNUMBER(F862),ISNUMBER(G862),ISNUMBER(H862),F862&gt;G862,H862&gt;0),H862/(F862-G862)*1000,"")</f>
        <v/>
      </c>
      <c r="L862" s="11" t="str">
        <f aca="false">IF(K862="","",IF(K862&gt;=CONFIG!$E$21,CONFIG!$D$21,IF(K862&gt;=CONFIG!$E$20,CONFIG!$D$20,CONFIG!$D$19)))</f>
        <v/>
      </c>
      <c r="M862" s="20" t="str">
        <f aca="false">IF(K862="","",IF(K862&gt;=CONFIG!$E$21,CONFIG!$F$21,IF(K862&gt;=CONFIG!$E$20,CONFIG!$F$20,CONFIG!$F$19)))</f>
        <v/>
      </c>
      <c r="N862" s="19" t="str">
        <f aca="false">IF(I862="","",IF(I862&lt;=M862,"OK","ALTA"))</f>
        <v/>
      </c>
      <c r="O862" s="13"/>
    </row>
    <row r="863" customFormat="false" ht="15" hidden="false" customHeight="false" outlineLevel="0" collapsed="false">
      <c r="A863" s="11" t="str">
        <f aca="false">IF(C863="","",ROW()-4)</f>
        <v/>
      </c>
      <c r="B863" s="12"/>
      <c r="C863" s="13"/>
      <c r="D863" s="11" t="str">
        <f aca="false">IF(C863="","",IFERROR(INDEX(LOTES!$D$5:$D$1004,MATCH(C863,LOTES!$F$5:$F$1004,0)),"¿Lote?"))</f>
        <v/>
      </c>
      <c r="E863" s="11" t="str">
        <f aca="false">IF(C863="","",IFERROR(INDEX(LOTES!$C$5:$C$1004,MATCH(C863,LOTES!$F$5:$F$1004,0)),""))</f>
        <v/>
      </c>
      <c r="F863" s="27"/>
      <c r="G863" s="27"/>
      <c r="H863" s="27"/>
      <c r="I863" s="20" t="str">
        <f aca="false">IF(AND(ISNUMBER(F863),ISNUMBER(G863),ISNUMBER(H863),F863&gt;G863,H863&gt;0),(F863-H863)/(F863-G863)*1000,"")</f>
        <v/>
      </c>
      <c r="J863" s="17" t="str">
        <f aca="false">IF(AND(ISNUMBER(F863),ISNUMBER(G863),ISNUMBER(H863),F863&gt;G863,H863&gt;0),(F863-H863)/H863,"")</f>
        <v/>
      </c>
      <c r="K863" s="20" t="str">
        <f aca="false">IF(AND(ISNUMBER(F863),ISNUMBER(G863),ISNUMBER(H863),F863&gt;G863,H863&gt;0),H863/(F863-G863)*1000,"")</f>
        <v/>
      </c>
      <c r="L863" s="11" t="str">
        <f aca="false">IF(K863="","",IF(K863&gt;=CONFIG!$E$21,CONFIG!$D$21,IF(K863&gt;=CONFIG!$E$20,CONFIG!$D$20,CONFIG!$D$19)))</f>
        <v/>
      </c>
      <c r="M863" s="20" t="str">
        <f aca="false">IF(K863="","",IF(K863&gt;=CONFIG!$E$21,CONFIG!$F$21,IF(K863&gt;=CONFIG!$E$20,CONFIG!$F$20,CONFIG!$F$19)))</f>
        <v/>
      </c>
      <c r="N863" s="19" t="str">
        <f aca="false">IF(I863="","",IF(I863&lt;=M863,"OK","ALTA"))</f>
        <v/>
      </c>
      <c r="O863" s="13"/>
    </row>
    <row r="864" customFormat="false" ht="15" hidden="false" customHeight="false" outlineLevel="0" collapsed="false">
      <c r="A864" s="11" t="str">
        <f aca="false">IF(C864="","",ROW()-4)</f>
        <v/>
      </c>
      <c r="B864" s="12"/>
      <c r="C864" s="13"/>
      <c r="D864" s="11" t="str">
        <f aca="false">IF(C864="","",IFERROR(INDEX(LOTES!$D$5:$D$1004,MATCH(C864,LOTES!$F$5:$F$1004,0)),"¿Lote?"))</f>
        <v/>
      </c>
      <c r="E864" s="11" t="str">
        <f aca="false">IF(C864="","",IFERROR(INDEX(LOTES!$C$5:$C$1004,MATCH(C864,LOTES!$F$5:$F$1004,0)),""))</f>
        <v/>
      </c>
      <c r="F864" s="27"/>
      <c r="G864" s="27"/>
      <c r="H864" s="27"/>
      <c r="I864" s="20" t="str">
        <f aca="false">IF(AND(ISNUMBER(F864),ISNUMBER(G864),ISNUMBER(H864),F864&gt;G864,H864&gt;0),(F864-H864)/(F864-G864)*1000,"")</f>
        <v/>
      </c>
      <c r="J864" s="17" t="str">
        <f aca="false">IF(AND(ISNUMBER(F864),ISNUMBER(G864),ISNUMBER(H864),F864&gt;G864,H864&gt;0),(F864-H864)/H864,"")</f>
        <v/>
      </c>
      <c r="K864" s="20" t="str">
        <f aca="false">IF(AND(ISNUMBER(F864),ISNUMBER(G864),ISNUMBER(H864),F864&gt;G864,H864&gt;0),H864/(F864-G864)*1000,"")</f>
        <v/>
      </c>
      <c r="L864" s="11" t="str">
        <f aca="false">IF(K864="","",IF(K864&gt;=CONFIG!$E$21,CONFIG!$D$21,IF(K864&gt;=CONFIG!$E$20,CONFIG!$D$20,CONFIG!$D$19)))</f>
        <v/>
      </c>
      <c r="M864" s="20" t="str">
        <f aca="false">IF(K864="","",IF(K864&gt;=CONFIG!$E$21,CONFIG!$F$21,IF(K864&gt;=CONFIG!$E$20,CONFIG!$F$20,CONFIG!$F$19)))</f>
        <v/>
      </c>
      <c r="N864" s="19" t="str">
        <f aca="false">IF(I864="","",IF(I864&lt;=M864,"OK","ALTA"))</f>
        <v/>
      </c>
      <c r="O864" s="13"/>
    </row>
    <row r="865" customFormat="false" ht="15" hidden="false" customHeight="false" outlineLevel="0" collapsed="false">
      <c r="A865" s="11" t="str">
        <f aca="false">IF(C865="","",ROW()-4)</f>
        <v/>
      </c>
      <c r="B865" s="12"/>
      <c r="C865" s="13"/>
      <c r="D865" s="11" t="str">
        <f aca="false">IF(C865="","",IFERROR(INDEX(LOTES!$D$5:$D$1004,MATCH(C865,LOTES!$F$5:$F$1004,0)),"¿Lote?"))</f>
        <v/>
      </c>
      <c r="E865" s="11" t="str">
        <f aca="false">IF(C865="","",IFERROR(INDEX(LOTES!$C$5:$C$1004,MATCH(C865,LOTES!$F$5:$F$1004,0)),""))</f>
        <v/>
      </c>
      <c r="F865" s="27"/>
      <c r="G865" s="27"/>
      <c r="H865" s="27"/>
      <c r="I865" s="20" t="str">
        <f aca="false">IF(AND(ISNUMBER(F865),ISNUMBER(G865),ISNUMBER(H865),F865&gt;G865,H865&gt;0),(F865-H865)/(F865-G865)*1000,"")</f>
        <v/>
      </c>
      <c r="J865" s="17" t="str">
        <f aca="false">IF(AND(ISNUMBER(F865),ISNUMBER(G865),ISNUMBER(H865),F865&gt;G865,H865&gt;0),(F865-H865)/H865,"")</f>
        <v/>
      </c>
      <c r="K865" s="20" t="str">
        <f aca="false">IF(AND(ISNUMBER(F865),ISNUMBER(G865),ISNUMBER(H865),F865&gt;G865,H865&gt;0),H865/(F865-G865)*1000,"")</f>
        <v/>
      </c>
      <c r="L865" s="11" t="str">
        <f aca="false">IF(K865="","",IF(K865&gt;=CONFIG!$E$21,CONFIG!$D$21,IF(K865&gt;=CONFIG!$E$20,CONFIG!$D$20,CONFIG!$D$19)))</f>
        <v/>
      </c>
      <c r="M865" s="20" t="str">
        <f aca="false">IF(K865="","",IF(K865&gt;=CONFIG!$E$21,CONFIG!$F$21,IF(K865&gt;=CONFIG!$E$20,CONFIG!$F$20,CONFIG!$F$19)))</f>
        <v/>
      </c>
      <c r="N865" s="19" t="str">
        <f aca="false">IF(I865="","",IF(I865&lt;=M865,"OK","ALTA"))</f>
        <v/>
      </c>
      <c r="O865" s="13"/>
    </row>
    <row r="866" customFormat="false" ht="15" hidden="false" customHeight="false" outlineLevel="0" collapsed="false">
      <c r="A866" s="11" t="str">
        <f aca="false">IF(C866="","",ROW()-4)</f>
        <v/>
      </c>
      <c r="B866" s="12"/>
      <c r="C866" s="13"/>
      <c r="D866" s="11" t="str">
        <f aca="false">IF(C866="","",IFERROR(INDEX(LOTES!$D$5:$D$1004,MATCH(C866,LOTES!$F$5:$F$1004,0)),"¿Lote?"))</f>
        <v/>
      </c>
      <c r="E866" s="11" t="str">
        <f aca="false">IF(C866="","",IFERROR(INDEX(LOTES!$C$5:$C$1004,MATCH(C866,LOTES!$F$5:$F$1004,0)),""))</f>
        <v/>
      </c>
      <c r="F866" s="27"/>
      <c r="G866" s="27"/>
      <c r="H866" s="27"/>
      <c r="I866" s="20" t="str">
        <f aca="false">IF(AND(ISNUMBER(F866),ISNUMBER(G866),ISNUMBER(H866),F866&gt;G866,H866&gt;0),(F866-H866)/(F866-G866)*1000,"")</f>
        <v/>
      </c>
      <c r="J866" s="17" t="str">
        <f aca="false">IF(AND(ISNUMBER(F866),ISNUMBER(G866),ISNUMBER(H866),F866&gt;G866,H866&gt;0),(F866-H866)/H866,"")</f>
        <v/>
      </c>
      <c r="K866" s="20" t="str">
        <f aca="false">IF(AND(ISNUMBER(F866),ISNUMBER(G866),ISNUMBER(H866),F866&gt;G866,H866&gt;0),H866/(F866-G866)*1000,"")</f>
        <v/>
      </c>
      <c r="L866" s="11" t="str">
        <f aca="false">IF(K866="","",IF(K866&gt;=CONFIG!$E$21,CONFIG!$D$21,IF(K866&gt;=CONFIG!$E$20,CONFIG!$D$20,CONFIG!$D$19)))</f>
        <v/>
      </c>
      <c r="M866" s="20" t="str">
        <f aca="false">IF(K866="","",IF(K866&gt;=CONFIG!$E$21,CONFIG!$F$21,IF(K866&gt;=CONFIG!$E$20,CONFIG!$F$20,CONFIG!$F$19)))</f>
        <v/>
      </c>
      <c r="N866" s="19" t="str">
        <f aca="false">IF(I866="","",IF(I866&lt;=M866,"OK","ALTA"))</f>
        <v/>
      </c>
      <c r="O866" s="13"/>
    </row>
    <row r="867" customFormat="false" ht="15" hidden="false" customHeight="false" outlineLevel="0" collapsed="false">
      <c r="A867" s="11" t="str">
        <f aca="false">IF(C867="","",ROW()-4)</f>
        <v/>
      </c>
      <c r="B867" s="12"/>
      <c r="C867" s="13"/>
      <c r="D867" s="11" t="str">
        <f aca="false">IF(C867="","",IFERROR(INDEX(LOTES!$D$5:$D$1004,MATCH(C867,LOTES!$F$5:$F$1004,0)),"¿Lote?"))</f>
        <v/>
      </c>
      <c r="E867" s="11" t="str">
        <f aca="false">IF(C867="","",IFERROR(INDEX(LOTES!$C$5:$C$1004,MATCH(C867,LOTES!$F$5:$F$1004,0)),""))</f>
        <v/>
      </c>
      <c r="F867" s="27"/>
      <c r="G867" s="27"/>
      <c r="H867" s="27"/>
      <c r="I867" s="20" t="str">
        <f aca="false">IF(AND(ISNUMBER(F867),ISNUMBER(G867),ISNUMBER(H867),F867&gt;G867,H867&gt;0),(F867-H867)/(F867-G867)*1000,"")</f>
        <v/>
      </c>
      <c r="J867" s="17" t="str">
        <f aca="false">IF(AND(ISNUMBER(F867),ISNUMBER(G867),ISNUMBER(H867),F867&gt;G867,H867&gt;0),(F867-H867)/H867,"")</f>
        <v/>
      </c>
      <c r="K867" s="20" t="str">
        <f aca="false">IF(AND(ISNUMBER(F867),ISNUMBER(G867),ISNUMBER(H867),F867&gt;G867,H867&gt;0),H867/(F867-G867)*1000,"")</f>
        <v/>
      </c>
      <c r="L867" s="11" t="str">
        <f aca="false">IF(K867="","",IF(K867&gt;=CONFIG!$E$21,CONFIG!$D$21,IF(K867&gt;=CONFIG!$E$20,CONFIG!$D$20,CONFIG!$D$19)))</f>
        <v/>
      </c>
      <c r="M867" s="20" t="str">
        <f aca="false">IF(K867="","",IF(K867&gt;=CONFIG!$E$21,CONFIG!$F$21,IF(K867&gt;=CONFIG!$E$20,CONFIG!$F$20,CONFIG!$F$19)))</f>
        <v/>
      </c>
      <c r="N867" s="19" t="str">
        <f aca="false">IF(I867="","",IF(I867&lt;=M867,"OK","ALTA"))</f>
        <v/>
      </c>
      <c r="O867" s="13"/>
    </row>
    <row r="868" customFormat="false" ht="15" hidden="false" customHeight="false" outlineLevel="0" collapsed="false">
      <c r="A868" s="11" t="str">
        <f aca="false">IF(C868="","",ROW()-4)</f>
        <v/>
      </c>
      <c r="B868" s="12"/>
      <c r="C868" s="13"/>
      <c r="D868" s="11" t="str">
        <f aca="false">IF(C868="","",IFERROR(INDEX(LOTES!$D$5:$D$1004,MATCH(C868,LOTES!$F$5:$F$1004,0)),"¿Lote?"))</f>
        <v/>
      </c>
      <c r="E868" s="11" t="str">
        <f aca="false">IF(C868="","",IFERROR(INDEX(LOTES!$C$5:$C$1004,MATCH(C868,LOTES!$F$5:$F$1004,0)),""))</f>
        <v/>
      </c>
      <c r="F868" s="27"/>
      <c r="G868" s="27"/>
      <c r="H868" s="27"/>
      <c r="I868" s="20" t="str">
        <f aca="false">IF(AND(ISNUMBER(F868),ISNUMBER(G868),ISNUMBER(H868),F868&gt;G868,H868&gt;0),(F868-H868)/(F868-G868)*1000,"")</f>
        <v/>
      </c>
      <c r="J868" s="17" t="str">
        <f aca="false">IF(AND(ISNUMBER(F868),ISNUMBER(G868),ISNUMBER(H868),F868&gt;G868,H868&gt;0),(F868-H868)/H868,"")</f>
        <v/>
      </c>
      <c r="K868" s="20" t="str">
        <f aca="false">IF(AND(ISNUMBER(F868),ISNUMBER(G868),ISNUMBER(H868),F868&gt;G868,H868&gt;0),H868/(F868-G868)*1000,"")</f>
        <v/>
      </c>
      <c r="L868" s="11" t="str">
        <f aca="false">IF(K868="","",IF(K868&gt;=CONFIG!$E$21,CONFIG!$D$21,IF(K868&gt;=CONFIG!$E$20,CONFIG!$D$20,CONFIG!$D$19)))</f>
        <v/>
      </c>
      <c r="M868" s="20" t="str">
        <f aca="false">IF(K868="","",IF(K868&gt;=CONFIG!$E$21,CONFIG!$F$21,IF(K868&gt;=CONFIG!$E$20,CONFIG!$F$20,CONFIG!$F$19)))</f>
        <v/>
      </c>
      <c r="N868" s="19" t="str">
        <f aca="false">IF(I868="","",IF(I868&lt;=M868,"OK","ALTA"))</f>
        <v/>
      </c>
      <c r="O868" s="13"/>
    </row>
    <row r="869" customFormat="false" ht="15" hidden="false" customHeight="false" outlineLevel="0" collapsed="false">
      <c r="A869" s="11" t="str">
        <f aca="false">IF(C869="","",ROW()-4)</f>
        <v/>
      </c>
      <c r="B869" s="12"/>
      <c r="C869" s="13"/>
      <c r="D869" s="11" t="str">
        <f aca="false">IF(C869="","",IFERROR(INDEX(LOTES!$D$5:$D$1004,MATCH(C869,LOTES!$F$5:$F$1004,0)),"¿Lote?"))</f>
        <v/>
      </c>
      <c r="E869" s="11" t="str">
        <f aca="false">IF(C869="","",IFERROR(INDEX(LOTES!$C$5:$C$1004,MATCH(C869,LOTES!$F$5:$F$1004,0)),""))</f>
        <v/>
      </c>
      <c r="F869" s="27"/>
      <c r="G869" s="27"/>
      <c r="H869" s="27"/>
      <c r="I869" s="20" t="str">
        <f aca="false">IF(AND(ISNUMBER(F869),ISNUMBER(G869),ISNUMBER(H869),F869&gt;G869,H869&gt;0),(F869-H869)/(F869-G869)*1000,"")</f>
        <v/>
      </c>
      <c r="J869" s="17" t="str">
        <f aca="false">IF(AND(ISNUMBER(F869),ISNUMBER(G869),ISNUMBER(H869),F869&gt;G869,H869&gt;0),(F869-H869)/H869,"")</f>
        <v/>
      </c>
      <c r="K869" s="20" t="str">
        <f aca="false">IF(AND(ISNUMBER(F869),ISNUMBER(G869),ISNUMBER(H869),F869&gt;G869,H869&gt;0),H869/(F869-G869)*1000,"")</f>
        <v/>
      </c>
      <c r="L869" s="11" t="str">
        <f aca="false">IF(K869="","",IF(K869&gt;=CONFIG!$E$21,CONFIG!$D$21,IF(K869&gt;=CONFIG!$E$20,CONFIG!$D$20,CONFIG!$D$19)))</f>
        <v/>
      </c>
      <c r="M869" s="20" t="str">
        <f aca="false">IF(K869="","",IF(K869&gt;=CONFIG!$E$21,CONFIG!$F$21,IF(K869&gt;=CONFIG!$E$20,CONFIG!$F$20,CONFIG!$F$19)))</f>
        <v/>
      </c>
      <c r="N869" s="19" t="str">
        <f aca="false">IF(I869="","",IF(I869&lt;=M869,"OK","ALTA"))</f>
        <v/>
      </c>
      <c r="O869" s="13"/>
    </row>
    <row r="870" customFormat="false" ht="15" hidden="false" customHeight="false" outlineLevel="0" collapsed="false">
      <c r="A870" s="11" t="str">
        <f aca="false">IF(C870="","",ROW()-4)</f>
        <v/>
      </c>
      <c r="B870" s="12"/>
      <c r="C870" s="13"/>
      <c r="D870" s="11" t="str">
        <f aca="false">IF(C870="","",IFERROR(INDEX(LOTES!$D$5:$D$1004,MATCH(C870,LOTES!$F$5:$F$1004,0)),"¿Lote?"))</f>
        <v/>
      </c>
      <c r="E870" s="11" t="str">
        <f aca="false">IF(C870="","",IFERROR(INDEX(LOTES!$C$5:$C$1004,MATCH(C870,LOTES!$F$5:$F$1004,0)),""))</f>
        <v/>
      </c>
      <c r="F870" s="27"/>
      <c r="G870" s="27"/>
      <c r="H870" s="27"/>
      <c r="I870" s="20" t="str">
        <f aca="false">IF(AND(ISNUMBER(F870),ISNUMBER(G870),ISNUMBER(H870),F870&gt;G870,H870&gt;0),(F870-H870)/(F870-G870)*1000,"")</f>
        <v/>
      </c>
      <c r="J870" s="17" t="str">
        <f aca="false">IF(AND(ISNUMBER(F870),ISNUMBER(G870),ISNUMBER(H870),F870&gt;G870,H870&gt;0),(F870-H870)/H870,"")</f>
        <v/>
      </c>
      <c r="K870" s="20" t="str">
        <f aca="false">IF(AND(ISNUMBER(F870),ISNUMBER(G870),ISNUMBER(H870),F870&gt;G870,H870&gt;0),H870/(F870-G870)*1000,"")</f>
        <v/>
      </c>
      <c r="L870" s="11" t="str">
        <f aca="false">IF(K870="","",IF(K870&gt;=CONFIG!$E$21,CONFIG!$D$21,IF(K870&gt;=CONFIG!$E$20,CONFIG!$D$20,CONFIG!$D$19)))</f>
        <v/>
      </c>
      <c r="M870" s="20" t="str">
        <f aca="false">IF(K870="","",IF(K870&gt;=CONFIG!$E$21,CONFIG!$F$21,IF(K870&gt;=CONFIG!$E$20,CONFIG!$F$20,CONFIG!$F$19)))</f>
        <v/>
      </c>
      <c r="N870" s="19" t="str">
        <f aca="false">IF(I870="","",IF(I870&lt;=M870,"OK","ALTA"))</f>
        <v/>
      </c>
      <c r="O870" s="13"/>
    </row>
    <row r="871" customFormat="false" ht="15" hidden="false" customHeight="false" outlineLevel="0" collapsed="false">
      <c r="A871" s="11" t="str">
        <f aca="false">IF(C871="","",ROW()-4)</f>
        <v/>
      </c>
      <c r="B871" s="12"/>
      <c r="C871" s="13"/>
      <c r="D871" s="11" t="str">
        <f aca="false">IF(C871="","",IFERROR(INDEX(LOTES!$D$5:$D$1004,MATCH(C871,LOTES!$F$5:$F$1004,0)),"¿Lote?"))</f>
        <v/>
      </c>
      <c r="E871" s="11" t="str">
        <f aca="false">IF(C871="","",IFERROR(INDEX(LOTES!$C$5:$C$1004,MATCH(C871,LOTES!$F$5:$F$1004,0)),""))</f>
        <v/>
      </c>
      <c r="F871" s="27"/>
      <c r="G871" s="27"/>
      <c r="H871" s="27"/>
      <c r="I871" s="20" t="str">
        <f aca="false">IF(AND(ISNUMBER(F871),ISNUMBER(G871),ISNUMBER(H871),F871&gt;G871,H871&gt;0),(F871-H871)/(F871-G871)*1000,"")</f>
        <v/>
      </c>
      <c r="J871" s="17" t="str">
        <f aca="false">IF(AND(ISNUMBER(F871),ISNUMBER(G871),ISNUMBER(H871),F871&gt;G871,H871&gt;0),(F871-H871)/H871,"")</f>
        <v/>
      </c>
      <c r="K871" s="20" t="str">
        <f aca="false">IF(AND(ISNUMBER(F871),ISNUMBER(G871),ISNUMBER(H871),F871&gt;G871,H871&gt;0),H871/(F871-G871)*1000,"")</f>
        <v/>
      </c>
      <c r="L871" s="11" t="str">
        <f aca="false">IF(K871="","",IF(K871&gt;=CONFIG!$E$21,CONFIG!$D$21,IF(K871&gt;=CONFIG!$E$20,CONFIG!$D$20,CONFIG!$D$19)))</f>
        <v/>
      </c>
      <c r="M871" s="20" t="str">
        <f aca="false">IF(K871="","",IF(K871&gt;=CONFIG!$E$21,CONFIG!$F$21,IF(K871&gt;=CONFIG!$E$20,CONFIG!$F$20,CONFIG!$F$19)))</f>
        <v/>
      </c>
      <c r="N871" s="19" t="str">
        <f aca="false">IF(I871="","",IF(I871&lt;=M871,"OK","ALTA"))</f>
        <v/>
      </c>
      <c r="O871" s="13"/>
    </row>
    <row r="872" customFormat="false" ht="15" hidden="false" customHeight="false" outlineLevel="0" collapsed="false">
      <c r="A872" s="11" t="str">
        <f aca="false">IF(C872="","",ROW()-4)</f>
        <v/>
      </c>
      <c r="B872" s="12"/>
      <c r="C872" s="13"/>
      <c r="D872" s="11" t="str">
        <f aca="false">IF(C872="","",IFERROR(INDEX(LOTES!$D$5:$D$1004,MATCH(C872,LOTES!$F$5:$F$1004,0)),"¿Lote?"))</f>
        <v/>
      </c>
      <c r="E872" s="11" t="str">
        <f aca="false">IF(C872="","",IFERROR(INDEX(LOTES!$C$5:$C$1004,MATCH(C872,LOTES!$F$5:$F$1004,0)),""))</f>
        <v/>
      </c>
      <c r="F872" s="27"/>
      <c r="G872" s="27"/>
      <c r="H872" s="27"/>
      <c r="I872" s="20" t="str">
        <f aca="false">IF(AND(ISNUMBER(F872),ISNUMBER(G872),ISNUMBER(H872),F872&gt;G872,H872&gt;0),(F872-H872)/(F872-G872)*1000,"")</f>
        <v/>
      </c>
      <c r="J872" s="17" t="str">
        <f aca="false">IF(AND(ISNUMBER(F872),ISNUMBER(G872),ISNUMBER(H872),F872&gt;G872,H872&gt;0),(F872-H872)/H872,"")</f>
        <v/>
      </c>
      <c r="K872" s="20" t="str">
        <f aca="false">IF(AND(ISNUMBER(F872),ISNUMBER(G872),ISNUMBER(H872),F872&gt;G872,H872&gt;0),H872/(F872-G872)*1000,"")</f>
        <v/>
      </c>
      <c r="L872" s="11" t="str">
        <f aca="false">IF(K872="","",IF(K872&gt;=CONFIG!$E$21,CONFIG!$D$21,IF(K872&gt;=CONFIG!$E$20,CONFIG!$D$20,CONFIG!$D$19)))</f>
        <v/>
      </c>
      <c r="M872" s="20" t="str">
        <f aca="false">IF(K872="","",IF(K872&gt;=CONFIG!$E$21,CONFIG!$F$21,IF(K872&gt;=CONFIG!$E$20,CONFIG!$F$20,CONFIG!$F$19)))</f>
        <v/>
      </c>
      <c r="N872" s="19" t="str">
        <f aca="false">IF(I872="","",IF(I872&lt;=M872,"OK","ALTA"))</f>
        <v/>
      </c>
      <c r="O872" s="13"/>
    </row>
    <row r="873" customFormat="false" ht="15" hidden="false" customHeight="false" outlineLevel="0" collapsed="false">
      <c r="A873" s="11" t="str">
        <f aca="false">IF(C873="","",ROW()-4)</f>
        <v/>
      </c>
      <c r="B873" s="12"/>
      <c r="C873" s="13"/>
      <c r="D873" s="11" t="str">
        <f aca="false">IF(C873="","",IFERROR(INDEX(LOTES!$D$5:$D$1004,MATCH(C873,LOTES!$F$5:$F$1004,0)),"¿Lote?"))</f>
        <v/>
      </c>
      <c r="E873" s="11" t="str">
        <f aca="false">IF(C873="","",IFERROR(INDEX(LOTES!$C$5:$C$1004,MATCH(C873,LOTES!$F$5:$F$1004,0)),""))</f>
        <v/>
      </c>
      <c r="F873" s="27"/>
      <c r="G873" s="27"/>
      <c r="H873" s="27"/>
      <c r="I873" s="20" t="str">
        <f aca="false">IF(AND(ISNUMBER(F873),ISNUMBER(G873),ISNUMBER(H873),F873&gt;G873,H873&gt;0),(F873-H873)/(F873-G873)*1000,"")</f>
        <v/>
      </c>
      <c r="J873" s="17" t="str">
        <f aca="false">IF(AND(ISNUMBER(F873),ISNUMBER(G873),ISNUMBER(H873),F873&gt;G873,H873&gt;0),(F873-H873)/H873,"")</f>
        <v/>
      </c>
      <c r="K873" s="20" t="str">
        <f aca="false">IF(AND(ISNUMBER(F873),ISNUMBER(G873),ISNUMBER(H873),F873&gt;G873,H873&gt;0),H873/(F873-G873)*1000,"")</f>
        <v/>
      </c>
      <c r="L873" s="11" t="str">
        <f aca="false">IF(K873="","",IF(K873&gt;=CONFIG!$E$21,CONFIG!$D$21,IF(K873&gt;=CONFIG!$E$20,CONFIG!$D$20,CONFIG!$D$19)))</f>
        <v/>
      </c>
      <c r="M873" s="20" t="str">
        <f aca="false">IF(K873="","",IF(K873&gt;=CONFIG!$E$21,CONFIG!$F$21,IF(K873&gt;=CONFIG!$E$20,CONFIG!$F$20,CONFIG!$F$19)))</f>
        <v/>
      </c>
      <c r="N873" s="19" t="str">
        <f aca="false">IF(I873="","",IF(I873&lt;=M873,"OK","ALTA"))</f>
        <v/>
      </c>
      <c r="O873" s="13"/>
    </row>
    <row r="874" customFormat="false" ht="15" hidden="false" customHeight="false" outlineLevel="0" collapsed="false">
      <c r="A874" s="11" t="str">
        <f aca="false">IF(C874="","",ROW()-4)</f>
        <v/>
      </c>
      <c r="B874" s="12"/>
      <c r="C874" s="13"/>
      <c r="D874" s="11" t="str">
        <f aca="false">IF(C874="","",IFERROR(INDEX(LOTES!$D$5:$D$1004,MATCH(C874,LOTES!$F$5:$F$1004,0)),"¿Lote?"))</f>
        <v/>
      </c>
      <c r="E874" s="11" t="str">
        <f aca="false">IF(C874="","",IFERROR(INDEX(LOTES!$C$5:$C$1004,MATCH(C874,LOTES!$F$5:$F$1004,0)),""))</f>
        <v/>
      </c>
      <c r="F874" s="27"/>
      <c r="G874" s="27"/>
      <c r="H874" s="27"/>
      <c r="I874" s="20" t="str">
        <f aca="false">IF(AND(ISNUMBER(F874),ISNUMBER(G874),ISNUMBER(H874),F874&gt;G874,H874&gt;0),(F874-H874)/(F874-G874)*1000,"")</f>
        <v/>
      </c>
      <c r="J874" s="17" t="str">
        <f aca="false">IF(AND(ISNUMBER(F874),ISNUMBER(G874),ISNUMBER(H874),F874&gt;G874,H874&gt;0),(F874-H874)/H874,"")</f>
        <v/>
      </c>
      <c r="K874" s="20" t="str">
        <f aca="false">IF(AND(ISNUMBER(F874),ISNUMBER(G874),ISNUMBER(H874),F874&gt;G874,H874&gt;0),H874/(F874-G874)*1000,"")</f>
        <v/>
      </c>
      <c r="L874" s="11" t="str">
        <f aca="false">IF(K874="","",IF(K874&gt;=CONFIG!$E$21,CONFIG!$D$21,IF(K874&gt;=CONFIG!$E$20,CONFIG!$D$20,CONFIG!$D$19)))</f>
        <v/>
      </c>
      <c r="M874" s="20" t="str">
        <f aca="false">IF(K874="","",IF(K874&gt;=CONFIG!$E$21,CONFIG!$F$21,IF(K874&gt;=CONFIG!$E$20,CONFIG!$F$20,CONFIG!$F$19)))</f>
        <v/>
      </c>
      <c r="N874" s="19" t="str">
        <f aca="false">IF(I874="","",IF(I874&lt;=M874,"OK","ALTA"))</f>
        <v/>
      </c>
      <c r="O874" s="13"/>
    </row>
    <row r="875" customFormat="false" ht="15" hidden="false" customHeight="false" outlineLevel="0" collapsed="false">
      <c r="A875" s="11" t="str">
        <f aca="false">IF(C875="","",ROW()-4)</f>
        <v/>
      </c>
      <c r="B875" s="12"/>
      <c r="C875" s="13"/>
      <c r="D875" s="11" t="str">
        <f aca="false">IF(C875="","",IFERROR(INDEX(LOTES!$D$5:$D$1004,MATCH(C875,LOTES!$F$5:$F$1004,0)),"¿Lote?"))</f>
        <v/>
      </c>
      <c r="E875" s="11" t="str">
        <f aca="false">IF(C875="","",IFERROR(INDEX(LOTES!$C$5:$C$1004,MATCH(C875,LOTES!$F$5:$F$1004,0)),""))</f>
        <v/>
      </c>
      <c r="F875" s="27"/>
      <c r="G875" s="27"/>
      <c r="H875" s="27"/>
      <c r="I875" s="20" t="str">
        <f aca="false">IF(AND(ISNUMBER(F875),ISNUMBER(G875),ISNUMBER(H875),F875&gt;G875,H875&gt;0),(F875-H875)/(F875-G875)*1000,"")</f>
        <v/>
      </c>
      <c r="J875" s="17" t="str">
        <f aca="false">IF(AND(ISNUMBER(F875),ISNUMBER(G875),ISNUMBER(H875),F875&gt;G875,H875&gt;0),(F875-H875)/H875,"")</f>
        <v/>
      </c>
      <c r="K875" s="20" t="str">
        <f aca="false">IF(AND(ISNUMBER(F875),ISNUMBER(G875),ISNUMBER(H875),F875&gt;G875,H875&gt;0),H875/(F875-G875)*1000,"")</f>
        <v/>
      </c>
      <c r="L875" s="11" t="str">
        <f aca="false">IF(K875="","",IF(K875&gt;=CONFIG!$E$21,CONFIG!$D$21,IF(K875&gt;=CONFIG!$E$20,CONFIG!$D$20,CONFIG!$D$19)))</f>
        <v/>
      </c>
      <c r="M875" s="20" t="str">
        <f aca="false">IF(K875="","",IF(K875&gt;=CONFIG!$E$21,CONFIG!$F$21,IF(K875&gt;=CONFIG!$E$20,CONFIG!$F$20,CONFIG!$F$19)))</f>
        <v/>
      </c>
      <c r="N875" s="19" t="str">
        <f aca="false">IF(I875="","",IF(I875&lt;=M875,"OK","ALTA"))</f>
        <v/>
      </c>
      <c r="O875" s="13"/>
    </row>
    <row r="876" customFormat="false" ht="15" hidden="false" customHeight="false" outlineLevel="0" collapsed="false">
      <c r="A876" s="11" t="str">
        <f aca="false">IF(C876="","",ROW()-4)</f>
        <v/>
      </c>
      <c r="B876" s="12"/>
      <c r="C876" s="13"/>
      <c r="D876" s="11" t="str">
        <f aca="false">IF(C876="","",IFERROR(INDEX(LOTES!$D$5:$D$1004,MATCH(C876,LOTES!$F$5:$F$1004,0)),"¿Lote?"))</f>
        <v/>
      </c>
      <c r="E876" s="11" t="str">
        <f aca="false">IF(C876="","",IFERROR(INDEX(LOTES!$C$5:$C$1004,MATCH(C876,LOTES!$F$5:$F$1004,0)),""))</f>
        <v/>
      </c>
      <c r="F876" s="27"/>
      <c r="G876" s="27"/>
      <c r="H876" s="27"/>
      <c r="I876" s="20" t="str">
        <f aca="false">IF(AND(ISNUMBER(F876),ISNUMBER(G876),ISNUMBER(H876),F876&gt;G876,H876&gt;0),(F876-H876)/(F876-G876)*1000,"")</f>
        <v/>
      </c>
      <c r="J876" s="17" t="str">
        <f aca="false">IF(AND(ISNUMBER(F876),ISNUMBER(G876),ISNUMBER(H876),F876&gt;G876,H876&gt;0),(F876-H876)/H876,"")</f>
        <v/>
      </c>
      <c r="K876" s="20" t="str">
        <f aca="false">IF(AND(ISNUMBER(F876),ISNUMBER(G876),ISNUMBER(H876),F876&gt;G876,H876&gt;0),H876/(F876-G876)*1000,"")</f>
        <v/>
      </c>
      <c r="L876" s="11" t="str">
        <f aca="false">IF(K876="","",IF(K876&gt;=CONFIG!$E$21,CONFIG!$D$21,IF(K876&gt;=CONFIG!$E$20,CONFIG!$D$20,CONFIG!$D$19)))</f>
        <v/>
      </c>
      <c r="M876" s="20" t="str">
        <f aca="false">IF(K876="","",IF(K876&gt;=CONFIG!$E$21,CONFIG!$F$21,IF(K876&gt;=CONFIG!$E$20,CONFIG!$F$20,CONFIG!$F$19)))</f>
        <v/>
      </c>
      <c r="N876" s="19" t="str">
        <f aca="false">IF(I876="","",IF(I876&lt;=M876,"OK","ALTA"))</f>
        <v/>
      </c>
      <c r="O876" s="13"/>
    </row>
    <row r="877" customFormat="false" ht="15" hidden="false" customHeight="false" outlineLevel="0" collapsed="false">
      <c r="A877" s="11" t="str">
        <f aca="false">IF(C877="","",ROW()-4)</f>
        <v/>
      </c>
      <c r="B877" s="12"/>
      <c r="C877" s="13"/>
      <c r="D877" s="11" t="str">
        <f aca="false">IF(C877="","",IFERROR(INDEX(LOTES!$D$5:$D$1004,MATCH(C877,LOTES!$F$5:$F$1004,0)),"¿Lote?"))</f>
        <v/>
      </c>
      <c r="E877" s="11" t="str">
        <f aca="false">IF(C877="","",IFERROR(INDEX(LOTES!$C$5:$C$1004,MATCH(C877,LOTES!$F$5:$F$1004,0)),""))</f>
        <v/>
      </c>
      <c r="F877" s="27"/>
      <c r="G877" s="27"/>
      <c r="H877" s="27"/>
      <c r="I877" s="20" t="str">
        <f aca="false">IF(AND(ISNUMBER(F877),ISNUMBER(G877),ISNUMBER(H877),F877&gt;G877,H877&gt;0),(F877-H877)/(F877-G877)*1000,"")</f>
        <v/>
      </c>
      <c r="J877" s="17" t="str">
        <f aca="false">IF(AND(ISNUMBER(F877),ISNUMBER(G877),ISNUMBER(H877),F877&gt;G877,H877&gt;0),(F877-H877)/H877,"")</f>
        <v/>
      </c>
      <c r="K877" s="20" t="str">
        <f aca="false">IF(AND(ISNUMBER(F877),ISNUMBER(G877),ISNUMBER(H877),F877&gt;G877,H877&gt;0),H877/(F877-G877)*1000,"")</f>
        <v/>
      </c>
      <c r="L877" s="11" t="str">
        <f aca="false">IF(K877="","",IF(K877&gt;=CONFIG!$E$21,CONFIG!$D$21,IF(K877&gt;=CONFIG!$E$20,CONFIG!$D$20,CONFIG!$D$19)))</f>
        <v/>
      </c>
      <c r="M877" s="20" t="str">
        <f aca="false">IF(K877="","",IF(K877&gt;=CONFIG!$E$21,CONFIG!$F$21,IF(K877&gt;=CONFIG!$E$20,CONFIG!$F$20,CONFIG!$F$19)))</f>
        <v/>
      </c>
      <c r="N877" s="19" t="str">
        <f aca="false">IF(I877="","",IF(I877&lt;=M877,"OK","ALTA"))</f>
        <v/>
      </c>
      <c r="O877" s="13"/>
    </row>
    <row r="878" customFormat="false" ht="15" hidden="false" customHeight="false" outlineLevel="0" collapsed="false">
      <c r="A878" s="11" t="str">
        <f aca="false">IF(C878="","",ROW()-4)</f>
        <v/>
      </c>
      <c r="B878" s="12"/>
      <c r="C878" s="13"/>
      <c r="D878" s="11" t="str">
        <f aca="false">IF(C878="","",IFERROR(INDEX(LOTES!$D$5:$D$1004,MATCH(C878,LOTES!$F$5:$F$1004,0)),"¿Lote?"))</f>
        <v/>
      </c>
      <c r="E878" s="11" t="str">
        <f aca="false">IF(C878="","",IFERROR(INDEX(LOTES!$C$5:$C$1004,MATCH(C878,LOTES!$F$5:$F$1004,0)),""))</f>
        <v/>
      </c>
      <c r="F878" s="27"/>
      <c r="G878" s="27"/>
      <c r="H878" s="27"/>
      <c r="I878" s="20" t="str">
        <f aca="false">IF(AND(ISNUMBER(F878),ISNUMBER(G878),ISNUMBER(H878),F878&gt;G878,H878&gt;0),(F878-H878)/(F878-G878)*1000,"")</f>
        <v/>
      </c>
      <c r="J878" s="17" t="str">
        <f aca="false">IF(AND(ISNUMBER(F878),ISNUMBER(G878),ISNUMBER(H878),F878&gt;G878,H878&gt;0),(F878-H878)/H878,"")</f>
        <v/>
      </c>
      <c r="K878" s="20" t="str">
        <f aca="false">IF(AND(ISNUMBER(F878),ISNUMBER(G878),ISNUMBER(H878),F878&gt;G878,H878&gt;0),H878/(F878-G878)*1000,"")</f>
        <v/>
      </c>
      <c r="L878" s="11" t="str">
        <f aca="false">IF(K878="","",IF(K878&gt;=CONFIG!$E$21,CONFIG!$D$21,IF(K878&gt;=CONFIG!$E$20,CONFIG!$D$20,CONFIG!$D$19)))</f>
        <v/>
      </c>
      <c r="M878" s="20" t="str">
        <f aca="false">IF(K878="","",IF(K878&gt;=CONFIG!$E$21,CONFIG!$F$21,IF(K878&gt;=CONFIG!$E$20,CONFIG!$F$20,CONFIG!$F$19)))</f>
        <v/>
      </c>
      <c r="N878" s="19" t="str">
        <f aca="false">IF(I878="","",IF(I878&lt;=M878,"OK","ALTA"))</f>
        <v/>
      </c>
      <c r="O878" s="13"/>
    </row>
    <row r="879" customFormat="false" ht="15" hidden="false" customHeight="false" outlineLevel="0" collapsed="false">
      <c r="A879" s="11" t="str">
        <f aca="false">IF(C879="","",ROW()-4)</f>
        <v/>
      </c>
      <c r="B879" s="12"/>
      <c r="C879" s="13"/>
      <c r="D879" s="11" t="str">
        <f aca="false">IF(C879="","",IFERROR(INDEX(LOTES!$D$5:$D$1004,MATCH(C879,LOTES!$F$5:$F$1004,0)),"¿Lote?"))</f>
        <v/>
      </c>
      <c r="E879" s="11" t="str">
        <f aca="false">IF(C879="","",IFERROR(INDEX(LOTES!$C$5:$C$1004,MATCH(C879,LOTES!$F$5:$F$1004,0)),""))</f>
        <v/>
      </c>
      <c r="F879" s="27"/>
      <c r="G879" s="27"/>
      <c r="H879" s="27"/>
      <c r="I879" s="20" t="str">
        <f aca="false">IF(AND(ISNUMBER(F879),ISNUMBER(G879),ISNUMBER(H879),F879&gt;G879,H879&gt;0),(F879-H879)/(F879-G879)*1000,"")</f>
        <v/>
      </c>
      <c r="J879" s="17" t="str">
        <f aca="false">IF(AND(ISNUMBER(F879),ISNUMBER(G879),ISNUMBER(H879),F879&gt;G879,H879&gt;0),(F879-H879)/H879,"")</f>
        <v/>
      </c>
      <c r="K879" s="20" t="str">
        <f aca="false">IF(AND(ISNUMBER(F879),ISNUMBER(G879),ISNUMBER(H879),F879&gt;G879,H879&gt;0),H879/(F879-G879)*1000,"")</f>
        <v/>
      </c>
      <c r="L879" s="11" t="str">
        <f aca="false">IF(K879="","",IF(K879&gt;=CONFIG!$E$21,CONFIG!$D$21,IF(K879&gt;=CONFIG!$E$20,CONFIG!$D$20,CONFIG!$D$19)))</f>
        <v/>
      </c>
      <c r="M879" s="20" t="str">
        <f aca="false">IF(K879="","",IF(K879&gt;=CONFIG!$E$21,CONFIG!$F$21,IF(K879&gt;=CONFIG!$E$20,CONFIG!$F$20,CONFIG!$F$19)))</f>
        <v/>
      </c>
      <c r="N879" s="19" t="str">
        <f aca="false">IF(I879="","",IF(I879&lt;=M879,"OK","ALTA"))</f>
        <v/>
      </c>
      <c r="O879" s="13"/>
    </row>
    <row r="880" customFormat="false" ht="15" hidden="false" customHeight="false" outlineLevel="0" collapsed="false">
      <c r="A880" s="11" t="str">
        <f aca="false">IF(C880="","",ROW()-4)</f>
        <v/>
      </c>
      <c r="B880" s="12"/>
      <c r="C880" s="13"/>
      <c r="D880" s="11" t="str">
        <f aca="false">IF(C880="","",IFERROR(INDEX(LOTES!$D$5:$D$1004,MATCH(C880,LOTES!$F$5:$F$1004,0)),"¿Lote?"))</f>
        <v/>
      </c>
      <c r="E880" s="11" t="str">
        <f aca="false">IF(C880="","",IFERROR(INDEX(LOTES!$C$5:$C$1004,MATCH(C880,LOTES!$F$5:$F$1004,0)),""))</f>
        <v/>
      </c>
      <c r="F880" s="27"/>
      <c r="G880" s="27"/>
      <c r="H880" s="27"/>
      <c r="I880" s="20" t="str">
        <f aca="false">IF(AND(ISNUMBER(F880),ISNUMBER(G880),ISNUMBER(H880),F880&gt;G880,H880&gt;0),(F880-H880)/(F880-G880)*1000,"")</f>
        <v/>
      </c>
      <c r="J880" s="17" t="str">
        <f aca="false">IF(AND(ISNUMBER(F880),ISNUMBER(G880),ISNUMBER(H880),F880&gt;G880,H880&gt;0),(F880-H880)/H880,"")</f>
        <v/>
      </c>
      <c r="K880" s="20" t="str">
        <f aca="false">IF(AND(ISNUMBER(F880),ISNUMBER(G880),ISNUMBER(H880),F880&gt;G880,H880&gt;0),H880/(F880-G880)*1000,"")</f>
        <v/>
      </c>
      <c r="L880" s="11" t="str">
        <f aca="false">IF(K880="","",IF(K880&gt;=CONFIG!$E$21,CONFIG!$D$21,IF(K880&gt;=CONFIG!$E$20,CONFIG!$D$20,CONFIG!$D$19)))</f>
        <v/>
      </c>
      <c r="M880" s="20" t="str">
        <f aca="false">IF(K880="","",IF(K880&gt;=CONFIG!$E$21,CONFIG!$F$21,IF(K880&gt;=CONFIG!$E$20,CONFIG!$F$20,CONFIG!$F$19)))</f>
        <v/>
      </c>
      <c r="N880" s="19" t="str">
        <f aca="false">IF(I880="","",IF(I880&lt;=M880,"OK","ALTA"))</f>
        <v/>
      </c>
      <c r="O880" s="13"/>
    </row>
    <row r="881" customFormat="false" ht="15" hidden="false" customHeight="false" outlineLevel="0" collapsed="false">
      <c r="A881" s="11" t="str">
        <f aca="false">IF(C881="","",ROW()-4)</f>
        <v/>
      </c>
      <c r="B881" s="12"/>
      <c r="C881" s="13"/>
      <c r="D881" s="11" t="str">
        <f aca="false">IF(C881="","",IFERROR(INDEX(LOTES!$D$5:$D$1004,MATCH(C881,LOTES!$F$5:$F$1004,0)),"¿Lote?"))</f>
        <v/>
      </c>
      <c r="E881" s="11" t="str">
        <f aca="false">IF(C881="","",IFERROR(INDEX(LOTES!$C$5:$C$1004,MATCH(C881,LOTES!$F$5:$F$1004,0)),""))</f>
        <v/>
      </c>
      <c r="F881" s="27"/>
      <c r="G881" s="27"/>
      <c r="H881" s="27"/>
      <c r="I881" s="20" t="str">
        <f aca="false">IF(AND(ISNUMBER(F881),ISNUMBER(G881),ISNUMBER(H881),F881&gt;G881,H881&gt;0),(F881-H881)/(F881-G881)*1000,"")</f>
        <v/>
      </c>
      <c r="J881" s="17" t="str">
        <f aca="false">IF(AND(ISNUMBER(F881),ISNUMBER(G881),ISNUMBER(H881),F881&gt;G881,H881&gt;0),(F881-H881)/H881,"")</f>
        <v/>
      </c>
      <c r="K881" s="20" t="str">
        <f aca="false">IF(AND(ISNUMBER(F881),ISNUMBER(G881),ISNUMBER(H881),F881&gt;G881,H881&gt;0),H881/(F881-G881)*1000,"")</f>
        <v/>
      </c>
      <c r="L881" s="11" t="str">
        <f aca="false">IF(K881="","",IF(K881&gt;=CONFIG!$E$21,CONFIG!$D$21,IF(K881&gt;=CONFIG!$E$20,CONFIG!$D$20,CONFIG!$D$19)))</f>
        <v/>
      </c>
      <c r="M881" s="20" t="str">
        <f aca="false">IF(K881="","",IF(K881&gt;=CONFIG!$E$21,CONFIG!$F$21,IF(K881&gt;=CONFIG!$E$20,CONFIG!$F$20,CONFIG!$F$19)))</f>
        <v/>
      </c>
      <c r="N881" s="19" t="str">
        <f aca="false">IF(I881="","",IF(I881&lt;=M881,"OK","ALTA"))</f>
        <v/>
      </c>
      <c r="O881" s="13"/>
    </row>
    <row r="882" customFormat="false" ht="15" hidden="false" customHeight="false" outlineLevel="0" collapsed="false">
      <c r="A882" s="11" t="str">
        <f aca="false">IF(C882="","",ROW()-4)</f>
        <v/>
      </c>
      <c r="B882" s="12"/>
      <c r="C882" s="13"/>
      <c r="D882" s="11" t="str">
        <f aca="false">IF(C882="","",IFERROR(INDEX(LOTES!$D$5:$D$1004,MATCH(C882,LOTES!$F$5:$F$1004,0)),"¿Lote?"))</f>
        <v/>
      </c>
      <c r="E882" s="11" t="str">
        <f aca="false">IF(C882="","",IFERROR(INDEX(LOTES!$C$5:$C$1004,MATCH(C882,LOTES!$F$5:$F$1004,0)),""))</f>
        <v/>
      </c>
      <c r="F882" s="27"/>
      <c r="G882" s="27"/>
      <c r="H882" s="27"/>
      <c r="I882" s="20" t="str">
        <f aca="false">IF(AND(ISNUMBER(F882),ISNUMBER(G882),ISNUMBER(H882),F882&gt;G882,H882&gt;0),(F882-H882)/(F882-G882)*1000,"")</f>
        <v/>
      </c>
      <c r="J882" s="17" t="str">
        <f aca="false">IF(AND(ISNUMBER(F882),ISNUMBER(G882),ISNUMBER(H882),F882&gt;G882,H882&gt;0),(F882-H882)/H882,"")</f>
        <v/>
      </c>
      <c r="K882" s="20" t="str">
        <f aca="false">IF(AND(ISNUMBER(F882),ISNUMBER(G882),ISNUMBER(H882),F882&gt;G882,H882&gt;0),H882/(F882-G882)*1000,"")</f>
        <v/>
      </c>
      <c r="L882" s="11" t="str">
        <f aca="false">IF(K882="","",IF(K882&gt;=CONFIG!$E$21,CONFIG!$D$21,IF(K882&gt;=CONFIG!$E$20,CONFIG!$D$20,CONFIG!$D$19)))</f>
        <v/>
      </c>
      <c r="M882" s="20" t="str">
        <f aca="false">IF(K882="","",IF(K882&gt;=CONFIG!$E$21,CONFIG!$F$21,IF(K882&gt;=CONFIG!$E$20,CONFIG!$F$20,CONFIG!$F$19)))</f>
        <v/>
      </c>
      <c r="N882" s="19" t="str">
        <f aca="false">IF(I882="","",IF(I882&lt;=M882,"OK","ALTA"))</f>
        <v/>
      </c>
      <c r="O882" s="13"/>
    </row>
    <row r="883" customFormat="false" ht="15" hidden="false" customHeight="false" outlineLevel="0" collapsed="false">
      <c r="A883" s="11" t="str">
        <f aca="false">IF(C883="","",ROW()-4)</f>
        <v/>
      </c>
      <c r="B883" s="12"/>
      <c r="C883" s="13"/>
      <c r="D883" s="11" t="str">
        <f aca="false">IF(C883="","",IFERROR(INDEX(LOTES!$D$5:$D$1004,MATCH(C883,LOTES!$F$5:$F$1004,0)),"¿Lote?"))</f>
        <v/>
      </c>
      <c r="E883" s="11" t="str">
        <f aca="false">IF(C883="","",IFERROR(INDEX(LOTES!$C$5:$C$1004,MATCH(C883,LOTES!$F$5:$F$1004,0)),""))</f>
        <v/>
      </c>
      <c r="F883" s="27"/>
      <c r="G883" s="27"/>
      <c r="H883" s="27"/>
      <c r="I883" s="20" t="str">
        <f aca="false">IF(AND(ISNUMBER(F883),ISNUMBER(G883),ISNUMBER(H883),F883&gt;G883,H883&gt;0),(F883-H883)/(F883-G883)*1000,"")</f>
        <v/>
      </c>
      <c r="J883" s="17" t="str">
        <f aca="false">IF(AND(ISNUMBER(F883),ISNUMBER(G883),ISNUMBER(H883),F883&gt;G883,H883&gt;0),(F883-H883)/H883,"")</f>
        <v/>
      </c>
      <c r="K883" s="20" t="str">
        <f aca="false">IF(AND(ISNUMBER(F883),ISNUMBER(G883),ISNUMBER(H883),F883&gt;G883,H883&gt;0),H883/(F883-G883)*1000,"")</f>
        <v/>
      </c>
      <c r="L883" s="11" t="str">
        <f aca="false">IF(K883="","",IF(K883&gt;=CONFIG!$E$21,CONFIG!$D$21,IF(K883&gt;=CONFIG!$E$20,CONFIG!$D$20,CONFIG!$D$19)))</f>
        <v/>
      </c>
      <c r="M883" s="20" t="str">
        <f aca="false">IF(K883="","",IF(K883&gt;=CONFIG!$E$21,CONFIG!$F$21,IF(K883&gt;=CONFIG!$E$20,CONFIG!$F$20,CONFIG!$F$19)))</f>
        <v/>
      </c>
      <c r="N883" s="19" t="str">
        <f aca="false">IF(I883="","",IF(I883&lt;=M883,"OK","ALTA"))</f>
        <v/>
      </c>
      <c r="O883" s="13"/>
    </row>
    <row r="884" customFormat="false" ht="15" hidden="false" customHeight="false" outlineLevel="0" collapsed="false">
      <c r="A884" s="11" t="str">
        <f aca="false">IF(C884="","",ROW()-4)</f>
        <v/>
      </c>
      <c r="B884" s="12"/>
      <c r="C884" s="13"/>
      <c r="D884" s="11" t="str">
        <f aca="false">IF(C884="","",IFERROR(INDEX(LOTES!$D$5:$D$1004,MATCH(C884,LOTES!$F$5:$F$1004,0)),"¿Lote?"))</f>
        <v/>
      </c>
      <c r="E884" s="11" t="str">
        <f aca="false">IF(C884="","",IFERROR(INDEX(LOTES!$C$5:$C$1004,MATCH(C884,LOTES!$F$5:$F$1004,0)),""))</f>
        <v/>
      </c>
      <c r="F884" s="27"/>
      <c r="G884" s="27"/>
      <c r="H884" s="27"/>
      <c r="I884" s="20" t="str">
        <f aca="false">IF(AND(ISNUMBER(F884),ISNUMBER(G884),ISNUMBER(H884),F884&gt;G884,H884&gt;0),(F884-H884)/(F884-G884)*1000,"")</f>
        <v/>
      </c>
      <c r="J884" s="17" t="str">
        <f aca="false">IF(AND(ISNUMBER(F884),ISNUMBER(G884),ISNUMBER(H884),F884&gt;G884,H884&gt;0),(F884-H884)/H884,"")</f>
        <v/>
      </c>
      <c r="K884" s="20" t="str">
        <f aca="false">IF(AND(ISNUMBER(F884),ISNUMBER(G884),ISNUMBER(H884),F884&gt;G884,H884&gt;0),H884/(F884-G884)*1000,"")</f>
        <v/>
      </c>
      <c r="L884" s="11" t="str">
        <f aca="false">IF(K884="","",IF(K884&gt;=CONFIG!$E$21,CONFIG!$D$21,IF(K884&gt;=CONFIG!$E$20,CONFIG!$D$20,CONFIG!$D$19)))</f>
        <v/>
      </c>
      <c r="M884" s="20" t="str">
        <f aca="false">IF(K884="","",IF(K884&gt;=CONFIG!$E$21,CONFIG!$F$21,IF(K884&gt;=CONFIG!$E$20,CONFIG!$F$20,CONFIG!$F$19)))</f>
        <v/>
      </c>
      <c r="N884" s="19" t="str">
        <f aca="false">IF(I884="","",IF(I884&lt;=M884,"OK","ALTA"))</f>
        <v/>
      </c>
      <c r="O884" s="13"/>
    </row>
    <row r="885" customFormat="false" ht="15" hidden="false" customHeight="false" outlineLevel="0" collapsed="false">
      <c r="A885" s="11" t="str">
        <f aca="false">IF(C885="","",ROW()-4)</f>
        <v/>
      </c>
      <c r="B885" s="12"/>
      <c r="C885" s="13"/>
      <c r="D885" s="11" t="str">
        <f aca="false">IF(C885="","",IFERROR(INDEX(LOTES!$D$5:$D$1004,MATCH(C885,LOTES!$F$5:$F$1004,0)),"¿Lote?"))</f>
        <v/>
      </c>
      <c r="E885" s="11" t="str">
        <f aca="false">IF(C885="","",IFERROR(INDEX(LOTES!$C$5:$C$1004,MATCH(C885,LOTES!$F$5:$F$1004,0)),""))</f>
        <v/>
      </c>
      <c r="F885" s="27"/>
      <c r="G885" s="27"/>
      <c r="H885" s="27"/>
      <c r="I885" s="20" t="str">
        <f aca="false">IF(AND(ISNUMBER(F885),ISNUMBER(G885),ISNUMBER(H885),F885&gt;G885,H885&gt;0),(F885-H885)/(F885-G885)*1000,"")</f>
        <v/>
      </c>
      <c r="J885" s="17" t="str">
        <f aca="false">IF(AND(ISNUMBER(F885),ISNUMBER(G885),ISNUMBER(H885),F885&gt;G885,H885&gt;0),(F885-H885)/H885,"")</f>
        <v/>
      </c>
      <c r="K885" s="20" t="str">
        <f aca="false">IF(AND(ISNUMBER(F885),ISNUMBER(G885),ISNUMBER(H885),F885&gt;G885,H885&gt;0),H885/(F885-G885)*1000,"")</f>
        <v/>
      </c>
      <c r="L885" s="11" t="str">
        <f aca="false">IF(K885="","",IF(K885&gt;=CONFIG!$E$21,CONFIG!$D$21,IF(K885&gt;=CONFIG!$E$20,CONFIG!$D$20,CONFIG!$D$19)))</f>
        <v/>
      </c>
      <c r="M885" s="20" t="str">
        <f aca="false">IF(K885="","",IF(K885&gt;=CONFIG!$E$21,CONFIG!$F$21,IF(K885&gt;=CONFIG!$E$20,CONFIG!$F$20,CONFIG!$F$19)))</f>
        <v/>
      </c>
      <c r="N885" s="19" t="str">
        <f aca="false">IF(I885="","",IF(I885&lt;=M885,"OK","ALTA"))</f>
        <v/>
      </c>
      <c r="O885" s="13"/>
    </row>
    <row r="886" customFormat="false" ht="15" hidden="false" customHeight="false" outlineLevel="0" collapsed="false">
      <c r="A886" s="11" t="str">
        <f aca="false">IF(C886="","",ROW()-4)</f>
        <v/>
      </c>
      <c r="B886" s="12"/>
      <c r="C886" s="13"/>
      <c r="D886" s="11" t="str">
        <f aca="false">IF(C886="","",IFERROR(INDEX(LOTES!$D$5:$D$1004,MATCH(C886,LOTES!$F$5:$F$1004,0)),"¿Lote?"))</f>
        <v/>
      </c>
      <c r="E886" s="11" t="str">
        <f aca="false">IF(C886="","",IFERROR(INDEX(LOTES!$C$5:$C$1004,MATCH(C886,LOTES!$F$5:$F$1004,0)),""))</f>
        <v/>
      </c>
      <c r="F886" s="27"/>
      <c r="G886" s="27"/>
      <c r="H886" s="27"/>
      <c r="I886" s="20" t="str">
        <f aca="false">IF(AND(ISNUMBER(F886),ISNUMBER(G886),ISNUMBER(H886),F886&gt;G886,H886&gt;0),(F886-H886)/(F886-G886)*1000,"")</f>
        <v/>
      </c>
      <c r="J886" s="17" t="str">
        <f aca="false">IF(AND(ISNUMBER(F886),ISNUMBER(G886),ISNUMBER(H886),F886&gt;G886,H886&gt;0),(F886-H886)/H886,"")</f>
        <v/>
      </c>
      <c r="K886" s="20" t="str">
        <f aca="false">IF(AND(ISNUMBER(F886),ISNUMBER(G886),ISNUMBER(H886),F886&gt;G886,H886&gt;0),H886/(F886-G886)*1000,"")</f>
        <v/>
      </c>
      <c r="L886" s="11" t="str">
        <f aca="false">IF(K886="","",IF(K886&gt;=CONFIG!$E$21,CONFIG!$D$21,IF(K886&gt;=CONFIG!$E$20,CONFIG!$D$20,CONFIG!$D$19)))</f>
        <v/>
      </c>
      <c r="M886" s="20" t="str">
        <f aca="false">IF(K886="","",IF(K886&gt;=CONFIG!$E$21,CONFIG!$F$21,IF(K886&gt;=CONFIG!$E$20,CONFIG!$F$20,CONFIG!$F$19)))</f>
        <v/>
      </c>
      <c r="N886" s="19" t="str">
        <f aca="false">IF(I886="","",IF(I886&lt;=M886,"OK","ALTA"))</f>
        <v/>
      </c>
      <c r="O886" s="13"/>
    </row>
    <row r="887" customFormat="false" ht="15" hidden="false" customHeight="false" outlineLevel="0" collapsed="false">
      <c r="A887" s="11" t="str">
        <f aca="false">IF(C887="","",ROW()-4)</f>
        <v/>
      </c>
      <c r="B887" s="12"/>
      <c r="C887" s="13"/>
      <c r="D887" s="11" t="str">
        <f aca="false">IF(C887="","",IFERROR(INDEX(LOTES!$D$5:$D$1004,MATCH(C887,LOTES!$F$5:$F$1004,0)),"¿Lote?"))</f>
        <v/>
      </c>
      <c r="E887" s="11" t="str">
        <f aca="false">IF(C887="","",IFERROR(INDEX(LOTES!$C$5:$C$1004,MATCH(C887,LOTES!$F$5:$F$1004,0)),""))</f>
        <v/>
      </c>
      <c r="F887" s="27"/>
      <c r="G887" s="27"/>
      <c r="H887" s="27"/>
      <c r="I887" s="20" t="str">
        <f aca="false">IF(AND(ISNUMBER(F887),ISNUMBER(G887),ISNUMBER(H887),F887&gt;G887,H887&gt;0),(F887-H887)/(F887-G887)*1000,"")</f>
        <v/>
      </c>
      <c r="J887" s="17" t="str">
        <f aca="false">IF(AND(ISNUMBER(F887),ISNUMBER(G887),ISNUMBER(H887),F887&gt;G887,H887&gt;0),(F887-H887)/H887,"")</f>
        <v/>
      </c>
      <c r="K887" s="20" t="str">
        <f aca="false">IF(AND(ISNUMBER(F887),ISNUMBER(G887),ISNUMBER(H887),F887&gt;G887,H887&gt;0),H887/(F887-G887)*1000,"")</f>
        <v/>
      </c>
      <c r="L887" s="11" t="str">
        <f aca="false">IF(K887="","",IF(K887&gt;=CONFIG!$E$21,CONFIG!$D$21,IF(K887&gt;=CONFIG!$E$20,CONFIG!$D$20,CONFIG!$D$19)))</f>
        <v/>
      </c>
      <c r="M887" s="20" t="str">
        <f aca="false">IF(K887="","",IF(K887&gt;=CONFIG!$E$21,CONFIG!$F$21,IF(K887&gt;=CONFIG!$E$20,CONFIG!$F$20,CONFIG!$F$19)))</f>
        <v/>
      </c>
      <c r="N887" s="19" t="str">
        <f aca="false">IF(I887="","",IF(I887&lt;=M887,"OK","ALTA"))</f>
        <v/>
      </c>
      <c r="O887" s="13"/>
    </row>
    <row r="888" customFormat="false" ht="15" hidden="false" customHeight="false" outlineLevel="0" collapsed="false">
      <c r="A888" s="11" t="str">
        <f aca="false">IF(C888="","",ROW()-4)</f>
        <v/>
      </c>
      <c r="B888" s="12"/>
      <c r="C888" s="13"/>
      <c r="D888" s="11" t="str">
        <f aca="false">IF(C888="","",IFERROR(INDEX(LOTES!$D$5:$D$1004,MATCH(C888,LOTES!$F$5:$F$1004,0)),"¿Lote?"))</f>
        <v/>
      </c>
      <c r="E888" s="11" t="str">
        <f aca="false">IF(C888="","",IFERROR(INDEX(LOTES!$C$5:$C$1004,MATCH(C888,LOTES!$F$5:$F$1004,0)),""))</f>
        <v/>
      </c>
      <c r="F888" s="27"/>
      <c r="G888" s="27"/>
      <c r="H888" s="27"/>
      <c r="I888" s="20" t="str">
        <f aca="false">IF(AND(ISNUMBER(F888),ISNUMBER(G888),ISNUMBER(H888),F888&gt;G888,H888&gt;0),(F888-H888)/(F888-G888)*1000,"")</f>
        <v/>
      </c>
      <c r="J888" s="17" t="str">
        <f aca="false">IF(AND(ISNUMBER(F888),ISNUMBER(G888),ISNUMBER(H888),F888&gt;G888,H888&gt;0),(F888-H888)/H888,"")</f>
        <v/>
      </c>
      <c r="K888" s="20" t="str">
        <f aca="false">IF(AND(ISNUMBER(F888),ISNUMBER(G888),ISNUMBER(H888),F888&gt;G888,H888&gt;0),H888/(F888-G888)*1000,"")</f>
        <v/>
      </c>
      <c r="L888" s="11" t="str">
        <f aca="false">IF(K888="","",IF(K888&gt;=CONFIG!$E$21,CONFIG!$D$21,IF(K888&gt;=CONFIG!$E$20,CONFIG!$D$20,CONFIG!$D$19)))</f>
        <v/>
      </c>
      <c r="M888" s="20" t="str">
        <f aca="false">IF(K888="","",IF(K888&gt;=CONFIG!$E$21,CONFIG!$F$21,IF(K888&gt;=CONFIG!$E$20,CONFIG!$F$20,CONFIG!$F$19)))</f>
        <v/>
      </c>
      <c r="N888" s="19" t="str">
        <f aca="false">IF(I888="","",IF(I888&lt;=M888,"OK","ALTA"))</f>
        <v/>
      </c>
      <c r="O888" s="13"/>
    </row>
    <row r="889" customFormat="false" ht="15" hidden="false" customHeight="false" outlineLevel="0" collapsed="false">
      <c r="A889" s="11" t="str">
        <f aca="false">IF(C889="","",ROW()-4)</f>
        <v/>
      </c>
      <c r="B889" s="12"/>
      <c r="C889" s="13"/>
      <c r="D889" s="11" t="str">
        <f aca="false">IF(C889="","",IFERROR(INDEX(LOTES!$D$5:$D$1004,MATCH(C889,LOTES!$F$5:$F$1004,0)),"¿Lote?"))</f>
        <v/>
      </c>
      <c r="E889" s="11" t="str">
        <f aca="false">IF(C889="","",IFERROR(INDEX(LOTES!$C$5:$C$1004,MATCH(C889,LOTES!$F$5:$F$1004,0)),""))</f>
        <v/>
      </c>
      <c r="F889" s="27"/>
      <c r="G889" s="27"/>
      <c r="H889" s="27"/>
      <c r="I889" s="20" t="str">
        <f aca="false">IF(AND(ISNUMBER(F889),ISNUMBER(G889),ISNUMBER(H889),F889&gt;G889,H889&gt;0),(F889-H889)/(F889-G889)*1000,"")</f>
        <v/>
      </c>
      <c r="J889" s="17" t="str">
        <f aca="false">IF(AND(ISNUMBER(F889),ISNUMBER(G889),ISNUMBER(H889),F889&gt;G889,H889&gt;0),(F889-H889)/H889,"")</f>
        <v/>
      </c>
      <c r="K889" s="20" t="str">
        <f aca="false">IF(AND(ISNUMBER(F889),ISNUMBER(G889),ISNUMBER(H889),F889&gt;G889,H889&gt;0),H889/(F889-G889)*1000,"")</f>
        <v/>
      </c>
      <c r="L889" s="11" t="str">
        <f aca="false">IF(K889="","",IF(K889&gt;=CONFIG!$E$21,CONFIG!$D$21,IF(K889&gt;=CONFIG!$E$20,CONFIG!$D$20,CONFIG!$D$19)))</f>
        <v/>
      </c>
      <c r="M889" s="20" t="str">
        <f aca="false">IF(K889="","",IF(K889&gt;=CONFIG!$E$21,CONFIG!$F$21,IF(K889&gt;=CONFIG!$E$20,CONFIG!$F$20,CONFIG!$F$19)))</f>
        <v/>
      </c>
      <c r="N889" s="19" t="str">
        <f aca="false">IF(I889="","",IF(I889&lt;=M889,"OK","ALTA"))</f>
        <v/>
      </c>
      <c r="O889" s="13"/>
    </row>
    <row r="890" customFormat="false" ht="15" hidden="false" customHeight="false" outlineLevel="0" collapsed="false">
      <c r="A890" s="11" t="str">
        <f aca="false">IF(C890="","",ROW()-4)</f>
        <v/>
      </c>
      <c r="B890" s="12"/>
      <c r="C890" s="13"/>
      <c r="D890" s="11" t="str">
        <f aca="false">IF(C890="","",IFERROR(INDEX(LOTES!$D$5:$D$1004,MATCH(C890,LOTES!$F$5:$F$1004,0)),"¿Lote?"))</f>
        <v/>
      </c>
      <c r="E890" s="11" t="str">
        <f aca="false">IF(C890="","",IFERROR(INDEX(LOTES!$C$5:$C$1004,MATCH(C890,LOTES!$F$5:$F$1004,0)),""))</f>
        <v/>
      </c>
      <c r="F890" s="27"/>
      <c r="G890" s="27"/>
      <c r="H890" s="27"/>
      <c r="I890" s="20" t="str">
        <f aca="false">IF(AND(ISNUMBER(F890),ISNUMBER(G890),ISNUMBER(H890),F890&gt;G890,H890&gt;0),(F890-H890)/(F890-G890)*1000,"")</f>
        <v/>
      </c>
      <c r="J890" s="17" t="str">
        <f aca="false">IF(AND(ISNUMBER(F890),ISNUMBER(G890),ISNUMBER(H890),F890&gt;G890,H890&gt;0),(F890-H890)/H890,"")</f>
        <v/>
      </c>
      <c r="K890" s="20" t="str">
        <f aca="false">IF(AND(ISNUMBER(F890),ISNUMBER(G890),ISNUMBER(H890),F890&gt;G890,H890&gt;0),H890/(F890-G890)*1000,"")</f>
        <v/>
      </c>
      <c r="L890" s="11" t="str">
        <f aca="false">IF(K890="","",IF(K890&gt;=CONFIG!$E$21,CONFIG!$D$21,IF(K890&gt;=CONFIG!$E$20,CONFIG!$D$20,CONFIG!$D$19)))</f>
        <v/>
      </c>
      <c r="M890" s="20" t="str">
        <f aca="false">IF(K890="","",IF(K890&gt;=CONFIG!$E$21,CONFIG!$F$21,IF(K890&gt;=CONFIG!$E$20,CONFIG!$F$20,CONFIG!$F$19)))</f>
        <v/>
      </c>
      <c r="N890" s="19" t="str">
        <f aca="false">IF(I890="","",IF(I890&lt;=M890,"OK","ALTA"))</f>
        <v/>
      </c>
      <c r="O890" s="13"/>
    </row>
    <row r="891" customFormat="false" ht="15" hidden="false" customHeight="false" outlineLevel="0" collapsed="false">
      <c r="A891" s="11" t="str">
        <f aca="false">IF(C891="","",ROW()-4)</f>
        <v/>
      </c>
      <c r="B891" s="12"/>
      <c r="C891" s="13"/>
      <c r="D891" s="11" t="str">
        <f aca="false">IF(C891="","",IFERROR(INDEX(LOTES!$D$5:$D$1004,MATCH(C891,LOTES!$F$5:$F$1004,0)),"¿Lote?"))</f>
        <v/>
      </c>
      <c r="E891" s="11" t="str">
        <f aca="false">IF(C891="","",IFERROR(INDEX(LOTES!$C$5:$C$1004,MATCH(C891,LOTES!$F$5:$F$1004,0)),""))</f>
        <v/>
      </c>
      <c r="F891" s="27"/>
      <c r="G891" s="27"/>
      <c r="H891" s="27"/>
      <c r="I891" s="20" t="str">
        <f aca="false">IF(AND(ISNUMBER(F891),ISNUMBER(G891),ISNUMBER(H891),F891&gt;G891,H891&gt;0),(F891-H891)/(F891-G891)*1000,"")</f>
        <v/>
      </c>
      <c r="J891" s="17" t="str">
        <f aca="false">IF(AND(ISNUMBER(F891),ISNUMBER(G891),ISNUMBER(H891),F891&gt;G891,H891&gt;0),(F891-H891)/H891,"")</f>
        <v/>
      </c>
      <c r="K891" s="20" t="str">
        <f aca="false">IF(AND(ISNUMBER(F891),ISNUMBER(G891),ISNUMBER(H891),F891&gt;G891,H891&gt;0),H891/(F891-G891)*1000,"")</f>
        <v/>
      </c>
      <c r="L891" s="11" t="str">
        <f aca="false">IF(K891="","",IF(K891&gt;=CONFIG!$E$21,CONFIG!$D$21,IF(K891&gt;=CONFIG!$E$20,CONFIG!$D$20,CONFIG!$D$19)))</f>
        <v/>
      </c>
      <c r="M891" s="20" t="str">
        <f aca="false">IF(K891="","",IF(K891&gt;=CONFIG!$E$21,CONFIG!$F$21,IF(K891&gt;=CONFIG!$E$20,CONFIG!$F$20,CONFIG!$F$19)))</f>
        <v/>
      </c>
      <c r="N891" s="19" t="str">
        <f aca="false">IF(I891="","",IF(I891&lt;=M891,"OK","ALTA"))</f>
        <v/>
      </c>
      <c r="O891" s="13"/>
    </row>
    <row r="892" customFormat="false" ht="15" hidden="false" customHeight="false" outlineLevel="0" collapsed="false">
      <c r="A892" s="11" t="str">
        <f aca="false">IF(C892="","",ROW()-4)</f>
        <v/>
      </c>
      <c r="B892" s="12"/>
      <c r="C892" s="13"/>
      <c r="D892" s="11" t="str">
        <f aca="false">IF(C892="","",IFERROR(INDEX(LOTES!$D$5:$D$1004,MATCH(C892,LOTES!$F$5:$F$1004,0)),"¿Lote?"))</f>
        <v/>
      </c>
      <c r="E892" s="11" t="str">
        <f aca="false">IF(C892="","",IFERROR(INDEX(LOTES!$C$5:$C$1004,MATCH(C892,LOTES!$F$5:$F$1004,0)),""))</f>
        <v/>
      </c>
      <c r="F892" s="27"/>
      <c r="G892" s="27"/>
      <c r="H892" s="27"/>
      <c r="I892" s="20" t="str">
        <f aca="false">IF(AND(ISNUMBER(F892),ISNUMBER(G892),ISNUMBER(H892),F892&gt;G892,H892&gt;0),(F892-H892)/(F892-G892)*1000,"")</f>
        <v/>
      </c>
      <c r="J892" s="17" t="str">
        <f aca="false">IF(AND(ISNUMBER(F892),ISNUMBER(G892),ISNUMBER(H892),F892&gt;G892,H892&gt;0),(F892-H892)/H892,"")</f>
        <v/>
      </c>
      <c r="K892" s="20" t="str">
        <f aca="false">IF(AND(ISNUMBER(F892),ISNUMBER(G892),ISNUMBER(H892),F892&gt;G892,H892&gt;0),H892/(F892-G892)*1000,"")</f>
        <v/>
      </c>
      <c r="L892" s="11" t="str">
        <f aca="false">IF(K892="","",IF(K892&gt;=CONFIG!$E$21,CONFIG!$D$21,IF(K892&gt;=CONFIG!$E$20,CONFIG!$D$20,CONFIG!$D$19)))</f>
        <v/>
      </c>
      <c r="M892" s="20" t="str">
        <f aca="false">IF(K892="","",IF(K892&gt;=CONFIG!$E$21,CONFIG!$F$21,IF(K892&gt;=CONFIG!$E$20,CONFIG!$F$20,CONFIG!$F$19)))</f>
        <v/>
      </c>
      <c r="N892" s="19" t="str">
        <f aca="false">IF(I892="","",IF(I892&lt;=M892,"OK","ALTA"))</f>
        <v/>
      </c>
      <c r="O892" s="13"/>
    </row>
    <row r="893" customFormat="false" ht="15" hidden="false" customHeight="false" outlineLevel="0" collapsed="false">
      <c r="A893" s="11" t="str">
        <f aca="false">IF(C893="","",ROW()-4)</f>
        <v/>
      </c>
      <c r="B893" s="12"/>
      <c r="C893" s="13"/>
      <c r="D893" s="11" t="str">
        <f aca="false">IF(C893="","",IFERROR(INDEX(LOTES!$D$5:$D$1004,MATCH(C893,LOTES!$F$5:$F$1004,0)),"¿Lote?"))</f>
        <v/>
      </c>
      <c r="E893" s="11" t="str">
        <f aca="false">IF(C893="","",IFERROR(INDEX(LOTES!$C$5:$C$1004,MATCH(C893,LOTES!$F$5:$F$1004,0)),""))</f>
        <v/>
      </c>
      <c r="F893" s="27"/>
      <c r="G893" s="27"/>
      <c r="H893" s="27"/>
      <c r="I893" s="20" t="str">
        <f aca="false">IF(AND(ISNUMBER(F893),ISNUMBER(G893),ISNUMBER(H893),F893&gt;G893,H893&gt;0),(F893-H893)/(F893-G893)*1000,"")</f>
        <v/>
      </c>
      <c r="J893" s="17" t="str">
        <f aca="false">IF(AND(ISNUMBER(F893),ISNUMBER(G893),ISNUMBER(H893),F893&gt;G893,H893&gt;0),(F893-H893)/H893,"")</f>
        <v/>
      </c>
      <c r="K893" s="20" t="str">
        <f aca="false">IF(AND(ISNUMBER(F893),ISNUMBER(G893),ISNUMBER(H893),F893&gt;G893,H893&gt;0),H893/(F893-G893)*1000,"")</f>
        <v/>
      </c>
      <c r="L893" s="11" t="str">
        <f aca="false">IF(K893="","",IF(K893&gt;=CONFIG!$E$21,CONFIG!$D$21,IF(K893&gt;=CONFIG!$E$20,CONFIG!$D$20,CONFIG!$D$19)))</f>
        <v/>
      </c>
      <c r="M893" s="20" t="str">
        <f aca="false">IF(K893="","",IF(K893&gt;=CONFIG!$E$21,CONFIG!$F$21,IF(K893&gt;=CONFIG!$E$20,CONFIG!$F$20,CONFIG!$F$19)))</f>
        <v/>
      </c>
      <c r="N893" s="19" t="str">
        <f aca="false">IF(I893="","",IF(I893&lt;=M893,"OK","ALTA"))</f>
        <v/>
      </c>
      <c r="O893" s="13"/>
    </row>
    <row r="894" customFormat="false" ht="15" hidden="false" customHeight="false" outlineLevel="0" collapsed="false">
      <c r="A894" s="11" t="str">
        <f aca="false">IF(C894="","",ROW()-4)</f>
        <v/>
      </c>
      <c r="B894" s="12"/>
      <c r="C894" s="13"/>
      <c r="D894" s="11" t="str">
        <f aca="false">IF(C894="","",IFERROR(INDEX(LOTES!$D$5:$D$1004,MATCH(C894,LOTES!$F$5:$F$1004,0)),"¿Lote?"))</f>
        <v/>
      </c>
      <c r="E894" s="11" t="str">
        <f aca="false">IF(C894="","",IFERROR(INDEX(LOTES!$C$5:$C$1004,MATCH(C894,LOTES!$F$5:$F$1004,0)),""))</f>
        <v/>
      </c>
      <c r="F894" s="27"/>
      <c r="G894" s="27"/>
      <c r="H894" s="27"/>
      <c r="I894" s="20" t="str">
        <f aca="false">IF(AND(ISNUMBER(F894),ISNUMBER(G894),ISNUMBER(H894),F894&gt;G894,H894&gt;0),(F894-H894)/(F894-G894)*1000,"")</f>
        <v/>
      </c>
      <c r="J894" s="17" t="str">
        <f aca="false">IF(AND(ISNUMBER(F894),ISNUMBER(G894),ISNUMBER(H894),F894&gt;G894,H894&gt;0),(F894-H894)/H894,"")</f>
        <v/>
      </c>
      <c r="K894" s="20" t="str">
        <f aca="false">IF(AND(ISNUMBER(F894),ISNUMBER(G894),ISNUMBER(H894),F894&gt;G894,H894&gt;0),H894/(F894-G894)*1000,"")</f>
        <v/>
      </c>
      <c r="L894" s="11" t="str">
        <f aca="false">IF(K894="","",IF(K894&gt;=CONFIG!$E$21,CONFIG!$D$21,IF(K894&gt;=CONFIG!$E$20,CONFIG!$D$20,CONFIG!$D$19)))</f>
        <v/>
      </c>
      <c r="M894" s="20" t="str">
        <f aca="false">IF(K894="","",IF(K894&gt;=CONFIG!$E$21,CONFIG!$F$21,IF(K894&gt;=CONFIG!$E$20,CONFIG!$F$20,CONFIG!$F$19)))</f>
        <v/>
      </c>
      <c r="N894" s="19" t="str">
        <f aca="false">IF(I894="","",IF(I894&lt;=M894,"OK","ALTA"))</f>
        <v/>
      </c>
      <c r="O894" s="13"/>
    </row>
    <row r="895" customFormat="false" ht="15" hidden="false" customHeight="false" outlineLevel="0" collapsed="false">
      <c r="A895" s="11" t="str">
        <f aca="false">IF(C895="","",ROW()-4)</f>
        <v/>
      </c>
      <c r="B895" s="12"/>
      <c r="C895" s="13"/>
      <c r="D895" s="11" t="str">
        <f aca="false">IF(C895="","",IFERROR(INDEX(LOTES!$D$5:$D$1004,MATCH(C895,LOTES!$F$5:$F$1004,0)),"¿Lote?"))</f>
        <v/>
      </c>
      <c r="E895" s="11" t="str">
        <f aca="false">IF(C895="","",IFERROR(INDEX(LOTES!$C$5:$C$1004,MATCH(C895,LOTES!$F$5:$F$1004,0)),""))</f>
        <v/>
      </c>
      <c r="F895" s="27"/>
      <c r="G895" s="27"/>
      <c r="H895" s="27"/>
      <c r="I895" s="20" t="str">
        <f aca="false">IF(AND(ISNUMBER(F895),ISNUMBER(G895),ISNUMBER(H895),F895&gt;G895,H895&gt;0),(F895-H895)/(F895-G895)*1000,"")</f>
        <v/>
      </c>
      <c r="J895" s="17" t="str">
        <f aca="false">IF(AND(ISNUMBER(F895),ISNUMBER(G895),ISNUMBER(H895),F895&gt;G895,H895&gt;0),(F895-H895)/H895,"")</f>
        <v/>
      </c>
      <c r="K895" s="20" t="str">
        <f aca="false">IF(AND(ISNUMBER(F895),ISNUMBER(G895),ISNUMBER(H895),F895&gt;G895,H895&gt;0),H895/(F895-G895)*1000,"")</f>
        <v/>
      </c>
      <c r="L895" s="11" t="str">
        <f aca="false">IF(K895="","",IF(K895&gt;=CONFIG!$E$21,CONFIG!$D$21,IF(K895&gt;=CONFIG!$E$20,CONFIG!$D$20,CONFIG!$D$19)))</f>
        <v/>
      </c>
      <c r="M895" s="20" t="str">
        <f aca="false">IF(K895="","",IF(K895&gt;=CONFIG!$E$21,CONFIG!$F$21,IF(K895&gt;=CONFIG!$E$20,CONFIG!$F$20,CONFIG!$F$19)))</f>
        <v/>
      </c>
      <c r="N895" s="19" t="str">
        <f aca="false">IF(I895="","",IF(I895&lt;=M895,"OK","ALTA"))</f>
        <v/>
      </c>
      <c r="O895" s="13"/>
    </row>
    <row r="896" customFormat="false" ht="15" hidden="false" customHeight="false" outlineLevel="0" collapsed="false">
      <c r="A896" s="11" t="str">
        <f aca="false">IF(C896="","",ROW()-4)</f>
        <v/>
      </c>
      <c r="B896" s="12"/>
      <c r="C896" s="13"/>
      <c r="D896" s="11" t="str">
        <f aca="false">IF(C896="","",IFERROR(INDEX(LOTES!$D$5:$D$1004,MATCH(C896,LOTES!$F$5:$F$1004,0)),"¿Lote?"))</f>
        <v/>
      </c>
      <c r="E896" s="11" t="str">
        <f aca="false">IF(C896="","",IFERROR(INDEX(LOTES!$C$5:$C$1004,MATCH(C896,LOTES!$F$5:$F$1004,0)),""))</f>
        <v/>
      </c>
      <c r="F896" s="27"/>
      <c r="G896" s="27"/>
      <c r="H896" s="27"/>
      <c r="I896" s="20" t="str">
        <f aca="false">IF(AND(ISNUMBER(F896),ISNUMBER(G896),ISNUMBER(H896),F896&gt;G896,H896&gt;0),(F896-H896)/(F896-G896)*1000,"")</f>
        <v/>
      </c>
      <c r="J896" s="17" t="str">
        <f aca="false">IF(AND(ISNUMBER(F896),ISNUMBER(G896),ISNUMBER(H896),F896&gt;G896,H896&gt;0),(F896-H896)/H896,"")</f>
        <v/>
      </c>
      <c r="K896" s="20" t="str">
        <f aca="false">IF(AND(ISNUMBER(F896),ISNUMBER(G896),ISNUMBER(H896),F896&gt;G896,H896&gt;0),H896/(F896-G896)*1000,"")</f>
        <v/>
      </c>
      <c r="L896" s="11" t="str">
        <f aca="false">IF(K896="","",IF(K896&gt;=CONFIG!$E$21,CONFIG!$D$21,IF(K896&gt;=CONFIG!$E$20,CONFIG!$D$20,CONFIG!$D$19)))</f>
        <v/>
      </c>
      <c r="M896" s="20" t="str">
        <f aca="false">IF(K896="","",IF(K896&gt;=CONFIG!$E$21,CONFIG!$F$21,IF(K896&gt;=CONFIG!$E$20,CONFIG!$F$20,CONFIG!$F$19)))</f>
        <v/>
      </c>
      <c r="N896" s="19" t="str">
        <f aca="false">IF(I896="","",IF(I896&lt;=M896,"OK","ALTA"))</f>
        <v/>
      </c>
      <c r="O896" s="13"/>
    </row>
    <row r="897" customFormat="false" ht="15" hidden="false" customHeight="false" outlineLevel="0" collapsed="false">
      <c r="A897" s="11" t="str">
        <f aca="false">IF(C897="","",ROW()-4)</f>
        <v/>
      </c>
      <c r="B897" s="12"/>
      <c r="C897" s="13"/>
      <c r="D897" s="11" t="str">
        <f aca="false">IF(C897="","",IFERROR(INDEX(LOTES!$D$5:$D$1004,MATCH(C897,LOTES!$F$5:$F$1004,0)),"¿Lote?"))</f>
        <v/>
      </c>
      <c r="E897" s="11" t="str">
        <f aca="false">IF(C897="","",IFERROR(INDEX(LOTES!$C$5:$C$1004,MATCH(C897,LOTES!$F$5:$F$1004,0)),""))</f>
        <v/>
      </c>
      <c r="F897" s="27"/>
      <c r="G897" s="27"/>
      <c r="H897" s="27"/>
      <c r="I897" s="20" t="str">
        <f aca="false">IF(AND(ISNUMBER(F897),ISNUMBER(G897),ISNUMBER(H897),F897&gt;G897,H897&gt;0),(F897-H897)/(F897-G897)*1000,"")</f>
        <v/>
      </c>
      <c r="J897" s="17" t="str">
        <f aca="false">IF(AND(ISNUMBER(F897),ISNUMBER(G897),ISNUMBER(H897),F897&gt;G897,H897&gt;0),(F897-H897)/H897,"")</f>
        <v/>
      </c>
      <c r="K897" s="20" t="str">
        <f aca="false">IF(AND(ISNUMBER(F897),ISNUMBER(G897),ISNUMBER(H897),F897&gt;G897,H897&gt;0),H897/(F897-G897)*1000,"")</f>
        <v/>
      </c>
      <c r="L897" s="11" t="str">
        <f aca="false">IF(K897="","",IF(K897&gt;=CONFIG!$E$21,CONFIG!$D$21,IF(K897&gt;=CONFIG!$E$20,CONFIG!$D$20,CONFIG!$D$19)))</f>
        <v/>
      </c>
      <c r="M897" s="20" t="str">
        <f aca="false">IF(K897="","",IF(K897&gt;=CONFIG!$E$21,CONFIG!$F$21,IF(K897&gt;=CONFIG!$E$20,CONFIG!$F$20,CONFIG!$F$19)))</f>
        <v/>
      </c>
      <c r="N897" s="19" t="str">
        <f aca="false">IF(I897="","",IF(I897&lt;=M897,"OK","ALTA"))</f>
        <v/>
      </c>
      <c r="O897" s="13"/>
    </row>
    <row r="898" customFormat="false" ht="15" hidden="false" customHeight="false" outlineLevel="0" collapsed="false">
      <c r="A898" s="11" t="str">
        <f aca="false">IF(C898="","",ROW()-4)</f>
        <v/>
      </c>
      <c r="B898" s="12"/>
      <c r="C898" s="13"/>
      <c r="D898" s="11" t="str">
        <f aca="false">IF(C898="","",IFERROR(INDEX(LOTES!$D$5:$D$1004,MATCH(C898,LOTES!$F$5:$F$1004,0)),"¿Lote?"))</f>
        <v/>
      </c>
      <c r="E898" s="11" t="str">
        <f aca="false">IF(C898="","",IFERROR(INDEX(LOTES!$C$5:$C$1004,MATCH(C898,LOTES!$F$5:$F$1004,0)),""))</f>
        <v/>
      </c>
      <c r="F898" s="27"/>
      <c r="G898" s="27"/>
      <c r="H898" s="27"/>
      <c r="I898" s="20" t="str">
        <f aca="false">IF(AND(ISNUMBER(F898),ISNUMBER(G898),ISNUMBER(H898),F898&gt;G898,H898&gt;0),(F898-H898)/(F898-G898)*1000,"")</f>
        <v/>
      </c>
      <c r="J898" s="17" t="str">
        <f aca="false">IF(AND(ISNUMBER(F898),ISNUMBER(G898),ISNUMBER(H898),F898&gt;G898,H898&gt;0),(F898-H898)/H898,"")</f>
        <v/>
      </c>
      <c r="K898" s="20" t="str">
        <f aca="false">IF(AND(ISNUMBER(F898),ISNUMBER(G898),ISNUMBER(H898),F898&gt;G898,H898&gt;0),H898/(F898-G898)*1000,"")</f>
        <v/>
      </c>
      <c r="L898" s="11" t="str">
        <f aca="false">IF(K898="","",IF(K898&gt;=CONFIG!$E$21,CONFIG!$D$21,IF(K898&gt;=CONFIG!$E$20,CONFIG!$D$20,CONFIG!$D$19)))</f>
        <v/>
      </c>
      <c r="M898" s="20" t="str">
        <f aca="false">IF(K898="","",IF(K898&gt;=CONFIG!$E$21,CONFIG!$F$21,IF(K898&gt;=CONFIG!$E$20,CONFIG!$F$20,CONFIG!$F$19)))</f>
        <v/>
      </c>
      <c r="N898" s="19" t="str">
        <f aca="false">IF(I898="","",IF(I898&lt;=M898,"OK","ALTA"))</f>
        <v/>
      </c>
      <c r="O898" s="13"/>
    </row>
    <row r="899" customFormat="false" ht="15" hidden="false" customHeight="false" outlineLevel="0" collapsed="false">
      <c r="A899" s="11" t="str">
        <f aca="false">IF(C899="","",ROW()-4)</f>
        <v/>
      </c>
      <c r="B899" s="12"/>
      <c r="C899" s="13"/>
      <c r="D899" s="11" t="str">
        <f aca="false">IF(C899="","",IFERROR(INDEX(LOTES!$D$5:$D$1004,MATCH(C899,LOTES!$F$5:$F$1004,0)),"¿Lote?"))</f>
        <v/>
      </c>
      <c r="E899" s="11" t="str">
        <f aca="false">IF(C899="","",IFERROR(INDEX(LOTES!$C$5:$C$1004,MATCH(C899,LOTES!$F$5:$F$1004,0)),""))</f>
        <v/>
      </c>
      <c r="F899" s="27"/>
      <c r="G899" s="27"/>
      <c r="H899" s="27"/>
      <c r="I899" s="20" t="str">
        <f aca="false">IF(AND(ISNUMBER(F899),ISNUMBER(G899),ISNUMBER(H899),F899&gt;G899,H899&gt;0),(F899-H899)/(F899-G899)*1000,"")</f>
        <v/>
      </c>
      <c r="J899" s="17" t="str">
        <f aca="false">IF(AND(ISNUMBER(F899),ISNUMBER(G899),ISNUMBER(H899),F899&gt;G899,H899&gt;0),(F899-H899)/H899,"")</f>
        <v/>
      </c>
      <c r="K899" s="20" t="str">
        <f aca="false">IF(AND(ISNUMBER(F899),ISNUMBER(G899),ISNUMBER(H899),F899&gt;G899,H899&gt;0),H899/(F899-G899)*1000,"")</f>
        <v/>
      </c>
      <c r="L899" s="11" t="str">
        <f aca="false">IF(K899="","",IF(K899&gt;=CONFIG!$E$21,CONFIG!$D$21,IF(K899&gt;=CONFIG!$E$20,CONFIG!$D$20,CONFIG!$D$19)))</f>
        <v/>
      </c>
      <c r="M899" s="20" t="str">
        <f aca="false">IF(K899="","",IF(K899&gt;=CONFIG!$E$21,CONFIG!$F$21,IF(K899&gt;=CONFIG!$E$20,CONFIG!$F$20,CONFIG!$F$19)))</f>
        <v/>
      </c>
      <c r="N899" s="19" t="str">
        <f aca="false">IF(I899="","",IF(I899&lt;=M899,"OK","ALTA"))</f>
        <v/>
      </c>
      <c r="O899" s="13"/>
    </row>
    <row r="900" customFormat="false" ht="15" hidden="false" customHeight="false" outlineLevel="0" collapsed="false">
      <c r="A900" s="11" t="str">
        <f aca="false">IF(C900="","",ROW()-4)</f>
        <v/>
      </c>
      <c r="B900" s="12"/>
      <c r="C900" s="13"/>
      <c r="D900" s="11" t="str">
        <f aca="false">IF(C900="","",IFERROR(INDEX(LOTES!$D$5:$D$1004,MATCH(C900,LOTES!$F$5:$F$1004,0)),"¿Lote?"))</f>
        <v/>
      </c>
      <c r="E900" s="11" t="str">
        <f aca="false">IF(C900="","",IFERROR(INDEX(LOTES!$C$5:$C$1004,MATCH(C900,LOTES!$F$5:$F$1004,0)),""))</f>
        <v/>
      </c>
      <c r="F900" s="27"/>
      <c r="G900" s="27"/>
      <c r="H900" s="27"/>
      <c r="I900" s="20" t="str">
        <f aca="false">IF(AND(ISNUMBER(F900),ISNUMBER(G900),ISNUMBER(H900),F900&gt;G900,H900&gt;0),(F900-H900)/(F900-G900)*1000,"")</f>
        <v/>
      </c>
      <c r="J900" s="17" t="str">
        <f aca="false">IF(AND(ISNUMBER(F900),ISNUMBER(G900),ISNUMBER(H900),F900&gt;G900,H900&gt;0),(F900-H900)/H900,"")</f>
        <v/>
      </c>
      <c r="K900" s="20" t="str">
        <f aca="false">IF(AND(ISNUMBER(F900),ISNUMBER(G900),ISNUMBER(H900),F900&gt;G900,H900&gt;0),H900/(F900-G900)*1000,"")</f>
        <v/>
      </c>
      <c r="L900" s="11" t="str">
        <f aca="false">IF(K900="","",IF(K900&gt;=CONFIG!$E$21,CONFIG!$D$21,IF(K900&gt;=CONFIG!$E$20,CONFIG!$D$20,CONFIG!$D$19)))</f>
        <v/>
      </c>
      <c r="M900" s="20" t="str">
        <f aca="false">IF(K900="","",IF(K900&gt;=CONFIG!$E$21,CONFIG!$F$21,IF(K900&gt;=CONFIG!$E$20,CONFIG!$F$20,CONFIG!$F$19)))</f>
        <v/>
      </c>
      <c r="N900" s="19" t="str">
        <f aca="false">IF(I900="","",IF(I900&lt;=M900,"OK","ALTA"))</f>
        <v/>
      </c>
      <c r="O900" s="13"/>
    </row>
    <row r="901" customFormat="false" ht="15" hidden="false" customHeight="false" outlineLevel="0" collapsed="false">
      <c r="A901" s="11" t="str">
        <f aca="false">IF(C901="","",ROW()-4)</f>
        <v/>
      </c>
      <c r="B901" s="12"/>
      <c r="C901" s="13"/>
      <c r="D901" s="11" t="str">
        <f aca="false">IF(C901="","",IFERROR(INDEX(LOTES!$D$5:$D$1004,MATCH(C901,LOTES!$F$5:$F$1004,0)),"¿Lote?"))</f>
        <v/>
      </c>
      <c r="E901" s="11" t="str">
        <f aca="false">IF(C901="","",IFERROR(INDEX(LOTES!$C$5:$C$1004,MATCH(C901,LOTES!$F$5:$F$1004,0)),""))</f>
        <v/>
      </c>
      <c r="F901" s="27"/>
      <c r="G901" s="27"/>
      <c r="H901" s="27"/>
      <c r="I901" s="20" t="str">
        <f aca="false">IF(AND(ISNUMBER(F901),ISNUMBER(G901),ISNUMBER(H901),F901&gt;G901,H901&gt;0),(F901-H901)/(F901-G901)*1000,"")</f>
        <v/>
      </c>
      <c r="J901" s="17" t="str">
        <f aca="false">IF(AND(ISNUMBER(F901),ISNUMBER(G901),ISNUMBER(H901),F901&gt;G901,H901&gt;0),(F901-H901)/H901,"")</f>
        <v/>
      </c>
      <c r="K901" s="20" t="str">
        <f aca="false">IF(AND(ISNUMBER(F901),ISNUMBER(G901),ISNUMBER(H901),F901&gt;G901,H901&gt;0),H901/(F901-G901)*1000,"")</f>
        <v/>
      </c>
      <c r="L901" s="11" t="str">
        <f aca="false">IF(K901="","",IF(K901&gt;=CONFIG!$E$21,CONFIG!$D$21,IF(K901&gt;=CONFIG!$E$20,CONFIG!$D$20,CONFIG!$D$19)))</f>
        <v/>
      </c>
      <c r="M901" s="20" t="str">
        <f aca="false">IF(K901="","",IF(K901&gt;=CONFIG!$E$21,CONFIG!$F$21,IF(K901&gt;=CONFIG!$E$20,CONFIG!$F$20,CONFIG!$F$19)))</f>
        <v/>
      </c>
      <c r="N901" s="19" t="str">
        <f aca="false">IF(I901="","",IF(I901&lt;=M901,"OK","ALTA"))</f>
        <v/>
      </c>
      <c r="O901" s="13"/>
    </row>
    <row r="902" customFormat="false" ht="15" hidden="false" customHeight="false" outlineLevel="0" collapsed="false">
      <c r="A902" s="11" t="str">
        <f aca="false">IF(C902="","",ROW()-4)</f>
        <v/>
      </c>
      <c r="B902" s="12"/>
      <c r="C902" s="13"/>
      <c r="D902" s="11" t="str">
        <f aca="false">IF(C902="","",IFERROR(INDEX(LOTES!$D$5:$D$1004,MATCH(C902,LOTES!$F$5:$F$1004,0)),"¿Lote?"))</f>
        <v/>
      </c>
      <c r="E902" s="11" t="str">
        <f aca="false">IF(C902="","",IFERROR(INDEX(LOTES!$C$5:$C$1004,MATCH(C902,LOTES!$F$5:$F$1004,0)),""))</f>
        <v/>
      </c>
      <c r="F902" s="27"/>
      <c r="G902" s="27"/>
      <c r="H902" s="27"/>
      <c r="I902" s="20" t="str">
        <f aca="false">IF(AND(ISNUMBER(F902),ISNUMBER(G902),ISNUMBER(H902),F902&gt;G902,H902&gt;0),(F902-H902)/(F902-G902)*1000,"")</f>
        <v/>
      </c>
      <c r="J902" s="17" t="str">
        <f aca="false">IF(AND(ISNUMBER(F902),ISNUMBER(G902),ISNUMBER(H902),F902&gt;G902,H902&gt;0),(F902-H902)/H902,"")</f>
        <v/>
      </c>
      <c r="K902" s="20" t="str">
        <f aca="false">IF(AND(ISNUMBER(F902),ISNUMBER(G902),ISNUMBER(H902),F902&gt;G902,H902&gt;0),H902/(F902-G902)*1000,"")</f>
        <v/>
      </c>
      <c r="L902" s="11" t="str">
        <f aca="false">IF(K902="","",IF(K902&gt;=CONFIG!$E$21,CONFIG!$D$21,IF(K902&gt;=CONFIG!$E$20,CONFIG!$D$20,CONFIG!$D$19)))</f>
        <v/>
      </c>
      <c r="M902" s="20" t="str">
        <f aca="false">IF(K902="","",IF(K902&gt;=CONFIG!$E$21,CONFIG!$F$21,IF(K902&gt;=CONFIG!$E$20,CONFIG!$F$20,CONFIG!$F$19)))</f>
        <v/>
      </c>
      <c r="N902" s="19" t="str">
        <f aca="false">IF(I902="","",IF(I902&lt;=M902,"OK","ALTA"))</f>
        <v/>
      </c>
      <c r="O902" s="13"/>
    </row>
    <row r="903" customFormat="false" ht="15" hidden="false" customHeight="false" outlineLevel="0" collapsed="false">
      <c r="A903" s="11" t="str">
        <f aca="false">IF(C903="","",ROW()-4)</f>
        <v/>
      </c>
      <c r="B903" s="12"/>
      <c r="C903" s="13"/>
      <c r="D903" s="11" t="str">
        <f aca="false">IF(C903="","",IFERROR(INDEX(LOTES!$D$5:$D$1004,MATCH(C903,LOTES!$F$5:$F$1004,0)),"¿Lote?"))</f>
        <v/>
      </c>
      <c r="E903" s="11" t="str">
        <f aca="false">IF(C903="","",IFERROR(INDEX(LOTES!$C$5:$C$1004,MATCH(C903,LOTES!$F$5:$F$1004,0)),""))</f>
        <v/>
      </c>
      <c r="F903" s="27"/>
      <c r="G903" s="27"/>
      <c r="H903" s="27"/>
      <c r="I903" s="20" t="str">
        <f aca="false">IF(AND(ISNUMBER(F903),ISNUMBER(G903),ISNUMBER(H903),F903&gt;G903,H903&gt;0),(F903-H903)/(F903-G903)*1000,"")</f>
        <v/>
      </c>
      <c r="J903" s="17" t="str">
        <f aca="false">IF(AND(ISNUMBER(F903),ISNUMBER(G903),ISNUMBER(H903),F903&gt;G903,H903&gt;0),(F903-H903)/H903,"")</f>
        <v/>
      </c>
      <c r="K903" s="20" t="str">
        <f aca="false">IF(AND(ISNUMBER(F903),ISNUMBER(G903),ISNUMBER(H903),F903&gt;G903,H903&gt;0),H903/(F903-G903)*1000,"")</f>
        <v/>
      </c>
      <c r="L903" s="11" t="str">
        <f aca="false">IF(K903="","",IF(K903&gt;=CONFIG!$E$21,CONFIG!$D$21,IF(K903&gt;=CONFIG!$E$20,CONFIG!$D$20,CONFIG!$D$19)))</f>
        <v/>
      </c>
      <c r="M903" s="20" t="str">
        <f aca="false">IF(K903="","",IF(K903&gt;=CONFIG!$E$21,CONFIG!$F$21,IF(K903&gt;=CONFIG!$E$20,CONFIG!$F$20,CONFIG!$F$19)))</f>
        <v/>
      </c>
      <c r="N903" s="19" t="str">
        <f aca="false">IF(I903="","",IF(I903&lt;=M903,"OK","ALTA"))</f>
        <v/>
      </c>
      <c r="O903" s="13"/>
    </row>
    <row r="904" customFormat="false" ht="15" hidden="false" customHeight="false" outlineLevel="0" collapsed="false">
      <c r="A904" s="11" t="str">
        <f aca="false">IF(C904="","",ROW()-4)</f>
        <v/>
      </c>
      <c r="B904" s="12"/>
      <c r="C904" s="13"/>
      <c r="D904" s="11" t="str">
        <f aca="false">IF(C904="","",IFERROR(INDEX(LOTES!$D$5:$D$1004,MATCH(C904,LOTES!$F$5:$F$1004,0)),"¿Lote?"))</f>
        <v/>
      </c>
      <c r="E904" s="11" t="str">
        <f aca="false">IF(C904="","",IFERROR(INDEX(LOTES!$C$5:$C$1004,MATCH(C904,LOTES!$F$5:$F$1004,0)),""))</f>
        <v/>
      </c>
      <c r="F904" s="27"/>
      <c r="G904" s="27"/>
      <c r="H904" s="27"/>
      <c r="I904" s="20" t="str">
        <f aca="false">IF(AND(ISNUMBER(F904),ISNUMBER(G904),ISNUMBER(H904),F904&gt;G904,H904&gt;0),(F904-H904)/(F904-G904)*1000,"")</f>
        <v/>
      </c>
      <c r="J904" s="17" t="str">
        <f aca="false">IF(AND(ISNUMBER(F904),ISNUMBER(G904),ISNUMBER(H904),F904&gt;G904,H904&gt;0),(F904-H904)/H904,"")</f>
        <v/>
      </c>
      <c r="K904" s="20" t="str">
        <f aca="false">IF(AND(ISNUMBER(F904),ISNUMBER(G904),ISNUMBER(H904),F904&gt;G904,H904&gt;0),H904/(F904-G904)*1000,"")</f>
        <v/>
      </c>
      <c r="L904" s="11" t="str">
        <f aca="false">IF(K904="","",IF(K904&gt;=CONFIG!$E$21,CONFIG!$D$21,IF(K904&gt;=CONFIG!$E$20,CONFIG!$D$20,CONFIG!$D$19)))</f>
        <v/>
      </c>
      <c r="M904" s="20" t="str">
        <f aca="false">IF(K904="","",IF(K904&gt;=CONFIG!$E$21,CONFIG!$F$21,IF(K904&gt;=CONFIG!$E$20,CONFIG!$F$20,CONFIG!$F$19)))</f>
        <v/>
      </c>
      <c r="N904" s="19" t="str">
        <f aca="false">IF(I904="","",IF(I904&lt;=M904,"OK","ALTA"))</f>
        <v/>
      </c>
      <c r="O904" s="13"/>
    </row>
    <row r="905" customFormat="false" ht="15" hidden="false" customHeight="false" outlineLevel="0" collapsed="false">
      <c r="A905" s="11" t="str">
        <f aca="false">IF(C905="","",ROW()-4)</f>
        <v/>
      </c>
      <c r="B905" s="12"/>
      <c r="C905" s="13"/>
      <c r="D905" s="11" t="str">
        <f aca="false">IF(C905="","",IFERROR(INDEX(LOTES!$D$5:$D$1004,MATCH(C905,LOTES!$F$5:$F$1004,0)),"¿Lote?"))</f>
        <v/>
      </c>
      <c r="E905" s="11" t="str">
        <f aca="false">IF(C905="","",IFERROR(INDEX(LOTES!$C$5:$C$1004,MATCH(C905,LOTES!$F$5:$F$1004,0)),""))</f>
        <v/>
      </c>
      <c r="F905" s="27"/>
      <c r="G905" s="27"/>
      <c r="H905" s="27"/>
      <c r="I905" s="20" t="str">
        <f aca="false">IF(AND(ISNUMBER(F905),ISNUMBER(G905),ISNUMBER(H905),F905&gt;G905,H905&gt;0),(F905-H905)/(F905-G905)*1000,"")</f>
        <v/>
      </c>
      <c r="J905" s="17" t="str">
        <f aca="false">IF(AND(ISNUMBER(F905),ISNUMBER(G905),ISNUMBER(H905),F905&gt;G905,H905&gt;0),(F905-H905)/H905,"")</f>
        <v/>
      </c>
      <c r="K905" s="20" t="str">
        <f aca="false">IF(AND(ISNUMBER(F905),ISNUMBER(G905),ISNUMBER(H905),F905&gt;G905,H905&gt;0),H905/(F905-G905)*1000,"")</f>
        <v/>
      </c>
      <c r="L905" s="11" t="str">
        <f aca="false">IF(K905="","",IF(K905&gt;=CONFIG!$E$21,CONFIG!$D$21,IF(K905&gt;=CONFIG!$E$20,CONFIG!$D$20,CONFIG!$D$19)))</f>
        <v/>
      </c>
      <c r="M905" s="20" t="str">
        <f aca="false">IF(K905="","",IF(K905&gt;=CONFIG!$E$21,CONFIG!$F$21,IF(K905&gt;=CONFIG!$E$20,CONFIG!$F$20,CONFIG!$F$19)))</f>
        <v/>
      </c>
      <c r="N905" s="19" t="str">
        <f aca="false">IF(I905="","",IF(I905&lt;=M905,"OK","ALTA"))</f>
        <v/>
      </c>
      <c r="O905" s="13"/>
    </row>
    <row r="906" customFormat="false" ht="15" hidden="false" customHeight="false" outlineLevel="0" collapsed="false">
      <c r="A906" s="11" t="str">
        <f aca="false">IF(C906="","",ROW()-4)</f>
        <v/>
      </c>
      <c r="B906" s="12"/>
      <c r="C906" s="13"/>
      <c r="D906" s="11" t="str">
        <f aca="false">IF(C906="","",IFERROR(INDEX(LOTES!$D$5:$D$1004,MATCH(C906,LOTES!$F$5:$F$1004,0)),"¿Lote?"))</f>
        <v/>
      </c>
      <c r="E906" s="11" t="str">
        <f aca="false">IF(C906="","",IFERROR(INDEX(LOTES!$C$5:$C$1004,MATCH(C906,LOTES!$F$5:$F$1004,0)),""))</f>
        <v/>
      </c>
      <c r="F906" s="27"/>
      <c r="G906" s="27"/>
      <c r="H906" s="27"/>
      <c r="I906" s="20" t="str">
        <f aca="false">IF(AND(ISNUMBER(F906),ISNUMBER(G906),ISNUMBER(H906),F906&gt;G906,H906&gt;0),(F906-H906)/(F906-G906)*1000,"")</f>
        <v/>
      </c>
      <c r="J906" s="17" t="str">
        <f aca="false">IF(AND(ISNUMBER(F906),ISNUMBER(G906),ISNUMBER(H906),F906&gt;G906,H906&gt;0),(F906-H906)/H906,"")</f>
        <v/>
      </c>
      <c r="K906" s="20" t="str">
        <f aca="false">IF(AND(ISNUMBER(F906),ISNUMBER(G906),ISNUMBER(H906),F906&gt;G906,H906&gt;0),H906/(F906-G906)*1000,"")</f>
        <v/>
      </c>
      <c r="L906" s="11" t="str">
        <f aca="false">IF(K906="","",IF(K906&gt;=CONFIG!$E$21,CONFIG!$D$21,IF(K906&gt;=CONFIG!$E$20,CONFIG!$D$20,CONFIG!$D$19)))</f>
        <v/>
      </c>
      <c r="M906" s="20" t="str">
        <f aca="false">IF(K906="","",IF(K906&gt;=CONFIG!$E$21,CONFIG!$F$21,IF(K906&gt;=CONFIG!$E$20,CONFIG!$F$20,CONFIG!$F$19)))</f>
        <v/>
      </c>
      <c r="N906" s="19" t="str">
        <f aca="false">IF(I906="","",IF(I906&lt;=M906,"OK","ALTA"))</f>
        <v/>
      </c>
      <c r="O906" s="13"/>
    </row>
    <row r="907" customFormat="false" ht="15" hidden="false" customHeight="false" outlineLevel="0" collapsed="false">
      <c r="A907" s="11" t="str">
        <f aca="false">IF(C907="","",ROW()-4)</f>
        <v/>
      </c>
      <c r="B907" s="12"/>
      <c r="C907" s="13"/>
      <c r="D907" s="11" t="str">
        <f aca="false">IF(C907="","",IFERROR(INDEX(LOTES!$D$5:$D$1004,MATCH(C907,LOTES!$F$5:$F$1004,0)),"¿Lote?"))</f>
        <v/>
      </c>
      <c r="E907" s="11" t="str">
        <f aca="false">IF(C907="","",IFERROR(INDEX(LOTES!$C$5:$C$1004,MATCH(C907,LOTES!$F$5:$F$1004,0)),""))</f>
        <v/>
      </c>
      <c r="F907" s="27"/>
      <c r="G907" s="27"/>
      <c r="H907" s="27"/>
      <c r="I907" s="20" t="str">
        <f aca="false">IF(AND(ISNUMBER(F907),ISNUMBER(G907),ISNUMBER(H907),F907&gt;G907,H907&gt;0),(F907-H907)/(F907-G907)*1000,"")</f>
        <v/>
      </c>
      <c r="J907" s="17" t="str">
        <f aca="false">IF(AND(ISNUMBER(F907),ISNUMBER(G907),ISNUMBER(H907),F907&gt;G907,H907&gt;0),(F907-H907)/H907,"")</f>
        <v/>
      </c>
      <c r="K907" s="20" t="str">
        <f aca="false">IF(AND(ISNUMBER(F907),ISNUMBER(G907),ISNUMBER(H907),F907&gt;G907,H907&gt;0),H907/(F907-G907)*1000,"")</f>
        <v/>
      </c>
      <c r="L907" s="11" t="str">
        <f aca="false">IF(K907="","",IF(K907&gt;=CONFIG!$E$21,CONFIG!$D$21,IF(K907&gt;=CONFIG!$E$20,CONFIG!$D$20,CONFIG!$D$19)))</f>
        <v/>
      </c>
      <c r="M907" s="20" t="str">
        <f aca="false">IF(K907="","",IF(K907&gt;=CONFIG!$E$21,CONFIG!$F$21,IF(K907&gt;=CONFIG!$E$20,CONFIG!$F$20,CONFIG!$F$19)))</f>
        <v/>
      </c>
      <c r="N907" s="19" t="str">
        <f aca="false">IF(I907="","",IF(I907&lt;=M907,"OK","ALTA"))</f>
        <v/>
      </c>
      <c r="O907" s="13"/>
    </row>
    <row r="908" customFormat="false" ht="15" hidden="false" customHeight="false" outlineLevel="0" collapsed="false">
      <c r="A908" s="11" t="str">
        <f aca="false">IF(C908="","",ROW()-4)</f>
        <v/>
      </c>
      <c r="B908" s="12"/>
      <c r="C908" s="13"/>
      <c r="D908" s="11" t="str">
        <f aca="false">IF(C908="","",IFERROR(INDEX(LOTES!$D$5:$D$1004,MATCH(C908,LOTES!$F$5:$F$1004,0)),"¿Lote?"))</f>
        <v/>
      </c>
      <c r="E908" s="11" t="str">
        <f aca="false">IF(C908="","",IFERROR(INDEX(LOTES!$C$5:$C$1004,MATCH(C908,LOTES!$F$5:$F$1004,0)),""))</f>
        <v/>
      </c>
      <c r="F908" s="27"/>
      <c r="G908" s="27"/>
      <c r="H908" s="27"/>
      <c r="I908" s="20" t="str">
        <f aca="false">IF(AND(ISNUMBER(F908),ISNUMBER(G908),ISNUMBER(H908),F908&gt;G908,H908&gt;0),(F908-H908)/(F908-G908)*1000,"")</f>
        <v/>
      </c>
      <c r="J908" s="17" t="str">
        <f aca="false">IF(AND(ISNUMBER(F908),ISNUMBER(G908),ISNUMBER(H908),F908&gt;G908,H908&gt;0),(F908-H908)/H908,"")</f>
        <v/>
      </c>
      <c r="K908" s="20" t="str">
        <f aca="false">IF(AND(ISNUMBER(F908),ISNUMBER(G908),ISNUMBER(H908),F908&gt;G908,H908&gt;0),H908/(F908-G908)*1000,"")</f>
        <v/>
      </c>
      <c r="L908" s="11" t="str">
        <f aca="false">IF(K908="","",IF(K908&gt;=CONFIG!$E$21,CONFIG!$D$21,IF(K908&gt;=CONFIG!$E$20,CONFIG!$D$20,CONFIG!$D$19)))</f>
        <v/>
      </c>
      <c r="M908" s="20" t="str">
        <f aca="false">IF(K908="","",IF(K908&gt;=CONFIG!$E$21,CONFIG!$F$21,IF(K908&gt;=CONFIG!$E$20,CONFIG!$F$20,CONFIG!$F$19)))</f>
        <v/>
      </c>
      <c r="N908" s="19" t="str">
        <f aca="false">IF(I908="","",IF(I908&lt;=M908,"OK","ALTA"))</f>
        <v/>
      </c>
      <c r="O908" s="13"/>
    </row>
    <row r="909" customFormat="false" ht="15" hidden="false" customHeight="false" outlineLevel="0" collapsed="false">
      <c r="A909" s="11" t="str">
        <f aca="false">IF(C909="","",ROW()-4)</f>
        <v/>
      </c>
      <c r="B909" s="12"/>
      <c r="C909" s="13"/>
      <c r="D909" s="11" t="str">
        <f aca="false">IF(C909="","",IFERROR(INDEX(LOTES!$D$5:$D$1004,MATCH(C909,LOTES!$F$5:$F$1004,0)),"¿Lote?"))</f>
        <v/>
      </c>
      <c r="E909" s="11" t="str">
        <f aca="false">IF(C909="","",IFERROR(INDEX(LOTES!$C$5:$C$1004,MATCH(C909,LOTES!$F$5:$F$1004,0)),""))</f>
        <v/>
      </c>
      <c r="F909" s="27"/>
      <c r="G909" s="27"/>
      <c r="H909" s="27"/>
      <c r="I909" s="20" t="str">
        <f aca="false">IF(AND(ISNUMBER(F909),ISNUMBER(G909),ISNUMBER(H909),F909&gt;G909,H909&gt;0),(F909-H909)/(F909-G909)*1000,"")</f>
        <v/>
      </c>
      <c r="J909" s="17" t="str">
        <f aca="false">IF(AND(ISNUMBER(F909),ISNUMBER(G909),ISNUMBER(H909),F909&gt;G909,H909&gt;0),(F909-H909)/H909,"")</f>
        <v/>
      </c>
      <c r="K909" s="20" t="str">
        <f aca="false">IF(AND(ISNUMBER(F909),ISNUMBER(G909),ISNUMBER(H909),F909&gt;G909,H909&gt;0),H909/(F909-G909)*1000,"")</f>
        <v/>
      </c>
      <c r="L909" s="11" t="str">
        <f aca="false">IF(K909="","",IF(K909&gt;=CONFIG!$E$21,CONFIG!$D$21,IF(K909&gt;=CONFIG!$E$20,CONFIG!$D$20,CONFIG!$D$19)))</f>
        <v/>
      </c>
      <c r="M909" s="20" t="str">
        <f aca="false">IF(K909="","",IF(K909&gt;=CONFIG!$E$21,CONFIG!$F$21,IF(K909&gt;=CONFIG!$E$20,CONFIG!$F$20,CONFIG!$F$19)))</f>
        <v/>
      </c>
      <c r="N909" s="19" t="str">
        <f aca="false">IF(I909="","",IF(I909&lt;=M909,"OK","ALTA"))</f>
        <v/>
      </c>
      <c r="O909" s="13"/>
    </row>
    <row r="910" customFormat="false" ht="15" hidden="false" customHeight="false" outlineLevel="0" collapsed="false">
      <c r="A910" s="11" t="str">
        <f aca="false">IF(C910="","",ROW()-4)</f>
        <v/>
      </c>
      <c r="B910" s="12"/>
      <c r="C910" s="13"/>
      <c r="D910" s="11" t="str">
        <f aca="false">IF(C910="","",IFERROR(INDEX(LOTES!$D$5:$D$1004,MATCH(C910,LOTES!$F$5:$F$1004,0)),"¿Lote?"))</f>
        <v/>
      </c>
      <c r="E910" s="11" t="str">
        <f aca="false">IF(C910="","",IFERROR(INDEX(LOTES!$C$5:$C$1004,MATCH(C910,LOTES!$F$5:$F$1004,0)),""))</f>
        <v/>
      </c>
      <c r="F910" s="27"/>
      <c r="G910" s="27"/>
      <c r="H910" s="27"/>
      <c r="I910" s="20" t="str">
        <f aca="false">IF(AND(ISNUMBER(F910),ISNUMBER(G910),ISNUMBER(H910),F910&gt;G910,H910&gt;0),(F910-H910)/(F910-G910)*1000,"")</f>
        <v/>
      </c>
      <c r="J910" s="17" t="str">
        <f aca="false">IF(AND(ISNUMBER(F910),ISNUMBER(G910),ISNUMBER(H910),F910&gt;G910,H910&gt;0),(F910-H910)/H910,"")</f>
        <v/>
      </c>
      <c r="K910" s="20" t="str">
        <f aca="false">IF(AND(ISNUMBER(F910),ISNUMBER(G910),ISNUMBER(H910),F910&gt;G910,H910&gt;0),H910/(F910-G910)*1000,"")</f>
        <v/>
      </c>
      <c r="L910" s="11" t="str">
        <f aca="false">IF(K910="","",IF(K910&gt;=CONFIG!$E$21,CONFIG!$D$21,IF(K910&gt;=CONFIG!$E$20,CONFIG!$D$20,CONFIG!$D$19)))</f>
        <v/>
      </c>
      <c r="M910" s="20" t="str">
        <f aca="false">IF(K910="","",IF(K910&gt;=CONFIG!$E$21,CONFIG!$F$21,IF(K910&gt;=CONFIG!$E$20,CONFIG!$F$20,CONFIG!$F$19)))</f>
        <v/>
      </c>
      <c r="N910" s="19" t="str">
        <f aca="false">IF(I910="","",IF(I910&lt;=M910,"OK","ALTA"))</f>
        <v/>
      </c>
      <c r="O910" s="13"/>
    </row>
    <row r="911" customFormat="false" ht="15" hidden="false" customHeight="false" outlineLevel="0" collapsed="false">
      <c r="A911" s="11" t="str">
        <f aca="false">IF(C911="","",ROW()-4)</f>
        <v/>
      </c>
      <c r="B911" s="12"/>
      <c r="C911" s="13"/>
      <c r="D911" s="11" t="str">
        <f aca="false">IF(C911="","",IFERROR(INDEX(LOTES!$D$5:$D$1004,MATCH(C911,LOTES!$F$5:$F$1004,0)),"¿Lote?"))</f>
        <v/>
      </c>
      <c r="E911" s="11" t="str">
        <f aca="false">IF(C911="","",IFERROR(INDEX(LOTES!$C$5:$C$1004,MATCH(C911,LOTES!$F$5:$F$1004,0)),""))</f>
        <v/>
      </c>
      <c r="F911" s="27"/>
      <c r="G911" s="27"/>
      <c r="H911" s="27"/>
      <c r="I911" s="20" t="str">
        <f aca="false">IF(AND(ISNUMBER(F911),ISNUMBER(G911),ISNUMBER(H911),F911&gt;G911,H911&gt;0),(F911-H911)/(F911-G911)*1000,"")</f>
        <v/>
      </c>
      <c r="J911" s="17" t="str">
        <f aca="false">IF(AND(ISNUMBER(F911),ISNUMBER(G911),ISNUMBER(H911),F911&gt;G911,H911&gt;0),(F911-H911)/H911,"")</f>
        <v/>
      </c>
      <c r="K911" s="20" t="str">
        <f aca="false">IF(AND(ISNUMBER(F911),ISNUMBER(G911),ISNUMBER(H911),F911&gt;G911,H911&gt;0),H911/(F911-G911)*1000,"")</f>
        <v/>
      </c>
      <c r="L911" s="11" t="str">
        <f aca="false">IF(K911="","",IF(K911&gt;=CONFIG!$E$21,CONFIG!$D$21,IF(K911&gt;=CONFIG!$E$20,CONFIG!$D$20,CONFIG!$D$19)))</f>
        <v/>
      </c>
      <c r="M911" s="20" t="str">
        <f aca="false">IF(K911="","",IF(K911&gt;=CONFIG!$E$21,CONFIG!$F$21,IF(K911&gt;=CONFIG!$E$20,CONFIG!$F$20,CONFIG!$F$19)))</f>
        <v/>
      </c>
      <c r="N911" s="19" t="str">
        <f aca="false">IF(I911="","",IF(I911&lt;=M911,"OK","ALTA"))</f>
        <v/>
      </c>
      <c r="O911" s="13"/>
    </row>
    <row r="912" customFormat="false" ht="15" hidden="false" customHeight="false" outlineLevel="0" collapsed="false">
      <c r="A912" s="11" t="str">
        <f aca="false">IF(C912="","",ROW()-4)</f>
        <v/>
      </c>
      <c r="B912" s="12"/>
      <c r="C912" s="13"/>
      <c r="D912" s="11" t="str">
        <f aca="false">IF(C912="","",IFERROR(INDEX(LOTES!$D$5:$D$1004,MATCH(C912,LOTES!$F$5:$F$1004,0)),"¿Lote?"))</f>
        <v/>
      </c>
      <c r="E912" s="11" t="str">
        <f aca="false">IF(C912="","",IFERROR(INDEX(LOTES!$C$5:$C$1004,MATCH(C912,LOTES!$F$5:$F$1004,0)),""))</f>
        <v/>
      </c>
      <c r="F912" s="27"/>
      <c r="G912" s="27"/>
      <c r="H912" s="27"/>
      <c r="I912" s="20" t="str">
        <f aca="false">IF(AND(ISNUMBER(F912),ISNUMBER(G912),ISNUMBER(H912),F912&gt;G912,H912&gt;0),(F912-H912)/(F912-G912)*1000,"")</f>
        <v/>
      </c>
      <c r="J912" s="17" t="str">
        <f aca="false">IF(AND(ISNUMBER(F912),ISNUMBER(G912),ISNUMBER(H912),F912&gt;G912,H912&gt;0),(F912-H912)/H912,"")</f>
        <v/>
      </c>
      <c r="K912" s="20" t="str">
        <f aca="false">IF(AND(ISNUMBER(F912),ISNUMBER(G912),ISNUMBER(H912),F912&gt;G912,H912&gt;0),H912/(F912-G912)*1000,"")</f>
        <v/>
      </c>
      <c r="L912" s="11" t="str">
        <f aca="false">IF(K912="","",IF(K912&gt;=CONFIG!$E$21,CONFIG!$D$21,IF(K912&gt;=CONFIG!$E$20,CONFIG!$D$20,CONFIG!$D$19)))</f>
        <v/>
      </c>
      <c r="M912" s="20" t="str">
        <f aca="false">IF(K912="","",IF(K912&gt;=CONFIG!$E$21,CONFIG!$F$21,IF(K912&gt;=CONFIG!$E$20,CONFIG!$F$20,CONFIG!$F$19)))</f>
        <v/>
      </c>
      <c r="N912" s="19" t="str">
        <f aca="false">IF(I912="","",IF(I912&lt;=M912,"OK","ALTA"))</f>
        <v/>
      </c>
      <c r="O912" s="13"/>
    </row>
    <row r="913" customFormat="false" ht="15" hidden="false" customHeight="false" outlineLevel="0" collapsed="false">
      <c r="A913" s="11" t="str">
        <f aca="false">IF(C913="","",ROW()-4)</f>
        <v/>
      </c>
      <c r="B913" s="12"/>
      <c r="C913" s="13"/>
      <c r="D913" s="11" t="str">
        <f aca="false">IF(C913="","",IFERROR(INDEX(LOTES!$D$5:$D$1004,MATCH(C913,LOTES!$F$5:$F$1004,0)),"¿Lote?"))</f>
        <v/>
      </c>
      <c r="E913" s="11" t="str">
        <f aca="false">IF(C913="","",IFERROR(INDEX(LOTES!$C$5:$C$1004,MATCH(C913,LOTES!$F$5:$F$1004,0)),""))</f>
        <v/>
      </c>
      <c r="F913" s="27"/>
      <c r="G913" s="27"/>
      <c r="H913" s="27"/>
      <c r="I913" s="20" t="str">
        <f aca="false">IF(AND(ISNUMBER(F913),ISNUMBER(G913),ISNUMBER(H913),F913&gt;G913,H913&gt;0),(F913-H913)/(F913-G913)*1000,"")</f>
        <v/>
      </c>
      <c r="J913" s="17" t="str">
        <f aca="false">IF(AND(ISNUMBER(F913),ISNUMBER(G913),ISNUMBER(H913),F913&gt;G913,H913&gt;0),(F913-H913)/H913,"")</f>
        <v/>
      </c>
      <c r="K913" s="20" t="str">
        <f aca="false">IF(AND(ISNUMBER(F913),ISNUMBER(G913),ISNUMBER(H913),F913&gt;G913,H913&gt;0),H913/(F913-G913)*1000,"")</f>
        <v/>
      </c>
      <c r="L913" s="11" t="str">
        <f aca="false">IF(K913="","",IF(K913&gt;=CONFIG!$E$21,CONFIG!$D$21,IF(K913&gt;=CONFIG!$E$20,CONFIG!$D$20,CONFIG!$D$19)))</f>
        <v/>
      </c>
      <c r="M913" s="20" t="str">
        <f aca="false">IF(K913="","",IF(K913&gt;=CONFIG!$E$21,CONFIG!$F$21,IF(K913&gt;=CONFIG!$E$20,CONFIG!$F$20,CONFIG!$F$19)))</f>
        <v/>
      </c>
      <c r="N913" s="19" t="str">
        <f aca="false">IF(I913="","",IF(I913&lt;=M913,"OK","ALTA"))</f>
        <v/>
      </c>
      <c r="O913" s="13"/>
    </row>
    <row r="914" customFormat="false" ht="15" hidden="false" customHeight="false" outlineLevel="0" collapsed="false">
      <c r="A914" s="11" t="str">
        <f aca="false">IF(C914="","",ROW()-4)</f>
        <v/>
      </c>
      <c r="B914" s="12"/>
      <c r="C914" s="13"/>
      <c r="D914" s="11" t="str">
        <f aca="false">IF(C914="","",IFERROR(INDEX(LOTES!$D$5:$D$1004,MATCH(C914,LOTES!$F$5:$F$1004,0)),"¿Lote?"))</f>
        <v/>
      </c>
      <c r="E914" s="11" t="str">
        <f aca="false">IF(C914="","",IFERROR(INDEX(LOTES!$C$5:$C$1004,MATCH(C914,LOTES!$F$5:$F$1004,0)),""))</f>
        <v/>
      </c>
      <c r="F914" s="27"/>
      <c r="G914" s="27"/>
      <c r="H914" s="27"/>
      <c r="I914" s="20" t="str">
        <f aca="false">IF(AND(ISNUMBER(F914),ISNUMBER(G914),ISNUMBER(H914),F914&gt;G914,H914&gt;0),(F914-H914)/(F914-G914)*1000,"")</f>
        <v/>
      </c>
      <c r="J914" s="17" t="str">
        <f aca="false">IF(AND(ISNUMBER(F914),ISNUMBER(G914),ISNUMBER(H914),F914&gt;G914,H914&gt;0),(F914-H914)/H914,"")</f>
        <v/>
      </c>
      <c r="K914" s="20" t="str">
        <f aca="false">IF(AND(ISNUMBER(F914),ISNUMBER(G914),ISNUMBER(H914),F914&gt;G914,H914&gt;0),H914/(F914-G914)*1000,"")</f>
        <v/>
      </c>
      <c r="L914" s="11" t="str">
        <f aca="false">IF(K914="","",IF(K914&gt;=CONFIG!$E$21,CONFIG!$D$21,IF(K914&gt;=CONFIG!$E$20,CONFIG!$D$20,CONFIG!$D$19)))</f>
        <v/>
      </c>
      <c r="M914" s="20" t="str">
        <f aca="false">IF(K914="","",IF(K914&gt;=CONFIG!$E$21,CONFIG!$F$21,IF(K914&gt;=CONFIG!$E$20,CONFIG!$F$20,CONFIG!$F$19)))</f>
        <v/>
      </c>
      <c r="N914" s="19" t="str">
        <f aca="false">IF(I914="","",IF(I914&lt;=M914,"OK","ALTA"))</f>
        <v/>
      </c>
      <c r="O914" s="13"/>
    </row>
    <row r="915" customFormat="false" ht="15" hidden="false" customHeight="false" outlineLevel="0" collapsed="false">
      <c r="A915" s="11" t="str">
        <f aca="false">IF(C915="","",ROW()-4)</f>
        <v/>
      </c>
      <c r="B915" s="12"/>
      <c r="C915" s="13"/>
      <c r="D915" s="11" t="str">
        <f aca="false">IF(C915="","",IFERROR(INDEX(LOTES!$D$5:$D$1004,MATCH(C915,LOTES!$F$5:$F$1004,0)),"¿Lote?"))</f>
        <v/>
      </c>
      <c r="E915" s="11" t="str">
        <f aca="false">IF(C915="","",IFERROR(INDEX(LOTES!$C$5:$C$1004,MATCH(C915,LOTES!$F$5:$F$1004,0)),""))</f>
        <v/>
      </c>
      <c r="F915" s="27"/>
      <c r="G915" s="27"/>
      <c r="H915" s="27"/>
      <c r="I915" s="20" t="str">
        <f aca="false">IF(AND(ISNUMBER(F915),ISNUMBER(G915),ISNUMBER(H915),F915&gt;G915,H915&gt;0),(F915-H915)/(F915-G915)*1000,"")</f>
        <v/>
      </c>
      <c r="J915" s="17" t="str">
        <f aca="false">IF(AND(ISNUMBER(F915),ISNUMBER(G915),ISNUMBER(H915),F915&gt;G915,H915&gt;0),(F915-H915)/H915,"")</f>
        <v/>
      </c>
      <c r="K915" s="20" t="str">
        <f aca="false">IF(AND(ISNUMBER(F915),ISNUMBER(G915),ISNUMBER(H915),F915&gt;G915,H915&gt;0),H915/(F915-G915)*1000,"")</f>
        <v/>
      </c>
      <c r="L915" s="11" t="str">
        <f aca="false">IF(K915="","",IF(K915&gt;=CONFIG!$E$21,CONFIG!$D$21,IF(K915&gt;=CONFIG!$E$20,CONFIG!$D$20,CONFIG!$D$19)))</f>
        <v/>
      </c>
      <c r="M915" s="20" t="str">
        <f aca="false">IF(K915="","",IF(K915&gt;=CONFIG!$E$21,CONFIG!$F$21,IF(K915&gt;=CONFIG!$E$20,CONFIG!$F$20,CONFIG!$F$19)))</f>
        <v/>
      </c>
      <c r="N915" s="19" t="str">
        <f aca="false">IF(I915="","",IF(I915&lt;=M915,"OK","ALTA"))</f>
        <v/>
      </c>
      <c r="O915" s="13"/>
    </row>
    <row r="916" customFormat="false" ht="15" hidden="false" customHeight="false" outlineLevel="0" collapsed="false">
      <c r="A916" s="11" t="str">
        <f aca="false">IF(C916="","",ROW()-4)</f>
        <v/>
      </c>
      <c r="B916" s="12"/>
      <c r="C916" s="13"/>
      <c r="D916" s="11" t="str">
        <f aca="false">IF(C916="","",IFERROR(INDEX(LOTES!$D$5:$D$1004,MATCH(C916,LOTES!$F$5:$F$1004,0)),"¿Lote?"))</f>
        <v/>
      </c>
      <c r="E916" s="11" t="str">
        <f aca="false">IF(C916="","",IFERROR(INDEX(LOTES!$C$5:$C$1004,MATCH(C916,LOTES!$F$5:$F$1004,0)),""))</f>
        <v/>
      </c>
      <c r="F916" s="27"/>
      <c r="G916" s="27"/>
      <c r="H916" s="27"/>
      <c r="I916" s="20" t="str">
        <f aca="false">IF(AND(ISNUMBER(F916),ISNUMBER(G916),ISNUMBER(H916),F916&gt;G916,H916&gt;0),(F916-H916)/(F916-G916)*1000,"")</f>
        <v/>
      </c>
      <c r="J916" s="17" t="str">
        <f aca="false">IF(AND(ISNUMBER(F916),ISNUMBER(G916),ISNUMBER(H916),F916&gt;G916,H916&gt;0),(F916-H916)/H916,"")</f>
        <v/>
      </c>
      <c r="K916" s="20" t="str">
        <f aca="false">IF(AND(ISNUMBER(F916),ISNUMBER(G916),ISNUMBER(H916),F916&gt;G916,H916&gt;0),H916/(F916-G916)*1000,"")</f>
        <v/>
      </c>
      <c r="L916" s="11" t="str">
        <f aca="false">IF(K916="","",IF(K916&gt;=CONFIG!$E$21,CONFIG!$D$21,IF(K916&gt;=CONFIG!$E$20,CONFIG!$D$20,CONFIG!$D$19)))</f>
        <v/>
      </c>
      <c r="M916" s="20" t="str">
        <f aca="false">IF(K916="","",IF(K916&gt;=CONFIG!$E$21,CONFIG!$F$21,IF(K916&gt;=CONFIG!$E$20,CONFIG!$F$20,CONFIG!$F$19)))</f>
        <v/>
      </c>
      <c r="N916" s="19" t="str">
        <f aca="false">IF(I916="","",IF(I916&lt;=M916,"OK","ALTA"))</f>
        <v/>
      </c>
      <c r="O916" s="13"/>
    </row>
    <row r="917" customFormat="false" ht="15" hidden="false" customHeight="false" outlineLevel="0" collapsed="false">
      <c r="A917" s="11" t="str">
        <f aca="false">IF(C917="","",ROW()-4)</f>
        <v/>
      </c>
      <c r="B917" s="12"/>
      <c r="C917" s="13"/>
      <c r="D917" s="11" t="str">
        <f aca="false">IF(C917="","",IFERROR(INDEX(LOTES!$D$5:$D$1004,MATCH(C917,LOTES!$F$5:$F$1004,0)),"¿Lote?"))</f>
        <v/>
      </c>
      <c r="E917" s="11" t="str">
        <f aca="false">IF(C917="","",IFERROR(INDEX(LOTES!$C$5:$C$1004,MATCH(C917,LOTES!$F$5:$F$1004,0)),""))</f>
        <v/>
      </c>
      <c r="F917" s="27"/>
      <c r="G917" s="27"/>
      <c r="H917" s="27"/>
      <c r="I917" s="20" t="str">
        <f aca="false">IF(AND(ISNUMBER(F917),ISNUMBER(G917),ISNUMBER(H917),F917&gt;G917,H917&gt;0),(F917-H917)/(F917-G917)*1000,"")</f>
        <v/>
      </c>
      <c r="J917" s="17" t="str">
        <f aca="false">IF(AND(ISNUMBER(F917),ISNUMBER(G917),ISNUMBER(H917),F917&gt;G917,H917&gt;0),(F917-H917)/H917,"")</f>
        <v/>
      </c>
      <c r="K917" s="20" t="str">
        <f aca="false">IF(AND(ISNUMBER(F917),ISNUMBER(G917),ISNUMBER(H917),F917&gt;G917,H917&gt;0),H917/(F917-G917)*1000,"")</f>
        <v/>
      </c>
      <c r="L917" s="11" t="str">
        <f aca="false">IF(K917="","",IF(K917&gt;=CONFIG!$E$21,CONFIG!$D$21,IF(K917&gt;=CONFIG!$E$20,CONFIG!$D$20,CONFIG!$D$19)))</f>
        <v/>
      </c>
      <c r="M917" s="20" t="str">
        <f aca="false">IF(K917="","",IF(K917&gt;=CONFIG!$E$21,CONFIG!$F$21,IF(K917&gt;=CONFIG!$E$20,CONFIG!$F$20,CONFIG!$F$19)))</f>
        <v/>
      </c>
      <c r="N917" s="19" t="str">
        <f aca="false">IF(I917="","",IF(I917&lt;=M917,"OK","ALTA"))</f>
        <v/>
      </c>
      <c r="O917" s="13"/>
    </row>
    <row r="918" customFormat="false" ht="15" hidden="false" customHeight="false" outlineLevel="0" collapsed="false">
      <c r="A918" s="11" t="str">
        <f aca="false">IF(C918="","",ROW()-4)</f>
        <v/>
      </c>
      <c r="B918" s="12"/>
      <c r="C918" s="13"/>
      <c r="D918" s="11" t="str">
        <f aca="false">IF(C918="","",IFERROR(INDEX(LOTES!$D$5:$D$1004,MATCH(C918,LOTES!$F$5:$F$1004,0)),"¿Lote?"))</f>
        <v/>
      </c>
      <c r="E918" s="11" t="str">
        <f aca="false">IF(C918="","",IFERROR(INDEX(LOTES!$C$5:$C$1004,MATCH(C918,LOTES!$F$5:$F$1004,0)),""))</f>
        <v/>
      </c>
      <c r="F918" s="27"/>
      <c r="G918" s="27"/>
      <c r="H918" s="27"/>
      <c r="I918" s="20" t="str">
        <f aca="false">IF(AND(ISNUMBER(F918),ISNUMBER(G918),ISNUMBER(H918),F918&gt;G918,H918&gt;0),(F918-H918)/(F918-G918)*1000,"")</f>
        <v/>
      </c>
      <c r="J918" s="17" t="str">
        <f aca="false">IF(AND(ISNUMBER(F918),ISNUMBER(G918),ISNUMBER(H918),F918&gt;G918,H918&gt;0),(F918-H918)/H918,"")</f>
        <v/>
      </c>
      <c r="K918" s="20" t="str">
        <f aca="false">IF(AND(ISNUMBER(F918),ISNUMBER(G918),ISNUMBER(H918),F918&gt;G918,H918&gt;0),H918/(F918-G918)*1000,"")</f>
        <v/>
      </c>
      <c r="L918" s="11" t="str">
        <f aca="false">IF(K918="","",IF(K918&gt;=CONFIG!$E$21,CONFIG!$D$21,IF(K918&gt;=CONFIG!$E$20,CONFIG!$D$20,CONFIG!$D$19)))</f>
        <v/>
      </c>
      <c r="M918" s="20" t="str">
        <f aca="false">IF(K918="","",IF(K918&gt;=CONFIG!$E$21,CONFIG!$F$21,IF(K918&gt;=CONFIG!$E$20,CONFIG!$F$20,CONFIG!$F$19)))</f>
        <v/>
      </c>
      <c r="N918" s="19" t="str">
        <f aca="false">IF(I918="","",IF(I918&lt;=M918,"OK","ALTA"))</f>
        <v/>
      </c>
      <c r="O918" s="13"/>
    </row>
    <row r="919" customFormat="false" ht="15" hidden="false" customHeight="false" outlineLevel="0" collapsed="false">
      <c r="A919" s="11" t="str">
        <f aca="false">IF(C919="","",ROW()-4)</f>
        <v/>
      </c>
      <c r="B919" s="12"/>
      <c r="C919" s="13"/>
      <c r="D919" s="11" t="str">
        <f aca="false">IF(C919="","",IFERROR(INDEX(LOTES!$D$5:$D$1004,MATCH(C919,LOTES!$F$5:$F$1004,0)),"¿Lote?"))</f>
        <v/>
      </c>
      <c r="E919" s="11" t="str">
        <f aca="false">IF(C919="","",IFERROR(INDEX(LOTES!$C$5:$C$1004,MATCH(C919,LOTES!$F$5:$F$1004,0)),""))</f>
        <v/>
      </c>
      <c r="F919" s="27"/>
      <c r="G919" s="27"/>
      <c r="H919" s="27"/>
      <c r="I919" s="20" t="str">
        <f aca="false">IF(AND(ISNUMBER(F919),ISNUMBER(G919),ISNUMBER(H919),F919&gt;G919,H919&gt;0),(F919-H919)/(F919-G919)*1000,"")</f>
        <v/>
      </c>
      <c r="J919" s="17" t="str">
        <f aca="false">IF(AND(ISNUMBER(F919),ISNUMBER(G919),ISNUMBER(H919),F919&gt;G919,H919&gt;0),(F919-H919)/H919,"")</f>
        <v/>
      </c>
      <c r="K919" s="20" t="str">
        <f aca="false">IF(AND(ISNUMBER(F919),ISNUMBER(G919),ISNUMBER(H919),F919&gt;G919,H919&gt;0),H919/(F919-G919)*1000,"")</f>
        <v/>
      </c>
      <c r="L919" s="11" t="str">
        <f aca="false">IF(K919="","",IF(K919&gt;=CONFIG!$E$21,CONFIG!$D$21,IF(K919&gt;=CONFIG!$E$20,CONFIG!$D$20,CONFIG!$D$19)))</f>
        <v/>
      </c>
      <c r="M919" s="20" t="str">
        <f aca="false">IF(K919="","",IF(K919&gt;=CONFIG!$E$21,CONFIG!$F$21,IF(K919&gt;=CONFIG!$E$20,CONFIG!$F$20,CONFIG!$F$19)))</f>
        <v/>
      </c>
      <c r="N919" s="19" t="str">
        <f aca="false">IF(I919="","",IF(I919&lt;=M919,"OK","ALTA"))</f>
        <v/>
      </c>
      <c r="O919" s="13"/>
    </row>
    <row r="920" customFormat="false" ht="15" hidden="false" customHeight="false" outlineLevel="0" collapsed="false">
      <c r="A920" s="11" t="str">
        <f aca="false">IF(C920="","",ROW()-4)</f>
        <v/>
      </c>
      <c r="B920" s="12"/>
      <c r="C920" s="13"/>
      <c r="D920" s="11" t="str">
        <f aca="false">IF(C920="","",IFERROR(INDEX(LOTES!$D$5:$D$1004,MATCH(C920,LOTES!$F$5:$F$1004,0)),"¿Lote?"))</f>
        <v/>
      </c>
      <c r="E920" s="11" t="str">
        <f aca="false">IF(C920="","",IFERROR(INDEX(LOTES!$C$5:$C$1004,MATCH(C920,LOTES!$F$5:$F$1004,0)),""))</f>
        <v/>
      </c>
      <c r="F920" s="27"/>
      <c r="G920" s="27"/>
      <c r="H920" s="27"/>
      <c r="I920" s="20" t="str">
        <f aca="false">IF(AND(ISNUMBER(F920),ISNUMBER(G920),ISNUMBER(H920),F920&gt;G920,H920&gt;0),(F920-H920)/(F920-G920)*1000,"")</f>
        <v/>
      </c>
      <c r="J920" s="17" t="str">
        <f aca="false">IF(AND(ISNUMBER(F920),ISNUMBER(G920),ISNUMBER(H920),F920&gt;G920,H920&gt;0),(F920-H920)/H920,"")</f>
        <v/>
      </c>
      <c r="K920" s="20" t="str">
        <f aca="false">IF(AND(ISNUMBER(F920),ISNUMBER(G920),ISNUMBER(H920),F920&gt;G920,H920&gt;0),H920/(F920-G920)*1000,"")</f>
        <v/>
      </c>
      <c r="L920" s="11" t="str">
        <f aca="false">IF(K920="","",IF(K920&gt;=CONFIG!$E$21,CONFIG!$D$21,IF(K920&gt;=CONFIG!$E$20,CONFIG!$D$20,CONFIG!$D$19)))</f>
        <v/>
      </c>
      <c r="M920" s="20" t="str">
        <f aca="false">IF(K920="","",IF(K920&gt;=CONFIG!$E$21,CONFIG!$F$21,IF(K920&gt;=CONFIG!$E$20,CONFIG!$F$20,CONFIG!$F$19)))</f>
        <v/>
      </c>
      <c r="N920" s="19" t="str">
        <f aca="false">IF(I920="","",IF(I920&lt;=M920,"OK","ALTA"))</f>
        <v/>
      </c>
      <c r="O920" s="13"/>
    </row>
    <row r="921" customFormat="false" ht="15" hidden="false" customHeight="false" outlineLevel="0" collapsed="false">
      <c r="A921" s="11" t="str">
        <f aca="false">IF(C921="","",ROW()-4)</f>
        <v/>
      </c>
      <c r="B921" s="12"/>
      <c r="C921" s="13"/>
      <c r="D921" s="11" t="str">
        <f aca="false">IF(C921="","",IFERROR(INDEX(LOTES!$D$5:$D$1004,MATCH(C921,LOTES!$F$5:$F$1004,0)),"¿Lote?"))</f>
        <v/>
      </c>
      <c r="E921" s="11" t="str">
        <f aca="false">IF(C921="","",IFERROR(INDEX(LOTES!$C$5:$C$1004,MATCH(C921,LOTES!$F$5:$F$1004,0)),""))</f>
        <v/>
      </c>
      <c r="F921" s="27"/>
      <c r="G921" s="27"/>
      <c r="H921" s="27"/>
      <c r="I921" s="20" t="str">
        <f aca="false">IF(AND(ISNUMBER(F921),ISNUMBER(G921),ISNUMBER(H921),F921&gt;G921,H921&gt;0),(F921-H921)/(F921-G921)*1000,"")</f>
        <v/>
      </c>
      <c r="J921" s="17" t="str">
        <f aca="false">IF(AND(ISNUMBER(F921),ISNUMBER(G921),ISNUMBER(H921),F921&gt;G921,H921&gt;0),(F921-H921)/H921,"")</f>
        <v/>
      </c>
      <c r="K921" s="20" t="str">
        <f aca="false">IF(AND(ISNUMBER(F921),ISNUMBER(G921),ISNUMBER(H921),F921&gt;G921,H921&gt;0),H921/(F921-G921)*1000,"")</f>
        <v/>
      </c>
      <c r="L921" s="11" t="str">
        <f aca="false">IF(K921="","",IF(K921&gt;=CONFIG!$E$21,CONFIG!$D$21,IF(K921&gt;=CONFIG!$E$20,CONFIG!$D$20,CONFIG!$D$19)))</f>
        <v/>
      </c>
      <c r="M921" s="20" t="str">
        <f aca="false">IF(K921="","",IF(K921&gt;=CONFIG!$E$21,CONFIG!$F$21,IF(K921&gt;=CONFIG!$E$20,CONFIG!$F$20,CONFIG!$F$19)))</f>
        <v/>
      </c>
      <c r="N921" s="19" t="str">
        <f aca="false">IF(I921="","",IF(I921&lt;=M921,"OK","ALTA"))</f>
        <v/>
      </c>
      <c r="O921" s="13"/>
    </row>
    <row r="922" customFormat="false" ht="15" hidden="false" customHeight="false" outlineLevel="0" collapsed="false">
      <c r="A922" s="11" t="str">
        <f aca="false">IF(C922="","",ROW()-4)</f>
        <v/>
      </c>
      <c r="B922" s="12"/>
      <c r="C922" s="13"/>
      <c r="D922" s="11" t="str">
        <f aca="false">IF(C922="","",IFERROR(INDEX(LOTES!$D$5:$D$1004,MATCH(C922,LOTES!$F$5:$F$1004,0)),"¿Lote?"))</f>
        <v/>
      </c>
      <c r="E922" s="11" t="str">
        <f aca="false">IF(C922="","",IFERROR(INDEX(LOTES!$C$5:$C$1004,MATCH(C922,LOTES!$F$5:$F$1004,0)),""))</f>
        <v/>
      </c>
      <c r="F922" s="27"/>
      <c r="G922" s="27"/>
      <c r="H922" s="27"/>
      <c r="I922" s="20" t="str">
        <f aca="false">IF(AND(ISNUMBER(F922),ISNUMBER(G922),ISNUMBER(H922),F922&gt;G922,H922&gt;0),(F922-H922)/(F922-G922)*1000,"")</f>
        <v/>
      </c>
      <c r="J922" s="17" t="str">
        <f aca="false">IF(AND(ISNUMBER(F922),ISNUMBER(G922),ISNUMBER(H922),F922&gt;G922,H922&gt;0),(F922-H922)/H922,"")</f>
        <v/>
      </c>
      <c r="K922" s="20" t="str">
        <f aca="false">IF(AND(ISNUMBER(F922),ISNUMBER(G922),ISNUMBER(H922),F922&gt;G922,H922&gt;0),H922/(F922-G922)*1000,"")</f>
        <v/>
      </c>
      <c r="L922" s="11" t="str">
        <f aca="false">IF(K922="","",IF(K922&gt;=CONFIG!$E$21,CONFIG!$D$21,IF(K922&gt;=CONFIG!$E$20,CONFIG!$D$20,CONFIG!$D$19)))</f>
        <v/>
      </c>
      <c r="M922" s="20" t="str">
        <f aca="false">IF(K922="","",IF(K922&gt;=CONFIG!$E$21,CONFIG!$F$21,IF(K922&gt;=CONFIG!$E$20,CONFIG!$F$20,CONFIG!$F$19)))</f>
        <v/>
      </c>
      <c r="N922" s="19" t="str">
        <f aca="false">IF(I922="","",IF(I922&lt;=M922,"OK","ALTA"))</f>
        <v/>
      </c>
      <c r="O922" s="13"/>
    </row>
    <row r="923" customFormat="false" ht="15" hidden="false" customHeight="false" outlineLevel="0" collapsed="false">
      <c r="A923" s="11" t="str">
        <f aca="false">IF(C923="","",ROW()-4)</f>
        <v/>
      </c>
      <c r="B923" s="12"/>
      <c r="C923" s="13"/>
      <c r="D923" s="11" t="str">
        <f aca="false">IF(C923="","",IFERROR(INDEX(LOTES!$D$5:$D$1004,MATCH(C923,LOTES!$F$5:$F$1004,0)),"¿Lote?"))</f>
        <v/>
      </c>
      <c r="E923" s="11" t="str">
        <f aca="false">IF(C923="","",IFERROR(INDEX(LOTES!$C$5:$C$1004,MATCH(C923,LOTES!$F$5:$F$1004,0)),""))</f>
        <v/>
      </c>
      <c r="F923" s="27"/>
      <c r="G923" s="27"/>
      <c r="H923" s="27"/>
      <c r="I923" s="20" t="str">
        <f aca="false">IF(AND(ISNUMBER(F923),ISNUMBER(G923),ISNUMBER(H923),F923&gt;G923,H923&gt;0),(F923-H923)/(F923-G923)*1000,"")</f>
        <v/>
      </c>
      <c r="J923" s="17" t="str">
        <f aca="false">IF(AND(ISNUMBER(F923),ISNUMBER(G923),ISNUMBER(H923),F923&gt;G923,H923&gt;0),(F923-H923)/H923,"")</f>
        <v/>
      </c>
      <c r="K923" s="20" t="str">
        <f aca="false">IF(AND(ISNUMBER(F923),ISNUMBER(G923),ISNUMBER(H923),F923&gt;G923,H923&gt;0),H923/(F923-G923)*1000,"")</f>
        <v/>
      </c>
      <c r="L923" s="11" t="str">
        <f aca="false">IF(K923="","",IF(K923&gt;=CONFIG!$E$21,CONFIG!$D$21,IF(K923&gt;=CONFIG!$E$20,CONFIG!$D$20,CONFIG!$D$19)))</f>
        <v/>
      </c>
      <c r="M923" s="20" t="str">
        <f aca="false">IF(K923="","",IF(K923&gt;=CONFIG!$E$21,CONFIG!$F$21,IF(K923&gt;=CONFIG!$E$20,CONFIG!$F$20,CONFIG!$F$19)))</f>
        <v/>
      </c>
      <c r="N923" s="19" t="str">
        <f aca="false">IF(I923="","",IF(I923&lt;=M923,"OK","ALTA"))</f>
        <v/>
      </c>
      <c r="O923" s="13"/>
    </row>
    <row r="924" customFormat="false" ht="15" hidden="false" customHeight="false" outlineLevel="0" collapsed="false">
      <c r="A924" s="11" t="str">
        <f aca="false">IF(C924="","",ROW()-4)</f>
        <v/>
      </c>
      <c r="B924" s="12"/>
      <c r="C924" s="13"/>
      <c r="D924" s="11" t="str">
        <f aca="false">IF(C924="","",IFERROR(INDEX(LOTES!$D$5:$D$1004,MATCH(C924,LOTES!$F$5:$F$1004,0)),"¿Lote?"))</f>
        <v/>
      </c>
      <c r="E924" s="11" t="str">
        <f aca="false">IF(C924="","",IFERROR(INDEX(LOTES!$C$5:$C$1004,MATCH(C924,LOTES!$F$5:$F$1004,0)),""))</f>
        <v/>
      </c>
      <c r="F924" s="27"/>
      <c r="G924" s="27"/>
      <c r="H924" s="27"/>
      <c r="I924" s="20" t="str">
        <f aca="false">IF(AND(ISNUMBER(F924),ISNUMBER(G924),ISNUMBER(H924),F924&gt;G924,H924&gt;0),(F924-H924)/(F924-G924)*1000,"")</f>
        <v/>
      </c>
      <c r="J924" s="17" t="str">
        <f aca="false">IF(AND(ISNUMBER(F924),ISNUMBER(G924),ISNUMBER(H924),F924&gt;G924,H924&gt;0),(F924-H924)/H924,"")</f>
        <v/>
      </c>
      <c r="K924" s="20" t="str">
        <f aca="false">IF(AND(ISNUMBER(F924),ISNUMBER(G924),ISNUMBER(H924),F924&gt;G924,H924&gt;0),H924/(F924-G924)*1000,"")</f>
        <v/>
      </c>
      <c r="L924" s="11" t="str">
        <f aca="false">IF(K924="","",IF(K924&gt;=CONFIG!$E$21,CONFIG!$D$21,IF(K924&gt;=CONFIG!$E$20,CONFIG!$D$20,CONFIG!$D$19)))</f>
        <v/>
      </c>
      <c r="M924" s="20" t="str">
        <f aca="false">IF(K924="","",IF(K924&gt;=CONFIG!$E$21,CONFIG!$F$21,IF(K924&gt;=CONFIG!$E$20,CONFIG!$F$20,CONFIG!$F$19)))</f>
        <v/>
      </c>
      <c r="N924" s="19" t="str">
        <f aca="false">IF(I924="","",IF(I924&lt;=M924,"OK","ALTA"))</f>
        <v/>
      </c>
      <c r="O924" s="13"/>
    </row>
    <row r="925" customFormat="false" ht="15" hidden="false" customHeight="false" outlineLevel="0" collapsed="false">
      <c r="A925" s="11" t="str">
        <f aca="false">IF(C925="","",ROW()-4)</f>
        <v/>
      </c>
      <c r="B925" s="12"/>
      <c r="C925" s="13"/>
      <c r="D925" s="11" t="str">
        <f aca="false">IF(C925="","",IFERROR(INDEX(LOTES!$D$5:$D$1004,MATCH(C925,LOTES!$F$5:$F$1004,0)),"¿Lote?"))</f>
        <v/>
      </c>
      <c r="E925" s="11" t="str">
        <f aca="false">IF(C925="","",IFERROR(INDEX(LOTES!$C$5:$C$1004,MATCH(C925,LOTES!$F$5:$F$1004,0)),""))</f>
        <v/>
      </c>
      <c r="F925" s="27"/>
      <c r="G925" s="27"/>
      <c r="H925" s="27"/>
      <c r="I925" s="20" t="str">
        <f aca="false">IF(AND(ISNUMBER(F925),ISNUMBER(G925),ISNUMBER(H925),F925&gt;G925,H925&gt;0),(F925-H925)/(F925-G925)*1000,"")</f>
        <v/>
      </c>
      <c r="J925" s="17" t="str">
        <f aca="false">IF(AND(ISNUMBER(F925),ISNUMBER(G925),ISNUMBER(H925),F925&gt;G925,H925&gt;0),(F925-H925)/H925,"")</f>
        <v/>
      </c>
      <c r="K925" s="20" t="str">
        <f aca="false">IF(AND(ISNUMBER(F925),ISNUMBER(G925),ISNUMBER(H925),F925&gt;G925,H925&gt;0),H925/(F925-G925)*1000,"")</f>
        <v/>
      </c>
      <c r="L925" s="11" t="str">
        <f aca="false">IF(K925="","",IF(K925&gt;=CONFIG!$E$21,CONFIG!$D$21,IF(K925&gt;=CONFIG!$E$20,CONFIG!$D$20,CONFIG!$D$19)))</f>
        <v/>
      </c>
      <c r="M925" s="20" t="str">
        <f aca="false">IF(K925="","",IF(K925&gt;=CONFIG!$E$21,CONFIG!$F$21,IF(K925&gt;=CONFIG!$E$20,CONFIG!$F$20,CONFIG!$F$19)))</f>
        <v/>
      </c>
      <c r="N925" s="19" t="str">
        <f aca="false">IF(I925="","",IF(I925&lt;=M925,"OK","ALTA"))</f>
        <v/>
      </c>
      <c r="O925" s="13"/>
    </row>
    <row r="926" customFormat="false" ht="15" hidden="false" customHeight="false" outlineLevel="0" collapsed="false">
      <c r="A926" s="11" t="str">
        <f aca="false">IF(C926="","",ROW()-4)</f>
        <v/>
      </c>
      <c r="B926" s="12"/>
      <c r="C926" s="13"/>
      <c r="D926" s="11" t="str">
        <f aca="false">IF(C926="","",IFERROR(INDEX(LOTES!$D$5:$D$1004,MATCH(C926,LOTES!$F$5:$F$1004,0)),"¿Lote?"))</f>
        <v/>
      </c>
      <c r="E926" s="11" t="str">
        <f aca="false">IF(C926="","",IFERROR(INDEX(LOTES!$C$5:$C$1004,MATCH(C926,LOTES!$F$5:$F$1004,0)),""))</f>
        <v/>
      </c>
      <c r="F926" s="27"/>
      <c r="G926" s="27"/>
      <c r="H926" s="27"/>
      <c r="I926" s="20" t="str">
        <f aca="false">IF(AND(ISNUMBER(F926),ISNUMBER(G926),ISNUMBER(H926),F926&gt;G926,H926&gt;0),(F926-H926)/(F926-G926)*1000,"")</f>
        <v/>
      </c>
      <c r="J926" s="17" t="str">
        <f aca="false">IF(AND(ISNUMBER(F926),ISNUMBER(G926),ISNUMBER(H926),F926&gt;G926,H926&gt;0),(F926-H926)/H926,"")</f>
        <v/>
      </c>
      <c r="K926" s="20" t="str">
        <f aca="false">IF(AND(ISNUMBER(F926),ISNUMBER(G926),ISNUMBER(H926),F926&gt;G926,H926&gt;0),H926/(F926-G926)*1000,"")</f>
        <v/>
      </c>
      <c r="L926" s="11" t="str">
        <f aca="false">IF(K926="","",IF(K926&gt;=CONFIG!$E$21,CONFIG!$D$21,IF(K926&gt;=CONFIG!$E$20,CONFIG!$D$20,CONFIG!$D$19)))</f>
        <v/>
      </c>
      <c r="M926" s="20" t="str">
        <f aca="false">IF(K926="","",IF(K926&gt;=CONFIG!$E$21,CONFIG!$F$21,IF(K926&gt;=CONFIG!$E$20,CONFIG!$F$20,CONFIG!$F$19)))</f>
        <v/>
      </c>
      <c r="N926" s="19" t="str">
        <f aca="false">IF(I926="","",IF(I926&lt;=M926,"OK","ALTA"))</f>
        <v/>
      </c>
      <c r="O926" s="13"/>
    </row>
    <row r="927" customFormat="false" ht="15" hidden="false" customHeight="false" outlineLevel="0" collapsed="false">
      <c r="A927" s="11" t="str">
        <f aca="false">IF(C927="","",ROW()-4)</f>
        <v/>
      </c>
      <c r="B927" s="12"/>
      <c r="C927" s="13"/>
      <c r="D927" s="11" t="str">
        <f aca="false">IF(C927="","",IFERROR(INDEX(LOTES!$D$5:$D$1004,MATCH(C927,LOTES!$F$5:$F$1004,0)),"¿Lote?"))</f>
        <v/>
      </c>
      <c r="E927" s="11" t="str">
        <f aca="false">IF(C927="","",IFERROR(INDEX(LOTES!$C$5:$C$1004,MATCH(C927,LOTES!$F$5:$F$1004,0)),""))</f>
        <v/>
      </c>
      <c r="F927" s="27"/>
      <c r="G927" s="27"/>
      <c r="H927" s="27"/>
      <c r="I927" s="20" t="str">
        <f aca="false">IF(AND(ISNUMBER(F927),ISNUMBER(G927),ISNUMBER(H927),F927&gt;G927,H927&gt;0),(F927-H927)/(F927-G927)*1000,"")</f>
        <v/>
      </c>
      <c r="J927" s="17" t="str">
        <f aca="false">IF(AND(ISNUMBER(F927),ISNUMBER(G927),ISNUMBER(H927),F927&gt;G927,H927&gt;0),(F927-H927)/H927,"")</f>
        <v/>
      </c>
      <c r="K927" s="20" t="str">
        <f aca="false">IF(AND(ISNUMBER(F927),ISNUMBER(G927),ISNUMBER(H927),F927&gt;G927,H927&gt;0),H927/(F927-G927)*1000,"")</f>
        <v/>
      </c>
      <c r="L927" s="11" t="str">
        <f aca="false">IF(K927="","",IF(K927&gt;=CONFIG!$E$21,CONFIG!$D$21,IF(K927&gt;=CONFIG!$E$20,CONFIG!$D$20,CONFIG!$D$19)))</f>
        <v/>
      </c>
      <c r="M927" s="20" t="str">
        <f aca="false">IF(K927="","",IF(K927&gt;=CONFIG!$E$21,CONFIG!$F$21,IF(K927&gt;=CONFIG!$E$20,CONFIG!$F$20,CONFIG!$F$19)))</f>
        <v/>
      </c>
      <c r="N927" s="19" t="str">
        <f aca="false">IF(I927="","",IF(I927&lt;=M927,"OK","ALTA"))</f>
        <v/>
      </c>
      <c r="O927" s="13"/>
    </row>
    <row r="928" customFormat="false" ht="15" hidden="false" customHeight="false" outlineLevel="0" collapsed="false">
      <c r="A928" s="11" t="str">
        <f aca="false">IF(C928="","",ROW()-4)</f>
        <v/>
      </c>
      <c r="B928" s="12"/>
      <c r="C928" s="13"/>
      <c r="D928" s="11" t="str">
        <f aca="false">IF(C928="","",IFERROR(INDEX(LOTES!$D$5:$D$1004,MATCH(C928,LOTES!$F$5:$F$1004,0)),"¿Lote?"))</f>
        <v/>
      </c>
      <c r="E928" s="11" t="str">
        <f aca="false">IF(C928="","",IFERROR(INDEX(LOTES!$C$5:$C$1004,MATCH(C928,LOTES!$F$5:$F$1004,0)),""))</f>
        <v/>
      </c>
      <c r="F928" s="27"/>
      <c r="G928" s="27"/>
      <c r="H928" s="27"/>
      <c r="I928" s="20" t="str">
        <f aca="false">IF(AND(ISNUMBER(F928),ISNUMBER(G928),ISNUMBER(H928),F928&gt;G928,H928&gt;0),(F928-H928)/(F928-G928)*1000,"")</f>
        <v/>
      </c>
      <c r="J928" s="17" t="str">
        <f aca="false">IF(AND(ISNUMBER(F928),ISNUMBER(G928),ISNUMBER(H928),F928&gt;G928,H928&gt;0),(F928-H928)/H928,"")</f>
        <v/>
      </c>
      <c r="K928" s="20" t="str">
        <f aca="false">IF(AND(ISNUMBER(F928),ISNUMBER(G928),ISNUMBER(H928),F928&gt;G928,H928&gt;0),H928/(F928-G928)*1000,"")</f>
        <v/>
      </c>
      <c r="L928" s="11" t="str">
        <f aca="false">IF(K928="","",IF(K928&gt;=CONFIG!$E$21,CONFIG!$D$21,IF(K928&gt;=CONFIG!$E$20,CONFIG!$D$20,CONFIG!$D$19)))</f>
        <v/>
      </c>
      <c r="M928" s="20" t="str">
        <f aca="false">IF(K928="","",IF(K928&gt;=CONFIG!$E$21,CONFIG!$F$21,IF(K928&gt;=CONFIG!$E$20,CONFIG!$F$20,CONFIG!$F$19)))</f>
        <v/>
      </c>
      <c r="N928" s="19" t="str">
        <f aca="false">IF(I928="","",IF(I928&lt;=M928,"OK","ALTA"))</f>
        <v/>
      </c>
      <c r="O928" s="13"/>
    </row>
    <row r="929" customFormat="false" ht="15" hidden="false" customHeight="false" outlineLevel="0" collapsed="false">
      <c r="A929" s="11" t="str">
        <f aca="false">IF(C929="","",ROW()-4)</f>
        <v/>
      </c>
      <c r="B929" s="12"/>
      <c r="C929" s="13"/>
      <c r="D929" s="11" t="str">
        <f aca="false">IF(C929="","",IFERROR(INDEX(LOTES!$D$5:$D$1004,MATCH(C929,LOTES!$F$5:$F$1004,0)),"¿Lote?"))</f>
        <v/>
      </c>
      <c r="E929" s="11" t="str">
        <f aca="false">IF(C929="","",IFERROR(INDEX(LOTES!$C$5:$C$1004,MATCH(C929,LOTES!$F$5:$F$1004,0)),""))</f>
        <v/>
      </c>
      <c r="F929" s="27"/>
      <c r="G929" s="27"/>
      <c r="H929" s="27"/>
      <c r="I929" s="20" t="str">
        <f aca="false">IF(AND(ISNUMBER(F929),ISNUMBER(G929),ISNUMBER(H929),F929&gt;G929,H929&gt;0),(F929-H929)/(F929-G929)*1000,"")</f>
        <v/>
      </c>
      <c r="J929" s="17" t="str">
        <f aca="false">IF(AND(ISNUMBER(F929),ISNUMBER(G929),ISNUMBER(H929),F929&gt;G929,H929&gt;0),(F929-H929)/H929,"")</f>
        <v/>
      </c>
      <c r="K929" s="20" t="str">
        <f aca="false">IF(AND(ISNUMBER(F929),ISNUMBER(G929),ISNUMBER(H929),F929&gt;G929,H929&gt;0),H929/(F929-G929)*1000,"")</f>
        <v/>
      </c>
      <c r="L929" s="11" t="str">
        <f aca="false">IF(K929="","",IF(K929&gt;=CONFIG!$E$21,CONFIG!$D$21,IF(K929&gt;=CONFIG!$E$20,CONFIG!$D$20,CONFIG!$D$19)))</f>
        <v/>
      </c>
      <c r="M929" s="20" t="str">
        <f aca="false">IF(K929="","",IF(K929&gt;=CONFIG!$E$21,CONFIG!$F$21,IF(K929&gt;=CONFIG!$E$20,CONFIG!$F$20,CONFIG!$F$19)))</f>
        <v/>
      </c>
      <c r="N929" s="19" t="str">
        <f aca="false">IF(I929="","",IF(I929&lt;=M929,"OK","ALTA"))</f>
        <v/>
      </c>
      <c r="O929" s="13"/>
    </row>
    <row r="930" customFormat="false" ht="15" hidden="false" customHeight="false" outlineLevel="0" collapsed="false">
      <c r="A930" s="11" t="str">
        <f aca="false">IF(C930="","",ROW()-4)</f>
        <v/>
      </c>
      <c r="B930" s="12"/>
      <c r="C930" s="13"/>
      <c r="D930" s="11" t="str">
        <f aca="false">IF(C930="","",IFERROR(INDEX(LOTES!$D$5:$D$1004,MATCH(C930,LOTES!$F$5:$F$1004,0)),"¿Lote?"))</f>
        <v/>
      </c>
      <c r="E930" s="11" t="str">
        <f aca="false">IF(C930="","",IFERROR(INDEX(LOTES!$C$5:$C$1004,MATCH(C930,LOTES!$F$5:$F$1004,0)),""))</f>
        <v/>
      </c>
      <c r="F930" s="27"/>
      <c r="G930" s="27"/>
      <c r="H930" s="27"/>
      <c r="I930" s="20" t="str">
        <f aca="false">IF(AND(ISNUMBER(F930),ISNUMBER(G930),ISNUMBER(H930),F930&gt;G930,H930&gt;0),(F930-H930)/(F930-G930)*1000,"")</f>
        <v/>
      </c>
      <c r="J930" s="17" t="str">
        <f aca="false">IF(AND(ISNUMBER(F930),ISNUMBER(G930),ISNUMBER(H930),F930&gt;G930,H930&gt;0),(F930-H930)/H930,"")</f>
        <v/>
      </c>
      <c r="K930" s="20" t="str">
        <f aca="false">IF(AND(ISNUMBER(F930),ISNUMBER(G930),ISNUMBER(H930),F930&gt;G930,H930&gt;0),H930/(F930-G930)*1000,"")</f>
        <v/>
      </c>
      <c r="L930" s="11" t="str">
        <f aca="false">IF(K930="","",IF(K930&gt;=CONFIG!$E$21,CONFIG!$D$21,IF(K930&gt;=CONFIG!$E$20,CONFIG!$D$20,CONFIG!$D$19)))</f>
        <v/>
      </c>
      <c r="M930" s="20" t="str">
        <f aca="false">IF(K930="","",IF(K930&gt;=CONFIG!$E$21,CONFIG!$F$21,IF(K930&gt;=CONFIG!$E$20,CONFIG!$F$20,CONFIG!$F$19)))</f>
        <v/>
      </c>
      <c r="N930" s="19" t="str">
        <f aca="false">IF(I930="","",IF(I930&lt;=M930,"OK","ALTA"))</f>
        <v/>
      </c>
      <c r="O930" s="13"/>
    </row>
    <row r="931" customFormat="false" ht="15" hidden="false" customHeight="false" outlineLevel="0" collapsed="false">
      <c r="A931" s="11" t="str">
        <f aca="false">IF(C931="","",ROW()-4)</f>
        <v/>
      </c>
      <c r="B931" s="12"/>
      <c r="C931" s="13"/>
      <c r="D931" s="11" t="str">
        <f aca="false">IF(C931="","",IFERROR(INDEX(LOTES!$D$5:$D$1004,MATCH(C931,LOTES!$F$5:$F$1004,0)),"¿Lote?"))</f>
        <v/>
      </c>
      <c r="E931" s="11" t="str">
        <f aca="false">IF(C931="","",IFERROR(INDEX(LOTES!$C$5:$C$1004,MATCH(C931,LOTES!$F$5:$F$1004,0)),""))</f>
        <v/>
      </c>
      <c r="F931" s="27"/>
      <c r="G931" s="27"/>
      <c r="H931" s="27"/>
      <c r="I931" s="20" t="str">
        <f aca="false">IF(AND(ISNUMBER(F931),ISNUMBER(G931),ISNUMBER(H931),F931&gt;G931,H931&gt;0),(F931-H931)/(F931-G931)*1000,"")</f>
        <v/>
      </c>
      <c r="J931" s="17" t="str">
        <f aca="false">IF(AND(ISNUMBER(F931),ISNUMBER(G931),ISNUMBER(H931),F931&gt;G931,H931&gt;0),(F931-H931)/H931,"")</f>
        <v/>
      </c>
      <c r="K931" s="20" t="str">
        <f aca="false">IF(AND(ISNUMBER(F931),ISNUMBER(G931),ISNUMBER(H931),F931&gt;G931,H931&gt;0),H931/(F931-G931)*1000,"")</f>
        <v/>
      </c>
      <c r="L931" s="11" t="str">
        <f aca="false">IF(K931="","",IF(K931&gt;=CONFIG!$E$21,CONFIG!$D$21,IF(K931&gt;=CONFIG!$E$20,CONFIG!$D$20,CONFIG!$D$19)))</f>
        <v/>
      </c>
      <c r="M931" s="20" t="str">
        <f aca="false">IF(K931="","",IF(K931&gt;=CONFIG!$E$21,CONFIG!$F$21,IF(K931&gt;=CONFIG!$E$20,CONFIG!$F$20,CONFIG!$F$19)))</f>
        <v/>
      </c>
      <c r="N931" s="19" t="str">
        <f aca="false">IF(I931="","",IF(I931&lt;=M931,"OK","ALTA"))</f>
        <v/>
      </c>
      <c r="O931" s="13"/>
    </row>
    <row r="932" customFormat="false" ht="15" hidden="false" customHeight="false" outlineLevel="0" collapsed="false">
      <c r="A932" s="11" t="str">
        <f aca="false">IF(C932="","",ROW()-4)</f>
        <v/>
      </c>
      <c r="B932" s="12"/>
      <c r="C932" s="13"/>
      <c r="D932" s="11" t="str">
        <f aca="false">IF(C932="","",IFERROR(INDEX(LOTES!$D$5:$D$1004,MATCH(C932,LOTES!$F$5:$F$1004,0)),"¿Lote?"))</f>
        <v/>
      </c>
      <c r="E932" s="11" t="str">
        <f aca="false">IF(C932="","",IFERROR(INDEX(LOTES!$C$5:$C$1004,MATCH(C932,LOTES!$F$5:$F$1004,0)),""))</f>
        <v/>
      </c>
      <c r="F932" s="27"/>
      <c r="G932" s="27"/>
      <c r="H932" s="27"/>
      <c r="I932" s="20" t="str">
        <f aca="false">IF(AND(ISNUMBER(F932),ISNUMBER(G932),ISNUMBER(H932),F932&gt;G932,H932&gt;0),(F932-H932)/(F932-G932)*1000,"")</f>
        <v/>
      </c>
      <c r="J932" s="17" t="str">
        <f aca="false">IF(AND(ISNUMBER(F932),ISNUMBER(G932),ISNUMBER(H932),F932&gt;G932,H932&gt;0),(F932-H932)/H932,"")</f>
        <v/>
      </c>
      <c r="K932" s="20" t="str">
        <f aca="false">IF(AND(ISNUMBER(F932),ISNUMBER(G932),ISNUMBER(H932),F932&gt;G932,H932&gt;0),H932/(F932-G932)*1000,"")</f>
        <v/>
      </c>
      <c r="L932" s="11" t="str">
        <f aca="false">IF(K932="","",IF(K932&gt;=CONFIG!$E$21,CONFIG!$D$21,IF(K932&gt;=CONFIG!$E$20,CONFIG!$D$20,CONFIG!$D$19)))</f>
        <v/>
      </c>
      <c r="M932" s="20" t="str">
        <f aca="false">IF(K932="","",IF(K932&gt;=CONFIG!$E$21,CONFIG!$F$21,IF(K932&gt;=CONFIG!$E$20,CONFIG!$F$20,CONFIG!$F$19)))</f>
        <v/>
      </c>
      <c r="N932" s="19" t="str">
        <f aca="false">IF(I932="","",IF(I932&lt;=M932,"OK","ALTA"))</f>
        <v/>
      </c>
      <c r="O932" s="13"/>
    </row>
    <row r="933" customFormat="false" ht="15" hidden="false" customHeight="false" outlineLevel="0" collapsed="false">
      <c r="A933" s="11" t="str">
        <f aca="false">IF(C933="","",ROW()-4)</f>
        <v/>
      </c>
      <c r="B933" s="12"/>
      <c r="C933" s="13"/>
      <c r="D933" s="11" t="str">
        <f aca="false">IF(C933="","",IFERROR(INDEX(LOTES!$D$5:$D$1004,MATCH(C933,LOTES!$F$5:$F$1004,0)),"¿Lote?"))</f>
        <v/>
      </c>
      <c r="E933" s="11" t="str">
        <f aca="false">IF(C933="","",IFERROR(INDEX(LOTES!$C$5:$C$1004,MATCH(C933,LOTES!$F$5:$F$1004,0)),""))</f>
        <v/>
      </c>
      <c r="F933" s="27"/>
      <c r="G933" s="27"/>
      <c r="H933" s="27"/>
      <c r="I933" s="20" t="str">
        <f aca="false">IF(AND(ISNUMBER(F933),ISNUMBER(G933),ISNUMBER(H933),F933&gt;G933,H933&gt;0),(F933-H933)/(F933-G933)*1000,"")</f>
        <v/>
      </c>
      <c r="J933" s="17" t="str">
        <f aca="false">IF(AND(ISNUMBER(F933),ISNUMBER(G933),ISNUMBER(H933),F933&gt;G933,H933&gt;0),(F933-H933)/H933,"")</f>
        <v/>
      </c>
      <c r="K933" s="20" t="str">
        <f aca="false">IF(AND(ISNUMBER(F933),ISNUMBER(G933),ISNUMBER(H933),F933&gt;G933,H933&gt;0),H933/(F933-G933)*1000,"")</f>
        <v/>
      </c>
      <c r="L933" s="11" t="str">
        <f aca="false">IF(K933="","",IF(K933&gt;=CONFIG!$E$21,CONFIG!$D$21,IF(K933&gt;=CONFIG!$E$20,CONFIG!$D$20,CONFIG!$D$19)))</f>
        <v/>
      </c>
      <c r="M933" s="20" t="str">
        <f aca="false">IF(K933="","",IF(K933&gt;=CONFIG!$E$21,CONFIG!$F$21,IF(K933&gt;=CONFIG!$E$20,CONFIG!$F$20,CONFIG!$F$19)))</f>
        <v/>
      </c>
      <c r="N933" s="19" t="str">
        <f aca="false">IF(I933="","",IF(I933&lt;=M933,"OK","ALTA"))</f>
        <v/>
      </c>
      <c r="O933" s="13"/>
    </row>
    <row r="934" customFormat="false" ht="15" hidden="false" customHeight="false" outlineLevel="0" collapsed="false">
      <c r="A934" s="11" t="str">
        <f aca="false">IF(C934="","",ROW()-4)</f>
        <v/>
      </c>
      <c r="B934" s="12"/>
      <c r="C934" s="13"/>
      <c r="D934" s="11" t="str">
        <f aca="false">IF(C934="","",IFERROR(INDEX(LOTES!$D$5:$D$1004,MATCH(C934,LOTES!$F$5:$F$1004,0)),"¿Lote?"))</f>
        <v/>
      </c>
      <c r="E934" s="11" t="str">
        <f aca="false">IF(C934="","",IFERROR(INDEX(LOTES!$C$5:$C$1004,MATCH(C934,LOTES!$F$5:$F$1004,0)),""))</f>
        <v/>
      </c>
      <c r="F934" s="27"/>
      <c r="G934" s="27"/>
      <c r="H934" s="27"/>
      <c r="I934" s="20" t="str">
        <f aca="false">IF(AND(ISNUMBER(F934),ISNUMBER(G934),ISNUMBER(H934),F934&gt;G934,H934&gt;0),(F934-H934)/(F934-G934)*1000,"")</f>
        <v/>
      </c>
      <c r="J934" s="17" t="str">
        <f aca="false">IF(AND(ISNUMBER(F934),ISNUMBER(G934),ISNUMBER(H934),F934&gt;G934,H934&gt;0),(F934-H934)/H934,"")</f>
        <v/>
      </c>
      <c r="K934" s="20" t="str">
        <f aca="false">IF(AND(ISNUMBER(F934),ISNUMBER(G934),ISNUMBER(H934),F934&gt;G934,H934&gt;0),H934/(F934-G934)*1000,"")</f>
        <v/>
      </c>
      <c r="L934" s="11" t="str">
        <f aca="false">IF(K934="","",IF(K934&gt;=CONFIG!$E$21,CONFIG!$D$21,IF(K934&gt;=CONFIG!$E$20,CONFIG!$D$20,CONFIG!$D$19)))</f>
        <v/>
      </c>
      <c r="M934" s="20" t="str">
        <f aca="false">IF(K934="","",IF(K934&gt;=CONFIG!$E$21,CONFIG!$F$21,IF(K934&gt;=CONFIG!$E$20,CONFIG!$F$20,CONFIG!$F$19)))</f>
        <v/>
      </c>
      <c r="N934" s="19" t="str">
        <f aca="false">IF(I934="","",IF(I934&lt;=M934,"OK","ALTA"))</f>
        <v/>
      </c>
      <c r="O934" s="13"/>
    </row>
    <row r="935" customFormat="false" ht="15" hidden="false" customHeight="false" outlineLevel="0" collapsed="false">
      <c r="A935" s="11" t="str">
        <f aca="false">IF(C935="","",ROW()-4)</f>
        <v/>
      </c>
      <c r="B935" s="12"/>
      <c r="C935" s="13"/>
      <c r="D935" s="11" t="str">
        <f aca="false">IF(C935="","",IFERROR(INDEX(LOTES!$D$5:$D$1004,MATCH(C935,LOTES!$F$5:$F$1004,0)),"¿Lote?"))</f>
        <v/>
      </c>
      <c r="E935" s="11" t="str">
        <f aca="false">IF(C935="","",IFERROR(INDEX(LOTES!$C$5:$C$1004,MATCH(C935,LOTES!$F$5:$F$1004,0)),""))</f>
        <v/>
      </c>
      <c r="F935" s="27"/>
      <c r="G935" s="27"/>
      <c r="H935" s="27"/>
      <c r="I935" s="20" t="str">
        <f aca="false">IF(AND(ISNUMBER(F935),ISNUMBER(G935),ISNUMBER(H935),F935&gt;G935,H935&gt;0),(F935-H935)/(F935-G935)*1000,"")</f>
        <v/>
      </c>
      <c r="J935" s="17" t="str">
        <f aca="false">IF(AND(ISNUMBER(F935),ISNUMBER(G935),ISNUMBER(H935),F935&gt;G935,H935&gt;0),(F935-H935)/H935,"")</f>
        <v/>
      </c>
      <c r="K935" s="20" t="str">
        <f aca="false">IF(AND(ISNUMBER(F935),ISNUMBER(G935),ISNUMBER(H935),F935&gt;G935,H935&gt;0),H935/(F935-G935)*1000,"")</f>
        <v/>
      </c>
      <c r="L935" s="11" t="str">
        <f aca="false">IF(K935="","",IF(K935&gt;=CONFIG!$E$21,CONFIG!$D$21,IF(K935&gt;=CONFIG!$E$20,CONFIG!$D$20,CONFIG!$D$19)))</f>
        <v/>
      </c>
      <c r="M935" s="20" t="str">
        <f aca="false">IF(K935="","",IF(K935&gt;=CONFIG!$E$21,CONFIG!$F$21,IF(K935&gt;=CONFIG!$E$20,CONFIG!$F$20,CONFIG!$F$19)))</f>
        <v/>
      </c>
      <c r="N935" s="19" t="str">
        <f aca="false">IF(I935="","",IF(I935&lt;=M935,"OK","ALTA"))</f>
        <v/>
      </c>
      <c r="O935" s="13"/>
    </row>
    <row r="936" customFormat="false" ht="15" hidden="false" customHeight="false" outlineLevel="0" collapsed="false">
      <c r="A936" s="11" t="str">
        <f aca="false">IF(C936="","",ROW()-4)</f>
        <v/>
      </c>
      <c r="B936" s="12"/>
      <c r="C936" s="13"/>
      <c r="D936" s="11" t="str">
        <f aca="false">IF(C936="","",IFERROR(INDEX(LOTES!$D$5:$D$1004,MATCH(C936,LOTES!$F$5:$F$1004,0)),"¿Lote?"))</f>
        <v/>
      </c>
      <c r="E936" s="11" t="str">
        <f aca="false">IF(C936="","",IFERROR(INDEX(LOTES!$C$5:$C$1004,MATCH(C936,LOTES!$F$5:$F$1004,0)),""))</f>
        <v/>
      </c>
      <c r="F936" s="27"/>
      <c r="G936" s="27"/>
      <c r="H936" s="27"/>
      <c r="I936" s="20" t="str">
        <f aca="false">IF(AND(ISNUMBER(F936),ISNUMBER(G936),ISNUMBER(H936),F936&gt;G936,H936&gt;0),(F936-H936)/(F936-G936)*1000,"")</f>
        <v/>
      </c>
      <c r="J936" s="17" t="str">
        <f aca="false">IF(AND(ISNUMBER(F936),ISNUMBER(G936),ISNUMBER(H936),F936&gt;G936,H936&gt;0),(F936-H936)/H936,"")</f>
        <v/>
      </c>
      <c r="K936" s="20" t="str">
        <f aca="false">IF(AND(ISNUMBER(F936),ISNUMBER(G936),ISNUMBER(H936),F936&gt;G936,H936&gt;0),H936/(F936-G936)*1000,"")</f>
        <v/>
      </c>
      <c r="L936" s="11" t="str">
        <f aca="false">IF(K936="","",IF(K936&gt;=CONFIG!$E$21,CONFIG!$D$21,IF(K936&gt;=CONFIG!$E$20,CONFIG!$D$20,CONFIG!$D$19)))</f>
        <v/>
      </c>
      <c r="M936" s="20" t="str">
        <f aca="false">IF(K936="","",IF(K936&gt;=CONFIG!$E$21,CONFIG!$F$21,IF(K936&gt;=CONFIG!$E$20,CONFIG!$F$20,CONFIG!$F$19)))</f>
        <v/>
      </c>
      <c r="N936" s="19" t="str">
        <f aca="false">IF(I936="","",IF(I936&lt;=M936,"OK","ALTA"))</f>
        <v/>
      </c>
      <c r="O936" s="13"/>
    </row>
    <row r="937" customFormat="false" ht="15" hidden="false" customHeight="false" outlineLevel="0" collapsed="false">
      <c r="A937" s="11" t="str">
        <f aca="false">IF(C937="","",ROW()-4)</f>
        <v/>
      </c>
      <c r="B937" s="12"/>
      <c r="C937" s="13"/>
      <c r="D937" s="11" t="str">
        <f aca="false">IF(C937="","",IFERROR(INDEX(LOTES!$D$5:$D$1004,MATCH(C937,LOTES!$F$5:$F$1004,0)),"¿Lote?"))</f>
        <v/>
      </c>
      <c r="E937" s="11" t="str">
        <f aca="false">IF(C937="","",IFERROR(INDEX(LOTES!$C$5:$C$1004,MATCH(C937,LOTES!$F$5:$F$1004,0)),""))</f>
        <v/>
      </c>
      <c r="F937" s="27"/>
      <c r="G937" s="27"/>
      <c r="H937" s="27"/>
      <c r="I937" s="20" t="str">
        <f aca="false">IF(AND(ISNUMBER(F937),ISNUMBER(G937),ISNUMBER(H937),F937&gt;G937,H937&gt;0),(F937-H937)/(F937-G937)*1000,"")</f>
        <v/>
      </c>
      <c r="J937" s="17" t="str">
        <f aca="false">IF(AND(ISNUMBER(F937),ISNUMBER(G937),ISNUMBER(H937),F937&gt;G937,H937&gt;0),(F937-H937)/H937,"")</f>
        <v/>
      </c>
      <c r="K937" s="20" t="str">
        <f aca="false">IF(AND(ISNUMBER(F937),ISNUMBER(G937),ISNUMBER(H937),F937&gt;G937,H937&gt;0),H937/(F937-G937)*1000,"")</f>
        <v/>
      </c>
      <c r="L937" s="11" t="str">
        <f aca="false">IF(K937="","",IF(K937&gt;=CONFIG!$E$21,CONFIG!$D$21,IF(K937&gt;=CONFIG!$E$20,CONFIG!$D$20,CONFIG!$D$19)))</f>
        <v/>
      </c>
      <c r="M937" s="20" t="str">
        <f aca="false">IF(K937="","",IF(K937&gt;=CONFIG!$E$21,CONFIG!$F$21,IF(K937&gt;=CONFIG!$E$20,CONFIG!$F$20,CONFIG!$F$19)))</f>
        <v/>
      </c>
      <c r="N937" s="19" t="str">
        <f aca="false">IF(I937="","",IF(I937&lt;=M937,"OK","ALTA"))</f>
        <v/>
      </c>
      <c r="O937" s="13"/>
    </row>
    <row r="938" customFormat="false" ht="15" hidden="false" customHeight="false" outlineLevel="0" collapsed="false">
      <c r="A938" s="11" t="str">
        <f aca="false">IF(C938="","",ROW()-4)</f>
        <v/>
      </c>
      <c r="B938" s="12"/>
      <c r="C938" s="13"/>
      <c r="D938" s="11" t="str">
        <f aca="false">IF(C938="","",IFERROR(INDEX(LOTES!$D$5:$D$1004,MATCH(C938,LOTES!$F$5:$F$1004,0)),"¿Lote?"))</f>
        <v/>
      </c>
      <c r="E938" s="11" t="str">
        <f aca="false">IF(C938="","",IFERROR(INDEX(LOTES!$C$5:$C$1004,MATCH(C938,LOTES!$F$5:$F$1004,0)),""))</f>
        <v/>
      </c>
      <c r="F938" s="27"/>
      <c r="G938" s="27"/>
      <c r="H938" s="27"/>
      <c r="I938" s="20" t="str">
        <f aca="false">IF(AND(ISNUMBER(F938),ISNUMBER(G938),ISNUMBER(H938),F938&gt;G938,H938&gt;0),(F938-H938)/(F938-G938)*1000,"")</f>
        <v/>
      </c>
      <c r="J938" s="17" t="str">
        <f aca="false">IF(AND(ISNUMBER(F938),ISNUMBER(G938),ISNUMBER(H938),F938&gt;G938,H938&gt;0),(F938-H938)/H938,"")</f>
        <v/>
      </c>
      <c r="K938" s="20" t="str">
        <f aca="false">IF(AND(ISNUMBER(F938),ISNUMBER(G938),ISNUMBER(H938),F938&gt;G938,H938&gt;0),H938/(F938-G938)*1000,"")</f>
        <v/>
      </c>
      <c r="L938" s="11" t="str">
        <f aca="false">IF(K938="","",IF(K938&gt;=CONFIG!$E$21,CONFIG!$D$21,IF(K938&gt;=CONFIG!$E$20,CONFIG!$D$20,CONFIG!$D$19)))</f>
        <v/>
      </c>
      <c r="M938" s="20" t="str">
        <f aca="false">IF(K938="","",IF(K938&gt;=CONFIG!$E$21,CONFIG!$F$21,IF(K938&gt;=CONFIG!$E$20,CONFIG!$F$20,CONFIG!$F$19)))</f>
        <v/>
      </c>
      <c r="N938" s="19" t="str">
        <f aca="false">IF(I938="","",IF(I938&lt;=M938,"OK","ALTA"))</f>
        <v/>
      </c>
      <c r="O938" s="13"/>
    </row>
    <row r="939" customFormat="false" ht="15" hidden="false" customHeight="false" outlineLevel="0" collapsed="false">
      <c r="A939" s="11" t="str">
        <f aca="false">IF(C939="","",ROW()-4)</f>
        <v/>
      </c>
      <c r="B939" s="12"/>
      <c r="C939" s="13"/>
      <c r="D939" s="11" t="str">
        <f aca="false">IF(C939="","",IFERROR(INDEX(LOTES!$D$5:$D$1004,MATCH(C939,LOTES!$F$5:$F$1004,0)),"¿Lote?"))</f>
        <v/>
      </c>
      <c r="E939" s="11" t="str">
        <f aca="false">IF(C939="","",IFERROR(INDEX(LOTES!$C$5:$C$1004,MATCH(C939,LOTES!$F$5:$F$1004,0)),""))</f>
        <v/>
      </c>
      <c r="F939" s="27"/>
      <c r="G939" s="27"/>
      <c r="H939" s="27"/>
      <c r="I939" s="20" t="str">
        <f aca="false">IF(AND(ISNUMBER(F939),ISNUMBER(G939),ISNUMBER(H939),F939&gt;G939,H939&gt;0),(F939-H939)/(F939-G939)*1000,"")</f>
        <v/>
      </c>
      <c r="J939" s="17" t="str">
        <f aca="false">IF(AND(ISNUMBER(F939),ISNUMBER(G939),ISNUMBER(H939),F939&gt;G939,H939&gt;0),(F939-H939)/H939,"")</f>
        <v/>
      </c>
      <c r="K939" s="20" t="str">
        <f aca="false">IF(AND(ISNUMBER(F939),ISNUMBER(G939),ISNUMBER(H939),F939&gt;G939,H939&gt;0),H939/(F939-G939)*1000,"")</f>
        <v/>
      </c>
      <c r="L939" s="11" t="str">
        <f aca="false">IF(K939="","",IF(K939&gt;=CONFIG!$E$21,CONFIG!$D$21,IF(K939&gt;=CONFIG!$E$20,CONFIG!$D$20,CONFIG!$D$19)))</f>
        <v/>
      </c>
      <c r="M939" s="20" t="str">
        <f aca="false">IF(K939="","",IF(K939&gt;=CONFIG!$E$21,CONFIG!$F$21,IF(K939&gt;=CONFIG!$E$20,CONFIG!$F$20,CONFIG!$F$19)))</f>
        <v/>
      </c>
      <c r="N939" s="19" t="str">
        <f aca="false">IF(I939="","",IF(I939&lt;=M939,"OK","ALTA"))</f>
        <v/>
      </c>
      <c r="O939" s="13"/>
    </row>
    <row r="940" customFormat="false" ht="15" hidden="false" customHeight="false" outlineLevel="0" collapsed="false">
      <c r="A940" s="11" t="str">
        <f aca="false">IF(C940="","",ROW()-4)</f>
        <v/>
      </c>
      <c r="B940" s="12"/>
      <c r="C940" s="13"/>
      <c r="D940" s="11" t="str">
        <f aca="false">IF(C940="","",IFERROR(INDEX(LOTES!$D$5:$D$1004,MATCH(C940,LOTES!$F$5:$F$1004,0)),"¿Lote?"))</f>
        <v/>
      </c>
      <c r="E940" s="11" t="str">
        <f aca="false">IF(C940="","",IFERROR(INDEX(LOTES!$C$5:$C$1004,MATCH(C940,LOTES!$F$5:$F$1004,0)),""))</f>
        <v/>
      </c>
      <c r="F940" s="27"/>
      <c r="G940" s="27"/>
      <c r="H940" s="27"/>
      <c r="I940" s="20" t="str">
        <f aca="false">IF(AND(ISNUMBER(F940),ISNUMBER(G940),ISNUMBER(H940),F940&gt;G940,H940&gt;0),(F940-H940)/(F940-G940)*1000,"")</f>
        <v/>
      </c>
      <c r="J940" s="17" t="str">
        <f aca="false">IF(AND(ISNUMBER(F940),ISNUMBER(G940),ISNUMBER(H940),F940&gt;G940,H940&gt;0),(F940-H940)/H940,"")</f>
        <v/>
      </c>
      <c r="K940" s="20" t="str">
        <f aca="false">IF(AND(ISNUMBER(F940),ISNUMBER(G940),ISNUMBER(H940),F940&gt;G940,H940&gt;0),H940/(F940-G940)*1000,"")</f>
        <v/>
      </c>
      <c r="L940" s="11" t="str">
        <f aca="false">IF(K940="","",IF(K940&gt;=CONFIG!$E$21,CONFIG!$D$21,IF(K940&gt;=CONFIG!$E$20,CONFIG!$D$20,CONFIG!$D$19)))</f>
        <v/>
      </c>
      <c r="M940" s="20" t="str">
        <f aca="false">IF(K940="","",IF(K940&gt;=CONFIG!$E$21,CONFIG!$F$21,IF(K940&gt;=CONFIG!$E$20,CONFIG!$F$20,CONFIG!$F$19)))</f>
        <v/>
      </c>
      <c r="N940" s="19" t="str">
        <f aca="false">IF(I940="","",IF(I940&lt;=M940,"OK","ALTA"))</f>
        <v/>
      </c>
      <c r="O940" s="13"/>
    </row>
    <row r="941" customFormat="false" ht="15" hidden="false" customHeight="false" outlineLevel="0" collapsed="false">
      <c r="A941" s="11" t="str">
        <f aca="false">IF(C941="","",ROW()-4)</f>
        <v/>
      </c>
      <c r="B941" s="12"/>
      <c r="C941" s="13"/>
      <c r="D941" s="11" t="str">
        <f aca="false">IF(C941="","",IFERROR(INDEX(LOTES!$D$5:$D$1004,MATCH(C941,LOTES!$F$5:$F$1004,0)),"¿Lote?"))</f>
        <v/>
      </c>
      <c r="E941" s="11" t="str">
        <f aca="false">IF(C941="","",IFERROR(INDEX(LOTES!$C$5:$C$1004,MATCH(C941,LOTES!$F$5:$F$1004,0)),""))</f>
        <v/>
      </c>
      <c r="F941" s="27"/>
      <c r="G941" s="27"/>
      <c r="H941" s="27"/>
      <c r="I941" s="20" t="str">
        <f aca="false">IF(AND(ISNUMBER(F941),ISNUMBER(G941),ISNUMBER(H941),F941&gt;G941,H941&gt;0),(F941-H941)/(F941-G941)*1000,"")</f>
        <v/>
      </c>
      <c r="J941" s="17" t="str">
        <f aca="false">IF(AND(ISNUMBER(F941),ISNUMBER(G941),ISNUMBER(H941),F941&gt;G941,H941&gt;0),(F941-H941)/H941,"")</f>
        <v/>
      </c>
      <c r="K941" s="20" t="str">
        <f aca="false">IF(AND(ISNUMBER(F941),ISNUMBER(G941),ISNUMBER(H941),F941&gt;G941,H941&gt;0),H941/(F941-G941)*1000,"")</f>
        <v/>
      </c>
      <c r="L941" s="11" t="str">
        <f aca="false">IF(K941="","",IF(K941&gt;=CONFIG!$E$21,CONFIG!$D$21,IF(K941&gt;=CONFIG!$E$20,CONFIG!$D$20,CONFIG!$D$19)))</f>
        <v/>
      </c>
      <c r="M941" s="20" t="str">
        <f aca="false">IF(K941="","",IF(K941&gt;=CONFIG!$E$21,CONFIG!$F$21,IF(K941&gt;=CONFIG!$E$20,CONFIG!$F$20,CONFIG!$F$19)))</f>
        <v/>
      </c>
      <c r="N941" s="19" t="str">
        <f aca="false">IF(I941="","",IF(I941&lt;=M941,"OK","ALTA"))</f>
        <v/>
      </c>
      <c r="O941" s="13"/>
    </row>
    <row r="942" customFormat="false" ht="15" hidden="false" customHeight="false" outlineLevel="0" collapsed="false">
      <c r="A942" s="11" t="str">
        <f aca="false">IF(C942="","",ROW()-4)</f>
        <v/>
      </c>
      <c r="B942" s="12"/>
      <c r="C942" s="13"/>
      <c r="D942" s="11" t="str">
        <f aca="false">IF(C942="","",IFERROR(INDEX(LOTES!$D$5:$D$1004,MATCH(C942,LOTES!$F$5:$F$1004,0)),"¿Lote?"))</f>
        <v/>
      </c>
      <c r="E942" s="11" t="str">
        <f aca="false">IF(C942="","",IFERROR(INDEX(LOTES!$C$5:$C$1004,MATCH(C942,LOTES!$F$5:$F$1004,0)),""))</f>
        <v/>
      </c>
      <c r="F942" s="27"/>
      <c r="G942" s="27"/>
      <c r="H942" s="27"/>
      <c r="I942" s="20" t="str">
        <f aca="false">IF(AND(ISNUMBER(F942),ISNUMBER(G942),ISNUMBER(H942),F942&gt;G942,H942&gt;0),(F942-H942)/(F942-G942)*1000,"")</f>
        <v/>
      </c>
      <c r="J942" s="17" t="str">
        <f aca="false">IF(AND(ISNUMBER(F942),ISNUMBER(G942),ISNUMBER(H942),F942&gt;G942,H942&gt;0),(F942-H942)/H942,"")</f>
        <v/>
      </c>
      <c r="K942" s="20" t="str">
        <f aca="false">IF(AND(ISNUMBER(F942),ISNUMBER(G942),ISNUMBER(H942),F942&gt;G942,H942&gt;0),H942/(F942-G942)*1000,"")</f>
        <v/>
      </c>
      <c r="L942" s="11" t="str">
        <f aca="false">IF(K942="","",IF(K942&gt;=CONFIG!$E$21,CONFIG!$D$21,IF(K942&gt;=CONFIG!$E$20,CONFIG!$D$20,CONFIG!$D$19)))</f>
        <v/>
      </c>
      <c r="M942" s="20" t="str">
        <f aca="false">IF(K942="","",IF(K942&gt;=CONFIG!$E$21,CONFIG!$F$21,IF(K942&gt;=CONFIG!$E$20,CONFIG!$F$20,CONFIG!$F$19)))</f>
        <v/>
      </c>
      <c r="N942" s="19" t="str">
        <f aca="false">IF(I942="","",IF(I942&lt;=M942,"OK","ALTA"))</f>
        <v/>
      </c>
      <c r="O942" s="13"/>
    </row>
    <row r="943" customFormat="false" ht="15" hidden="false" customHeight="false" outlineLevel="0" collapsed="false">
      <c r="A943" s="11" t="str">
        <f aca="false">IF(C943="","",ROW()-4)</f>
        <v/>
      </c>
      <c r="B943" s="12"/>
      <c r="C943" s="13"/>
      <c r="D943" s="11" t="str">
        <f aca="false">IF(C943="","",IFERROR(INDEX(LOTES!$D$5:$D$1004,MATCH(C943,LOTES!$F$5:$F$1004,0)),"¿Lote?"))</f>
        <v/>
      </c>
      <c r="E943" s="11" t="str">
        <f aca="false">IF(C943="","",IFERROR(INDEX(LOTES!$C$5:$C$1004,MATCH(C943,LOTES!$F$5:$F$1004,0)),""))</f>
        <v/>
      </c>
      <c r="F943" s="27"/>
      <c r="G943" s="27"/>
      <c r="H943" s="27"/>
      <c r="I943" s="20" t="str">
        <f aca="false">IF(AND(ISNUMBER(F943),ISNUMBER(G943),ISNUMBER(H943),F943&gt;G943,H943&gt;0),(F943-H943)/(F943-G943)*1000,"")</f>
        <v/>
      </c>
      <c r="J943" s="17" t="str">
        <f aca="false">IF(AND(ISNUMBER(F943),ISNUMBER(G943),ISNUMBER(H943),F943&gt;G943,H943&gt;0),(F943-H943)/H943,"")</f>
        <v/>
      </c>
      <c r="K943" s="20" t="str">
        <f aca="false">IF(AND(ISNUMBER(F943),ISNUMBER(G943),ISNUMBER(H943),F943&gt;G943,H943&gt;0),H943/(F943-G943)*1000,"")</f>
        <v/>
      </c>
      <c r="L943" s="11" t="str">
        <f aca="false">IF(K943="","",IF(K943&gt;=CONFIG!$E$21,CONFIG!$D$21,IF(K943&gt;=CONFIG!$E$20,CONFIG!$D$20,CONFIG!$D$19)))</f>
        <v/>
      </c>
      <c r="M943" s="20" t="str">
        <f aca="false">IF(K943="","",IF(K943&gt;=CONFIG!$E$21,CONFIG!$F$21,IF(K943&gt;=CONFIG!$E$20,CONFIG!$F$20,CONFIG!$F$19)))</f>
        <v/>
      </c>
      <c r="N943" s="19" t="str">
        <f aca="false">IF(I943="","",IF(I943&lt;=M943,"OK","ALTA"))</f>
        <v/>
      </c>
      <c r="O943" s="13"/>
    </row>
    <row r="944" customFormat="false" ht="15" hidden="false" customHeight="false" outlineLevel="0" collapsed="false">
      <c r="A944" s="11" t="str">
        <f aca="false">IF(C944="","",ROW()-4)</f>
        <v/>
      </c>
      <c r="B944" s="12"/>
      <c r="C944" s="13"/>
      <c r="D944" s="11" t="str">
        <f aca="false">IF(C944="","",IFERROR(INDEX(LOTES!$D$5:$D$1004,MATCH(C944,LOTES!$F$5:$F$1004,0)),"¿Lote?"))</f>
        <v/>
      </c>
      <c r="E944" s="11" t="str">
        <f aca="false">IF(C944="","",IFERROR(INDEX(LOTES!$C$5:$C$1004,MATCH(C944,LOTES!$F$5:$F$1004,0)),""))</f>
        <v/>
      </c>
      <c r="F944" s="27"/>
      <c r="G944" s="27"/>
      <c r="H944" s="27"/>
      <c r="I944" s="20" t="str">
        <f aca="false">IF(AND(ISNUMBER(F944),ISNUMBER(G944),ISNUMBER(H944),F944&gt;G944,H944&gt;0),(F944-H944)/(F944-G944)*1000,"")</f>
        <v/>
      </c>
      <c r="J944" s="17" t="str">
        <f aca="false">IF(AND(ISNUMBER(F944),ISNUMBER(G944),ISNUMBER(H944),F944&gt;G944,H944&gt;0),(F944-H944)/H944,"")</f>
        <v/>
      </c>
      <c r="K944" s="20" t="str">
        <f aca="false">IF(AND(ISNUMBER(F944),ISNUMBER(G944),ISNUMBER(H944),F944&gt;G944,H944&gt;0),H944/(F944-G944)*1000,"")</f>
        <v/>
      </c>
      <c r="L944" s="11" t="str">
        <f aca="false">IF(K944="","",IF(K944&gt;=CONFIG!$E$21,CONFIG!$D$21,IF(K944&gt;=CONFIG!$E$20,CONFIG!$D$20,CONFIG!$D$19)))</f>
        <v/>
      </c>
      <c r="M944" s="20" t="str">
        <f aca="false">IF(K944="","",IF(K944&gt;=CONFIG!$E$21,CONFIG!$F$21,IF(K944&gt;=CONFIG!$E$20,CONFIG!$F$20,CONFIG!$F$19)))</f>
        <v/>
      </c>
      <c r="N944" s="19" t="str">
        <f aca="false">IF(I944="","",IF(I944&lt;=M944,"OK","ALTA"))</f>
        <v/>
      </c>
      <c r="O944" s="13"/>
    </row>
    <row r="945" customFormat="false" ht="15" hidden="false" customHeight="false" outlineLevel="0" collapsed="false">
      <c r="A945" s="11" t="str">
        <f aca="false">IF(C945="","",ROW()-4)</f>
        <v/>
      </c>
      <c r="B945" s="12"/>
      <c r="C945" s="13"/>
      <c r="D945" s="11" t="str">
        <f aca="false">IF(C945="","",IFERROR(INDEX(LOTES!$D$5:$D$1004,MATCH(C945,LOTES!$F$5:$F$1004,0)),"¿Lote?"))</f>
        <v/>
      </c>
      <c r="E945" s="11" t="str">
        <f aca="false">IF(C945="","",IFERROR(INDEX(LOTES!$C$5:$C$1004,MATCH(C945,LOTES!$F$5:$F$1004,0)),""))</f>
        <v/>
      </c>
      <c r="F945" s="27"/>
      <c r="G945" s="27"/>
      <c r="H945" s="27"/>
      <c r="I945" s="20" t="str">
        <f aca="false">IF(AND(ISNUMBER(F945),ISNUMBER(G945),ISNUMBER(H945),F945&gt;G945,H945&gt;0),(F945-H945)/(F945-G945)*1000,"")</f>
        <v/>
      </c>
      <c r="J945" s="17" t="str">
        <f aca="false">IF(AND(ISNUMBER(F945),ISNUMBER(G945),ISNUMBER(H945),F945&gt;G945,H945&gt;0),(F945-H945)/H945,"")</f>
        <v/>
      </c>
      <c r="K945" s="20" t="str">
        <f aca="false">IF(AND(ISNUMBER(F945),ISNUMBER(G945),ISNUMBER(H945),F945&gt;G945,H945&gt;0),H945/(F945-G945)*1000,"")</f>
        <v/>
      </c>
      <c r="L945" s="11" t="str">
        <f aca="false">IF(K945="","",IF(K945&gt;=CONFIG!$E$21,CONFIG!$D$21,IF(K945&gt;=CONFIG!$E$20,CONFIG!$D$20,CONFIG!$D$19)))</f>
        <v/>
      </c>
      <c r="M945" s="20" t="str">
        <f aca="false">IF(K945="","",IF(K945&gt;=CONFIG!$E$21,CONFIG!$F$21,IF(K945&gt;=CONFIG!$E$20,CONFIG!$F$20,CONFIG!$F$19)))</f>
        <v/>
      </c>
      <c r="N945" s="19" t="str">
        <f aca="false">IF(I945="","",IF(I945&lt;=M945,"OK","ALTA"))</f>
        <v/>
      </c>
      <c r="O945" s="13"/>
    </row>
    <row r="946" customFormat="false" ht="15" hidden="false" customHeight="false" outlineLevel="0" collapsed="false">
      <c r="A946" s="11" t="str">
        <f aca="false">IF(C946="","",ROW()-4)</f>
        <v/>
      </c>
      <c r="B946" s="12"/>
      <c r="C946" s="13"/>
      <c r="D946" s="11" t="str">
        <f aca="false">IF(C946="","",IFERROR(INDEX(LOTES!$D$5:$D$1004,MATCH(C946,LOTES!$F$5:$F$1004,0)),"¿Lote?"))</f>
        <v/>
      </c>
      <c r="E946" s="11" t="str">
        <f aca="false">IF(C946="","",IFERROR(INDEX(LOTES!$C$5:$C$1004,MATCH(C946,LOTES!$F$5:$F$1004,0)),""))</f>
        <v/>
      </c>
      <c r="F946" s="27"/>
      <c r="G946" s="27"/>
      <c r="H946" s="27"/>
      <c r="I946" s="20" t="str">
        <f aca="false">IF(AND(ISNUMBER(F946),ISNUMBER(G946),ISNUMBER(H946),F946&gt;G946,H946&gt;0),(F946-H946)/(F946-G946)*1000,"")</f>
        <v/>
      </c>
      <c r="J946" s="17" t="str">
        <f aca="false">IF(AND(ISNUMBER(F946),ISNUMBER(G946),ISNUMBER(H946),F946&gt;G946,H946&gt;0),(F946-H946)/H946,"")</f>
        <v/>
      </c>
      <c r="K946" s="20" t="str">
        <f aca="false">IF(AND(ISNUMBER(F946),ISNUMBER(G946),ISNUMBER(H946),F946&gt;G946,H946&gt;0),H946/(F946-G946)*1000,"")</f>
        <v/>
      </c>
      <c r="L946" s="11" t="str">
        <f aca="false">IF(K946="","",IF(K946&gt;=CONFIG!$E$21,CONFIG!$D$21,IF(K946&gt;=CONFIG!$E$20,CONFIG!$D$20,CONFIG!$D$19)))</f>
        <v/>
      </c>
      <c r="M946" s="20" t="str">
        <f aca="false">IF(K946="","",IF(K946&gt;=CONFIG!$E$21,CONFIG!$F$21,IF(K946&gt;=CONFIG!$E$20,CONFIG!$F$20,CONFIG!$F$19)))</f>
        <v/>
      </c>
      <c r="N946" s="19" t="str">
        <f aca="false">IF(I946="","",IF(I946&lt;=M946,"OK","ALTA"))</f>
        <v/>
      </c>
      <c r="O946" s="13"/>
    </row>
    <row r="947" customFormat="false" ht="15" hidden="false" customHeight="false" outlineLevel="0" collapsed="false">
      <c r="A947" s="11" t="str">
        <f aca="false">IF(C947="","",ROW()-4)</f>
        <v/>
      </c>
      <c r="B947" s="12"/>
      <c r="C947" s="13"/>
      <c r="D947" s="11" t="str">
        <f aca="false">IF(C947="","",IFERROR(INDEX(LOTES!$D$5:$D$1004,MATCH(C947,LOTES!$F$5:$F$1004,0)),"¿Lote?"))</f>
        <v/>
      </c>
      <c r="E947" s="11" t="str">
        <f aca="false">IF(C947="","",IFERROR(INDEX(LOTES!$C$5:$C$1004,MATCH(C947,LOTES!$F$5:$F$1004,0)),""))</f>
        <v/>
      </c>
      <c r="F947" s="27"/>
      <c r="G947" s="27"/>
      <c r="H947" s="27"/>
      <c r="I947" s="20" t="str">
        <f aca="false">IF(AND(ISNUMBER(F947),ISNUMBER(G947),ISNUMBER(H947),F947&gt;G947,H947&gt;0),(F947-H947)/(F947-G947)*1000,"")</f>
        <v/>
      </c>
      <c r="J947" s="17" t="str">
        <f aca="false">IF(AND(ISNUMBER(F947),ISNUMBER(G947),ISNUMBER(H947),F947&gt;G947,H947&gt;0),(F947-H947)/H947,"")</f>
        <v/>
      </c>
      <c r="K947" s="20" t="str">
        <f aca="false">IF(AND(ISNUMBER(F947),ISNUMBER(G947),ISNUMBER(H947),F947&gt;G947,H947&gt;0),H947/(F947-G947)*1000,"")</f>
        <v/>
      </c>
      <c r="L947" s="11" t="str">
        <f aca="false">IF(K947="","",IF(K947&gt;=CONFIG!$E$21,CONFIG!$D$21,IF(K947&gt;=CONFIG!$E$20,CONFIG!$D$20,CONFIG!$D$19)))</f>
        <v/>
      </c>
      <c r="M947" s="20" t="str">
        <f aca="false">IF(K947="","",IF(K947&gt;=CONFIG!$E$21,CONFIG!$F$21,IF(K947&gt;=CONFIG!$E$20,CONFIG!$F$20,CONFIG!$F$19)))</f>
        <v/>
      </c>
      <c r="N947" s="19" t="str">
        <f aca="false">IF(I947="","",IF(I947&lt;=M947,"OK","ALTA"))</f>
        <v/>
      </c>
      <c r="O947" s="13"/>
    </row>
    <row r="948" customFormat="false" ht="15" hidden="false" customHeight="false" outlineLevel="0" collapsed="false">
      <c r="A948" s="11" t="str">
        <f aca="false">IF(C948="","",ROW()-4)</f>
        <v/>
      </c>
      <c r="B948" s="12"/>
      <c r="C948" s="13"/>
      <c r="D948" s="11" t="str">
        <f aca="false">IF(C948="","",IFERROR(INDEX(LOTES!$D$5:$D$1004,MATCH(C948,LOTES!$F$5:$F$1004,0)),"¿Lote?"))</f>
        <v/>
      </c>
      <c r="E948" s="11" t="str">
        <f aca="false">IF(C948="","",IFERROR(INDEX(LOTES!$C$5:$C$1004,MATCH(C948,LOTES!$F$5:$F$1004,0)),""))</f>
        <v/>
      </c>
      <c r="F948" s="27"/>
      <c r="G948" s="27"/>
      <c r="H948" s="27"/>
      <c r="I948" s="20" t="str">
        <f aca="false">IF(AND(ISNUMBER(F948),ISNUMBER(G948),ISNUMBER(H948),F948&gt;G948,H948&gt;0),(F948-H948)/(F948-G948)*1000,"")</f>
        <v/>
      </c>
      <c r="J948" s="17" t="str">
        <f aca="false">IF(AND(ISNUMBER(F948),ISNUMBER(G948),ISNUMBER(H948),F948&gt;G948,H948&gt;0),(F948-H948)/H948,"")</f>
        <v/>
      </c>
      <c r="K948" s="20" t="str">
        <f aca="false">IF(AND(ISNUMBER(F948),ISNUMBER(G948),ISNUMBER(H948),F948&gt;G948,H948&gt;0),H948/(F948-G948)*1000,"")</f>
        <v/>
      </c>
      <c r="L948" s="11" t="str">
        <f aca="false">IF(K948="","",IF(K948&gt;=CONFIG!$E$21,CONFIG!$D$21,IF(K948&gt;=CONFIG!$E$20,CONFIG!$D$20,CONFIG!$D$19)))</f>
        <v/>
      </c>
      <c r="M948" s="20" t="str">
        <f aca="false">IF(K948="","",IF(K948&gt;=CONFIG!$E$21,CONFIG!$F$21,IF(K948&gt;=CONFIG!$E$20,CONFIG!$F$20,CONFIG!$F$19)))</f>
        <v/>
      </c>
      <c r="N948" s="19" t="str">
        <f aca="false">IF(I948="","",IF(I948&lt;=M948,"OK","ALTA"))</f>
        <v/>
      </c>
      <c r="O948" s="13"/>
    </row>
    <row r="949" customFormat="false" ht="15" hidden="false" customHeight="false" outlineLevel="0" collapsed="false">
      <c r="A949" s="11" t="str">
        <f aca="false">IF(C949="","",ROW()-4)</f>
        <v/>
      </c>
      <c r="B949" s="12"/>
      <c r="C949" s="13"/>
      <c r="D949" s="11" t="str">
        <f aca="false">IF(C949="","",IFERROR(INDEX(LOTES!$D$5:$D$1004,MATCH(C949,LOTES!$F$5:$F$1004,0)),"¿Lote?"))</f>
        <v/>
      </c>
      <c r="E949" s="11" t="str">
        <f aca="false">IF(C949="","",IFERROR(INDEX(LOTES!$C$5:$C$1004,MATCH(C949,LOTES!$F$5:$F$1004,0)),""))</f>
        <v/>
      </c>
      <c r="F949" s="27"/>
      <c r="G949" s="27"/>
      <c r="H949" s="27"/>
      <c r="I949" s="20" t="str">
        <f aca="false">IF(AND(ISNUMBER(F949),ISNUMBER(G949),ISNUMBER(H949),F949&gt;G949,H949&gt;0),(F949-H949)/(F949-G949)*1000,"")</f>
        <v/>
      </c>
      <c r="J949" s="17" t="str">
        <f aca="false">IF(AND(ISNUMBER(F949),ISNUMBER(G949),ISNUMBER(H949),F949&gt;G949,H949&gt;0),(F949-H949)/H949,"")</f>
        <v/>
      </c>
      <c r="K949" s="20" t="str">
        <f aca="false">IF(AND(ISNUMBER(F949),ISNUMBER(G949),ISNUMBER(H949),F949&gt;G949,H949&gt;0),H949/(F949-G949)*1000,"")</f>
        <v/>
      </c>
      <c r="L949" s="11" t="str">
        <f aca="false">IF(K949="","",IF(K949&gt;=CONFIG!$E$21,CONFIG!$D$21,IF(K949&gt;=CONFIG!$E$20,CONFIG!$D$20,CONFIG!$D$19)))</f>
        <v/>
      </c>
      <c r="M949" s="20" t="str">
        <f aca="false">IF(K949="","",IF(K949&gt;=CONFIG!$E$21,CONFIG!$F$21,IF(K949&gt;=CONFIG!$E$20,CONFIG!$F$20,CONFIG!$F$19)))</f>
        <v/>
      </c>
      <c r="N949" s="19" t="str">
        <f aca="false">IF(I949="","",IF(I949&lt;=M949,"OK","ALTA"))</f>
        <v/>
      </c>
      <c r="O949" s="13"/>
    </row>
    <row r="950" customFormat="false" ht="15" hidden="false" customHeight="false" outlineLevel="0" collapsed="false">
      <c r="A950" s="11" t="str">
        <f aca="false">IF(C950="","",ROW()-4)</f>
        <v/>
      </c>
      <c r="B950" s="12"/>
      <c r="C950" s="13"/>
      <c r="D950" s="11" t="str">
        <f aca="false">IF(C950="","",IFERROR(INDEX(LOTES!$D$5:$D$1004,MATCH(C950,LOTES!$F$5:$F$1004,0)),"¿Lote?"))</f>
        <v/>
      </c>
      <c r="E950" s="11" t="str">
        <f aca="false">IF(C950="","",IFERROR(INDEX(LOTES!$C$5:$C$1004,MATCH(C950,LOTES!$F$5:$F$1004,0)),""))</f>
        <v/>
      </c>
      <c r="F950" s="27"/>
      <c r="G950" s="27"/>
      <c r="H950" s="27"/>
      <c r="I950" s="20" t="str">
        <f aca="false">IF(AND(ISNUMBER(F950),ISNUMBER(G950),ISNUMBER(H950),F950&gt;G950,H950&gt;0),(F950-H950)/(F950-G950)*1000,"")</f>
        <v/>
      </c>
      <c r="J950" s="17" t="str">
        <f aca="false">IF(AND(ISNUMBER(F950),ISNUMBER(G950),ISNUMBER(H950),F950&gt;G950,H950&gt;0),(F950-H950)/H950,"")</f>
        <v/>
      </c>
      <c r="K950" s="20" t="str">
        <f aca="false">IF(AND(ISNUMBER(F950),ISNUMBER(G950),ISNUMBER(H950),F950&gt;G950,H950&gt;0),H950/(F950-G950)*1000,"")</f>
        <v/>
      </c>
      <c r="L950" s="11" t="str">
        <f aca="false">IF(K950="","",IF(K950&gt;=CONFIG!$E$21,CONFIG!$D$21,IF(K950&gt;=CONFIG!$E$20,CONFIG!$D$20,CONFIG!$D$19)))</f>
        <v/>
      </c>
      <c r="M950" s="20" t="str">
        <f aca="false">IF(K950="","",IF(K950&gt;=CONFIG!$E$21,CONFIG!$F$21,IF(K950&gt;=CONFIG!$E$20,CONFIG!$F$20,CONFIG!$F$19)))</f>
        <v/>
      </c>
      <c r="N950" s="19" t="str">
        <f aca="false">IF(I950="","",IF(I950&lt;=M950,"OK","ALTA"))</f>
        <v/>
      </c>
      <c r="O950" s="13"/>
    </row>
    <row r="951" customFormat="false" ht="15" hidden="false" customHeight="false" outlineLevel="0" collapsed="false">
      <c r="A951" s="11" t="str">
        <f aca="false">IF(C951="","",ROW()-4)</f>
        <v/>
      </c>
      <c r="B951" s="12"/>
      <c r="C951" s="13"/>
      <c r="D951" s="11" t="str">
        <f aca="false">IF(C951="","",IFERROR(INDEX(LOTES!$D$5:$D$1004,MATCH(C951,LOTES!$F$5:$F$1004,0)),"¿Lote?"))</f>
        <v/>
      </c>
      <c r="E951" s="11" t="str">
        <f aca="false">IF(C951="","",IFERROR(INDEX(LOTES!$C$5:$C$1004,MATCH(C951,LOTES!$F$5:$F$1004,0)),""))</f>
        <v/>
      </c>
      <c r="F951" s="27"/>
      <c r="G951" s="27"/>
      <c r="H951" s="27"/>
      <c r="I951" s="20" t="str">
        <f aca="false">IF(AND(ISNUMBER(F951),ISNUMBER(G951),ISNUMBER(H951),F951&gt;G951,H951&gt;0),(F951-H951)/(F951-G951)*1000,"")</f>
        <v/>
      </c>
      <c r="J951" s="17" t="str">
        <f aca="false">IF(AND(ISNUMBER(F951),ISNUMBER(G951),ISNUMBER(H951),F951&gt;G951,H951&gt;0),(F951-H951)/H951,"")</f>
        <v/>
      </c>
      <c r="K951" s="20" t="str">
        <f aca="false">IF(AND(ISNUMBER(F951),ISNUMBER(G951),ISNUMBER(H951),F951&gt;G951,H951&gt;0),H951/(F951-G951)*1000,"")</f>
        <v/>
      </c>
      <c r="L951" s="11" t="str">
        <f aca="false">IF(K951="","",IF(K951&gt;=CONFIG!$E$21,CONFIG!$D$21,IF(K951&gt;=CONFIG!$E$20,CONFIG!$D$20,CONFIG!$D$19)))</f>
        <v/>
      </c>
      <c r="M951" s="20" t="str">
        <f aca="false">IF(K951="","",IF(K951&gt;=CONFIG!$E$21,CONFIG!$F$21,IF(K951&gt;=CONFIG!$E$20,CONFIG!$F$20,CONFIG!$F$19)))</f>
        <v/>
      </c>
      <c r="N951" s="19" t="str">
        <f aca="false">IF(I951="","",IF(I951&lt;=M951,"OK","ALTA"))</f>
        <v/>
      </c>
      <c r="O951" s="13"/>
    </row>
    <row r="952" customFormat="false" ht="15" hidden="false" customHeight="false" outlineLevel="0" collapsed="false">
      <c r="A952" s="11" t="str">
        <f aca="false">IF(C952="","",ROW()-4)</f>
        <v/>
      </c>
      <c r="B952" s="12"/>
      <c r="C952" s="13"/>
      <c r="D952" s="11" t="str">
        <f aca="false">IF(C952="","",IFERROR(INDEX(LOTES!$D$5:$D$1004,MATCH(C952,LOTES!$F$5:$F$1004,0)),"¿Lote?"))</f>
        <v/>
      </c>
      <c r="E952" s="11" t="str">
        <f aca="false">IF(C952="","",IFERROR(INDEX(LOTES!$C$5:$C$1004,MATCH(C952,LOTES!$F$5:$F$1004,0)),""))</f>
        <v/>
      </c>
      <c r="F952" s="27"/>
      <c r="G952" s="27"/>
      <c r="H952" s="27"/>
      <c r="I952" s="20" t="str">
        <f aca="false">IF(AND(ISNUMBER(F952),ISNUMBER(G952),ISNUMBER(H952),F952&gt;G952,H952&gt;0),(F952-H952)/(F952-G952)*1000,"")</f>
        <v/>
      </c>
      <c r="J952" s="17" t="str">
        <f aca="false">IF(AND(ISNUMBER(F952),ISNUMBER(G952),ISNUMBER(H952),F952&gt;G952,H952&gt;0),(F952-H952)/H952,"")</f>
        <v/>
      </c>
      <c r="K952" s="20" t="str">
        <f aca="false">IF(AND(ISNUMBER(F952),ISNUMBER(G952),ISNUMBER(H952),F952&gt;G952,H952&gt;0),H952/(F952-G952)*1000,"")</f>
        <v/>
      </c>
      <c r="L952" s="11" t="str">
        <f aca="false">IF(K952="","",IF(K952&gt;=CONFIG!$E$21,CONFIG!$D$21,IF(K952&gt;=CONFIG!$E$20,CONFIG!$D$20,CONFIG!$D$19)))</f>
        <v/>
      </c>
      <c r="M952" s="20" t="str">
        <f aca="false">IF(K952="","",IF(K952&gt;=CONFIG!$E$21,CONFIG!$F$21,IF(K952&gt;=CONFIG!$E$20,CONFIG!$F$20,CONFIG!$F$19)))</f>
        <v/>
      </c>
      <c r="N952" s="19" t="str">
        <f aca="false">IF(I952="","",IF(I952&lt;=M952,"OK","ALTA"))</f>
        <v/>
      </c>
      <c r="O952" s="13"/>
    </row>
    <row r="953" customFormat="false" ht="15" hidden="false" customHeight="false" outlineLevel="0" collapsed="false">
      <c r="A953" s="11" t="str">
        <f aca="false">IF(C953="","",ROW()-4)</f>
        <v/>
      </c>
      <c r="B953" s="12"/>
      <c r="C953" s="13"/>
      <c r="D953" s="11" t="str">
        <f aca="false">IF(C953="","",IFERROR(INDEX(LOTES!$D$5:$D$1004,MATCH(C953,LOTES!$F$5:$F$1004,0)),"¿Lote?"))</f>
        <v/>
      </c>
      <c r="E953" s="11" t="str">
        <f aca="false">IF(C953="","",IFERROR(INDEX(LOTES!$C$5:$C$1004,MATCH(C953,LOTES!$F$5:$F$1004,0)),""))</f>
        <v/>
      </c>
      <c r="F953" s="27"/>
      <c r="G953" s="27"/>
      <c r="H953" s="27"/>
      <c r="I953" s="20" t="str">
        <f aca="false">IF(AND(ISNUMBER(F953),ISNUMBER(G953),ISNUMBER(H953),F953&gt;G953,H953&gt;0),(F953-H953)/(F953-G953)*1000,"")</f>
        <v/>
      </c>
      <c r="J953" s="17" t="str">
        <f aca="false">IF(AND(ISNUMBER(F953),ISNUMBER(G953),ISNUMBER(H953),F953&gt;G953,H953&gt;0),(F953-H953)/H953,"")</f>
        <v/>
      </c>
      <c r="K953" s="20" t="str">
        <f aca="false">IF(AND(ISNUMBER(F953),ISNUMBER(G953),ISNUMBER(H953),F953&gt;G953,H953&gt;0),H953/(F953-G953)*1000,"")</f>
        <v/>
      </c>
      <c r="L953" s="11" t="str">
        <f aca="false">IF(K953="","",IF(K953&gt;=CONFIG!$E$21,CONFIG!$D$21,IF(K953&gt;=CONFIG!$E$20,CONFIG!$D$20,CONFIG!$D$19)))</f>
        <v/>
      </c>
      <c r="M953" s="20" t="str">
        <f aca="false">IF(K953="","",IF(K953&gt;=CONFIG!$E$21,CONFIG!$F$21,IF(K953&gt;=CONFIG!$E$20,CONFIG!$F$20,CONFIG!$F$19)))</f>
        <v/>
      </c>
      <c r="N953" s="19" t="str">
        <f aca="false">IF(I953="","",IF(I953&lt;=M953,"OK","ALTA"))</f>
        <v/>
      </c>
      <c r="O953" s="13"/>
    </row>
    <row r="954" customFormat="false" ht="15" hidden="false" customHeight="false" outlineLevel="0" collapsed="false">
      <c r="A954" s="11" t="str">
        <f aca="false">IF(C954="","",ROW()-4)</f>
        <v/>
      </c>
      <c r="B954" s="12"/>
      <c r="C954" s="13"/>
      <c r="D954" s="11" t="str">
        <f aca="false">IF(C954="","",IFERROR(INDEX(LOTES!$D$5:$D$1004,MATCH(C954,LOTES!$F$5:$F$1004,0)),"¿Lote?"))</f>
        <v/>
      </c>
      <c r="E954" s="11" t="str">
        <f aca="false">IF(C954="","",IFERROR(INDEX(LOTES!$C$5:$C$1004,MATCH(C954,LOTES!$F$5:$F$1004,0)),""))</f>
        <v/>
      </c>
      <c r="F954" s="27"/>
      <c r="G954" s="27"/>
      <c r="H954" s="27"/>
      <c r="I954" s="20" t="str">
        <f aca="false">IF(AND(ISNUMBER(F954),ISNUMBER(G954),ISNUMBER(H954),F954&gt;G954,H954&gt;0),(F954-H954)/(F954-G954)*1000,"")</f>
        <v/>
      </c>
      <c r="J954" s="17" t="str">
        <f aca="false">IF(AND(ISNUMBER(F954),ISNUMBER(G954),ISNUMBER(H954),F954&gt;G954,H954&gt;0),(F954-H954)/H954,"")</f>
        <v/>
      </c>
      <c r="K954" s="20" t="str">
        <f aca="false">IF(AND(ISNUMBER(F954),ISNUMBER(G954),ISNUMBER(H954),F954&gt;G954,H954&gt;0),H954/(F954-G954)*1000,"")</f>
        <v/>
      </c>
      <c r="L954" s="11" t="str">
        <f aca="false">IF(K954="","",IF(K954&gt;=CONFIG!$E$21,CONFIG!$D$21,IF(K954&gt;=CONFIG!$E$20,CONFIG!$D$20,CONFIG!$D$19)))</f>
        <v/>
      </c>
      <c r="M954" s="20" t="str">
        <f aca="false">IF(K954="","",IF(K954&gt;=CONFIG!$E$21,CONFIG!$F$21,IF(K954&gt;=CONFIG!$E$20,CONFIG!$F$20,CONFIG!$F$19)))</f>
        <v/>
      </c>
      <c r="N954" s="19" t="str">
        <f aca="false">IF(I954="","",IF(I954&lt;=M954,"OK","ALTA"))</f>
        <v/>
      </c>
      <c r="O954" s="13"/>
    </row>
    <row r="955" customFormat="false" ht="15" hidden="false" customHeight="false" outlineLevel="0" collapsed="false">
      <c r="A955" s="11" t="str">
        <f aca="false">IF(C955="","",ROW()-4)</f>
        <v/>
      </c>
      <c r="B955" s="12"/>
      <c r="C955" s="13"/>
      <c r="D955" s="11" t="str">
        <f aca="false">IF(C955="","",IFERROR(INDEX(LOTES!$D$5:$D$1004,MATCH(C955,LOTES!$F$5:$F$1004,0)),"¿Lote?"))</f>
        <v/>
      </c>
      <c r="E955" s="11" t="str">
        <f aca="false">IF(C955="","",IFERROR(INDEX(LOTES!$C$5:$C$1004,MATCH(C955,LOTES!$F$5:$F$1004,0)),""))</f>
        <v/>
      </c>
      <c r="F955" s="27"/>
      <c r="G955" s="27"/>
      <c r="H955" s="27"/>
      <c r="I955" s="20" t="str">
        <f aca="false">IF(AND(ISNUMBER(F955),ISNUMBER(G955),ISNUMBER(H955),F955&gt;G955,H955&gt;0),(F955-H955)/(F955-G955)*1000,"")</f>
        <v/>
      </c>
      <c r="J955" s="17" t="str">
        <f aca="false">IF(AND(ISNUMBER(F955),ISNUMBER(G955),ISNUMBER(H955),F955&gt;G955,H955&gt;0),(F955-H955)/H955,"")</f>
        <v/>
      </c>
      <c r="K955" s="20" t="str">
        <f aca="false">IF(AND(ISNUMBER(F955),ISNUMBER(G955),ISNUMBER(H955),F955&gt;G955,H955&gt;0),H955/(F955-G955)*1000,"")</f>
        <v/>
      </c>
      <c r="L955" s="11" t="str">
        <f aca="false">IF(K955="","",IF(K955&gt;=CONFIG!$E$21,CONFIG!$D$21,IF(K955&gt;=CONFIG!$E$20,CONFIG!$D$20,CONFIG!$D$19)))</f>
        <v/>
      </c>
      <c r="M955" s="20" t="str">
        <f aca="false">IF(K955="","",IF(K955&gt;=CONFIG!$E$21,CONFIG!$F$21,IF(K955&gt;=CONFIG!$E$20,CONFIG!$F$20,CONFIG!$F$19)))</f>
        <v/>
      </c>
      <c r="N955" s="19" t="str">
        <f aca="false">IF(I955="","",IF(I955&lt;=M955,"OK","ALTA"))</f>
        <v/>
      </c>
      <c r="O955" s="13"/>
    </row>
    <row r="956" customFormat="false" ht="15" hidden="false" customHeight="false" outlineLevel="0" collapsed="false">
      <c r="A956" s="11" t="str">
        <f aca="false">IF(C956="","",ROW()-4)</f>
        <v/>
      </c>
      <c r="B956" s="12"/>
      <c r="C956" s="13"/>
      <c r="D956" s="11" t="str">
        <f aca="false">IF(C956="","",IFERROR(INDEX(LOTES!$D$5:$D$1004,MATCH(C956,LOTES!$F$5:$F$1004,0)),"¿Lote?"))</f>
        <v/>
      </c>
      <c r="E956" s="11" t="str">
        <f aca="false">IF(C956="","",IFERROR(INDEX(LOTES!$C$5:$C$1004,MATCH(C956,LOTES!$F$5:$F$1004,0)),""))</f>
        <v/>
      </c>
      <c r="F956" s="27"/>
      <c r="G956" s="27"/>
      <c r="H956" s="27"/>
      <c r="I956" s="20" t="str">
        <f aca="false">IF(AND(ISNUMBER(F956),ISNUMBER(G956),ISNUMBER(H956),F956&gt;G956,H956&gt;0),(F956-H956)/(F956-G956)*1000,"")</f>
        <v/>
      </c>
      <c r="J956" s="17" t="str">
        <f aca="false">IF(AND(ISNUMBER(F956),ISNUMBER(G956),ISNUMBER(H956),F956&gt;G956,H956&gt;0),(F956-H956)/H956,"")</f>
        <v/>
      </c>
      <c r="K956" s="20" t="str">
        <f aca="false">IF(AND(ISNUMBER(F956),ISNUMBER(G956),ISNUMBER(H956),F956&gt;G956,H956&gt;0),H956/(F956-G956)*1000,"")</f>
        <v/>
      </c>
      <c r="L956" s="11" t="str">
        <f aca="false">IF(K956="","",IF(K956&gt;=CONFIG!$E$21,CONFIG!$D$21,IF(K956&gt;=CONFIG!$E$20,CONFIG!$D$20,CONFIG!$D$19)))</f>
        <v/>
      </c>
      <c r="M956" s="20" t="str">
        <f aca="false">IF(K956="","",IF(K956&gt;=CONFIG!$E$21,CONFIG!$F$21,IF(K956&gt;=CONFIG!$E$20,CONFIG!$F$20,CONFIG!$F$19)))</f>
        <v/>
      </c>
      <c r="N956" s="19" t="str">
        <f aca="false">IF(I956="","",IF(I956&lt;=M956,"OK","ALTA"))</f>
        <v/>
      </c>
      <c r="O956" s="13"/>
    </row>
    <row r="957" customFormat="false" ht="15" hidden="false" customHeight="false" outlineLevel="0" collapsed="false">
      <c r="A957" s="11" t="str">
        <f aca="false">IF(C957="","",ROW()-4)</f>
        <v/>
      </c>
      <c r="B957" s="12"/>
      <c r="C957" s="13"/>
      <c r="D957" s="11" t="str">
        <f aca="false">IF(C957="","",IFERROR(INDEX(LOTES!$D$5:$D$1004,MATCH(C957,LOTES!$F$5:$F$1004,0)),"¿Lote?"))</f>
        <v/>
      </c>
      <c r="E957" s="11" t="str">
        <f aca="false">IF(C957="","",IFERROR(INDEX(LOTES!$C$5:$C$1004,MATCH(C957,LOTES!$F$5:$F$1004,0)),""))</f>
        <v/>
      </c>
      <c r="F957" s="27"/>
      <c r="G957" s="27"/>
      <c r="H957" s="27"/>
      <c r="I957" s="20" t="str">
        <f aca="false">IF(AND(ISNUMBER(F957),ISNUMBER(G957),ISNUMBER(H957),F957&gt;G957,H957&gt;0),(F957-H957)/(F957-G957)*1000,"")</f>
        <v/>
      </c>
      <c r="J957" s="17" t="str">
        <f aca="false">IF(AND(ISNUMBER(F957),ISNUMBER(G957),ISNUMBER(H957),F957&gt;G957,H957&gt;0),(F957-H957)/H957,"")</f>
        <v/>
      </c>
      <c r="K957" s="20" t="str">
        <f aca="false">IF(AND(ISNUMBER(F957),ISNUMBER(G957),ISNUMBER(H957),F957&gt;G957,H957&gt;0),H957/(F957-G957)*1000,"")</f>
        <v/>
      </c>
      <c r="L957" s="11" t="str">
        <f aca="false">IF(K957="","",IF(K957&gt;=CONFIG!$E$21,CONFIG!$D$21,IF(K957&gt;=CONFIG!$E$20,CONFIG!$D$20,CONFIG!$D$19)))</f>
        <v/>
      </c>
      <c r="M957" s="20" t="str">
        <f aca="false">IF(K957="","",IF(K957&gt;=CONFIG!$E$21,CONFIG!$F$21,IF(K957&gt;=CONFIG!$E$20,CONFIG!$F$20,CONFIG!$F$19)))</f>
        <v/>
      </c>
      <c r="N957" s="19" t="str">
        <f aca="false">IF(I957="","",IF(I957&lt;=M957,"OK","ALTA"))</f>
        <v/>
      </c>
      <c r="O957" s="13"/>
    </row>
    <row r="958" customFormat="false" ht="15" hidden="false" customHeight="false" outlineLevel="0" collapsed="false">
      <c r="A958" s="11" t="str">
        <f aca="false">IF(C958="","",ROW()-4)</f>
        <v/>
      </c>
      <c r="B958" s="12"/>
      <c r="C958" s="13"/>
      <c r="D958" s="11" t="str">
        <f aca="false">IF(C958="","",IFERROR(INDEX(LOTES!$D$5:$D$1004,MATCH(C958,LOTES!$F$5:$F$1004,0)),"¿Lote?"))</f>
        <v/>
      </c>
      <c r="E958" s="11" t="str">
        <f aca="false">IF(C958="","",IFERROR(INDEX(LOTES!$C$5:$C$1004,MATCH(C958,LOTES!$F$5:$F$1004,0)),""))</f>
        <v/>
      </c>
      <c r="F958" s="27"/>
      <c r="G958" s="27"/>
      <c r="H958" s="27"/>
      <c r="I958" s="20" t="str">
        <f aca="false">IF(AND(ISNUMBER(F958),ISNUMBER(G958),ISNUMBER(H958),F958&gt;G958,H958&gt;0),(F958-H958)/(F958-G958)*1000,"")</f>
        <v/>
      </c>
      <c r="J958" s="17" t="str">
        <f aca="false">IF(AND(ISNUMBER(F958),ISNUMBER(G958),ISNUMBER(H958),F958&gt;G958,H958&gt;0),(F958-H958)/H958,"")</f>
        <v/>
      </c>
      <c r="K958" s="20" t="str">
        <f aca="false">IF(AND(ISNUMBER(F958),ISNUMBER(G958),ISNUMBER(H958),F958&gt;G958,H958&gt;0),H958/(F958-G958)*1000,"")</f>
        <v/>
      </c>
      <c r="L958" s="11" t="str">
        <f aca="false">IF(K958="","",IF(K958&gt;=CONFIG!$E$21,CONFIG!$D$21,IF(K958&gt;=CONFIG!$E$20,CONFIG!$D$20,CONFIG!$D$19)))</f>
        <v/>
      </c>
      <c r="M958" s="20" t="str">
        <f aca="false">IF(K958="","",IF(K958&gt;=CONFIG!$E$21,CONFIG!$F$21,IF(K958&gt;=CONFIG!$E$20,CONFIG!$F$20,CONFIG!$F$19)))</f>
        <v/>
      </c>
      <c r="N958" s="19" t="str">
        <f aca="false">IF(I958="","",IF(I958&lt;=M958,"OK","ALTA"))</f>
        <v/>
      </c>
      <c r="O958" s="13"/>
    </row>
    <row r="959" customFormat="false" ht="15" hidden="false" customHeight="false" outlineLevel="0" collapsed="false">
      <c r="A959" s="11" t="str">
        <f aca="false">IF(C959="","",ROW()-4)</f>
        <v/>
      </c>
      <c r="B959" s="12"/>
      <c r="C959" s="13"/>
      <c r="D959" s="11" t="str">
        <f aca="false">IF(C959="","",IFERROR(INDEX(LOTES!$D$5:$D$1004,MATCH(C959,LOTES!$F$5:$F$1004,0)),"¿Lote?"))</f>
        <v/>
      </c>
      <c r="E959" s="11" t="str">
        <f aca="false">IF(C959="","",IFERROR(INDEX(LOTES!$C$5:$C$1004,MATCH(C959,LOTES!$F$5:$F$1004,0)),""))</f>
        <v/>
      </c>
      <c r="F959" s="27"/>
      <c r="G959" s="27"/>
      <c r="H959" s="27"/>
      <c r="I959" s="20" t="str">
        <f aca="false">IF(AND(ISNUMBER(F959),ISNUMBER(G959),ISNUMBER(H959),F959&gt;G959,H959&gt;0),(F959-H959)/(F959-G959)*1000,"")</f>
        <v/>
      </c>
      <c r="J959" s="17" t="str">
        <f aca="false">IF(AND(ISNUMBER(F959),ISNUMBER(G959),ISNUMBER(H959),F959&gt;G959,H959&gt;0),(F959-H959)/H959,"")</f>
        <v/>
      </c>
      <c r="K959" s="20" t="str">
        <f aca="false">IF(AND(ISNUMBER(F959),ISNUMBER(G959),ISNUMBER(H959),F959&gt;G959,H959&gt;0),H959/(F959-G959)*1000,"")</f>
        <v/>
      </c>
      <c r="L959" s="11" t="str">
        <f aca="false">IF(K959="","",IF(K959&gt;=CONFIG!$E$21,CONFIG!$D$21,IF(K959&gt;=CONFIG!$E$20,CONFIG!$D$20,CONFIG!$D$19)))</f>
        <v/>
      </c>
      <c r="M959" s="20" t="str">
        <f aca="false">IF(K959="","",IF(K959&gt;=CONFIG!$E$21,CONFIG!$F$21,IF(K959&gt;=CONFIG!$E$20,CONFIG!$F$20,CONFIG!$F$19)))</f>
        <v/>
      </c>
      <c r="N959" s="19" t="str">
        <f aca="false">IF(I959="","",IF(I959&lt;=M959,"OK","ALTA"))</f>
        <v/>
      </c>
      <c r="O959" s="13"/>
    </row>
    <row r="960" customFormat="false" ht="15" hidden="false" customHeight="false" outlineLevel="0" collapsed="false">
      <c r="A960" s="11" t="str">
        <f aca="false">IF(C960="","",ROW()-4)</f>
        <v/>
      </c>
      <c r="B960" s="12"/>
      <c r="C960" s="13"/>
      <c r="D960" s="11" t="str">
        <f aca="false">IF(C960="","",IFERROR(INDEX(LOTES!$D$5:$D$1004,MATCH(C960,LOTES!$F$5:$F$1004,0)),"¿Lote?"))</f>
        <v/>
      </c>
      <c r="E960" s="11" t="str">
        <f aca="false">IF(C960="","",IFERROR(INDEX(LOTES!$C$5:$C$1004,MATCH(C960,LOTES!$F$5:$F$1004,0)),""))</f>
        <v/>
      </c>
      <c r="F960" s="27"/>
      <c r="G960" s="27"/>
      <c r="H960" s="27"/>
      <c r="I960" s="20" t="str">
        <f aca="false">IF(AND(ISNUMBER(F960),ISNUMBER(G960),ISNUMBER(H960),F960&gt;G960,H960&gt;0),(F960-H960)/(F960-G960)*1000,"")</f>
        <v/>
      </c>
      <c r="J960" s="17" t="str">
        <f aca="false">IF(AND(ISNUMBER(F960),ISNUMBER(G960),ISNUMBER(H960),F960&gt;G960,H960&gt;0),(F960-H960)/H960,"")</f>
        <v/>
      </c>
      <c r="K960" s="20" t="str">
        <f aca="false">IF(AND(ISNUMBER(F960),ISNUMBER(G960),ISNUMBER(H960),F960&gt;G960,H960&gt;0),H960/(F960-G960)*1000,"")</f>
        <v/>
      </c>
      <c r="L960" s="11" t="str">
        <f aca="false">IF(K960="","",IF(K960&gt;=CONFIG!$E$21,CONFIG!$D$21,IF(K960&gt;=CONFIG!$E$20,CONFIG!$D$20,CONFIG!$D$19)))</f>
        <v/>
      </c>
      <c r="M960" s="20" t="str">
        <f aca="false">IF(K960="","",IF(K960&gt;=CONFIG!$E$21,CONFIG!$F$21,IF(K960&gt;=CONFIG!$E$20,CONFIG!$F$20,CONFIG!$F$19)))</f>
        <v/>
      </c>
      <c r="N960" s="19" t="str">
        <f aca="false">IF(I960="","",IF(I960&lt;=M960,"OK","ALTA"))</f>
        <v/>
      </c>
      <c r="O960" s="13"/>
    </row>
    <row r="961" customFormat="false" ht="15" hidden="false" customHeight="false" outlineLevel="0" collapsed="false">
      <c r="A961" s="11" t="str">
        <f aca="false">IF(C961="","",ROW()-4)</f>
        <v/>
      </c>
      <c r="B961" s="12"/>
      <c r="C961" s="13"/>
      <c r="D961" s="11" t="str">
        <f aca="false">IF(C961="","",IFERROR(INDEX(LOTES!$D$5:$D$1004,MATCH(C961,LOTES!$F$5:$F$1004,0)),"¿Lote?"))</f>
        <v/>
      </c>
      <c r="E961" s="11" t="str">
        <f aca="false">IF(C961="","",IFERROR(INDEX(LOTES!$C$5:$C$1004,MATCH(C961,LOTES!$F$5:$F$1004,0)),""))</f>
        <v/>
      </c>
      <c r="F961" s="27"/>
      <c r="G961" s="27"/>
      <c r="H961" s="27"/>
      <c r="I961" s="20" t="str">
        <f aca="false">IF(AND(ISNUMBER(F961),ISNUMBER(G961),ISNUMBER(H961),F961&gt;G961,H961&gt;0),(F961-H961)/(F961-G961)*1000,"")</f>
        <v/>
      </c>
      <c r="J961" s="17" t="str">
        <f aca="false">IF(AND(ISNUMBER(F961),ISNUMBER(G961),ISNUMBER(H961),F961&gt;G961,H961&gt;0),(F961-H961)/H961,"")</f>
        <v/>
      </c>
      <c r="K961" s="20" t="str">
        <f aca="false">IF(AND(ISNUMBER(F961),ISNUMBER(G961),ISNUMBER(H961),F961&gt;G961,H961&gt;0),H961/(F961-G961)*1000,"")</f>
        <v/>
      </c>
      <c r="L961" s="11" t="str">
        <f aca="false">IF(K961="","",IF(K961&gt;=CONFIG!$E$21,CONFIG!$D$21,IF(K961&gt;=CONFIG!$E$20,CONFIG!$D$20,CONFIG!$D$19)))</f>
        <v/>
      </c>
      <c r="M961" s="20" t="str">
        <f aca="false">IF(K961="","",IF(K961&gt;=CONFIG!$E$21,CONFIG!$F$21,IF(K961&gt;=CONFIG!$E$20,CONFIG!$F$20,CONFIG!$F$19)))</f>
        <v/>
      </c>
      <c r="N961" s="19" t="str">
        <f aca="false">IF(I961="","",IF(I961&lt;=M961,"OK","ALTA"))</f>
        <v/>
      </c>
      <c r="O961" s="13"/>
    </row>
    <row r="962" customFormat="false" ht="15" hidden="false" customHeight="false" outlineLevel="0" collapsed="false">
      <c r="A962" s="11" t="str">
        <f aca="false">IF(C962="","",ROW()-4)</f>
        <v/>
      </c>
      <c r="B962" s="12"/>
      <c r="C962" s="13"/>
      <c r="D962" s="11" t="str">
        <f aca="false">IF(C962="","",IFERROR(INDEX(LOTES!$D$5:$D$1004,MATCH(C962,LOTES!$F$5:$F$1004,0)),"¿Lote?"))</f>
        <v/>
      </c>
      <c r="E962" s="11" t="str">
        <f aca="false">IF(C962="","",IFERROR(INDEX(LOTES!$C$5:$C$1004,MATCH(C962,LOTES!$F$5:$F$1004,0)),""))</f>
        <v/>
      </c>
      <c r="F962" s="27"/>
      <c r="G962" s="27"/>
      <c r="H962" s="27"/>
      <c r="I962" s="20" t="str">
        <f aca="false">IF(AND(ISNUMBER(F962),ISNUMBER(G962),ISNUMBER(H962),F962&gt;G962,H962&gt;0),(F962-H962)/(F962-G962)*1000,"")</f>
        <v/>
      </c>
      <c r="J962" s="17" t="str">
        <f aca="false">IF(AND(ISNUMBER(F962),ISNUMBER(G962),ISNUMBER(H962),F962&gt;G962,H962&gt;0),(F962-H962)/H962,"")</f>
        <v/>
      </c>
      <c r="K962" s="20" t="str">
        <f aca="false">IF(AND(ISNUMBER(F962),ISNUMBER(G962),ISNUMBER(H962),F962&gt;G962,H962&gt;0),H962/(F962-G962)*1000,"")</f>
        <v/>
      </c>
      <c r="L962" s="11" t="str">
        <f aca="false">IF(K962="","",IF(K962&gt;=CONFIG!$E$21,CONFIG!$D$21,IF(K962&gt;=CONFIG!$E$20,CONFIG!$D$20,CONFIG!$D$19)))</f>
        <v/>
      </c>
      <c r="M962" s="20" t="str">
        <f aca="false">IF(K962="","",IF(K962&gt;=CONFIG!$E$21,CONFIG!$F$21,IF(K962&gt;=CONFIG!$E$20,CONFIG!$F$20,CONFIG!$F$19)))</f>
        <v/>
      </c>
      <c r="N962" s="19" t="str">
        <f aca="false">IF(I962="","",IF(I962&lt;=M962,"OK","ALTA"))</f>
        <v/>
      </c>
      <c r="O962" s="13"/>
    </row>
    <row r="963" customFormat="false" ht="15" hidden="false" customHeight="false" outlineLevel="0" collapsed="false">
      <c r="A963" s="11" t="str">
        <f aca="false">IF(C963="","",ROW()-4)</f>
        <v/>
      </c>
      <c r="B963" s="12"/>
      <c r="C963" s="13"/>
      <c r="D963" s="11" t="str">
        <f aca="false">IF(C963="","",IFERROR(INDEX(LOTES!$D$5:$D$1004,MATCH(C963,LOTES!$F$5:$F$1004,0)),"¿Lote?"))</f>
        <v/>
      </c>
      <c r="E963" s="11" t="str">
        <f aca="false">IF(C963="","",IFERROR(INDEX(LOTES!$C$5:$C$1004,MATCH(C963,LOTES!$F$5:$F$1004,0)),""))</f>
        <v/>
      </c>
      <c r="F963" s="27"/>
      <c r="G963" s="27"/>
      <c r="H963" s="27"/>
      <c r="I963" s="20" t="str">
        <f aca="false">IF(AND(ISNUMBER(F963),ISNUMBER(G963),ISNUMBER(H963),F963&gt;G963,H963&gt;0),(F963-H963)/(F963-G963)*1000,"")</f>
        <v/>
      </c>
      <c r="J963" s="17" t="str">
        <f aca="false">IF(AND(ISNUMBER(F963),ISNUMBER(G963),ISNUMBER(H963),F963&gt;G963,H963&gt;0),(F963-H963)/H963,"")</f>
        <v/>
      </c>
      <c r="K963" s="20" t="str">
        <f aca="false">IF(AND(ISNUMBER(F963),ISNUMBER(G963),ISNUMBER(H963),F963&gt;G963,H963&gt;0),H963/(F963-G963)*1000,"")</f>
        <v/>
      </c>
      <c r="L963" s="11" t="str">
        <f aca="false">IF(K963="","",IF(K963&gt;=CONFIG!$E$21,CONFIG!$D$21,IF(K963&gt;=CONFIG!$E$20,CONFIG!$D$20,CONFIG!$D$19)))</f>
        <v/>
      </c>
      <c r="M963" s="20" t="str">
        <f aca="false">IF(K963="","",IF(K963&gt;=CONFIG!$E$21,CONFIG!$F$21,IF(K963&gt;=CONFIG!$E$20,CONFIG!$F$20,CONFIG!$F$19)))</f>
        <v/>
      </c>
      <c r="N963" s="19" t="str">
        <f aca="false">IF(I963="","",IF(I963&lt;=M963,"OK","ALTA"))</f>
        <v/>
      </c>
      <c r="O963" s="13"/>
    </row>
    <row r="964" customFormat="false" ht="15" hidden="false" customHeight="false" outlineLevel="0" collapsed="false">
      <c r="A964" s="11" t="str">
        <f aca="false">IF(C964="","",ROW()-4)</f>
        <v/>
      </c>
      <c r="B964" s="12"/>
      <c r="C964" s="13"/>
      <c r="D964" s="11" t="str">
        <f aca="false">IF(C964="","",IFERROR(INDEX(LOTES!$D$5:$D$1004,MATCH(C964,LOTES!$F$5:$F$1004,0)),"¿Lote?"))</f>
        <v/>
      </c>
      <c r="E964" s="11" t="str">
        <f aca="false">IF(C964="","",IFERROR(INDEX(LOTES!$C$5:$C$1004,MATCH(C964,LOTES!$F$5:$F$1004,0)),""))</f>
        <v/>
      </c>
      <c r="F964" s="27"/>
      <c r="G964" s="27"/>
      <c r="H964" s="27"/>
      <c r="I964" s="20" t="str">
        <f aca="false">IF(AND(ISNUMBER(F964),ISNUMBER(G964),ISNUMBER(H964),F964&gt;G964,H964&gt;0),(F964-H964)/(F964-G964)*1000,"")</f>
        <v/>
      </c>
      <c r="J964" s="17" t="str">
        <f aca="false">IF(AND(ISNUMBER(F964),ISNUMBER(G964),ISNUMBER(H964),F964&gt;G964,H964&gt;0),(F964-H964)/H964,"")</f>
        <v/>
      </c>
      <c r="K964" s="20" t="str">
        <f aca="false">IF(AND(ISNUMBER(F964),ISNUMBER(G964),ISNUMBER(H964),F964&gt;G964,H964&gt;0),H964/(F964-G964)*1000,"")</f>
        <v/>
      </c>
      <c r="L964" s="11" t="str">
        <f aca="false">IF(K964="","",IF(K964&gt;=CONFIG!$E$21,CONFIG!$D$21,IF(K964&gt;=CONFIG!$E$20,CONFIG!$D$20,CONFIG!$D$19)))</f>
        <v/>
      </c>
      <c r="M964" s="20" t="str">
        <f aca="false">IF(K964="","",IF(K964&gt;=CONFIG!$E$21,CONFIG!$F$21,IF(K964&gt;=CONFIG!$E$20,CONFIG!$F$20,CONFIG!$F$19)))</f>
        <v/>
      </c>
      <c r="N964" s="19" t="str">
        <f aca="false">IF(I964="","",IF(I964&lt;=M964,"OK","ALTA"))</f>
        <v/>
      </c>
      <c r="O964" s="13"/>
    </row>
    <row r="965" customFormat="false" ht="15" hidden="false" customHeight="false" outlineLevel="0" collapsed="false">
      <c r="A965" s="11" t="str">
        <f aca="false">IF(C965="","",ROW()-4)</f>
        <v/>
      </c>
      <c r="B965" s="12"/>
      <c r="C965" s="13"/>
      <c r="D965" s="11" t="str">
        <f aca="false">IF(C965="","",IFERROR(INDEX(LOTES!$D$5:$D$1004,MATCH(C965,LOTES!$F$5:$F$1004,0)),"¿Lote?"))</f>
        <v/>
      </c>
      <c r="E965" s="11" t="str">
        <f aca="false">IF(C965="","",IFERROR(INDEX(LOTES!$C$5:$C$1004,MATCH(C965,LOTES!$F$5:$F$1004,0)),""))</f>
        <v/>
      </c>
      <c r="F965" s="27"/>
      <c r="G965" s="27"/>
      <c r="H965" s="27"/>
      <c r="I965" s="20" t="str">
        <f aca="false">IF(AND(ISNUMBER(F965),ISNUMBER(G965),ISNUMBER(H965),F965&gt;G965,H965&gt;0),(F965-H965)/(F965-G965)*1000,"")</f>
        <v/>
      </c>
      <c r="J965" s="17" t="str">
        <f aca="false">IF(AND(ISNUMBER(F965),ISNUMBER(G965),ISNUMBER(H965),F965&gt;G965,H965&gt;0),(F965-H965)/H965,"")</f>
        <v/>
      </c>
      <c r="K965" s="20" t="str">
        <f aca="false">IF(AND(ISNUMBER(F965),ISNUMBER(G965),ISNUMBER(H965),F965&gt;G965,H965&gt;0),H965/(F965-G965)*1000,"")</f>
        <v/>
      </c>
      <c r="L965" s="11" t="str">
        <f aca="false">IF(K965="","",IF(K965&gt;=CONFIG!$E$21,CONFIG!$D$21,IF(K965&gt;=CONFIG!$E$20,CONFIG!$D$20,CONFIG!$D$19)))</f>
        <v/>
      </c>
      <c r="M965" s="20" t="str">
        <f aca="false">IF(K965="","",IF(K965&gt;=CONFIG!$E$21,CONFIG!$F$21,IF(K965&gt;=CONFIG!$E$20,CONFIG!$F$20,CONFIG!$F$19)))</f>
        <v/>
      </c>
      <c r="N965" s="19" t="str">
        <f aca="false">IF(I965="","",IF(I965&lt;=M965,"OK","ALTA"))</f>
        <v/>
      </c>
      <c r="O965" s="13"/>
    </row>
    <row r="966" customFormat="false" ht="15" hidden="false" customHeight="false" outlineLevel="0" collapsed="false">
      <c r="A966" s="11" t="str">
        <f aca="false">IF(C966="","",ROW()-4)</f>
        <v/>
      </c>
      <c r="B966" s="12"/>
      <c r="C966" s="13"/>
      <c r="D966" s="11" t="str">
        <f aca="false">IF(C966="","",IFERROR(INDEX(LOTES!$D$5:$D$1004,MATCH(C966,LOTES!$F$5:$F$1004,0)),"¿Lote?"))</f>
        <v/>
      </c>
      <c r="E966" s="11" t="str">
        <f aca="false">IF(C966="","",IFERROR(INDEX(LOTES!$C$5:$C$1004,MATCH(C966,LOTES!$F$5:$F$1004,0)),""))</f>
        <v/>
      </c>
      <c r="F966" s="27"/>
      <c r="G966" s="27"/>
      <c r="H966" s="27"/>
      <c r="I966" s="20" t="str">
        <f aca="false">IF(AND(ISNUMBER(F966),ISNUMBER(G966),ISNUMBER(H966),F966&gt;G966,H966&gt;0),(F966-H966)/(F966-G966)*1000,"")</f>
        <v/>
      </c>
      <c r="J966" s="17" t="str">
        <f aca="false">IF(AND(ISNUMBER(F966),ISNUMBER(G966),ISNUMBER(H966),F966&gt;G966,H966&gt;0),(F966-H966)/H966,"")</f>
        <v/>
      </c>
      <c r="K966" s="20" t="str">
        <f aca="false">IF(AND(ISNUMBER(F966),ISNUMBER(G966),ISNUMBER(H966),F966&gt;G966,H966&gt;0),H966/(F966-G966)*1000,"")</f>
        <v/>
      </c>
      <c r="L966" s="11" t="str">
        <f aca="false">IF(K966="","",IF(K966&gt;=CONFIG!$E$21,CONFIG!$D$21,IF(K966&gt;=CONFIG!$E$20,CONFIG!$D$20,CONFIG!$D$19)))</f>
        <v/>
      </c>
      <c r="M966" s="20" t="str">
        <f aca="false">IF(K966="","",IF(K966&gt;=CONFIG!$E$21,CONFIG!$F$21,IF(K966&gt;=CONFIG!$E$20,CONFIG!$F$20,CONFIG!$F$19)))</f>
        <v/>
      </c>
      <c r="N966" s="19" t="str">
        <f aca="false">IF(I966="","",IF(I966&lt;=M966,"OK","ALTA"))</f>
        <v/>
      </c>
      <c r="O966" s="13"/>
    </row>
    <row r="967" customFormat="false" ht="15" hidden="false" customHeight="false" outlineLevel="0" collapsed="false">
      <c r="A967" s="11" t="str">
        <f aca="false">IF(C967="","",ROW()-4)</f>
        <v/>
      </c>
      <c r="B967" s="12"/>
      <c r="C967" s="13"/>
      <c r="D967" s="11" t="str">
        <f aca="false">IF(C967="","",IFERROR(INDEX(LOTES!$D$5:$D$1004,MATCH(C967,LOTES!$F$5:$F$1004,0)),"¿Lote?"))</f>
        <v/>
      </c>
      <c r="E967" s="11" t="str">
        <f aca="false">IF(C967="","",IFERROR(INDEX(LOTES!$C$5:$C$1004,MATCH(C967,LOTES!$F$5:$F$1004,0)),""))</f>
        <v/>
      </c>
      <c r="F967" s="27"/>
      <c r="G967" s="27"/>
      <c r="H967" s="27"/>
      <c r="I967" s="20" t="str">
        <f aca="false">IF(AND(ISNUMBER(F967),ISNUMBER(G967),ISNUMBER(H967),F967&gt;G967,H967&gt;0),(F967-H967)/(F967-G967)*1000,"")</f>
        <v/>
      </c>
      <c r="J967" s="17" t="str">
        <f aca="false">IF(AND(ISNUMBER(F967),ISNUMBER(G967),ISNUMBER(H967),F967&gt;G967,H967&gt;0),(F967-H967)/H967,"")</f>
        <v/>
      </c>
      <c r="K967" s="20" t="str">
        <f aca="false">IF(AND(ISNUMBER(F967),ISNUMBER(G967),ISNUMBER(H967),F967&gt;G967,H967&gt;0),H967/(F967-G967)*1000,"")</f>
        <v/>
      </c>
      <c r="L967" s="11" t="str">
        <f aca="false">IF(K967="","",IF(K967&gt;=CONFIG!$E$21,CONFIG!$D$21,IF(K967&gt;=CONFIG!$E$20,CONFIG!$D$20,CONFIG!$D$19)))</f>
        <v/>
      </c>
      <c r="M967" s="20" t="str">
        <f aca="false">IF(K967="","",IF(K967&gt;=CONFIG!$E$21,CONFIG!$F$21,IF(K967&gt;=CONFIG!$E$20,CONFIG!$F$20,CONFIG!$F$19)))</f>
        <v/>
      </c>
      <c r="N967" s="19" t="str">
        <f aca="false">IF(I967="","",IF(I967&lt;=M967,"OK","ALTA"))</f>
        <v/>
      </c>
      <c r="O967" s="13"/>
    </row>
    <row r="968" customFormat="false" ht="15" hidden="false" customHeight="false" outlineLevel="0" collapsed="false">
      <c r="A968" s="11" t="str">
        <f aca="false">IF(C968="","",ROW()-4)</f>
        <v/>
      </c>
      <c r="B968" s="12"/>
      <c r="C968" s="13"/>
      <c r="D968" s="11" t="str">
        <f aca="false">IF(C968="","",IFERROR(INDEX(LOTES!$D$5:$D$1004,MATCH(C968,LOTES!$F$5:$F$1004,0)),"¿Lote?"))</f>
        <v/>
      </c>
      <c r="E968" s="11" t="str">
        <f aca="false">IF(C968="","",IFERROR(INDEX(LOTES!$C$5:$C$1004,MATCH(C968,LOTES!$F$5:$F$1004,0)),""))</f>
        <v/>
      </c>
      <c r="F968" s="27"/>
      <c r="G968" s="27"/>
      <c r="H968" s="27"/>
      <c r="I968" s="20" t="str">
        <f aca="false">IF(AND(ISNUMBER(F968),ISNUMBER(G968),ISNUMBER(H968),F968&gt;G968,H968&gt;0),(F968-H968)/(F968-G968)*1000,"")</f>
        <v/>
      </c>
      <c r="J968" s="17" t="str">
        <f aca="false">IF(AND(ISNUMBER(F968),ISNUMBER(G968),ISNUMBER(H968),F968&gt;G968,H968&gt;0),(F968-H968)/H968,"")</f>
        <v/>
      </c>
      <c r="K968" s="20" t="str">
        <f aca="false">IF(AND(ISNUMBER(F968),ISNUMBER(G968),ISNUMBER(H968),F968&gt;G968,H968&gt;0),H968/(F968-G968)*1000,"")</f>
        <v/>
      </c>
      <c r="L968" s="11" t="str">
        <f aca="false">IF(K968="","",IF(K968&gt;=CONFIG!$E$21,CONFIG!$D$21,IF(K968&gt;=CONFIG!$E$20,CONFIG!$D$20,CONFIG!$D$19)))</f>
        <v/>
      </c>
      <c r="M968" s="20" t="str">
        <f aca="false">IF(K968="","",IF(K968&gt;=CONFIG!$E$21,CONFIG!$F$21,IF(K968&gt;=CONFIG!$E$20,CONFIG!$F$20,CONFIG!$F$19)))</f>
        <v/>
      </c>
      <c r="N968" s="19" t="str">
        <f aca="false">IF(I968="","",IF(I968&lt;=M968,"OK","ALTA"))</f>
        <v/>
      </c>
      <c r="O968" s="13"/>
    </row>
    <row r="969" customFormat="false" ht="15" hidden="false" customHeight="false" outlineLevel="0" collapsed="false">
      <c r="A969" s="11" t="str">
        <f aca="false">IF(C969="","",ROW()-4)</f>
        <v/>
      </c>
      <c r="B969" s="12"/>
      <c r="C969" s="13"/>
      <c r="D969" s="11" t="str">
        <f aca="false">IF(C969="","",IFERROR(INDEX(LOTES!$D$5:$D$1004,MATCH(C969,LOTES!$F$5:$F$1004,0)),"¿Lote?"))</f>
        <v/>
      </c>
      <c r="E969" s="11" t="str">
        <f aca="false">IF(C969="","",IFERROR(INDEX(LOTES!$C$5:$C$1004,MATCH(C969,LOTES!$F$5:$F$1004,0)),""))</f>
        <v/>
      </c>
      <c r="F969" s="27"/>
      <c r="G969" s="27"/>
      <c r="H969" s="27"/>
      <c r="I969" s="20" t="str">
        <f aca="false">IF(AND(ISNUMBER(F969),ISNUMBER(G969),ISNUMBER(H969),F969&gt;G969,H969&gt;0),(F969-H969)/(F969-G969)*1000,"")</f>
        <v/>
      </c>
      <c r="J969" s="17" t="str">
        <f aca="false">IF(AND(ISNUMBER(F969),ISNUMBER(G969),ISNUMBER(H969),F969&gt;G969,H969&gt;0),(F969-H969)/H969,"")</f>
        <v/>
      </c>
      <c r="K969" s="20" t="str">
        <f aca="false">IF(AND(ISNUMBER(F969),ISNUMBER(G969),ISNUMBER(H969),F969&gt;G969,H969&gt;0),H969/(F969-G969)*1000,"")</f>
        <v/>
      </c>
      <c r="L969" s="11" t="str">
        <f aca="false">IF(K969="","",IF(K969&gt;=CONFIG!$E$21,CONFIG!$D$21,IF(K969&gt;=CONFIG!$E$20,CONFIG!$D$20,CONFIG!$D$19)))</f>
        <v/>
      </c>
      <c r="M969" s="20" t="str">
        <f aca="false">IF(K969="","",IF(K969&gt;=CONFIG!$E$21,CONFIG!$F$21,IF(K969&gt;=CONFIG!$E$20,CONFIG!$F$20,CONFIG!$F$19)))</f>
        <v/>
      </c>
      <c r="N969" s="19" t="str">
        <f aca="false">IF(I969="","",IF(I969&lt;=M969,"OK","ALTA"))</f>
        <v/>
      </c>
      <c r="O969" s="13"/>
    </row>
    <row r="970" customFormat="false" ht="15" hidden="false" customHeight="false" outlineLevel="0" collapsed="false">
      <c r="A970" s="11" t="str">
        <f aca="false">IF(C970="","",ROW()-4)</f>
        <v/>
      </c>
      <c r="B970" s="12"/>
      <c r="C970" s="13"/>
      <c r="D970" s="11" t="str">
        <f aca="false">IF(C970="","",IFERROR(INDEX(LOTES!$D$5:$D$1004,MATCH(C970,LOTES!$F$5:$F$1004,0)),"¿Lote?"))</f>
        <v/>
      </c>
      <c r="E970" s="11" t="str">
        <f aca="false">IF(C970="","",IFERROR(INDEX(LOTES!$C$5:$C$1004,MATCH(C970,LOTES!$F$5:$F$1004,0)),""))</f>
        <v/>
      </c>
      <c r="F970" s="27"/>
      <c r="G970" s="27"/>
      <c r="H970" s="27"/>
      <c r="I970" s="20" t="str">
        <f aca="false">IF(AND(ISNUMBER(F970),ISNUMBER(G970),ISNUMBER(H970),F970&gt;G970,H970&gt;0),(F970-H970)/(F970-G970)*1000,"")</f>
        <v/>
      </c>
      <c r="J970" s="17" t="str">
        <f aca="false">IF(AND(ISNUMBER(F970),ISNUMBER(G970),ISNUMBER(H970),F970&gt;G970,H970&gt;0),(F970-H970)/H970,"")</f>
        <v/>
      </c>
      <c r="K970" s="20" t="str">
        <f aca="false">IF(AND(ISNUMBER(F970),ISNUMBER(G970),ISNUMBER(H970),F970&gt;G970,H970&gt;0),H970/(F970-G970)*1000,"")</f>
        <v/>
      </c>
      <c r="L970" s="11" t="str">
        <f aca="false">IF(K970="","",IF(K970&gt;=CONFIG!$E$21,CONFIG!$D$21,IF(K970&gt;=CONFIG!$E$20,CONFIG!$D$20,CONFIG!$D$19)))</f>
        <v/>
      </c>
      <c r="M970" s="20" t="str">
        <f aca="false">IF(K970="","",IF(K970&gt;=CONFIG!$E$21,CONFIG!$F$21,IF(K970&gt;=CONFIG!$E$20,CONFIG!$F$20,CONFIG!$F$19)))</f>
        <v/>
      </c>
      <c r="N970" s="19" t="str">
        <f aca="false">IF(I970="","",IF(I970&lt;=M970,"OK","ALTA"))</f>
        <v/>
      </c>
      <c r="O970" s="13"/>
    </row>
    <row r="971" customFormat="false" ht="15" hidden="false" customHeight="false" outlineLevel="0" collapsed="false">
      <c r="A971" s="11" t="str">
        <f aca="false">IF(C971="","",ROW()-4)</f>
        <v/>
      </c>
      <c r="B971" s="12"/>
      <c r="C971" s="13"/>
      <c r="D971" s="11" t="str">
        <f aca="false">IF(C971="","",IFERROR(INDEX(LOTES!$D$5:$D$1004,MATCH(C971,LOTES!$F$5:$F$1004,0)),"¿Lote?"))</f>
        <v/>
      </c>
      <c r="E971" s="11" t="str">
        <f aca="false">IF(C971="","",IFERROR(INDEX(LOTES!$C$5:$C$1004,MATCH(C971,LOTES!$F$5:$F$1004,0)),""))</f>
        <v/>
      </c>
      <c r="F971" s="27"/>
      <c r="G971" s="27"/>
      <c r="H971" s="27"/>
      <c r="I971" s="20" t="str">
        <f aca="false">IF(AND(ISNUMBER(F971),ISNUMBER(G971),ISNUMBER(H971),F971&gt;G971,H971&gt;0),(F971-H971)/(F971-G971)*1000,"")</f>
        <v/>
      </c>
      <c r="J971" s="17" t="str">
        <f aca="false">IF(AND(ISNUMBER(F971),ISNUMBER(G971),ISNUMBER(H971),F971&gt;G971,H971&gt;0),(F971-H971)/H971,"")</f>
        <v/>
      </c>
      <c r="K971" s="20" t="str">
        <f aca="false">IF(AND(ISNUMBER(F971),ISNUMBER(G971),ISNUMBER(H971),F971&gt;G971,H971&gt;0),H971/(F971-G971)*1000,"")</f>
        <v/>
      </c>
      <c r="L971" s="11" t="str">
        <f aca="false">IF(K971="","",IF(K971&gt;=CONFIG!$E$21,CONFIG!$D$21,IF(K971&gt;=CONFIG!$E$20,CONFIG!$D$20,CONFIG!$D$19)))</f>
        <v/>
      </c>
      <c r="M971" s="20" t="str">
        <f aca="false">IF(K971="","",IF(K971&gt;=CONFIG!$E$21,CONFIG!$F$21,IF(K971&gt;=CONFIG!$E$20,CONFIG!$F$20,CONFIG!$F$19)))</f>
        <v/>
      </c>
      <c r="N971" s="19" t="str">
        <f aca="false">IF(I971="","",IF(I971&lt;=M971,"OK","ALTA"))</f>
        <v/>
      </c>
      <c r="O971" s="13"/>
    </row>
    <row r="972" customFormat="false" ht="15" hidden="false" customHeight="false" outlineLevel="0" collapsed="false">
      <c r="A972" s="11" t="str">
        <f aca="false">IF(C972="","",ROW()-4)</f>
        <v/>
      </c>
      <c r="B972" s="12"/>
      <c r="C972" s="13"/>
      <c r="D972" s="11" t="str">
        <f aca="false">IF(C972="","",IFERROR(INDEX(LOTES!$D$5:$D$1004,MATCH(C972,LOTES!$F$5:$F$1004,0)),"¿Lote?"))</f>
        <v/>
      </c>
      <c r="E972" s="11" t="str">
        <f aca="false">IF(C972="","",IFERROR(INDEX(LOTES!$C$5:$C$1004,MATCH(C972,LOTES!$F$5:$F$1004,0)),""))</f>
        <v/>
      </c>
      <c r="F972" s="27"/>
      <c r="G972" s="27"/>
      <c r="H972" s="27"/>
      <c r="I972" s="20" t="str">
        <f aca="false">IF(AND(ISNUMBER(F972),ISNUMBER(G972),ISNUMBER(H972),F972&gt;G972,H972&gt;0),(F972-H972)/(F972-G972)*1000,"")</f>
        <v/>
      </c>
      <c r="J972" s="17" t="str">
        <f aca="false">IF(AND(ISNUMBER(F972),ISNUMBER(G972),ISNUMBER(H972),F972&gt;G972,H972&gt;0),(F972-H972)/H972,"")</f>
        <v/>
      </c>
      <c r="K972" s="20" t="str">
        <f aca="false">IF(AND(ISNUMBER(F972),ISNUMBER(G972),ISNUMBER(H972),F972&gt;G972,H972&gt;0),H972/(F972-G972)*1000,"")</f>
        <v/>
      </c>
      <c r="L972" s="11" t="str">
        <f aca="false">IF(K972="","",IF(K972&gt;=CONFIG!$E$21,CONFIG!$D$21,IF(K972&gt;=CONFIG!$E$20,CONFIG!$D$20,CONFIG!$D$19)))</f>
        <v/>
      </c>
      <c r="M972" s="20" t="str">
        <f aca="false">IF(K972="","",IF(K972&gt;=CONFIG!$E$21,CONFIG!$F$21,IF(K972&gt;=CONFIG!$E$20,CONFIG!$F$20,CONFIG!$F$19)))</f>
        <v/>
      </c>
      <c r="N972" s="19" t="str">
        <f aca="false">IF(I972="","",IF(I972&lt;=M972,"OK","ALTA"))</f>
        <v/>
      </c>
      <c r="O972" s="13"/>
    </row>
    <row r="973" customFormat="false" ht="15" hidden="false" customHeight="false" outlineLevel="0" collapsed="false">
      <c r="A973" s="11" t="str">
        <f aca="false">IF(C973="","",ROW()-4)</f>
        <v/>
      </c>
      <c r="B973" s="12"/>
      <c r="C973" s="13"/>
      <c r="D973" s="11" t="str">
        <f aca="false">IF(C973="","",IFERROR(INDEX(LOTES!$D$5:$D$1004,MATCH(C973,LOTES!$F$5:$F$1004,0)),"¿Lote?"))</f>
        <v/>
      </c>
      <c r="E973" s="11" t="str">
        <f aca="false">IF(C973="","",IFERROR(INDEX(LOTES!$C$5:$C$1004,MATCH(C973,LOTES!$F$5:$F$1004,0)),""))</f>
        <v/>
      </c>
      <c r="F973" s="27"/>
      <c r="G973" s="27"/>
      <c r="H973" s="27"/>
      <c r="I973" s="20" t="str">
        <f aca="false">IF(AND(ISNUMBER(F973),ISNUMBER(G973),ISNUMBER(H973),F973&gt;G973,H973&gt;0),(F973-H973)/(F973-G973)*1000,"")</f>
        <v/>
      </c>
      <c r="J973" s="17" t="str">
        <f aca="false">IF(AND(ISNUMBER(F973),ISNUMBER(G973),ISNUMBER(H973),F973&gt;G973,H973&gt;0),(F973-H973)/H973,"")</f>
        <v/>
      </c>
      <c r="K973" s="20" t="str">
        <f aca="false">IF(AND(ISNUMBER(F973),ISNUMBER(G973),ISNUMBER(H973),F973&gt;G973,H973&gt;0),H973/(F973-G973)*1000,"")</f>
        <v/>
      </c>
      <c r="L973" s="11" t="str">
        <f aca="false">IF(K973="","",IF(K973&gt;=CONFIG!$E$21,CONFIG!$D$21,IF(K973&gt;=CONFIG!$E$20,CONFIG!$D$20,CONFIG!$D$19)))</f>
        <v/>
      </c>
      <c r="M973" s="20" t="str">
        <f aca="false">IF(K973="","",IF(K973&gt;=CONFIG!$E$21,CONFIG!$F$21,IF(K973&gt;=CONFIG!$E$20,CONFIG!$F$20,CONFIG!$F$19)))</f>
        <v/>
      </c>
      <c r="N973" s="19" t="str">
        <f aca="false">IF(I973="","",IF(I973&lt;=M973,"OK","ALTA"))</f>
        <v/>
      </c>
      <c r="O973" s="13"/>
    </row>
    <row r="974" customFormat="false" ht="15" hidden="false" customHeight="false" outlineLevel="0" collapsed="false">
      <c r="A974" s="11" t="str">
        <f aca="false">IF(C974="","",ROW()-4)</f>
        <v/>
      </c>
      <c r="B974" s="12"/>
      <c r="C974" s="13"/>
      <c r="D974" s="11" t="str">
        <f aca="false">IF(C974="","",IFERROR(INDEX(LOTES!$D$5:$D$1004,MATCH(C974,LOTES!$F$5:$F$1004,0)),"¿Lote?"))</f>
        <v/>
      </c>
      <c r="E974" s="11" t="str">
        <f aca="false">IF(C974="","",IFERROR(INDEX(LOTES!$C$5:$C$1004,MATCH(C974,LOTES!$F$5:$F$1004,0)),""))</f>
        <v/>
      </c>
      <c r="F974" s="27"/>
      <c r="G974" s="27"/>
      <c r="H974" s="27"/>
      <c r="I974" s="20" t="str">
        <f aca="false">IF(AND(ISNUMBER(F974),ISNUMBER(G974),ISNUMBER(H974),F974&gt;G974,H974&gt;0),(F974-H974)/(F974-G974)*1000,"")</f>
        <v/>
      </c>
      <c r="J974" s="17" t="str">
        <f aca="false">IF(AND(ISNUMBER(F974),ISNUMBER(G974),ISNUMBER(H974),F974&gt;G974,H974&gt;0),(F974-H974)/H974,"")</f>
        <v/>
      </c>
      <c r="K974" s="20" t="str">
        <f aca="false">IF(AND(ISNUMBER(F974),ISNUMBER(G974),ISNUMBER(H974),F974&gt;G974,H974&gt;0),H974/(F974-G974)*1000,"")</f>
        <v/>
      </c>
      <c r="L974" s="11" t="str">
        <f aca="false">IF(K974="","",IF(K974&gt;=CONFIG!$E$21,CONFIG!$D$21,IF(K974&gt;=CONFIG!$E$20,CONFIG!$D$20,CONFIG!$D$19)))</f>
        <v/>
      </c>
      <c r="M974" s="20" t="str">
        <f aca="false">IF(K974="","",IF(K974&gt;=CONFIG!$E$21,CONFIG!$F$21,IF(K974&gt;=CONFIG!$E$20,CONFIG!$F$20,CONFIG!$F$19)))</f>
        <v/>
      </c>
      <c r="N974" s="19" t="str">
        <f aca="false">IF(I974="","",IF(I974&lt;=M974,"OK","ALTA"))</f>
        <v/>
      </c>
      <c r="O974" s="13"/>
    </row>
    <row r="975" customFormat="false" ht="15" hidden="false" customHeight="false" outlineLevel="0" collapsed="false">
      <c r="A975" s="11" t="str">
        <f aca="false">IF(C975="","",ROW()-4)</f>
        <v/>
      </c>
      <c r="B975" s="12"/>
      <c r="C975" s="13"/>
      <c r="D975" s="11" t="str">
        <f aca="false">IF(C975="","",IFERROR(INDEX(LOTES!$D$5:$D$1004,MATCH(C975,LOTES!$F$5:$F$1004,0)),"¿Lote?"))</f>
        <v/>
      </c>
      <c r="E975" s="11" t="str">
        <f aca="false">IF(C975="","",IFERROR(INDEX(LOTES!$C$5:$C$1004,MATCH(C975,LOTES!$F$5:$F$1004,0)),""))</f>
        <v/>
      </c>
      <c r="F975" s="27"/>
      <c r="G975" s="27"/>
      <c r="H975" s="27"/>
      <c r="I975" s="20" t="str">
        <f aca="false">IF(AND(ISNUMBER(F975),ISNUMBER(G975),ISNUMBER(H975),F975&gt;G975,H975&gt;0),(F975-H975)/(F975-G975)*1000,"")</f>
        <v/>
      </c>
      <c r="J975" s="17" t="str">
        <f aca="false">IF(AND(ISNUMBER(F975),ISNUMBER(G975),ISNUMBER(H975),F975&gt;G975,H975&gt;0),(F975-H975)/H975,"")</f>
        <v/>
      </c>
      <c r="K975" s="20" t="str">
        <f aca="false">IF(AND(ISNUMBER(F975),ISNUMBER(G975),ISNUMBER(H975),F975&gt;G975,H975&gt;0),H975/(F975-G975)*1000,"")</f>
        <v/>
      </c>
      <c r="L975" s="11" t="str">
        <f aca="false">IF(K975="","",IF(K975&gt;=CONFIG!$E$21,CONFIG!$D$21,IF(K975&gt;=CONFIG!$E$20,CONFIG!$D$20,CONFIG!$D$19)))</f>
        <v/>
      </c>
      <c r="M975" s="20" t="str">
        <f aca="false">IF(K975="","",IF(K975&gt;=CONFIG!$E$21,CONFIG!$F$21,IF(K975&gt;=CONFIG!$E$20,CONFIG!$F$20,CONFIG!$F$19)))</f>
        <v/>
      </c>
      <c r="N975" s="19" t="str">
        <f aca="false">IF(I975="","",IF(I975&lt;=M975,"OK","ALTA"))</f>
        <v/>
      </c>
      <c r="O975" s="13"/>
    </row>
    <row r="976" customFormat="false" ht="15" hidden="false" customHeight="false" outlineLevel="0" collapsed="false">
      <c r="A976" s="11" t="str">
        <f aca="false">IF(C976="","",ROW()-4)</f>
        <v/>
      </c>
      <c r="B976" s="12"/>
      <c r="C976" s="13"/>
      <c r="D976" s="11" t="str">
        <f aca="false">IF(C976="","",IFERROR(INDEX(LOTES!$D$5:$D$1004,MATCH(C976,LOTES!$F$5:$F$1004,0)),"¿Lote?"))</f>
        <v/>
      </c>
      <c r="E976" s="11" t="str">
        <f aca="false">IF(C976="","",IFERROR(INDEX(LOTES!$C$5:$C$1004,MATCH(C976,LOTES!$F$5:$F$1004,0)),""))</f>
        <v/>
      </c>
      <c r="F976" s="27"/>
      <c r="G976" s="27"/>
      <c r="H976" s="27"/>
      <c r="I976" s="20" t="str">
        <f aca="false">IF(AND(ISNUMBER(F976),ISNUMBER(G976),ISNUMBER(H976),F976&gt;G976,H976&gt;0),(F976-H976)/(F976-G976)*1000,"")</f>
        <v/>
      </c>
      <c r="J976" s="17" t="str">
        <f aca="false">IF(AND(ISNUMBER(F976),ISNUMBER(G976),ISNUMBER(H976),F976&gt;G976,H976&gt;0),(F976-H976)/H976,"")</f>
        <v/>
      </c>
      <c r="K976" s="20" t="str">
        <f aca="false">IF(AND(ISNUMBER(F976),ISNUMBER(G976),ISNUMBER(H976),F976&gt;G976,H976&gt;0),H976/(F976-G976)*1000,"")</f>
        <v/>
      </c>
      <c r="L976" s="11" t="str">
        <f aca="false">IF(K976="","",IF(K976&gt;=CONFIG!$E$21,CONFIG!$D$21,IF(K976&gt;=CONFIG!$E$20,CONFIG!$D$20,CONFIG!$D$19)))</f>
        <v/>
      </c>
      <c r="M976" s="20" t="str">
        <f aca="false">IF(K976="","",IF(K976&gt;=CONFIG!$E$21,CONFIG!$F$21,IF(K976&gt;=CONFIG!$E$20,CONFIG!$F$20,CONFIG!$F$19)))</f>
        <v/>
      </c>
      <c r="N976" s="19" t="str">
        <f aca="false">IF(I976="","",IF(I976&lt;=M976,"OK","ALTA"))</f>
        <v/>
      </c>
      <c r="O976" s="13"/>
    </row>
    <row r="977" customFormat="false" ht="15" hidden="false" customHeight="false" outlineLevel="0" collapsed="false">
      <c r="A977" s="11" t="str">
        <f aca="false">IF(C977="","",ROW()-4)</f>
        <v/>
      </c>
      <c r="B977" s="12"/>
      <c r="C977" s="13"/>
      <c r="D977" s="11" t="str">
        <f aca="false">IF(C977="","",IFERROR(INDEX(LOTES!$D$5:$D$1004,MATCH(C977,LOTES!$F$5:$F$1004,0)),"¿Lote?"))</f>
        <v/>
      </c>
      <c r="E977" s="11" t="str">
        <f aca="false">IF(C977="","",IFERROR(INDEX(LOTES!$C$5:$C$1004,MATCH(C977,LOTES!$F$5:$F$1004,0)),""))</f>
        <v/>
      </c>
      <c r="F977" s="27"/>
      <c r="G977" s="27"/>
      <c r="H977" s="27"/>
      <c r="I977" s="20" t="str">
        <f aca="false">IF(AND(ISNUMBER(F977),ISNUMBER(G977),ISNUMBER(H977),F977&gt;G977,H977&gt;0),(F977-H977)/(F977-G977)*1000,"")</f>
        <v/>
      </c>
      <c r="J977" s="17" t="str">
        <f aca="false">IF(AND(ISNUMBER(F977),ISNUMBER(G977),ISNUMBER(H977),F977&gt;G977,H977&gt;0),(F977-H977)/H977,"")</f>
        <v/>
      </c>
      <c r="K977" s="20" t="str">
        <f aca="false">IF(AND(ISNUMBER(F977),ISNUMBER(G977),ISNUMBER(H977),F977&gt;G977,H977&gt;0),H977/(F977-G977)*1000,"")</f>
        <v/>
      </c>
      <c r="L977" s="11" t="str">
        <f aca="false">IF(K977="","",IF(K977&gt;=CONFIG!$E$21,CONFIG!$D$21,IF(K977&gt;=CONFIG!$E$20,CONFIG!$D$20,CONFIG!$D$19)))</f>
        <v/>
      </c>
      <c r="M977" s="20" t="str">
        <f aca="false">IF(K977="","",IF(K977&gt;=CONFIG!$E$21,CONFIG!$F$21,IF(K977&gt;=CONFIG!$E$20,CONFIG!$F$20,CONFIG!$F$19)))</f>
        <v/>
      </c>
      <c r="N977" s="19" t="str">
        <f aca="false">IF(I977="","",IF(I977&lt;=M977,"OK","ALTA"))</f>
        <v/>
      </c>
      <c r="O977" s="13"/>
    </row>
    <row r="978" customFormat="false" ht="15" hidden="false" customHeight="false" outlineLevel="0" collapsed="false">
      <c r="A978" s="11" t="str">
        <f aca="false">IF(C978="","",ROW()-4)</f>
        <v/>
      </c>
      <c r="B978" s="12"/>
      <c r="C978" s="13"/>
      <c r="D978" s="11" t="str">
        <f aca="false">IF(C978="","",IFERROR(INDEX(LOTES!$D$5:$D$1004,MATCH(C978,LOTES!$F$5:$F$1004,0)),"¿Lote?"))</f>
        <v/>
      </c>
      <c r="E978" s="11" t="str">
        <f aca="false">IF(C978="","",IFERROR(INDEX(LOTES!$C$5:$C$1004,MATCH(C978,LOTES!$F$5:$F$1004,0)),""))</f>
        <v/>
      </c>
      <c r="F978" s="27"/>
      <c r="G978" s="27"/>
      <c r="H978" s="27"/>
      <c r="I978" s="20" t="str">
        <f aca="false">IF(AND(ISNUMBER(F978),ISNUMBER(G978),ISNUMBER(H978),F978&gt;G978,H978&gt;0),(F978-H978)/(F978-G978)*1000,"")</f>
        <v/>
      </c>
      <c r="J978" s="17" t="str">
        <f aca="false">IF(AND(ISNUMBER(F978),ISNUMBER(G978),ISNUMBER(H978),F978&gt;G978,H978&gt;0),(F978-H978)/H978,"")</f>
        <v/>
      </c>
      <c r="K978" s="20" t="str">
        <f aca="false">IF(AND(ISNUMBER(F978),ISNUMBER(G978),ISNUMBER(H978),F978&gt;G978,H978&gt;0),H978/(F978-G978)*1000,"")</f>
        <v/>
      </c>
      <c r="L978" s="11" t="str">
        <f aca="false">IF(K978="","",IF(K978&gt;=CONFIG!$E$21,CONFIG!$D$21,IF(K978&gt;=CONFIG!$E$20,CONFIG!$D$20,CONFIG!$D$19)))</f>
        <v/>
      </c>
      <c r="M978" s="20" t="str">
        <f aca="false">IF(K978="","",IF(K978&gt;=CONFIG!$E$21,CONFIG!$F$21,IF(K978&gt;=CONFIG!$E$20,CONFIG!$F$20,CONFIG!$F$19)))</f>
        <v/>
      </c>
      <c r="N978" s="19" t="str">
        <f aca="false">IF(I978="","",IF(I978&lt;=M978,"OK","ALTA"))</f>
        <v/>
      </c>
      <c r="O978" s="13"/>
    </row>
    <row r="979" customFormat="false" ht="15" hidden="false" customHeight="false" outlineLevel="0" collapsed="false">
      <c r="A979" s="11" t="str">
        <f aca="false">IF(C979="","",ROW()-4)</f>
        <v/>
      </c>
      <c r="B979" s="12"/>
      <c r="C979" s="13"/>
      <c r="D979" s="11" t="str">
        <f aca="false">IF(C979="","",IFERROR(INDEX(LOTES!$D$5:$D$1004,MATCH(C979,LOTES!$F$5:$F$1004,0)),"¿Lote?"))</f>
        <v/>
      </c>
      <c r="E979" s="11" t="str">
        <f aca="false">IF(C979="","",IFERROR(INDEX(LOTES!$C$5:$C$1004,MATCH(C979,LOTES!$F$5:$F$1004,0)),""))</f>
        <v/>
      </c>
      <c r="F979" s="27"/>
      <c r="G979" s="27"/>
      <c r="H979" s="27"/>
      <c r="I979" s="20" t="str">
        <f aca="false">IF(AND(ISNUMBER(F979),ISNUMBER(G979),ISNUMBER(H979),F979&gt;G979,H979&gt;0),(F979-H979)/(F979-G979)*1000,"")</f>
        <v/>
      </c>
      <c r="J979" s="17" t="str">
        <f aca="false">IF(AND(ISNUMBER(F979),ISNUMBER(G979),ISNUMBER(H979),F979&gt;G979,H979&gt;0),(F979-H979)/H979,"")</f>
        <v/>
      </c>
      <c r="K979" s="20" t="str">
        <f aca="false">IF(AND(ISNUMBER(F979),ISNUMBER(G979),ISNUMBER(H979),F979&gt;G979,H979&gt;0),H979/(F979-G979)*1000,"")</f>
        <v/>
      </c>
      <c r="L979" s="11" t="str">
        <f aca="false">IF(K979="","",IF(K979&gt;=CONFIG!$E$21,CONFIG!$D$21,IF(K979&gt;=CONFIG!$E$20,CONFIG!$D$20,CONFIG!$D$19)))</f>
        <v/>
      </c>
      <c r="M979" s="20" t="str">
        <f aca="false">IF(K979="","",IF(K979&gt;=CONFIG!$E$21,CONFIG!$F$21,IF(K979&gt;=CONFIG!$E$20,CONFIG!$F$20,CONFIG!$F$19)))</f>
        <v/>
      </c>
      <c r="N979" s="19" t="str">
        <f aca="false">IF(I979="","",IF(I979&lt;=M979,"OK","ALTA"))</f>
        <v/>
      </c>
      <c r="O979" s="13"/>
    </row>
    <row r="980" customFormat="false" ht="15" hidden="false" customHeight="false" outlineLevel="0" collapsed="false">
      <c r="A980" s="11" t="str">
        <f aca="false">IF(C980="","",ROW()-4)</f>
        <v/>
      </c>
      <c r="B980" s="12"/>
      <c r="C980" s="13"/>
      <c r="D980" s="11" t="str">
        <f aca="false">IF(C980="","",IFERROR(INDEX(LOTES!$D$5:$D$1004,MATCH(C980,LOTES!$F$5:$F$1004,0)),"¿Lote?"))</f>
        <v/>
      </c>
      <c r="E980" s="11" t="str">
        <f aca="false">IF(C980="","",IFERROR(INDEX(LOTES!$C$5:$C$1004,MATCH(C980,LOTES!$F$5:$F$1004,0)),""))</f>
        <v/>
      </c>
      <c r="F980" s="27"/>
      <c r="G980" s="27"/>
      <c r="H980" s="27"/>
      <c r="I980" s="20" t="str">
        <f aca="false">IF(AND(ISNUMBER(F980),ISNUMBER(G980),ISNUMBER(H980),F980&gt;G980,H980&gt;0),(F980-H980)/(F980-G980)*1000,"")</f>
        <v/>
      </c>
      <c r="J980" s="17" t="str">
        <f aca="false">IF(AND(ISNUMBER(F980),ISNUMBER(G980),ISNUMBER(H980),F980&gt;G980,H980&gt;0),(F980-H980)/H980,"")</f>
        <v/>
      </c>
      <c r="K980" s="20" t="str">
        <f aca="false">IF(AND(ISNUMBER(F980),ISNUMBER(G980),ISNUMBER(H980),F980&gt;G980,H980&gt;0),H980/(F980-G980)*1000,"")</f>
        <v/>
      </c>
      <c r="L980" s="11" t="str">
        <f aca="false">IF(K980="","",IF(K980&gt;=CONFIG!$E$21,CONFIG!$D$21,IF(K980&gt;=CONFIG!$E$20,CONFIG!$D$20,CONFIG!$D$19)))</f>
        <v/>
      </c>
      <c r="M980" s="20" t="str">
        <f aca="false">IF(K980="","",IF(K980&gt;=CONFIG!$E$21,CONFIG!$F$21,IF(K980&gt;=CONFIG!$E$20,CONFIG!$F$20,CONFIG!$F$19)))</f>
        <v/>
      </c>
      <c r="N980" s="19" t="str">
        <f aca="false">IF(I980="","",IF(I980&lt;=M980,"OK","ALTA"))</f>
        <v/>
      </c>
      <c r="O980" s="13"/>
    </row>
    <row r="981" customFormat="false" ht="15" hidden="false" customHeight="false" outlineLevel="0" collapsed="false">
      <c r="A981" s="11" t="str">
        <f aca="false">IF(C981="","",ROW()-4)</f>
        <v/>
      </c>
      <c r="B981" s="12"/>
      <c r="C981" s="13"/>
      <c r="D981" s="11" t="str">
        <f aca="false">IF(C981="","",IFERROR(INDEX(LOTES!$D$5:$D$1004,MATCH(C981,LOTES!$F$5:$F$1004,0)),"¿Lote?"))</f>
        <v/>
      </c>
      <c r="E981" s="11" t="str">
        <f aca="false">IF(C981="","",IFERROR(INDEX(LOTES!$C$5:$C$1004,MATCH(C981,LOTES!$F$5:$F$1004,0)),""))</f>
        <v/>
      </c>
      <c r="F981" s="27"/>
      <c r="G981" s="27"/>
      <c r="H981" s="27"/>
      <c r="I981" s="20" t="str">
        <f aca="false">IF(AND(ISNUMBER(F981),ISNUMBER(G981),ISNUMBER(H981),F981&gt;G981,H981&gt;0),(F981-H981)/(F981-G981)*1000,"")</f>
        <v/>
      </c>
      <c r="J981" s="17" t="str">
        <f aca="false">IF(AND(ISNUMBER(F981),ISNUMBER(G981),ISNUMBER(H981),F981&gt;G981,H981&gt;0),(F981-H981)/H981,"")</f>
        <v/>
      </c>
      <c r="K981" s="20" t="str">
        <f aca="false">IF(AND(ISNUMBER(F981),ISNUMBER(G981),ISNUMBER(H981),F981&gt;G981,H981&gt;0),H981/(F981-G981)*1000,"")</f>
        <v/>
      </c>
      <c r="L981" s="11" t="str">
        <f aca="false">IF(K981="","",IF(K981&gt;=CONFIG!$E$21,CONFIG!$D$21,IF(K981&gt;=CONFIG!$E$20,CONFIG!$D$20,CONFIG!$D$19)))</f>
        <v/>
      </c>
      <c r="M981" s="20" t="str">
        <f aca="false">IF(K981="","",IF(K981&gt;=CONFIG!$E$21,CONFIG!$F$21,IF(K981&gt;=CONFIG!$E$20,CONFIG!$F$20,CONFIG!$F$19)))</f>
        <v/>
      </c>
      <c r="N981" s="19" t="str">
        <f aca="false">IF(I981="","",IF(I981&lt;=M981,"OK","ALTA"))</f>
        <v/>
      </c>
      <c r="O981" s="13"/>
    </row>
    <row r="982" customFormat="false" ht="15" hidden="false" customHeight="false" outlineLevel="0" collapsed="false">
      <c r="A982" s="11" t="str">
        <f aca="false">IF(C982="","",ROW()-4)</f>
        <v/>
      </c>
      <c r="B982" s="12"/>
      <c r="C982" s="13"/>
      <c r="D982" s="11" t="str">
        <f aca="false">IF(C982="","",IFERROR(INDEX(LOTES!$D$5:$D$1004,MATCH(C982,LOTES!$F$5:$F$1004,0)),"¿Lote?"))</f>
        <v/>
      </c>
      <c r="E982" s="11" t="str">
        <f aca="false">IF(C982="","",IFERROR(INDEX(LOTES!$C$5:$C$1004,MATCH(C982,LOTES!$F$5:$F$1004,0)),""))</f>
        <v/>
      </c>
      <c r="F982" s="27"/>
      <c r="G982" s="27"/>
      <c r="H982" s="27"/>
      <c r="I982" s="20" t="str">
        <f aca="false">IF(AND(ISNUMBER(F982),ISNUMBER(G982),ISNUMBER(H982),F982&gt;G982,H982&gt;0),(F982-H982)/(F982-G982)*1000,"")</f>
        <v/>
      </c>
      <c r="J982" s="17" t="str">
        <f aca="false">IF(AND(ISNUMBER(F982),ISNUMBER(G982),ISNUMBER(H982),F982&gt;G982,H982&gt;0),(F982-H982)/H982,"")</f>
        <v/>
      </c>
      <c r="K982" s="20" t="str">
        <f aca="false">IF(AND(ISNUMBER(F982),ISNUMBER(G982),ISNUMBER(H982),F982&gt;G982,H982&gt;0),H982/(F982-G982)*1000,"")</f>
        <v/>
      </c>
      <c r="L982" s="11" t="str">
        <f aca="false">IF(K982="","",IF(K982&gt;=CONFIG!$E$21,CONFIG!$D$21,IF(K982&gt;=CONFIG!$E$20,CONFIG!$D$20,CONFIG!$D$19)))</f>
        <v/>
      </c>
      <c r="M982" s="20" t="str">
        <f aca="false">IF(K982="","",IF(K982&gt;=CONFIG!$E$21,CONFIG!$F$21,IF(K982&gt;=CONFIG!$E$20,CONFIG!$F$20,CONFIG!$F$19)))</f>
        <v/>
      </c>
      <c r="N982" s="19" t="str">
        <f aca="false">IF(I982="","",IF(I982&lt;=M982,"OK","ALTA"))</f>
        <v/>
      </c>
      <c r="O982" s="13"/>
    </row>
    <row r="983" customFormat="false" ht="15" hidden="false" customHeight="false" outlineLevel="0" collapsed="false">
      <c r="A983" s="11" t="str">
        <f aca="false">IF(C983="","",ROW()-4)</f>
        <v/>
      </c>
      <c r="B983" s="12"/>
      <c r="C983" s="13"/>
      <c r="D983" s="11" t="str">
        <f aca="false">IF(C983="","",IFERROR(INDEX(LOTES!$D$5:$D$1004,MATCH(C983,LOTES!$F$5:$F$1004,0)),"¿Lote?"))</f>
        <v/>
      </c>
      <c r="E983" s="11" t="str">
        <f aca="false">IF(C983="","",IFERROR(INDEX(LOTES!$C$5:$C$1004,MATCH(C983,LOTES!$F$5:$F$1004,0)),""))</f>
        <v/>
      </c>
      <c r="F983" s="27"/>
      <c r="G983" s="27"/>
      <c r="H983" s="27"/>
      <c r="I983" s="20" t="str">
        <f aca="false">IF(AND(ISNUMBER(F983),ISNUMBER(G983),ISNUMBER(H983),F983&gt;G983,H983&gt;0),(F983-H983)/(F983-G983)*1000,"")</f>
        <v/>
      </c>
      <c r="J983" s="17" t="str">
        <f aca="false">IF(AND(ISNUMBER(F983),ISNUMBER(G983),ISNUMBER(H983),F983&gt;G983,H983&gt;0),(F983-H983)/H983,"")</f>
        <v/>
      </c>
      <c r="K983" s="20" t="str">
        <f aca="false">IF(AND(ISNUMBER(F983),ISNUMBER(G983),ISNUMBER(H983),F983&gt;G983,H983&gt;0),H983/(F983-G983)*1000,"")</f>
        <v/>
      </c>
      <c r="L983" s="11" t="str">
        <f aca="false">IF(K983="","",IF(K983&gt;=CONFIG!$E$21,CONFIG!$D$21,IF(K983&gt;=CONFIG!$E$20,CONFIG!$D$20,CONFIG!$D$19)))</f>
        <v/>
      </c>
      <c r="M983" s="20" t="str">
        <f aca="false">IF(K983="","",IF(K983&gt;=CONFIG!$E$21,CONFIG!$F$21,IF(K983&gt;=CONFIG!$E$20,CONFIG!$F$20,CONFIG!$F$19)))</f>
        <v/>
      </c>
      <c r="N983" s="19" t="str">
        <f aca="false">IF(I983="","",IF(I983&lt;=M983,"OK","ALTA"))</f>
        <v/>
      </c>
      <c r="O983" s="13"/>
    </row>
    <row r="984" customFormat="false" ht="15" hidden="false" customHeight="false" outlineLevel="0" collapsed="false">
      <c r="A984" s="11" t="str">
        <f aca="false">IF(C984="","",ROW()-4)</f>
        <v/>
      </c>
      <c r="B984" s="12"/>
      <c r="C984" s="13"/>
      <c r="D984" s="11" t="str">
        <f aca="false">IF(C984="","",IFERROR(INDEX(LOTES!$D$5:$D$1004,MATCH(C984,LOTES!$F$5:$F$1004,0)),"¿Lote?"))</f>
        <v/>
      </c>
      <c r="E984" s="11" t="str">
        <f aca="false">IF(C984="","",IFERROR(INDEX(LOTES!$C$5:$C$1004,MATCH(C984,LOTES!$F$5:$F$1004,0)),""))</f>
        <v/>
      </c>
      <c r="F984" s="27"/>
      <c r="G984" s="27"/>
      <c r="H984" s="27"/>
      <c r="I984" s="20" t="str">
        <f aca="false">IF(AND(ISNUMBER(F984),ISNUMBER(G984),ISNUMBER(H984),F984&gt;G984,H984&gt;0),(F984-H984)/(F984-G984)*1000,"")</f>
        <v/>
      </c>
      <c r="J984" s="17" t="str">
        <f aca="false">IF(AND(ISNUMBER(F984),ISNUMBER(G984),ISNUMBER(H984),F984&gt;G984,H984&gt;0),(F984-H984)/H984,"")</f>
        <v/>
      </c>
      <c r="K984" s="20" t="str">
        <f aca="false">IF(AND(ISNUMBER(F984),ISNUMBER(G984),ISNUMBER(H984),F984&gt;G984,H984&gt;0),H984/(F984-G984)*1000,"")</f>
        <v/>
      </c>
      <c r="L984" s="11" t="str">
        <f aca="false">IF(K984="","",IF(K984&gt;=CONFIG!$E$21,CONFIG!$D$21,IF(K984&gt;=CONFIG!$E$20,CONFIG!$D$20,CONFIG!$D$19)))</f>
        <v/>
      </c>
      <c r="M984" s="20" t="str">
        <f aca="false">IF(K984="","",IF(K984&gt;=CONFIG!$E$21,CONFIG!$F$21,IF(K984&gt;=CONFIG!$E$20,CONFIG!$F$20,CONFIG!$F$19)))</f>
        <v/>
      </c>
      <c r="N984" s="19" t="str">
        <f aca="false">IF(I984="","",IF(I984&lt;=M984,"OK","ALTA"))</f>
        <v/>
      </c>
      <c r="O984" s="13"/>
    </row>
    <row r="985" customFormat="false" ht="15" hidden="false" customHeight="false" outlineLevel="0" collapsed="false">
      <c r="A985" s="11" t="str">
        <f aca="false">IF(C985="","",ROW()-4)</f>
        <v/>
      </c>
      <c r="B985" s="12"/>
      <c r="C985" s="13"/>
      <c r="D985" s="11" t="str">
        <f aca="false">IF(C985="","",IFERROR(INDEX(LOTES!$D$5:$D$1004,MATCH(C985,LOTES!$F$5:$F$1004,0)),"¿Lote?"))</f>
        <v/>
      </c>
      <c r="E985" s="11" t="str">
        <f aca="false">IF(C985="","",IFERROR(INDEX(LOTES!$C$5:$C$1004,MATCH(C985,LOTES!$F$5:$F$1004,0)),""))</f>
        <v/>
      </c>
      <c r="F985" s="27"/>
      <c r="G985" s="27"/>
      <c r="H985" s="27"/>
      <c r="I985" s="20" t="str">
        <f aca="false">IF(AND(ISNUMBER(F985),ISNUMBER(G985),ISNUMBER(H985),F985&gt;G985,H985&gt;0),(F985-H985)/(F985-G985)*1000,"")</f>
        <v/>
      </c>
      <c r="J985" s="17" t="str">
        <f aca="false">IF(AND(ISNUMBER(F985),ISNUMBER(G985),ISNUMBER(H985),F985&gt;G985,H985&gt;0),(F985-H985)/H985,"")</f>
        <v/>
      </c>
      <c r="K985" s="20" t="str">
        <f aca="false">IF(AND(ISNUMBER(F985),ISNUMBER(G985),ISNUMBER(H985),F985&gt;G985,H985&gt;0),H985/(F985-G985)*1000,"")</f>
        <v/>
      </c>
      <c r="L985" s="11" t="str">
        <f aca="false">IF(K985="","",IF(K985&gt;=CONFIG!$E$21,CONFIG!$D$21,IF(K985&gt;=CONFIG!$E$20,CONFIG!$D$20,CONFIG!$D$19)))</f>
        <v/>
      </c>
      <c r="M985" s="20" t="str">
        <f aca="false">IF(K985="","",IF(K985&gt;=CONFIG!$E$21,CONFIG!$F$21,IF(K985&gt;=CONFIG!$E$20,CONFIG!$F$20,CONFIG!$F$19)))</f>
        <v/>
      </c>
      <c r="N985" s="19" t="str">
        <f aca="false">IF(I985="","",IF(I985&lt;=M985,"OK","ALTA"))</f>
        <v/>
      </c>
      <c r="O985" s="13"/>
    </row>
    <row r="986" customFormat="false" ht="15" hidden="false" customHeight="false" outlineLevel="0" collapsed="false">
      <c r="A986" s="11" t="str">
        <f aca="false">IF(C986="","",ROW()-4)</f>
        <v/>
      </c>
      <c r="B986" s="12"/>
      <c r="C986" s="13"/>
      <c r="D986" s="11" t="str">
        <f aca="false">IF(C986="","",IFERROR(INDEX(LOTES!$D$5:$D$1004,MATCH(C986,LOTES!$F$5:$F$1004,0)),"¿Lote?"))</f>
        <v/>
      </c>
      <c r="E986" s="11" t="str">
        <f aca="false">IF(C986="","",IFERROR(INDEX(LOTES!$C$5:$C$1004,MATCH(C986,LOTES!$F$5:$F$1004,0)),""))</f>
        <v/>
      </c>
      <c r="F986" s="27"/>
      <c r="G986" s="27"/>
      <c r="H986" s="27"/>
      <c r="I986" s="20" t="str">
        <f aca="false">IF(AND(ISNUMBER(F986),ISNUMBER(G986),ISNUMBER(H986),F986&gt;G986,H986&gt;0),(F986-H986)/(F986-G986)*1000,"")</f>
        <v/>
      </c>
      <c r="J986" s="17" t="str">
        <f aca="false">IF(AND(ISNUMBER(F986),ISNUMBER(G986),ISNUMBER(H986),F986&gt;G986,H986&gt;0),(F986-H986)/H986,"")</f>
        <v/>
      </c>
      <c r="K986" s="20" t="str">
        <f aca="false">IF(AND(ISNUMBER(F986),ISNUMBER(G986),ISNUMBER(H986),F986&gt;G986,H986&gt;0),H986/(F986-G986)*1000,"")</f>
        <v/>
      </c>
      <c r="L986" s="11" t="str">
        <f aca="false">IF(K986="","",IF(K986&gt;=CONFIG!$E$21,CONFIG!$D$21,IF(K986&gt;=CONFIG!$E$20,CONFIG!$D$20,CONFIG!$D$19)))</f>
        <v/>
      </c>
      <c r="M986" s="20" t="str">
        <f aca="false">IF(K986="","",IF(K986&gt;=CONFIG!$E$21,CONFIG!$F$21,IF(K986&gt;=CONFIG!$E$20,CONFIG!$F$20,CONFIG!$F$19)))</f>
        <v/>
      </c>
      <c r="N986" s="19" t="str">
        <f aca="false">IF(I986="","",IF(I986&lt;=M986,"OK","ALTA"))</f>
        <v/>
      </c>
      <c r="O986" s="13"/>
    </row>
    <row r="987" customFormat="false" ht="15" hidden="false" customHeight="false" outlineLevel="0" collapsed="false">
      <c r="A987" s="11" t="str">
        <f aca="false">IF(C987="","",ROW()-4)</f>
        <v/>
      </c>
      <c r="B987" s="12"/>
      <c r="C987" s="13"/>
      <c r="D987" s="11" t="str">
        <f aca="false">IF(C987="","",IFERROR(INDEX(LOTES!$D$5:$D$1004,MATCH(C987,LOTES!$F$5:$F$1004,0)),"¿Lote?"))</f>
        <v/>
      </c>
      <c r="E987" s="11" t="str">
        <f aca="false">IF(C987="","",IFERROR(INDEX(LOTES!$C$5:$C$1004,MATCH(C987,LOTES!$F$5:$F$1004,0)),""))</f>
        <v/>
      </c>
      <c r="F987" s="27"/>
      <c r="G987" s="27"/>
      <c r="H987" s="27"/>
      <c r="I987" s="20" t="str">
        <f aca="false">IF(AND(ISNUMBER(F987),ISNUMBER(G987),ISNUMBER(H987),F987&gt;G987,H987&gt;0),(F987-H987)/(F987-G987)*1000,"")</f>
        <v/>
      </c>
      <c r="J987" s="17" t="str">
        <f aca="false">IF(AND(ISNUMBER(F987),ISNUMBER(G987),ISNUMBER(H987),F987&gt;G987,H987&gt;0),(F987-H987)/H987,"")</f>
        <v/>
      </c>
      <c r="K987" s="20" t="str">
        <f aca="false">IF(AND(ISNUMBER(F987),ISNUMBER(G987),ISNUMBER(H987),F987&gt;G987,H987&gt;0),H987/(F987-G987)*1000,"")</f>
        <v/>
      </c>
      <c r="L987" s="11" t="str">
        <f aca="false">IF(K987="","",IF(K987&gt;=CONFIG!$E$21,CONFIG!$D$21,IF(K987&gt;=CONFIG!$E$20,CONFIG!$D$20,CONFIG!$D$19)))</f>
        <v/>
      </c>
      <c r="M987" s="20" t="str">
        <f aca="false">IF(K987="","",IF(K987&gt;=CONFIG!$E$21,CONFIG!$F$21,IF(K987&gt;=CONFIG!$E$20,CONFIG!$F$20,CONFIG!$F$19)))</f>
        <v/>
      </c>
      <c r="N987" s="19" t="str">
        <f aca="false">IF(I987="","",IF(I987&lt;=M987,"OK","ALTA"))</f>
        <v/>
      </c>
      <c r="O987" s="13"/>
    </row>
    <row r="988" customFormat="false" ht="15" hidden="false" customHeight="false" outlineLevel="0" collapsed="false">
      <c r="A988" s="11" t="str">
        <f aca="false">IF(C988="","",ROW()-4)</f>
        <v/>
      </c>
      <c r="B988" s="12"/>
      <c r="C988" s="13"/>
      <c r="D988" s="11" t="str">
        <f aca="false">IF(C988="","",IFERROR(INDEX(LOTES!$D$5:$D$1004,MATCH(C988,LOTES!$F$5:$F$1004,0)),"¿Lote?"))</f>
        <v/>
      </c>
      <c r="E988" s="11" t="str">
        <f aca="false">IF(C988="","",IFERROR(INDEX(LOTES!$C$5:$C$1004,MATCH(C988,LOTES!$F$5:$F$1004,0)),""))</f>
        <v/>
      </c>
      <c r="F988" s="27"/>
      <c r="G988" s="27"/>
      <c r="H988" s="27"/>
      <c r="I988" s="20" t="str">
        <f aca="false">IF(AND(ISNUMBER(F988),ISNUMBER(G988),ISNUMBER(H988),F988&gt;G988,H988&gt;0),(F988-H988)/(F988-G988)*1000,"")</f>
        <v/>
      </c>
      <c r="J988" s="17" t="str">
        <f aca="false">IF(AND(ISNUMBER(F988),ISNUMBER(G988),ISNUMBER(H988),F988&gt;G988,H988&gt;0),(F988-H988)/H988,"")</f>
        <v/>
      </c>
      <c r="K988" s="20" t="str">
        <f aca="false">IF(AND(ISNUMBER(F988),ISNUMBER(G988),ISNUMBER(H988),F988&gt;G988,H988&gt;0),H988/(F988-G988)*1000,"")</f>
        <v/>
      </c>
      <c r="L988" s="11" t="str">
        <f aca="false">IF(K988="","",IF(K988&gt;=CONFIG!$E$21,CONFIG!$D$21,IF(K988&gt;=CONFIG!$E$20,CONFIG!$D$20,CONFIG!$D$19)))</f>
        <v/>
      </c>
      <c r="M988" s="20" t="str">
        <f aca="false">IF(K988="","",IF(K988&gt;=CONFIG!$E$21,CONFIG!$F$21,IF(K988&gt;=CONFIG!$E$20,CONFIG!$F$20,CONFIG!$F$19)))</f>
        <v/>
      </c>
      <c r="N988" s="19" t="str">
        <f aca="false">IF(I988="","",IF(I988&lt;=M988,"OK","ALTA"))</f>
        <v/>
      </c>
      <c r="O988" s="13"/>
    </row>
    <row r="989" customFormat="false" ht="15" hidden="false" customHeight="false" outlineLevel="0" collapsed="false">
      <c r="A989" s="11" t="str">
        <f aca="false">IF(C989="","",ROW()-4)</f>
        <v/>
      </c>
      <c r="B989" s="12"/>
      <c r="C989" s="13"/>
      <c r="D989" s="11" t="str">
        <f aca="false">IF(C989="","",IFERROR(INDEX(LOTES!$D$5:$D$1004,MATCH(C989,LOTES!$F$5:$F$1004,0)),"¿Lote?"))</f>
        <v/>
      </c>
      <c r="E989" s="11" t="str">
        <f aca="false">IF(C989="","",IFERROR(INDEX(LOTES!$C$5:$C$1004,MATCH(C989,LOTES!$F$5:$F$1004,0)),""))</f>
        <v/>
      </c>
      <c r="F989" s="27"/>
      <c r="G989" s="27"/>
      <c r="H989" s="27"/>
      <c r="I989" s="20" t="str">
        <f aca="false">IF(AND(ISNUMBER(F989),ISNUMBER(G989),ISNUMBER(H989),F989&gt;G989,H989&gt;0),(F989-H989)/(F989-G989)*1000,"")</f>
        <v/>
      </c>
      <c r="J989" s="17" t="str">
        <f aca="false">IF(AND(ISNUMBER(F989),ISNUMBER(G989),ISNUMBER(H989),F989&gt;G989,H989&gt;0),(F989-H989)/H989,"")</f>
        <v/>
      </c>
      <c r="K989" s="20" t="str">
        <f aca="false">IF(AND(ISNUMBER(F989),ISNUMBER(G989),ISNUMBER(H989),F989&gt;G989,H989&gt;0),H989/(F989-G989)*1000,"")</f>
        <v/>
      </c>
      <c r="L989" s="11" t="str">
        <f aca="false">IF(K989="","",IF(K989&gt;=CONFIG!$E$21,CONFIG!$D$21,IF(K989&gt;=CONFIG!$E$20,CONFIG!$D$20,CONFIG!$D$19)))</f>
        <v/>
      </c>
      <c r="M989" s="20" t="str">
        <f aca="false">IF(K989="","",IF(K989&gt;=CONFIG!$E$21,CONFIG!$F$21,IF(K989&gt;=CONFIG!$E$20,CONFIG!$F$20,CONFIG!$F$19)))</f>
        <v/>
      </c>
      <c r="N989" s="19" t="str">
        <f aca="false">IF(I989="","",IF(I989&lt;=M989,"OK","ALTA"))</f>
        <v/>
      </c>
      <c r="O989" s="13"/>
    </row>
    <row r="990" customFormat="false" ht="15" hidden="false" customHeight="false" outlineLevel="0" collapsed="false">
      <c r="A990" s="11" t="str">
        <f aca="false">IF(C990="","",ROW()-4)</f>
        <v/>
      </c>
      <c r="B990" s="12"/>
      <c r="C990" s="13"/>
      <c r="D990" s="11" t="str">
        <f aca="false">IF(C990="","",IFERROR(INDEX(LOTES!$D$5:$D$1004,MATCH(C990,LOTES!$F$5:$F$1004,0)),"¿Lote?"))</f>
        <v/>
      </c>
      <c r="E990" s="11" t="str">
        <f aca="false">IF(C990="","",IFERROR(INDEX(LOTES!$C$5:$C$1004,MATCH(C990,LOTES!$F$5:$F$1004,0)),""))</f>
        <v/>
      </c>
      <c r="F990" s="27"/>
      <c r="G990" s="27"/>
      <c r="H990" s="27"/>
      <c r="I990" s="20" t="str">
        <f aca="false">IF(AND(ISNUMBER(F990),ISNUMBER(G990),ISNUMBER(H990),F990&gt;G990,H990&gt;0),(F990-H990)/(F990-G990)*1000,"")</f>
        <v/>
      </c>
      <c r="J990" s="17" t="str">
        <f aca="false">IF(AND(ISNUMBER(F990),ISNUMBER(G990),ISNUMBER(H990),F990&gt;G990,H990&gt;0),(F990-H990)/H990,"")</f>
        <v/>
      </c>
      <c r="K990" s="20" t="str">
        <f aca="false">IF(AND(ISNUMBER(F990),ISNUMBER(G990),ISNUMBER(H990),F990&gt;G990,H990&gt;0),H990/(F990-G990)*1000,"")</f>
        <v/>
      </c>
      <c r="L990" s="11" t="str">
        <f aca="false">IF(K990="","",IF(K990&gt;=CONFIG!$E$21,CONFIG!$D$21,IF(K990&gt;=CONFIG!$E$20,CONFIG!$D$20,CONFIG!$D$19)))</f>
        <v/>
      </c>
      <c r="M990" s="20" t="str">
        <f aca="false">IF(K990="","",IF(K990&gt;=CONFIG!$E$21,CONFIG!$F$21,IF(K990&gt;=CONFIG!$E$20,CONFIG!$F$20,CONFIG!$F$19)))</f>
        <v/>
      </c>
      <c r="N990" s="19" t="str">
        <f aca="false">IF(I990="","",IF(I990&lt;=M990,"OK","ALTA"))</f>
        <v/>
      </c>
      <c r="O990" s="13"/>
    </row>
    <row r="991" customFormat="false" ht="15" hidden="false" customHeight="false" outlineLevel="0" collapsed="false">
      <c r="A991" s="11" t="str">
        <f aca="false">IF(C991="","",ROW()-4)</f>
        <v/>
      </c>
      <c r="B991" s="12"/>
      <c r="C991" s="13"/>
      <c r="D991" s="11" t="str">
        <f aca="false">IF(C991="","",IFERROR(INDEX(LOTES!$D$5:$D$1004,MATCH(C991,LOTES!$F$5:$F$1004,0)),"¿Lote?"))</f>
        <v/>
      </c>
      <c r="E991" s="11" t="str">
        <f aca="false">IF(C991="","",IFERROR(INDEX(LOTES!$C$5:$C$1004,MATCH(C991,LOTES!$F$5:$F$1004,0)),""))</f>
        <v/>
      </c>
      <c r="F991" s="27"/>
      <c r="G991" s="27"/>
      <c r="H991" s="27"/>
      <c r="I991" s="20" t="str">
        <f aca="false">IF(AND(ISNUMBER(F991),ISNUMBER(G991),ISNUMBER(H991),F991&gt;G991,H991&gt;0),(F991-H991)/(F991-G991)*1000,"")</f>
        <v/>
      </c>
      <c r="J991" s="17" t="str">
        <f aca="false">IF(AND(ISNUMBER(F991),ISNUMBER(G991),ISNUMBER(H991),F991&gt;G991,H991&gt;0),(F991-H991)/H991,"")</f>
        <v/>
      </c>
      <c r="K991" s="20" t="str">
        <f aca="false">IF(AND(ISNUMBER(F991),ISNUMBER(G991),ISNUMBER(H991),F991&gt;G991,H991&gt;0),H991/(F991-G991)*1000,"")</f>
        <v/>
      </c>
      <c r="L991" s="11" t="str">
        <f aca="false">IF(K991="","",IF(K991&gt;=CONFIG!$E$21,CONFIG!$D$21,IF(K991&gt;=CONFIG!$E$20,CONFIG!$D$20,CONFIG!$D$19)))</f>
        <v/>
      </c>
      <c r="M991" s="20" t="str">
        <f aca="false">IF(K991="","",IF(K991&gt;=CONFIG!$E$21,CONFIG!$F$21,IF(K991&gt;=CONFIG!$E$20,CONFIG!$F$20,CONFIG!$F$19)))</f>
        <v/>
      </c>
      <c r="N991" s="19" t="str">
        <f aca="false">IF(I991="","",IF(I991&lt;=M991,"OK","ALTA"))</f>
        <v/>
      </c>
      <c r="O991" s="13"/>
    </row>
    <row r="992" customFormat="false" ht="15" hidden="false" customHeight="false" outlineLevel="0" collapsed="false">
      <c r="A992" s="11" t="str">
        <f aca="false">IF(C992="","",ROW()-4)</f>
        <v/>
      </c>
      <c r="B992" s="12"/>
      <c r="C992" s="13"/>
      <c r="D992" s="11" t="str">
        <f aca="false">IF(C992="","",IFERROR(INDEX(LOTES!$D$5:$D$1004,MATCH(C992,LOTES!$F$5:$F$1004,0)),"¿Lote?"))</f>
        <v/>
      </c>
      <c r="E992" s="11" t="str">
        <f aca="false">IF(C992="","",IFERROR(INDEX(LOTES!$C$5:$C$1004,MATCH(C992,LOTES!$F$5:$F$1004,0)),""))</f>
        <v/>
      </c>
      <c r="F992" s="27"/>
      <c r="G992" s="27"/>
      <c r="H992" s="27"/>
      <c r="I992" s="20" t="str">
        <f aca="false">IF(AND(ISNUMBER(F992),ISNUMBER(G992),ISNUMBER(H992),F992&gt;G992,H992&gt;0),(F992-H992)/(F992-G992)*1000,"")</f>
        <v/>
      </c>
      <c r="J992" s="17" t="str">
        <f aca="false">IF(AND(ISNUMBER(F992),ISNUMBER(G992),ISNUMBER(H992),F992&gt;G992,H992&gt;0),(F992-H992)/H992,"")</f>
        <v/>
      </c>
      <c r="K992" s="20" t="str">
        <f aca="false">IF(AND(ISNUMBER(F992),ISNUMBER(G992),ISNUMBER(H992),F992&gt;G992,H992&gt;0),H992/(F992-G992)*1000,"")</f>
        <v/>
      </c>
      <c r="L992" s="11" t="str">
        <f aca="false">IF(K992="","",IF(K992&gt;=CONFIG!$E$21,CONFIG!$D$21,IF(K992&gt;=CONFIG!$E$20,CONFIG!$D$20,CONFIG!$D$19)))</f>
        <v/>
      </c>
      <c r="M992" s="20" t="str">
        <f aca="false">IF(K992="","",IF(K992&gt;=CONFIG!$E$21,CONFIG!$F$21,IF(K992&gt;=CONFIG!$E$20,CONFIG!$F$20,CONFIG!$F$19)))</f>
        <v/>
      </c>
      <c r="N992" s="19" t="str">
        <f aca="false">IF(I992="","",IF(I992&lt;=M992,"OK","ALTA"))</f>
        <v/>
      </c>
      <c r="O992" s="13"/>
    </row>
    <row r="993" customFormat="false" ht="15" hidden="false" customHeight="false" outlineLevel="0" collapsed="false">
      <c r="A993" s="11" t="str">
        <f aca="false">IF(C993="","",ROW()-4)</f>
        <v/>
      </c>
      <c r="B993" s="12"/>
      <c r="C993" s="13"/>
      <c r="D993" s="11" t="str">
        <f aca="false">IF(C993="","",IFERROR(INDEX(LOTES!$D$5:$D$1004,MATCH(C993,LOTES!$F$5:$F$1004,0)),"¿Lote?"))</f>
        <v/>
      </c>
      <c r="E993" s="11" t="str">
        <f aca="false">IF(C993="","",IFERROR(INDEX(LOTES!$C$5:$C$1004,MATCH(C993,LOTES!$F$5:$F$1004,0)),""))</f>
        <v/>
      </c>
      <c r="F993" s="27"/>
      <c r="G993" s="27"/>
      <c r="H993" s="27"/>
      <c r="I993" s="20" t="str">
        <f aca="false">IF(AND(ISNUMBER(F993),ISNUMBER(G993),ISNUMBER(H993),F993&gt;G993,H993&gt;0),(F993-H993)/(F993-G993)*1000,"")</f>
        <v/>
      </c>
      <c r="J993" s="17" t="str">
        <f aca="false">IF(AND(ISNUMBER(F993),ISNUMBER(G993),ISNUMBER(H993),F993&gt;G993,H993&gt;0),(F993-H993)/H993,"")</f>
        <v/>
      </c>
      <c r="K993" s="20" t="str">
        <f aca="false">IF(AND(ISNUMBER(F993),ISNUMBER(G993),ISNUMBER(H993),F993&gt;G993,H993&gt;0),H993/(F993-G993)*1000,"")</f>
        <v/>
      </c>
      <c r="L993" s="11" t="str">
        <f aca="false">IF(K993="","",IF(K993&gt;=CONFIG!$E$21,CONFIG!$D$21,IF(K993&gt;=CONFIG!$E$20,CONFIG!$D$20,CONFIG!$D$19)))</f>
        <v/>
      </c>
      <c r="M993" s="20" t="str">
        <f aca="false">IF(K993="","",IF(K993&gt;=CONFIG!$E$21,CONFIG!$F$21,IF(K993&gt;=CONFIG!$E$20,CONFIG!$F$20,CONFIG!$F$19)))</f>
        <v/>
      </c>
      <c r="N993" s="19" t="str">
        <f aca="false">IF(I993="","",IF(I993&lt;=M993,"OK","ALTA"))</f>
        <v/>
      </c>
      <c r="O993" s="13"/>
    </row>
    <row r="994" customFormat="false" ht="15" hidden="false" customHeight="false" outlineLevel="0" collapsed="false">
      <c r="A994" s="11" t="str">
        <f aca="false">IF(C994="","",ROW()-4)</f>
        <v/>
      </c>
      <c r="B994" s="12"/>
      <c r="C994" s="13"/>
      <c r="D994" s="11" t="str">
        <f aca="false">IF(C994="","",IFERROR(INDEX(LOTES!$D$5:$D$1004,MATCH(C994,LOTES!$F$5:$F$1004,0)),"¿Lote?"))</f>
        <v/>
      </c>
      <c r="E994" s="11" t="str">
        <f aca="false">IF(C994="","",IFERROR(INDEX(LOTES!$C$5:$C$1004,MATCH(C994,LOTES!$F$5:$F$1004,0)),""))</f>
        <v/>
      </c>
      <c r="F994" s="27"/>
      <c r="G994" s="27"/>
      <c r="H994" s="27"/>
      <c r="I994" s="20" t="str">
        <f aca="false">IF(AND(ISNUMBER(F994),ISNUMBER(G994),ISNUMBER(H994),F994&gt;G994,H994&gt;0),(F994-H994)/(F994-G994)*1000,"")</f>
        <v/>
      </c>
      <c r="J994" s="17" t="str">
        <f aca="false">IF(AND(ISNUMBER(F994),ISNUMBER(G994),ISNUMBER(H994),F994&gt;G994,H994&gt;0),(F994-H994)/H994,"")</f>
        <v/>
      </c>
      <c r="K994" s="20" t="str">
        <f aca="false">IF(AND(ISNUMBER(F994),ISNUMBER(G994),ISNUMBER(H994),F994&gt;G994,H994&gt;0),H994/(F994-G994)*1000,"")</f>
        <v/>
      </c>
      <c r="L994" s="11" t="str">
        <f aca="false">IF(K994="","",IF(K994&gt;=CONFIG!$E$21,CONFIG!$D$21,IF(K994&gt;=CONFIG!$E$20,CONFIG!$D$20,CONFIG!$D$19)))</f>
        <v/>
      </c>
      <c r="M994" s="20" t="str">
        <f aca="false">IF(K994="","",IF(K994&gt;=CONFIG!$E$21,CONFIG!$F$21,IF(K994&gt;=CONFIG!$E$20,CONFIG!$F$20,CONFIG!$F$19)))</f>
        <v/>
      </c>
      <c r="N994" s="19" t="str">
        <f aca="false">IF(I994="","",IF(I994&lt;=M994,"OK","ALTA"))</f>
        <v/>
      </c>
      <c r="O994" s="13"/>
    </row>
    <row r="995" customFormat="false" ht="15" hidden="false" customHeight="false" outlineLevel="0" collapsed="false">
      <c r="A995" s="11" t="str">
        <f aca="false">IF(C995="","",ROW()-4)</f>
        <v/>
      </c>
      <c r="B995" s="12"/>
      <c r="C995" s="13"/>
      <c r="D995" s="11" t="str">
        <f aca="false">IF(C995="","",IFERROR(INDEX(LOTES!$D$5:$D$1004,MATCH(C995,LOTES!$F$5:$F$1004,0)),"¿Lote?"))</f>
        <v/>
      </c>
      <c r="E995" s="11" t="str">
        <f aca="false">IF(C995="","",IFERROR(INDEX(LOTES!$C$5:$C$1004,MATCH(C995,LOTES!$F$5:$F$1004,0)),""))</f>
        <v/>
      </c>
      <c r="F995" s="27"/>
      <c r="G995" s="27"/>
      <c r="H995" s="27"/>
      <c r="I995" s="20" t="str">
        <f aca="false">IF(AND(ISNUMBER(F995),ISNUMBER(G995),ISNUMBER(H995),F995&gt;G995,H995&gt;0),(F995-H995)/(F995-G995)*1000,"")</f>
        <v/>
      </c>
      <c r="J995" s="17" t="str">
        <f aca="false">IF(AND(ISNUMBER(F995),ISNUMBER(G995),ISNUMBER(H995),F995&gt;G995,H995&gt;0),(F995-H995)/H995,"")</f>
        <v/>
      </c>
      <c r="K995" s="20" t="str">
        <f aca="false">IF(AND(ISNUMBER(F995),ISNUMBER(G995),ISNUMBER(H995),F995&gt;G995,H995&gt;0),H995/(F995-G995)*1000,"")</f>
        <v/>
      </c>
      <c r="L995" s="11" t="str">
        <f aca="false">IF(K995="","",IF(K995&gt;=CONFIG!$E$21,CONFIG!$D$21,IF(K995&gt;=CONFIG!$E$20,CONFIG!$D$20,CONFIG!$D$19)))</f>
        <v/>
      </c>
      <c r="M995" s="20" t="str">
        <f aca="false">IF(K995="","",IF(K995&gt;=CONFIG!$E$21,CONFIG!$F$21,IF(K995&gt;=CONFIG!$E$20,CONFIG!$F$20,CONFIG!$F$19)))</f>
        <v/>
      </c>
      <c r="N995" s="19" t="str">
        <f aca="false">IF(I995="","",IF(I995&lt;=M995,"OK","ALTA"))</f>
        <v/>
      </c>
      <c r="O995" s="13"/>
    </row>
    <row r="996" customFormat="false" ht="15" hidden="false" customHeight="false" outlineLevel="0" collapsed="false">
      <c r="A996" s="11" t="str">
        <f aca="false">IF(C996="","",ROW()-4)</f>
        <v/>
      </c>
      <c r="B996" s="12"/>
      <c r="C996" s="13"/>
      <c r="D996" s="11" t="str">
        <f aca="false">IF(C996="","",IFERROR(INDEX(LOTES!$D$5:$D$1004,MATCH(C996,LOTES!$F$5:$F$1004,0)),"¿Lote?"))</f>
        <v/>
      </c>
      <c r="E996" s="11" t="str">
        <f aca="false">IF(C996="","",IFERROR(INDEX(LOTES!$C$5:$C$1004,MATCH(C996,LOTES!$F$5:$F$1004,0)),""))</f>
        <v/>
      </c>
      <c r="F996" s="27"/>
      <c r="G996" s="27"/>
      <c r="H996" s="27"/>
      <c r="I996" s="20" t="str">
        <f aca="false">IF(AND(ISNUMBER(F996),ISNUMBER(G996),ISNUMBER(H996),F996&gt;G996,H996&gt;0),(F996-H996)/(F996-G996)*1000,"")</f>
        <v/>
      </c>
      <c r="J996" s="17" t="str">
        <f aca="false">IF(AND(ISNUMBER(F996),ISNUMBER(G996),ISNUMBER(H996),F996&gt;G996,H996&gt;0),(F996-H996)/H996,"")</f>
        <v/>
      </c>
      <c r="K996" s="20" t="str">
        <f aca="false">IF(AND(ISNUMBER(F996),ISNUMBER(G996),ISNUMBER(H996),F996&gt;G996,H996&gt;0),H996/(F996-G996)*1000,"")</f>
        <v/>
      </c>
      <c r="L996" s="11" t="str">
        <f aca="false">IF(K996="","",IF(K996&gt;=CONFIG!$E$21,CONFIG!$D$21,IF(K996&gt;=CONFIG!$E$20,CONFIG!$D$20,CONFIG!$D$19)))</f>
        <v/>
      </c>
      <c r="M996" s="20" t="str">
        <f aca="false">IF(K996="","",IF(K996&gt;=CONFIG!$E$21,CONFIG!$F$21,IF(K996&gt;=CONFIG!$E$20,CONFIG!$F$20,CONFIG!$F$19)))</f>
        <v/>
      </c>
      <c r="N996" s="19" t="str">
        <f aca="false">IF(I996="","",IF(I996&lt;=M996,"OK","ALTA"))</f>
        <v/>
      </c>
      <c r="O996" s="13"/>
    </row>
    <row r="997" customFormat="false" ht="15" hidden="false" customHeight="false" outlineLevel="0" collapsed="false">
      <c r="A997" s="11" t="str">
        <f aca="false">IF(C997="","",ROW()-4)</f>
        <v/>
      </c>
      <c r="B997" s="12"/>
      <c r="C997" s="13"/>
      <c r="D997" s="11" t="str">
        <f aca="false">IF(C997="","",IFERROR(INDEX(LOTES!$D$5:$D$1004,MATCH(C997,LOTES!$F$5:$F$1004,0)),"¿Lote?"))</f>
        <v/>
      </c>
      <c r="E997" s="11" t="str">
        <f aca="false">IF(C997="","",IFERROR(INDEX(LOTES!$C$5:$C$1004,MATCH(C997,LOTES!$F$5:$F$1004,0)),""))</f>
        <v/>
      </c>
      <c r="F997" s="27"/>
      <c r="G997" s="27"/>
      <c r="H997" s="27"/>
      <c r="I997" s="20" t="str">
        <f aca="false">IF(AND(ISNUMBER(F997),ISNUMBER(G997),ISNUMBER(H997),F997&gt;G997,H997&gt;0),(F997-H997)/(F997-G997)*1000,"")</f>
        <v/>
      </c>
      <c r="J997" s="17" t="str">
        <f aca="false">IF(AND(ISNUMBER(F997),ISNUMBER(G997),ISNUMBER(H997),F997&gt;G997,H997&gt;0),(F997-H997)/H997,"")</f>
        <v/>
      </c>
      <c r="K997" s="20" t="str">
        <f aca="false">IF(AND(ISNUMBER(F997),ISNUMBER(G997),ISNUMBER(H997),F997&gt;G997,H997&gt;0),H997/(F997-G997)*1000,"")</f>
        <v/>
      </c>
      <c r="L997" s="11" t="str">
        <f aca="false">IF(K997="","",IF(K997&gt;=CONFIG!$E$21,CONFIG!$D$21,IF(K997&gt;=CONFIG!$E$20,CONFIG!$D$20,CONFIG!$D$19)))</f>
        <v/>
      </c>
      <c r="M997" s="20" t="str">
        <f aca="false">IF(K997="","",IF(K997&gt;=CONFIG!$E$21,CONFIG!$F$21,IF(K997&gt;=CONFIG!$E$20,CONFIG!$F$20,CONFIG!$F$19)))</f>
        <v/>
      </c>
      <c r="N997" s="19" t="str">
        <f aca="false">IF(I997="","",IF(I997&lt;=M997,"OK","ALTA"))</f>
        <v/>
      </c>
      <c r="O997" s="13"/>
    </row>
    <row r="998" customFormat="false" ht="15" hidden="false" customHeight="false" outlineLevel="0" collapsed="false">
      <c r="A998" s="11" t="str">
        <f aca="false">IF(C998="","",ROW()-4)</f>
        <v/>
      </c>
      <c r="B998" s="12"/>
      <c r="C998" s="13"/>
      <c r="D998" s="11" t="str">
        <f aca="false">IF(C998="","",IFERROR(INDEX(LOTES!$D$5:$D$1004,MATCH(C998,LOTES!$F$5:$F$1004,0)),"¿Lote?"))</f>
        <v/>
      </c>
      <c r="E998" s="11" t="str">
        <f aca="false">IF(C998="","",IFERROR(INDEX(LOTES!$C$5:$C$1004,MATCH(C998,LOTES!$F$5:$F$1004,0)),""))</f>
        <v/>
      </c>
      <c r="F998" s="27"/>
      <c r="G998" s="27"/>
      <c r="H998" s="27"/>
      <c r="I998" s="20" t="str">
        <f aca="false">IF(AND(ISNUMBER(F998),ISNUMBER(G998),ISNUMBER(H998),F998&gt;G998,H998&gt;0),(F998-H998)/(F998-G998)*1000,"")</f>
        <v/>
      </c>
      <c r="J998" s="17" t="str">
        <f aca="false">IF(AND(ISNUMBER(F998),ISNUMBER(G998),ISNUMBER(H998),F998&gt;G998,H998&gt;0),(F998-H998)/H998,"")</f>
        <v/>
      </c>
      <c r="K998" s="20" t="str">
        <f aca="false">IF(AND(ISNUMBER(F998),ISNUMBER(G998),ISNUMBER(H998),F998&gt;G998,H998&gt;0),H998/(F998-G998)*1000,"")</f>
        <v/>
      </c>
      <c r="L998" s="11" t="str">
        <f aca="false">IF(K998="","",IF(K998&gt;=CONFIG!$E$21,CONFIG!$D$21,IF(K998&gt;=CONFIG!$E$20,CONFIG!$D$20,CONFIG!$D$19)))</f>
        <v/>
      </c>
      <c r="M998" s="20" t="str">
        <f aca="false">IF(K998="","",IF(K998&gt;=CONFIG!$E$21,CONFIG!$F$21,IF(K998&gt;=CONFIG!$E$20,CONFIG!$F$20,CONFIG!$F$19)))</f>
        <v/>
      </c>
      <c r="N998" s="19" t="str">
        <f aca="false">IF(I998="","",IF(I998&lt;=M998,"OK","ALTA"))</f>
        <v/>
      </c>
      <c r="O998" s="13"/>
    </row>
    <row r="999" customFormat="false" ht="15" hidden="false" customHeight="false" outlineLevel="0" collapsed="false">
      <c r="A999" s="11" t="str">
        <f aca="false">IF(C999="","",ROW()-4)</f>
        <v/>
      </c>
      <c r="B999" s="12"/>
      <c r="C999" s="13"/>
      <c r="D999" s="11" t="str">
        <f aca="false">IF(C999="","",IFERROR(INDEX(LOTES!$D$5:$D$1004,MATCH(C999,LOTES!$F$5:$F$1004,0)),"¿Lote?"))</f>
        <v/>
      </c>
      <c r="E999" s="11" t="str">
        <f aca="false">IF(C999="","",IFERROR(INDEX(LOTES!$C$5:$C$1004,MATCH(C999,LOTES!$F$5:$F$1004,0)),""))</f>
        <v/>
      </c>
      <c r="F999" s="27"/>
      <c r="G999" s="27"/>
      <c r="H999" s="27"/>
      <c r="I999" s="20" t="str">
        <f aca="false">IF(AND(ISNUMBER(F999),ISNUMBER(G999),ISNUMBER(H999),F999&gt;G999,H999&gt;0),(F999-H999)/(F999-G999)*1000,"")</f>
        <v/>
      </c>
      <c r="J999" s="17" t="str">
        <f aca="false">IF(AND(ISNUMBER(F999),ISNUMBER(G999),ISNUMBER(H999),F999&gt;G999,H999&gt;0),(F999-H999)/H999,"")</f>
        <v/>
      </c>
      <c r="K999" s="20" t="str">
        <f aca="false">IF(AND(ISNUMBER(F999),ISNUMBER(G999),ISNUMBER(H999),F999&gt;G999,H999&gt;0),H999/(F999-G999)*1000,"")</f>
        <v/>
      </c>
      <c r="L999" s="11" t="str">
        <f aca="false">IF(K999="","",IF(K999&gt;=CONFIG!$E$21,CONFIG!$D$21,IF(K999&gt;=CONFIG!$E$20,CONFIG!$D$20,CONFIG!$D$19)))</f>
        <v/>
      </c>
      <c r="M999" s="20" t="str">
        <f aca="false">IF(K999="","",IF(K999&gt;=CONFIG!$E$21,CONFIG!$F$21,IF(K999&gt;=CONFIG!$E$20,CONFIG!$F$20,CONFIG!$F$19)))</f>
        <v/>
      </c>
      <c r="N999" s="19" t="str">
        <f aca="false">IF(I999="","",IF(I999&lt;=M999,"OK","ALTA"))</f>
        <v/>
      </c>
      <c r="O999" s="13"/>
    </row>
    <row r="1000" customFormat="false" ht="15" hidden="false" customHeight="false" outlineLevel="0" collapsed="false">
      <c r="A1000" s="11" t="str">
        <f aca="false">IF(C1000="","",ROW()-4)</f>
        <v/>
      </c>
      <c r="B1000" s="12"/>
      <c r="C1000" s="13"/>
      <c r="D1000" s="11" t="str">
        <f aca="false">IF(C1000="","",IFERROR(INDEX(LOTES!$D$5:$D$1004,MATCH(C1000,LOTES!$F$5:$F$1004,0)),"¿Lote?"))</f>
        <v/>
      </c>
      <c r="E1000" s="11" t="str">
        <f aca="false">IF(C1000="","",IFERROR(INDEX(LOTES!$C$5:$C$1004,MATCH(C1000,LOTES!$F$5:$F$1004,0)),""))</f>
        <v/>
      </c>
      <c r="F1000" s="27"/>
      <c r="G1000" s="27"/>
      <c r="H1000" s="27"/>
      <c r="I1000" s="20" t="str">
        <f aca="false">IF(AND(ISNUMBER(F1000),ISNUMBER(G1000),ISNUMBER(H1000),F1000&gt;G1000,H1000&gt;0),(F1000-H1000)/(F1000-G1000)*1000,"")</f>
        <v/>
      </c>
      <c r="J1000" s="17" t="str">
        <f aca="false">IF(AND(ISNUMBER(F1000),ISNUMBER(G1000),ISNUMBER(H1000),F1000&gt;G1000,H1000&gt;0),(F1000-H1000)/H1000,"")</f>
        <v/>
      </c>
      <c r="K1000" s="20" t="str">
        <f aca="false">IF(AND(ISNUMBER(F1000),ISNUMBER(G1000),ISNUMBER(H1000),F1000&gt;G1000,H1000&gt;0),H1000/(F1000-G1000)*1000,"")</f>
        <v/>
      </c>
      <c r="L1000" s="11" t="str">
        <f aca="false">IF(K1000="","",IF(K1000&gt;=CONFIG!$E$21,CONFIG!$D$21,IF(K1000&gt;=CONFIG!$E$20,CONFIG!$D$20,CONFIG!$D$19)))</f>
        <v/>
      </c>
      <c r="M1000" s="20" t="str">
        <f aca="false">IF(K1000="","",IF(K1000&gt;=CONFIG!$E$21,CONFIG!$F$21,IF(K1000&gt;=CONFIG!$E$20,CONFIG!$F$20,CONFIG!$F$19)))</f>
        <v/>
      </c>
      <c r="N1000" s="19" t="str">
        <f aca="false">IF(I1000="","",IF(I1000&lt;=M1000,"OK","ALTA"))</f>
        <v/>
      </c>
      <c r="O1000" s="13"/>
    </row>
    <row r="1001" customFormat="false" ht="15" hidden="false" customHeight="false" outlineLevel="0" collapsed="false">
      <c r="A1001" s="11" t="str">
        <f aca="false">IF(C1001="","",ROW()-4)</f>
        <v/>
      </c>
      <c r="B1001" s="12"/>
      <c r="C1001" s="13"/>
      <c r="D1001" s="11" t="str">
        <f aca="false">IF(C1001="","",IFERROR(INDEX(LOTES!$D$5:$D$1004,MATCH(C1001,LOTES!$F$5:$F$1004,0)),"¿Lote?"))</f>
        <v/>
      </c>
      <c r="E1001" s="11" t="str">
        <f aca="false">IF(C1001="","",IFERROR(INDEX(LOTES!$C$5:$C$1004,MATCH(C1001,LOTES!$F$5:$F$1004,0)),""))</f>
        <v/>
      </c>
      <c r="F1001" s="27"/>
      <c r="G1001" s="27"/>
      <c r="H1001" s="27"/>
      <c r="I1001" s="20" t="str">
        <f aca="false">IF(AND(ISNUMBER(F1001),ISNUMBER(G1001),ISNUMBER(H1001),F1001&gt;G1001,H1001&gt;0),(F1001-H1001)/(F1001-G1001)*1000,"")</f>
        <v/>
      </c>
      <c r="J1001" s="17" t="str">
        <f aca="false">IF(AND(ISNUMBER(F1001),ISNUMBER(G1001),ISNUMBER(H1001),F1001&gt;G1001,H1001&gt;0),(F1001-H1001)/H1001,"")</f>
        <v/>
      </c>
      <c r="K1001" s="20" t="str">
        <f aca="false">IF(AND(ISNUMBER(F1001),ISNUMBER(G1001),ISNUMBER(H1001),F1001&gt;G1001,H1001&gt;0),H1001/(F1001-G1001)*1000,"")</f>
        <v/>
      </c>
      <c r="L1001" s="11" t="str">
        <f aca="false">IF(K1001="","",IF(K1001&gt;=CONFIG!$E$21,CONFIG!$D$21,IF(K1001&gt;=CONFIG!$E$20,CONFIG!$D$20,CONFIG!$D$19)))</f>
        <v/>
      </c>
      <c r="M1001" s="20" t="str">
        <f aca="false">IF(K1001="","",IF(K1001&gt;=CONFIG!$E$21,CONFIG!$F$21,IF(K1001&gt;=CONFIG!$E$20,CONFIG!$F$20,CONFIG!$F$19)))</f>
        <v/>
      </c>
      <c r="N1001" s="19" t="str">
        <f aca="false">IF(I1001="","",IF(I1001&lt;=M1001,"OK","ALTA"))</f>
        <v/>
      </c>
      <c r="O1001" s="13"/>
    </row>
    <row r="1002" customFormat="false" ht="15" hidden="false" customHeight="false" outlineLevel="0" collapsed="false">
      <c r="A1002" s="11" t="str">
        <f aca="false">IF(C1002="","",ROW()-4)</f>
        <v/>
      </c>
      <c r="B1002" s="12"/>
      <c r="C1002" s="13"/>
      <c r="D1002" s="11" t="str">
        <f aca="false">IF(C1002="","",IFERROR(INDEX(LOTES!$D$5:$D$1004,MATCH(C1002,LOTES!$F$5:$F$1004,0)),"¿Lote?"))</f>
        <v/>
      </c>
      <c r="E1002" s="11" t="str">
        <f aca="false">IF(C1002="","",IFERROR(INDEX(LOTES!$C$5:$C$1004,MATCH(C1002,LOTES!$F$5:$F$1004,0)),""))</f>
        <v/>
      </c>
      <c r="F1002" s="27"/>
      <c r="G1002" s="27"/>
      <c r="H1002" s="27"/>
      <c r="I1002" s="20" t="str">
        <f aca="false">IF(AND(ISNUMBER(F1002),ISNUMBER(G1002),ISNUMBER(H1002),F1002&gt;G1002,H1002&gt;0),(F1002-H1002)/(F1002-G1002)*1000,"")</f>
        <v/>
      </c>
      <c r="J1002" s="17" t="str">
        <f aca="false">IF(AND(ISNUMBER(F1002),ISNUMBER(G1002),ISNUMBER(H1002),F1002&gt;G1002,H1002&gt;0),(F1002-H1002)/H1002,"")</f>
        <v/>
      </c>
      <c r="K1002" s="20" t="str">
        <f aca="false">IF(AND(ISNUMBER(F1002),ISNUMBER(G1002),ISNUMBER(H1002),F1002&gt;G1002,H1002&gt;0),H1002/(F1002-G1002)*1000,"")</f>
        <v/>
      </c>
      <c r="L1002" s="11" t="str">
        <f aca="false">IF(K1002="","",IF(K1002&gt;=CONFIG!$E$21,CONFIG!$D$21,IF(K1002&gt;=CONFIG!$E$20,CONFIG!$D$20,CONFIG!$D$19)))</f>
        <v/>
      </c>
      <c r="M1002" s="20" t="str">
        <f aca="false">IF(K1002="","",IF(K1002&gt;=CONFIG!$E$21,CONFIG!$F$21,IF(K1002&gt;=CONFIG!$E$20,CONFIG!$F$20,CONFIG!$F$19)))</f>
        <v/>
      </c>
      <c r="N1002" s="19" t="str">
        <f aca="false">IF(I1002="","",IF(I1002&lt;=M1002,"OK","ALTA"))</f>
        <v/>
      </c>
      <c r="O1002" s="13"/>
    </row>
    <row r="1003" customFormat="false" ht="15" hidden="false" customHeight="false" outlineLevel="0" collapsed="false">
      <c r="A1003" s="11" t="str">
        <f aca="false">IF(C1003="","",ROW()-4)</f>
        <v/>
      </c>
      <c r="B1003" s="12"/>
      <c r="C1003" s="13"/>
      <c r="D1003" s="11" t="str">
        <f aca="false">IF(C1003="","",IFERROR(INDEX(LOTES!$D$5:$D$1004,MATCH(C1003,LOTES!$F$5:$F$1004,0)),"¿Lote?"))</f>
        <v/>
      </c>
      <c r="E1003" s="11" t="str">
        <f aca="false">IF(C1003="","",IFERROR(INDEX(LOTES!$C$5:$C$1004,MATCH(C1003,LOTES!$F$5:$F$1004,0)),""))</f>
        <v/>
      </c>
      <c r="F1003" s="27"/>
      <c r="G1003" s="27"/>
      <c r="H1003" s="27"/>
      <c r="I1003" s="20" t="str">
        <f aca="false">IF(AND(ISNUMBER(F1003),ISNUMBER(G1003),ISNUMBER(H1003),F1003&gt;G1003,H1003&gt;0),(F1003-H1003)/(F1003-G1003)*1000,"")</f>
        <v/>
      </c>
      <c r="J1003" s="17" t="str">
        <f aca="false">IF(AND(ISNUMBER(F1003),ISNUMBER(G1003),ISNUMBER(H1003),F1003&gt;G1003,H1003&gt;0),(F1003-H1003)/H1003,"")</f>
        <v/>
      </c>
      <c r="K1003" s="20" t="str">
        <f aca="false">IF(AND(ISNUMBER(F1003),ISNUMBER(G1003),ISNUMBER(H1003),F1003&gt;G1003,H1003&gt;0),H1003/(F1003-G1003)*1000,"")</f>
        <v/>
      </c>
      <c r="L1003" s="11" t="str">
        <f aca="false">IF(K1003="","",IF(K1003&gt;=CONFIG!$E$21,CONFIG!$D$21,IF(K1003&gt;=CONFIG!$E$20,CONFIG!$D$20,CONFIG!$D$19)))</f>
        <v/>
      </c>
      <c r="M1003" s="20" t="str">
        <f aca="false">IF(K1003="","",IF(K1003&gt;=CONFIG!$E$21,CONFIG!$F$21,IF(K1003&gt;=CONFIG!$E$20,CONFIG!$F$20,CONFIG!$F$19)))</f>
        <v/>
      </c>
      <c r="N1003" s="19" t="str">
        <f aca="false">IF(I1003="","",IF(I1003&lt;=M1003,"OK","ALTA"))</f>
        <v/>
      </c>
      <c r="O1003" s="13"/>
    </row>
    <row r="1004" customFormat="false" ht="15" hidden="false" customHeight="false" outlineLevel="0" collapsed="false">
      <c r="A1004" s="11" t="str">
        <f aca="false">IF(C1004="","",ROW()-4)</f>
        <v/>
      </c>
      <c r="B1004" s="12"/>
      <c r="C1004" s="13"/>
      <c r="D1004" s="11" t="str">
        <f aca="false">IF(C1004="","",IFERROR(INDEX(LOTES!$D$5:$D$1004,MATCH(C1004,LOTES!$F$5:$F$1004,0)),"¿Lote?"))</f>
        <v/>
      </c>
      <c r="E1004" s="11" t="str">
        <f aca="false">IF(C1004="","",IFERROR(INDEX(LOTES!$C$5:$C$1004,MATCH(C1004,LOTES!$F$5:$F$1004,0)),""))</f>
        <v/>
      </c>
      <c r="F1004" s="27"/>
      <c r="G1004" s="27"/>
      <c r="H1004" s="27"/>
      <c r="I1004" s="20" t="str">
        <f aca="false">IF(AND(ISNUMBER(F1004),ISNUMBER(G1004),ISNUMBER(H1004),F1004&gt;G1004,H1004&gt;0),(F1004-H1004)/(F1004-G1004)*1000,"")</f>
        <v/>
      </c>
      <c r="J1004" s="17" t="str">
        <f aca="false">IF(AND(ISNUMBER(F1004),ISNUMBER(G1004),ISNUMBER(H1004),F1004&gt;G1004,H1004&gt;0),(F1004-H1004)/H1004,"")</f>
        <v/>
      </c>
      <c r="K1004" s="20" t="str">
        <f aca="false">IF(AND(ISNUMBER(F1004),ISNUMBER(G1004),ISNUMBER(H1004),F1004&gt;G1004,H1004&gt;0),H1004/(F1004-G1004)*1000,"")</f>
        <v/>
      </c>
      <c r="L1004" s="11" t="str">
        <f aca="false">IF(K1004="","",IF(K1004&gt;=CONFIG!$E$21,CONFIG!$D$21,IF(K1004&gt;=CONFIG!$E$20,CONFIG!$D$20,CONFIG!$D$19)))</f>
        <v/>
      </c>
      <c r="M1004" s="20" t="str">
        <f aca="false">IF(K1004="","",IF(K1004&gt;=CONFIG!$E$21,CONFIG!$F$21,IF(K1004&gt;=CONFIG!$E$20,CONFIG!$F$20,CONFIG!$F$19)))</f>
        <v/>
      </c>
      <c r="N1004" s="19" t="str">
        <f aca="false">IF(I1004="","",IF(I1004&lt;=M1004,"OK","ALTA"))</f>
        <v/>
      </c>
      <c r="O1004" s="13"/>
    </row>
  </sheetData>
  <sheetProtection sheet="true" formatCells="false" formatColumns="false" formatRows="false" sort="false" autoFilter="false"/>
  <autoFilter ref="A4:O1004"/>
  <conditionalFormatting sqref="N5:N1004">
    <cfRule type="cellIs" priority="2" operator="equal" aboveAverage="0" equalAverage="0" bottom="0" percent="0" rank="0" text="" dxfId="13">
      <formula>"ALTA"</formula>
    </cfRule>
    <cfRule type="cellIs" priority="3" operator="equal" aboveAverage="0" equalAverage="0" bottom="0" percent="0" rank="0" text="" dxfId="14">
      <formula>"OK"</formula>
    </cfRule>
  </conditionalFormatting>
  <dataValidations count="1">
    <dataValidation allowBlank="true" error="Ese lote no existe. Créalo primero en LOTES." errorStyle="stop" errorTitle="Valor no válido" operator="between" showDropDown="false" showErrorMessage="true" showInputMessage="false" sqref="C5:C1004" type="list">
      <formula1>LOTES!$F$5:$F$1004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11" min="8" style="0" width="9"/>
    <col collapsed="false" customWidth="true" hidden="false" outlineLevel="0" max="12" min="12" style="0" width="3"/>
  </cols>
  <sheetData>
    <row r="1" customFormat="false" ht="17.35" hidden="false" customHeight="false" outlineLevel="0" collapsed="false">
      <c r="B1" s="1" t="s">
        <v>235</v>
      </c>
    </row>
    <row r="2" customFormat="false" ht="15" hidden="false" customHeight="false" outlineLevel="0" collapsed="false">
      <c r="B2" s="5" t="s">
        <v>236</v>
      </c>
    </row>
    <row r="4" customFormat="false" ht="15" hidden="false" customHeight="false" outlineLevel="0" collapsed="false">
      <c r="B4" s="28" t="s">
        <v>237</v>
      </c>
      <c r="C4" s="29" t="s">
        <v>238</v>
      </c>
      <c r="E4" s="28" t="s">
        <v>239</v>
      </c>
    </row>
    <row r="5" customFormat="false" ht="31.5" hidden="false" customHeight="true" outlineLevel="0" collapsed="false">
      <c r="B5" s="28" t="s">
        <v>240</v>
      </c>
      <c r="C5" s="29" t="s">
        <v>84</v>
      </c>
      <c r="E5" s="7" t="s">
        <v>50</v>
      </c>
      <c r="F5" s="7" t="s">
        <v>241</v>
      </c>
      <c r="G5" s="7" t="s">
        <v>242</v>
      </c>
      <c r="H5" s="7" t="s">
        <v>243</v>
      </c>
      <c r="I5" s="7" t="s">
        <v>244</v>
      </c>
      <c r="J5" s="7" t="s">
        <v>245</v>
      </c>
      <c r="K5" s="7" t="s">
        <v>246</v>
      </c>
    </row>
    <row r="6" customFormat="false" ht="15" hidden="false" customHeight="false" outlineLevel="0" collapsed="false">
      <c r="E6" s="19" t="str">
        <f aca="false">IF(CONFIG!$A$5="","",CONFIG!$A$5)</f>
        <v>P1</v>
      </c>
      <c r="F6" s="19" t="n">
        <f aca="false">IF(E6="","",COUNTIFS(LOTES!$C$5:$C$1004,E6,LOTES!$D$5:$D$1004,$C$5,LOTES!$M$5:$M$1004,"&gt;0"))</f>
        <v>30</v>
      </c>
      <c r="G6" s="30" t="n">
        <f aca="false">IF(N(F6)=0,"",AVERAGEIFS(LOTES!$P$5:$P$1004,LOTES!$C$5:$C$1004,E6,LOTES!$D$5:$D$1004,$C$5,LOTES!$M$5:$M$1004,"&gt;0"))</f>
        <v>75.5303298458642</v>
      </c>
      <c r="H6" s="30" t="n">
        <f aca="false">IF(N(F6)=0,"",_xlfn.MINIFS(LOTES!$P$5:$P$1004,LOTES!$C$5:$C$1004,E6,LOTES!$D$5:$D$1004,$C$5,LOTES!$M$5:$M$1004,"&gt;0"))</f>
        <v>63.8302499188575</v>
      </c>
      <c r="I6" s="30" t="n">
        <f aca="false">IF(N(F6)=0,"",_xlfn.MAXIFS(LOTES!$P$5:$P$1004,LOTES!$C$5:$C$1004,E6,LOTES!$D$5:$D$1004,$C$5,LOTES!$M$5:$M$1004,"&gt;0"))</f>
        <v>98.5167556435998</v>
      </c>
      <c r="J6" s="31" t="n">
        <f aca="false">IF(N(F6)=0,"",COUNTIFS(LOTES!$C$5:$C$1004,E6,LOTES!$D$5:$D$1004,$C$5,LOTES!$M$5:$M$1004,"&gt;0",LOTES!$AC$5:$AC$1004,"NO CUMPLE*")/F6)</f>
        <v>0</v>
      </c>
      <c r="K6" s="32" t="n">
        <f aca="false">IF(N(F6)=0,"",IFERROR(AVERAGEIFS(LOTES!$T$5:$T$1004,LOTES!$C$5:$C$1004,E6,LOTES!$D$5:$D$1004,$C$5,LOTES!$M$5:$M$1004,"&gt;0",LOTES!$T$5:$T$1004,"&gt;0"),""))</f>
        <v>0.0990903134019659</v>
      </c>
    </row>
    <row r="7" customFormat="false" ht="15" hidden="false" customHeight="false" outlineLevel="0" collapsed="false">
      <c r="B7" s="28" t="s">
        <v>247</v>
      </c>
      <c r="C7" s="33" t="n">
        <f aca="false">MAX(LOTES!$AH$5:$AH$1004)</f>
        <v>33</v>
      </c>
      <c r="E7" s="19" t="str">
        <f aca="false">IF(CONFIG!$A$6="","",CONFIG!$A$6)</f>
        <v>P2</v>
      </c>
      <c r="F7" s="19" t="n">
        <f aca="false">IF(E7="","",COUNTIFS(LOTES!$C$5:$C$1004,E7,LOTES!$D$5:$D$1004,$C$5,LOTES!$M$5:$M$1004,"&gt;0"))</f>
        <v>3</v>
      </c>
      <c r="G7" s="30" t="n">
        <f aca="false">IF(N(F7)=0,"",AVERAGEIFS(LOTES!$P$5:$P$1004,LOTES!$C$5:$C$1004,E7,LOTES!$D$5:$D$1004,$C$5,LOTES!$M$5:$M$1004,"&gt;0"))</f>
        <v>78.4759045159162</v>
      </c>
      <c r="H7" s="30" t="n">
        <f aca="false">IF(N(F7)=0,"",_xlfn.MINIFS(LOTES!$P$5:$P$1004,LOTES!$C$5:$C$1004,E7,LOTES!$D$5:$D$1004,$C$5,LOTES!$M$5:$M$1004,"&gt;0"))</f>
        <v>62.6958779617007</v>
      </c>
      <c r="I7" s="30" t="n">
        <f aca="false">IF(N(F7)=0,"",_xlfn.MAXIFS(LOTES!$P$5:$P$1004,LOTES!$C$5:$C$1004,E7,LOTES!$D$5:$D$1004,$C$5,LOTES!$M$5:$M$1004,"&gt;0"))</f>
        <v>104.07652886745</v>
      </c>
      <c r="J7" s="31" t="n">
        <f aca="false">IF(N(F7)=0,"",COUNTIFS(LOTES!$C$5:$C$1004,E7,LOTES!$D$5:$D$1004,$C$5,LOTES!$M$5:$M$1004,"&gt;0",LOTES!$AC$5:$AC$1004,"NO CUMPLE*")/F7)</f>
        <v>0</v>
      </c>
      <c r="K7" s="32" t="n">
        <f aca="false">IF(N(F7)=0,"",IFERROR(AVERAGEIFS(LOTES!$T$5:$T$1004,LOTES!$C$5:$C$1004,E7,LOTES!$D$5:$D$1004,$C$5,LOTES!$M$5:$M$1004,"&gt;0",LOTES!$T$5:$T$1004,"&gt;0"),""))</f>
        <v>0.117857704179667</v>
      </c>
    </row>
    <row r="8" customFormat="false" ht="15" hidden="false" customHeight="false" outlineLevel="0" collapsed="false">
      <c r="B8" s="28" t="s">
        <v>248</v>
      </c>
      <c r="C8" s="34" t="n">
        <f aca="false">IF(C7=0,"",SUMIF(LOTES!$AH$5:$AH$1004,"&gt;0",LOTES!$P$5:$P$1004)/C7)</f>
        <v>75.7981093613235</v>
      </c>
      <c r="E8" s="19" t="str">
        <f aca="false">IF(CONFIG!$A$7="","",CONFIG!$A$7)</f>
        <v>P3</v>
      </c>
      <c r="F8" s="19" t="n">
        <f aca="false">IF(E8="","",COUNTIFS(LOTES!$C$5:$C$1004,E8,LOTES!$D$5:$D$1004,$C$5,LOTES!$M$5:$M$1004,"&gt;0"))</f>
        <v>0</v>
      </c>
      <c r="G8" s="30" t="str">
        <f aca="false">IF(N(F8)=0,"",AVERAGEIFS(LOTES!$P$5:$P$1004,LOTES!$C$5:$C$1004,E8,LOTES!$D$5:$D$1004,$C$5,LOTES!$M$5:$M$1004,"&gt;0"))</f>
        <v/>
      </c>
      <c r="H8" s="30" t="str">
        <f aca="false">IF(N(F8)=0,"",_xlfn.MINIFS(LOTES!$P$5:$P$1004,LOTES!$C$5:$C$1004,E8,LOTES!$D$5:$D$1004,$C$5,LOTES!$M$5:$M$1004,"&gt;0"))</f>
        <v/>
      </c>
      <c r="I8" s="30" t="str">
        <f aca="false">IF(N(F8)=0,"",_xlfn.MAXIFS(LOTES!$P$5:$P$1004,LOTES!$C$5:$C$1004,E8,LOTES!$D$5:$D$1004,$C$5,LOTES!$M$5:$M$1004,"&gt;0"))</f>
        <v/>
      </c>
      <c r="J8" s="31" t="str">
        <f aca="false">IF(N(F8)=0,"",COUNTIFS(LOTES!$C$5:$C$1004,E8,LOTES!$D$5:$D$1004,$C$5,LOTES!$M$5:$M$1004,"&gt;0",LOTES!$AC$5:$AC$1004,"NO CUMPLE*")/F8)</f>
        <v/>
      </c>
      <c r="K8" s="32" t="str">
        <f aca="false">IF(N(F8)=0,"",IFERROR(AVERAGEIFS(LOTES!$T$5:$T$1004,LOTES!$C$5:$C$1004,E8,LOTES!$D$5:$D$1004,$C$5,LOTES!$M$5:$M$1004,"&gt;0",LOTES!$T$5:$T$1004,"&gt;0"),""))</f>
        <v/>
      </c>
    </row>
    <row r="9" customFormat="false" ht="15" hidden="false" customHeight="false" outlineLevel="0" collapsed="false">
      <c r="B9" s="28" t="s">
        <v>249</v>
      </c>
      <c r="C9" s="34" t="n">
        <f aca="false">IF(C7&lt;2,"",SQRT(MAX(0,(SUMIF(LOTES!$AH$5:$AH$1004,"&gt;0",LOTES!$AI$5:$AI$1004)-C7*C8^2)/(C7-1))))</f>
        <v>9.37666243248802</v>
      </c>
      <c r="E9" s="19" t="str">
        <f aca="false">IF(CONFIG!$A$8="","",CONFIG!$A$8)</f>
        <v/>
      </c>
      <c r="F9" s="19" t="str">
        <f aca="false">IF(E9="","",COUNTIFS(LOTES!$C$5:$C$1004,E9,LOTES!$D$5:$D$1004,$C$5,LOTES!$M$5:$M$1004,"&gt;0"))</f>
        <v/>
      </c>
      <c r="G9" s="30" t="str">
        <f aca="false">IF(N(F9)=0,"",AVERAGEIFS(LOTES!$P$5:$P$1004,LOTES!$C$5:$C$1004,E9,LOTES!$D$5:$D$1004,$C$5,LOTES!$M$5:$M$1004,"&gt;0"))</f>
        <v/>
      </c>
      <c r="H9" s="30" t="str">
        <f aca="false">IF(N(F9)=0,"",_xlfn.MINIFS(LOTES!$P$5:$P$1004,LOTES!$C$5:$C$1004,E9,LOTES!$D$5:$D$1004,$C$5,LOTES!$M$5:$M$1004,"&gt;0"))</f>
        <v/>
      </c>
      <c r="I9" s="30" t="str">
        <f aca="false">IF(N(F9)=0,"",_xlfn.MAXIFS(LOTES!$P$5:$P$1004,LOTES!$C$5:$C$1004,E9,LOTES!$D$5:$D$1004,$C$5,LOTES!$M$5:$M$1004,"&gt;0"))</f>
        <v/>
      </c>
      <c r="J9" s="31" t="str">
        <f aca="false">IF(N(F9)=0,"",COUNTIFS(LOTES!$C$5:$C$1004,E9,LOTES!$D$5:$D$1004,$C$5,LOTES!$M$5:$M$1004,"&gt;0",LOTES!$AC$5:$AC$1004,"NO CUMPLE*")/F9)</f>
        <v/>
      </c>
      <c r="K9" s="32" t="str">
        <f aca="false">IF(N(F9)=0,"",IFERROR(AVERAGEIFS(LOTES!$T$5:$T$1004,LOTES!$C$5:$C$1004,E9,LOTES!$D$5:$D$1004,$C$5,LOTES!$M$5:$M$1004,"&gt;0",LOTES!$T$5:$T$1004,"&gt;0"),""))</f>
        <v/>
      </c>
    </row>
    <row r="10" customFormat="false" ht="15" hidden="false" customHeight="false" outlineLevel="0" collapsed="false">
      <c r="B10" s="28" t="s">
        <v>250</v>
      </c>
      <c r="C10" s="34" t="n">
        <f aca="false">IF(C9="","",C8+2*C9)</f>
        <v>94.5514342262995</v>
      </c>
      <c r="E10" s="19" t="str">
        <f aca="false">IF(CONFIG!$A$9="","",CONFIG!$A$9)</f>
        <v/>
      </c>
      <c r="F10" s="19" t="str">
        <f aca="false">IF(E10="","",COUNTIFS(LOTES!$C$5:$C$1004,E10,LOTES!$D$5:$D$1004,$C$5,LOTES!$M$5:$M$1004,"&gt;0"))</f>
        <v/>
      </c>
      <c r="G10" s="30" t="str">
        <f aca="false">IF(N(F10)=0,"",AVERAGEIFS(LOTES!$P$5:$P$1004,LOTES!$C$5:$C$1004,E10,LOTES!$D$5:$D$1004,$C$5,LOTES!$M$5:$M$1004,"&gt;0"))</f>
        <v/>
      </c>
      <c r="H10" s="30" t="str">
        <f aca="false">IF(N(F10)=0,"",_xlfn.MINIFS(LOTES!$P$5:$P$1004,LOTES!$C$5:$C$1004,E10,LOTES!$D$5:$D$1004,$C$5,LOTES!$M$5:$M$1004,"&gt;0"))</f>
        <v/>
      </c>
      <c r="I10" s="30" t="str">
        <f aca="false">IF(N(F10)=0,"",_xlfn.MAXIFS(LOTES!$P$5:$P$1004,LOTES!$C$5:$C$1004,E10,LOTES!$D$5:$D$1004,$C$5,LOTES!$M$5:$M$1004,"&gt;0"))</f>
        <v/>
      </c>
      <c r="J10" s="31" t="str">
        <f aca="false">IF(N(F10)=0,"",COUNTIFS(LOTES!$C$5:$C$1004,E10,LOTES!$D$5:$D$1004,$C$5,LOTES!$M$5:$M$1004,"&gt;0",LOTES!$AC$5:$AC$1004,"NO CUMPLE*")/F10)</f>
        <v/>
      </c>
      <c r="K10" s="32" t="str">
        <f aca="false">IF(N(F10)=0,"",IFERROR(AVERAGEIFS(LOTES!$T$5:$T$1004,LOTES!$C$5:$C$1004,E10,LOTES!$D$5:$D$1004,$C$5,LOTES!$M$5:$M$1004,"&gt;0",LOTES!$T$5:$T$1004,"&gt;0"),""))</f>
        <v/>
      </c>
    </row>
    <row r="11" customFormat="false" ht="15" hidden="false" customHeight="false" outlineLevel="0" collapsed="false">
      <c r="B11" s="28" t="s">
        <v>251</v>
      </c>
      <c r="C11" s="34" t="n">
        <f aca="false">IF(C9="","",C8-2*C9)</f>
        <v>57.0447844963474</v>
      </c>
      <c r="E11" s="19" t="str">
        <f aca="false">IF(CONFIG!$A$10="","",CONFIG!$A$10)</f>
        <v/>
      </c>
      <c r="F11" s="19" t="str">
        <f aca="false">IF(E11="","",COUNTIFS(LOTES!$C$5:$C$1004,E11,LOTES!$D$5:$D$1004,$C$5,LOTES!$M$5:$M$1004,"&gt;0"))</f>
        <v/>
      </c>
      <c r="G11" s="30" t="str">
        <f aca="false">IF(N(F11)=0,"",AVERAGEIFS(LOTES!$P$5:$P$1004,LOTES!$C$5:$C$1004,E11,LOTES!$D$5:$D$1004,$C$5,LOTES!$M$5:$M$1004,"&gt;0"))</f>
        <v/>
      </c>
      <c r="H11" s="30" t="str">
        <f aca="false">IF(N(F11)=0,"",_xlfn.MINIFS(LOTES!$P$5:$P$1004,LOTES!$C$5:$C$1004,E11,LOTES!$D$5:$D$1004,$C$5,LOTES!$M$5:$M$1004,"&gt;0"))</f>
        <v/>
      </c>
      <c r="I11" s="30" t="str">
        <f aca="false">IF(N(F11)=0,"",_xlfn.MAXIFS(LOTES!$P$5:$P$1004,LOTES!$C$5:$C$1004,E11,LOTES!$D$5:$D$1004,$C$5,LOTES!$M$5:$M$1004,"&gt;0"))</f>
        <v/>
      </c>
      <c r="J11" s="31" t="str">
        <f aca="false">IF(N(F11)=0,"",COUNTIFS(LOTES!$C$5:$C$1004,E11,LOTES!$D$5:$D$1004,$C$5,LOTES!$M$5:$M$1004,"&gt;0",LOTES!$AC$5:$AC$1004,"NO CUMPLE*")/F11)</f>
        <v/>
      </c>
      <c r="K11" s="32" t="str">
        <f aca="false">IF(N(F11)=0,"",IFERROR(AVERAGEIFS(LOTES!$T$5:$T$1004,LOTES!$C$5:$C$1004,E11,LOTES!$D$5:$D$1004,$C$5,LOTES!$M$5:$M$1004,"&gt;0",LOTES!$T$5:$T$1004,"&gt;0"),""))</f>
        <v/>
      </c>
    </row>
    <row r="12" customFormat="false" ht="15" hidden="false" customHeight="false" outlineLevel="0" collapsed="false">
      <c r="B12" s="28" t="s">
        <v>252</v>
      </c>
      <c r="C12" s="34" t="str">
        <f aca="false">IFERROR(1/(1/INDEX(CONFIG!$J$5:$J$14,MATCH(C5,CONFIG!$D$5:$D$14,0))),"")</f>
        <v/>
      </c>
      <c r="E12" s="19" t="str">
        <f aca="false">IF(CONFIG!$A$11="","",CONFIG!$A$11)</f>
        <v/>
      </c>
      <c r="F12" s="19" t="str">
        <f aca="false">IF(E12="","",COUNTIFS(LOTES!$C$5:$C$1004,E12,LOTES!$D$5:$D$1004,$C$5,LOTES!$M$5:$M$1004,"&gt;0"))</f>
        <v/>
      </c>
      <c r="G12" s="30" t="str">
        <f aca="false">IF(N(F12)=0,"",AVERAGEIFS(LOTES!$P$5:$P$1004,LOTES!$C$5:$C$1004,E12,LOTES!$D$5:$D$1004,$C$5,LOTES!$M$5:$M$1004,"&gt;0"))</f>
        <v/>
      </c>
      <c r="H12" s="30" t="str">
        <f aca="false">IF(N(F12)=0,"",_xlfn.MINIFS(LOTES!$P$5:$P$1004,LOTES!$C$5:$C$1004,E12,LOTES!$D$5:$D$1004,$C$5,LOTES!$M$5:$M$1004,"&gt;0"))</f>
        <v/>
      </c>
      <c r="I12" s="30" t="str">
        <f aca="false">IF(N(F12)=0,"",_xlfn.MAXIFS(LOTES!$P$5:$P$1004,LOTES!$C$5:$C$1004,E12,LOTES!$D$5:$D$1004,$C$5,LOTES!$M$5:$M$1004,"&gt;0"))</f>
        <v/>
      </c>
      <c r="J12" s="31" t="str">
        <f aca="false">IF(N(F12)=0,"",COUNTIFS(LOTES!$C$5:$C$1004,E12,LOTES!$D$5:$D$1004,$C$5,LOTES!$M$5:$M$1004,"&gt;0",LOTES!$AC$5:$AC$1004,"NO CUMPLE*")/F12)</f>
        <v/>
      </c>
      <c r="K12" s="32" t="str">
        <f aca="false">IF(N(F12)=0,"",IFERROR(AVERAGEIFS(LOTES!$T$5:$T$1004,LOTES!$C$5:$C$1004,E12,LOTES!$D$5:$D$1004,$C$5,LOTES!$M$5:$M$1004,"&gt;0",LOTES!$T$5:$T$1004,"&gt;0"),""))</f>
        <v/>
      </c>
    </row>
    <row r="13" customFormat="false" ht="15" hidden="false" customHeight="false" outlineLevel="0" collapsed="false">
      <c r="B13" s="28" t="s">
        <v>253</v>
      </c>
      <c r="C13" s="35" t="n">
        <f aca="false">COUNTIF(K17:K46,"FUERA")</f>
        <v>2</v>
      </c>
      <c r="E13" s="19" t="str">
        <f aca="false">IF(CONFIG!$A$12="","",CONFIG!$A$12)</f>
        <v/>
      </c>
      <c r="F13" s="19" t="str">
        <f aca="false">IF(E13="","",COUNTIFS(LOTES!$C$5:$C$1004,E13,LOTES!$D$5:$D$1004,$C$5,LOTES!$M$5:$M$1004,"&gt;0"))</f>
        <v/>
      </c>
      <c r="G13" s="30" t="str">
        <f aca="false">IF(N(F13)=0,"",AVERAGEIFS(LOTES!$P$5:$P$1004,LOTES!$C$5:$C$1004,E13,LOTES!$D$5:$D$1004,$C$5,LOTES!$M$5:$M$1004,"&gt;0"))</f>
        <v/>
      </c>
      <c r="H13" s="30" t="str">
        <f aca="false">IF(N(F13)=0,"",_xlfn.MINIFS(LOTES!$P$5:$P$1004,LOTES!$C$5:$C$1004,E13,LOTES!$D$5:$D$1004,$C$5,LOTES!$M$5:$M$1004,"&gt;0"))</f>
        <v/>
      </c>
      <c r="I13" s="30" t="str">
        <f aca="false">IF(N(F13)=0,"",_xlfn.MAXIFS(LOTES!$P$5:$P$1004,LOTES!$C$5:$C$1004,E13,LOTES!$D$5:$D$1004,$C$5,LOTES!$M$5:$M$1004,"&gt;0"))</f>
        <v/>
      </c>
      <c r="J13" s="31" t="str">
        <f aca="false">IF(N(F13)=0,"",COUNTIFS(LOTES!$C$5:$C$1004,E13,LOTES!$D$5:$D$1004,$C$5,LOTES!$M$5:$M$1004,"&gt;0",LOTES!$AC$5:$AC$1004,"NO CUMPLE*")/F13)</f>
        <v/>
      </c>
      <c r="K13" s="32" t="str">
        <f aca="false">IF(N(F13)=0,"",IFERROR(AVERAGEIFS(LOTES!$T$5:$T$1004,LOTES!$C$5:$C$1004,E13,LOTES!$D$5:$D$1004,$C$5,LOTES!$M$5:$M$1004,"&gt;0",LOTES!$T$5:$T$1004,"&gt;0"),""))</f>
        <v/>
      </c>
    </row>
    <row r="14" customFormat="false" ht="15" hidden="false" customHeight="false" outlineLevel="0" collapsed="false">
      <c r="E14" s="19" t="str">
        <f aca="false">IF(CONFIG!$A$13="","",CONFIG!$A$13)</f>
        <v/>
      </c>
      <c r="F14" s="19" t="str">
        <f aca="false">IF(E14="","",COUNTIFS(LOTES!$C$5:$C$1004,E14,LOTES!$D$5:$D$1004,$C$5,LOTES!$M$5:$M$1004,"&gt;0"))</f>
        <v/>
      </c>
      <c r="G14" s="30" t="str">
        <f aca="false">IF(N(F14)=0,"",AVERAGEIFS(LOTES!$P$5:$P$1004,LOTES!$C$5:$C$1004,E14,LOTES!$D$5:$D$1004,$C$5,LOTES!$M$5:$M$1004,"&gt;0"))</f>
        <v/>
      </c>
      <c r="H14" s="30" t="str">
        <f aca="false">IF(N(F14)=0,"",_xlfn.MINIFS(LOTES!$P$5:$P$1004,LOTES!$C$5:$C$1004,E14,LOTES!$D$5:$D$1004,$C$5,LOTES!$M$5:$M$1004,"&gt;0"))</f>
        <v/>
      </c>
      <c r="I14" s="30" t="str">
        <f aca="false">IF(N(F14)=0,"",_xlfn.MAXIFS(LOTES!$P$5:$P$1004,LOTES!$C$5:$C$1004,E14,LOTES!$D$5:$D$1004,$C$5,LOTES!$M$5:$M$1004,"&gt;0"))</f>
        <v/>
      </c>
      <c r="J14" s="31" t="str">
        <f aca="false">IF(N(F14)=0,"",COUNTIFS(LOTES!$C$5:$C$1004,E14,LOTES!$D$5:$D$1004,$C$5,LOTES!$M$5:$M$1004,"&gt;0",LOTES!$AC$5:$AC$1004,"NO CUMPLE*")/F14)</f>
        <v/>
      </c>
      <c r="K14" s="32" t="str">
        <f aca="false">IF(N(F14)=0,"",IFERROR(AVERAGEIFS(LOTES!$T$5:$T$1004,LOTES!$C$5:$C$1004,E14,LOTES!$D$5:$D$1004,$C$5,LOTES!$M$5:$M$1004,"&gt;0",LOTES!$T$5:$T$1004,"&gt;0"),""))</f>
        <v/>
      </c>
    </row>
    <row r="15" customFormat="false" ht="15" hidden="false" customHeight="false" outlineLevel="0" collapsed="false">
      <c r="E15" s="19" t="str">
        <f aca="false">IF(CONFIG!$A$14="","",CONFIG!$A$14)</f>
        <v/>
      </c>
      <c r="F15" s="19" t="str">
        <f aca="false">IF(E15="","",COUNTIFS(LOTES!$C$5:$C$1004,E15,LOTES!$D$5:$D$1004,$C$5,LOTES!$M$5:$M$1004,"&gt;0"))</f>
        <v/>
      </c>
      <c r="G15" s="30" t="str">
        <f aca="false">IF(N(F15)=0,"",AVERAGEIFS(LOTES!$P$5:$P$1004,LOTES!$C$5:$C$1004,E15,LOTES!$D$5:$D$1004,$C$5,LOTES!$M$5:$M$1004,"&gt;0"))</f>
        <v/>
      </c>
      <c r="H15" s="30" t="str">
        <f aca="false">IF(N(F15)=0,"",_xlfn.MINIFS(LOTES!$P$5:$P$1004,LOTES!$C$5:$C$1004,E15,LOTES!$D$5:$D$1004,$C$5,LOTES!$M$5:$M$1004,"&gt;0"))</f>
        <v/>
      </c>
      <c r="I15" s="30" t="str">
        <f aca="false">IF(N(F15)=0,"",_xlfn.MAXIFS(LOTES!$P$5:$P$1004,LOTES!$C$5:$C$1004,E15,LOTES!$D$5:$D$1004,$C$5,LOTES!$M$5:$M$1004,"&gt;0"))</f>
        <v/>
      </c>
      <c r="J15" s="31" t="str">
        <f aca="false">IF(N(F15)=0,"",COUNTIFS(LOTES!$C$5:$C$1004,E15,LOTES!$D$5:$D$1004,$C$5,LOTES!$M$5:$M$1004,"&gt;0",LOTES!$AC$5:$AC$1004,"NO CUMPLE*")/F15)</f>
        <v/>
      </c>
      <c r="K15" s="32" t="str">
        <f aca="false">IF(N(F15)=0,"",IFERROR(AVERAGEIFS(LOTES!$T$5:$T$1004,LOTES!$C$5:$C$1004,E15,LOTES!$D$5:$D$1004,$C$5,LOTES!$M$5:$M$1004,"&gt;0",LOTES!$T$5:$T$1004,"&gt;0"),""))</f>
        <v/>
      </c>
      <c r="AF15" s="36" t="s">
        <v>254</v>
      </c>
    </row>
    <row r="16" customFormat="false" ht="30" hidden="false" customHeight="true" outlineLevel="0" collapsed="false">
      <c r="B16" s="7" t="s">
        <v>255</v>
      </c>
      <c r="C16" s="7" t="s">
        <v>53</v>
      </c>
      <c r="D16" s="7" t="s">
        <v>256</v>
      </c>
      <c r="E16" s="7" t="s">
        <v>50</v>
      </c>
      <c r="F16" s="7" t="s">
        <v>242</v>
      </c>
      <c r="G16" s="7" t="s">
        <v>257</v>
      </c>
      <c r="H16" s="7" t="s">
        <v>258</v>
      </c>
      <c r="I16" s="7" t="s">
        <v>259</v>
      </c>
      <c r="J16" s="7" t="s">
        <v>260</v>
      </c>
      <c r="K16" s="7" t="s">
        <v>261</v>
      </c>
      <c r="AF16" s="36" t="s">
        <v>262</v>
      </c>
      <c r="AG16" s="36" t="s">
        <v>263</v>
      </c>
      <c r="AH16" s="36" t="s">
        <v>258</v>
      </c>
      <c r="AI16" s="36" t="s">
        <v>264</v>
      </c>
      <c r="AJ16" s="36" t="s">
        <v>265</v>
      </c>
      <c r="AK16" s="36" t="s">
        <v>266</v>
      </c>
    </row>
    <row r="17" customFormat="false" ht="15" hidden="false" customHeight="false" outlineLevel="0" collapsed="false">
      <c r="B17" s="19" t="n">
        <f aca="false">IF((MAX(0,$C$7-30)+1)&lt;=$C$7,(MAX(0,$C$7-30)+1),"")</f>
        <v>4</v>
      </c>
      <c r="C17" s="19" t="str">
        <f aca="false">IF(B17="","",INDEX(LOTES!$F$5:$F$1004,MATCH(B17,LOTES!$AH$5:$AH$1004,0)))</f>
        <v>8201224P1</v>
      </c>
      <c r="D17" s="37" t="n">
        <f aca="false">IF(B17="","",INDEX(LOTES!$B$5:$B$1004,MATCH(B17,LOTES!$AH$5:$AH$1004,0)))</f>
        <v>45646</v>
      </c>
      <c r="E17" s="19" t="str">
        <f aca="false">IF(B17="","",INDEX(LOTES!$C$5:$C$1004,MATCH(B17,LOTES!$AH$5:$AH$1004,0)))</f>
        <v>P1</v>
      </c>
      <c r="F17" s="30" t="n">
        <f aca="false">IF(B17="","",INDEX(LOTES!$P$5:$P$1004,MATCH(B17,LOTES!$AH$5:$AH$1004,0)))</f>
        <v>85.0364600238018</v>
      </c>
      <c r="G17" s="38" t="n">
        <f aca="false">IF(B17="","",INDEX(LOTES!$N$5:$N$1004,MATCH(B17,LOTES!$AH$5:$AH$1004,0)))</f>
        <v>34</v>
      </c>
      <c r="H17" s="30" t="n">
        <f aca="false">IF(B17="","",$C$8)</f>
        <v>75.7981093613235</v>
      </c>
      <c r="I17" s="30" t="n">
        <f aca="false">IF(OR(B17="",$C$10=""),"",$C$10)</f>
        <v>94.5514342262995</v>
      </c>
      <c r="J17" s="30" t="n">
        <f aca="false">IF(OR(B17="",$C$11=""),"",$C$11)</f>
        <v>57.0447844963474</v>
      </c>
      <c r="K17" s="19" t="str">
        <f aca="false">IF(OR(B17="",$C$10=""),"",IF(OR(F17&gt;$C$10,F17&lt;$C$11),"FUERA","OK"))</f>
        <v>OK</v>
      </c>
      <c r="AF17" s="36" t="str">
        <f aca="false">IF(B17="","",C17)</f>
        <v>8201224P1</v>
      </c>
      <c r="AG17" s="39" t="n">
        <f aca="false">IF(B17="",NA(),IF(F17="",NA(),F17))</f>
        <v>85.0364600238018</v>
      </c>
      <c r="AH17" s="39" t="n">
        <f aca="false">IF(B17="",NA(),IF(H17="",NA(),H17))</f>
        <v>75.7981093613235</v>
      </c>
      <c r="AI17" s="39" t="n">
        <f aca="false">IF(B17="",NA(),IF(I17="",NA(),I17))</f>
        <v>94.5514342262995</v>
      </c>
      <c r="AJ17" s="39" t="n">
        <f aca="false">IF(B17="",NA(),IF(J17="",NA(),J17))</f>
        <v>57.0447844963474</v>
      </c>
      <c r="AK17" s="36" t="e">
        <f aca="false">IF(OR(B17="",$C$12=""),NA(),$C$12)</f>
        <v>#N/A</v>
      </c>
    </row>
    <row r="18" customFormat="false" ht="15" hidden="false" customHeight="false" outlineLevel="0" collapsed="false">
      <c r="B18" s="19" t="n">
        <f aca="false">IF((MAX(0,$C$7-30)+2)&lt;=$C$7,(MAX(0,$C$7-30)+2),"")</f>
        <v>5</v>
      </c>
      <c r="C18" s="19" t="str">
        <f aca="false">IF(B18="","",INDEX(LOTES!$F$5:$F$1004,MATCH(B18,LOTES!$AH$5:$AH$1004,0)))</f>
        <v>8201224P2</v>
      </c>
      <c r="D18" s="37" t="n">
        <f aca="false">IF(B18="","",INDEX(LOTES!$B$5:$B$1004,MATCH(B18,LOTES!$AH$5:$AH$1004,0)))</f>
        <v>45646</v>
      </c>
      <c r="E18" s="19" t="str">
        <f aca="false">IF(B18="","",INDEX(LOTES!$C$5:$C$1004,MATCH(B18,LOTES!$AH$5:$AH$1004,0)))</f>
        <v>P2</v>
      </c>
      <c r="F18" s="30" t="n">
        <f aca="false">IF(B18="","",INDEX(LOTES!$P$5:$P$1004,MATCH(B18,LOTES!$AH$5:$AH$1004,0)))</f>
        <v>104.07652886745</v>
      </c>
      <c r="G18" s="38" t="n">
        <f aca="false">IF(B18="","",INDEX(LOTES!$N$5:$N$1004,MATCH(B18,LOTES!$AH$5:$AH$1004,0)))</f>
        <v>26</v>
      </c>
      <c r="H18" s="30" t="n">
        <f aca="false">IF(B18="","",$C$8)</f>
        <v>75.7981093613235</v>
      </c>
      <c r="I18" s="30" t="n">
        <f aca="false">IF(OR(B18="",$C$10=""),"",$C$10)</f>
        <v>94.5514342262995</v>
      </c>
      <c r="J18" s="30" t="n">
        <f aca="false">IF(OR(B18="",$C$11=""),"",$C$11)</f>
        <v>57.0447844963474</v>
      </c>
      <c r="K18" s="19" t="str">
        <f aca="false">IF(OR(B18="",$C$10=""),"",IF(OR(F18&gt;$C$10,F18&lt;$C$11),"FUERA","OK"))</f>
        <v>FUERA</v>
      </c>
      <c r="AF18" s="36" t="str">
        <f aca="false">IF(B18="","",C18)</f>
        <v>8201224P2</v>
      </c>
      <c r="AG18" s="39" t="n">
        <f aca="false">IF(B18="",NA(),IF(F18="",NA(),F18))</f>
        <v>104.07652886745</v>
      </c>
      <c r="AH18" s="39" t="n">
        <f aca="false">IF(B18="",NA(),IF(H18="",NA(),H18))</f>
        <v>75.7981093613235</v>
      </c>
      <c r="AI18" s="39" t="n">
        <f aca="false">IF(B18="",NA(),IF(I18="",NA(),I18))</f>
        <v>94.5514342262995</v>
      </c>
      <c r="AJ18" s="39" t="n">
        <f aca="false">IF(B18="",NA(),IF(J18="",NA(),J18))</f>
        <v>57.0447844963474</v>
      </c>
      <c r="AK18" s="36" t="e">
        <f aca="false">IF(OR(B18="",$C$12=""),NA(),$C$12)</f>
        <v>#N/A</v>
      </c>
    </row>
    <row r="19" customFormat="false" ht="15" hidden="false" customHeight="false" outlineLevel="0" collapsed="false">
      <c r="B19" s="19" t="n">
        <f aca="false">IF((MAX(0,$C$7-30)+3)&lt;=$C$7,(MAX(0,$C$7-30)+3),"")</f>
        <v>6</v>
      </c>
      <c r="C19" s="19" t="str">
        <f aca="false">IF(B19="","",INDEX(LOTES!$F$5:$F$1004,MATCH(B19,LOTES!$AH$5:$AH$1004,0)))</f>
        <v>8231224P1</v>
      </c>
      <c r="D19" s="37" t="n">
        <f aca="false">IF(B19="","",INDEX(LOTES!$B$5:$B$1004,MATCH(B19,LOTES!$AH$5:$AH$1004,0)))</f>
        <v>45649</v>
      </c>
      <c r="E19" s="19" t="str">
        <f aca="false">IF(B19="","",INDEX(LOTES!$C$5:$C$1004,MATCH(B19,LOTES!$AH$5:$AH$1004,0)))</f>
        <v>P1</v>
      </c>
      <c r="F19" s="30" t="n">
        <f aca="false">IF(B19="","",INDEX(LOTES!$P$5:$P$1004,MATCH(B19,LOTES!$AH$5:$AH$1004,0)))</f>
        <v>80.4219409282701</v>
      </c>
      <c r="G19" s="38" t="n">
        <f aca="false">IF(B19="","",INDEX(LOTES!$N$5:$N$1004,MATCH(B19,LOTES!$AH$5:$AH$1004,0)))</f>
        <v>38</v>
      </c>
      <c r="H19" s="30" t="n">
        <f aca="false">IF(B19="","",$C$8)</f>
        <v>75.7981093613235</v>
      </c>
      <c r="I19" s="30" t="n">
        <f aca="false">IF(OR(B19="",$C$10=""),"",$C$10)</f>
        <v>94.5514342262995</v>
      </c>
      <c r="J19" s="30" t="n">
        <f aca="false">IF(OR(B19="",$C$11=""),"",$C$11)</f>
        <v>57.0447844963474</v>
      </c>
      <c r="K19" s="19" t="str">
        <f aca="false">IF(OR(B19="",$C$10=""),"",IF(OR(F19&gt;$C$10,F19&lt;$C$11),"FUERA","OK"))</f>
        <v>OK</v>
      </c>
      <c r="AF19" s="36" t="str">
        <f aca="false">IF(B19="","",C19)</f>
        <v>8231224P1</v>
      </c>
      <c r="AG19" s="39" t="n">
        <f aca="false">IF(B19="",NA(),IF(F19="",NA(),F19))</f>
        <v>80.4219409282701</v>
      </c>
      <c r="AH19" s="39" t="n">
        <f aca="false">IF(B19="",NA(),IF(H19="",NA(),H19))</f>
        <v>75.7981093613235</v>
      </c>
      <c r="AI19" s="39" t="n">
        <f aca="false">IF(B19="",NA(),IF(I19="",NA(),I19))</f>
        <v>94.5514342262995</v>
      </c>
      <c r="AJ19" s="39" t="n">
        <f aca="false">IF(B19="",NA(),IF(J19="",NA(),J19))</f>
        <v>57.0447844963474</v>
      </c>
      <c r="AK19" s="36" t="e">
        <f aca="false">IF(OR(B19="",$C$12=""),NA(),$C$12)</f>
        <v>#N/A</v>
      </c>
    </row>
    <row r="20" customFormat="false" ht="15" hidden="false" customHeight="false" outlineLevel="0" collapsed="false">
      <c r="B20" s="19" t="n">
        <f aca="false">IF((MAX(0,$C$7-30)+4)&lt;=$C$7,(MAX(0,$C$7-30)+4),"")</f>
        <v>7</v>
      </c>
      <c r="C20" s="19" t="str">
        <f aca="false">IF(B20="","",INDEX(LOTES!$F$5:$F$1004,MATCH(B20,LOTES!$AH$5:$AH$1004,0)))</f>
        <v>8140125P1</v>
      </c>
      <c r="D20" s="37" t="n">
        <f aca="false">IF(B20="","",INDEX(LOTES!$B$5:$B$1004,MATCH(B20,LOTES!$AH$5:$AH$1004,0)))</f>
        <v>45671</v>
      </c>
      <c r="E20" s="19" t="str">
        <f aca="false">IF(B20="","",INDEX(LOTES!$C$5:$C$1004,MATCH(B20,LOTES!$AH$5:$AH$1004,0)))</f>
        <v>P1</v>
      </c>
      <c r="F20" s="30" t="n">
        <f aca="false">IF(B20="","",INDEX(LOTES!$P$5:$P$1004,MATCH(B20,LOTES!$AH$5:$AH$1004,0)))</f>
        <v>89.9051584237093</v>
      </c>
      <c r="G20" s="38" t="n">
        <f aca="false">IF(B20="","",INDEX(LOTES!$N$5:$N$1004,MATCH(B20,LOTES!$AH$5:$AH$1004,0)))</f>
        <v>4</v>
      </c>
      <c r="H20" s="30" t="n">
        <f aca="false">IF(B20="","",$C$8)</f>
        <v>75.7981093613235</v>
      </c>
      <c r="I20" s="30" t="n">
        <f aca="false">IF(OR(B20="",$C$10=""),"",$C$10)</f>
        <v>94.5514342262995</v>
      </c>
      <c r="J20" s="30" t="n">
        <f aca="false">IF(OR(B20="",$C$11=""),"",$C$11)</f>
        <v>57.0447844963474</v>
      </c>
      <c r="K20" s="19" t="str">
        <f aca="false">IF(OR(B20="",$C$10=""),"",IF(OR(F20&gt;$C$10,F20&lt;$C$11),"FUERA","OK"))</f>
        <v>OK</v>
      </c>
      <c r="AF20" s="36" t="str">
        <f aca="false">IF(B20="","",C20)</f>
        <v>8140125P1</v>
      </c>
      <c r="AG20" s="39" t="n">
        <f aca="false">IF(B20="",NA(),IF(F20="",NA(),F20))</f>
        <v>89.9051584237093</v>
      </c>
      <c r="AH20" s="39" t="n">
        <f aca="false">IF(B20="",NA(),IF(H20="",NA(),H20))</f>
        <v>75.7981093613235</v>
      </c>
      <c r="AI20" s="39" t="n">
        <f aca="false">IF(B20="",NA(),IF(I20="",NA(),I20))</f>
        <v>94.5514342262995</v>
      </c>
      <c r="AJ20" s="39" t="n">
        <f aca="false">IF(B20="",NA(),IF(J20="",NA(),J20))</f>
        <v>57.0447844963474</v>
      </c>
      <c r="AK20" s="36" t="e">
        <f aca="false">IF(OR(B20="",$C$12=""),NA(),$C$12)</f>
        <v>#N/A</v>
      </c>
    </row>
    <row r="21" customFormat="false" ht="15" hidden="false" customHeight="false" outlineLevel="0" collapsed="false">
      <c r="B21" s="19" t="n">
        <f aca="false">IF((MAX(0,$C$7-30)+5)&lt;=$C$7,(MAX(0,$C$7-30)+5),"")</f>
        <v>8</v>
      </c>
      <c r="C21" s="19" t="str">
        <f aca="false">IF(B21="","",INDEX(LOTES!$F$5:$F$1004,MATCH(B21,LOTES!$AH$5:$AH$1004,0)))</f>
        <v>8170125P1</v>
      </c>
      <c r="D21" s="37" t="n">
        <f aca="false">IF(B21="","",INDEX(LOTES!$B$5:$B$1004,MATCH(B21,LOTES!$AH$5:$AH$1004,0)))</f>
        <v>45674</v>
      </c>
      <c r="E21" s="19" t="str">
        <f aca="false">IF(B21="","",INDEX(LOTES!$C$5:$C$1004,MATCH(B21,LOTES!$AH$5:$AH$1004,0)))</f>
        <v>P1</v>
      </c>
      <c r="F21" s="30" t="n">
        <f aca="false">IF(B21="","",INDEX(LOTES!$P$5:$P$1004,MATCH(B21,LOTES!$AH$5:$AH$1004,0)))</f>
        <v>98.5167556435998</v>
      </c>
      <c r="G21" s="38" t="n">
        <f aca="false">IF(B21="","",INDEX(LOTES!$N$5:$N$1004,MATCH(B21,LOTES!$AH$5:$AH$1004,0)))</f>
        <v>5</v>
      </c>
      <c r="H21" s="30" t="n">
        <f aca="false">IF(B21="","",$C$8)</f>
        <v>75.7981093613235</v>
      </c>
      <c r="I21" s="30" t="n">
        <f aca="false">IF(OR(B21="",$C$10=""),"",$C$10)</f>
        <v>94.5514342262995</v>
      </c>
      <c r="J21" s="30" t="n">
        <f aca="false">IF(OR(B21="",$C$11=""),"",$C$11)</f>
        <v>57.0447844963474</v>
      </c>
      <c r="K21" s="19" t="str">
        <f aca="false">IF(OR(B21="",$C$10=""),"",IF(OR(F21&gt;$C$10,F21&lt;$C$11),"FUERA","OK"))</f>
        <v>FUERA</v>
      </c>
      <c r="AF21" s="36" t="str">
        <f aca="false">IF(B21="","",C21)</f>
        <v>8170125P1</v>
      </c>
      <c r="AG21" s="39" t="n">
        <f aca="false">IF(B21="",NA(),IF(F21="",NA(),F21))</f>
        <v>98.5167556435998</v>
      </c>
      <c r="AH21" s="39" t="n">
        <f aca="false">IF(B21="",NA(),IF(H21="",NA(),H21))</f>
        <v>75.7981093613235</v>
      </c>
      <c r="AI21" s="39" t="n">
        <f aca="false">IF(B21="",NA(),IF(I21="",NA(),I21))</f>
        <v>94.5514342262995</v>
      </c>
      <c r="AJ21" s="39" t="n">
        <f aca="false">IF(B21="",NA(),IF(J21="",NA(),J21))</f>
        <v>57.0447844963474</v>
      </c>
      <c r="AK21" s="36" t="e">
        <f aca="false">IF(OR(B21="",$C$12=""),NA(),$C$12)</f>
        <v>#N/A</v>
      </c>
    </row>
    <row r="22" customFormat="false" ht="15" hidden="false" customHeight="false" outlineLevel="0" collapsed="false">
      <c r="B22" s="19" t="n">
        <f aca="false">IF((MAX(0,$C$7-30)+6)&lt;=$C$7,(MAX(0,$C$7-30)+6),"")</f>
        <v>9</v>
      </c>
      <c r="C22" s="19" t="str">
        <f aca="false">IF(B22="","",INDEX(LOTES!$F$5:$F$1004,MATCH(B22,LOTES!$AH$5:$AH$1004,0)))</f>
        <v>8060225P1</v>
      </c>
      <c r="D22" s="37" t="n">
        <f aca="false">IF(B22="","",INDEX(LOTES!$B$5:$B$1004,MATCH(B22,LOTES!$AH$5:$AH$1004,0)))</f>
        <v>45694</v>
      </c>
      <c r="E22" s="19" t="str">
        <f aca="false">IF(B22="","",INDEX(LOTES!$C$5:$C$1004,MATCH(B22,LOTES!$AH$5:$AH$1004,0)))</f>
        <v>P1</v>
      </c>
      <c r="F22" s="30" t="n">
        <f aca="false">IF(B22="","",INDEX(LOTES!$P$5:$P$1004,MATCH(B22,LOTES!$AH$5:$AH$1004,0)))</f>
        <v>87.7643622200584</v>
      </c>
      <c r="G22" s="38" t="n">
        <f aca="false">IF(B22="","",INDEX(LOTES!$N$5:$N$1004,MATCH(B22,LOTES!$AH$5:$AH$1004,0)))</f>
        <v>5</v>
      </c>
      <c r="H22" s="30" t="n">
        <f aca="false">IF(B22="","",$C$8)</f>
        <v>75.7981093613235</v>
      </c>
      <c r="I22" s="30" t="n">
        <f aca="false">IF(OR(B22="",$C$10=""),"",$C$10)</f>
        <v>94.5514342262995</v>
      </c>
      <c r="J22" s="30" t="n">
        <f aca="false">IF(OR(B22="",$C$11=""),"",$C$11)</f>
        <v>57.0447844963474</v>
      </c>
      <c r="K22" s="19" t="str">
        <f aca="false">IF(OR(B22="",$C$10=""),"",IF(OR(F22&gt;$C$10,F22&lt;$C$11),"FUERA","OK"))</f>
        <v>OK</v>
      </c>
      <c r="AF22" s="36" t="str">
        <f aca="false">IF(B22="","",C22)</f>
        <v>8060225P1</v>
      </c>
      <c r="AG22" s="39" t="n">
        <f aca="false">IF(B22="",NA(),IF(F22="",NA(),F22))</f>
        <v>87.7643622200584</v>
      </c>
      <c r="AH22" s="39" t="n">
        <f aca="false">IF(B22="",NA(),IF(H22="",NA(),H22))</f>
        <v>75.7981093613235</v>
      </c>
      <c r="AI22" s="39" t="n">
        <f aca="false">IF(B22="",NA(),IF(I22="",NA(),I22))</f>
        <v>94.5514342262995</v>
      </c>
      <c r="AJ22" s="39" t="n">
        <f aca="false">IF(B22="",NA(),IF(J22="",NA(),J22))</f>
        <v>57.0447844963474</v>
      </c>
      <c r="AK22" s="36" t="e">
        <f aca="false">IF(OR(B22="",$C$12=""),NA(),$C$12)</f>
        <v>#N/A</v>
      </c>
    </row>
    <row r="23" customFormat="false" ht="15" hidden="false" customHeight="false" outlineLevel="0" collapsed="false">
      <c r="B23" s="19" t="n">
        <f aca="false">IF((MAX(0,$C$7-30)+7)&lt;=$C$7,(MAX(0,$C$7-30)+7),"")</f>
        <v>10</v>
      </c>
      <c r="C23" s="19" t="str">
        <f aca="false">IF(B23="","",INDEX(LOTES!$F$5:$F$1004,MATCH(B23,LOTES!$AH$5:$AH$1004,0)))</f>
        <v>8110225P1</v>
      </c>
      <c r="D23" s="37" t="n">
        <f aca="false">IF(B23="","",INDEX(LOTES!$B$5:$B$1004,MATCH(B23,LOTES!$AH$5:$AH$1004,0)))</f>
        <v>45699</v>
      </c>
      <c r="E23" s="19" t="str">
        <f aca="false">IF(B23="","",INDEX(LOTES!$C$5:$C$1004,MATCH(B23,LOTES!$AH$5:$AH$1004,0)))</f>
        <v>P1</v>
      </c>
      <c r="F23" s="30" t="n">
        <f aca="false">IF(B23="","",INDEX(LOTES!$P$5:$P$1004,MATCH(B23,LOTES!$AH$5:$AH$1004,0)))</f>
        <v>64.297306069458</v>
      </c>
      <c r="G23" s="38" t="n">
        <f aca="false">IF(B23="","",INDEX(LOTES!$N$5:$N$1004,MATCH(B23,LOTES!$AH$5:$AH$1004,0)))</f>
        <v>2</v>
      </c>
      <c r="H23" s="30" t="n">
        <f aca="false">IF(B23="","",$C$8)</f>
        <v>75.7981093613235</v>
      </c>
      <c r="I23" s="30" t="n">
        <f aca="false">IF(OR(B23="",$C$10=""),"",$C$10)</f>
        <v>94.5514342262995</v>
      </c>
      <c r="J23" s="30" t="n">
        <f aca="false">IF(OR(B23="",$C$11=""),"",$C$11)</f>
        <v>57.0447844963474</v>
      </c>
      <c r="K23" s="19" t="str">
        <f aca="false">IF(OR(B23="",$C$10=""),"",IF(OR(F23&gt;$C$10,F23&lt;$C$11),"FUERA","OK"))</f>
        <v>OK</v>
      </c>
      <c r="AF23" s="36" t="str">
        <f aca="false">IF(B23="","",C23)</f>
        <v>8110225P1</v>
      </c>
      <c r="AG23" s="39" t="n">
        <f aca="false">IF(B23="",NA(),IF(F23="",NA(),F23))</f>
        <v>64.297306069458</v>
      </c>
      <c r="AH23" s="39" t="n">
        <f aca="false">IF(B23="",NA(),IF(H23="",NA(),H23))</f>
        <v>75.7981093613235</v>
      </c>
      <c r="AI23" s="39" t="n">
        <f aca="false">IF(B23="",NA(),IF(I23="",NA(),I23))</f>
        <v>94.5514342262995</v>
      </c>
      <c r="AJ23" s="39" t="n">
        <f aca="false">IF(B23="",NA(),IF(J23="",NA(),J23))</f>
        <v>57.0447844963474</v>
      </c>
      <c r="AK23" s="36" t="e">
        <f aca="false">IF(OR(B23="",$C$12=""),NA(),$C$12)</f>
        <v>#N/A</v>
      </c>
    </row>
    <row r="24" customFormat="false" ht="15" hidden="false" customHeight="false" outlineLevel="0" collapsed="false">
      <c r="B24" s="19" t="n">
        <f aca="false">IF((MAX(0,$C$7-30)+8)&lt;=$C$7,(MAX(0,$C$7-30)+8),"")</f>
        <v>11</v>
      </c>
      <c r="C24" s="19" t="str">
        <f aca="false">IF(B24="","",INDEX(LOTES!$F$5:$F$1004,MATCH(B24,LOTES!$AH$5:$AH$1004,0)))</f>
        <v>8120225P1</v>
      </c>
      <c r="D24" s="37" t="n">
        <f aca="false">IF(B24="","",INDEX(LOTES!$B$5:$B$1004,MATCH(B24,LOTES!$AH$5:$AH$1004,0)))</f>
        <v>45700</v>
      </c>
      <c r="E24" s="19" t="str">
        <f aca="false">IF(B24="","",INDEX(LOTES!$C$5:$C$1004,MATCH(B24,LOTES!$AH$5:$AH$1004,0)))</f>
        <v>P1</v>
      </c>
      <c r="F24" s="30" t="n">
        <f aca="false">IF(B24="","",INDEX(LOTES!$P$5:$P$1004,MATCH(B24,LOTES!$AH$5:$AH$1004,0)))</f>
        <v>76.2227848101266</v>
      </c>
      <c r="G24" s="38" t="n">
        <f aca="false">IF(B24="","",INDEX(LOTES!$N$5:$N$1004,MATCH(B24,LOTES!$AH$5:$AH$1004,0)))</f>
        <v>5</v>
      </c>
      <c r="H24" s="30" t="n">
        <f aca="false">IF(B24="","",$C$8)</f>
        <v>75.7981093613235</v>
      </c>
      <c r="I24" s="30" t="n">
        <f aca="false">IF(OR(B24="",$C$10=""),"",$C$10)</f>
        <v>94.5514342262995</v>
      </c>
      <c r="J24" s="30" t="n">
        <f aca="false">IF(OR(B24="",$C$11=""),"",$C$11)</f>
        <v>57.0447844963474</v>
      </c>
      <c r="K24" s="19" t="str">
        <f aca="false">IF(OR(B24="",$C$10=""),"",IF(OR(F24&gt;$C$10,F24&lt;$C$11),"FUERA","OK"))</f>
        <v>OK</v>
      </c>
      <c r="AF24" s="36" t="str">
        <f aca="false">IF(B24="","",C24)</f>
        <v>8120225P1</v>
      </c>
      <c r="AG24" s="39" t="n">
        <f aca="false">IF(B24="",NA(),IF(F24="",NA(),F24))</f>
        <v>76.2227848101266</v>
      </c>
      <c r="AH24" s="39" t="n">
        <f aca="false">IF(B24="",NA(),IF(H24="",NA(),H24))</f>
        <v>75.7981093613235</v>
      </c>
      <c r="AI24" s="39" t="n">
        <f aca="false">IF(B24="",NA(),IF(I24="",NA(),I24))</f>
        <v>94.5514342262995</v>
      </c>
      <c r="AJ24" s="39" t="n">
        <f aca="false">IF(B24="",NA(),IF(J24="",NA(),J24))</f>
        <v>57.0447844963474</v>
      </c>
      <c r="AK24" s="36" t="e">
        <f aca="false">IF(OR(B24="",$C$12=""),NA(),$C$12)</f>
        <v>#N/A</v>
      </c>
    </row>
    <row r="25" customFormat="false" ht="15" hidden="false" customHeight="false" outlineLevel="0" collapsed="false">
      <c r="B25" s="19" t="n">
        <f aca="false">IF((MAX(0,$C$7-30)+9)&lt;=$C$7,(MAX(0,$C$7-30)+9),"")</f>
        <v>12</v>
      </c>
      <c r="C25" s="19" t="str">
        <f aca="false">IF(B25="","",INDEX(LOTES!$F$5:$F$1004,MATCH(B25,LOTES!$AH$5:$AH$1004,0)))</f>
        <v>8180225P1</v>
      </c>
      <c r="D25" s="37" t="n">
        <f aca="false">IF(B25="","",INDEX(LOTES!$B$5:$B$1004,MATCH(B25,LOTES!$AH$5:$AH$1004,0)))</f>
        <v>45706</v>
      </c>
      <c r="E25" s="19" t="str">
        <f aca="false">IF(B25="","",INDEX(LOTES!$C$5:$C$1004,MATCH(B25,LOTES!$AH$5:$AH$1004,0)))</f>
        <v>P1</v>
      </c>
      <c r="F25" s="30" t="n">
        <f aca="false">IF(B25="","",INDEX(LOTES!$P$5:$P$1004,MATCH(B25,LOTES!$AH$5:$AH$1004,0)))</f>
        <v>71.2638753651412</v>
      </c>
      <c r="G25" s="38" t="n">
        <f aca="false">IF(B25="","",INDEX(LOTES!$N$5:$N$1004,MATCH(B25,LOTES!$AH$5:$AH$1004,0)))</f>
        <v>3</v>
      </c>
      <c r="H25" s="30" t="n">
        <f aca="false">IF(B25="","",$C$8)</f>
        <v>75.7981093613235</v>
      </c>
      <c r="I25" s="30" t="n">
        <f aca="false">IF(OR(B25="",$C$10=""),"",$C$10)</f>
        <v>94.5514342262995</v>
      </c>
      <c r="J25" s="30" t="n">
        <f aca="false">IF(OR(B25="",$C$11=""),"",$C$11)</f>
        <v>57.0447844963474</v>
      </c>
      <c r="K25" s="19" t="str">
        <f aca="false">IF(OR(B25="",$C$10=""),"",IF(OR(F25&gt;$C$10,F25&lt;$C$11),"FUERA","OK"))</f>
        <v>OK</v>
      </c>
      <c r="AF25" s="36" t="str">
        <f aca="false">IF(B25="","",C25)</f>
        <v>8180225P1</v>
      </c>
      <c r="AG25" s="39" t="n">
        <f aca="false">IF(B25="",NA(),IF(F25="",NA(),F25))</f>
        <v>71.2638753651412</v>
      </c>
      <c r="AH25" s="39" t="n">
        <f aca="false">IF(B25="",NA(),IF(H25="",NA(),H25))</f>
        <v>75.7981093613235</v>
      </c>
      <c r="AI25" s="39" t="n">
        <f aca="false">IF(B25="",NA(),IF(I25="",NA(),I25))</f>
        <v>94.5514342262995</v>
      </c>
      <c r="AJ25" s="39" t="n">
        <f aca="false">IF(B25="",NA(),IF(J25="",NA(),J25))</f>
        <v>57.0447844963474</v>
      </c>
      <c r="AK25" s="36" t="e">
        <f aca="false">IF(OR(B25="",$C$12=""),NA(),$C$12)</f>
        <v>#N/A</v>
      </c>
    </row>
    <row r="26" customFormat="false" ht="15" hidden="false" customHeight="false" outlineLevel="0" collapsed="false">
      <c r="B26" s="19" t="n">
        <f aca="false">IF((MAX(0,$C$7-30)+10)&lt;=$C$7,(MAX(0,$C$7-30)+10),"")</f>
        <v>13</v>
      </c>
      <c r="C26" s="19" t="str">
        <f aca="false">IF(B26="","",INDEX(LOTES!$F$5:$F$1004,MATCH(B26,LOTES!$AH$5:$AH$1004,0)))</f>
        <v>8190225P1</v>
      </c>
      <c r="D26" s="37" t="n">
        <f aca="false">IF(B26="","",INDEX(LOTES!$B$5:$B$1004,MATCH(B26,LOTES!$AH$5:$AH$1004,0)))</f>
        <v>45707</v>
      </c>
      <c r="E26" s="19" t="str">
        <f aca="false">IF(B26="","",INDEX(LOTES!$C$5:$C$1004,MATCH(B26,LOTES!$AH$5:$AH$1004,0)))</f>
        <v>P1</v>
      </c>
      <c r="F26" s="30" t="n">
        <f aca="false">IF(B26="","",INDEX(LOTES!$P$5:$P$1004,MATCH(B26,LOTES!$AH$5:$AH$1004,0)))</f>
        <v>77.5014605647517</v>
      </c>
      <c r="G26" s="38" t="n">
        <f aca="false">IF(B26="","",INDEX(LOTES!$N$5:$N$1004,MATCH(B26,LOTES!$AH$5:$AH$1004,0)))</f>
        <v>9</v>
      </c>
      <c r="H26" s="30" t="n">
        <f aca="false">IF(B26="","",$C$8)</f>
        <v>75.7981093613235</v>
      </c>
      <c r="I26" s="30" t="n">
        <f aca="false">IF(OR(B26="",$C$10=""),"",$C$10)</f>
        <v>94.5514342262995</v>
      </c>
      <c r="J26" s="30" t="n">
        <f aca="false">IF(OR(B26="",$C$11=""),"",$C$11)</f>
        <v>57.0447844963474</v>
      </c>
      <c r="K26" s="19" t="str">
        <f aca="false">IF(OR(B26="",$C$10=""),"",IF(OR(F26&gt;$C$10,F26&lt;$C$11),"FUERA","OK"))</f>
        <v>OK</v>
      </c>
      <c r="AF26" s="36" t="str">
        <f aca="false">IF(B26="","",C26)</f>
        <v>8190225P1</v>
      </c>
      <c r="AG26" s="39" t="n">
        <f aca="false">IF(B26="",NA(),IF(F26="",NA(),F26))</f>
        <v>77.5014605647517</v>
      </c>
      <c r="AH26" s="39" t="n">
        <f aca="false">IF(B26="",NA(),IF(H26="",NA(),H26))</f>
        <v>75.7981093613235</v>
      </c>
      <c r="AI26" s="39" t="n">
        <f aca="false">IF(B26="",NA(),IF(I26="",NA(),I26))</f>
        <v>94.5514342262995</v>
      </c>
      <c r="AJ26" s="39" t="n">
        <f aca="false">IF(B26="",NA(),IF(J26="",NA(),J26))</f>
        <v>57.0447844963474</v>
      </c>
      <c r="AK26" s="36" t="e">
        <f aca="false">IF(OR(B26="",$C$12=""),NA(),$C$12)</f>
        <v>#N/A</v>
      </c>
    </row>
    <row r="27" customFormat="false" ht="15" hidden="false" customHeight="false" outlineLevel="0" collapsed="false">
      <c r="B27" s="19" t="n">
        <f aca="false">IF((MAX(0,$C$7-30)+11)&lt;=$C$7,(MAX(0,$C$7-30)+11),"")</f>
        <v>14</v>
      </c>
      <c r="C27" s="19" t="str">
        <f aca="false">IF(B27="","",INDEX(LOTES!$F$5:$F$1004,MATCH(B27,LOTES!$AH$5:$AH$1004,0)))</f>
        <v>8240225P1</v>
      </c>
      <c r="D27" s="37" t="n">
        <f aca="false">IF(B27="","",INDEX(LOTES!$B$5:$B$1004,MATCH(B27,LOTES!$AH$5:$AH$1004,0)))</f>
        <v>45712</v>
      </c>
      <c r="E27" s="19" t="str">
        <f aca="false">IF(B27="","",INDEX(LOTES!$C$5:$C$1004,MATCH(B27,LOTES!$AH$5:$AH$1004,0)))</f>
        <v>P1</v>
      </c>
      <c r="F27" s="30" t="n">
        <f aca="false">IF(B27="","",INDEX(LOTES!$P$5:$P$1004,MATCH(B27,LOTES!$AH$5:$AH$1004,0)))</f>
        <v>76.7786432976306</v>
      </c>
      <c r="G27" s="38" t="n">
        <f aca="false">IF(B27="","",INDEX(LOTES!$N$5:$N$1004,MATCH(B27,LOTES!$AH$5:$AH$1004,0)))</f>
        <v>7</v>
      </c>
      <c r="H27" s="30" t="n">
        <f aca="false">IF(B27="","",$C$8)</f>
        <v>75.7981093613235</v>
      </c>
      <c r="I27" s="30" t="n">
        <f aca="false">IF(OR(B27="",$C$10=""),"",$C$10)</f>
        <v>94.5514342262995</v>
      </c>
      <c r="J27" s="30" t="n">
        <f aca="false">IF(OR(B27="",$C$11=""),"",$C$11)</f>
        <v>57.0447844963474</v>
      </c>
      <c r="K27" s="19" t="str">
        <f aca="false">IF(OR(B27="",$C$10=""),"",IF(OR(F27&gt;$C$10,F27&lt;$C$11),"FUERA","OK"))</f>
        <v>OK</v>
      </c>
      <c r="AF27" s="36" t="str">
        <f aca="false">IF(B27="","",C27)</f>
        <v>8240225P1</v>
      </c>
      <c r="AG27" s="39" t="n">
        <f aca="false">IF(B27="",NA(),IF(F27="",NA(),F27))</f>
        <v>76.7786432976306</v>
      </c>
      <c r="AH27" s="39" t="n">
        <f aca="false">IF(B27="",NA(),IF(H27="",NA(),H27))</f>
        <v>75.7981093613235</v>
      </c>
      <c r="AI27" s="39" t="n">
        <f aca="false">IF(B27="",NA(),IF(I27="",NA(),I27))</f>
        <v>94.5514342262995</v>
      </c>
      <c r="AJ27" s="39" t="n">
        <f aca="false">IF(B27="",NA(),IF(J27="",NA(),J27))</f>
        <v>57.0447844963474</v>
      </c>
      <c r="AK27" s="36" t="e">
        <f aca="false">IF(OR(B27="",$C$12=""),NA(),$C$12)</f>
        <v>#N/A</v>
      </c>
    </row>
    <row r="28" customFormat="false" ht="15" hidden="false" customHeight="false" outlineLevel="0" collapsed="false">
      <c r="B28" s="19" t="n">
        <f aca="false">IF((MAX(0,$C$7-30)+12)&lt;=$C$7,(MAX(0,$C$7-30)+12),"")</f>
        <v>15</v>
      </c>
      <c r="C28" s="19" t="str">
        <f aca="false">IF(B28="","",INDEX(LOTES!$F$5:$F$1004,MATCH(B28,LOTES!$AH$5:$AH$1004,0)))</f>
        <v>8030325P1</v>
      </c>
      <c r="D28" s="37" t="n">
        <f aca="false">IF(B28="","",INDEX(LOTES!$B$5:$B$1004,MATCH(B28,LOTES!$AH$5:$AH$1004,0)))</f>
        <v>45719</v>
      </c>
      <c r="E28" s="19" t="str">
        <f aca="false">IF(B28="","",INDEX(LOTES!$C$5:$C$1004,MATCH(B28,LOTES!$AH$5:$AH$1004,0)))</f>
        <v>P1</v>
      </c>
      <c r="F28" s="30" t="n">
        <f aca="false">IF(B28="","",INDEX(LOTES!$P$5:$P$1004,MATCH(B28,LOTES!$AH$5:$AH$1004,0)))</f>
        <v>79.0900681596884</v>
      </c>
      <c r="G28" s="38" t="n">
        <f aca="false">IF(B28="","",INDEX(LOTES!$N$5:$N$1004,MATCH(B28,LOTES!$AH$5:$AH$1004,0)))</f>
        <v>4</v>
      </c>
      <c r="H28" s="30" t="n">
        <f aca="false">IF(B28="","",$C$8)</f>
        <v>75.7981093613235</v>
      </c>
      <c r="I28" s="30" t="n">
        <f aca="false">IF(OR(B28="",$C$10=""),"",$C$10)</f>
        <v>94.5514342262995</v>
      </c>
      <c r="J28" s="30" t="n">
        <f aca="false">IF(OR(B28="",$C$11=""),"",$C$11)</f>
        <v>57.0447844963474</v>
      </c>
      <c r="K28" s="19" t="str">
        <f aca="false">IF(OR(B28="",$C$10=""),"",IF(OR(F28&gt;$C$10,F28&lt;$C$11),"FUERA","OK"))</f>
        <v>OK</v>
      </c>
      <c r="AF28" s="36" t="str">
        <f aca="false">IF(B28="","",C28)</f>
        <v>8030325P1</v>
      </c>
      <c r="AG28" s="39" t="n">
        <f aca="false">IF(B28="",NA(),IF(F28="",NA(),F28))</f>
        <v>79.0900681596884</v>
      </c>
      <c r="AH28" s="39" t="n">
        <f aca="false">IF(B28="",NA(),IF(H28="",NA(),H28))</f>
        <v>75.7981093613235</v>
      </c>
      <c r="AI28" s="39" t="n">
        <f aca="false">IF(B28="",NA(),IF(I28="",NA(),I28))</f>
        <v>94.5514342262995</v>
      </c>
      <c r="AJ28" s="39" t="n">
        <f aca="false">IF(B28="",NA(),IF(J28="",NA(),J28))</f>
        <v>57.0447844963474</v>
      </c>
      <c r="AK28" s="36" t="e">
        <f aca="false">IF(OR(B28="",$C$12=""),NA(),$C$12)</f>
        <v>#N/A</v>
      </c>
    </row>
    <row r="29" customFormat="false" ht="15" hidden="false" customHeight="false" outlineLevel="0" collapsed="false">
      <c r="B29" s="19" t="n">
        <f aca="false">IF((MAX(0,$C$7-30)+13)&lt;=$C$7,(MAX(0,$C$7-30)+13),"")</f>
        <v>16</v>
      </c>
      <c r="C29" s="19" t="str">
        <f aca="false">IF(B29="","",INDEX(LOTES!$F$5:$F$1004,MATCH(B29,LOTES!$AH$5:$AH$1004,0)))</f>
        <v>8070325P1</v>
      </c>
      <c r="D29" s="37" t="n">
        <f aca="false">IF(B29="","",INDEX(LOTES!$B$5:$B$1004,MATCH(B29,LOTES!$AH$5:$AH$1004,0)))</f>
        <v>45723</v>
      </c>
      <c r="E29" s="19" t="str">
        <f aca="false">IF(B29="","",INDEX(LOTES!$C$5:$C$1004,MATCH(B29,LOTES!$AH$5:$AH$1004,0)))</f>
        <v>P1</v>
      </c>
      <c r="F29" s="30" t="n">
        <f aca="false">IF(B29="","",INDEX(LOTES!$P$5:$P$1004,MATCH(B29,LOTES!$AH$5:$AH$1004,0)))</f>
        <v>74.4195066536839</v>
      </c>
      <c r="G29" s="38" t="n">
        <f aca="false">IF(B29="","",INDEX(LOTES!$N$5:$N$1004,MATCH(B29,LOTES!$AH$5:$AH$1004,0)))</f>
        <v>6</v>
      </c>
      <c r="H29" s="30" t="n">
        <f aca="false">IF(B29="","",$C$8)</f>
        <v>75.7981093613235</v>
      </c>
      <c r="I29" s="30" t="n">
        <f aca="false">IF(OR(B29="",$C$10=""),"",$C$10)</f>
        <v>94.5514342262995</v>
      </c>
      <c r="J29" s="30" t="n">
        <f aca="false">IF(OR(B29="",$C$11=""),"",$C$11)</f>
        <v>57.0447844963474</v>
      </c>
      <c r="K29" s="19" t="str">
        <f aca="false">IF(OR(B29="",$C$10=""),"",IF(OR(F29&gt;$C$10,F29&lt;$C$11),"FUERA","OK"))</f>
        <v>OK</v>
      </c>
      <c r="AF29" s="36" t="str">
        <f aca="false">IF(B29="","",C29)</f>
        <v>8070325P1</v>
      </c>
      <c r="AG29" s="39" t="n">
        <f aca="false">IF(B29="",NA(),IF(F29="",NA(),F29))</f>
        <v>74.4195066536839</v>
      </c>
      <c r="AH29" s="39" t="n">
        <f aca="false">IF(B29="",NA(),IF(H29="",NA(),H29))</f>
        <v>75.7981093613235</v>
      </c>
      <c r="AI29" s="39" t="n">
        <f aca="false">IF(B29="",NA(),IF(I29="",NA(),I29))</f>
        <v>94.5514342262995</v>
      </c>
      <c r="AJ29" s="39" t="n">
        <f aca="false">IF(B29="",NA(),IF(J29="",NA(),J29))</f>
        <v>57.0447844963474</v>
      </c>
      <c r="AK29" s="36" t="e">
        <f aca="false">IF(OR(B29="",$C$12=""),NA(),$C$12)</f>
        <v>#N/A</v>
      </c>
    </row>
    <row r="30" customFormat="false" ht="15" hidden="false" customHeight="false" outlineLevel="0" collapsed="false">
      <c r="B30" s="19" t="n">
        <f aca="false">IF((MAX(0,$C$7-30)+14)&lt;=$C$7,(MAX(0,$C$7-30)+14),"")</f>
        <v>17</v>
      </c>
      <c r="C30" s="19" t="str">
        <f aca="false">IF(B30="","",INDEX(LOTES!$F$5:$F$1004,MATCH(B30,LOTES!$AH$5:$AH$1004,0)))</f>
        <v>8140325P1</v>
      </c>
      <c r="D30" s="37" t="n">
        <f aca="false">IF(B30="","",INDEX(LOTES!$B$5:$B$1004,MATCH(B30,LOTES!$AH$5:$AH$1004,0)))</f>
        <v>45730</v>
      </c>
      <c r="E30" s="19" t="str">
        <f aca="false">IF(B30="","",INDEX(LOTES!$C$5:$C$1004,MATCH(B30,LOTES!$AH$5:$AH$1004,0)))</f>
        <v>P1</v>
      </c>
      <c r="F30" s="30" t="n">
        <f aca="false">IF(B30="","",INDEX(LOTES!$P$5:$P$1004,MATCH(B30,LOTES!$AH$5:$AH$1004,0)))</f>
        <v>75.5540408958131</v>
      </c>
      <c r="G30" s="38" t="n">
        <f aca="false">IF(B30="","",INDEX(LOTES!$N$5:$N$1004,MATCH(B30,LOTES!$AH$5:$AH$1004,0)))</f>
        <v>5</v>
      </c>
      <c r="H30" s="30" t="n">
        <f aca="false">IF(B30="","",$C$8)</f>
        <v>75.7981093613235</v>
      </c>
      <c r="I30" s="30" t="n">
        <f aca="false">IF(OR(B30="",$C$10=""),"",$C$10)</f>
        <v>94.5514342262995</v>
      </c>
      <c r="J30" s="30" t="n">
        <f aca="false">IF(OR(B30="",$C$11=""),"",$C$11)</f>
        <v>57.0447844963474</v>
      </c>
      <c r="K30" s="19" t="str">
        <f aca="false">IF(OR(B30="",$C$10=""),"",IF(OR(F30&gt;$C$10,F30&lt;$C$11),"FUERA","OK"))</f>
        <v>OK</v>
      </c>
      <c r="AF30" s="36" t="str">
        <f aca="false">IF(B30="","",C30)</f>
        <v>8140325P1</v>
      </c>
      <c r="AG30" s="39" t="n">
        <f aca="false">IF(B30="",NA(),IF(F30="",NA(),F30))</f>
        <v>75.5540408958131</v>
      </c>
      <c r="AH30" s="39" t="n">
        <f aca="false">IF(B30="",NA(),IF(H30="",NA(),H30))</f>
        <v>75.7981093613235</v>
      </c>
      <c r="AI30" s="39" t="n">
        <f aca="false">IF(B30="",NA(),IF(I30="",NA(),I30))</f>
        <v>94.5514342262995</v>
      </c>
      <c r="AJ30" s="39" t="n">
        <f aca="false">IF(B30="",NA(),IF(J30="",NA(),J30))</f>
        <v>57.0447844963474</v>
      </c>
      <c r="AK30" s="36" t="e">
        <f aca="false">IF(OR(B30="",$C$12=""),NA(),$C$12)</f>
        <v>#N/A</v>
      </c>
    </row>
    <row r="31" customFormat="false" ht="15" hidden="false" customHeight="false" outlineLevel="0" collapsed="false">
      <c r="B31" s="19" t="n">
        <f aca="false">IF((MAX(0,$C$7-30)+15)&lt;=$C$7,(MAX(0,$C$7-30)+15),"")</f>
        <v>18</v>
      </c>
      <c r="C31" s="19" t="str">
        <f aca="false">IF(B31="","",INDEX(LOTES!$F$5:$F$1004,MATCH(B31,LOTES!$AH$5:$AH$1004,0)))</f>
        <v>8200325P1</v>
      </c>
      <c r="D31" s="37" t="n">
        <f aca="false">IF(B31="","",INDEX(LOTES!$B$5:$B$1004,MATCH(B31,LOTES!$AH$5:$AH$1004,0)))</f>
        <v>45736</v>
      </c>
      <c r="E31" s="19" t="str">
        <f aca="false">IF(B31="","",INDEX(LOTES!$C$5:$C$1004,MATCH(B31,LOTES!$AH$5:$AH$1004,0)))</f>
        <v>P1</v>
      </c>
      <c r="F31" s="30" t="n">
        <f aca="false">IF(B31="","",INDEX(LOTES!$P$5:$P$1004,MATCH(B31,LOTES!$AH$5:$AH$1004,0)))</f>
        <v>70.7851346965271</v>
      </c>
      <c r="G31" s="38" t="n">
        <f aca="false">IF(B31="","",INDEX(LOTES!$N$5:$N$1004,MATCH(B31,LOTES!$AH$5:$AH$1004,0)))</f>
        <v>4</v>
      </c>
      <c r="H31" s="30" t="n">
        <f aca="false">IF(B31="","",$C$8)</f>
        <v>75.7981093613235</v>
      </c>
      <c r="I31" s="30" t="n">
        <f aca="false">IF(OR(B31="",$C$10=""),"",$C$10)</f>
        <v>94.5514342262995</v>
      </c>
      <c r="J31" s="30" t="n">
        <f aca="false">IF(OR(B31="",$C$11=""),"",$C$11)</f>
        <v>57.0447844963474</v>
      </c>
      <c r="K31" s="19" t="str">
        <f aca="false">IF(OR(B31="",$C$10=""),"",IF(OR(F31&gt;$C$10,F31&lt;$C$11),"FUERA","OK"))</f>
        <v>OK</v>
      </c>
      <c r="AF31" s="36" t="str">
        <f aca="false">IF(B31="","",C31)</f>
        <v>8200325P1</v>
      </c>
      <c r="AG31" s="39" t="n">
        <f aca="false">IF(B31="",NA(),IF(F31="",NA(),F31))</f>
        <v>70.7851346965271</v>
      </c>
      <c r="AH31" s="39" t="n">
        <f aca="false">IF(B31="",NA(),IF(H31="",NA(),H31))</f>
        <v>75.7981093613235</v>
      </c>
      <c r="AI31" s="39" t="n">
        <f aca="false">IF(B31="",NA(),IF(I31="",NA(),I31))</f>
        <v>94.5514342262995</v>
      </c>
      <c r="AJ31" s="39" t="n">
        <f aca="false">IF(B31="",NA(),IF(J31="",NA(),J31))</f>
        <v>57.0447844963474</v>
      </c>
      <c r="AK31" s="36" t="e">
        <f aca="false">IF(OR(B31="",$C$12=""),NA(),$C$12)</f>
        <v>#N/A</v>
      </c>
    </row>
    <row r="32" customFormat="false" ht="15" hidden="false" customHeight="false" outlineLevel="0" collapsed="false">
      <c r="B32" s="19" t="n">
        <f aca="false">IF((MAX(0,$C$7-30)+16)&lt;=$C$7,(MAX(0,$C$7-30)+16),"")</f>
        <v>19</v>
      </c>
      <c r="C32" s="19" t="str">
        <f aca="false">IF(B32="","",INDEX(LOTES!$F$5:$F$1004,MATCH(B32,LOTES!$AH$5:$AH$1004,0)))</f>
        <v>8240325P1</v>
      </c>
      <c r="D32" s="37" t="n">
        <f aca="false">IF(B32="","",INDEX(LOTES!$B$5:$B$1004,MATCH(B32,LOTES!$AH$5:$AH$1004,0)))</f>
        <v>45740</v>
      </c>
      <c r="E32" s="19" t="str">
        <f aca="false">IF(B32="","",INDEX(LOTES!$C$5:$C$1004,MATCH(B32,LOTES!$AH$5:$AH$1004,0)))</f>
        <v>P1</v>
      </c>
      <c r="F32" s="30" t="n">
        <f aca="false">IF(B32="","",INDEX(LOTES!$P$5:$P$1004,MATCH(B32,LOTES!$AH$5:$AH$1004,0)))</f>
        <v>69.8503732554366</v>
      </c>
      <c r="G32" s="38" t="n">
        <f aca="false">IF(B32="","",INDEX(LOTES!$N$5:$N$1004,MATCH(B32,LOTES!$AH$5:$AH$1004,0)))</f>
        <v>3</v>
      </c>
      <c r="H32" s="30" t="n">
        <f aca="false">IF(B32="","",$C$8)</f>
        <v>75.7981093613235</v>
      </c>
      <c r="I32" s="30" t="n">
        <f aca="false">IF(OR(B32="",$C$10=""),"",$C$10)</f>
        <v>94.5514342262995</v>
      </c>
      <c r="J32" s="30" t="n">
        <f aca="false">IF(OR(B32="",$C$11=""),"",$C$11)</f>
        <v>57.0447844963474</v>
      </c>
      <c r="K32" s="19" t="str">
        <f aca="false">IF(OR(B32="",$C$10=""),"",IF(OR(F32&gt;$C$10,F32&lt;$C$11),"FUERA","OK"))</f>
        <v>OK</v>
      </c>
      <c r="AF32" s="36" t="str">
        <f aca="false">IF(B32="","",C32)</f>
        <v>8240325P1</v>
      </c>
      <c r="AG32" s="39" t="n">
        <f aca="false">IF(B32="",NA(),IF(F32="",NA(),F32))</f>
        <v>69.8503732554366</v>
      </c>
      <c r="AH32" s="39" t="n">
        <f aca="false">IF(B32="",NA(),IF(H32="",NA(),H32))</f>
        <v>75.7981093613235</v>
      </c>
      <c r="AI32" s="39" t="n">
        <f aca="false">IF(B32="",NA(),IF(I32="",NA(),I32))</f>
        <v>94.5514342262995</v>
      </c>
      <c r="AJ32" s="39" t="n">
        <f aca="false">IF(B32="",NA(),IF(J32="",NA(),J32))</f>
        <v>57.0447844963474</v>
      </c>
      <c r="AK32" s="36" t="e">
        <f aca="false">IF(OR(B32="",$C$12=""),NA(),$C$12)</f>
        <v>#N/A</v>
      </c>
    </row>
    <row r="33" customFormat="false" ht="15" hidden="false" customHeight="false" outlineLevel="0" collapsed="false">
      <c r="B33" s="19" t="n">
        <f aca="false">IF((MAX(0,$C$7-30)+17)&lt;=$C$7,(MAX(0,$C$7-30)+17),"")</f>
        <v>20</v>
      </c>
      <c r="C33" s="19" t="str">
        <f aca="false">IF(B33="","",INDEX(LOTES!$F$5:$F$1004,MATCH(B33,LOTES!$AH$5:$AH$1004,0)))</f>
        <v>8270325P1</v>
      </c>
      <c r="D33" s="37" t="n">
        <f aca="false">IF(B33="","",INDEX(LOTES!$B$5:$B$1004,MATCH(B33,LOTES!$AH$5:$AH$1004,0)))</f>
        <v>45743</v>
      </c>
      <c r="E33" s="19" t="str">
        <f aca="false">IF(B33="","",INDEX(LOTES!$C$5:$C$1004,MATCH(B33,LOTES!$AH$5:$AH$1004,0)))</f>
        <v>P1</v>
      </c>
      <c r="F33" s="30" t="n">
        <f aca="false">IF(B33="","",INDEX(LOTES!$P$5:$P$1004,MATCH(B33,LOTES!$AH$5:$AH$1004,0)))</f>
        <v>69.1496267445635</v>
      </c>
      <c r="G33" s="38" t="n">
        <f aca="false">IF(B33="","",INDEX(LOTES!$N$5:$N$1004,MATCH(B33,LOTES!$AH$5:$AH$1004,0)))</f>
        <v>2</v>
      </c>
      <c r="H33" s="30" t="n">
        <f aca="false">IF(B33="","",$C$8)</f>
        <v>75.7981093613235</v>
      </c>
      <c r="I33" s="30" t="n">
        <f aca="false">IF(OR(B33="",$C$10=""),"",$C$10)</f>
        <v>94.5514342262995</v>
      </c>
      <c r="J33" s="30" t="n">
        <f aca="false">IF(OR(B33="",$C$11=""),"",$C$11)</f>
        <v>57.0447844963474</v>
      </c>
      <c r="K33" s="19" t="str">
        <f aca="false">IF(OR(B33="",$C$10=""),"",IF(OR(F33&gt;$C$10,F33&lt;$C$11),"FUERA","OK"))</f>
        <v>OK</v>
      </c>
      <c r="AF33" s="36" t="str">
        <f aca="false">IF(B33="","",C33)</f>
        <v>8270325P1</v>
      </c>
      <c r="AG33" s="39" t="n">
        <f aca="false">IF(B33="",NA(),IF(F33="",NA(),F33))</f>
        <v>69.1496267445635</v>
      </c>
      <c r="AH33" s="39" t="n">
        <f aca="false">IF(B33="",NA(),IF(H33="",NA(),H33))</f>
        <v>75.7981093613235</v>
      </c>
      <c r="AI33" s="39" t="n">
        <f aca="false">IF(B33="",NA(),IF(I33="",NA(),I33))</f>
        <v>94.5514342262995</v>
      </c>
      <c r="AJ33" s="39" t="n">
        <f aca="false">IF(B33="",NA(),IF(J33="",NA(),J33))</f>
        <v>57.0447844963474</v>
      </c>
      <c r="AK33" s="36" t="e">
        <f aca="false">IF(OR(B33="",$C$12=""),NA(),$C$12)</f>
        <v>#N/A</v>
      </c>
    </row>
    <row r="34" customFormat="false" ht="15" hidden="false" customHeight="false" outlineLevel="0" collapsed="false">
      <c r="B34" s="19" t="n">
        <f aca="false">IF((MAX(0,$C$7-30)+18)&lt;=$C$7,(MAX(0,$C$7-30)+18),"")</f>
        <v>21</v>
      </c>
      <c r="C34" s="19" t="str">
        <f aca="false">IF(B34="","",INDEX(LOTES!$F$5:$F$1004,MATCH(B34,LOTES!$AH$5:$AH$1004,0)))</f>
        <v>8020425P1</v>
      </c>
      <c r="D34" s="37" t="n">
        <f aca="false">IF(B34="","",INDEX(LOTES!$B$5:$B$1004,MATCH(B34,LOTES!$AH$5:$AH$1004,0)))</f>
        <v>45749</v>
      </c>
      <c r="E34" s="19" t="str">
        <f aca="false">IF(B34="","",INDEX(LOTES!$C$5:$C$1004,MATCH(B34,LOTES!$AH$5:$AH$1004,0)))</f>
        <v>P1</v>
      </c>
      <c r="F34" s="30" t="n">
        <f aca="false">IF(B34="","",INDEX(LOTES!$P$5:$P$1004,MATCH(B34,LOTES!$AH$5:$AH$1004,0)))</f>
        <v>70.6751054852321</v>
      </c>
      <c r="G34" s="38" t="n">
        <f aca="false">IF(B34="","",INDEX(LOTES!$N$5:$N$1004,MATCH(B34,LOTES!$AH$5:$AH$1004,0)))</f>
        <v>2</v>
      </c>
      <c r="H34" s="30" t="n">
        <f aca="false">IF(B34="","",$C$8)</f>
        <v>75.7981093613235</v>
      </c>
      <c r="I34" s="30" t="n">
        <f aca="false">IF(OR(B34="",$C$10=""),"",$C$10)</f>
        <v>94.5514342262995</v>
      </c>
      <c r="J34" s="30" t="n">
        <f aca="false">IF(OR(B34="",$C$11=""),"",$C$11)</f>
        <v>57.0447844963474</v>
      </c>
      <c r="K34" s="19" t="str">
        <f aca="false">IF(OR(B34="",$C$10=""),"",IF(OR(F34&gt;$C$10,F34&lt;$C$11),"FUERA","OK"))</f>
        <v>OK</v>
      </c>
      <c r="AF34" s="36" t="str">
        <f aca="false">IF(B34="","",C34)</f>
        <v>8020425P1</v>
      </c>
      <c r="AG34" s="39" t="n">
        <f aca="false">IF(B34="",NA(),IF(F34="",NA(),F34))</f>
        <v>70.6751054852321</v>
      </c>
      <c r="AH34" s="39" t="n">
        <f aca="false">IF(B34="",NA(),IF(H34="",NA(),H34))</f>
        <v>75.7981093613235</v>
      </c>
      <c r="AI34" s="39" t="n">
        <f aca="false">IF(B34="",NA(),IF(I34="",NA(),I34))</f>
        <v>94.5514342262995</v>
      </c>
      <c r="AJ34" s="39" t="n">
        <f aca="false">IF(B34="",NA(),IF(J34="",NA(),J34))</f>
        <v>57.0447844963474</v>
      </c>
      <c r="AK34" s="36" t="e">
        <f aca="false">IF(OR(B34="",$C$12=""),NA(),$C$12)</f>
        <v>#N/A</v>
      </c>
    </row>
    <row r="35" customFormat="false" ht="15" hidden="false" customHeight="false" outlineLevel="0" collapsed="false">
      <c r="B35" s="19" t="n">
        <f aca="false">IF((MAX(0,$C$7-30)+19)&lt;=$C$7,(MAX(0,$C$7-30)+19),"")</f>
        <v>22</v>
      </c>
      <c r="C35" s="19" t="str">
        <f aca="false">IF(B35="","",INDEX(LOTES!$F$5:$F$1004,MATCH(B35,LOTES!$AH$5:$AH$1004,0)))</f>
        <v>8260425P1</v>
      </c>
      <c r="D35" s="37" t="n">
        <f aca="false">IF(B35="","",INDEX(LOTES!$B$5:$B$1004,MATCH(B35,LOTES!$AH$5:$AH$1004,0)))</f>
        <v>45773</v>
      </c>
      <c r="E35" s="19" t="str">
        <f aca="false">IF(B35="","",INDEX(LOTES!$C$5:$C$1004,MATCH(B35,LOTES!$AH$5:$AH$1004,0)))</f>
        <v>P1</v>
      </c>
      <c r="F35" s="30" t="n">
        <f aca="false">IF(B35="","",INDEX(LOTES!$P$5:$P$1004,MATCH(B35,LOTES!$AH$5:$AH$1004,0)))</f>
        <v>69.704641350211</v>
      </c>
      <c r="G35" s="38" t="n">
        <f aca="false">IF(B35="","",INDEX(LOTES!$N$5:$N$1004,MATCH(B35,LOTES!$AH$5:$AH$1004,0)))</f>
        <v>3</v>
      </c>
      <c r="H35" s="30" t="n">
        <f aca="false">IF(B35="","",$C$8)</f>
        <v>75.7981093613235</v>
      </c>
      <c r="I35" s="30" t="n">
        <f aca="false">IF(OR(B35="",$C$10=""),"",$C$10)</f>
        <v>94.5514342262995</v>
      </c>
      <c r="J35" s="30" t="n">
        <f aca="false">IF(OR(B35="",$C$11=""),"",$C$11)</f>
        <v>57.0447844963474</v>
      </c>
      <c r="K35" s="19" t="str">
        <f aca="false">IF(OR(B35="",$C$10=""),"",IF(OR(F35&gt;$C$10,F35&lt;$C$11),"FUERA","OK"))</f>
        <v>OK</v>
      </c>
      <c r="AF35" s="36" t="str">
        <f aca="false">IF(B35="","",C35)</f>
        <v>8260425P1</v>
      </c>
      <c r="AG35" s="39" t="n">
        <f aca="false">IF(B35="",NA(),IF(F35="",NA(),F35))</f>
        <v>69.704641350211</v>
      </c>
      <c r="AH35" s="39" t="n">
        <f aca="false">IF(B35="",NA(),IF(H35="",NA(),H35))</f>
        <v>75.7981093613235</v>
      </c>
      <c r="AI35" s="39" t="n">
        <f aca="false">IF(B35="",NA(),IF(I35="",NA(),I35))</f>
        <v>94.5514342262995</v>
      </c>
      <c r="AJ35" s="39" t="n">
        <f aca="false">IF(B35="",NA(),IF(J35="",NA(),J35))</f>
        <v>57.0447844963474</v>
      </c>
      <c r="AK35" s="36" t="e">
        <f aca="false">IF(OR(B35="",$C$12=""),NA(),$C$12)</f>
        <v>#N/A</v>
      </c>
    </row>
    <row r="36" customFormat="false" ht="15" hidden="false" customHeight="false" outlineLevel="0" collapsed="false">
      <c r="B36" s="19" t="n">
        <f aca="false">IF((MAX(0,$C$7-30)+20)&lt;=$C$7,(MAX(0,$C$7-30)+20),"")</f>
        <v>23</v>
      </c>
      <c r="C36" s="19" t="str">
        <f aca="false">IF(B36="","",INDEX(LOTES!$F$5:$F$1004,MATCH(B36,LOTES!$AH$5:$AH$1004,0)))</f>
        <v>8280425P1</v>
      </c>
      <c r="D36" s="37" t="n">
        <f aca="false">IF(B36="","",INDEX(LOTES!$B$5:$B$1004,MATCH(B36,LOTES!$AH$5:$AH$1004,0)))</f>
        <v>45775</v>
      </c>
      <c r="E36" s="19" t="str">
        <f aca="false">IF(B36="","",INDEX(LOTES!$C$5:$C$1004,MATCH(B36,LOTES!$AH$5:$AH$1004,0)))</f>
        <v>P1</v>
      </c>
      <c r="F36" s="30" t="n">
        <f aca="false">IF(B36="","",INDEX(LOTES!$P$5:$P$1004,MATCH(B36,LOTES!$AH$5:$AH$1004,0)))</f>
        <v>69.154170723791</v>
      </c>
      <c r="G36" s="38" t="n">
        <f aca="false">IF(B36="","",INDEX(LOTES!$N$5:$N$1004,MATCH(B36,LOTES!$AH$5:$AH$1004,0)))</f>
        <v>2</v>
      </c>
      <c r="H36" s="30" t="n">
        <f aca="false">IF(B36="","",$C$8)</f>
        <v>75.7981093613235</v>
      </c>
      <c r="I36" s="30" t="n">
        <f aca="false">IF(OR(B36="",$C$10=""),"",$C$10)</f>
        <v>94.5514342262995</v>
      </c>
      <c r="J36" s="30" t="n">
        <f aca="false">IF(OR(B36="",$C$11=""),"",$C$11)</f>
        <v>57.0447844963474</v>
      </c>
      <c r="K36" s="19" t="str">
        <f aca="false">IF(OR(B36="",$C$10=""),"",IF(OR(F36&gt;$C$10,F36&lt;$C$11),"FUERA","OK"))</f>
        <v>OK</v>
      </c>
      <c r="AF36" s="36" t="str">
        <f aca="false">IF(B36="","",C36)</f>
        <v>8280425P1</v>
      </c>
      <c r="AG36" s="39" t="n">
        <f aca="false">IF(B36="",NA(),IF(F36="",NA(),F36))</f>
        <v>69.154170723791</v>
      </c>
      <c r="AH36" s="39" t="n">
        <f aca="false">IF(B36="",NA(),IF(H36="",NA(),H36))</f>
        <v>75.7981093613235</v>
      </c>
      <c r="AI36" s="39" t="n">
        <f aca="false">IF(B36="",NA(),IF(I36="",NA(),I36))</f>
        <v>94.5514342262995</v>
      </c>
      <c r="AJ36" s="39" t="n">
        <f aca="false">IF(B36="",NA(),IF(J36="",NA(),J36))</f>
        <v>57.0447844963474</v>
      </c>
      <c r="AK36" s="36" t="e">
        <f aca="false">IF(OR(B36="",$C$12=""),NA(),$C$12)</f>
        <v>#N/A</v>
      </c>
    </row>
    <row r="37" customFormat="false" ht="15" hidden="false" customHeight="false" outlineLevel="0" collapsed="false">
      <c r="B37" s="19" t="n">
        <f aca="false">IF((MAX(0,$C$7-30)+21)&lt;=$C$7,(MAX(0,$C$7-30)+21),"")</f>
        <v>24</v>
      </c>
      <c r="C37" s="19" t="str">
        <f aca="false">IF(B37="","",INDEX(LOTES!$F$5:$F$1004,MATCH(B37,LOTES!$AH$5:$AH$1004,0)))</f>
        <v>8010525P1</v>
      </c>
      <c r="D37" s="37" t="n">
        <f aca="false">IF(B37="","",INDEX(LOTES!$B$5:$B$1004,MATCH(B37,LOTES!$AH$5:$AH$1004,0)))</f>
        <v>45778</v>
      </c>
      <c r="E37" s="19" t="str">
        <f aca="false">IF(B37="","",INDEX(LOTES!$C$5:$C$1004,MATCH(B37,LOTES!$AH$5:$AH$1004,0)))</f>
        <v>P1</v>
      </c>
      <c r="F37" s="30" t="n">
        <f aca="false">IF(B37="","",INDEX(LOTES!$P$5:$P$1004,MATCH(B37,LOTES!$AH$5:$AH$1004,0)))</f>
        <v>72.6270691333983</v>
      </c>
      <c r="G37" s="38" t="n">
        <f aca="false">IF(B37="","",INDEX(LOTES!$N$5:$N$1004,MATCH(B37,LOTES!$AH$5:$AH$1004,0)))</f>
        <v>5</v>
      </c>
      <c r="H37" s="30" t="n">
        <f aca="false">IF(B37="","",$C$8)</f>
        <v>75.7981093613235</v>
      </c>
      <c r="I37" s="30" t="n">
        <f aca="false">IF(OR(B37="",$C$10=""),"",$C$10)</f>
        <v>94.5514342262995</v>
      </c>
      <c r="J37" s="30" t="n">
        <f aca="false">IF(OR(B37="",$C$11=""),"",$C$11)</f>
        <v>57.0447844963474</v>
      </c>
      <c r="K37" s="19" t="str">
        <f aca="false">IF(OR(B37="",$C$10=""),"",IF(OR(F37&gt;$C$10,F37&lt;$C$11),"FUERA","OK"))</f>
        <v>OK</v>
      </c>
      <c r="AF37" s="36" t="str">
        <f aca="false">IF(B37="","",C37)</f>
        <v>8010525P1</v>
      </c>
      <c r="AG37" s="39" t="n">
        <f aca="false">IF(B37="",NA(),IF(F37="",NA(),F37))</f>
        <v>72.6270691333983</v>
      </c>
      <c r="AH37" s="39" t="n">
        <f aca="false">IF(B37="",NA(),IF(H37="",NA(),H37))</f>
        <v>75.7981093613235</v>
      </c>
      <c r="AI37" s="39" t="n">
        <f aca="false">IF(B37="",NA(),IF(I37="",NA(),I37))</f>
        <v>94.5514342262995</v>
      </c>
      <c r="AJ37" s="39" t="n">
        <f aca="false">IF(B37="",NA(),IF(J37="",NA(),J37))</f>
        <v>57.0447844963474</v>
      </c>
      <c r="AK37" s="36" t="e">
        <f aca="false">IF(OR(B37="",$C$12=""),NA(),$C$12)</f>
        <v>#N/A</v>
      </c>
    </row>
    <row r="38" customFormat="false" ht="15" hidden="false" customHeight="false" outlineLevel="0" collapsed="false">
      <c r="B38" s="19" t="n">
        <f aca="false">IF((MAX(0,$C$7-30)+22)&lt;=$C$7,(MAX(0,$C$7-30)+22),"")</f>
        <v>25</v>
      </c>
      <c r="C38" s="19" t="str">
        <f aca="false">IF(B38="","",INDEX(LOTES!$F$5:$F$1004,MATCH(B38,LOTES!$AH$5:$AH$1004,0)))</f>
        <v>8100525P1</v>
      </c>
      <c r="D38" s="37" t="n">
        <f aca="false">IF(B38="","",INDEX(LOTES!$B$5:$B$1004,MATCH(B38,LOTES!$AH$5:$AH$1004,0)))</f>
        <v>45787</v>
      </c>
      <c r="E38" s="19" t="str">
        <f aca="false">IF(B38="","",INDEX(LOTES!$C$5:$C$1004,MATCH(B38,LOTES!$AH$5:$AH$1004,0)))</f>
        <v>P1</v>
      </c>
      <c r="F38" s="30" t="n">
        <f aca="false">IF(B38="","",INDEX(LOTES!$P$5:$P$1004,MATCH(B38,LOTES!$AH$5:$AH$1004,0)))</f>
        <v>63.8302499188575</v>
      </c>
      <c r="G38" s="38" t="n">
        <f aca="false">IF(B38="","",INDEX(LOTES!$N$5:$N$1004,MATCH(B38,LOTES!$AH$5:$AH$1004,0)))</f>
        <v>0</v>
      </c>
      <c r="H38" s="30" t="n">
        <f aca="false">IF(B38="","",$C$8)</f>
        <v>75.7981093613235</v>
      </c>
      <c r="I38" s="30" t="n">
        <f aca="false">IF(OR(B38="",$C$10=""),"",$C$10)</f>
        <v>94.5514342262995</v>
      </c>
      <c r="J38" s="30" t="n">
        <f aca="false">IF(OR(B38="",$C$11=""),"",$C$11)</f>
        <v>57.0447844963474</v>
      </c>
      <c r="K38" s="19" t="str">
        <f aca="false">IF(OR(B38="",$C$10=""),"",IF(OR(F38&gt;$C$10,F38&lt;$C$11),"FUERA","OK"))</f>
        <v>OK</v>
      </c>
      <c r="AF38" s="36" t="str">
        <f aca="false">IF(B38="","",C38)</f>
        <v>8100525P1</v>
      </c>
      <c r="AG38" s="39" t="n">
        <f aca="false">IF(B38="",NA(),IF(F38="",NA(),F38))</f>
        <v>63.8302499188575</v>
      </c>
      <c r="AH38" s="39" t="n">
        <f aca="false">IF(B38="",NA(),IF(H38="",NA(),H38))</f>
        <v>75.7981093613235</v>
      </c>
      <c r="AI38" s="39" t="n">
        <f aca="false">IF(B38="",NA(),IF(I38="",NA(),I38))</f>
        <v>94.5514342262995</v>
      </c>
      <c r="AJ38" s="39" t="n">
        <f aca="false">IF(B38="",NA(),IF(J38="",NA(),J38))</f>
        <v>57.0447844963474</v>
      </c>
      <c r="AK38" s="36" t="e">
        <f aca="false">IF(OR(B38="",$C$12=""),NA(),$C$12)</f>
        <v>#N/A</v>
      </c>
    </row>
    <row r="39" customFormat="false" ht="15" hidden="false" customHeight="false" outlineLevel="0" collapsed="false">
      <c r="B39" s="19" t="n">
        <f aca="false">IF((MAX(0,$C$7-30)+23)&lt;=$C$7,(MAX(0,$C$7-30)+23),"")</f>
        <v>26</v>
      </c>
      <c r="C39" s="19" t="str">
        <f aca="false">IF(B39="","",INDEX(LOTES!$F$5:$F$1004,MATCH(B39,LOTES!$AH$5:$AH$1004,0)))</f>
        <v>8160525P1</v>
      </c>
      <c r="D39" s="37" t="n">
        <f aca="false">IF(B39="","",INDEX(LOTES!$B$5:$B$1004,MATCH(B39,LOTES!$AH$5:$AH$1004,0)))</f>
        <v>45793</v>
      </c>
      <c r="E39" s="19" t="str">
        <f aca="false">IF(B39="","",INDEX(LOTES!$C$5:$C$1004,MATCH(B39,LOTES!$AH$5:$AH$1004,0)))</f>
        <v>P1</v>
      </c>
      <c r="F39" s="30" t="n">
        <f aca="false">IF(B39="","",INDEX(LOTES!$P$5:$P$1004,MATCH(B39,LOTES!$AH$5:$AH$1004,0)))</f>
        <v>70.6751054852321</v>
      </c>
      <c r="G39" s="38" t="n">
        <f aca="false">IF(B39="","",INDEX(LOTES!$N$5:$N$1004,MATCH(B39,LOTES!$AH$5:$AH$1004,0)))</f>
        <v>4</v>
      </c>
      <c r="H39" s="30" t="n">
        <f aca="false">IF(B39="","",$C$8)</f>
        <v>75.7981093613235</v>
      </c>
      <c r="I39" s="30" t="n">
        <f aca="false">IF(OR(B39="",$C$10=""),"",$C$10)</f>
        <v>94.5514342262995</v>
      </c>
      <c r="J39" s="30" t="n">
        <f aca="false">IF(OR(B39="",$C$11=""),"",$C$11)</f>
        <v>57.0447844963474</v>
      </c>
      <c r="K39" s="19" t="str">
        <f aca="false">IF(OR(B39="",$C$10=""),"",IF(OR(F39&gt;$C$10,F39&lt;$C$11),"FUERA","OK"))</f>
        <v>OK</v>
      </c>
      <c r="AF39" s="36" t="str">
        <f aca="false">IF(B39="","",C39)</f>
        <v>8160525P1</v>
      </c>
      <c r="AG39" s="39" t="n">
        <f aca="false">IF(B39="",NA(),IF(F39="",NA(),F39))</f>
        <v>70.6751054852321</v>
      </c>
      <c r="AH39" s="39" t="n">
        <f aca="false">IF(B39="",NA(),IF(H39="",NA(),H39))</f>
        <v>75.7981093613235</v>
      </c>
      <c r="AI39" s="39" t="n">
        <f aca="false">IF(B39="",NA(),IF(I39="",NA(),I39))</f>
        <v>94.5514342262995</v>
      </c>
      <c r="AJ39" s="39" t="n">
        <f aca="false">IF(B39="",NA(),IF(J39="",NA(),J39))</f>
        <v>57.0447844963474</v>
      </c>
      <c r="AK39" s="36" t="e">
        <f aca="false">IF(OR(B39="",$C$12=""),NA(),$C$12)</f>
        <v>#N/A</v>
      </c>
    </row>
    <row r="40" customFormat="false" ht="15" hidden="false" customHeight="false" outlineLevel="0" collapsed="false">
      <c r="B40" s="19" t="n">
        <f aca="false">IF((MAX(0,$C$7-30)+24)&lt;=$C$7,(MAX(0,$C$7-30)+24),"")</f>
        <v>27</v>
      </c>
      <c r="C40" s="19" t="str">
        <f aca="false">IF(B40="","",INDEX(LOTES!$F$5:$F$1004,MATCH(B40,LOTES!$AH$5:$AH$1004,0)))</f>
        <v>8210525P1</v>
      </c>
      <c r="D40" s="37" t="n">
        <f aca="false">IF(B40="","",INDEX(LOTES!$B$5:$B$1004,MATCH(B40,LOTES!$AH$5:$AH$1004,0)))</f>
        <v>45798</v>
      </c>
      <c r="E40" s="19" t="str">
        <f aca="false">IF(B40="","",INDEX(LOTES!$C$5:$C$1004,MATCH(B40,LOTES!$AH$5:$AH$1004,0)))</f>
        <v>P1</v>
      </c>
      <c r="F40" s="30" t="n">
        <f aca="false">IF(B40="","",INDEX(LOTES!$P$5:$P$1004,MATCH(B40,LOTES!$AH$5:$AH$1004,0)))</f>
        <v>67.1606621226874</v>
      </c>
      <c r="G40" s="38" t="n">
        <f aca="false">IF(B40="","",INDEX(LOTES!$N$5:$N$1004,MATCH(B40,LOTES!$AH$5:$AH$1004,0)))</f>
        <v>2</v>
      </c>
      <c r="H40" s="30" t="n">
        <f aca="false">IF(B40="","",$C$8)</f>
        <v>75.7981093613235</v>
      </c>
      <c r="I40" s="30" t="n">
        <f aca="false">IF(OR(B40="",$C$10=""),"",$C$10)</f>
        <v>94.5514342262995</v>
      </c>
      <c r="J40" s="30" t="n">
        <f aca="false">IF(OR(B40="",$C$11=""),"",$C$11)</f>
        <v>57.0447844963474</v>
      </c>
      <c r="K40" s="19" t="str">
        <f aca="false">IF(OR(B40="",$C$10=""),"",IF(OR(F40&gt;$C$10,F40&lt;$C$11),"FUERA","OK"))</f>
        <v>OK</v>
      </c>
      <c r="AF40" s="36" t="str">
        <f aca="false">IF(B40="","",C40)</f>
        <v>8210525P1</v>
      </c>
      <c r="AG40" s="39" t="n">
        <f aca="false">IF(B40="",NA(),IF(F40="",NA(),F40))</f>
        <v>67.1606621226874</v>
      </c>
      <c r="AH40" s="39" t="n">
        <f aca="false">IF(B40="",NA(),IF(H40="",NA(),H40))</f>
        <v>75.7981093613235</v>
      </c>
      <c r="AI40" s="39" t="n">
        <f aca="false">IF(B40="",NA(),IF(I40="",NA(),I40))</f>
        <v>94.5514342262995</v>
      </c>
      <c r="AJ40" s="39" t="n">
        <f aca="false">IF(B40="",NA(),IF(J40="",NA(),J40))</f>
        <v>57.0447844963474</v>
      </c>
      <c r="AK40" s="36" t="e">
        <f aca="false">IF(OR(B40="",$C$12=""),NA(),$C$12)</f>
        <v>#N/A</v>
      </c>
    </row>
    <row r="41" customFormat="false" ht="15" hidden="false" customHeight="false" outlineLevel="0" collapsed="false">
      <c r="B41" s="19" t="n">
        <f aca="false">IF((MAX(0,$C$7-30)+25)&lt;=$C$7,(MAX(0,$C$7-30)+25),"")</f>
        <v>28</v>
      </c>
      <c r="C41" s="19" t="str">
        <f aca="false">IF(B41="","",INDEX(LOTES!$F$5:$F$1004,MATCH(B41,LOTES!$AH$5:$AH$1004,0)))</f>
        <v>8220525P1</v>
      </c>
      <c r="D41" s="37" t="n">
        <f aca="false">IF(B41="","",INDEX(LOTES!$B$5:$B$1004,MATCH(B41,LOTES!$AH$5:$AH$1004,0)))</f>
        <v>45799</v>
      </c>
      <c r="E41" s="19" t="str">
        <f aca="false">IF(B41="","",INDEX(LOTES!$C$5:$C$1004,MATCH(B41,LOTES!$AH$5:$AH$1004,0)))</f>
        <v>P1</v>
      </c>
      <c r="F41" s="30" t="n">
        <f aca="false">IF(B41="","",INDEX(LOTES!$P$5:$P$1004,MATCH(B41,LOTES!$AH$5:$AH$1004,0)))</f>
        <v>67.9529373580007</v>
      </c>
      <c r="G41" s="38" t="n">
        <f aca="false">IF(B41="","",INDEX(LOTES!$N$5:$N$1004,MATCH(B41,LOTES!$AH$5:$AH$1004,0)))</f>
        <v>2</v>
      </c>
      <c r="H41" s="30" t="n">
        <f aca="false">IF(B41="","",$C$8)</f>
        <v>75.7981093613235</v>
      </c>
      <c r="I41" s="30" t="n">
        <f aca="false">IF(OR(B41="",$C$10=""),"",$C$10)</f>
        <v>94.5514342262995</v>
      </c>
      <c r="J41" s="30" t="n">
        <f aca="false">IF(OR(B41="",$C$11=""),"",$C$11)</f>
        <v>57.0447844963474</v>
      </c>
      <c r="K41" s="19" t="str">
        <f aca="false">IF(OR(B41="",$C$10=""),"",IF(OR(F41&gt;$C$10,F41&lt;$C$11),"FUERA","OK"))</f>
        <v>OK</v>
      </c>
      <c r="AF41" s="36" t="str">
        <f aca="false">IF(B41="","",C41)</f>
        <v>8220525P1</v>
      </c>
      <c r="AG41" s="39" t="n">
        <f aca="false">IF(B41="",NA(),IF(F41="",NA(),F41))</f>
        <v>67.9529373580007</v>
      </c>
      <c r="AH41" s="39" t="n">
        <f aca="false">IF(B41="",NA(),IF(H41="",NA(),H41))</f>
        <v>75.7981093613235</v>
      </c>
      <c r="AI41" s="39" t="n">
        <f aca="false">IF(B41="",NA(),IF(I41="",NA(),I41))</f>
        <v>94.5514342262995</v>
      </c>
      <c r="AJ41" s="39" t="n">
        <f aca="false">IF(B41="",NA(),IF(J41="",NA(),J41))</f>
        <v>57.0447844963474</v>
      </c>
      <c r="AK41" s="36" t="e">
        <f aca="false">IF(OR(B41="",$C$12=""),NA(),$C$12)</f>
        <v>#N/A</v>
      </c>
    </row>
    <row r="42" customFormat="false" ht="15" hidden="false" customHeight="false" outlineLevel="0" collapsed="false">
      <c r="B42" s="19" t="n">
        <f aca="false">IF((MAX(0,$C$7-30)+26)&lt;=$C$7,(MAX(0,$C$7-30)+26),"")</f>
        <v>29</v>
      </c>
      <c r="C42" s="19" t="str">
        <f aca="false">IF(B42="","",INDEX(LOTES!$F$5:$F$1004,MATCH(B42,LOTES!$AH$5:$AH$1004,0)))</f>
        <v>8240525P1</v>
      </c>
      <c r="D42" s="37" t="n">
        <f aca="false">IF(B42="","",INDEX(LOTES!$B$5:$B$1004,MATCH(B42,LOTES!$AH$5:$AH$1004,0)))</f>
        <v>45801</v>
      </c>
      <c r="E42" s="19" t="str">
        <f aca="false">IF(B42="","",INDEX(LOTES!$C$5:$C$1004,MATCH(B42,LOTES!$AH$5:$AH$1004,0)))</f>
        <v>P1</v>
      </c>
      <c r="F42" s="30" t="n">
        <f aca="false">IF(B42="","",INDEX(LOTES!$P$5:$P$1004,MATCH(B42,LOTES!$AH$5:$AH$1004,0)))</f>
        <v>72.7017202207076</v>
      </c>
      <c r="G42" s="38" t="n">
        <f aca="false">IF(B42="","",INDEX(LOTES!$N$5:$N$1004,MATCH(B42,LOTES!$AH$5:$AH$1004,0)))</f>
        <v>3</v>
      </c>
      <c r="H42" s="30" t="n">
        <f aca="false">IF(B42="","",$C$8)</f>
        <v>75.7981093613235</v>
      </c>
      <c r="I42" s="30" t="n">
        <f aca="false">IF(OR(B42="",$C$10=""),"",$C$10)</f>
        <v>94.5514342262995</v>
      </c>
      <c r="J42" s="30" t="n">
        <f aca="false">IF(OR(B42="",$C$11=""),"",$C$11)</f>
        <v>57.0447844963474</v>
      </c>
      <c r="K42" s="19" t="str">
        <f aca="false">IF(OR(B42="",$C$10=""),"",IF(OR(F42&gt;$C$10,F42&lt;$C$11),"FUERA","OK"))</f>
        <v>OK</v>
      </c>
      <c r="AF42" s="36" t="str">
        <f aca="false">IF(B42="","",C42)</f>
        <v>8240525P1</v>
      </c>
      <c r="AG42" s="39" t="n">
        <f aca="false">IF(B42="",NA(),IF(F42="",NA(),F42))</f>
        <v>72.7017202207076</v>
      </c>
      <c r="AH42" s="39" t="n">
        <f aca="false">IF(B42="",NA(),IF(H42="",NA(),H42))</f>
        <v>75.7981093613235</v>
      </c>
      <c r="AI42" s="39" t="n">
        <f aca="false">IF(B42="",NA(),IF(I42="",NA(),I42))</f>
        <v>94.5514342262995</v>
      </c>
      <c r="AJ42" s="39" t="n">
        <f aca="false">IF(B42="",NA(),IF(J42="",NA(),J42))</f>
        <v>57.0447844963474</v>
      </c>
      <c r="AK42" s="36" t="e">
        <f aca="false">IF(OR(B42="",$C$12=""),NA(),$C$12)</f>
        <v>#N/A</v>
      </c>
    </row>
    <row r="43" customFormat="false" ht="15" hidden="false" customHeight="false" outlineLevel="0" collapsed="false">
      <c r="B43" s="19" t="n">
        <f aca="false">IF((MAX(0,$C$7-30)+27)&lt;=$C$7,(MAX(0,$C$7-30)+27),"")</f>
        <v>30</v>
      </c>
      <c r="C43" s="19" t="str">
        <f aca="false">IF(B43="","",INDEX(LOTES!$F$5:$F$1004,MATCH(B43,LOTES!$AH$5:$AH$1004,0)))</f>
        <v>8290525P1</v>
      </c>
      <c r="D43" s="37" t="n">
        <f aca="false">IF(B43="","",INDEX(LOTES!$B$5:$B$1004,MATCH(B43,LOTES!$AH$5:$AH$1004,0)))</f>
        <v>45806</v>
      </c>
      <c r="E43" s="19" t="str">
        <f aca="false">IF(B43="","",INDEX(LOTES!$C$5:$C$1004,MATCH(B43,LOTES!$AH$5:$AH$1004,0)))</f>
        <v>P1</v>
      </c>
      <c r="F43" s="30" t="n">
        <f aca="false">IF(B43="","",INDEX(LOTES!$P$5:$P$1004,MATCH(B43,LOTES!$AH$5:$AH$1004,0)))</f>
        <v>73.2736124634859</v>
      </c>
      <c r="G43" s="38" t="n">
        <f aca="false">IF(B43="","",INDEX(LOTES!$N$5:$N$1004,MATCH(B43,LOTES!$AH$5:$AH$1004,0)))</f>
        <v>2</v>
      </c>
      <c r="H43" s="30" t="n">
        <f aca="false">IF(B43="","",$C$8)</f>
        <v>75.7981093613235</v>
      </c>
      <c r="I43" s="30" t="n">
        <f aca="false">IF(OR(B43="",$C$10=""),"",$C$10)</f>
        <v>94.5514342262995</v>
      </c>
      <c r="J43" s="30" t="n">
        <f aca="false">IF(OR(B43="",$C$11=""),"",$C$11)</f>
        <v>57.0447844963474</v>
      </c>
      <c r="K43" s="19" t="str">
        <f aca="false">IF(OR(B43="",$C$10=""),"",IF(OR(F43&gt;$C$10,F43&lt;$C$11),"FUERA","OK"))</f>
        <v>OK</v>
      </c>
      <c r="AF43" s="36" t="str">
        <f aca="false">IF(B43="","",C43)</f>
        <v>8290525P1</v>
      </c>
      <c r="AG43" s="39" t="n">
        <f aca="false">IF(B43="",NA(),IF(F43="",NA(),F43))</f>
        <v>73.2736124634859</v>
      </c>
      <c r="AH43" s="39" t="n">
        <f aca="false">IF(B43="",NA(),IF(H43="",NA(),H43))</f>
        <v>75.7981093613235</v>
      </c>
      <c r="AI43" s="39" t="n">
        <f aca="false">IF(B43="",NA(),IF(I43="",NA(),I43))</f>
        <v>94.5514342262995</v>
      </c>
      <c r="AJ43" s="39" t="n">
        <f aca="false">IF(B43="",NA(),IF(J43="",NA(),J43))</f>
        <v>57.0447844963474</v>
      </c>
      <c r="AK43" s="36" t="e">
        <f aca="false">IF(OR(B43="",$C$12=""),NA(),$C$12)</f>
        <v>#N/A</v>
      </c>
    </row>
    <row r="44" customFormat="false" ht="15" hidden="false" customHeight="false" outlineLevel="0" collapsed="false">
      <c r="B44" s="19" t="n">
        <f aca="false">IF((MAX(0,$C$7-30)+28)&lt;=$C$7,(MAX(0,$C$7-30)+28),"")</f>
        <v>31</v>
      </c>
      <c r="C44" s="19" t="str">
        <f aca="false">IF(B44="","",INDEX(LOTES!$F$5:$F$1004,MATCH(B44,LOTES!$AH$5:$AH$1004,0)))</f>
        <v>8050625P2</v>
      </c>
      <c r="D44" s="37" t="n">
        <f aca="false">IF(B44="","",INDEX(LOTES!$B$5:$B$1004,MATCH(B44,LOTES!$AH$5:$AH$1004,0)))</f>
        <v>45813</v>
      </c>
      <c r="E44" s="19" t="str">
        <f aca="false">IF(B44="","",INDEX(LOTES!$C$5:$C$1004,MATCH(B44,LOTES!$AH$5:$AH$1004,0)))</f>
        <v>P2</v>
      </c>
      <c r="F44" s="30" t="n">
        <f aca="false">IF(B44="","",INDEX(LOTES!$P$5:$P$1004,MATCH(B44,LOTES!$AH$5:$AH$1004,0)))</f>
        <v>62.6958779617007</v>
      </c>
      <c r="G44" s="38" t="n">
        <f aca="false">IF(B44="","",INDEX(LOTES!$N$5:$N$1004,MATCH(B44,LOTES!$AH$5:$AH$1004,0)))</f>
        <v>0</v>
      </c>
      <c r="H44" s="30" t="n">
        <f aca="false">IF(B44="","",$C$8)</f>
        <v>75.7981093613235</v>
      </c>
      <c r="I44" s="30" t="n">
        <f aca="false">IF(OR(B44="",$C$10=""),"",$C$10)</f>
        <v>94.5514342262995</v>
      </c>
      <c r="J44" s="30" t="n">
        <f aca="false">IF(OR(B44="",$C$11=""),"",$C$11)</f>
        <v>57.0447844963474</v>
      </c>
      <c r="K44" s="19" t="str">
        <f aca="false">IF(OR(B44="",$C$10=""),"",IF(OR(F44&gt;$C$10,F44&lt;$C$11),"FUERA","OK"))</f>
        <v>OK</v>
      </c>
      <c r="AF44" s="36" t="str">
        <f aca="false">IF(B44="","",C44)</f>
        <v>8050625P2</v>
      </c>
      <c r="AG44" s="39" t="n">
        <f aca="false">IF(B44="",NA(),IF(F44="",NA(),F44))</f>
        <v>62.6958779617007</v>
      </c>
      <c r="AH44" s="39" t="n">
        <f aca="false">IF(B44="",NA(),IF(H44="",NA(),H44))</f>
        <v>75.7981093613235</v>
      </c>
      <c r="AI44" s="39" t="n">
        <f aca="false">IF(B44="",NA(),IF(I44="",NA(),I44))</f>
        <v>94.5514342262995</v>
      </c>
      <c r="AJ44" s="39" t="n">
        <f aca="false">IF(B44="",NA(),IF(J44="",NA(),J44))</f>
        <v>57.0447844963474</v>
      </c>
      <c r="AK44" s="36" t="e">
        <f aca="false">IF(OR(B44="",$C$12=""),NA(),$C$12)</f>
        <v>#N/A</v>
      </c>
    </row>
    <row r="45" customFormat="false" ht="15" hidden="false" customHeight="false" outlineLevel="0" collapsed="false">
      <c r="B45" s="19" t="n">
        <f aca="false">IF((MAX(0,$C$7-30)+29)&lt;=$C$7,(MAX(0,$C$7-30)+29),"")</f>
        <v>32</v>
      </c>
      <c r="C45" s="19" t="str">
        <f aca="false">IF(B45="","",INDEX(LOTES!$F$5:$F$1004,MATCH(B45,LOTES!$AH$5:$AH$1004,0)))</f>
        <v>8070625P2</v>
      </c>
      <c r="D45" s="37" t="n">
        <f aca="false">IF(B45="","",INDEX(LOTES!$B$5:$B$1004,MATCH(B45,LOTES!$AH$5:$AH$1004,0)))</f>
        <v>45815</v>
      </c>
      <c r="E45" s="19" t="str">
        <f aca="false">IF(B45="","",INDEX(LOTES!$C$5:$C$1004,MATCH(B45,LOTES!$AH$5:$AH$1004,0)))</f>
        <v>P2</v>
      </c>
      <c r="F45" s="30" t="n">
        <f aca="false">IF(B45="","",INDEX(LOTES!$P$5:$P$1004,MATCH(B45,LOTES!$AH$5:$AH$1004,0)))</f>
        <v>68.6553067185979</v>
      </c>
      <c r="G45" s="38" t="n">
        <f aca="false">IF(B45="","",INDEX(LOTES!$N$5:$N$1004,MATCH(B45,LOTES!$AH$5:$AH$1004,0)))</f>
        <v>3</v>
      </c>
      <c r="H45" s="30" t="n">
        <f aca="false">IF(B45="","",$C$8)</f>
        <v>75.7981093613235</v>
      </c>
      <c r="I45" s="30" t="n">
        <f aca="false">IF(OR(B45="",$C$10=""),"",$C$10)</f>
        <v>94.5514342262995</v>
      </c>
      <c r="J45" s="30" t="n">
        <f aca="false">IF(OR(B45="",$C$11=""),"",$C$11)</f>
        <v>57.0447844963474</v>
      </c>
      <c r="K45" s="19" t="str">
        <f aca="false">IF(OR(B45="",$C$10=""),"",IF(OR(F45&gt;$C$10,F45&lt;$C$11),"FUERA","OK"))</f>
        <v>OK</v>
      </c>
      <c r="AF45" s="36" t="str">
        <f aca="false">IF(B45="","",C45)</f>
        <v>8070625P2</v>
      </c>
      <c r="AG45" s="39" t="n">
        <f aca="false">IF(B45="",NA(),IF(F45="",NA(),F45))</f>
        <v>68.6553067185979</v>
      </c>
      <c r="AH45" s="39" t="n">
        <f aca="false">IF(B45="",NA(),IF(H45="",NA(),H45))</f>
        <v>75.7981093613235</v>
      </c>
      <c r="AI45" s="39" t="n">
        <f aca="false">IF(B45="",NA(),IF(I45="",NA(),I45))</f>
        <v>94.5514342262995</v>
      </c>
      <c r="AJ45" s="39" t="n">
        <f aca="false">IF(B45="",NA(),IF(J45="",NA(),J45))</f>
        <v>57.0447844963474</v>
      </c>
      <c r="AK45" s="36" t="e">
        <f aca="false">IF(OR(B45="",$C$12=""),NA(),$C$12)</f>
        <v>#N/A</v>
      </c>
    </row>
    <row r="46" customFormat="false" ht="15" hidden="false" customHeight="false" outlineLevel="0" collapsed="false">
      <c r="B46" s="19" t="n">
        <f aca="false">IF((MAX(0,$C$7-30)+30)&lt;=$C$7,(MAX(0,$C$7-30)+30),"")</f>
        <v>33</v>
      </c>
      <c r="C46" s="19" t="str">
        <f aca="false">IF(B46="","",INDEX(LOTES!$F$5:$F$1004,MATCH(B46,LOTES!$AH$5:$AH$1004,0)))</f>
        <v>8101125P1</v>
      </c>
      <c r="D46" s="37" t="n">
        <f aca="false">IF(B46="","",INDEX(LOTES!$B$5:$B$1004,MATCH(B46,LOTES!$AH$5:$AH$1004,0)))</f>
        <v>45971</v>
      </c>
      <c r="E46" s="19" t="str">
        <f aca="false">IF(B46="","",INDEX(LOTES!$C$5:$C$1004,MATCH(B46,LOTES!$AH$5:$AH$1004,0)))</f>
        <v>P1</v>
      </c>
      <c r="F46" s="30" t="n">
        <f aca="false">IF(B46="","",INDEX(LOTES!$P$5:$P$1004,MATCH(B46,LOTES!$AH$5:$AH$1004,0)))</f>
        <v>79.559558584875</v>
      </c>
      <c r="G46" s="38" t="n">
        <f aca="false">IF(B46="","",INDEX(LOTES!$N$5:$N$1004,MATCH(B46,LOTES!$AH$5:$AH$1004,0)))</f>
        <v>3</v>
      </c>
      <c r="H46" s="30" t="n">
        <f aca="false">IF(B46="","",$C$8)</f>
        <v>75.7981093613235</v>
      </c>
      <c r="I46" s="30" t="n">
        <f aca="false">IF(OR(B46="",$C$10=""),"",$C$10)</f>
        <v>94.5514342262995</v>
      </c>
      <c r="J46" s="30" t="n">
        <f aca="false">IF(OR(B46="",$C$11=""),"",$C$11)</f>
        <v>57.0447844963474</v>
      </c>
      <c r="K46" s="19" t="str">
        <f aca="false">IF(OR(B46="",$C$10=""),"",IF(OR(F46&gt;$C$10,F46&lt;$C$11),"FUERA","OK"))</f>
        <v>OK</v>
      </c>
      <c r="AF46" s="36" t="str">
        <f aca="false">IF(B46="","",C46)</f>
        <v>8101125P1</v>
      </c>
      <c r="AG46" s="39" t="n">
        <f aca="false">IF(B46="",NA(),IF(F46="",NA(),F46))</f>
        <v>79.559558584875</v>
      </c>
      <c r="AH46" s="39" t="n">
        <f aca="false">IF(B46="",NA(),IF(H46="",NA(),H46))</f>
        <v>75.7981093613235</v>
      </c>
      <c r="AI46" s="39" t="n">
        <f aca="false">IF(B46="",NA(),IF(I46="",NA(),I46))</f>
        <v>94.5514342262995</v>
      </c>
      <c r="AJ46" s="39" t="n">
        <f aca="false">IF(B46="",NA(),IF(J46="",NA(),J46))</f>
        <v>57.0447844963474</v>
      </c>
      <c r="AK46" s="36" t="e">
        <f aca="false">IF(OR(B46="",$C$12=""),NA(),$C$12)</f>
        <v>#N/A</v>
      </c>
    </row>
  </sheetData>
  <sheetProtection sheet="true" formatCells="false" formatColumns="false" formatRows="false" sort="false" autoFilter="false"/>
  <conditionalFormatting sqref="G6:G15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{9B4341EB-C399-4A00-87FD-1988BD18C084}</x14:id>
        </ext>
      </extLst>
    </cfRule>
  </conditionalFormatting>
  <conditionalFormatting sqref="K17:K46">
    <cfRule type="cellIs" priority="3" operator="equal" aboveAverage="0" equalAverage="0" bottom="0" percent="0" rank="0" text="" dxfId="13">
      <formula>"FUERA"</formula>
    </cfRule>
  </conditionalFormatting>
  <conditionalFormatting sqref="F17:F46">
    <cfRule type="expression" priority="4" aboveAverage="0" equalAverage="0" bottom="0" percent="0" rank="0" text="" dxfId="15">
      <formula>AND($C$12&lt;&gt;"",N(F17)&gt;0,F17&lt;$C$12)</formula>
    </cfRule>
  </conditionalFormatting>
  <dataValidations count="2">
    <dataValidation allowBlank="true" errorStyle="stop" operator="between" showDropDown="false" showErrorMessage="true" showInputMessage="false" sqref="C4" type="list">
      <formula1>CONFIG!$U$5:$U$15</formula1>
      <formula2>0</formula2>
    </dataValidation>
    <dataValidation allowBlank="true" errorStyle="stop" operator="between" showDropDown="false" showErrorMessage="true" showInputMessage="false" sqref="C5" type="list">
      <formula1>CONFIG!$D$5:$D$14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4341EB-C399-4A00-87FD-1988BD18C084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G6:G15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8" style="0" width="100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5" t="s">
        <v>268</v>
      </c>
    </row>
    <row r="4" customFormat="false" ht="45" hidden="false" customHeight="true" outlineLevel="0" collapsed="false">
      <c r="A4" s="7" t="s">
        <v>110</v>
      </c>
      <c r="B4" s="7" t="s">
        <v>269</v>
      </c>
      <c r="C4" s="7" t="s">
        <v>270</v>
      </c>
      <c r="D4" s="7" t="s">
        <v>271</v>
      </c>
      <c r="E4" s="7" t="s">
        <v>71</v>
      </c>
      <c r="F4" s="7" t="s">
        <v>272</v>
      </c>
    </row>
    <row r="5" customFormat="false" ht="15" hidden="false" customHeight="false" outlineLevel="0" collapsed="false">
      <c r="A5" s="19" t="n">
        <v>1</v>
      </c>
      <c r="B5" s="40" t="n">
        <v>0.7</v>
      </c>
      <c r="C5" s="19" t="n">
        <f aca="false">COUNTIFS(LOTES!$N$5:$N$1004,A5,LOTES!$W$5:$W$1004,"&gt;0")</f>
        <v>0</v>
      </c>
      <c r="D5" s="41" t="str">
        <f aca="false">IF(C5=0,"",AVERAGEIFS(LOTES!$W$5:$W$1004,LOTES!$N$5:$N$1004,A5,LOTES!$W$5:$W$1004,"&gt;0"))</f>
        <v/>
      </c>
      <c r="E5" s="41" t="n">
        <f aca="false">IF(A5&gt;=CONFIG!$B$27,1,IF(AND(C5&gt;=CONFIG!$B$28,D5&lt;&gt;""),D5,B5))</f>
        <v>0.7</v>
      </c>
      <c r="F5" s="19" t="str">
        <f aca="false">IF(A5&gt;=CONFIG!$B$27,"28 días",IF(AND(C5&gt;=CONFIG!$B$28,D5&lt;&gt;""),"Tus datos","Inicial (histórico)"))</f>
        <v>Inicial (histórico)</v>
      </c>
      <c r="H5" s="28" t="s">
        <v>273</v>
      </c>
    </row>
    <row r="6" customFormat="false" ht="15" hidden="false" customHeight="false" outlineLevel="0" collapsed="false">
      <c r="A6" s="19" t="n">
        <v>2</v>
      </c>
      <c r="B6" s="40" t="n">
        <v>0.77</v>
      </c>
      <c r="C6" s="19" t="n">
        <f aca="false">COUNTIFS(LOTES!$N$5:$N$1004,A6,LOTES!$W$5:$W$1004,"&gt;0")</f>
        <v>0</v>
      </c>
      <c r="D6" s="41" t="str">
        <f aca="false">IF(C6=0,"",AVERAGEIFS(LOTES!$W$5:$W$1004,LOTES!$N$5:$N$1004,A6,LOTES!$W$5:$W$1004,"&gt;0"))</f>
        <v/>
      </c>
      <c r="E6" s="41" t="n">
        <f aca="false">IF(A6&gt;=CONFIG!$B$27,1,IF(AND(C6&gt;=CONFIG!$B$28,D6&lt;&gt;""),D6,B6))</f>
        <v>0.77</v>
      </c>
      <c r="F6" s="19" t="str">
        <f aca="false">IF(A6&gt;=CONFIG!$B$27,"28 días",IF(AND(C6&gt;=CONFIG!$B$28,D6&lt;&gt;""),"Tus datos","Inicial (histórico)"))</f>
        <v>Inicial (histórico)</v>
      </c>
      <c r="H6" s="42" t="s">
        <v>274</v>
      </c>
    </row>
    <row r="7" customFormat="false" ht="15" hidden="false" customHeight="false" outlineLevel="0" collapsed="false">
      <c r="A7" s="19" t="n">
        <v>3</v>
      </c>
      <c r="B7" s="40" t="n">
        <v>0.84</v>
      </c>
      <c r="C7" s="19" t="n">
        <f aca="false">COUNTIFS(LOTES!$N$5:$N$1004,A7,LOTES!$W$5:$W$1004,"&gt;0")</f>
        <v>0</v>
      </c>
      <c r="D7" s="41" t="str">
        <f aca="false">IF(C7=0,"",AVERAGEIFS(LOTES!$W$5:$W$1004,LOTES!$N$5:$N$1004,A7,LOTES!$W$5:$W$1004,"&gt;0"))</f>
        <v/>
      </c>
      <c r="E7" s="41" t="n">
        <f aca="false">IF(A7&gt;=CONFIG!$B$27,1,IF(AND(C7&gt;=CONFIG!$B$28,D7&lt;&gt;""),D7,B7))</f>
        <v>0.84</v>
      </c>
      <c r="F7" s="19" t="str">
        <f aca="false">IF(A7&gt;=CONFIG!$B$27,"28 días",IF(AND(C7&gt;=CONFIG!$B$28,D7&lt;&gt;""),"Tus datos","Inicial (histórico)"))</f>
        <v>Inicial (histórico)</v>
      </c>
      <c r="H7" s="42" t="s">
        <v>275</v>
      </c>
    </row>
    <row r="8" customFormat="false" ht="15" hidden="false" customHeight="false" outlineLevel="0" collapsed="false">
      <c r="A8" s="19" t="n">
        <v>4</v>
      </c>
      <c r="B8" s="40" t="n">
        <v>0.87</v>
      </c>
      <c r="C8" s="19" t="n">
        <f aca="false">COUNTIFS(LOTES!$N$5:$N$1004,A8,LOTES!$W$5:$W$1004,"&gt;0")</f>
        <v>0</v>
      </c>
      <c r="D8" s="41" t="str">
        <f aca="false">IF(C8=0,"",AVERAGEIFS(LOTES!$W$5:$W$1004,LOTES!$N$5:$N$1004,A8,LOTES!$W$5:$W$1004,"&gt;0"))</f>
        <v/>
      </c>
      <c r="E8" s="41" t="n">
        <f aca="false">IF(A8&gt;=CONFIG!$B$27,1,IF(AND(C8&gt;=CONFIG!$B$28,D8&lt;&gt;""),D8,B8))</f>
        <v>0.87</v>
      </c>
      <c r="F8" s="19" t="str">
        <f aca="false">IF(A8&gt;=CONFIG!$B$27,"28 días",IF(AND(C8&gt;=CONFIG!$B$28,D8&lt;&gt;""),"Tus datos","Inicial (histórico)"))</f>
        <v>Inicial (histórico)</v>
      </c>
      <c r="H8" s="42" t="s">
        <v>276</v>
      </c>
    </row>
    <row r="9" customFormat="false" ht="15" hidden="false" customHeight="false" outlineLevel="0" collapsed="false">
      <c r="A9" s="19" t="n">
        <v>5</v>
      </c>
      <c r="B9" s="40" t="n">
        <v>0.89</v>
      </c>
      <c r="C9" s="19" t="n">
        <f aca="false">COUNTIFS(LOTES!$N$5:$N$1004,A9,LOTES!$W$5:$W$1004,"&gt;0")</f>
        <v>0</v>
      </c>
      <c r="D9" s="41" t="str">
        <f aca="false">IF(C9=0,"",AVERAGEIFS(LOTES!$W$5:$W$1004,LOTES!$N$5:$N$1004,A9,LOTES!$W$5:$W$1004,"&gt;0"))</f>
        <v/>
      </c>
      <c r="E9" s="41" t="n">
        <f aca="false">IF(A9&gt;=CONFIG!$B$27,1,IF(AND(C9&gt;=CONFIG!$B$28,D9&lt;&gt;""),D9,B9))</f>
        <v>0.89</v>
      </c>
      <c r="F9" s="19" t="str">
        <f aca="false">IF(A9&gt;=CONFIG!$B$27,"28 días",IF(AND(C9&gt;=CONFIG!$B$28,D9&lt;&gt;""),"Tus datos","Inicial (histórico)"))</f>
        <v>Inicial (histórico)</v>
      </c>
      <c r="H9" s="42" t="s">
        <v>277</v>
      </c>
    </row>
    <row r="10" customFormat="false" ht="15" hidden="false" customHeight="false" outlineLevel="0" collapsed="false">
      <c r="A10" s="19" t="n">
        <v>6</v>
      </c>
      <c r="B10" s="40" t="n">
        <v>0.9</v>
      </c>
      <c r="C10" s="19" t="n">
        <f aca="false">COUNTIFS(LOTES!$N$5:$N$1004,A10,LOTES!$W$5:$W$1004,"&gt;0")</f>
        <v>0</v>
      </c>
      <c r="D10" s="41" t="str">
        <f aca="false">IF(C10=0,"",AVERAGEIFS(LOTES!$W$5:$W$1004,LOTES!$N$5:$N$1004,A10,LOTES!$W$5:$W$1004,"&gt;0"))</f>
        <v/>
      </c>
      <c r="E10" s="41" t="n">
        <f aca="false">IF(A10&gt;=CONFIG!$B$27,1,IF(AND(C10&gt;=CONFIG!$B$28,D10&lt;&gt;""),D10,B10))</f>
        <v>0.9</v>
      </c>
      <c r="F10" s="19" t="str">
        <f aca="false">IF(A10&gt;=CONFIG!$B$27,"28 días",IF(AND(C10&gt;=CONFIG!$B$28,D10&lt;&gt;""),"Tus datos","Inicial (histórico)"))</f>
        <v>Inicial (histórico)</v>
      </c>
    </row>
    <row r="11" customFormat="false" ht="15" hidden="false" customHeight="false" outlineLevel="0" collapsed="false">
      <c r="A11" s="19" t="n">
        <v>7</v>
      </c>
      <c r="B11" s="40" t="n">
        <v>0.91</v>
      </c>
      <c r="C11" s="19" t="n">
        <f aca="false">COUNTIFS(LOTES!$N$5:$N$1004,A11,LOTES!$W$5:$W$1004,"&gt;0")</f>
        <v>0</v>
      </c>
      <c r="D11" s="41" t="str">
        <f aca="false">IF(C11=0,"",AVERAGEIFS(LOTES!$W$5:$W$1004,LOTES!$N$5:$N$1004,A11,LOTES!$W$5:$W$1004,"&gt;0"))</f>
        <v/>
      </c>
      <c r="E11" s="41" t="n">
        <f aca="false">IF(A11&gt;=CONFIG!$B$27,1,IF(AND(C11&gt;=CONFIG!$B$28,D11&lt;&gt;""),D11,B11))</f>
        <v>0.91</v>
      </c>
      <c r="F11" s="19" t="str">
        <f aca="false">IF(A11&gt;=CONFIG!$B$27,"28 días",IF(AND(C11&gt;=CONFIG!$B$28,D11&lt;&gt;""),"Tus datos","Inicial (histórico)"))</f>
        <v>Inicial (histórico)</v>
      </c>
    </row>
    <row r="12" customFormat="false" ht="15" hidden="false" customHeight="false" outlineLevel="0" collapsed="false">
      <c r="A12" s="19" t="n">
        <v>8</v>
      </c>
      <c r="B12" s="40" t="n">
        <v>0.917</v>
      </c>
      <c r="C12" s="19" t="n">
        <f aca="false">COUNTIFS(LOTES!$N$5:$N$1004,A12,LOTES!$W$5:$W$1004,"&gt;0")</f>
        <v>0</v>
      </c>
      <c r="D12" s="41" t="str">
        <f aca="false">IF(C12=0,"",AVERAGEIFS(LOTES!$W$5:$W$1004,LOTES!$N$5:$N$1004,A12,LOTES!$W$5:$W$1004,"&gt;0"))</f>
        <v/>
      </c>
      <c r="E12" s="41" t="n">
        <f aca="false">IF(A12&gt;=CONFIG!$B$27,1,IF(AND(C12&gt;=CONFIG!$B$28,D12&lt;&gt;""),D12,B12))</f>
        <v>0.917</v>
      </c>
      <c r="F12" s="19" t="str">
        <f aca="false">IF(A12&gt;=CONFIG!$B$27,"28 días",IF(AND(C12&gt;=CONFIG!$B$28,D12&lt;&gt;""),"Tus datos","Inicial (histórico)"))</f>
        <v>Inicial (histórico)</v>
      </c>
    </row>
    <row r="13" customFormat="false" ht="15" hidden="false" customHeight="false" outlineLevel="0" collapsed="false">
      <c r="A13" s="19" t="n">
        <v>9</v>
      </c>
      <c r="B13" s="40" t="n">
        <v>0.924</v>
      </c>
      <c r="C13" s="19" t="n">
        <f aca="false">COUNTIFS(LOTES!$N$5:$N$1004,A13,LOTES!$W$5:$W$1004,"&gt;0")</f>
        <v>0</v>
      </c>
      <c r="D13" s="41" t="str">
        <f aca="false">IF(C13=0,"",AVERAGEIFS(LOTES!$W$5:$W$1004,LOTES!$N$5:$N$1004,A13,LOTES!$W$5:$W$1004,"&gt;0"))</f>
        <v/>
      </c>
      <c r="E13" s="41" t="n">
        <f aca="false">IF(A13&gt;=CONFIG!$B$27,1,IF(AND(C13&gt;=CONFIG!$B$28,D13&lt;&gt;""),D13,B13))</f>
        <v>0.924</v>
      </c>
      <c r="F13" s="19" t="str">
        <f aca="false">IF(A13&gt;=CONFIG!$B$27,"28 días",IF(AND(C13&gt;=CONFIG!$B$28,D13&lt;&gt;""),"Tus datos","Inicial (histórico)"))</f>
        <v>Inicial (histórico)</v>
      </c>
    </row>
    <row r="14" customFormat="false" ht="15" hidden="false" customHeight="false" outlineLevel="0" collapsed="false">
      <c r="A14" s="19" t="n">
        <v>10</v>
      </c>
      <c r="B14" s="40" t="n">
        <v>0.931</v>
      </c>
      <c r="C14" s="19" t="n">
        <f aca="false">COUNTIFS(LOTES!$N$5:$N$1004,A14,LOTES!$W$5:$W$1004,"&gt;0")</f>
        <v>0</v>
      </c>
      <c r="D14" s="41" t="str">
        <f aca="false">IF(C14=0,"",AVERAGEIFS(LOTES!$W$5:$W$1004,LOTES!$N$5:$N$1004,A14,LOTES!$W$5:$W$1004,"&gt;0"))</f>
        <v/>
      </c>
      <c r="E14" s="41" t="n">
        <f aca="false">IF(A14&gt;=CONFIG!$B$27,1,IF(AND(C14&gt;=CONFIG!$B$28,D14&lt;&gt;""),D14,B14))</f>
        <v>0.931</v>
      </c>
      <c r="F14" s="19" t="str">
        <f aca="false">IF(A14&gt;=CONFIG!$B$27,"28 días",IF(AND(C14&gt;=CONFIG!$B$28,D14&lt;&gt;""),"Tus datos","Inicial (histórico)"))</f>
        <v>Inicial (histórico)</v>
      </c>
    </row>
    <row r="15" customFormat="false" ht="15" hidden="false" customHeight="false" outlineLevel="0" collapsed="false">
      <c r="A15" s="19" t="n">
        <v>11</v>
      </c>
      <c r="B15" s="40" t="n">
        <v>0.939</v>
      </c>
      <c r="C15" s="19" t="n">
        <f aca="false">COUNTIFS(LOTES!$N$5:$N$1004,A15,LOTES!$W$5:$W$1004,"&gt;0")</f>
        <v>0</v>
      </c>
      <c r="D15" s="41" t="str">
        <f aca="false">IF(C15=0,"",AVERAGEIFS(LOTES!$W$5:$W$1004,LOTES!$N$5:$N$1004,A15,LOTES!$W$5:$W$1004,"&gt;0"))</f>
        <v/>
      </c>
      <c r="E15" s="41" t="n">
        <f aca="false">IF(A15&gt;=CONFIG!$B$27,1,IF(AND(C15&gt;=CONFIG!$B$28,D15&lt;&gt;""),D15,B15))</f>
        <v>0.939</v>
      </c>
      <c r="F15" s="19" t="str">
        <f aca="false">IF(A15&gt;=CONFIG!$B$27,"28 días",IF(AND(C15&gt;=CONFIG!$B$28,D15&lt;&gt;""),"Tus datos","Inicial (histórico)"))</f>
        <v>Inicial (histórico)</v>
      </c>
    </row>
    <row r="16" customFormat="false" ht="15" hidden="false" customHeight="false" outlineLevel="0" collapsed="false">
      <c r="A16" s="19" t="n">
        <v>12</v>
      </c>
      <c r="B16" s="40" t="n">
        <v>0.946</v>
      </c>
      <c r="C16" s="19" t="n">
        <f aca="false">COUNTIFS(LOTES!$N$5:$N$1004,A16,LOTES!$W$5:$W$1004,"&gt;0")</f>
        <v>0</v>
      </c>
      <c r="D16" s="41" t="str">
        <f aca="false">IF(C16=0,"",AVERAGEIFS(LOTES!$W$5:$W$1004,LOTES!$N$5:$N$1004,A16,LOTES!$W$5:$W$1004,"&gt;0"))</f>
        <v/>
      </c>
      <c r="E16" s="41" t="n">
        <f aca="false">IF(A16&gt;=CONFIG!$B$27,1,IF(AND(C16&gt;=CONFIG!$B$28,D16&lt;&gt;""),D16,B16))</f>
        <v>0.946</v>
      </c>
      <c r="F16" s="19" t="str">
        <f aca="false">IF(A16&gt;=CONFIG!$B$27,"28 días",IF(AND(C16&gt;=CONFIG!$B$28,D16&lt;&gt;""),"Tus datos","Inicial (histórico)"))</f>
        <v>Inicial (histórico)</v>
      </c>
    </row>
    <row r="17" customFormat="false" ht="15" hidden="false" customHeight="false" outlineLevel="0" collapsed="false">
      <c r="A17" s="19" t="n">
        <v>13</v>
      </c>
      <c r="B17" s="40" t="n">
        <v>0.953</v>
      </c>
      <c r="C17" s="19" t="n">
        <f aca="false">COUNTIFS(LOTES!$N$5:$N$1004,A17,LOTES!$W$5:$W$1004,"&gt;0")</f>
        <v>0</v>
      </c>
      <c r="D17" s="41" t="str">
        <f aca="false">IF(C17=0,"",AVERAGEIFS(LOTES!$W$5:$W$1004,LOTES!$N$5:$N$1004,A17,LOTES!$W$5:$W$1004,"&gt;0"))</f>
        <v/>
      </c>
      <c r="E17" s="41" t="n">
        <f aca="false">IF(A17&gt;=CONFIG!$B$27,1,IF(AND(C17&gt;=CONFIG!$B$28,D17&lt;&gt;""),D17,B17))</f>
        <v>0.953</v>
      </c>
      <c r="F17" s="19" t="str">
        <f aca="false">IF(A17&gt;=CONFIG!$B$27,"28 días",IF(AND(C17&gt;=CONFIG!$B$28,D17&lt;&gt;""),"Tus datos","Inicial (histórico)"))</f>
        <v>Inicial (histórico)</v>
      </c>
    </row>
    <row r="18" customFormat="false" ht="15" hidden="false" customHeight="false" outlineLevel="0" collapsed="false">
      <c r="A18" s="19" t="n">
        <v>14</v>
      </c>
      <c r="B18" s="40" t="n">
        <v>0.96</v>
      </c>
      <c r="C18" s="19" t="n">
        <f aca="false">COUNTIFS(LOTES!$N$5:$N$1004,A18,LOTES!$W$5:$W$1004,"&gt;0")</f>
        <v>0</v>
      </c>
      <c r="D18" s="41" t="str">
        <f aca="false">IF(C18=0,"",AVERAGEIFS(LOTES!$W$5:$W$1004,LOTES!$N$5:$N$1004,A18,LOTES!$W$5:$W$1004,"&gt;0"))</f>
        <v/>
      </c>
      <c r="E18" s="41" t="n">
        <f aca="false">IF(A18&gt;=CONFIG!$B$27,1,IF(AND(C18&gt;=CONFIG!$B$28,D18&lt;&gt;""),D18,B18))</f>
        <v>0.96</v>
      </c>
      <c r="F18" s="19" t="str">
        <f aca="false">IF(A18&gt;=CONFIG!$B$27,"28 días",IF(AND(C18&gt;=CONFIG!$B$28,D18&lt;&gt;""),"Tus datos","Inicial (histórico)"))</f>
        <v>Inicial (histórico)</v>
      </c>
    </row>
    <row r="19" customFormat="false" ht="15" hidden="false" customHeight="false" outlineLevel="0" collapsed="false">
      <c r="A19" s="19" t="n">
        <v>15</v>
      </c>
      <c r="B19" s="40" t="n">
        <v>0.963</v>
      </c>
      <c r="C19" s="19" t="n">
        <f aca="false">COUNTIFS(LOTES!$N$5:$N$1004,A19,LOTES!$W$5:$W$1004,"&gt;0")</f>
        <v>0</v>
      </c>
      <c r="D19" s="41" t="str">
        <f aca="false">IF(C19=0,"",AVERAGEIFS(LOTES!$W$5:$W$1004,LOTES!$N$5:$N$1004,A19,LOTES!$W$5:$W$1004,"&gt;0"))</f>
        <v/>
      </c>
      <c r="E19" s="41" t="n">
        <f aca="false">IF(A19&gt;=CONFIG!$B$27,1,IF(AND(C19&gt;=CONFIG!$B$28,D19&lt;&gt;""),D19,B19))</f>
        <v>0.963</v>
      </c>
      <c r="F19" s="19" t="str">
        <f aca="false">IF(A19&gt;=CONFIG!$B$27,"28 días",IF(AND(C19&gt;=CONFIG!$B$28,D19&lt;&gt;""),"Tus datos","Inicial (histórico)"))</f>
        <v>Inicial (histórico)</v>
      </c>
    </row>
    <row r="20" customFormat="false" ht="15" hidden="false" customHeight="false" outlineLevel="0" collapsed="false">
      <c r="A20" s="19" t="n">
        <v>16</v>
      </c>
      <c r="B20" s="40" t="n">
        <v>0.966</v>
      </c>
      <c r="C20" s="19" t="n">
        <f aca="false">COUNTIFS(LOTES!$N$5:$N$1004,A20,LOTES!$W$5:$W$1004,"&gt;0")</f>
        <v>0</v>
      </c>
      <c r="D20" s="41" t="str">
        <f aca="false">IF(C20=0,"",AVERAGEIFS(LOTES!$W$5:$W$1004,LOTES!$N$5:$N$1004,A20,LOTES!$W$5:$W$1004,"&gt;0"))</f>
        <v/>
      </c>
      <c r="E20" s="41" t="n">
        <f aca="false">IF(A20&gt;=CONFIG!$B$27,1,IF(AND(C20&gt;=CONFIG!$B$28,D20&lt;&gt;""),D20,B20))</f>
        <v>0.966</v>
      </c>
      <c r="F20" s="19" t="str">
        <f aca="false">IF(A20&gt;=CONFIG!$B$27,"28 días",IF(AND(C20&gt;=CONFIG!$B$28,D20&lt;&gt;""),"Tus datos","Inicial (histórico)"))</f>
        <v>Inicial (histórico)</v>
      </c>
    </row>
    <row r="21" customFormat="false" ht="15" hidden="false" customHeight="false" outlineLevel="0" collapsed="false">
      <c r="A21" s="19" t="n">
        <v>17</v>
      </c>
      <c r="B21" s="40" t="n">
        <v>0.969</v>
      </c>
      <c r="C21" s="19" t="n">
        <f aca="false">COUNTIFS(LOTES!$N$5:$N$1004,A21,LOTES!$W$5:$W$1004,"&gt;0")</f>
        <v>0</v>
      </c>
      <c r="D21" s="41" t="str">
        <f aca="false">IF(C21=0,"",AVERAGEIFS(LOTES!$W$5:$W$1004,LOTES!$N$5:$N$1004,A21,LOTES!$W$5:$W$1004,"&gt;0"))</f>
        <v/>
      </c>
      <c r="E21" s="41" t="n">
        <f aca="false">IF(A21&gt;=CONFIG!$B$27,1,IF(AND(C21&gt;=CONFIG!$B$28,D21&lt;&gt;""),D21,B21))</f>
        <v>0.969</v>
      </c>
      <c r="F21" s="19" t="str">
        <f aca="false">IF(A21&gt;=CONFIG!$B$27,"28 días",IF(AND(C21&gt;=CONFIG!$B$28,D21&lt;&gt;""),"Tus datos","Inicial (histórico)"))</f>
        <v>Inicial (histórico)</v>
      </c>
    </row>
    <row r="22" customFormat="false" ht="15" hidden="false" customHeight="false" outlineLevel="0" collapsed="false">
      <c r="A22" s="19" t="n">
        <v>18</v>
      </c>
      <c r="B22" s="40" t="n">
        <v>0.971</v>
      </c>
      <c r="C22" s="19" t="n">
        <f aca="false">COUNTIFS(LOTES!$N$5:$N$1004,A22,LOTES!$W$5:$W$1004,"&gt;0")</f>
        <v>0</v>
      </c>
      <c r="D22" s="41" t="str">
        <f aca="false">IF(C22=0,"",AVERAGEIFS(LOTES!$W$5:$W$1004,LOTES!$N$5:$N$1004,A22,LOTES!$W$5:$W$1004,"&gt;0"))</f>
        <v/>
      </c>
      <c r="E22" s="41" t="n">
        <f aca="false">IF(A22&gt;=CONFIG!$B$27,1,IF(AND(C22&gt;=CONFIG!$B$28,D22&lt;&gt;""),D22,B22))</f>
        <v>0.971</v>
      </c>
      <c r="F22" s="19" t="str">
        <f aca="false">IF(A22&gt;=CONFIG!$B$27,"28 días",IF(AND(C22&gt;=CONFIG!$B$28,D22&lt;&gt;""),"Tus datos","Inicial (histórico)"))</f>
        <v>Inicial (histórico)</v>
      </c>
    </row>
    <row r="23" customFormat="false" ht="15" hidden="false" customHeight="false" outlineLevel="0" collapsed="false">
      <c r="A23" s="19" t="n">
        <v>19</v>
      </c>
      <c r="B23" s="40" t="n">
        <v>0.974</v>
      </c>
      <c r="C23" s="19" t="n">
        <f aca="false">COUNTIFS(LOTES!$N$5:$N$1004,A23,LOTES!$W$5:$W$1004,"&gt;0")</f>
        <v>0</v>
      </c>
      <c r="D23" s="41" t="str">
        <f aca="false">IF(C23=0,"",AVERAGEIFS(LOTES!$W$5:$W$1004,LOTES!$N$5:$N$1004,A23,LOTES!$W$5:$W$1004,"&gt;0"))</f>
        <v/>
      </c>
      <c r="E23" s="41" t="n">
        <f aca="false">IF(A23&gt;=CONFIG!$B$27,1,IF(AND(C23&gt;=CONFIG!$B$28,D23&lt;&gt;""),D23,B23))</f>
        <v>0.974</v>
      </c>
      <c r="F23" s="19" t="str">
        <f aca="false">IF(A23&gt;=CONFIG!$B$27,"28 días",IF(AND(C23&gt;=CONFIG!$B$28,D23&lt;&gt;""),"Tus datos","Inicial (histórico)"))</f>
        <v>Inicial (histórico)</v>
      </c>
    </row>
    <row r="24" customFormat="false" ht="15" hidden="false" customHeight="false" outlineLevel="0" collapsed="false">
      <c r="A24" s="19" t="n">
        <v>20</v>
      </c>
      <c r="B24" s="40" t="n">
        <v>0.977</v>
      </c>
      <c r="C24" s="19" t="n">
        <f aca="false">COUNTIFS(LOTES!$N$5:$N$1004,A24,LOTES!$W$5:$W$1004,"&gt;0")</f>
        <v>0</v>
      </c>
      <c r="D24" s="41" t="str">
        <f aca="false">IF(C24=0,"",AVERAGEIFS(LOTES!$W$5:$W$1004,LOTES!$N$5:$N$1004,A24,LOTES!$W$5:$W$1004,"&gt;0"))</f>
        <v/>
      </c>
      <c r="E24" s="41" t="n">
        <f aca="false">IF(A24&gt;=CONFIG!$B$27,1,IF(AND(C24&gt;=CONFIG!$B$28,D24&lt;&gt;""),D24,B24))</f>
        <v>0.977</v>
      </c>
      <c r="F24" s="19" t="str">
        <f aca="false">IF(A24&gt;=CONFIG!$B$27,"28 días",IF(AND(C24&gt;=CONFIG!$B$28,D24&lt;&gt;""),"Tus datos","Inicial (histórico)"))</f>
        <v>Inicial (histórico)</v>
      </c>
    </row>
    <row r="25" customFormat="false" ht="15" hidden="false" customHeight="false" outlineLevel="0" collapsed="false">
      <c r="A25" s="19" t="n">
        <v>21</v>
      </c>
      <c r="B25" s="40" t="n">
        <v>0.98</v>
      </c>
      <c r="C25" s="19" t="n">
        <f aca="false">COUNTIFS(LOTES!$N$5:$N$1004,A25,LOTES!$W$5:$W$1004,"&gt;0")</f>
        <v>0</v>
      </c>
      <c r="D25" s="41" t="str">
        <f aca="false">IF(C25=0,"",AVERAGEIFS(LOTES!$W$5:$W$1004,LOTES!$N$5:$N$1004,A25,LOTES!$W$5:$W$1004,"&gt;0"))</f>
        <v/>
      </c>
      <c r="E25" s="41" t="n">
        <f aca="false">IF(A25&gt;=CONFIG!$B$27,1,IF(AND(C25&gt;=CONFIG!$B$28,D25&lt;&gt;""),D25,B25))</f>
        <v>0.98</v>
      </c>
      <c r="F25" s="19" t="str">
        <f aca="false">IF(A25&gt;=CONFIG!$B$27,"28 días",IF(AND(C25&gt;=CONFIG!$B$28,D25&lt;&gt;""),"Tus datos","Inicial (histórico)"))</f>
        <v>Inicial (histórico)</v>
      </c>
    </row>
    <row r="26" customFormat="false" ht="15" hidden="false" customHeight="false" outlineLevel="0" collapsed="false">
      <c r="A26" s="19" t="n">
        <v>22</v>
      </c>
      <c r="B26" s="40" t="n">
        <v>0.983</v>
      </c>
      <c r="C26" s="19" t="n">
        <f aca="false">COUNTIFS(LOTES!$N$5:$N$1004,A26,LOTES!$W$5:$W$1004,"&gt;0")</f>
        <v>0</v>
      </c>
      <c r="D26" s="41" t="str">
        <f aca="false">IF(C26=0,"",AVERAGEIFS(LOTES!$W$5:$W$1004,LOTES!$N$5:$N$1004,A26,LOTES!$W$5:$W$1004,"&gt;0"))</f>
        <v/>
      </c>
      <c r="E26" s="41" t="n">
        <f aca="false">IF(A26&gt;=CONFIG!$B$27,1,IF(AND(C26&gt;=CONFIG!$B$28,D26&lt;&gt;""),D26,B26))</f>
        <v>0.983</v>
      </c>
      <c r="F26" s="19" t="str">
        <f aca="false">IF(A26&gt;=CONFIG!$B$27,"28 días",IF(AND(C26&gt;=CONFIG!$B$28,D26&lt;&gt;""),"Tus datos","Inicial (histórico)"))</f>
        <v>Inicial (histórico)</v>
      </c>
    </row>
    <row r="27" customFormat="false" ht="15" hidden="false" customHeight="false" outlineLevel="0" collapsed="false">
      <c r="A27" s="19" t="n">
        <v>23</v>
      </c>
      <c r="B27" s="40" t="n">
        <v>0.986</v>
      </c>
      <c r="C27" s="19" t="n">
        <f aca="false">COUNTIFS(LOTES!$N$5:$N$1004,A27,LOTES!$W$5:$W$1004,"&gt;0")</f>
        <v>0</v>
      </c>
      <c r="D27" s="41" t="str">
        <f aca="false">IF(C27=0,"",AVERAGEIFS(LOTES!$W$5:$W$1004,LOTES!$N$5:$N$1004,A27,LOTES!$W$5:$W$1004,"&gt;0"))</f>
        <v/>
      </c>
      <c r="E27" s="41" t="n">
        <f aca="false">IF(A27&gt;=CONFIG!$B$27,1,IF(AND(C27&gt;=CONFIG!$B$28,D27&lt;&gt;""),D27,B27))</f>
        <v>0.986</v>
      </c>
      <c r="F27" s="19" t="str">
        <f aca="false">IF(A27&gt;=CONFIG!$B$27,"28 días",IF(AND(C27&gt;=CONFIG!$B$28,D27&lt;&gt;""),"Tus datos","Inicial (histórico)"))</f>
        <v>Inicial (histórico)</v>
      </c>
    </row>
    <row r="28" customFormat="false" ht="15" hidden="false" customHeight="false" outlineLevel="0" collapsed="false">
      <c r="A28" s="19" t="n">
        <v>24</v>
      </c>
      <c r="B28" s="40" t="n">
        <v>0.989</v>
      </c>
      <c r="C28" s="19" t="n">
        <f aca="false">COUNTIFS(LOTES!$N$5:$N$1004,A28,LOTES!$W$5:$W$1004,"&gt;0")</f>
        <v>0</v>
      </c>
      <c r="D28" s="41" t="str">
        <f aca="false">IF(C28=0,"",AVERAGEIFS(LOTES!$W$5:$W$1004,LOTES!$N$5:$N$1004,A28,LOTES!$W$5:$W$1004,"&gt;0"))</f>
        <v/>
      </c>
      <c r="E28" s="41" t="n">
        <f aca="false">IF(A28&gt;=CONFIG!$B$27,1,IF(AND(C28&gt;=CONFIG!$B$28,D28&lt;&gt;""),D28,B28))</f>
        <v>0.989</v>
      </c>
      <c r="F28" s="19" t="str">
        <f aca="false">IF(A28&gt;=CONFIG!$B$27,"28 días",IF(AND(C28&gt;=CONFIG!$B$28,D28&lt;&gt;""),"Tus datos","Inicial (histórico)"))</f>
        <v>Inicial (histórico)</v>
      </c>
    </row>
    <row r="29" customFormat="false" ht="15" hidden="false" customHeight="false" outlineLevel="0" collapsed="false">
      <c r="A29" s="19" t="n">
        <v>25</v>
      </c>
      <c r="B29" s="40" t="n">
        <v>0.991</v>
      </c>
      <c r="C29" s="19" t="n">
        <f aca="false">COUNTIFS(LOTES!$N$5:$N$1004,A29,LOTES!$W$5:$W$1004,"&gt;0")</f>
        <v>0</v>
      </c>
      <c r="D29" s="41" t="str">
        <f aca="false">IF(C29=0,"",AVERAGEIFS(LOTES!$W$5:$W$1004,LOTES!$N$5:$N$1004,A29,LOTES!$W$5:$W$1004,"&gt;0"))</f>
        <v/>
      </c>
      <c r="E29" s="41" t="n">
        <f aca="false">IF(A29&gt;=CONFIG!$B$27,1,IF(AND(C29&gt;=CONFIG!$B$28,D29&lt;&gt;""),D29,B29))</f>
        <v>0.991</v>
      </c>
      <c r="F29" s="19" t="str">
        <f aca="false">IF(A29&gt;=CONFIG!$B$27,"28 días",IF(AND(C29&gt;=CONFIG!$B$28,D29&lt;&gt;""),"Tus datos","Inicial (histórico)"))</f>
        <v>Inicial (histórico)</v>
      </c>
    </row>
    <row r="30" customFormat="false" ht="15" hidden="false" customHeight="false" outlineLevel="0" collapsed="false">
      <c r="A30" s="19" t="n">
        <v>26</v>
      </c>
      <c r="B30" s="40" t="n">
        <v>0.994</v>
      </c>
      <c r="C30" s="19" t="n">
        <f aca="false">COUNTIFS(LOTES!$N$5:$N$1004,A30,LOTES!$W$5:$W$1004,"&gt;0")</f>
        <v>0</v>
      </c>
      <c r="D30" s="41" t="str">
        <f aca="false">IF(C30=0,"",AVERAGEIFS(LOTES!$W$5:$W$1004,LOTES!$N$5:$N$1004,A30,LOTES!$W$5:$W$1004,"&gt;0"))</f>
        <v/>
      </c>
      <c r="E30" s="41" t="n">
        <f aca="false">IF(A30&gt;=CONFIG!$B$27,1,IF(AND(C30&gt;=CONFIG!$B$28,D30&lt;&gt;""),D30,B30))</f>
        <v>1</v>
      </c>
      <c r="F30" s="19" t="str">
        <f aca="false">IF(A30&gt;=CONFIG!$B$27,"28 días",IF(AND(C30&gt;=CONFIG!$B$28,D30&lt;&gt;""),"Tus datos","Inicial (histórico)"))</f>
        <v>28 días</v>
      </c>
    </row>
    <row r="31" customFormat="false" ht="15" hidden="false" customHeight="false" outlineLevel="0" collapsed="false">
      <c r="A31" s="19" t="n">
        <v>27</v>
      </c>
      <c r="B31" s="40" t="n">
        <v>0.997</v>
      </c>
      <c r="C31" s="19" t="n">
        <f aca="false">COUNTIFS(LOTES!$N$5:$N$1004,A31,LOTES!$W$5:$W$1004,"&gt;0")</f>
        <v>0</v>
      </c>
      <c r="D31" s="41" t="str">
        <f aca="false">IF(C31=0,"",AVERAGEIFS(LOTES!$W$5:$W$1004,LOTES!$N$5:$N$1004,A31,LOTES!$W$5:$W$1004,"&gt;0"))</f>
        <v/>
      </c>
      <c r="E31" s="41" t="n">
        <f aca="false">IF(A31&gt;=CONFIG!$B$27,1,IF(AND(C31&gt;=CONFIG!$B$28,D31&lt;&gt;""),D31,B31))</f>
        <v>1</v>
      </c>
      <c r="F31" s="19" t="str">
        <f aca="false">IF(A31&gt;=CONFIG!$B$27,"28 días",IF(AND(C31&gt;=CONFIG!$B$28,D31&lt;&gt;""),"Tus datos","Inicial (histórico)"))</f>
        <v>28 días</v>
      </c>
    </row>
    <row r="32" customFormat="false" ht="15" hidden="false" customHeight="false" outlineLevel="0" collapsed="false">
      <c r="A32" s="19" t="n">
        <v>28</v>
      </c>
      <c r="B32" s="40" t="n">
        <v>1</v>
      </c>
      <c r="C32" s="19" t="n">
        <f aca="false">COUNTIFS(LOTES!$N$5:$N$1004,A32,LOTES!$W$5:$W$1004,"&gt;0")</f>
        <v>0</v>
      </c>
      <c r="D32" s="41" t="str">
        <f aca="false">IF(C32=0,"",AVERAGEIFS(LOTES!$W$5:$W$1004,LOTES!$N$5:$N$1004,A32,LOTES!$W$5:$W$1004,"&gt;0"))</f>
        <v/>
      </c>
      <c r="E32" s="41" t="n">
        <f aca="false">IF(A32&gt;=CONFIG!$B$27,1,IF(AND(C32&gt;=CONFIG!$B$28,D32&lt;&gt;""),D32,B32))</f>
        <v>1</v>
      </c>
      <c r="F32" s="19" t="str">
        <f aca="false">IF(A32&gt;=CONFIG!$B$27,"28 días",IF(AND(C32&gt;=CONFIG!$B$28,D32&lt;&gt;""),"Tus datos","Inicial (histórico)"))</f>
        <v>28 días</v>
      </c>
    </row>
  </sheetData>
  <sheetProtection sheet="true" formatCells="false" formatColumns="false" formatRows="false" sort="false" autoFilter="false"/>
  <conditionalFormatting sqref="F5:F32">
    <cfRule type="cellIs" priority="2" operator="equal" aboveAverage="0" equalAverage="0" bottom="0" percent="0" rank="0" text="" dxfId="18">
      <formula>"Tus datos"</formula>
    </cfRule>
    <cfRule type="cellIs" priority="3" operator="equal" aboveAverage="0" equalAverage="0" bottom="0" percent="0" rank="0" text="" dxfId="17">
      <formula>"Inicial (histórico)"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6" min="4" style="0" width="8"/>
    <col collapsed="false" customWidth="true" hidden="false" outlineLevel="0" max="8" min="7" style="0" width="10"/>
    <col collapsed="false" customWidth="true" hidden="false" outlineLevel="0" max="9" min="9" style="0" width="12.5"/>
    <col collapsed="false" customWidth="true" hidden="false" outlineLevel="0" max="10" min="10" style="0" width="11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5" hidden="false" customHeight="false" outlineLevel="0" collapsed="false">
      <c r="B1" s="43" t="str">
        <f aca="false">CONCATENATE("ENSAYO A COMPRESIÓN DE BLOQUES (",CONFIG!$B$22,")")</f>
        <v>ENSAYO A COMPRESIÓN DE BLOQUES (ASTM C140)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customFormat="false" ht="15" hidden="false" customHeight="false" outlineLevel="0" collapsed="false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5" hidden="false" customHeight="true" outlineLevel="0" collapsed="false">
      <c r="B4" s="28" t="s">
        <v>278</v>
      </c>
      <c r="E4" s="44" t="s">
        <v>222</v>
      </c>
      <c r="F4" s="44"/>
      <c r="G4" s="44"/>
      <c r="H4" s="5" t="s">
        <v>279</v>
      </c>
      <c r="L4" s="28" t="s">
        <v>280</v>
      </c>
      <c r="N4" s="45" t="str">
        <f aca="false">IF(N7="","","CR-"&amp;E4&amp;"-"&amp;RIGHT("0"&amp;DAY(N7),2)&amp;RIGHT("0"&amp;MONTH(N7),2)&amp;RIGHT(YEAR(N7),2))</f>
        <v>CR-8101125P1-131125</v>
      </c>
      <c r="O4" s="45"/>
    </row>
    <row r="5" customFormat="false" ht="15" hidden="false" customHeight="false" outlineLevel="0" collapsed="false">
      <c r="B5" s="28" t="s">
        <v>281</v>
      </c>
      <c r="E5" s="46"/>
      <c r="F5" s="46"/>
      <c r="G5" s="46"/>
      <c r="H5" s="5" t="s">
        <v>282</v>
      </c>
    </row>
    <row r="7" customFormat="false" ht="15" hidden="false" customHeight="false" outlineLevel="0" collapsed="false">
      <c r="B7" s="28" t="s">
        <v>283</v>
      </c>
      <c r="E7" s="47" t="str">
        <f aca="false">IFERROR(INDEX(ENSAYOS!$H$5:$H$3004,MATCH(1,ENSAYOS!$Y$5:$Y$3004,0))&amp;"","")</f>
        <v>EQUINOCCIO BAVARO SA (CODELPA)</v>
      </c>
      <c r="F7" s="47"/>
      <c r="G7" s="47"/>
      <c r="H7" s="47"/>
      <c r="I7" s="47"/>
      <c r="J7" s="47"/>
      <c r="M7" s="28" t="s">
        <v>284</v>
      </c>
      <c r="N7" s="48" t="n">
        <f aca="false">IF(E5&lt;&gt;"",E5,IFERROR(INDEX(ENSAYOS!$B$5:$B$3004,MATCH(1,ENSAYOS!$Y$5:$Y$3004,0)),""))</f>
        <v>45974</v>
      </c>
      <c r="O7" s="48"/>
    </row>
    <row r="8" customFormat="false" ht="15" hidden="false" customHeight="false" outlineLevel="0" collapsed="false">
      <c r="B8" s="28" t="s">
        <v>285</v>
      </c>
      <c r="E8" s="47" t="str">
        <f aca="false">CONCATENATE("LOTE ",E4," — MÁQUINA ",IFERROR(INDEX(LOTES!$C$5:$C$1004,MATCH(E4,LOTES!$F$5:$F$1004,0)),""))</f>
        <v>LOTE 8101125P1 — MÁQUINA P1</v>
      </c>
      <c r="F8" s="47"/>
      <c r="G8" s="47"/>
      <c r="H8" s="47"/>
      <c r="I8" s="47"/>
      <c r="J8" s="47"/>
      <c r="M8" s="28" t="s">
        <v>286</v>
      </c>
      <c r="N8" s="47" t="str">
        <f aca="false">CONFIG!$B$18</f>
        <v>TEST MARK</v>
      </c>
      <c r="O8" s="47"/>
    </row>
    <row r="9" customFormat="false" ht="15" hidden="false" customHeight="false" outlineLevel="0" collapsed="false">
      <c r="B9" s="28" t="s">
        <v>287</v>
      </c>
      <c r="E9" s="47" t="str">
        <f aca="false">IFERROR(INDEX(ENSAYOS!$I$5:$I$3004,MATCH(1,ENSAYOS!$Y$5:$Y$3004,0))&amp;"","")</f>
        <v>LOPESAN CEIBA</v>
      </c>
      <c r="F9" s="47"/>
      <c r="G9" s="47"/>
      <c r="H9" s="47"/>
      <c r="I9" s="47"/>
      <c r="J9" s="47"/>
      <c r="M9" s="28" t="s">
        <v>288</v>
      </c>
      <c r="N9" s="47" t="str">
        <f aca="false">CONFIG!$B$19</f>
        <v>CM-2500-iD</v>
      </c>
      <c r="O9" s="47"/>
    </row>
    <row r="10" customFormat="false" ht="15" hidden="false" customHeight="false" outlineLevel="0" collapsed="false">
      <c r="B10" s="28" t="s">
        <v>289</v>
      </c>
      <c r="E10" s="47" t="str">
        <f aca="false">CONFIG!$B$21</f>
        <v>ING. ALEXANDER ROCHELL</v>
      </c>
      <c r="F10" s="47"/>
      <c r="G10" s="47"/>
      <c r="H10" s="47"/>
      <c r="I10" s="47"/>
      <c r="J10" s="47"/>
      <c r="M10" s="28" t="s">
        <v>290</v>
      </c>
      <c r="N10" s="49" t="str">
        <f aca="false">CONFIG!$B$20</f>
        <v>220808</v>
      </c>
      <c r="O10" s="49"/>
    </row>
    <row r="12" customFormat="false" ht="33.75" hidden="false" customHeight="true" outlineLevel="0" collapsed="false">
      <c r="B12" s="50" t="s">
        <v>48</v>
      </c>
      <c r="C12" s="50" t="s">
        <v>291</v>
      </c>
      <c r="D12" s="50" t="s">
        <v>292</v>
      </c>
      <c r="E12" s="50" t="s">
        <v>293</v>
      </c>
      <c r="F12" s="50" t="s">
        <v>294</v>
      </c>
      <c r="G12" s="50" t="s">
        <v>295</v>
      </c>
      <c r="H12" s="50" t="s">
        <v>296</v>
      </c>
      <c r="I12" s="50" t="s">
        <v>297</v>
      </c>
      <c r="J12" s="50" t="s">
        <v>298</v>
      </c>
      <c r="K12" s="50" t="s">
        <v>299</v>
      </c>
      <c r="L12" s="50" t="s">
        <v>300</v>
      </c>
      <c r="M12" s="50" t="s">
        <v>301</v>
      </c>
      <c r="N12" s="50" t="s">
        <v>302</v>
      </c>
      <c r="O12" s="50" t="s">
        <v>303</v>
      </c>
    </row>
    <row r="13" customFormat="false" ht="15" hidden="false" customHeight="false" outlineLevel="0" collapsed="false">
      <c r="B13" s="51" t="n">
        <f aca="false">IF(ISNUMBER(MATCH(1,ENSAYOS!$Y$5:$Y$3004,0)),1,"")</f>
        <v>1</v>
      </c>
      <c r="C13" s="51" t="str">
        <f aca="false">IFERROR(IF(INDEX(ENSAYOS!$J$5:$J$3004,MATCH(1,ENSAYOS!$Y$5:$Y$3004,0))="","",INDEX(ENSAYOS!$J$5:$J$3004,MATCH(1,ENSAYOS!$Y$5:$Y$3004,0))),"")</f>
        <v>FP00000020</v>
      </c>
      <c r="D13" s="52" t="n">
        <f aca="false">IFERROR(IF(INDEX(ENSAYOS!$K$5:$K$3004,MATCH(1,ENSAYOS!$Y$5:$Y$3004,0))="","",INDEX(ENSAYOS!$K$5:$K$3004,MATCH(1,ENSAYOS!$Y$5:$Y$3004,0))),"")</f>
        <v>19.5</v>
      </c>
      <c r="E13" s="52" t="n">
        <f aca="false">IFERROR(IF(INDEX(ENSAYOS!$L$5:$L$3004,MATCH(1,ENSAYOS!$Y$5:$Y$3004,0))="","",INDEX(ENSAYOS!$L$5:$L$3004,MATCH(1,ENSAYOS!$Y$5:$Y$3004,0))),"")</f>
        <v>19.5</v>
      </c>
      <c r="F13" s="52" t="n">
        <f aca="false">IFERROR(IF(INDEX(ENSAYOS!$M$5:$M$3004,MATCH(1,ENSAYOS!$Y$5:$Y$3004,0))="","",INDEX(ENSAYOS!$M$5:$M$3004,MATCH(1,ENSAYOS!$Y$5:$Y$3004,0))),"")</f>
        <v>39.5</v>
      </c>
      <c r="G13" s="53" t="n">
        <f aca="false">IFERROR(IF(INDEX(ENSAYOS!$P$5:$P$3004,MATCH(1,ENSAYOS!$Y$5:$Y$3004,0))="","",INDEX(ENSAYOS!$P$5:$P$3004,MATCH(1,ENSAYOS!$Y$5:$Y$3004,0))),"")</f>
        <v>770.25</v>
      </c>
      <c r="H13" s="51" t="str">
        <f aca="false">IFERROR(IF(INDEX(ENSAYOS!$D$5:$D$3004,MATCH(1,ENSAYOS!$Y$5:$Y$3004,0))="","",INDEX(ENSAYOS!$D$5:$D$3004,MATCH(1,ENSAYOS!$Y$5:$Y$3004,0))),"")</f>
        <v>Block 8"</v>
      </c>
      <c r="I13" s="54" t="n">
        <f aca="false">IFERROR(IF(INDEX(ENSAYOS!$F$5:$F$3004,MATCH(1,ENSAYOS!$Y$5:$Y$3004,0))="","",INDEX(ENSAYOS!$F$5:$F$3004,MATCH(1,ENSAYOS!$Y$5:$Y$3004,0))),"")</f>
        <v>45971</v>
      </c>
      <c r="J13" s="54" t="n">
        <f aca="false">IFERROR(IF(INDEX(ENSAYOS!$B$5:$B$3004,MATCH(1,ENSAYOS!$Y$5:$Y$3004,0))="","",INDEX(ENSAYOS!$B$5:$B$3004,MATCH(1,ENSAYOS!$Y$5:$Y$3004,0))),"")</f>
        <v>45974</v>
      </c>
      <c r="K13" s="55" t="n">
        <f aca="false">IFERROR(IF(INDEX(ENSAYOS!$G$5:$G$3004,MATCH(1,ENSAYOS!$Y$5:$Y$3004,0))="","",INDEX(ENSAYOS!$G$5:$G$3004,MATCH(1,ENSAYOS!$Y$5:$Y$3004,0))),"")</f>
        <v>3</v>
      </c>
      <c r="L13" s="52" t="str">
        <f aca="false">IFERROR(IF(INDEX(ENSAYOS!$N$5:$N$3004,MATCH(1,ENSAYOS!$Y$5:$Y$3004,0))="","",INDEX(ENSAYOS!$N$5:$N$3004,MATCH(1,ENSAYOS!$Y$5:$Y$3004,0))),"")</f>
        <v/>
      </c>
      <c r="M13" s="56" t="n">
        <f aca="false">IFERROR(IF(INDEX(ENSAYOS!$O$5:$O$3004,MATCH(1,ENSAYOS!$Y$5:$Y$3004,0))="","",INDEX(ENSAYOS!$O$5:$O$3004,MATCH(1,ENSAYOS!$Y$5:$Y$3004,0))),"")</f>
        <v>71259</v>
      </c>
      <c r="N13" s="53" t="n">
        <f aca="false">IFERROR(IF(INDEX(ENSAYOS!$Q$5:$Q$3004,MATCH(1,ENSAYOS!$Y$5:$Y$3004,0))="","",INDEX(ENSAYOS!$Q$5:$Q$3004,MATCH(1,ENSAYOS!$Y$5:$Y$3004,0))),"")</f>
        <v>92.5141187925998</v>
      </c>
      <c r="O13" s="53" t="n">
        <f aca="false">IFERROR(IF(INDEX(ENSAYOS!$R$5:$R$3004,MATCH(1,ENSAYOS!$Y$5:$Y$3004,0))="","",INDEX(ENSAYOS!$R$5:$R$3004,MATCH(1,ENSAYOS!$Y$5:$Y$3004,0))),"")</f>
        <v>9.07253583057449</v>
      </c>
    </row>
    <row r="14" customFormat="false" ht="15" hidden="false" customHeight="false" outlineLevel="0" collapsed="false">
      <c r="B14" s="51" t="n">
        <f aca="false">IF(ISNUMBER(MATCH(2,ENSAYOS!$Y$5:$Y$3004,0)),2,"")</f>
        <v>2</v>
      </c>
      <c r="C14" s="51" t="str">
        <f aca="false">IFERROR(IF(INDEX(ENSAYOS!$J$5:$J$3004,MATCH(2,ENSAYOS!$Y$5:$Y$3004,0))="","",INDEX(ENSAYOS!$J$5:$J$3004,MATCH(2,ENSAYOS!$Y$5:$Y$3004,0))),"")</f>
        <v>FP00000020</v>
      </c>
      <c r="D14" s="52" t="n">
        <f aca="false">IFERROR(IF(INDEX(ENSAYOS!$K$5:$K$3004,MATCH(2,ENSAYOS!$Y$5:$Y$3004,0))="","",INDEX(ENSAYOS!$K$5:$K$3004,MATCH(2,ENSAYOS!$Y$5:$Y$3004,0))),"")</f>
        <v>19.5</v>
      </c>
      <c r="E14" s="52" t="n">
        <f aca="false">IFERROR(IF(INDEX(ENSAYOS!$L$5:$L$3004,MATCH(2,ENSAYOS!$Y$5:$Y$3004,0))="","",INDEX(ENSAYOS!$L$5:$L$3004,MATCH(2,ENSAYOS!$Y$5:$Y$3004,0))),"")</f>
        <v>19.5</v>
      </c>
      <c r="F14" s="52" t="n">
        <f aca="false">IFERROR(IF(INDEX(ENSAYOS!$M$5:$M$3004,MATCH(2,ENSAYOS!$Y$5:$Y$3004,0))="","",INDEX(ENSAYOS!$M$5:$M$3004,MATCH(2,ENSAYOS!$Y$5:$Y$3004,0))),"")</f>
        <v>39.5</v>
      </c>
      <c r="G14" s="53" t="n">
        <f aca="false">IFERROR(IF(INDEX(ENSAYOS!$P$5:$P$3004,MATCH(2,ENSAYOS!$Y$5:$Y$3004,0))="","",INDEX(ENSAYOS!$P$5:$P$3004,MATCH(2,ENSAYOS!$Y$5:$Y$3004,0))),"")</f>
        <v>770.25</v>
      </c>
      <c r="H14" s="51" t="str">
        <f aca="false">IFERROR(IF(INDEX(ENSAYOS!$D$5:$D$3004,MATCH(2,ENSAYOS!$Y$5:$Y$3004,0))="","",INDEX(ENSAYOS!$D$5:$D$3004,MATCH(2,ENSAYOS!$Y$5:$Y$3004,0))),"")</f>
        <v>Block 8"</v>
      </c>
      <c r="I14" s="54" t="n">
        <f aca="false">IFERROR(IF(INDEX(ENSAYOS!$F$5:$F$3004,MATCH(2,ENSAYOS!$Y$5:$Y$3004,0))="","",INDEX(ENSAYOS!$F$5:$F$3004,MATCH(2,ENSAYOS!$Y$5:$Y$3004,0))),"")</f>
        <v>45971</v>
      </c>
      <c r="J14" s="54" t="n">
        <f aca="false">IFERROR(IF(INDEX(ENSAYOS!$B$5:$B$3004,MATCH(2,ENSAYOS!$Y$5:$Y$3004,0))="","",INDEX(ENSAYOS!$B$5:$B$3004,MATCH(2,ENSAYOS!$Y$5:$Y$3004,0))),"")</f>
        <v>45974</v>
      </c>
      <c r="K14" s="55" t="n">
        <f aca="false">IFERROR(IF(INDEX(ENSAYOS!$G$5:$G$3004,MATCH(2,ENSAYOS!$Y$5:$Y$3004,0))="","",INDEX(ENSAYOS!$G$5:$G$3004,MATCH(2,ENSAYOS!$Y$5:$Y$3004,0))),"")</f>
        <v>3</v>
      </c>
      <c r="L14" s="52" t="str">
        <f aca="false">IFERROR(IF(INDEX(ENSAYOS!$N$5:$N$3004,MATCH(2,ENSAYOS!$Y$5:$Y$3004,0))="","",INDEX(ENSAYOS!$N$5:$N$3004,MATCH(2,ENSAYOS!$Y$5:$Y$3004,0))),"")</f>
        <v/>
      </c>
      <c r="M14" s="56" t="n">
        <f aca="false">IFERROR(IF(INDEX(ENSAYOS!$O$5:$O$3004,MATCH(2,ENSAYOS!$Y$5:$Y$3004,0))="","",INDEX(ENSAYOS!$O$5:$O$3004,MATCH(2,ENSAYOS!$Y$5:$Y$3004,0))),"")</f>
        <v>70687</v>
      </c>
      <c r="N14" s="53" t="n">
        <f aca="false">IFERROR(IF(INDEX(ENSAYOS!$Q$5:$Q$3004,MATCH(2,ENSAYOS!$Y$5:$Y$3004,0))="","",INDEX(ENSAYOS!$Q$5:$Q$3004,MATCH(2,ENSAYOS!$Y$5:$Y$3004,0))),"")</f>
        <v>91.7715027588445</v>
      </c>
      <c r="O14" s="53" t="n">
        <f aca="false">IFERROR(IF(INDEX(ENSAYOS!$R$5:$R$3004,MATCH(2,ENSAYOS!$Y$5:$Y$3004,0))="","",INDEX(ENSAYOS!$R$5:$R$3004,MATCH(2,ENSAYOS!$Y$5:$Y$3004,0))),"")</f>
        <v>8.99971007530023</v>
      </c>
    </row>
    <row r="15" customFormat="false" ht="15" hidden="false" customHeight="false" outlineLevel="0" collapsed="false">
      <c r="B15" s="51" t="n">
        <f aca="false">IF(ISNUMBER(MATCH(3,ENSAYOS!$Y$5:$Y$3004,0)),3,"")</f>
        <v>3</v>
      </c>
      <c r="C15" s="51" t="str">
        <f aca="false">IFERROR(IF(INDEX(ENSAYOS!$J$5:$J$3004,MATCH(3,ENSAYOS!$Y$5:$Y$3004,0))="","",INDEX(ENSAYOS!$J$5:$J$3004,MATCH(3,ENSAYOS!$Y$5:$Y$3004,0))),"")</f>
        <v>FP00000020</v>
      </c>
      <c r="D15" s="52" t="n">
        <f aca="false">IFERROR(IF(INDEX(ENSAYOS!$K$5:$K$3004,MATCH(3,ENSAYOS!$Y$5:$Y$3004,0))="","",INDEX(ENSAYOS!$K$5:$K$3004,MATCH(3,ENSAYOS!$Y$5:$Y$3004,0))),"")</f>
        <v>19.5</v>
      </c>
      <c r="E15" s="52" t="n">
        <f aca="false">IFERROR(IF(INDEX(ENSAYOS!$L$5:$L$3004,MATCH(3,ENSAYOS!$Y$5:$Y$3004,0))="","",INDEX(ENSAYOS!$L$5:$L$3004,MATCH(3,ENSAYOS!$Y$5:$Y$3004,0))),"")</f>
        <v>19.5</v>
      </c>
      <c r="F15" s="52" t="n">
        <f aca="false">IFERROR(IF(INDEX(ENSAYOS!$M$5:$M$3004,MATCH(3,ENSAYOS!$Y$5:$Y$3004,0))="","",INDEX(ENSAYOS!$M$5:$M$3004,MATCH(3,ENSAYOS!$Y$5:$Y$3004,0))),"")</f>
        <v>39.5</v>
      </c>
      <c r="G15" s="53" t="n">
        <f aca="false">IFERROR(IF(INDEX(ENSAYOS!$P$5:$P$3004,MATCH(3,ENSAYOS!$Y$5:$Y$3004,0))="","",INDEX(ENSAYOS!$P$5:$P$3004,MATCH(3,ENSAYOS!$Y$5:$Y$3004,0))),"")</f>
        <v>770.25</v>
      </c>
      <c r="H15" s="51" t="str">
        <f aca="false">IFERROR(IF(INDEX(ENSAYOS!$D$5:$D$3004,MATCH(3,ENSAYOS!$Y$5:$Y$3004,0))="","",INDEX(ENSAYOS!$D$5:$D$3004,MATCH(3,ENSAYOS!$Y$5:$Y$3004,0))),"")</f>
        <v>Block 8"</v>
      </c>
      <c r="I15" s="54" t="n">
        <f aca="false">IFERROR(IF(INDEX(ENSAYOS!$F$5:$F$3004,MATCH(3,ENSAYOS!$Y$5:$Y$3004,0))="","",INDEX(ENSAYOS!$F$5:$F$3004,MATCH(3,ENSAYOS!$Y$5:$Y$3004,0))),"")</f>
        <v>45971</v>
      </c>
      <c r="J15" s="54" t="n">
        <f aca="false">IFERROR(IF(INDEX(ENSAYOS!$B$5:$B$3004,MATCH(3,ENSAYOS!$Y$5:$Y$3004,0))="","",INDEX(ENSAYOS!$B$5:$B$3004,MATCH(3,ENSAYOS!$Y$5:$Y$3004,0))),"")</f>
        <v>45974</v>
      </c>
      <c r="K15" s="55" t="n">
        <f aca="false">IFERROR(IF(INDEX(ENSAYOS!$G$5:$G$3004,MATCH(3,ENSAYOS!$Y$5:$Y$3004,0))="","",INDEX(ENSAYOS!$G$5:$G$3004,MATCH(3,ENSAYOS!$Y$5:$Y$3004,0))),"")</f>
        <v>3</v>
      </c>
      <c r="L15" s="52" t="str">
        <f aca="false">IFERROR(IF(INDEX(ENSAYOS!$N$5:$N$3004,MATCH(3,ENSAYOS!$Y$5:$Y$3004,0))="","",INDEX(ENSAYOS!$N$5:$N$3004,MATCH(3,ENSAYOS!$Y$5:$Y$3004,0))),"")</f>
        <v/>
      </c>
      <c r="M15" s="56" t="n">
        <f aca="false">IFERROR(IF(INDEX(ENSAYOS!$O$5:$O$3004,MATCH(3,ENSAYOS!$Y$5:$Y$3004,0))="","",INDEX(ENSAYOS!$O$5:$O$3004,MATCH(3,ENSAYOS!$Y$5:$Y$3004,0))),"")</f>
        <v>46583</v>
      </c>
      <c r="N15" s="53" t="n">
        <f aca="false">IFERROR(IF(INDEX(ENSAYOS!$Q$5:$Q$3004,MATCH(3,ENSAYOS!$Y$5:$Y$3004,0))="","",INDEX(ENSAYOS!$Q$5:$Q$3004,MATCH(3,ENSAYOS!$Y$5:$Y$3004,0))),"")</f>
        <v>60.4777669587796</v>
      </c>
      <c r="O15" s="53" t="n">
        <f aca="false">IFERROR(IF(INDEX(ENSAYOS!$R$5:$R$3004,MATCH(3,ENSAYOS!$Y$5:$Y$3004,0))="","",INDEX(ENSAYOS!$R$5:$R$3004,MATCH(3,ENSAYOS!$Y$5:$Y$3004,0))),"")</f>
        <v>5.93084293346316</v>
      </c>
    </row>
    <row r="16" customFormat="false" ht="15" hidden="false" customHeight="false" outlineLevel="0" collapsed="false">
      <c r="B16" s="51" t="n">
        <f aca="false">IF(ISNUMBER(MATCH(4,ENSAYOS!$Y$5:$Y$3004,0)),4,"")</f>
        <v>4</v>
      </c>
      <c r="C16" s="51" t="str">
        <f aca="false">IFERROR(IF(INDEX(ENSAYOS!$J$5:$J$3004,MATCH(4,ENSAYOS!$Y$5:$Y$3004,0))="","",INDEX(ENSAYOS!$J$5:$J$3004,MATCH(4,ENSAYOS!$Y$5:$Y$3004,0))),"")</f>
        <v>FP00000020</v>
      </c>
      <c r="D16" s="52" t="n">
        <f aca="false">IFERROR(IF(INDEX(ENSAYOS!$K$5:$K$3004,MATCH(4,ENSAYOS!$Y$5:$Y$3004,0))="","",INDEX(ENSAYOS!$K$5:$K$3004,MATCH(4,ENSAYOS!$Y$5:$Y$3004,0))),"")</f>
        <v>19.5</v>
      </c>
      <c r="E16" s="52" t="n">
        <f aca="false">IFERROR(IF(INDEX(ENSAYOS!$L$5:$L$3004,MATCH(4,ENSAYOS!$Y$5:$Y$3004,0))="","",INDEX(ENSAYOS!$L$5:$L$3004,MATCH(4,ENSAYOS!$Y$5:$Y$3004,0))),"")</f>
        <v>19.5</v>
      </c>
      <c r="F16" s="52" t="n">
        <f aca="false">IFERROR(IF(INDEX(ENSAYOS!$M$5:$M$3004,MATCH(4,ENSAYOS!$Y$5:$Y$3004,0))="","",INDEX(ENSAYOS!$M$5:$M$3004,MATCH(4,ENSAYOS!$Y$5:$Y$3004,0))),"")</f>
        <v>39.5</v>
      </c>
      <c r="G16" s="53" t="n">
        <f aca="false">IFERROR(IF(INDEX(ENSAYOS!$P$5:$P$3004,MATCH(4,ENSAYOS!$Y$5:$Y$3004,0))="","",INDEX(ENSAYOS!$P$5:$P$3004,MATCH(4,ENSAYOS!$Y$5:$Y$3004,0))),"")</f>
        <v>770.25</v>
      </c>
      <c r="H16" s="51" t="str">
        <f aca="false">IFERROR(IF(INDEX(ENSAYOS!$D$5:$D$3004,MATCH(4,ENSAYOS!$Y$5:$Y$3004,0))="","",INDEX(ENSAYOS!$D$5:$D$3004,MATCH(4,ENSAYOS!$Y$5:$Y$3004,0))),"")</f>
        <v>Block 8"</v>
      </c>
      <c r="I16" s="54" t="n">
        <f aca="false">IFERROR(IF(INDEX(ENSAYOS!$F$5:$F$3004,MATCH(4,ENSAYOS!$Y$5:$Y$3004,0))="","",INDEX(ENSAYOS!$F$5:$F$3004,MATCH(4,ENSAYOS!$Y$5:$Y$3004,0))),"")</f>
        <v>45971</v>
      </c>
      <c r="J16" s="54" t="n">
        <f aca="false">IFERROR(IF(INDEX(ENSAYOS!$B$5:$B$3004,MATCH(4,ENSAYOS!$Y$5:$Y$3004,0))="","",INDEX(ENSAYOS!$B$5:$B$3004,MATCH(4,ENSAYOS!$Y$5:$Y$3004,0))),"")</f>
        <v>45974</v>
      </c>
      <c r="K16" s="55" t="n">
        <f aca="false">IFERROR(IF(INDEX(ENSAYOS!$G$5:$G$3004,MATCH(4,ENSAYOS!$Y$5:$Y$3004,0))="","",INDEX(ENSAYOS!$G$5:$G$3004,MATCH(4,ENSAYOS!$Y$5:$Y$3004,0))),"")</f>
        <v>3</v>
      </c>
      <c r="L16" s="52" t="str">
        <f aca="false">IFERROR(IF(INDEX(ENSAYOS!$N$5:$N$3004,MATCH(4,ENSAYOS!$Y$5:$Y$3004,0))="","",INDEX(ENSAYOS!$N$5:$N$3004,MATCH(4,ENSAYOS!$Y$5:$Y$3004,0))),"")</f>
        <v/>
      </c>
      <c r="M16" s="56" t="n">
        <f aca="false">IFERROR(IF(INDEX(ENSAYOS!$O$5:$O$3004,MATCH(4,ENSAYOS!$Y$5:$Y$3004,0))="","",INDEX(ENSAYOS!$O$5:$O$3004,MATCH(4,ENSAYOS!$Y$5:$Y$3004,0))),"")</f>
        <v>56594</v>
      </c>
      <c r="N16" s="53" t="n">
        <f aca="false">IFERROR(IF(INDEX(ENSAYOS!$Q$5:$Q$3004,MATCH(4,ENSAYOS!$Y$5:$Y$3004,0))="","",INDEX(ENSAYOS!$Q$5:$Q$3004,MATCH(4,ENSAYOS!$Y$5:$Y$3004,0))),"")</f>
        <v>73.4748458292762</v>
      </c>
      <c r="O16" s="53" t="n">
        <f aca="false">IFERROR(IF(INDEX(ENSAYOS!$R$5:$R$3004,MATCH(4,ENSAYOS!$Y$5:$Y$3004,0))="","",INDEX(ENSAYOS!$R$5:$R$3004,MATCH(4,ENSAYOS!$Y$5:$Y$3004,0))),"")</f>
        <v>7.20542096851672</v>
      </c>
    </row>
    <row r="17" customFormat="false" ht="15" hidden="false" customHeight="false" outlineLevel="0" collapsed="false">
      <c r="B17" s="51" t="str">
        <f aca="false">IF(ISNUMBER(MATCH(5,ENSAYOS!$Y$5:$Y$3004,0)),5,"")</f>
        <v/>
      </c>
      <c r="C17" s="51" t="str">
        <f aca="false">IFERROR(IF(INDEX(ENSAYOS!$J$5:$J$3004,MATCH(5,ENSAYOS!$Y$5:$Y$3004,0))="","",INDEX(ENSAYOS!$J$5:$J$3004,MATCH(5,ENSAYOS!$Y$5:$Y$3004,0))),"")</f>
        <v/>
      </c>
      <c r="D17" s="52" t="str">
        <f aca="false">IFERROR(IF(INDEX(ENSAYOS!$K$5:$K$3004,MATCH(5,ENSAYOS!$Y$5:$Y$3004,0))="","",INDEX(ENSAYOS!$K$5:$K$3004,MATCH(5,ENSAYOS!$Y$5:$Y$3004,0))),"")</f>
        <v/>
      </c>
      <c r="E17" s="52" t="str">
        <f aca="false">IFERROR(IF(INDEX(ENSAYOS!$L$5:$L$3004,MATCH(5,ENSAYOS!$Y$5:$Y$3004,0))="","",INDEX(ENSAYOS!$L$5:$L$3004,MATCH(5,ENSAYOS!$Y$5:$Y$3004,0))),"")</f>
        <v/>
      </c>
      <c r="F17" s="52" t="str">
        <f aca="false">IFERROR(IF(INDEX(ENSAYOS!$M$5:$M$3004,MATCH(5,ENSAYOS!$Y$5:$Y$3004,0))="","",INDEX(ENSAYOS!$M$5:$M$3004,MATCH(5,ENSAYOS!$Y$5:$Y$3004,0))),"")</f>
        <v/>
      </c>
      <c r="G17" s="53" t="str">
        <f aca="false">IFERROR(IF(INDEX(ENSAYOS!$P$5:$P$3004,MATCH(5,ENSAYOS!$Y$5:$Y$3004,0))="","",INDEX(ENSAYOS!$P$5:$P$3004,MATCH(5,ENSAYOS!$Y$5:$Y$3004,0))),"")</f>
        <v/>
      </c>
      <c r="H17" s="51" t="str">
        <f aca="false">IFERROR(IF(INDEX(ENSAYOS!$D$5:$D$3004,MATCH(5,ENSAYOS!$Y$5:$Y$3004,0))="","",INDEX(ENSAYOS!$D$5:$D$3004,MATCH(5,ENSAYOS!$Y$5:$Y$3004,0))),"")</f>
        <v/>
      </c>
      <c r="I17" s="54" t="str">
        <f aca="false">IFERROR(IF(INDEX(ENSAYOS!$F$5:$F$3004,MATCH(5,ENSAYOS!$Y$5:$Y$3004,0))="","",INDEX(ENSAYOS!$F$5:$F$3004,MATCH(5,ENSAYOS!$Y$5:$Y$3004,0))),"")</f>
        <v/>
      </c>
      <c r="J17" s="54" t="str">
        <f aca="false">IFERROR(IF(INDEX(ENSAYOS!$B$5:$B$3004,MATCH(5,ENSAYOS!$Y$5:$Y$3004,0))="","",INDEX(ENSAYOS!$B$5:$B$3004,MATCH(5,ENSAYOS!$Y$5:$Y$3004,0))),"")</f>
        <v/>
      </c>
      <c r="K17" s="55" t="str">
        <f aca="false">IFERROR(IF(INDEX(ENSAYOS!$G$5:$G$3004,MATCH(5,ENSAYOS!$Y$5:$Y$3004,0))="","",INDEX(ENSAYOS!$G$5:$G$3004,MATCH(5,ENSAYOS!$Y$5:$Y$3004,0))),"")</f>
        <v/>
      </c>
      <c r="L17" s="52" t="str">
        <f aca="false">IFERROR(IF(INDEX(ENSAYOS!$N$5:$N$3004,MATCH(5,ENSAYOS!$Y$5:$Y$3004,0))="","",INDEX(ENSAYOS!$N$5:$N$3004,MATCH(5,ENSAYOS!$Y$5:$Y$3004,0))),"")</f>
        <v/>
      </c>
      <c r="M17" s="56" t="str">
        <f aca="false">IFERROR(IF(INDEX(ENSAYOS!$O$5:$O$3004,MATCH(5,ENSAYOS!$Y$5:$Y$3004,0))="","",INDEX(ENSAYOS!$O$5:$O$3004,MATCH(5,ENSAYOS!$Y$5:$Y$3004,0))),"")</f>
        <v/>
      </c>
      <c r="N17" s="53" t="str">
        <f aca="false">IFERROR(IF(INDEX(ENSAYOS!$Q$5:$Q$3004,MATCH(5,ENSAYOS!$Y$5:$Y$3004,0))="","",INDEX(ENSAYOS!$Q$5:$Q$3004,MATCH(5,ENSAYOS!$Y$5:$Y$3004,0))),"")</f>
        <v/>
      </c>
      <c r="O17" s="53" t="str">
        <f aca="false">IFERROR(IF(INDEX(ENSAYOS!$R$5:$R$3004,MATCH(5,ENSAYOS!$Y$5:$Y$3004,0))="","",INDEX(ENSAYOS!$R$5:$R$3004,MATCH(5,ENSAYOS!$Y$5:$Y$3004,0))),"")</f>
        <v/>
      </c>
    </row>
    <row r="18" customFormat="false" ht="15" hidden="false" customHeight="false" outlineLevel="0" collapsed="false">
      <c r="B18" s="51" t="str">
        <f aca="false">IF(ISNUMBER(MATCH(6,ENSAYOS!$Y$5:$Y$3004,0)),6,"")</f>
        <v/>
      </c>
      <c r="C18" s="51" t="str">
        <f aca="false">IFERROR(IF(INDEX(ENSAYOS!$J$5:$J$3004,MATCH(6,ENSAYOS!$Y$5:$Y$3004,0))="","",INDEX(ENSAYOS!$J$5:$J$3004,MATCH(6,ENSAYOS!$Y$5:$Y$3004,0))),"")</f>
        <v/>
      </c>
      <c r="D18" s="52" t="str">
        <f aca="false">IFERROR(IF(INDEX(ENSAYOS!$K$5:$K$3004,MATCH(6,ENSAYOS!$Y$5:$Y$3004,0))="","",INDEX(ENSAYOS!$K$5:$K$3004,MATCH(6,ENSAYOS!$Y$5:$Y$3004,0))),"")</f>
        <v/>
      </c>
      <c r="E18" s="52" t="str">
        <f aca="false">IFERROR(IF(INDEX(ENSAYOS!$L$5:$L$3004,MATCH(6,ENSAYOS!$Y$5:$Y$3004,0))="","",INDEX(ENSAYOS!$L$5:$L$3004,MATCH(6,ENSAYOS!$Y$5:$Y$3004,0))),"")</f>
        <v/>
      </c>
      <c r="F18" s="52" t="str">
        <f aca="false">IFERROR(IF(INDEX(ENSAYOS!$M$5:$M$3004,MATCH(6,ENSAYOS!$Y$5:$Y$3004,0))="","",INDEX(ENSAYOS!$M$5:$M$3004,MATCH(6,ENSAYOS!$Y$5:$Y$3004,0))),"")</f>
        <v/>
      </c>
      <c r="G18" s="53" t="str">
        <f aca="false">IFERROR(IF(INDEX(ENSAYOS!$P$5:$P$3004,MATCH(6,ENSAYOS!$Y$5:$Y$3004,0))="","",INDEX(ENSAYOS!$P$5:$P$3004,MATCH(6,ENSAYOS!$Y$5:$Y$3004,0))),"")</f>
        <v/>
      </c>
      <c r="H18" s="51" t="str">
        <f aca="false">IFERROR(IF(INDEX(ENSAYOS!$D$5:$D$3004,MATCH(6,ENSAYOS!$Y$5:$Y$3004,0))="","",INDEX(ENSAYOS!$D$5:$D$3004,MATCH(6,ENSAYOS!$Y$5:$Y$3004,0))),"")</f>
        <v/>
      </c>
      <c r="I18" s="54" t="str">
        <f aca="false">IFERROR(IF(INDEX(ENSAYOS!$F$5:$F$3004,MATCH(6,ENSAYOS!$Y$5:$Y$3004,0))="","",INDEX(ENSAYOS!$F$5:$F$3004,MATCH(6,ENSAYOS!$Y$5:$Y$3004,0))),"")</f>
        <v/>
      </c>
      <c r="J18" s="54" t="str">
        <f aca="false">IFERROR(IF(INDEX(ENSAYOS!$B$5:$B$3004,MATCH(6,ENSAYOS!$Y$5:$Y$3004,0))="","",INDEX(ENSAYOS!$B$5:$B$3004,MATCH(6,ENSAYOS!$Y$5:$Y$3004,0))),"")</f>
        <v/>
      </c>
      <c r="K18" s="55" t="str">
        <f aca="false">IFERROR(IF(INDEX(ENSAYOS!$G$5:$G$3004,MATCH(6,ENSAYOS!$Y$5:$Y$3004,0))="","",INDEX(ENSAYOS!$G$5:$G$3004,MATCH(6,ENSAYOS!$Y$5:$Y$3004,0))),"")</f>
        <v/>
      </c>
      <c r="L18" s="52" t="str">
        <f aca="false">IFERROR(IF(INDEX(ENSAYOS!$N$5:$N$3004,MATCH(6,ENSAYOS!$Y$5:$Y$3004,0))="","",INDEX(ENSAYOS!$N$5:$N$3004,MATCH(6,ENSAYOS!$Y$5:$Y$3004,0))),"")</f>
        <v/>
      </c>
      <c r="M18" s="56" t="str">
        <f aca="false">IFERROR(IF(INDEX(ENSAYOS!$O$5:$O$3004,MATCH(6,ENSAYOS!$Y$5:$Y$3004,0))="","",INDEX(ENSAYOS!$O$5:$O$3004,MATCH(6,ENSAYOS!$Y$5:$Y$3004,0))),"")</f>
        <v/>
      </c>
      <c r="N18" s="53" t="str">
        <f aca="false">IFERROR(IF(INDEX(ENSAYOS!$Q$5:$Q$3004,MATCH(6,ENSAYOS!$Y$5:$Y$3004,0))="","",INDEX(ENSAYOS!$Q$5:$Q$3004,MATCH(6,ENSAYOS!$Y$5:$Y$3004,0))),"")</f>
        <v/>
      </c>
      <c r="O18" s="53" t="str">
        <f aca="false">IFERROR(IF(INDEX(ENSAYOS!$R$5:$R$3004,MATCH(6,ENSAYOS!$Y$5:$Y$3004,0))="","",INDEX(ENSAYOS!$R$5:$R$3004,MATCH(6,ENSAYOS!$Y$5:$Y$3004,0))),"")</f>
        <v/>
      </c>
    </row>
    <row r="19" customFormat="false" ht="15" hidden="false" customHeight="false" outlineLevel="0" collapsed="false">
      <c r="B19" s="51" t="str">
        <f aca="false">IF(ISNUMBER(MATCH(7,ENSAYOS!$Y$5:$Y$3004,0)),7,"")</f>
        <v/>
      </c>
      <c r="C19" s="51" t="str">
        <f aca="false">IFERROR(IF(INDEX(ENSAYOS!$J$5:$J$3004,MATCH(7,ENSAYOS!$Y$5:$Y$3004,0))="","",INDEX(ENSAYOS!$J$5:$J$3004,MATCH(7,ENSAYOS!$Y$5:$Y$3004,0))),"")</f>
        <v/>
      </c>
      <c r="D19" s="52" t="str">
        <f aca="false">IFERROR(IF(INDEX(ENSAYOS!$K$5:$K$3004,MATCH(7,ENSAYOS!$Y$5:$Y$3004,0))="","",INDEX(ENSAYOS!$K$5:$K$3004,MATCH(7,ENSAYOS!$Y$5:$Y$3004,0))),"")</f>
        <v/>
      </c>
      <c r="E19" s="52" t="str">
        <f aca="false">IFERROR(IF(INDEX(ENSAYOS!$L$5:$L$3004,MATCH(7,ENSAYOS!$Y$5:$Y$3004,0))="","",INDEX(ENSAYOS!$L$5:$L$3004,MATCH(7,ENSAYOS!$Y$5:$Y$3004,0))),"")</f>
        <v/>
      </c>
      <c r="F19" s="52" t="str">
        <f aca="false">IFERROR(IF(INDEX(ENSAYOS!$M$5:$M$3004,MATCH(7,ENSAYOS!$Y$5:$Y$3004,0))="","",INDEX(ENSAYOS!$M$5:$M$3004,MATCH(7,ENSAYOS!$Y$5:$Y$3004,0))),"")</f>
        <v/>
      </c>
      <c r="G19" s="53" t="str">
        <f aca="false">IFERROR(IF(INDEX(ENSAYOS!$P$5:$P$3004,MATCH(7,ENSAYOS!$Y$5:$Y$3004,0))="","",INDEX(ENSAYOS!$P$5:$P$3004,MATCH(7,ENSAYOS!$Y$5:$Y$3004,0))),"")</f>
        <v/>
      </c>
      <c r="H19" s="51" t="str">
        <f aca="false">IFERROR(IF(INDEX(ENSAYOS!$D$5:$D$3004,MATCH(7,ENSAYOS!$Y$5:$Y$3004,0))="","",INDEX(ENSAYOS!$D$5:$D$3004,MATCH(7,ENSAYOS!$Y$5:$Y$3004,0))),"")</f>
        <v/>
      </c>
      <c r="I19" s="54" t="str">
        <f aca="false">IFERROR(IF(INDEX(ENSAYOS!$F$5:$F$3004,MATCH(7,ENSAYOS!$Y$5:$Y$3004,0))="","",INDEX(ENSAYOS!$F$5:$F$3004,MATCH(7,ENSAYOS!$Y$5:$Y$3004,0))),"")</f>
        <v/>
      </c>
      <c r="J19" s="54" t="str">
        <f aca="false">IFERROR(IF(INDEX(ENSAYOS!$B$5:$B$3004,MATCH(7,ENSAYOS!$Y$5:$Y$3004,0))="","",INDEX(ENSAYOS!$B$5:$B$3004,MATCH(7,ENSAYOS!$Y$5:$Y$3004,0))),"")</f>
        <v/>
      </c>
      <c r="K19" s="55" t="str">
        <f aca="false">IFERROR(IF(INDEX(ENSAYOS!$G$5:$G$3004,MATCH(7,ENSAYOS!$Y$5:$Y$3004,0))="","",INDEX(ENSAYOS!$G$5:$G$3004,MATCH(7,ENSAYOS!$Y$5:$Y$3004,0))),"")</f>
        <v/>
      </c>
      <c r="L19" s="52" t="str">
        <f aca="false">IFERROR(IF(INDEX(ENSAYOS!$N$5:$N$3004,MATCH(7,ENSAYOS!$Y$5:$Y$3004,0))="","",INDEX(ENSAYOS!$N$5:$N$3004,MATCH(7,ENSAYOS!$Y$5:$Y$3004,0))),"")</f>
        <v/>
      </c>
      <c r="M19" s="56" t="str">
        <f aca="false">IFERROR(IF(INDEX(ENSAYOS!$O$5:$O$3004,MATCH(7,ENSAYOS!$Y$5:$Y$3004,0))="","",INDEX(ENSAYOS!$O$5:$O$3004,MATCH(7,ENSAYOS!$Y$5:$Y$3004,0))),"")</f>
        <v/>
      </c>
      <c r="N19" s="53" t="str">
        <f aca="false">IFERROR(IF(INDEX(ENSAYOS!$Q$5:$Q$3004,MATCH(7,ENSAYOS!$Y$5:$Y$3004,0))="","",INDEX(ENSAYOS!$Q$5:$Q$3004,MATCH(7,ENSAYOS!$Y$5:$Y$3004,0))),"")</f>
        <v/>
      </c>
      <c r="O19" s="53" t="str">
        <f aca="false">IFERROR(IF(INDEX(ENSAYOS!$R$5:$R$3004,MATCH(7,ENSAYOS!$Y$5:$Y$3004,0))="","",INDEX(ENSAYOS!$R$5:$R$3004,MATCH(7,ENSAYOS!$Y$5:$Y$3004,0))),"")</f>
        <v/>
      </c>
    </row>
    <row r="20" customFormat="false" ht="15" hidden="false" customHeight="false" outlineLevel="0" collapsed="false">
      <c r="B20" s="51" t="str">
        <f aca="false">IF(ISNUMBER(MATCH(8,ENSAYOS!$Y$5:$Y$3004,0)),8,"")</f>
        <v/>
      </c>
      <c r="C20" s="51" t="str">
        <f aca="false">IFERROR(IF(INDEX(ENSAYOS!$J$5:$J$3004,MATCH(8,ENSAYOS!$Y$5:$Y$3004,0))="","",INDEX(ENSAYOS!$J$5:$J$3004,MATCH(8,ENSAYOS!$Y$5:$Y$3004,0))),"")</f>
        <v/>
      </c>
      <c r="D20" s="52" t="str">
        <f aca="false">IFERROR(IF(INDEX(ENSAYOS!$K$5:$K$3004,MATCH(8,ENSAYOS!$Y$5:$Y$3004,0))="","",INDEX(ENSAYOS!$K$5:$K$3004,MATCH(8,ENSAYOS!$Y$5:$Y$3004,0))),"")</f>
        <v/>
      </c>
      <c r="E20" s="52" t="str">
        <f aca="false">IFERROR(IF(INDEX(ENSAYOS!$L$5:$L$3004,MATCH(8,ENSAYOS!$Y$5:$Y$3004,0))="","",INDEX(ENSAYOS!$L$5:$L$3004,MATCH(8,ENSAYOS!$Y$5:$Y$3004,0))),"")</f>
        <v/>
      </c>
      <c r="F20" s="52" t="str">
        <f aca="false">IFERROR(IF(INDEX(ENSAYOS!$M$5:$M$3004,MATCH(8,ENSAYOS!$Y$5:$Y$3004,0))="","",INDEX(ENSAYOS!$M$5:$M$3004,MATCH(8,ENSAYOS!$Y$5:$Y$3004,0))),"")</f>
        <v/>
      </c>
      <c r="G20" s="53" t="str">
        <f aca="false">IFERROR(IF(INDEX(ENSAYOS!$P$5:$P$3004,MATCH(8,ENSAYOS!$Y$5:$Y$3004,0))="","",INDEX(ENSAYOS!$P$5:$P$3004,MATCH(8,ENSAYOS!$Y$5:$Y$3004,0))),"")</f>
        <v/>
      </c>
      <c r="H20" s="51" t="str">
        <f aca="false">IFERROR(IF(INDEX(ENSAYOS!$D$5:$D$3004,MATCH(8,ENSAYOS!$Y$5:$Y$3004,0))="","",INDEX(ENSAYOS!$D$5:$D$3004,MATCH(8,ENSAYOS!$Y$5:$Y$3004,0))),"")</f>
        <v/>
      </c>
      <c r="I20" s="54" t="str">
        <f aca="false">IFERROR(IF(INDEX(ENSAYOS!$F$5:$F$3004,MATCH(8,ENSAYOS!$Y$5:$Y$3004,0))="","",INDEX(ENSAYOS!$F$5:$F$3004,MATCH(8,ENSAYOS!$Y$5:$Y$3004,0))),"")</f>
        <v/>
      </c>
      <c r="J20" s="54" t="str">
        <f aca="false">IFERROR(IF(INDEX(ENSAYOS!$B$5:$B$3004,MATCH(8,ENSAYOS!$Y$5:$Y$3004,0))="","",INDEX(ENSAYOS!$B$5:$B$3004,MATCH(8,ENSAYOS!$Y$5:$Y$3004,0))),"")</f>
        <v/>
      </c>
      <c r="K20" s="55" t="str">
        <f aca="false">IFERROR(IF(INDEX(ENSAYOS!$G$5:$G$3004,MATCH(8,ENSAYOS!$Y$5:$Y$3004,0))="","",INDEX(ENSAYOS!$G$5:$G$3004,MATCH(8,ENSAYOS!$Y$5:$Y$3004,0))),"")</f>
        <v/>
      </c>
      <c r="L20" s="52" t="str">
        <f aca="false">IFERROR(IF(INDEX(ENSAYOS!$N$5:$N$3004,MATCH(8,ENSAYOS!$Y$5:$Y$3004,0))="","",INDEX(ENSAYOS!$N$5:$N$3004,MATCH(8,ENSAYOS!$Y$5:$Y$3004,0))),"")</f>
        <v/>
      </c>
      <c r="M20" s="56" t="str">
        <f aca="false">IFERROR(IF(INDEX(ENSAYOS!$O$5:$O$3004,MATCH(8,ENSAYOS!$Y$5:$Y$3004,0))="","",INDEX(ENSAYOS!$O$5:$O$3004,MATCH(8,ENSAYOS!$Y$5:$Y$3004,0))),"")</f>
        <v/>
      </c>
      <c r="N20" s="53" t="str">
        <f aca="false">IFERROR(IF(INDEX(ENSAYOS!$Q$5:$Q$3004,MATCH(8,ENSAYOS!$Y$5:$Y$3004,0))="","",INDEX(ENSAYOS!$Q$5:$Q$3004,MATCH(8,ENSAYOS!$Y$5:$Y$3004,0))),"")</f>
        <v/>
      </c>
      <c r="O20" s="53" t="str">
        <f aca="false">IFERROR(IF(INDEX(ENSAYOS!$R$5:$R$3004,MATCH(8,ENSAYOS!$Y$5:$Y$3004,0))="","",INDEX(ENSAYOS!$R$5:$R$3004,MATCH(8,ENSAYOS!$Y$5:$Y$3004,0))),"")</f>
        <v/>
      </c>
    </row>
    <row r="21" customFormat="false" ht="15" hidden="false" customHeight="false" outlineLevel="0" collapsed="false">
      <c r="B21" s="51" t="str">
        <f aca="false">IF(ISNUMBER(MATCH(9,ENSAYOS!$Y$5:$Y$3004,0)),9,"")</f>
        <v/>
      </c>
      <c r="C21" s="51" t="str">
        <f aca="false">IFERROR(IF(INDEX(ENSAYOS!$J$5:$J$3004,MATCH(9,ENSAYOS!$Y$5:$Y$3004,0))="","",INDEX(ENSAYOS!$J$5:$J$3004,MATCH(9,ENSAYOS!$Y$5:$Y$3004,0))),"")</f>
        <v/>
      </c>
      <c r="D21" s="52" t="str">
        <f aca="false">IFERROR(IF(INDEX(ENSAYOS!$K$5:$K$3004,MATCH(9,ENSAYOS!$Y$5:$Y$3004,0))="","",INDEX(ENSAYOS!$K$5:$K$3004,MATCH(9,ENSAYOS!$Y$5:$Y$3004,0))),"")</f>
        <v/>
      </c>
      <c r="E21" s="52" t="str">
        <f aca="false">IFERROR(IF(INDEX(ENSAYOS!$L$5:$L$3004,MATCH(9,ENSAYOS!$Y$5:$Y$3004,0))="","",INDEX(ENSAYOS!$L$5:$L$3004,MATCH(9,ENSAYOS!$Y$5:$Y$3004,0))),"")</f>
        <v/>
      </c>
      <c r="F21" s="52" t="str">
        <f aca="false">IFERROR(IF(INDEX(ENSAYOS!$M$5:$M$3004,MATCH(9,ENSAYOS!$Y$5:$Y$3004,0))="","",INDEX(ENSAYOS!$M$5:$M$3004,MATCH(9,ENSAYOS!$Y$5:$Y$3004,0))),"")</f>
        <v/>
      </c>
      <c r="G21" s="53" t="str">
        <f aca="false">IFERROR(IF(INDEX(ENSAYOS!$P$5:$P$3004,MATCH(9,ENSAYOS!$Y$5:$Y$3004,0))="","",INDEX(ENSAYOS!$P$5:$P$3004,MATCH(9,ENSAYOS!$Y$5:$Y$3004,0))),"")</f>
        <v/>
      </c>
      <c r="H21" s="51" t="str">
        <f aca="false">IFERROR(IF(INDEX(ENSAYOS!$D$5:$D$3004,MATCH(9,ENSAYOS!$Y$5:$Y$3004,0))="","",INDEX(ENSAYOS!$D$5:$D$3004,MATCH(9,ENSAYOS!$Y$5:$Y$3004,0))),"")</f>
        <v/>
      </c>
      <c r="I21" s="54" t="str">
        <f aca="false">IFERROR(IF(INDEX(ENSAYOS!$F$5:$F$3004,MATCH(9,ENSAYOS!$Y$5:$Y$3004,0))="","",INDEX(ENSAYOS!$F$5:$F$3004,MATCH(9,ENSAYOS!$Y$5:$Y$3004,0))),"")</f>
        <v/>
      </c>
      <c r="J21" s="54" t="str">
        <f aca="false">IFERROR(IF(INDEX(ENSAYOS!$B$5:$B$3004,MATCH(9,ENSAYOS!$Y$5:$Y$3004,0))="","",INDEX(ENSAYOS!$B$5:$B$3004,MATCH(9,ENSAYOS!$Y$5:$Y$3004,0))),"")</f>
        <v/>
      </c>
      <c r="K21" s="55" t="str">
        <f aca="false">IFERROR(IF(INDEX(ENSAYOS!$G$5:$G$3004,MATCH(9,ENSAYOS!$Y$5:$Y$3004,0))="","",INDEX(ENSAYOS!$G$5:$G$3004,MATCH(9,ENSAYOS!$Y$5:$Y$3004,0))),"")</f>
        <v/>
      </c>
      <c r="L21" s="52" t="str">
        <f aca="false">IFERROR(IF(INDEX(ENSAYOS!$N$5:$N$3004,MATCH(9,ENSAYOS!$Y$5:$Y$3004,0))="","",INDEX(ENSAYOS!$N$5:$N$3004,MATCH(9,ENSAYOS!$Y$5:$Y$3004,0))),"")</f>
        <v/>
      </c>
      <c r="M21" s="56" t="str">
        <f aca="false">IFERROR(IF(INDEX(ENSAYOS!$O$5:$O$3004,MATCH(9,ENSAYOS!$Y$5:$Y$3004,0))="","",INDEX(ENSAYOS!$O$5:$O$3004,MATCH(9,ENSAYOS!$Y$5:$Y$3004,0))),"")</f>
        <v/>
      </c>
      <c r="N21" s="53" t="str">
        <f aca="false">IFERROR(IF(INDEX(ENSAYOS!$Q$5:$Q$3004,MATCH(9,ENSAYOS!$Y$5:$Y$3004,0))="","",INDEX(ENSAYOS!$Q$5:$Q$3004,MATCH(9,ENSAYOS!$Y$5:$Y$3004,0))),"")</f>
        <v/>
      </c>
      <c r="O21" s="53" t="str">
        <f aca="false">IFERROR(IF(INDEX(ENSAYOS!$R$5:$R$3004,MATCH(9,ENSAYOS!$Y$5:$Y$3004,0))="","",INDEX(ENSAYOS!$R$5:$R$3004,MATCH(9,ENSAYOS!$Y$5:$Y$3004,0))),"")</f>
        <v/>
      </c>
    </row>
    <row r="22" customFormat="false" ht="15" hidden="false" customHeight="false" outlineLevel="0" collapsed="false">
      <c r="B22" s="51" t="str">
        <f aca="false">IF(ISNUMBER(MATCH(10,ENSAYOS!$Y$5:$Y$3004,0)),10,"")</f>
        <v/>
      </c>
      <c r="C22" s="51" t="str">
        <f aca="false">IFERROR(IF(INDEX(ENSAYOS!$J$5:$J$3004,MATCH(10,ENSAYOS!$Y$5:$Y$3004,0))="","",INDEX(ENSAYOS!$J$5:$J$3004,MATCH(10,ENSAYOS!$Y$5:$Y$3004,0))),"")</f>
        <v/>
      </c>
      <c r="D22" s="52" t="str">
        <f aca="false">IFERROR(IF(INDEX(ENSAYOS!$K$5:$K$3004,MATCH(10,ENSAYOS!$Y$5:$Y$3004,0))="","",INDEX(ENSAYOS!$K$5:$K$3004,MATCH(10,ENSAYOS!$Y$5:$Y$3004,0))),"")</f>
        <v/>
      </c>
      <c r="E22" s="52" t="str">
        <f aca="false">IFERROR(IF(INDEX(ENSAYOS!$L$5:$L$3004,MATCH(10,ENSAYOS!$Y$5:$Y$3004,0))="","",INDEX(ENSAYOS!$L$5:$L$3004,MATCH(10,ENSAYOS!$Y$5:$Y$3004,0))),"")</f>
        <v/>
      </c>
      <c r="F22" s="52" t="str">
        <f aca="false">IFERROR(IF(INDEX(ENSAYOS!$M$5:$M$3004,MATCH(10,ENSAYOS!$Y$5:$Y$3004,0))="","",INDEX(ENSAYOS!$M$5:$M$3004,MATCH(10,ENSAYOS!$Y$5:$Y$3004,0))),"")</f>
        <v/>
      </c>
      <c r="G22" s="53" t="str">
        <f aca="false">IFERROR(IF(INDEX(ENSAYOS!$P$5:$P$3004,MATCH(10,ENSAYOS!$Y$5:$Y$3004,0))="","",INDEX(ENSAYOS!$P$5:$P$3004,MATCH(10,ENSAYOS!$Y$5:$Y$3004,0))),"")</f>
        <v/>
      </c>
      <c r="H22" s="51" t="str">
        <f aca="false">IFERROR(IF(INDEX(ENSAYOS!$D$5:$D$3004,MATCH(10,ENSAYOS!$Y$5:$Y$3004,0))="","",INDEX(ENSAYOS!$D$5:$D$3004,MATCH(10,ENSAYOS!$Y$5:$Y$3004,0))),"")</f>
        <v/>
      </c>
      <c r="I22" s="54" t="str">
        <f aca="false">IFERROR(IF(INDEX(ENSAYOS!$F$5:$F$3004,MATCH(10,ENSAYOS!$Y$5:$Y$3004,0))="","",INDEX(ENSAYOS!$F$5:$F$3004,MATCH(10,ENSAYOS!$Y$5:$Y$3004,0))),"")</f>
        <v/>
      </c>
      <c r="J22" s="54" t="str">
        <f aca="false">IFERROR(IF(INDEX(ENSAYOS!$B$5:$B$3004,MATCH(10,ENSAYOS!$Y$5:$Y$3004,0))="","",INDEX(ENSAYOS!$B$5:$B$3004,MATCH(10,ENSAYOS!$Y$5:$Y$3004,0))),"")</f>
        <v/>
      </c>
      <c r="K22" s="55" t="str">
        <f aca="false">IFERROR(IF(INDEX(ENSAYOS!$G$5:$G$3004,MATCH(10,ENSAYOS!$Y$5:$Y$3004,0))="","",INDEX(ENSAYOS!$G$5:$G$3004,MATCH(10,ENSAYOS!$Y$5:$Y$3004,0))),"")</f>
        <v/>
      </c>
      <c r="L22" s="52" t="str">
        <f aca="false">IFERROR(IF(INDEX(ENSAYOS!$N$5:$N$3004,MATCH(10,ENSAYOS!$Y$5:$Y$3004,0))="","",INDEX(ENSAYOS!$N$5:$N$3004,MATCH(10,ENSAYOS!$Y$5:$Y$3004,0))),"")</f>
        <v/>
      </c>
      <c r="M22" s="56" t="str">
        <f aca="false">IFERROR(IF(INDEX(ENSAYOS!$O$5:$O$3004,MATCH(10,ENSAYOS!$Y$5:$Y$3004,0))="","",INDEX(ENSAYOS!$O$5:$O$3004,MATCH(10,ENSAYOS!$Y$5:$Y$3004,0))),"")</f>
        <v/>
      </c>
      <c r="N22" s="53" t="str">
        <f aca="false">IFERROR(IF(INDEX(ENSAYOS!$Q$5:$Q$3004,MATCH(10,ENSAYOS!$Y$5:$Y$3004,0))="","",INDEX(ENSAYOS!$Q$5:$Q$3004,MATCH(10,ENSAYOS!$Y$5:$Y$3004,0))),"")</f>
        <v/>
      </c>
      <c r="O22" s="53" t="str">
        <f aca="false">IFERROR(IF(INDEX(ENSAYOS!$R$5:$R$3004,MATCH(10,ENSAYOS!$Y$5:$Y$3004,0))="","",INDEX(ENSAYOS!$R$5:$R$3004,MATCH(10,ENSAYOS!$Y$5:$Y$3004,0))),"")</f>
        <v/>
      </c>
    </row>
    <row r="23" customFormat="false" ht="15" hidden="false" customHeight="false" outlineLevel="0" collapsed="false">
      <c r="B23" s="51" t="str">
        <f aca="false">IF(ISNUMBER(MATCH(11,ENSAYOS!$Y$5:$Y$3004,0)),11,"")</f>
        <v/>
      </c>
      <c r="C23" s="51" t="str">
        <f aca="false">IFERROR(IF(INDEX(ENSAYOS!$J$5:$J$3004,MATCH(11,ENSAYOS!$Y$5:$Y$3004,0))="","",INDEX(ENSAYOS!$J$5:$J$3004,MATCH(11,ENSAYOS!$Y$5:$Y$3004,0))),"")</f>
        <v/>
      </c>
      <c r="D23" s="52" t="str">
        <f aca="false">IFERROR(IF(INDEX(ENSAYOS!$K$5:$K$3004,MATCH(11,ENSAYOS!$Y$5:$Y$3004,0))="","",INDEX(ENSAYOS!$K$5:$K$3004,MATCH(11,ENSAYOS!$Y$5:$Y$3004,0))),"")</f>
        <v/>
      </c>
      <c r="E23" s="52" t="str">
        <f aca="false">IFERROR(IF(INDEX(ENSAYOS!$L$5:$L$3004,MATCH(11,ENSAYOS!$Y$5:$Y$3004,0))="","",INDEX(ENSAYOS!$L$5:$L$3004,MATCH(11,ENSAYOS!$Y$5:$Y$3004,0))),"")</f>
        <v/>
      </c>
      <c r="F23" s="52" t="str">
        <f aca="false">IFERROR(IF(INDEX(ENSAYOS!$M$5:$M$3004,MATCH(11,ENSAYOS!$Y$5:$Y$3004,0))="","",INDEX(ENSAYOS!$M$5:$M$3004,MATCH(11,ENSAYOS!$Y$5:$Y$3004,0))),"")</f>
        <v/>
      </c>
      <c r="G23" s="53" t="str">
        <f aca="false">IFERROR(IF(INDEX(ENSAYOS!$P$5:$P$3004,MATCH(11,ENSAYOS!$Y$5:$Y$3004,0))="","",INDEX(ENSAYOS!$P$5:$P$3004,MATCH(11,ENSAYOS!$Y$5:$Y$3004,0))),"")</f>
        <v/>
      </c>
      <c r="H23" s="51" t="str">
        <f aca="false">IFERROR(IF(INDEX(ENSAYOS!$D$5:$D$3004,MATCH(11,ENSAYOS!$Y$5:$Y$3004,0))="","",INDEX(ENSAYOS!$D$5:$D$3004,MATCH(11,ENSAYOS!$Y$5:$Y$3004,0))),"")</f>
        <v/>
      </c>
      <c r="I23" s="54" t="str">
        <f aca="false">IFERROR(IF(INDEX(ENSAYOS!$F$5:$F$3004,MATCH(11,ENSAYOS!$Y$5:$Y$3004,0))="","",INDEX(ENSAYOS!$F$5:$F$3004,MATCH(11,ENSAYOS!$Y$5:$Y$3004,0))),"")</f>
        <v/>
      </c>
      <c r="J23" s="54" t="str">
        <f aca="false">IFERROR(IF(INDEX(ENSAYOS!$B$5:$B$3004,MATCH(11,ENSAYOS!$Y$5:$Y$3004,0))="","",INDEX(ENSAYOS!$B$5:$B$3004,MATCH(11,ENSAYOS!$Y$5:$Y$3004,0))),"")</f>
        <v/>
      </c>
      <c r="K23" s="55" t="str">
        <f aca="false">IFERROR(IF(INDEX(ENSAYOS!$G$5:$G$3004,MATCH(11,ENSAYOS!$Y$5:$Y$3004,0))="","",INDEX(ENSAYOS!$G$5:$G$3004,MATCH(11,ENSAYOS!$Y$5:$Y$3004,0))),"")</f>
        <v/>
      </c>
      <c r="L23" s="52" t="str">
        <f aca="false">IFERROR(IF(INDEX(ENSAYOS!$N$5:$N$3004,MATCH(11,ENSAYOS!$Y$5:$Y$3004,0))="","",INDEX(ENSAYOS!$N$5:$N$3004,MATCH(11,ENSAYOS!$Y$5:$Y$3004,0))),"")</f>
        <v/>
      </c>
      <c r="M23" s="56" t="str">
        <f aca="false">IFERROR(IF(INDEX(ENSAYOS!$O$5:$O$3004,MATCH(11,ENSAYOS!$Y$5:$Y$3004,0))="","",INDEX(ENSAYOS!$O$5:$O$3004,MATCH(11,ENSAYOS!$Y$5:$Y$3004,0))),"")</f>
        <v/>
      </c>
      <c r="N23" s="53" t="str">
        <f aca="false">IFERROR(IF(INDEX(ENSAYOS!$Q$5:$Q$3004,MATCH(11,ENSAYOS!$Y$5:$Y$3004,0))="","",INDEX(ENSAYOS!$Q$5:$Q$3004,MATCH(11,ENSAYOS!$Y$5:$Y$3004,0))),"")</f>
        <v/>
      </c>
      <c r="O23" s="53" t="str">
        <f aca="false">IFERROR(IF(INDEX(ENSAYOS!$R$5:$R$3004,MATCH(11,ENSAYOS!$Y$5:$Y$3004,0))="","",INDEX(ENSAYOS!$R$5:$R$3004,MATCH(11,ENSAYOS!$Y$5:$Y$3004,0))),"")</f>
        <v/>
      </c>
    </row>
    <row r="24" customFormat="false" ht="15" hidden="false" customHeight="false" outlineLevel="0" collapsed="false">
      <c r="B24" s="51" t="str">
        <f aca="false">IF(ISNUMBER(MATCH(12,ENSAYOS!$Y$5:$Y$3004,0)),12,"")</f>
        <v/>
      </c>
      <c r="C24" s="51" t="str">
        <f aca="false">IFERROR(IF(INDEX(ENSAYOS!$J$5:$J$3004,MATCH(12,ENSAYOS!$Y$5:$Y$3004,0))="","",INDEX(ENSAYOS!$J$5:$J$3004,MATCH(12,ENSAYOS!$Y$5:$Y$3004,0))),"")</f>
        <v/>
      </c>
      <c r="D24" s="52" t="str">
        <f aca="false">IFERROR(IF(INDEX(ENSAYOS!$K$5:$K$3004,MATCH(12,ENSAYOS!$Y$5:$Y$3004,0))="","",INDEX(ENSAYOS!$K$5:$K$3004,MATCH(12,ENSAYOS!$Y$5:$Y$3004,0))),"")</f>
        <v/>
      </c>
      <c r="E24" s="52" t="str">
        <f aca="false">IFERROR(IF(INDEX(ENSAYOS!$L$5:$L$3004,MATCH(12,ENSAYOS!$Y$5:$Y$3004,0))="","",INDEX(ENSAYOS!$L$5:$L$3004,MATCH(12,ENSAYOS!$Y$5:$Y$3004,0))),"")</f>
        <v/>
      </c>
      <c r="F24" s="52" t="str">
        <f aca="false">IFERROR(IF(INDEX(ENSAYOS!$M$5:$M$3004,MATCH(12,ENSAYOS!$Y$5:$Y$3004,0))="","",INDEX(ENSAYOS!$M$5:$M$3004,MATCH(12,ENSAYOS!$Y$5:$Y$3004,0))),"")</f>
        <v/>
      </c>
      <c r="G24" s="53" t="str">
        <f aca="false">IFERROR(IF(INDEX(ENSAYOS!$P$5:$P$3004,MATCH(12,ENSAYOS!$Y$5:$Y$3004,0))="","",INDEX(ENSAYOS!$P$5:$P$3004,MATCH(12,ENSAYOS!$Y$5:$Y$3004,0))),"")</f>
        <v/>
      </c>
      <c r="H24" s="51" t="str">
        <f aca="false">IFERROR(IF(INDEX(ENSAYOS!$D$5:$D$3004,MATCH(12,ENSAYOS!$Y$5:$Y$3004,0))="","",INDEX(ENSAYOS!$D$5:$D$3004,MATCH(12,ENSAYOS!$Y$5:$Y$3004,0))),"")</f>
        <v/>
      </c>
      <c r="I24" s="54" t="str">
        <f aca="false">IFERROR(IF(INDEX(ENSAYOS!$F$5:$F$3004,MATCH(12,ENSAYOS!$Y$5:$Y$3004,0))="","",INDEX(ENSAYOS!$F$5:$F$3004,MATCH(12,ENSAYOS!$Y$5:$Y$3004,0))),"")</f>
        <v/>
      </c>
      <c r="J24" s="54" t="str">
        <f aca="false">IFERROR(IF(INDEX(ENSAYOS!$B$5:$B$3004,MATCH(12,ENSAYOS!$Y$5:$Y$3004,0))="","",INDEX(ENSAYOS!$B$5:$B$3004,MATCH(12,ENSAYOS!$Y$5:$Y$3004,0))),"")</f>
        <v/>
      </c>
      <c r="K24" s="55" t="str">
        <f aca="false">IFERROR(IF(INDEX(ENSAYOS!$G$5:$G$3004,MATCH(12,ENSAYOS!$Y$5:$Y$3004,0))="","",INDEX(ENSAYOS!$G$5:$G$3004,MATCH(12,ENSAYOS!$Y$5:$Y$3004,0))),"")</f>
        <v/>
      </c>
      <c r="L24" s="52" t="str">
        <f aca="false">IFERROR(IF(INDEX(ENSAYOS!$N$5:$N$3004,MATCH(12,ENSAYOS!$Y$5:$Y$3004,0))="","",INDEX(ENSAYOS!$N$5:$N$3004,MATCH(12,ENSAYOS!$Y$5:$Y$3004,0))),"")</f>
        <v/>
      </c>
      <c r="M24" s="56" t="str">
        <f aca="false">IFERROR(IF(INDEX(ENSAYOS!$O$5:$O$3004,MATCH(12,ENSAYOS!$Y$5:$Y$3004,0))="","",INDEX(ENSAYOS!$O$5:$O$3004,MATCH(12,ENSAYOS!$Y$5:$Y$3004,0))),"")</f>
        <v/>
      </c>
      <c r="N24" s="53" t="str">
        <f aca="false">IFERROR(IF(INDEX(ENSAYOS!$Q$5:$Q$3004,MATCH(12,ENSAYOS!$Y$5:$Y$3004,0))="","",INDEX(ENSAYOS!$Q$5:$Q$3004,MATCH(12,ENSAYOS!$Y$5:$Y$3004,0))),"")</f>
        <v/>
      </c>
      <c r="O24" s="53" t="str">
        <f aca="false">IFERROR(IF(INDEX(ENSAYOS!$R$5:$R$3004,MATCH(12,ENSAYOS!$Y$5:$Y$3004,0))="","",INDEX(ENSAYOS!$R$5:$R$3004,MATCH(12,ENSAYOS!$Y$5:$Y$3004,0))),"")</f>
        <v/>
      </c>
    </row>
    <row r="26" customFormat="false" ht="15" hidden="false" customHeight="false" outlineLevel="0" collapsed="false">
      <c r="B26" s="28" t="s">
        <v>304</v>
      </c>
      <c r="K26" s="57" t="s">
        <v>305</v>
      </c>
      <c r="L26" s="57"/>
      <c r="M26" s="57"/>
      <c r="N26" s="57"/>
      <c r="O26" s="34" t="n">
        <f aca="false">IF(COUNT(G13:G24)=0,"",AVERAGE(G13:G24))</f>
        <v>770.25</v>
      </c>
    </row>
    <row r="27" customFormat="false" ht="15" hidden="false" customHeight="false" outlineLevel="0" collapsed="false">
      <c r="B27" s="58" t="str">
        <f aca="false">TRIM(IF(IFERROR(INDEX(ENSAYOS!$T$5:$T$3004,MATCH(1,ENSAYOS!$Y$5:$Y$3004,0))&amp;"","")="","","Condición del bloque: "&amp;IFERROR(INDEX(ENSAYOS!$T$5:$T$3004,MATCH(1,ENSAYOS!$Y$5:$Y$3004,0))&amp;"","")&amp;". ")&amp;IF(IFERROR(INDEX(ENSAYOS!$U$5:$U$3004,MATCH(1,ENSAYOS!$Y$5:$Y$3004,0))&amp;"","")="","","Falla predominante: "&amp;IFERROR(INDEX(ENSAYOS!$U$5:$U$3004,MATCH(1,ENSAYOS!$Y$5:$Y$3004,0))&amp;"","")&amp;". ")&amp;IFERROR(INDEX(ENSAYOS!$V$5:$V$3004,MATCH(1,ENSAYOS!$Y$5:$Y$3004,0))&amp;"",""))</f>
        <v/>
      </c>
      <c r="C27" s="58"/>
      <c r="D27" s="58"/>
      <c r="E27" s="58"/>
      <c r="F27" s="58"/>
      <c r="G27" s="58"/>
      <c r="H27" s="58"/>
      <c r="I27" s="58"/>
      <c r="K27" s="57" t="s">
        <v>306</v>
      </c>
      <c r="L27" s="57"/>
      <c r="M27" s="57"/>
      <c r="N27" s="57"/>
      <c r="O27" s="33" t="n">
        <f aca="false">COUNT(N13:N24)</f>
        <v>4</v>
      </c>
    </row>
    <row r="28" customFormat="false" ht="15" hidden="false" customHeight="false" outlineLevel="0" collapsed="false">
      <c r="B28" s="58"/>
      <c r="C28" s="58"/>
      <c r="D28" s="58"/>
      <c r="E28" s="58"/>
      <c r="F28" s="58"/>
      <c r="G28" s="58"/>
      <c r="H28" s="58"/>
      <c r="I28" s="58"/>
      <c r="K28" s="57" t="s">
        <v>307</v>
      </c>
      <c r="L28" s="57"/>
      <c r="M28" s="57"/>
      <c r="N28" s="57"/>
      <c r="O28" s="59" t="n">
        <f aca="false">IF(COUNT(N13:N24)=0,"",AVERAGE(N13:N24))</f>
        <v>79.559558584875</v>
      </c>
    </row>
    <row r="29" customFormat="false" ht="15" hidden="false" customHeight="false" outlineLevel="0" collapsed="false">
      <c r="B29" s="58"/>
      <c r="C29" s="58"/>
      <c r="D29" s="58"/>
      <c r="E29" s="58"/>
      <c r="F29" s="58"/>
      <c r="G29" s="58"/>
      <c r="H29" s="58"/>
      <c r="I29" s="58"/>
      <c r="K29" s="57" t="s">
        <v>308</v>
      </c>
      <c r="L29" s="57"/>
      <c r="M29" s="57"/>
      <c r="N29" s="57"/>
      <c r="O29" s="60" t="n">
        <f aca="false">IF(COUNT(O13:O24)=0,"",AVERAGE(O13:O24))</f>
        <v>7.80212745196365</v>
      </c>
    </row>
    <row r="30" customFormat="false" ht="15" hidden="false" customHeight="false" outlineLevel="0" collapsed="false">
      <c r="B30" s="58"/>
      <c r="C30" s="58"/>
      <c r="D30" s="58"/>
      <c r="E30" s="58"/>
      <c r="F30" s="58"/>
      <c r="G30" s="58"/>
      <c r="H30" s="58"/>
      <c r="I30" s="58"/>
      <c r="K30" s="57" t="s">
        <v>309</v>
      </c>
      <c r="L30" s="57"/>
      <c r="M30" s="57"/>
      <c r="N30" s="57"/>
      <c r="O30" s="34" t="n">
        <f aca="false">IF(COUNT(N13:N24)=0,"",MIN(N13:N24))</f>
        <v>60.4777669587796</v>
      </c>
    </row>
    <row r="31" customFormat="false" ht="15" hidden="false" customHeight="false" outlineLevel="0" collapsed="false">
      <c r="B31" s="58"/>
      <c r="C31" s="58"/>
      <c r="D31" s="58"/>
      <c r="E31" s="58"/>
      <c r="F31" s="58"/>
      <c r="G31" s="58"/>
      <c r="H31" s="58"/>
      <c r="I31" s="58"/>
      <c r="K31" s="57" t="s">
        <v>310</v>
      </c>
      <c r="L31" s="57"/>
      <c r="M31" s="57"/>
      <c r="N31" s="57"/>
      <c r="O31" s="61" t="n">
        <f aca="false">IF(COUNT(N13:N24)&lt;2,"",STDEV(N13:N24)/AVERAGE(N13:N24))</f>
        <v>0.194462857166656</v>
      </c>
    </row>
    <row r="32" customFormat="false" ht="15" hidden="false" customHeight="false" outlineLevel="0" collapsed="false">
      <c r="B32" s="58"/>
      <c r="C32" s="58"/>
      <c r="D32" s="58"/>
      <c r="E32" s="58"/>
      <c r="F32" s="58"/>
      <c r="G32" s="58"/>
      <c r="H32" s="58"/>
      <c r="I32" s="58"/>
      <c r="K32" s="57" t="s">
        <v>311</v>
      </c>
      <c r="L32" s="57"/>
      <c r="M32" s="57"/>
      <c r="N32" s="57"/>
      <c r="O32" s="62" t="str">
        <f aca="false">IFERROR(INDEX(LOTES!$AD$5:$AD$1004,MATCH(E4,LOTES!$F$5:$F$1004,0)),"")</f>
        <v/>
      </c>
    </row>
    <row r="33" customFormat="false" ht="15" hidden="false" customHeight="false" outlineLevel="0" collapsed="false">
      <c r="K33" s="57" t="s">
        <v>312</v>
      </c>
      <c r="L33" s="57"/>
      <c r="M33" s="57"/>
      <c r="N33" s="57"/>
      <c r="O33" s="62" t="str">
        <f aca="false">IFERROR(INDEX(LOTES!$AE$5:$AE$1004,MATCH(E4,LOTES!$F$5:$F$1004,0)),"")</f>
        <v/>
      </c>
    </row>
    <row r="37" customFormat="false" ht="15" hidden="false" customHeight="false" outlineLevel="0" collapsed="false">
      <c r="G37" s="63" t="str">
        <f aca="false">CONFIG!$B$21</f>
        <v>ING. ALEXANDER ROCHELL</v>
      </c>
      <c r="H37" s="63"/>
      <c r="I37" s="63"/>
      <c r="J37" s="63"/>
    </row>
    <row r="39" customFormat="false" ht="15" hidden="false" customHeight="false" outlineLevel="0" collapsed="false">
      <c r="B39" s="5" t="s">
        <v>313</v>
      </c>
    </row>
  </sheetData>
  <sheetProtection sheet="true" formatCells="false" formatColumns="false" formatRows="false" sort="false" autoFilter="false"/>
  <mergeCells count="22">
    <mergeCell ref="B1:O2"/>
    <mergeCell ref="E4:G4"/>
    <mergeCell ref="N4:O4"/>
    <mergeCell ref="E5:G5"/>
    <mergeCell ref="E7:J7"/>
    <mergeCell ref="N7:O7"/>
    <mergeCell ref="E8:J8"/>
    <mergeCell ref="N8:O8"/>
    <mergeCell ref="E9:J9"/>
    <mergeCell ref="N9:O9"/>
    <mergeCell ref="E10:J10"/>
    <mergeCell ref="N10:O10"/>
    <mergeCell ref="K26:N26"/>
    <mergeCell ref="B27:I32"/>
    <mergeCell ref="K27:N27"/>
    <mergeCell ref="K28:N28"/>
    <mergeCell ref="K29:N29"/>
    <mergeCell ref="K30:N30"/>
    <mergeCell ref="K31:N31"/>
    <mergeCell ref="K32:N32"/>
    <mergeCell ref="K33:N33"/>
    <mergeCell ref="G37:J37"/>
  </mergeCells>
  <dataValidations count="1">
    <dataValidation allowBlank="true" errorStyle="stop" operator="between" showDropDown="false" showErrorMessage="true" showInputMessage="false" sqref="E4" type="list">
      <formula1>LOTES!$F$5:$F$1004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8" min="5" style="0" width="10"/>
    <col collapsed="false" customWidth="true" hidden="false" outlineLevel="0" max="9" min="9" style="0" width="11"/>
    <col collapsed="false" customWidth="true" hidden="false" outlineLevel="0" max="11" min="10" style="0" width="14"/>
    <col collapsed="false" customWidth="true" hidden="false" outlineLevel="0" max="12" min="12" style="0" width="3"/>
    <col collapsed="false" customWidth="true" hidden="false" outlineLevel="0" max="13" min="13" style="0" width="32"/>
    <col collapsed="false" customWidth="true" hidden="false" outlineLevel="0" max="14" min="14" style="0" width="22"/>
    <col collapsed="false" customWidth="true" hidden="false" outlineLevel="0" max="15" min="15" style="0" width="3"/>
    <col collapsed="false" customWidth="true" hidden="false" outlineLevel="0" max="17" min="16" style="0" width="18"/>
    <col collapsed="false" customWidth="true" hidden="false" outlineLevel="0" max="18" min="18" style="0" width="20"/>
    <col collapsed="false" customWidth="true" hidden="false" outlineLevel="0" max="19" min="19" style="0" width="16"/>
    <col collapsed="false" customWidth="true" hidden="false" outlineLevel="0" max="21" min="21" style="0" width="14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5" t="s">
        <v>315</v>
      </c>
    </row>
    <row r="4" customFormat="false" ht="45" hidden="false" customHeight="true" outlineLevel="0" collapsed="false">
      <c r="A4" s="7" t="s">
        <v>316</v>
      </c>
      <c r="B4" s="7" t="s">
        <v>317</v>
      </c>
      <c r="D4" s="7" t="s">
        <v>51</v>
      </c>
      <c r="E4" s="7" t="s">
        <v>318</v>
      </c>
      <c r="F4" s="7" t="s">
        <v>319</v>
      </c>
      <c r="G4" s="7" t="s">
        <v>320</v>
      </c>
      <c r="H4" s="7" t="s">
        <v>321</v>
      </c>
      <c r="I4" s="7" t="s">
        <v>322</v>
      </c>
      <c r="J4" s="7" t="s">
        <v>323</v>
      </c>
      <c r="K4" s="7" t="s">
        <v>324</v>
      </c>
      <c r="M4" s="7" t="s">
        <v>325</v>
      </c>
      <c r="N4" s="7" t="s">
        <v>326</v>
      </c>
      <c r="P4" s="7" t="s">
        <v>327</v>
      </c>
      <c r="Q4" s="7" t="s">
        <v>328</v>
      </c>
      <c r="R4" s="7" t="s">
        <v>124</v>
      </c>
      <c r="S4" s="7" t="s">
        <v>123</v>
      </c>
      <c r="U4" s="8" t="s">
        <v>329</v>
      </c>
    </row>
    <row r="5" customFormat="false" ht="15" hidden="false" customHeight="false" outlineLevel="0" collapsed="false">
      <c r="A5" s="13" t="s">
        <v>83</v>
      </c>
      <c r="B5" s="13" t="s">
        <v>330</v>
      </c>
      <c r="D5" s="13" t="s">
        <v>331</v>
      </c>
      <c r="E5" s="13" t="s">
        <v>332</v>
      </c>
      <c r="F5" s="13" t="n">
        <v>9.5</v>
      </c>
      <c r="G5" s="13" t="n">
        <v>19.5</v>
      </c>
      <c r="H5" s="13" t="n">
        <v>39.5</v>
      </c>
      <c r="I5" s="64"/>
      <c r="J5" s="65"/>
      <c r="K5" s="65"/>
      <c r="M5" s="13" t="s">
        <v>135</v>
      </c>
      <c r="N5" s="13" t="s">
        <v>131</v>
      </c>
      <c r="P5" s="13"/>
      <c r="Q5" s="13"/>
      <c r="R5" s="13" t="s">
        <v>333</v>
      </c>
      <c r="S5" s="13" t="s">
        <v>334</v>
      </c>
      <c r="U5" s="66" t="s">
        <v>238</v>
      </c>
    </row>
    <row r="6" customFormat="false" ht="15" hidden="false" customHeight="false" outlineLevel="0" collapsed="false">
      <c r="A6" s="13" t="s">
        <v>86</v>
      </c>
      <c r="B6" s="13" t="s">
        <v>335</v>
      </c>
      <c r="D6" s="13" t="s">
        <v>87</v>
      </c>
      <c r="E6" s="13" t="s">
        <v>336</v>
      </c>
      <c r="F6" s="13" t="n">
        <v>14.5</v>
      </c>
      <c r="G6" s="13" t="n">
        <v>19.5</v>
      </c>
      <c r="H6" s="13" t="n">
        <v>39.5</v>
      </c>
      <c r="I6" s="64"/>
      <c r="J6" s="65"/>
      <c r="K6" s="65"/>
      <c r="M6" s="13" t="s">
        <v>130</v>
      </c>
      <c r="N6" s="13"/>
      <c r="P6" s="13"/>
      <c r="Q6" s="13"/>
      <c r="R6" s="13" t="s">
        <v>337</v>
      </c>
      <c r="S6" s="13" t="s">
        <v>153</v>
      </c>
      <c r="U6" s="66" t="str">
        <f aca="false">IF(A5="","",A5)</f>
        <v>P1</v>
      </c>
    </row>
    <row r="7" customFormat="false" ht="15" hidden="false" customHeight="false" outlineLevel="0" collapsed="false">
      <c r="A7" s="13" t="s">
        <v>104</v>
      </c>
      <c r="B7" s="13" t="s">
        <v>338</v>
      </c>
      <c r="D7" s="13" t="s">
        <v>84</v>
      </c>
      <c r="E7" s="13" t="s">
        <v>339</v>
      </c>
      <c r="F7" s="13" t="n">
        <v>19.5</v>
      </c>
      <c r="G7" s="13" t="n">
        <v>19.5</v>
      </c>
      <c r="H7" s="13" t="n">
        <v>39.5</v>
      </c>
      <c r="I7" s="64"/>
      <c r="J7" s="65"/>
      <c r="K7" s="65"/>
      <c r="M7" s="13" t="s">
        <v>340</v>
      </c>
      <c r="N7" s="13"/>
      <c r="P7" s="13"/>
      <c r="Q7" s="13"/>
      <c r="R7" s="13" t="s">
        <v>341</v>
      </c>
      <c r="S7" s="13" t="s">
        <v>342</v>
      </c>
      <c r="U7" s="66" t="str">
        <f aca="false">IF(A6="","",A6)</f>
        <v>P2</v>
      </c>
    </row>
    <row r="8" customFormat="false" ht="15" hidden="false" customHeight="false" outlineLevel="0" collapsed="false">
      <c r="A8" s="13"/>
      <c r="B8" s="13"/>
      <c r="D8" s="13" t="s">
        <v>343</v>
      </c>
      <c r="E8" s="13" t="s">
        <v>344</v>
      </c>
      <c r="F8" s="13"/>
      <c r="G8" s="13"/>
      <c r="H8" s="13"/>
      <c r="I8" s="64"/>
      <c r="J8" s="65"/>
      <c r="K8" s="65"/>
      <c r="M8" s="13"/>
      <c r="N8" s="13"/>
      <c r="P8" s="13"/>
      <c r="Q8" s="13"/>
      <c r="R8" s="13" t="s">
        <v>345</v>
      </c>
      <c r="S8" s="13"/>
      <c r="U8" s="66" t="str">
        <f aca="false">IF(A7="","",A7)</f>
        <v>P3</v>
      </c>
    </row>
    <row r="9" customFormat="false" ht="15" hidden="false" customHeight="false" outlineLevel="0" collapsed="false">
      <c r="A9" s="13"/>
      <c r="B9" s="13"/>
      <c r="D9" s="13"/>
      <c r="E9" s="13"/>
      <c r="F9" s="13"/>
      <c r="G9" s="13"/>
      <c r="H9" s="13"/>
      <c r="I9" s="64"/>
      <c r="J9" s="65"/>
      <c r="K9" s="65"/>
      <c r="M9" s="13"/>
      <c r="N9" s="13"/>
      <c r="P9" s="13"/>
      <c r="Q9" s="13"/>
      <c r="R9" s="13" t="s">
        <v>346</v>
      </c>
      <c r="S9" s="13"/>
      <c r="U9" s="66" t="str">
        <f aca="false">IF(A8="","",A8)</f>
        <v/>
      </c>
    </row>
    <row r="10" customFormat="false" ht="15" hidden="false" customHeight="false" outlineLevel="0" collapsed="false">
      <c r="A10" s="13"/>
      <c r="B10" s="13"/>
      <c r="D10" s="13"/>
      <c r="E10" s="13"/>
      <c r="F10" s="13"/>
      <c r="G10" s="13"/>
      <c r="H10" s="13"/>
      <c r="I10" s="64"/>
      <c r="J10" s="65"/>
      <c r="K10" s="65"/>
      <c r="M10" s="13"/>
      <c r="N10" s="13"/>
      <c r="P10" s="13"/>
      <c r="Q10" s="13"/>
      <c r="R10" s="13" t="s">
        <v>347</v>
      </c>
      <c r="S10" s="13"/>
      <c r="U10" s="66" t="str">
        <f aca="false">IF(A9="","",A9)</f>
        <v/>
      </c>
    </row>
    <row r="11" customFormat="false" ht="15" hidden="false" customHeight="false" outlineLevel="0" collapsed="false">
      <c r="A11" s="13"/>
      <c r="B11" s="13"/>
      <c r="D11" s="13"/>
      <c r="E11" s="13"/>
      <c r="F11" s="13"/>
      <c r="G11" s="13"/>
      <c r="H11" s="13"/>
      <c r="I11" s="64"/>
      <c r="J11" s="65"/>
      <c r="K11" s="65"/>
      <c r="M11" s="13"/>
      <c r="N11" s="13"/>
      <c r="P11" s="13"/>
      <c r="Q11" s="13"/>
      <c r="R11" s="13" t="s">
        <v>348</v>
      </c>
      <c r="S11" s="13"/>
      <c r="U11" s="66" t="str">
        <f aca="false">IF(A10="","",A10)</f>
        <v/>
      </c>
    </row>
    <row r="12" customFormat="false" ht="15" hidden="false" customHeight="false" outlineLevel="0" collapsed="false">
      <c r="A12" s="13"/>
      <c r="B12" s="13"/>
      <c r="D12" s="13"/>
      <c r="E12" s="13"/>
      <c r="F12" s="13"/>
      <c r="G12" s="13"/>
      <c r="H12" s="13"/>
      <c r="I12" s="64"/>
      <c r="J12" s="65"/>
      <c r="K12" s="65"/>
      <c r="M12" s="13"/>
      <c r="N12" s="13"/>
      <c r="P12" s="13"/>
      <c r="Q12" s="13"/>
      <c r="R12" s="13"/>
      <c r="S12" s="13"/>
      <c r="U12" s="66" t="str">
        <f aca="false">IF(A11="","",A11)</f>
        <v/>
      </c>
    </row>
    <row r="13" customFormat="false" ht="15" hidden="false" customHeight="false" outlineLevel="0" collapsed="false">
      <c r="A13" s="13"/>
      <c r="B13" s="13"/>
      <c r="D13" s="13"/>
      <c r="E13" s="13"/>
      <c r="F13" s="13"/>
      <c r="G13" s="13"/>
      <c r="H13" s="13"/>
      <c r="I13" s="64"/>
      <c r="J13" s="65"/>
      <c r="K13" s="65"/>
      <c r="M13" s="13"/>
      <c r="N13" s="13"/>
      <c r="P13" s="13"/>
      <c r="Q13" s="13"/>
      <c r="R13" s="13"/>
      <c r="S13" s="13"/>
      <c r="U13" s="66" t="str">
        <f aca="false">IF(A12="","",A12)</f>
        <v/>
      </c>
    </row>
    <row r="14" customFormat="false" ht="15" hidden="false" customHeight="false" outlineLevel="0" collapsed="false">
      <c r="A14" s="13"/>
      <c r="B14" s="13"/>
      <c r="D14" s="13"/>
      <c r="E14" s="13"/>
      <c r="F14" s="13"/>
      <c r="G14" s="13"/>
      <c r="H14" s="13"/>
      <c r="I14" s="64"/>
      <c r="J14" s="65"/>
      <c r="K14" s="65"/>
      <c r="M14" s="13"/>
      <c r="N14" s="13"/>
      <c r="P14" s="13"/>
      <c r="Q14" s="13"/>
      <c r="R14" s="13"/>
      <c r="S14" s="13"/>
      <c r="U14" s="66" t="str">
        <f aca="false">IF(A13="","",A13)</f>
        <v/>
      </c>
    </row>
    <row r="15" customFormat="false" ht="15" hidden="false" customHeight="false" outlineLevel="0" collapsed="false">
      <c r="M15" s="13"/>
      <c r="N15" s="13"/>
      <c r="P15" s="13"/>
      <c r="Q15" s="13"/>
      <c r="R15" s="13"/>
      <c r="S15" s="13"/>
      <c r="U15" s="66" t="str">
        <f aca="false">IF(A14="","",A14)</f>
        <v/>
      </c>
    </row>
    <row r="16" customFormat="false" ht="15" hidden="false" customHeight="false" outlineLevel="0" collapsed="false">
      <c r="M16" s="13"/>
      <c r="N16" s="13"/>
      <c r="P16" s="13"/>
      <c r="Q16" s="13"/>
      <c r="R16" s="13"/>
      <c r="S16" s="13"/>
    </row>
    <row r="17" customFormat="false" ht="15" hidden="false" customHeight="false" outlineLevel="0" collapsed="false">
      <c r="A17" s="28" t="s">
        <v>349</v>
      </c>
      <c r="D17" s="28" t="s">
        <v>350</v>
      </c>
      <c r="M17" s="13"/>
      <c r="N17" s="13"/>
      <c r="P17" s="13"/>
      <c r="Q17" s="13"/>
      <c r="R17" s="13"/>
      <c r="S17" s="13"/>
    </row>
    <row r="18" customFormat="false" ht="39.75" hidden="false" customHeight="true" outlineLevel="0" collapsed="false">
      <c r="A18" s="67" t="s">
        <v>351</v>
      </c>
      <c r="B18" s="13" t="s">
        <v>352</v>
      </c>
      <c r="D18" s="7" t="s">
        <v>233</v>
      </c>
      <c r="E18" s="7" t="s">
        <v>353</v>
      </c>
      <c r="F18" s="7" t="s">
        <v>354</v>
      </c>
      <c r="M18" s="13"/>
      <c r="N18" s="13"/>
      <c r="P18" s="13"/>
      <c r="Q18" s="13"/>
      <c r="R18" s="13"/>
      <c r="S18" s="13"/>
    </row>
    <row r="19" customFormat="false" ht="15" hidden="false" customHeight="false" outlineLevel="0" collapsed="false">
      <c r="A19" s="67" t="s">
        <v>355</v>
      </c>
      <c r="B19" s="13" t="s">
        <v>356</v>
      </c>
      <c r="D19" s="13" t="s">
        <v>357</v>
      </c>
      <c r="E19" s="13" t="n">
        <v>0</v>
      </c>
      <c r="F19" s="13" t="n">
        <v>288</v>
      </c>
      <c r="M19" s="13"/>
      <c r="N19" s="13"/>
      <c r="P19" s="13"/>
      <c r="Q19" s="13"/>
      <c r="R19" s="13"/>
      <c r="S19" s="13"/>
    </row>
    <row r="20" customFormat="false" ht="15" hidden="false" customHeight="false" outlineLevel="0" collapsed="false">
      <c r="A20" s="67" t="s">
        <v>358</v>
      </c>
      <c r="B20" s="13" t="s">
        <v>359</v>
      </c>
      <c r="D20" s="13" t="s">
        <v>360</v>
      </c>
      <c r="E20" s="13" t="n">
        <v>1680</v>
      </c>
      <c r="F20" s="13" t="n">
        <v>240</v>
      </c>
      <c r="M20" s="13"/>
      <c r="N20" s="13"/>
    </row>
    <row r="21" customFormat="false" ht="15" hidden="false" customHeight="false" outlineLevel="0" collapsed="false">
      <c r="A21" s="67" t="s">
        <v>361</v>
      </c>
      <c r="B21" s="13" t="s">
        <v>362</v>
      </c>
      <c r="D21" s="13" t="s">
        <v>363</v>
      </c>
      <c r="E21" s="13" t="n">
        <v>2000</v>
      </c>
      <c r="F21" s="13" t="n">
        <v>208</v>
      </c>
      <c r="M21" s="13"/>
      <c r="N21" s="13"/>
    </row>
    <row r="22" customFormat="false" ht="15" hidden="false" customHeight="false" outlineLevel="0" collapsed="false">
      <c r="A22" s="67" t="s">
        <v>364</v>
      </c>
      <c r="B22" s="13" t="s">
        <v>365</v>
      </c>
      <c r="D22" s="5" t="s">
        <v>366</v>
      </c>
      <c r="M22" s="13"/>
      <c r="N22" s="13"/>
    </row>
    <row r="23" customFormat="false" ht="15" hidden="false" customHeight="false" outlineLevel="0" collapsed="false">
      <c r="M23" s="13"/>
      <c r="N23" s="13"/>
    </row>
    <row r="24" customFormat="false" ht="15" hidden="false" customHeight="false" outlineLevel="0" collapsed="false">
      <c r="A24" s="28" t="s">
        <v>367</v>
      </c>
      <c r="M24" s="13"/>
      <c r="N24" s="13"/>
    </row>
    <row r="25" customFormat="false" ht="15" hidden="false" customHeight="false" outlineLevel="0" collapsed="false">
      <c r="A25" s="67" t="s">
        <v>368</v>
      </c>
      <c r="B25" s="64" t="n">
        <v>0.15</v>
      </c>
      <c r="M25" s="13"/>
      <c r="N25" s="13"/>
    </row>
    <row r="26" customFormat="false" ht="15" hidden="false" customHeight="false" outlineLevel="0" collapsed="false">
      <c r="A26" s="67" t="s">
        <v>369</v>
      </c>
      <c r="B26" s="68" t="n">
        <v>3</v>
      </c>
      <c r="M26" s="13"/>
      <c r="N26" s="13"/>
    </row>
    <row r="27" customFormat="false" ht="15" hidden="false" customHeight="false" outlineLevel="0" collapsed="false">
      <c r="A27" s="67" t="s">
        <v>370</v>
      </c>
      <c r="B27" s="68" t="n">
        <v>26</v>
      </c>
      <c r="M27" s="13"/>
      <c r="N27" s="13"/>
    </row>
    <row r="28" customFormat="false" ht="15" hidden="false" customHeight="false" outlineLevel="0" collapsed="false">
      <c r="A28" s="67" t="s">
        <v>371</v>
      </c>
      <c r="B28" s="68" t="n">
        <v>2</v>
      </c>
      <c r="M28" s="13"/>
      <c r="N28" s="13"/>
    </row>
    <row r="29" customFormat="false" ht="15" hidden="false" customHeight="false" outlineLevel="0" collapsed="false">
      <c r="M29" s="13"/>
      <c r="N29" s="13"/>
    </row>
    <row r="30" customFormat="false" ht="15" hidden="false" customHeight="false" outlineLevel="0" collapsed="false">
      <c r="M30" s="13"/>
      <c r="N30" s="13"/>
    </row>
    <row r="31" customFormat="false" ht="15" hidden="false" customHeight="false" outlineLevel="0" collapsed="false">
      <c r="M31" s="13"/>
      <c r="N31" s="13"/>
    </row>
    <row r="32" customFormat="false" ht="15" hidden="false" customHeight="false" outlineLevel="0" collapsed="false">
      <c r="M32" s="13"/>
      <c r="N32" s="13"/>
    </row>
    <row r="33" customFormat="false" ht="15" hidden="false" customHeight="false" outlineLevel="0" collapsed="false">
      <c r="M33" s="13"/>
      <c r="N33" s="13"/>
    </row>
    <row r="34" customFormat="false" ht="15" hidden="false" customHeight="false" outlineLevel="0" collapsed="false">
      <c r="M34" s="13"/>
      <c r="N3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2026-10-08T19:23:02Z</dcterms:created>
  <dc:creator>openpyxl</dc:creator>
  <dc:description/>
  <dc:language>en-US</dc:language>
  <cp:lastModifiedBy/>
  <dcterms:modified xsi:type="dcterms:W3CDTF">2026-10-08T15:23:10Z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